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A549_lysate_PBS_R1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6308" i="1" l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<sst xmlns="http://schemas.openxmlformats.org/spreadsheetml/2006/main" count="50470" uniqueCount="31278">
  <si>
    <t>Protein_ID</t>
  </si>
  <si>
    <t>plot</t>
  </si>
  <si>
    <t>gene_name</t>
  </si>
  <si>
    <t>uniprot_ac</t>
  </si>
  <si>
    <t>auc</t>
  </si>
  <si>
    <t>plot_link</t>
  </si>
  <si>
    <t>A0AVT1_UBA6</t>
  </si>
  <si>
    <t>A0JNW5_UHRF1BP1L</t>
  </si>
  <si>
    <t>A0MZ66_KIAA1598</t>
  </si>
  <si>
    <t>A1A4S6_ARHGAP10</t>
  </si>
  <si>
    <t>A1A5A9_KIAA0999</t>
  </si>
  <si>
    <t>A1L188_C17orf89</t>
  </si>
  <si>
    <t>A1L390_PLEKHG3</t>
  </si>
  <si>
    <t>A1X283_SH3PXD2B</t>
  </si>
  <si>
    <t>A2A2A7_PARD6B</t>
  </si>
  <si>
    <t>A2A3N6_PIPSL</t>
  </si>
  <si>
    <t>A2RTX5-2_TARSL2</t>
  </si>
  <si>
    <t>A2RUC4_TYW5</t>
  </si>
  <si>
    <t>A3KMH1-2_VWA8</t>
  </si>
  <si>
    <t>A3KN83-2_SBNO1</t>
  </si>
  <si>
    <t>A4D1E9-2_GTPBP10</t>
  </si>
  <si>
    <t>A4D1P6-2_WDR91</t>
  </si>
  <si>
    <t>A4D1S0-2_KLRG2</t>
  </si>
  <si>
    <t>A4D2B0_MBLAC1</t>
  </si>
  <si>
    <t>A5PLN9-2_TRAPPC13</t>
  </si>
  <si>
    <t>A5YKK6_CNOT1</t>
  </si>
  <si>
    <t>A6H8Y1-7_BDP1</t>
  </si>
  <si>
    <t>A6ND22_MRPS16</t>
  </si>
  <si>
    <t>A6ND36_FAM83G</t>
  </si>
  <si>
    <t>A6NDB9_PALM3</t>
  </si>
  <si>
    <t>A6NDG6_PGP</t>
  </si>
  <si>
    <t>A6NDU8_C5orf51</t>
  </si>
  <si>
    <t>A6NED2_RCCD1</t>
  </si>
  <si>
    <t>A6NF31_OFD1</t>
  </si>
  <si>
    <t>A6NF48_ZNF281</t>
  </si>
  <si>
    <t>A6NFI3_ZNF316</t>
  </si>
  <si>
    <t>A6NG32_CHMP1A</t>
  </si>
  <si>
    <t>A6NG64_C10orf11</t>
  </si>
  <si>
    <t>A6NG79_PRCC</t>
  </si>
  <si>
    <t>A6NGB9_WIPF3</t>
  </si>
  <si>
    <t>A6NGP5_HN1L</t>
  </si>
  <si>
    <t>A6NHL2-2_TUBAL3</t>
  </si>
  <si>
    <t>A6NHR9_SMCHD1</t>
  </si>
  <si>
    <t>A6NHX0_GATSL2</t>
  </si>
  <si>
    <t>A6NIH7_UNC119B</t>
  </si>
  <si>
    <t>A6NIX2_WTIP</t>
  </si>
  <si>
    <t>A6NIZ0_NDEL1</t>
  </si>
  <si>
    <t>A6NIZ6_ASXL1</t>
  </si>
  <si>
    <t>A6NJ78-2_METTL15</t>
  </si>
  <si>
    <t>A6NKD9_CCDC85C</t>
  </si>
  <si>
    <t>A6NML8_DIAPH2</t>
  </si>
  <si>
    <t>A6NN40_SHROOM1</t>
  </si>
  <si>
    <t>A6NNT2_C16orf96</t>
  </si>
  <si>
    <t>A6NNV6_ZWINT</t>
  </si>
  <si>
    <t>A6QL63_BTBD11</t>
  </si>
  <si>
    <t>A6ZKI3_FAM127A</t>
  </si>
  <si>
    <t>A7KAX9_ARHGAP32</t>
  </si>
  <si>
    <t>A7Y2D6_PYGO1</t>
  </si>
  <si>
    <t>A8CG34-2_POM121C</t>
  </si>
  <si>
    <t>A8CTX8_ITSN1</t>
  </si>
  <si>
    <t>A8MQB8_FMR1</t>
  </si>
  <si>
    <t>A8MTK3_POT1</t>
  </si>
  <si>
    <t>A8MTZ6_S100PBP</t>
  </si>
  <si>
    <t>A8MUB1_TUBA4A</t>
  </si>
  <si>
    <t>A8MVZ6_BICD1</t>
  </si>
  <si>
    <t>A8MWK3_CDH2</t>
  </si>
  <si>
    <t>A8MWR2_WIPF2</t>
  </si>
  <si>
    <t>A8MX75_ERCC2</t>
  </si>
  <si>
    <t>A8MXV4_NUDT19</t>
  </si>
  <si>
    <t>A9Z1X7_SRRM1</t>
  </si>
  <si>
    <t>B0FLL2_PFKFB2</t>
  </si>
  <si>
    <t>B0QXZ5_DNAL4</t>
  </si>
  <si>
    <t>B0QY74_MKL1</t>
  </si>
  <si>
    <t>B0QYI3_TBC1D22A</t>
  </si>
  <si>
    <t>B0S8A9_FLOT1</t>
  </si>
  <si>
    <t>B0UX83_BAG6</t>
  </si>
  <si>
    <t>B0UZY3_EHMT2</t>
  </si>
  <si>
    <t>B1AHQ7_CENPM</t>
  </si>
  <si>
    <t>B1AJY7_PSMD10</t>
  </si>
  <si>
    <t>B1AK13_HMGCL</t>
  </si>
  <si>
    <t>B1AKC7_RASAL2</t>
  </si>
  <si>
    <t>B1AKL4_EIF4ENIF1</t>
  </si>
  <si>
    <t>B1AKN7_NFIA</t>
  </si>
  <si>
    <t>B1AL69_CDC37L1</t>
  </si>
  <si>
    <t>B1AMU7_EXOSC1</t>
  </si>
  <si>
    <t>B1AN99_PRSS3</t>
  </si>
  <si>
    <t>B1ANH0_GUK1</t>
  </si>
  <si>
    <t>B1N949_PPFIA4</t>
  </si>
  <si>
    <t>B2R5P6_TXNRD1</t>
  </si>
  <si>
    <t>B2RTY4-5_MYO9A</t>
  </si>
  <si>
    <t>B3KNQ0_CCDC92</t>
  </si>
  <si>
    <t>B3KP87_MDS025</t>
  </si>
  <si>
    <t>B3KRS5_HDAC2</t>
  </si>
  <si>
    <t>B3KSI9_LZTFL1</t>
  </si>
  <si>
    <t>B3KUK2_SOD2</t>
  </si>
  <si>
    <t>B3KVH8_PHF23</t>
  </si>
  <si>
    <t>B3KVZ3_CENPH</t>
  </si>
  <si>
    <t>B3KWN8_PYROXD1</t>
  </si>
  <si>
    <t>B3KY83_RXRA</t>
  </si>
  <si>
    <t>B4DDF4_CNN2</t>
  </si>
  <si>
    <t>B4DDF9_ANXA4</t>
  </si>
  <si>
    <t>B4DDY8_HARS2</t>
  </si>
  <si>
    <t>B4DDZ0_MON1B</t>
  </si>
  <si>
    <t>B4DEK4_SNX2</t>
  </si>
  <si>
    <t>B4DGU4_CTNNB1</t>
  </si>
  <si>
    <t>B4DGX2_PIP4K2A</t>
  </si>
  <si>
    <t>B4DH42_HECW1</t>
  </si>
  <si>
    <t>B4DH53_MAP1S</t>
  </si>
  <si>
    <t>B4DJ25_NCOR1</t>
  </si>
  <si>
    <t>B4DJA5_RAB5A</t>
  </si>
  <si>
    <t>B4DJP7_SNRPD3</t>
  </si>
  <si>
    <t>B4DJV2_CS</t>
  </si>
  <si>
    <t>B4DJV5_PWP1</t>
  </si>
  <si>
    <t>B4DKF9_ZNF286A</t>
  </si>
  <si>
    <t>B4DKL4_LSR</t>
  </si>
  <si>
    <t>B4DL05_SHQ1</t>
  </si>
  <si>
    <t>B4DL14_ATP5C1</t>
  </si>
  <si>
    <t>B4DL54_CHURC1-FNTB</t>
  </si>
  <si>
    <t>B4DLE8_CRYBG3</t>
  </si>
  <si>
    <t>B4DLW8_DDX5</t>
  </si>
  <si>
    <t>B4DLZ9_RNF220</t>
  </si>
  <si>
    <t>B4DNX9_ZNF460</t>
  </si>
  <si>
    <t>B4DP21_PTGES3</t>
  </si>
  <si>
    <t>B4DPR4_MKRN2</t>
  </si>
  <si>
    <t>B4DPY5_SNX11</t>
  </si>
  <si>
    <t>B4DPY8_TOX4</t>
  </si>
  <si>
    <t>B4DQ14_EIF2A</t>
  </si>
  <si>
    <t>B4DQE7_HDAC8</t>
  </si>
  <si>
    <t>B4DQH9_RANBP10</t>
  </si>
  <si>
    <t>B4DQI6_TRA2A</t>
  </si>
  <si>
    <t>B4DQJ8_PGD</t>
  </si>
  <si>
    <t>B4DRL9_CHM</t>
  </si>
  <si>
    <t>B4DRM7_SIMC1</t>
  </si>
  <si>
    <t>B4DT77_ANXA7</t>
  </si>
  <si>
    <t>B4DTU4_LIG1</t>
  </si>
  <si>
    <t>B4DV96_RBKS</t>
  </si>
  <si>
    <t>B4DVE7_ANXA11</t>
  </si>
  <si>
    <t>B4DVY1_EIF3D</t>
  </si>
  <si>
    <t>B4DWW1_ARL1</t>
  </si>
  <si>
    <t>B4DX32_KIN</t>
  </si>
  <si>
    <t>B4DXZ6_FXR1</t>
  </si>
  <si>
    <t>B4DYB4_NUP35</t>
  </si>
  <si>
    <t>B4DZH6_HDAC6</t>
  </si>
  <si>
    <t>B4E0G4_PHF6</t>
  </si>
  <si>
    <t>B4E0T7_LRCH3</t>
  </si>
  <si>
    <t>B4E1K7_STOML2</t>
  </si>
  <si>
    <t>B4E1M0_MSANTD2</t>
  </si>
  <si>
    <t>B4E1N6_RAF1</t>
  </si>
  <si>
    <t>B4E1Q4_RIOK3</t>
  </si>
  <si>
    <t>B4E241_SFRS3</t>
  </si>
  <si>
    <t>B4E2S7_LAMP2</t>
  </si>
  <si>
    <t>B4E2W0_HADHB</t>
  </si>
  <si>
    <t>B4E2X3_METTL13</t>
  </si>
  <si>
    <t>B5MCF9_PES1</t>
  </si>
  <si>
    <t>B5MCT7_PPM1F</t>
  </si>
  <si>
    <t>B5MCU0_R3HDM2</t>
  </si>
  <si>
    <t>B5MEB3_CABIN1</t>
  </si>
  <si>
    <t>B7WP27_CWC22</t>
  </si>
  <si>
    <t>B7Z254_PDIA6</t>
  </si>
  <si>
    <t>B7Z2G1_KLHL22</t>
  </si>
  <si>
    <t>B7Z2S5_TXNRD1</t>
  </si>
  <si>
    <t>B7Z2T3_TTC26</t>
  </si>
  <si>
    <t>B7Z2X9_ENO2</t>
  </si>
  <si>
    <t>B7Z2Y2_COG2</t>
  </si>
  <si>
    <t>B7Z367_ZNF346</t>
  </si>
  <si>
    <t>B7Z3I9_ALAD</t>
  </si>
  <si>
    <t>B7Z3P1_TBCE</t>
  </si>
  <si>
    <t>B7Z3Y2_PCYOX1</t>
  </si>
  <si>
    <t>B7Z4K6_DNASE2</t>
  </si>
  <si>
    <t>B7Z4R0_ERF</t>
  </si>
  <si>
    <t>B7Z5G4_STMN3</t>
  </si>
  <si>
    <t>B7Z652_RPL7L1</t>
  </si>
  <si>
    <t>B7Z6B8_DECR1</t>
  </si>
  <si>
    <t>B7Z6J6_TRIML2</t>
  </si>
  <si>
    <t>B7Z755_MLLT3</t>
  </si>
  <si>
    <t>B7Z7J3_AMN1</t>
  </si>
  <si>
    <t>B7Z7U4_NTRK3</t>
  </si>
  <si>
    <t>B7Z815_USP7</t>
  </si>
  <si>
    <t>B7Z848_RFX5</t>
  </si>
  <si>
    <t>B7Z9U0_CNOT8</t>
  </si>
  <si>
    <t>B7Z9X4_NDRG4</t>
  </si>
  <si>
    <t>B7ZAX5_GALK2</t>
  </si>
  <si>
    <t>B7ZKK9_PPP2R5E</t>
  </si>
  <si>
    <t>B7ZKP8_UBXN2A</t>
  </si>
  <si>
    <t>B7ZKT6_SOS2</t>
  </si>
  <si>
    <t>B7ZLQ8_CPEB4</t>
  </si>
  <si>
    <t>B7ZM82_WIZ</t>
  </si>
  <si>
    <t>B8X2Z3_RLTPR</t>
  </si>
  <si>
    <t>B8ZZF8_LSM5</t>
  </si>
  <si>
    <t>B8ZZJ9_EIF4E2</t>
  </si>
  <si>
    <t>B8ZZK4_RPL31</t>
  </si>
  <si>
    <t>B8ZZQ6_PTMA</t>
  </si>
  <si>
    <t>B8ZZT4_VAMP8</t>
  </si>
  <si>
    <t>B9A018_USP39</t>
  </si>
  <si>
    <t>B9A047_ASB1</t>
  </si>
  <si>
    <t>C4AMC7_WASH3P</t>
  </si>
  <si>
    <t>C9IZE4_PSMD6</t>
  </si>
  <si>
    <t>C9J0I9_ZC3HC1</t>
  </si>
  <si>
    <t>C9J0J7_PFN2</t>
  </si>
  <si>
    <t>C9J0K6_SRI</t>
  </si>
  <si>
    <t>C9J0V9_ZNF655</t>
  </si>
  <si>
    <t>C9J191_KLHL22</t>
  </si>
  <si>
    <t>C9J212_UBE2F</t>
  </si>
  <si>
    <t>C9J2U0_CCNE1</t>
  </si>
  <si>
    <t>C9J2Y9_POLR2B</t>
  </si>
  <si>
    <t>C9J366_IQCJ-SCHIP1</t>
  </si>
  <si>
    <t>C9J384_CMSS1</t>
  </si>
  <si>
    <t>C9J406_IMMT</t>
  </si>
  <si>
    <t>C9J4W5_EIF5A2</t>
  </si>
  <si>
    <t>C9J5C3_PDCD10</t>
  </si>
  <si>
    <t>C9J5X1_IGF1R</t>
  </si>
  <si>
    <t>C9J5X9_FANCB</t>
  </si>
  <si>
    <t>C9J710_CEP70</t>
  </si>
  <si>
    <t>C9J712_PFN2</t>
  </si>
  <si>
    <t>C9J718_KRIT1</t>
  </si>
  <si>
    <t>C9J7H8_LDHB</t>
  </si>
  <si>
    <t>C9J9K3_RPSA</t>
  </si>
  <si>
    <t>C9JA69_BBX</t>
  </si>
  <si>
    <t>C9JAX1_FXN</t>
  </si>
  <si>
    <t>C9JB13_BSDC1</t>
  </si>
  <si>
    <t>C9JBM0_NFE2L2</t>
  </si>
  <si>
    <t>C9JCN8_FOSL2</t>
  </si>
  <si>
    <t>C9JDG0_DIAPH3</t>
  </si>
  <si>
    <t>C9JE98_NCOR2</t>
  </si>
  <si>
    <t>C9JEV0_AZGP1</t>
  </si>
  <si>
    <t>C9JEZ4_CDC42EP3</t>
  </si>
  <si>
    <t>C9JF58_OSCP1</t>
  </si>
  <si>
    <t>C9JFE4_GPS1</t>
  </si>
  <si>
    <t>C9JFK9_BAG3</t>
  </si>
  <si>
    <t>C9JG15_ATAD2B</t>
  </si>
  <si>
    <t>C9JG87_MRPL39</t>
  </si>
  <si>
    <t>C9JG97_AAMP</t>
  </si>
  <si>
    <t>C9JIS1_GNB2</t>
  </si>
  <si>
    <t>C9JKT3_PDK1</t>
  </si>
  <si>
    <t>C9JLU1_POLR2H</t>
  </si>
  <si>
    <t>C9JLV4_APAF1</t>
  </si>
  <si>
    <t>C9JMH6_SERPINF2</t>
  </si>
  <si>
    <t>C9JNE2_OARD1</t>
  </si>
  <si>
    <t>C9JNI7_HSPBP1</t>
  </si>
  <si>
    <t>C9JNT3_GSTK1</t>
  </si>
  <si>
    <t>C9JNU9_USP4</t>
  </si>
  <si>
    <t>C9JP00_MBNL1</t>
  </si>
  <si>
    <t>C9JP16_CRTAP</t>
  </si>
  <si>
    <t>C9JPC9_USP42</t>
  </si>
  <si>
    <t>C9JPP2_NKIRAS2</t>
  </si>
  <si>
    <t>C9JQ41_CCDC58</t>
  </si>
  <si>
    <t>C9JQB1_NME6</t>
  </si>
  <si>
    <t>C9JQQ5_ATL2</t>
  </si>
  <si>
    <t>C9JQV0_C7orf50</t>
  </si>
  <si>
    <t>C9JQV3_STK11IP</t>
  </si>
  <si>
    <t>C9JRV0_RNF13</t>
  </si>
  <si>
    <t>C9JRZ8-2_AKR1B15</t>
  </si>
  <si>
    <t>C9JW69_RCC1</t>
  </si>
  <si>
    <t>C9JWL4_AP4M1</t>
  </si>
  <si>
    <t>C9JXB8_RPL24</t>
  </si>
  <si>
    <t>C9JXK0_LBR</t>
  </si>
  <si>
    <t>C9JXK9_LPP</t>
  </si>
  <si>
    <t>C9JYM0_POP7</t>
  </si>
  <si>
    <t>C9JYP6_</t>
  </si>
  <si>
    <t>C9JYQ9_RPL22L1</t>
  </si>
  <si>
    <t>C9JYY6_NRCAM</t>
  </si>
  <si>
    <t>C9JZY6_UBE2H</t>
  </si>
  <si>
    <t>D3DQV9_EIF4G2</t>
  </si>
  <si>
    <t>D3DUE0_FAM100A</t>
  </si>
  <si>
    <t>D3DUE4_ANKS3</t>
  </si>
  <si>
    <t>D3K174_SLC4A7</t>
  </si>
  <si>
    <t>D3YHP0_CXADR</t>
  </si>
  <si>
    <t>D3YTB1_RPL32</t>
  </si>
  <si>
    <t>D3YTE0_KRI1</t>
  </si>
  <si>
    <t>D3YTG6_NDOR1</t>
  </si>
  <si>
    <t>D6R966_CXXC5</t>
  </si>
  <si>
    <t>D6R992_RELB</t>
  </si>
  <si>
    <t>D6R9D6_RBM47</t>
  </si>
  <si>
    <t>D6R9U7_POLR3G</t>
  </si>
  <si>
    <t>D6R9V3_CC2D2A</t>
  </si>
  <si>
    <t>D6RB01_FAM169A</t>
  </si>
  <si>
    <t>D6RBC4_ZBTB38</t>
  </si>
  <si>
    <t>D6RBN5_OCIAD1</t>
  </si>
  <si>
    <t>D6RBV2_LMAN2</t>
  </si>
  <si>
    <t>D6RC23_PACRGL</t>
  </si>
  <si>
    <t>D6RC56_AADAT</t>
  </si>
  <si>
    <t>D6RDG4_POC5</t>
  </si>
  <si>
    <t>D6RDM1_CCDC111</t>
  </si>
  <si>
    <t>D6RDX3_ATG10</t>
  </si>
  <si>
    <t>D6REA0_PET112</t>
  </si>
  <si>
    <t>D6REX3_SEC31A</t>
  </si>
  <si>
    <t>D6RGI3_SEPT11</t>
  </si>
  <si>
    <t>D6RHC4_ANKHD1</t>
  </si>
  <si>
    <t>D6RHD3_CENPK</t>
  </si>
  <si>
    <t>D6RHI7_CCNH</t>
  </si>
  <si>
    <t>D6RHI9_RNASET2</t>
  </si>
  <si>
    <t>D6RHJ6_IGJ</t>
  </si>
  <si>
    <t>D6RJ90_COMMD10</t>
  </si>
  <si>
    <t>D6W5P0_DMTF1</t>
  </si>
  <si>
    <t>E2QRD4_MMS22L</t>
  </si>
  <si>
    <t>E2QRD5_C15orf38-AP3S2</t>
  </si>
  <si>
    <t>E2QRF9_GMNN</t>
  </si>
  <si>
    <t>E5RFJ1_NSMCE2</t>
  </si>
  <si>
    <t>E5RG13_IMPA1</t>
  </si>
  <si>
    <t>E5RGQ3_RWDD1</t>
  </si>
  <si>
    <t>E5RGX5_STMN2</t>
  </si>
  <si>
    <t>E5RHG8_TCEB1</t>
  </si>
  <si>
    <t>E5RIH5_TTI2</t>
  </si>
  <si>
    <t>E5RJ29_PSD3</t>
  </si>
  <si>
    <t>E5RJ52_AP3M2</t>
  </si>
  <si>
    <t>E5RJ99_ZFAND1</t>
  </si>
  <si>
    <t>E5RJR5_SKP1</t>
  </si>
  <si>
    <t>E5RJU9_MTDH</t>
  </si>
  <si>
    <t>E7EM64_COPS6</t>
  </si>
  <si>
    <t>E7EMB8_PTPN18</t>
  </si>
  <si>
    <t>E7EMC3_EPN2</t>
  </si>
  <si>
    <t>E7EMM4_ASAH1</t>
  </si>
  <si>
    <t>E7EMW7_UBR5</t>
  </si>
  <si>
    <t>E7EMZ9_TACC2</t>
  </si>
  <si>
    <t>E7EN68_SETMAR</t>
  </si>
  <si>
    <t>E7ENA9_NCSTN</t>
  </si>
  <si>
    <t>E7ENK0_CALCOCO2</t>
  </si>
  <si>
    <t>E7EP86_</t>
  </si>
  <si>
    <t>E7EPB3_RPL14</t>
  </si>
  <si>
    <t>E7EPD0_TOM1</t>
  </si>
  <si>
    <t>E7EPI0_IBTK</t>
  </si>
  <si>
    <t>E7EPL4_PDXDC1</t>
  </si>
  <si>
    <t>E7EPS8_PTPRM</t>
  </si>
  <si>
    <t>E7EQ69_NAA50</t>
  </si>
  <si>
    <t>E7EQT4_ACIN1</t>
  </si>
  <si>
    <t>E7EQY4_MTA3</t>
  </si>
  <si>
    <t>E7ER32_MKL1</t>
  </si>
  <si>
    <t>E7ER68_FAM91A1</t>
  </si>
  <si>
    <t>E7ERB7_GMIP</t>
  </si>
  <si>
    <t>E7ERL6_MAST2</t>
  </si>
  <si>
    <t>E7ERR0_KLHDC3</t>
  </si>
  <si>
    <t>E7ES08_HMGB3</t>
  </si>
  <si>
    <t>E7ES35_TTC38</t>
  </si>
  <si>
    <t>E7ESD5_EYA4</t>
  </si>
  <si>
    <t>E7ET15_U2SURP</t>
  </si>
  <si>
    <t>E7ET33_ITIH3</t>
  </si>
  <si>
    <t>E7ET89_DTX2</t>
  </si>
  <si>
    <t>E7ET96_TNIP1</t>
  </si>
  <si>
    <t>E7ETR5_ACSM3</t>
  </si>
  <si>
    <t>E7ETU5_RBMS1</t>
  </si>
  <si>
    <t>E7ETU9_PLOD2</t>
  </si>
  <si>
    <t>E7ETZ4_BZW2</t>
  </si>
  <si>
    <t>E7EU35_PITPNC1</t>
  </si>
  <si>
    <t>E7EU96_CSNK2A1</t>
  </si>
  <si>
    <t>E7EUC6_NAV3</t>
  </si>
  <si>
    <t>E7EUI8_G6PD</t>
  </si>
  <si>
    <t>E7EUM5_NUP54</t>
  </si>
  <si>
    <t>E7EUU4_EIF4G1</t>
  </si>
  <si>
    <t>E7EUY3_PCCB</t>
  </si>
  <si>
    <t>E7EV62_ARFGAP1</t>
  </si>
  <si>
    <t>E7EVA0_MAP4</t>
  </si>
  <si>
    <t>E7EVG6_PPRC1</t>
  </si>
  <si>
    <t>E7EVH9_HDHD1</t>
  </si>
  <si>
    <t>E7EVJ5_CYFIP2</t>
  </si>
  <si>
    <t>E7EVY7_POR</t>
  </si>
  <si>
    <t>E7EVZ3_RAI1</t>
  </si>
  <si>
    <t>E7EW69_SEPT10</t>
  </si>
  <si>
    <t>E7EW80_PPIL2</t>
  </si>
  <si>
    <t>E7EW84_EXOC6</t>
  </si>
  <si>
    <t>E7EWC2_IQGAP2</t>
  </si>
  <si>
    <t>E7EX44_CALD1</t>
  </si>
  <si>
    <t>E7EX48_NEK4</t>
  </si>
  <si>
    <t>E7EX73_EIF4G1</t>
  </si>
  <si>
    <t>E7EX87_SARS2</t>
  </si>
  <si>
    <t>E9PAU2_RAVER1</t>
  </si>
  <si>
    <t>E9PAV9_GPATCH4</t>
  </si>
  <si>
    <t>E9PAX8_PPHLN1</t>
  </si>
  <si>
    <t>E9PB14_PDHX</t>
  </si>
  <si>
    <t>E9PB61_ALYREF</t>
  </si>
  <si>
    <t>E9PB90_HK2</t>
  </si>
  <si>
    <t>E9PBS1_PAICS</t>
  </si>
  <si>
    <t>E9PC26_BUB1</t>
  </si>
  <si>
    <t>E9PC74_EIF2B5</t>
  </si>
  <si>
    <t>E9PCH4_FNIP1</t>
  </si>
  <si>
    <t>E9PCX8_TNS3</t>
  </si>
  <si>
    <t>E9PD90_CKAP2</t>
  </si>
  <si>
    <t>E9PDK2_UNKL</t>
  </si>
  <si>
    <t>E9PDP5_ANKHD1</t>
  </si>
  <si>
    <t>E9PE82_ACADS</t>
  </si>
  <si>
    <t>E9PEG3_AR</t>
  </si>
  <si>
    <t>E9PEK0_HMGXB3</t>
  </si>
  <si>
    <t>E9PER6_PDPK1</t>
  </si>
  <si>
    <t>E9PEZ3_DIAPH1</t>
  </si>
  <si>
    <t>E9PF10_NUP155</t>
  </si>
  <si>
    <t>E9PF16_ACSF2</t>
  </si>
  <si>
    <t>E9PF99_CEP192</t>
  </si>
  <si>
    <t>E9PFR3_PPP2R5D</t>
  </si>
  <si>
    <t>E9PFU9_ZFAND2B</t>
  </si>
  <si>
    <t>E9PG22_CEP97</t>
  </si>
  <si>
    <t>E9PG40_APP</t>
  </si>
  <si>
    <t>E9PGF5_TNS1</t>
  </si>
  <si>
    <t>E9PGT1_TSN</t>
  </si>
  <si>
    <t>E9PGW7_MED22</t>
  </si>
  <si>
    <t>E9PH29_PRDX3</t>
  </si>
  <si>
    <t>E9PHK0_CLEC3B</t>
  </si>
  <si>
    <t>E9PHM2_LARS2</t>
  </si>
  <si>
    <t>E9PHV5_SSFA2</t>
  </si>
  <si>
    <t>E9PIB1_HLA-DQB1</t>
  </si>
  <si>
    <t>E9PJ04_SF3B2</t>
  </si>
  <si>
    <t>E9PJ24_PHRF1</t>
  </si>
  <si>
    <t>E9PJ81_UBXN1</t>
  </si>
  <si>
    <t>E9PJD7_CYHR1</t>
  </si>
  <si>
    <t>E9PJF5_BRMS1</t>
  </si>
  <si>
    <t>E9PJK4_ARHGAP42</t>
  </si>
  <si>
    <t>E9PJN1_RPS6KA4</t>
  </si>
  <si>
    <t>E9PJP2_SOGA3</t>
  </si>
  <si>
    <t>E9PJV3_RPUSD4</t>
  </si>
  <si>
    <t>E9PKD1_TOR1AIP1</t>
  </si>
  <si>
    <t>E9PKG1_PRMT1</t>
  </si>
  <si>
    <t>E9PKV8_TTC9C</t>
  </si>
  <si>
    <t>E9PL10_BTF3L4</t>
  </si>
  <si>
    <t>E9PL22_HYOU1</t>
  </si>
  <si>
    <t>E9PL24_PDE4DIP</t>
  </si>
  <si>
    <t>E9PL57_NEDD8-MDP1</t>
  </si>
  <si>
    <t>E9PLD2_MTFR1L</t>
  </si>
  <si>
    <t>E9PLD3_</t>
  </si>
  <si>
    <t>E9PLK3_NPEPPS</t>
  </si>
  <si>
    <t>E9PLL6_RPL27A</t>
  </si>
  <si>
    <t>E9PLX2_RNF141</t>
  </si>
  <si>
    <t>E9PLY5_MACF1</t>
  </si>
  <si>
    <t>E9PM46_USP47</t>
  </si>
  <si>
    <t>E9PM92_C11orf58</t>
  </si>
  <si>
    <t>E9PMB9_ME3</t>
  </si>
  <si>
    <t>E9PMH5_BIRC2</t>
  </si>
  <si>
    <t>E9PMI6_CLNS1A</t>
  </si>
  <si>
    <t>E9PMJ2_FAM118B</t>
  </si>
  <si>
    <t>E9PMQ6_HSF1</t>
  </si>
  <si>
    <t>E9PMS6_LMO7</t>
  </si>
  <si>
    <t>E9PN20_ZNF595</t>
  </si>
  <si>
    <t>E9PNJ4_STIM1</t>
  </si>
  <si>
    <t>E9PNW4_CD59</t>
  </si>
  <si>
    <t>E9PQ47_ZFPL1</t>
  </si>
  <si>
    <t>E9PR30_FAU</t>
  </si>
  <si>
    <t>E9PR76_MAF1</t>
  </si>
  <si>
    <t>E9PRI4_RPS6KA1</t>
  </si>
  <si>
    <t>E9PS84_</t>
  </si>
  <si>
    <t>E9PSF2_STIL</t>
  </si>
  <si>
    <t>E9PSH2_CD55</t>
  </si>
  <si>
    <t>F2Z2V1_FGGY</t>
  </si>
  <si>
    <t>F2Z2X4_XPO4</t>
  </si>
  <si>
    <t>F2ZC08_TRIP6i3</t>
  </si>
  <si>
    <t>F5GWA7_PHB2</t>
  </si>
  <si>
    <t>F5GWD3_GTF2H3</t>
  </si>
  <si>
    <t>F5GWF3_C1RL</t>
  </si>
  <si>
    <t>F5GWI9_CCDC53</t>
  </si>
  <si>
    <t>F5GWN5_PIK3C2B</t>
  </si>
  <si>
    <t>F5GWP8_JUP</t>
  </si>
  <si>
    <t>F5GWT4_WNK1</t>
  </si>
  <si>
    <t>F5GWU7_SMAD5</t>
  </si>
  <si>
    <t>F5GX09_FAM76B</t>
  </si>
  <si>
    <t>F5GX82_FRYL</t>
  </si>
  <si>
    <t>F5GXC8_SUCLA2</t>
  </si>
  <si>
    <t>F5GXC9_LTBP4</t>
  </si>
  <si>
    <t>F5GXE4_ATE1</t>
  </si>
  <si>
    <t>F5GXE7_LTBR</t>
  </si>
  <si>
    <t>F5GXQ1_ITIH4</t>
  </si>
  <si>
    <t>F5GXS0_C4B</t>
  </si>
  <si>
    <t>F5GXY5_SASS6</t>
  </si>
  <si>
    <t>F5GY03_SPARC</t>
  </si>
  <si>
    <t>F5GY11_STARD10</t>
  </si>
  <si>
    <t>F5GYE8_CEP112</t>
  </si>
  <si>
    <t>F5GYJ5_</t>
  </si>
  <si>
    <t>F5GYK4_TK2</t>
  </si>
  <si>
    <t>F5GZ78_PXN</t>
  </si>
  <si>
    <t>F5GZ90_DTL</t>
  </si>
  <si>
    <t>F5GZY0_APLP2</t>
  </si>
  <si>
    <t>F5H012_TRIM21</t>
  </si>
  <si>
    <t>F5H0B0_TPD52</t>
  </si>
  <si>
    <t>F5H0C4_PAAF1</t>
  </si>
  <si>
    <t>F5H0I7_TDG</t>
  </si>
  <si>
    <t>F5H0K8_KSR1</t>
  </si>
  <si>
    <t>F5H0L8_SEC23IP</t>
  </si>
  <si>
    <t>F5H0Q6_CLASRP</t>
  </si>
  <si>
    <t>F5H148_RRN3</t>
  </si>
  <si>
    <t>F5H199_MSRB3</t>
  </si>
  <si>
    <t>F5H1D6_POLE</t>
  </si>
  <si>
    <t>F5H1L4_TXNRD2</t>
  </si>
  <si>
    <t>F5H1N7_KIAA1211</t>
  </si>
  <si>
    <t>F5H1R7_FLJ22184</t>
  </si>
  <si>
    <t>F5H2A0_C12orf43</t>
  </si>
  <si>
    <t>F5H2E3_OPHN1</t>
  </si>
  <si>
    <t>F5H2H5_ANKLE2</t>
  </si>
  <si>
    <t>F5H2Q7_KIAA1715</t>
  </si>
  <si>
    <t>F5H2U2_PRPF4B</t>
  </si>
  <si>
    <t>F5H2U8_HMGA2</t>
  </si>
  <si>
    <t>F5H2X0_TJP3</t>
  </si>
  <si>
    <t>F5H315_XAB2</t>
  </si>
  <si>
    <t>F5H365_SEC23A</t>
  </si>
  <si>
    <t>F5H476_ANGEL2</t>
  </si>
  <si>
    <t>F5H4B1_PRAME</t>
  </si>
  <si>
    <t>F5H4G7_KPNA6</t>
  </si>
  <si>
    <t>F5H4J2_PEX14</t>
  </si>
  <si>
    <t>F5H4Q5_VPS37C</t>
  </si>
  <si>
    <t>F5H4V9_PDCD2</t>
  </si>
  <si>
    <t>F5H4W9_PON1</t>
  </si>
  <si>
    <t>F5H555_CASC1</t>
  </si>
  <si>
    <t>F5H5K5_</t>
  </si>
  <si>
    <t>F5H5M7_IFNGR1</t>
  </si>
  <si>
    <t>F5H5X7_CLEC4E</t>
  </si>
  <si>
    <t>F5H604_CLASP2</t>
  </si>
  <si>
    <t>F5H629_ATF2</t>
  </si>
  <si>
    <t>F5H6C2_IFT88</t>
  </si>
  <si>
    <t>F5H6I7_ATL3</t>
  </si>
  <si>
    <t>F5H6S1_KDM6A</t>
  </si>
  <si>
    <t>F5H6Z0_CDK17</t>
  </si>
  <si>
    <t>F5H702_MRPL48</t>
  </si>
  <si>
    <t>F5H721_WBP11</t>
  </si>
  <si>
    <t>F5H780_TXNRD1</t>
  </si>
  <si>
    <t>F5H7X9_ANKS6</t>
  </si>
  <si>
    <t>F5H801_OGDH</t>
  </si>
  <si>
    <t>F5H860_INPP4A</t>
  </si>
  <si>
    <t>F5H897_TRAP1</t>
  </si>
  <si>
    <t>F5H8E6_WDR20</t>
  </si>
  <si>
    <t>F5H8H2_MVK</t>
  </si>
  <si>
    <t>F5H8H4_POGZ</t>
  </si>
  <si>
    <t>F6TQG2_SMARCA1</t>
  </si>
  <si>
    <t>F6U1T9_PPP3R1</t>
  </si>
  <si>
    <t>F6UYM1_RPS6KB1</t>
  </si>
  <si>
    <t>F6V707_TPD52L1</t>
  </si>
  <si>
    <t>F6XY72_NME2</t>
  </si>
  <si>
    <t>F8VPD4_CAD</t>
  </si>
  <si>
    <t>F8VQZ7_METAP2</t>
  </si>
  <si>
    <t>F8VRH0_PCBP2</t>
  </si>
  <si>
    <t>F8VS47_NEK3</t>
  </si>
  <si>
    <t>F8VSL3_NFYB</t>
  </si>
  <si>
    <t>F8VSZ4_PLXNA1</t>
  </si>
  <si>
    <t>F8VUA7_OSBPL8</t>
  </si>
  <si>
    <t>F8VV59_NAP1L1</t>
  </si>
  <si>
    <t>F8VV64_TENC1</t>
  </si>
  <si>
    <t>F8VVK7_MBD6</t>
  </si>
  <si>
    <t>F8VWA6_MON2</t>
  </si>
  <si>
    <t>F8VWL3_FGD4</t>
  </si>
  <si>
    <t>F8VXG7_SCAF11</t>
  </si>
  <si>
    <t>F8VXY3_OAS1</t>
  </si>
  <si>
    <t>F8VY35_NAP1L1</t>
  </si>
  <si>
    <t>F8VYK9_IGFBP6</t>
  </si>
  <si>
    <t>F8VYY5_DNAJC14</t>
  </si>
  <si>
    <t>F8VZJ2_NACA</t>
  </si>
  <si>
    <t>F8W038_C17orf49</t>
  </si>
  <si>
    <t>F8W052_TROAP</t>
  </si>
  <si>
    <t>F8W181_RPL6</t>
  </si>
  <si>
    <t>F8W1B9_YEATS4</t>
  </si>
  <si>
    <t>F8W1F5_FMNL3</t>
  </si>
  <si>
    <t>F8W1T6_RBMS2</t>
  </si>
  <si>
    <t>F8W648_PLEKHM1</t>
  </si>
  <si>
    <t>F8W6D7_CBFA2T2</t>
  </si>
  <si>
    <t>F8W6I7_HNRNPA1</t>
  </si>
  <si>
    <t>F8W6X8_RASA3</t>
  </si>
  <si>
    <t>F8W717_EML1</t>
  </si>
  <si>
    <t>F8W785_GOLIM4</t>
  </si>
  <si>
    <t>F8W7U8_MRE11A</t>
  </si>
  <si>
    <t>F8W8C2_VEZT</t>
  </si>
  <si>
    <t>F8W8H5_RAB24</t>
  </si>
  <si>
    <t>F8W8I6_TIA1</t>
  </si>
  <si>
    <t>F8W8K9_AP1S3</t>
  </si>
  <si>
    <t>F8W8M4_ABLIM1</t>
  </si>
  <si>
    <t>F8W8T8_ACACB</t>
  </si>
  <si>
    <t>F8W9F9_WNK2</t>
  </si>
  <si>
    <t>F8W9Q9_LENG8</t>
  </si>
  <si>
    <t>F8W9X7_CCDC93</t>
  </si>
  <si>
    <t>F8WAK8_STAG2</t>
  </si>
  <si>
    <t>F8WAN4_FRMD4A</t>
  </si>
  <si>
    <t>F8WAS3_NDUFA5</t>
  </si>
  <si>
    <t>F8WB06_ATXN2</t>
  </si>
  <si>
    <t>F8WBK5_MRPL40</t>
  </si>
  <si>
    <t>F8WC89_SAC3D1</t>
  </si>
  <si>
    <t>F8WD19_DONSON</t>
  </si>
  <si>
    <t>F8WEG4_CBWD2</t>
  </si>
  <si>
    <t>F8WEG8_PRKRA</t>
  </si>
  <si>
    <t>F8WJN3_CPSF6</t>
  </si>
  <si>
    <t>G3V167_PARP2</t>
  </si>
  <si>
    <t>G3V1L9_TJP1</t>
  </si>
  <si>
    <t>G3V1P3_LOH12CR1</t>
  </si>
  <si>
    <t>G3V1R3_ZEB1</t>
  </si>
  <si>
    <t>G3V1R9_ISYNA1</t>
  </si>
  <si>
    <t>G3V1V0_MYL6</t>
  </si>
  <si>
    <t>G3V3A0_SERPINA3</t>
  </si>
  <si>
    <t>G3V3G9_DCAF8</t>
  </si>
  <si>
    <t>G3V3I4_NFKBIA</t>
  </si>
  <si>
    <t>G3V3R7_ATXN3</t>
  </si>
  <si>
    <t>G3V439_SIVA1</t>
  </si>
  <si>
    <t>G3V4J7_DCAF5</t>
  </si>
  <si>
    <t>G3V4W0_HNRNPC</t>
  </si>
  <si>
    <t>G3V529_DDX24</t>
  </si>
  <si>
    <t>G3V577_RPGRIP1</t>
  </si>
  <si>
    <t>G3V583_FAM177A1</t>
  </si>
  <si>
    <t>G3V599_CTAGE5</t>
  </si>
  <si>
    <t>G3V5T0_GSTZ1</t>
  </si>
  <si>
    <t>G3XAA0_ARID1B</t>
  </si>
  <si>
    <t>G3XAA2_MAP4K4</t>
  </si>
  <si>
    <t>G3XAF7_BCAS1</t>
  </si>
  <si>
    <t>G3XAH0_SEPT5</t>
  </si>
  <si>
    <t>G3XAI9_FAM133B</t>
  </si>
  <si>
    <t>G3XAJ6_RFTN1</t>
  </si>
  <si>
    <t>G3XAL9_SLC12A2</t>
  </si>
  <si>
    <t>G3XAM2_CFI</t>
  </si>
  <si>
    <t>G3XAN4_TRAM1</t>
  </si>
  <si>
    <t>G5E948_MAP4K4</t>
  </si>
  <si>
    <t>G5E979_ATG4A</t>
  </si>
  <si>
    <t>G5E9A6_USP11</t>
  </si>
  <si>
    <t>G5E9A7_DMWD</t>
  </si>
  <si>
    <t>G5E9C8_SOS1</t>
  </si>
  <si>
    <t>G5E9E7_TJP1</t>
  </si>
  <si>
    <t>G5E9I6_MAPRE2</t>
  </si>
  <si>
    <t>G5E9L9_DCLK2</t>
  </si>
  <si>
    <t>G5E9R3_RPL37A</t>
  </si>
  <si>
    <t>G5E9W7_MRPS22</t>
  </si>
  <si>
    <t>G5EA37_WIPI1</t>
  </si>
  <si>
    <t>G5EA42_TMOD2</t>
  </si>
  <si>
    <t>G5EA52_PDIA3</t>
  </si>
  <si>
    <t>G8JLA8_TGFBI</t>
  </si>
  <si>
    <t>G8JLB3_PUS1</t>
  </si>
  <si>
    <t>G8JLH2_CDC25B</t>
  </si>
  <si>
    <t>G8JLI5_WDR45</t>
  </si>
  <si>
    <t>G8JLK3_PACS2</t>
  </si>
  <si>
    <t>G8JLP2_C14orf159</t>
  </si>
  <si>
    <t>H0Y2S9_MPRIP</t>
  </si>
  <si>
    <t>H0Y3P2_EIF4G2</t>
  </si>
  <si>
    <t>H0Y3R8_TJP1</t>
  </si>
  <si>
    <t>H0Y412_PRRC2B</t>
  </si>
  <si>
    <t>H0Y4R1_IMPDH2</t>
  </si>
  <si>
    <t>H0Y4V9_LARP4B</t>
  </si>
  <si>
    <t>H0Y4W2_TRRAP</t>
  </si>
  <si>
    <t>H0Y5B0_EPB41L2</t>
  </si>
  <si>
    <t>H0Y5B5_PBRM1</t>
  </si>
  <si>
    <t>H0Y614_UFM1</t>
  </si>
  <si>
    <t>H0Y6A0_ARFGAP3</t>
  </si>
  <si>
    <t>H0Y6C3_PYCRL</t>
  </si>
  <si>
    <t>H0Y6F0_EFCAB2</t>
  </si>
  <si>
    <t>H0Y858_</t>
  </si>
  <si>
    <t>H0Y9S9_PPIP5K2</t>
  </si>
  <si>
    <t>H0Y9V2_UBE2B</t>
  </si>
  <si>
    <t>H0Y9Y2_BOD1L1</t>
  </si>
  <si>
    <t>H0YA59_STOX2</t>
  </si>
  <si>
    <t>H0YA61_RBM24</t>
  </si>
  <si>
    <t>H0YA68_MAN2B2</t>
  </si>
  <si>
    <t>H0YAI5_RNF4</t>
  </si>
  <si>
    <t>H0YAJ5_APBB2</t>
  </si>
  <si>
    <t>H0YAN8_ARHGEF10</t>
  </si>
  <si>
    <t>H0YBD4_GSR</t>
  </si>
  <si>
    <t>H0YCZ8_LETM2</t>
  </si>
  <si>
    <t>H0YDM5_SLC27A3</t>
  </si>
  <si>
    <t>H0YDP7_MRPL49</t>
  </si>
  <si>
    <t>H0YDQ3_LMO7</t>
  </si>
  <si>
    <t>H0YDQ8_CRTC2</t>
  </si>
  <si>
    <t>H0YDS0_UBQLN1</t>
  </si>
  <si>
    <t>H0YDU8_PPP5C</t>
  </si>
  <si>
    <t>H0YEB6_SSSCA1</t>
  </si>
  <si>
    <t>H0YEF3_RNASEH2C</t>
  </si>
  <si>
    <t>H0YEP0_KAT5</t>
  </si>
  <si>
    <t>H0YEP5_SMPD1</t>
  </si>
  <si>
    <t>H0YFI1_LAMTOR1</t>
  </si>
  <si>
    <t>H0YGR4_REXO2</t>
  </si>
  <si>
    <t>H0YI78_KIF21A</t>
  </si>
  <si>
    <t>H0YIQ8_KANSL2</t>
  </si>
  <si>
    <t>H0YJS3_FANCM</t>
  </si>
  <si>
    <t>H0YJZ4_STRN3</t>
  </si>
  <si>
    <t>H0YKH1_PBX1</t>
  </si>
  <si>
    <t>H0YL33_ANXA2</t>
  </si>
  <si>
    <t>H0YLB5_POU2F1</t>
  </si>
  <si>
    <t>H0YLF2_HMBOX1</t>
  </si>
  <si>
    <t>H0YLX2_RFX7</t>
  </si>
  <si>
    <t>H0YM51_CASC4</t>
  </si>
  <si>
    <t>H0YM91_T</t>
  </si>
  <si>
    <t>H0YMB3_GMPR2</t>
  </si>
  <si>
    <t>H0YMJ0_MORF4L1</t>
  </si>
  <si>
    <t>H0YMM4_ISG20</t>
  </si>
  <si>
    <t>H0YNA7_SPPL2A</t>
  </si>
  <si>
    <t>H0YNH6_EMC9</t>
  </si>
  <si>
    <t>H0YNH8_UACA</t>
  </si>
  <si>
    <t>H0YNU5_BLM</t>
  </si>
  <si>
    <t>H0YNX7_GCHFR</t>
  </si>
  <si>
    <t>H3BLU7_AKR7A2</t>
  </si>
  <si>
    <t>H3BM42_GLG1</t>
  </si>
  <si>
    <t>H3BM67_NOL3</t>
  </si>
  <si>
    <t>H3BMJ2_C15orf39</t>
  </si>
  <si>
    <t>H3BN72_COX4I1</t>
  </si>
  <si>
    <t>H3BND2_PRR14</t>
  </si>
  <si>
    <t>H3BNK2_LYRM1</t>
  </si>
  <si>
    <t>H3BNM4_INO80E</t>
  </si>
  <si>
    <t>H3BNT4_MPHOSPH6</t>
  </si>
  <si>
    <t>H3BNU9_CARHSP1</t>
  </si>
  <si>
    <t>H3BPB8_MPI</t>
  </si>
  <si>
    <t>H3BPE1_MACF1</t>
  </si>
  <si>
    <t>H3BPG5_RNPS1</t>
  </si>
  <si>
    <t>H3BPS8_ALDOA</t>
  </si>
  <si>
    <t>H3BPV0_MTSS1L</t>
  </si>
  <si>
    <t>H3BQA0_SNAPC5</t>
  </si>
  <si>
    <t>H3BQF6_</t>
  </si>
  <si>
    <t>H3BQV3_COG8</t>
  </si>
  <si>
    <t>H3BQZ7_hCG_2044799</t>
  </si>
  <si>
    <t>H3BRB6_ZNRF1</t>
  </si>
  <si>
    <t>H3BRF9_ZFYVE19</t>
  </si>
  <si>
    <t>H3BRL3_UBFD1</t>
  </si>
  <si>
    <t>H3BRS1_NFATC3</t>
  </si>
  <si>
    <t>H3BRV0_EIF3C</t>
  </si>
  <si>
    <t>H3BSC1_RAB11A</t>
  </si>
  <si>
    <t>H3BSL4_E4F1</t>
  </si>
  <si>
    <t>H3BST1_BLOC1S6</t>
  </si>
  <si>
    <t>H3BSW0_LRRC57</t>
  </si>
  <si>
    <t>H3BTB7_EARS2</t>
  </si>
  <si>
    <t>H3BTL1_MAP1LC3B</t>
  </si>
  <si>
    <t>H3BTN5_PKM</t>
  </si>
  <si>
    <t>H3BTX0_</t>
  </si>
  <si>
    <t>H3BU49_ARL2BP</t>
  </si>
  <si>
    <t>H3BUF6_ATXN2L</t>
  </si>
  <si>
    <t>H6UMI1_GABARAP</t>
  </si>
  <si>
    <t>H7BXG2_NPRL3</t>
  </si>
  <si>
    <t>H7BXH2_PPP6R3</t>
  </si>
  <si>
    <t>H7BXI1_ESYT2</t>
  </si>
  <si>
    <t>H7BY36_EWSR1</t>
  </si>
  <si>
    <t>H7BYY1_TPM1</t>
  </si>
  <si>
    <t>H7BYY2_BCOR</t>
  </si>
  <si>
    <t>H7BZJ3_PDIA3</t>
  </si>
  <si>
    <t>H7BZL0_MKI67IP</t>
  </si>
  <si>
    <t>H7C0D5_YIPF4</t>
  </si>
  <si>
    <t>H7C0G7_NHEJ1</t>
  </si>
  <si>
    <t>H7C0J3_CHD3</t>
  </si>
  <si>
    <t>H7C0S3_CDKN3</t>
  </si>
  <si>
    <t>H7C0S8_</t>
  </si>
  <si>
    <t>H7C107_IQSEC1</t>
  </si>
  <si>
    <t>H7C1U3_CC2D1B</t>
  </si>
  <si>
    <t>H7C284_MFSD6</t>
  </si>
  <si>
    <t>H7C293_MZT2B</t>
  </si>
  <si>
    <t>H7C2G2_ART4</t>
  </si>
  <si>
    <t>H7C2K6_EPB41L1</t>
  </si>
  <si>
    <t>H7C2Z6_GCA</t>
  </si>
  <si>
    <t>H7C331_SDCCAG3</t>
  </si>
  <si>
    <t>H7C3G6_MPRIP</t>
  </si>
  <si>
    <t>H7C3J6_SAMD11</t>
  </si>
  <si>
    <t>H7C3P4_GNS</t>
  </si>
  <si>
    <t>H7C4E7_CSDC2</t>
  </si>
  <si>
    <t>H7C4X9_ZMYND8</t>
  </si>
  <si>
    <t>H7C5A5_STIM2</t>
  </si>
  <si>
    <t>H7C5G1_IAH1</t>
  </si>
  <si>
    <t>H8Y6P7_GCOM1</t>
  </si>
  <si>
    <t>H9KV61_PWWP2B</t>
  </si>
  <si>
    <t>H9ZYI9_GABPB1</t>
  </si>
  <si>
    <t>I3L077_MYO15B</t>
  </si>
  <si>
    <t>I3L097_</t>
  </si>
  <si>
    <t>I3L0N3_NSF</t>
  </si>
  <si>
    <t>I3L121_CLUAP1</t>
  </si>
  <si>
    <t>I3L192_BSG</t>
  </si>
  <si>
    <t>I3L1B0_CNTROB</t>
  </si>
  <si>
    <t>I3L1H5_DPH1</t>
  </si>
  <si>
    <t>I3L1Q3_ELP5</t>
  </si>
  <si>
    <t>I3L2B0_CLUH</t>
  </si>
  <si>
    <t>I3L2C7_GEMIN4</t>
  </si>
  <si>
    <t>I3L2J0_CIC</t>
  </si>
  <si>
    <t>I3L2N2_DVL2</t>
  </si>
  <si>
    <t>I3L2Z5_MAZ</t>
  </si>
  <si>
    <t>I3L380_ABHD12</t>
  </si>
  <si>
    <t>I3L3P7_RPS15A</t>
  </si>
  <si>
    <t>I3L4B1_MYL4</t>
  </si>
  <si>
    <t>I3L4C3_SPAG7</t>
  </si>
  <si>
    <t>I3L4D1_ELMO3</t>
  </si>
  <si>
    <t>I3L4N8_ACTG1</t>
  </si>
  <si>
    <t>I3L4Q0_FAM195B</t>
  </si>
  <si>
    <t>I3L4X3_NFKBIB</t>
  </si>
  <si>
    <t>I3L505_NDUFAB1</t>
  </si>
  <si>
    <t>I6L8B7_FABP5</t>
  </si>
  <si>
    <t>I6L9B4_DNAJC24</t>
  </si>
  <si>
    <t>J3KMW7_UBR5</t>
  </si>
  <si>
    <t>J3KMX2_SMARCD2</t>
  </si>
  <si>
    <t>J3KMY5_NPC2</t>
  </si>
  <si>
    <t>J3KMZ7_INTS2</t>
  </si>
  <si>
    <t>J3KN10_PI4KA</t>
  </si>
  <si>
    <t>J3KN32_RCOR1</t>
  </si>
  <si>
    <t>J3KN33_CNTLN</t>
  </si>
  <si>
    <t>J3KN68_VGLL4</t>
  </si>
  <si>
    <t>J3KN75_TBC1D8B</t>
  </si>
  <si>
    <t>J3KNB8_MAP3K4</t>
  </si>
  <si>
    <t>J3KND1_SAAL1</t>
  </si>
  <si>
    <t>J3KNF4_CCS</t>
  </si>
  <si>
    <t>J3KNH7_SENP3</t>
  </si>
  <si>
    <t>J3KNK4_AP4S1</t>
  </si>
  <si>
    <t>J3KNL6_SEC16A</t>
  </si>
  <si>
    <t>J3KNL9_ZFYVE1</t>
  </si>
  <si>
    <t>J3KNN7_BRAP</t>
  </si>
  <si>
    <t>J3KNU8_ALDH6A1</t>
  </si>
  <si>
    <t>J3KNV5_INTS8</t>
  </si>
  <si>
    <t>J3KNZ9_FBRS</t>
  </si>
  <si>
    <t>J3KP15_SRSF2</t>
  </si>
  <si>
    <t>J3KP22_PTPRA</t>
  </si>
  <si>
    <t>J3KP75_PHACTR2</t>
  </si>
  <si>
    <t>J3KPS2_FAM83H</t>
  </si>
  <si>
    <t>J3KPU4_MYD88</t>
  </si>
  <si>
    <t>J3KPV7_MPST</t>
  </si>
  <si>
    <t>J3KQ34_COPS7B</t>
  </si>
  <si>
    <t>J3KQ72_FBXO6</t>
  </si>
  <si>
    <t>J3KQ98_PPP1R37</t>
  </si>
  <si>
    <t>J3KQG4_GBA</t>
  </si>
  <si>
    <t>J3KQS6_BABAM1</t>
  </si>
  <si>
    <t>J3KQT5_KCTD1</t>
  </si>
  <si>
    <t>J3KRL7_PER1</t>
  </si>
  <si>
    <t>J3KRP6_SS18</t>
  </si>
  <si>
    <t>J3KRR7_CYLD</t>
  </si>
  <si>
    <t>J3KS05_CBX1</t>
  </si>
  <si>
    <t>J3KS15_ICT1</t>
  </si>
  <si>
    <t>J3KTD6_AURKB</t>
  </si>
  <si>
    <t>J3QL56_SCO1</t>
  </si>
  <si>
    <t>J3QLD9_FLOT2</t>
  </si>
  <si>
    <t>J3QQJ0_SAP30BP</t>
  </si>
  <si>
    <t>J3QQJ5_TRAPPC8</t>
  </si>
  <si>
    <t>J3QQM5_LIMD2</t>
  </si>
  <si>
    <t>J3QQT2_RPL17</t>
  </si>
  <si>
    <t>J3QQW9_SUZ12</t>
  </si>
  <si>
    <t>J3QQX3_FDXR</t>
  </si>
  <si>
    <t>J3QQY0_MSL1</t>
  </si>
  <si>
    <t>J3QR09_RPL19</t>
  </si>
  <si>
    <t>J3QRC3_NAT9</t>
  </si>
  <si>
    <t>J3QRD1_ALDH3A2</t>
  </si>
  <si>
    <t>J3QRK2_hCG_1996301</t>
  </si>
  <si>
    <t>J3QRT4_ZSWIM7</t>
  </si>
  <si>
    <t>J3QRZ6_MIF4GD</t>
  </si>
  <si>
    <t>J3QS27_ZNF207</t>
  </si>
  <si>
    <t>J3QT87_CRBN</t>
  </si>
  <si>
    <t>J9JIC5_C17orf75</t>
  </si>
  <si>
    <t>J9JIE0_GPRC5C</t>
  </si>
  <si>
    <t>K4DI92_RWDD4</t>
  </si>
  <si>
    <t>K4DI93_CUL4B</t>
  </si>
  <si>
    <t>K7EIE8_MBD3</t>
  </si>
  <si>
    <t>K7EIG1_CLUH</t>
  </si>
  <si>
    <t>K7EIJ0_WBP2</t>
  </si>
  <si>
    <t>K7EIN2_NUDT16L1</t>
  </si>
  <si>
    <t>K7EIR0_WDR18</t>
  </si>
  <si>
    <t>K7EIU8_SMAD4</t>
  </si>
  <si>
    <t>K7EJ78_RPS15</t>
  </si>
  <si>
    <t>K7EJG0_hCG_27535</t>
  </si>
  <si>
    <t>K7EJH0_SPC24</t>
  </si>
  <si>
    <t>K7EK07_H3F3B</t>
  </si>
  <si>
    <t>K7EK35_STAT5A</t>
  </si>
  <si>
    <t>K7EK99_LIN37</t>
  </si>
  <si>
    <t>K7EKE6_LONP1</t>
  </si>
  <si>
    <t>K7EKG9_ATXN7L3</t>
  </si>
  <si>
    <t>K7EKI8_PPL</t>
  </si>
  <si>
    <t>K7EKZ2_</t>
  </si>
  <si>
    <t>K7ELW5_PTBP1</t>
  </si>
  <si>
    <t>K7ELY2_STX10</t>
  </si>
  <si>
    <t>K7EM02_KATNAL2</t>
  </si>
  <si>
    <t>K7EMV5_ZNF444</t>
  </si>
  <si>
    <t>K7EMZ9_LSM14A</t>
  </si>
  <si>
    <t>K7EN05_ELOF1</t>
  </si>
  <si>
    <t>K7EN88_hCG_2039718</t>
  </si>
  <si>
    <t>K7ENF0_NARS</t>
  </si>
  <si>
    <t>K7ENL9_C18orf8</t>
  </si>
  <si>
    <t>K7ENW0_GGNBP2</t>
  </si>
  <si>
    <t>K7EP32_UBXN6</t>
  </si>
  <si>
    <t>K7EPS8_C19orf12</t>
  </si>
  <si>
    <t>K7EQU4_SAFB2</t>
  </si>
  <si>
    <t>K7EQW8_TPM4</t>
  </si>
  <si>
    <t>K7EQZ3_</t>
  </si>
  <si>
    <t>K7ER56_LONP1</t>
  </si>
  <si>
    <t>K7ER93_C19orf55</t>
  </si>
  <si>
    <t>K7ERF1_EIF3K</t>
  </si>
  <si>
    <t>K7ERI9_APOC1</t>
  </si>
  <si>
    <t>K7ERV3_TK1</t>
  </si>
  <si>
    <t>K7ES11_UBE2O</t>
  </si>
  <si>
    <t>K7ES25_PEPD</t>
  </si>
  <si>
    <t>K7ES54_FSTL3</t>
  </si>
  <si>
    <t>K7ESE3_RAD23A</t>
  </si>
  <si>
    <t>M0QWZ7_SARS2</t>
  </si>
  <si>
    <t>M0QX35_PAF1</t>
  </si>
  <si>
    <t>M0QXX4_KPTN</t>
  </si>
  <si>
    <t>M0QXZ5_ZNF428</t>
  </si>
  <si>
    <t>M0QYH6_PTOV1</t>
  </si>
  <si>
    <t>M0QYJ8_GMFG</t>
  </si>
  <si>
    <t>M0QYM7_TUBB4A</t>
  </si>
  <si>
    <t>M0QZ09_SIRT6</t>
  </si>
  <si>
    <t>M0QZ22_SAMD4B</t>
  </si>
  <si>
    <t>M0QZM1_HNRNPM</t>
  </si>
  <si>
    <t>M0QZR4_ARHGEF1</t>
  </si>
  <si>
    <t>M0R0B4_KXD1</t>
  </si>
  <si>
    <t>M0R0F0_RPS5</t>
  </si>
  <si>
    <t>M0R0P8_MYO9B</t>
  </si>
  <si>
    <t>M0R0W0_METTL6</t>
  </si>
  <si>
    <t>M0R2P6_SHKBP1</t>
  </si>
  <si>
    <t>M0R3D4_RABAC1</t>
  </si>
  <si>
    <t>O00116_AGPS</t>
  </si>
  <si>
    <t>O00139-1_KIF2A</t>
  </si>
  <si>
    <t>O00139-2_KIF2A</t>
  </si>
  <si>
    <t>O00148_DDX39A</t>
  </si>
  <si>
    <t>O00151_PDLIM1</t>
  </si>
  <si>
    <t>O00154-4_ACOT7</t>
  </si>
  <si>
    <t>O00159_MYO1C</t>
  </si>
  <si>
    <t>O00161_SNAP23</t>
  </si>
  <si>
    <t>O00170_AIP</t>
  </si>
  <si>
    <t>O00178_GTPBP1</t>
  </si>
  <si>
    <t>O00194_RAB27B</t>
  </si>
  <si>
    <t>O00203_AP3B1</t>
  </si>
  <si>
    <t>O00204-2_SULT2B1</t>
  </si>
  <si>
    <t>O00213-2_APBB1</t>
  </si>
  <si>
    <t>O00220_TNFRSF10A</t>
  </si>
  <si>
    <t>O00221_NFKBIE</t>
  </si>
  <si>
    <t>O00231_PSMD11</t>
  </si>
  <si>
    <t>O00232_PSMD12</t>
  </si>
  <si>
    <t>O00233_PSMD9</t>
  </si>
  <si>
    <t>O00244_ATOX1</t>
  </si>
  <si>
    <t>O00257_CBX4</t>
  </si>
  <si>
    <t>O00267-2_SUPT5H</t>
  </si>
  <si>
    <t>O00268_TAF4</t>
  </si>
  <si>
    <t>O00273_DFFA</t>
  </si>
  <si>
    <t>O00273-2_DFFA</t>
  </si>
  <si>
    <t>O00291_HIP1</t>
  </si>
  <si>
    <t>O00299_CLIC1</t>
  </si>
  <si>
    <t>O00303_EIF3F</t>
  </si>
  <si>
    <t>O00308_WWP2</t>
  </si>
  <si>
    <t>O00329_PIK3CD</t>
  </si>
  <si>
    <t>O00399_DCTN6</t>
  </si>
  <si>
    <t>O00401_WASL</t>
  </si>
  <si>
    <t>O00410_IPO5</t>
  </si>
  <si>
    <t>O00418_EEF2K</t>
  </si>
  <si>
    <t>O00422_SAP18</t>
  </si>
  <si>
    <t>O00425_IGF2BP3</t>
  </si>
  <si>
    <t>O00429-3_DNM1L</t>
  </si>
  <si>
    <t>O00429-4_DNM1L</t>
  </si>
  <si>
    <t>O00442_RTCA</t>
  </si>
  <si>
    <t>O00443_PIK3C2A</t>
  </si>
  <si>
    <t>O00459_PIK3R2</t>
  </si>
  <si>
    <t>O00468-2_AGRN</t>
  </si>
  <si>
    <t>O00471_EXOC5</t>
  </si>
  <si>
    <t>O00479_HMGN4</t>
  </si>
  <si>
    <t>O00487_PSMD14</t>
  </si>
  <si>
    <t>O00488_ZNF593</t>
  </si>
  <si>
    <t>O00499-6_BIN1</t>
  </si>
  <si>
    <t>O00505_KPNA3</t>
  </si>
  <si>
    <t>O00506_STK25</t>
  </si>
  <si>
    <t>O00512_BCL9</t>
  </si>
  <si>
    <t>O00560-3_SDCBP</t>
  </si>
  <si>
    <t>O00562-2_PITPNM1</t>
  </si>
  <si>
    <t>O00566_MPHOSPH10</t>
  </si>
  <si>
    <t>O00567_NOP56</t>
  </si>
  <si>
    <t>O00571_DDX3X</t>
  </si>
  <si>
    <t>O00592-2_PODXL</t>
  </si>
  <si>
    <t>O00622_CYR61</t>
  </si>
  <si>
    <t>O00625_PIR</t>
  </si>
  <si>
    <t>O00629_KPNA4</t>
  </si>
  <si>
    <t>O00635_TRIM38</t>
  </si>
  <si>
    <t>O00712_NFIB</t>
  </si>
  <si>
    <t>O00743_PPP6C</t>
  </si>
  <si>
    <t>O00746_NME4</t>
  </si>
  <si>
    <t>O00754-2_MAN2B1</t>
  </si>
  <si>
    <t>O00764_PDXK</t>
  </si>
  <si>
    <t>O14497_ARID1A</t>
  </si>
  <si>
    <t>O14519-2_CDK2AP1</t>
  </si>
  <si>
    <t>O14526-3_FCHO1</t>
  </si>
  <si>
    <t>O14530_TXNDC9</t>
  </si>
  <si>
    <t>O14531_DPYSL4</t>
  </si>
  <si>
    <t>O14544_SOCS6</t>
  </si>
  <si>
    <t>O14545_TRAFD1</t>
  </si>
  <si>
    <t>O14561_NDUFAB1</t>
  </si>
  <si>
    <t>O14578-4_CIT</t>
  </si>
  <si>
    <t>O14579_COPE</t>
  </si>
  <si>
    <t>O14602_EIF1AY</t>
  </si>
  <si>
    <t>O14617-4_AP3D1</t>
  </si>
  <si>
    <t>O14640-2_DVL1</t>
  </si>
  <si>
    <t>O14646-2_CHD1</t>
  </si>
  <si>
    <t>O14653-3_GOSR2</t>
  </si>
  <si>
    <t>O14657_TOR1B</t>
  </si>
  <si>
    <t>O14672_ADAM10</t>
  </si>
  <si>
    <t>O14686_MLL2</t>
  </si>
  <si>
    <t>O14732-2_IMPA2</t>
  </si>
  <si>
    <t>O14733_MAP2K7</t>
  </si>
  <si>
    <t>O14737_PDCD5</t>
  </si>
  <si>
    <t>O14744_PRMT5</t>
  </si>
  <si>
    <t>O14744-2_PRMT5</t>
  </si>
  <si>
    <t>O14745_SLC9A3R1</t>
  </si>
  <si>
    <t>O14757_CHEK1</t>
  </si>
  <si>
    <t>O14763-2_TNFRSF10B</t>
  </si>
  <si>
    <t>O14772_FPGT</t>
  </si>
  <si>
    <t>O14776-2_TCERG1</t>
  </si>
  <si>
    <t>O14777_NDC80</t>
  </si>
  <si>
    <t>O14782_KIF3C</t>
  </si>
  <si>
    <t>O14787-2_TNPO2</t>
  </si>
  <si>
    <t>O14795_UNC13B</t>
  </si>
  <si>
    <t>O14810_CPLX1</t>
  </si>
  <si>
    <t>O14818_PSMA7</t>
  </si>
  <si>
    <t>O14828_SCAMP3</t>
  </si>
  <si>
    <t>O14841_OPLAH</t>
  </si>
  <si>
    <t>O14867_BACH1</t>
  </si>
  <si>
    <t>O14893-3_GEMIN2</t>
  </si>
  <si>
    <t>O14907_TAX1BP3</t>
  </si>
  <si>
    <t>O14908_GIPC1</t>
  </si>
  <si>
    <t>O14920_IKBKB</t>
  </si>
  <si>
    <t>O14924-2_RGS12</t>
  </si>
  <si>
    <t>O14929_HAT1</t>
  </si>
  <si>
    <t>O14933_UBE2L6</t>
  </si>
  <si>
    <t>O14936-3_CASK</t>
  </si>
  <si>
    <t>O14964_HGS</t>
  </si>
  <si>
    <t>O14965_AURKA</t>
  </si>
  <si>
    <t>O14972_DSCR3</t>
  </si>
  <si>
    <t>O14974_PPP1R12A</t>
  </si>
  <si>
    <t>O14976_GAK</t>
  </si>
  <si>
    <t>O14977_AZIN1</t>
  </si>
  <si>
    <t>O14979_HNRPDL</t>
  </si>
  <si>
    <t>O14980_XPO1</t>
  </si>
  <si>
    <t>O14981_BTAF1</t>
  </si>
  <si>
    <t>O15014_ZNF609</t>
  </si>
  <si>
    <t>O15021-2_MAST4</t>
  </si>
  <si>
    <t>O15031_PLXNB2</t>
  </si>
  <si>
    <t>O15037_KHNYN</t>
  </si>
  <si>
    <t>O15040_TECPR2</t>
  </si>
  <si>
    <t>O15047_SETD1A</t>
  </si>
  <si>
    <t>O15054_KDM6B</t>
  </si>
  <si>
    <t>O15055_PER2</t>
  </si>
  <si>
    <t>O15056_SYNJ2</t>
  </si>
  <si>
    <t>O15061_SYNM</t>
  </si>
  <si>
    <t>O15066_KIF3B</t>
  </si>
  <si>
    <t>O15067_PFAS</t>
  </si>
  <si>
    <t>O15084_ANKRD28</t>
  </si>
  <si>
    <t>O15085-2_ARHGEF11</t>
  </si>
  <si>
    <t>O15111_CHUK</t>
  </si>
  <si>
    <t>O15116_LSM1</t>
  </si>
  <si>
    <t>O15118_NPC1</t>
  </si>
  <si>
    <t>O15119-2_TBX3</t>
  </si>
  <si>
    <t>O15143_ARPC1B</t>
  </si>
  <si>
    <t>O15144_ARPC2</t>
  </si>
  <si>
    <t>O15145_ARPC3</t>
  </si>
  <si>
    <t>O15160-2_POLR1C</t>
  </si>
  <si>
    <t>O15164_TRIM24</t>
  </si>
  <si>
    <t>O15169-2_AXIN1</t>
  </si>
  <si>
    <t>O15212_PFDN6</t>
  </si>
  <si>
    <t>O15226_NKRF</t>
  </si>
  <si>
    <t>O15230_LAMA5</t>
  </si>
  <si>
    <t>O15231_ZNF185</t>
  </si>
  <si>
    <t>O15231-3_ZNF185</t>
  </si>
  <si>
    <t>O15234_CASC3</t>
  </si>
  <si>
    <t>O15287_FANCG</t>
  </si>
  <si>
    <t>O15294_OGT</t>
  </si>
  <si>
    <t>O15305_PMM2</t>
  </si>
  <si>
    <t>O15327_INPP4B</t>
  </si>
  <si>
    <t>O15344_MID1</t>
  </si>
  <si>
    <t>O15355_PPM1G</t>
  </si>
  <si>
    <t>O15357_INPPL1</t>
  </si>
  <si>
    <t>O15370_SOX12</t>
  </si>
  <si>
    <t>O15372_EIF3H</t>
  </si>
  <si>
    <t>O15379_HDAC3</t>
  </si>
  <si>
    <t>O15382_BCAT2</t>
  </si>
  <si>
    <t>O15397_IPO8</t>
  </si>
  <si>
    <t>O15400-2_STX7</t>
  </si>
  <si>
    <t>O15417-2_TNRC18</t>
  </si>
  <si>
    <t>O15446_CD3EAP</t>
  </si>
  <si>
    <t>O15460-2_P4HA2</t>
  </si>
  <si>
    <t>O15498_YKT6</t>
  </si>
  <si>
    <t>O15511_ARPC5</t>
  </si>
  <si>
    <t>O15514_POLR2D</t>
  </si>
  <si>
    <t>O15523_DDX3Y</t>
  </si>
  <si>
    <t>O15541_RNF113A</t>
  </si>
  <si>
    <t>O43143_DHX15</t>
  </si>
  <si>
    <t>O43148_RNMT</t>
  </si>
  <si>
    <t>O43149_ZZEF1</t>
  </si>
  <si>
    <t>O43150_ASAP2</t>
  </si>
  <si>
    <t>O43156_TTI1</t>
  </si>
  <si>
    <t>O43159_RRP8</t>
  </si>
  <si>
    <t>O43164-2_PJA2</t>
  </si>
  <si>
    <t>O43172-2_PRPF4</t>
  </si>
  <si>
    <t>O43175_PHGDH</t>
  </si>
  <si>
    <t>O43237_DYNC1LI2</t>
  </si>
  <si>
    <t>O43242_PSMD3</t>
  </si>
  <si>
    <t>O43251-6_RBFOX2</t>
  </si>
  <si>
    <t>O43252_PAPSS1</t>
  </si>
  <si>
    <t>O43264_ZW10</t>
  </si>
  <si>
    <t>O43290_SART1</t>
  </si>
  <si>
    <t>O43293_DAPK3</t>
  </si>
  <si>
    <t>O43294-2_TGFB1I1</t>
  </si>
  <si>
    <t>O43298_ZBTB43</t>
  </si>
  <si>
    <t>O43301_HSPA12A</t>
  </si>
  <si>
    <t>O43303-2_CCP110</t>
  </si>
  <si>
    <t>O43310_CTIF</t>
  </si>
  <si>
    <t>O43314-2_PPIP5K2</t>
  </si>
  <si>
    <t>O43318-2_MAP3K7</t>
  </si>
  <si>
    <t>O43324_EEF1E1</t>
  </si>
  <si>
    <t>O43353_RIPK2</t>
  </si>
  <si>
    <t>O43379_WDR62</t>
  </si>
  <si>
    <t>O43390_HNRNPR</t>
  </si>
  <si>
    <t>O43395_PRPF3</t>
  </si>
  <si>
    <t>O43396_TXNL1</t>
  </si>
  <si>
    <t>O43399-4_TPD52L2</t>
  </si>
  <si>
    <t>O43399-5_TPD52L2</t>
  </si>
  <si>
    <t>O43402_EMC8</t>
  </si>
  <si>
    <t>O43414-3_ERI3</t>
  </si>
  <si>
    <t>O43422-2_PRKRIR</t>
  </si>
  <si>
    <t>O43427-2_FIBP</t>
  </si>
  <si>
    <t>O43432_EIF4G3</t>
  </si>
  <si>
    <t>O43447_PPIH</t>
  </si>
  <si>
    <t>O43464-3_HTRA2</t>
  </si>
  <si>
    <t>O43482_OIP5</t>
  </si>
  <si>
    <t>O43491_EPB41L2</t>
  </si>
  <si>
    <t>O43493-4_TGOLN2</t>
  </si>
  <si>
    <t>O43502_RAD51C</t>
  </si>
  <si>
    <t>O43513_MED7</t>
  </si>
  <si>
    <t>O43516_WIPF1</t>
  </si>
  <si>
    <t>O43542_XRCC3</t>
  </si>
  <si>
    <t>O43543_XRCC2</t>
  </si>
  <si>
    <t>O43572_AKAP10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</si>
  <si>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</si>
  <si>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</si>
  <si>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</si>
  <si>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</si>
  <si>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</si>
  <si>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</si>
  <si>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</si>
  <si>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O43657_TSPAN6</t>
  </si>
  <si>
    <t>O43660-2_PLRG1</t>
  </si>
  <si>
    <t>O43663_PRC1</t>
  </si>
  <si>
    <t>O43665-2_RGS10</t>
  </si>
  <si>
    <t>O43670-2_ZNF207</t>
  </si>
  <si>
    <t>O43674-2_NDUFB5</t>
  </si>
  <si>
    <t>O43678_NDUFA2</t>
  </si>
  <si>
    <t>O43681_ASNA1</t>
  </si>
  <si>
    <t>O43684-2_BUB3</t>
  </si>
  <si>
    <t>O43707_ACTN4</t>
  </si>
  <si>
    <t>O43709_WBSCR22</t>
  </si>
  <si>
    <t>O43715_TRIAP1</t>
  </si>
  <si>
    <t>O43716_GATC</t>
  </si>
  <si>
    <t>O43719_HTATSF1</t>
  </si>
  <si>
    <t>O43739-2_CYTH3</t>
  </si>
  <si>
    <t>O43747_AP1G1</t>
  </si>
  <si>
    <t>O43752_STX6</t>
  </si>
  <si>
    <t>O43765_SGTA</t>
  </si>
  <si>
    <t>O43766-2_LIAS</t>
  </si>
  <si>
    <t>O43768-2_ENSA</t>
  </si>
  <si>
    <t>O43776_NARS</t>
  </si>
  <si>
    <t>O43795-2_MYO1B</t>
  </si>
  <si>
    <t>O43805_SSNA1</t>
  </si>
  <si>
    <t>O43809_NUDT21</t>
  </si>
  <si>
    <t>O43813_LANCL1</t>
  </si>
  <si>
    <t>O43815_STRN</t>
  </si>
  <si>
    <t>O43818_RRP9</t>
  </si>
  <si>
    <t>O43820-4_HYAL3</t>
  </si>
  <si>
    <t>O43823_AKAP8</t>
  </si>
  <si>
    <t>O43829_ZBTB14</t>
  </si>
  <si>
    <t>O43837_IDH3B</t>
  </si>
  <si>
    <t>O43847-2_NRD1</t>
  </si>
  <si>
    <t>O43852_CALU</t>
  </si>
  <si>
    <t>O43865_AHCYL1</t>
  </si>
  <si>
    <t>O43896_KIF1C</t>
  </si>
  <si>
    <t>O43913_ORC5</t>
  </si>
  <si>
    <t>O43924_PDE6D</t>
  </si>
  <si>
    <t>O43929-2_ORC4</t>
  </si>
  <si>
    <t>O60216_RAD21</t>
  </si>
  <si>
    <t>O60218_AKR1B10</t>
  </si>
  <si>
    <t>O60220_TIMM8A</t>
  </si>
  <si>
    <t>O60231_DHX16</t>
  </si>
  <si>
    <t>O60239_SH3BP5</t>
  </si>
  <si>
    <t>O60256_PRPSAP2</t>
  </si>
  <si>
    <t>O60264_SMARCA5</t>
  </si>
  <si>
    <t>O60269_GPRIN2</t>
  </si>
  <si>
    <t>O60271_SPAG9</t>
  </si>
  <si>
    <t>O60271-4_SPAG9</t>
  </si>
  <si>
    <t>O60271-9_SPAG9</t>
  </si>
  <si>
    <t>O60281-2_ZNF292</t>
  </si>
  <si>
    <t>O60291_MGRN1</t>
  </si>
  <si>
    <t>O60292_SIPA1L3</t>
  </si>
  <si>
    <t>O60294_LCMT2</t>
  </si>
  <si>
    <t>O60303_KIAA0556</t>
  </si>
  <si>
    <t>O60306_AQR</t>
  </si>
  <si>
    <t>O60318_MCM3AP</t>
  </si>
  <si>
    <t>O60333-2_KIF1B</t>
  </si>
  <si>
    <t>O60333-3_KIF1B</t>
  </si>
  <si>
    <t>O60341_KDM1A</t>
  </si>
  <si>
    <t>O60343-2_TBC1D4</t>
  </si>
  <si>
    <t>O60344-4_ECE2</t>
  </si>
  <si>
    <t>O60346_PHLPP1</t>
  </si>
  <si>
    <t>O60347_TBC1D12</t>
  </si>
  <si>
    <t>O60353-2_FZD6</t>
  </si>
  <si>
    <t>O60361_NME2P1</t>
  </si>
  <si>
    <t>O60443_DFNA5</t>
  </si>
  <si>
    <t>O60447_EVI5</t>
  </si>
  <si>
    <t>O60462-4_NRP2</t>
  </si>
  <si>
    <t>O60488-2_ACSL4</t>
  </si>
  <si>
    <t>O60493_SNX3</t>
  </si>
  <si>
    <t>O60502_MGEA5</t>
  </si>
  <si>
    <t>O60504_SORBS3</t>
  </si>
  <si>
    <t>O60506-2_SYNCRIP</t>
  </si>
  <si>
    <t>O60518_RANBP6</t>
  </si>
  <si>
    <t>O60524-4_NEMF</t>
  </si>
  <si>
    <t>O60547-2_GMDS</t>
  </si>
  <si>
    <t>O60551_NMT2</t>
  </si>
  <si>
    <t>O60563_CCNT1</t>
  </si>
  <si>
    <t>O60566_BUB1B</t>
  </si>
  <si>
    <t>O60568_PLOD3</t>
  </si>
  <si>
    <t>O60613_SEP15</t>
  </si>
  <si>
    <t>O60645-3_EXOC3</t>
  </si>
  <si>
    <t>O60664_PLIN3</t>
  </si>
  <si>
    <t>O60671_RAD1</t>
  </si>
  <si>
    <t>O60678_PRMT3</t>
  </si>
  <si>
    <t>O60701_UGDH</t>
  </si>
  <si>
    <t>O60716-5_CTNND1</t>
  </si>
  <si>
    <t>O60749_SNX2</t>
  </si>
  <si>
    <t>O60763_USO1</t>
  </si>
  <si>
    <t>O60783_MRPS14</t>
  </si>
  <si>
    <t>O60826_CCDC22</t>
  </si>
  <si>
    <t>O60828-2_PQBP1</t>
  </si>
  <si>
    <t>O60832_DKC1</t>
  </si>
  <si>
    <t>O60841_EIF5B</t>
  </si>
  <si>
    <t>O60869_EDF1</t>
  </si>
  <si>
    <t>O60884_DNAJA2</t>
  </si>
  <si>
    <t>O60885_BRD4</t>
  </si>
  <si>
    <t>O60888-3_CUTA</t>
  </si>
  <si>
    <t>O60907-2_TBL1X</t>
  </si>
  <si>
    <t>O60921_HUS1</t>
  </si>
  <si>
    <t>O60925_PFDN1</t>
  </si>
  <si>
    <t>O60927_PPP1R11</t>
  </si>
  <si>
    <t>O60934_NBN</t>
  </si>
  <si>
    <t>O60942_RNGTT</t>
  </si>
  <si>
    <t>O75030-12_MITF</t>
  </si>
  <si>
    <t>O75044_SRGAP2</t>
  </si>
  <si>
    <t>O75064_DENND4B</t>
  </si>
  <si>
    <t>O75083_WDR1</t>
  </si>
  <si>
    <t>O75094_SLIT3</t>
  </si>
  <si>
    <t>O75113_N4BP1</t>
  </si>
  <si>
    <t>O75116_ROCK2</t>
  </si>
  <si>
    <t>O75131_CPNE3</t>
  </si>
  <si>
    <t>O75143-3_ATG13</t>
  </si>
  <si>
    <t>O75146_HIP1R</t>
  </si>
  <si>
    <t>O75150_RNF40</t>
  </si>
  <si>
    <t>O75151_PHF2</t>
  </si>
  <si>
    <t>O75152_ZC3H11A</t>
  </si>
  <si>
    <t>O75157-2_TSC22D2</t>
  </si>
  <si>
    <t>O75164_KDM4A</t>
  </si>
  <si>
    <t>O75165_DNAJC13</t>
  </si>
  <si>
    <t>O75170-4_PPP6R2</t>
  </si>
  <si>
    <t>O75175_CNOT3</t>
  </si>
  <si>
    <t>O75179-2_ANKRD17</t>
  </si>
  <si>
    <t>O75190_DNAJB6</t>
  </si>
  <si>
    <t>O75191_XYLB</t>
  </si>
  <si>
    <t>O75208_COQ9</t>
  </si>
  <si>
    <t>O75223_GGCT</t>
  </si>
  <si>
    <t>O75312_ZNF259</t>
  </si>
  <si>
    <t>O75323_GBAS</t>
  </si>
  <si>
    <t>O75330-2_HMMR</t>
  </si>
  <si>
    <t>O75340_PDCD6</t>
  </si>
  <si>
    <t>O75347_TBCA</t>
  </si>
  <si>
    <t>O75348_ATP6V1G1</t>
  </si>
  <si>
    <t>O75351_VPS4B</t>
  </si>
  <si>
    <t>O75362_ZNF217</t>
  </si>
  <si>
    <t>O75367-2_H2AFY</t>
  </si>
  <si>
    <t>O75368_SH3BGRL</t>
  </si>
  <si>
    <t>O75369-8_FLNB</t>
  </si>
  <si>
    <t>O75376_NCOR1</t>
  </si>
  <si>
    <t>O75380_NDUFS6</t>
  </si>
  <si>
    <t>O75385_ULK1</t>
  </si>
  <si>
    <t>O75391_SPAG7</t>
  </si>
  <si>
    <t>O75396_SEC22B</t>
  </si>
  <si>
    <t>O75400-2_PRPF40A</t>
  </si>
  <si>
    <t>O75410-7_TACC1</t>
  </si>
  <si>
    <t>O75419-2_CDC45</t>
  </si>
  <si>
    <t>O75420_GIGYF1</t>
  </si>
  <si>
    <t>O75436_VPS26A</t>
  </si>
  <si>
    <t>O75439_PMPCB</t>
  </si>
  <si>
    <t>O75449_KATNA1</t>
  </si>
  <si>
    <t>O75475_PSIP1</t>
  </si>
  <si>
    <t>O75503_CLN5</t>
  </si>
  <si>
    <t>O75506_HSBP1</t>
  </si>
  <si>
    <t>O75521-2_ECI2</t>
  </si>
  <si>
    <t>O75530-3_EED</t>
  </si>
  <si>
    <t>O75531_BANF1</t>
  </si>
  <si>
    <t>O75533_SF3B1</t>
  </si>
  <si>
    <t>O75534_CSDE1</t>
  </si>
  <si>
    <t>O75554_WBP4</t>
  </si>
  <si>
    <t>O75582_RPS6KA5</t>
  </si>
  <si>
    <t>O75607_NPM3</t>
  </si>
  <si>
    <t>O75608-2_LYPLA1</t>
  </si>
  <si>
    <t>O75629_CREG1</t>
  </si>
  <si>
    <t>O75643_SNRNP200</t>
  </si>
  <si>
    <t>O75663_TIPRL</t>
  </si>
  <si>
    <t>O75683_SURF6</t>
  </si>
  <si>
    <t>O75688_PPM1B</t>
  </si>
  <si>
    <t>O75691_UTP20</t>
  </si>
  <si>
    <t>O75717_WDHD1</t>
  </si>
  <si>
    <t>O75771-5_RAD51D</t>
  </si>
  <si>
    <t>O75781_PALM</t>
  </si>
  <si>
    <t>O75792_RNASEH2A</t>
  </si>
  <si>
    <t>O75794_CDC123</t>
  </si>
  <si>
    <t>O75808_SOLH</t>
  </si>
  <si>
    <t>O75815_BCAR3</t>
  </si>
  <si>
    <t>O75818-2_RPP40</t>
  </si>
  <si>
    <t>O75821_EIF3G</t>
  </si>
  <si>
    <t>O75822_EIF3J</t>
  </si>
  <si>
    <t>O75828_CBR3</t>
  </si>
  <si>
    <t>O75843_AP1G2</t>
  </si>
  <si>
    <t>O75865_TRAPPC6A</t>
  </si>
  <si>
    <t>O75874_IDH1</t>
  </si>
  <si>
    <t>O75882-2_ATRN</t>
  </si>
  <si>
    <t>O75884_RBBP9</t>
  </si>
  <si>
    <t>O75886_STAM2</t>
  </si>
  <si>
    <t>O75896_TUSC2</t>
  </si>
  <si>
    <t>O75909_CCNK</t>
  </si>
  <si>
    <t>O75915_ARL6IP5</t>
  </si>
  <si>
    <t>O75928-3_PIAS2</t>
  </si>
  <si>
    <t>O75934_BCAS2</t>
  </si>
  <si>
    <t>O75935_DCTN3</t>
  </si>
  <si>
    <t>O75937_DNAJC8</t>
  </si>
  <si>
    <t>O75940_SMNDC1</t>
  </si>
  <si>
    <t>O75962_TRIO</t>
  </si>
  <si>
    <t>O75970-3_MPDZ</t>
  </si>
  <si>
    <t>O76003_GLRX3</t>
  </si>
  <si>
    <t>O76021_RSL1D1</t>
  </si>
  <si>
    <t>O76024_WFS1</t>
  </si>
  <si>
    <t>O76031_CLPX</t>
  </si>
  <si>
    <t>O76041-2_NEBL</t>
  </si>
  <si>
    <t>O76054_SEC14L2</t>
  </si>
  <si>
    <t>O76070_SNCG</t>
  </si>
  <si>
    <t>O76071_CIAO1</t>
  </si>
  <si>
    <t>O76075_DFFB</t>
  </si>
  <si>
    <t>O76080_ZFAND5</t>
  </si>
  <si>
    <t>O76081-6_RGS20</t>
  </si>
  <si>
    <t>O76094_SRP72</t>
  </si>
  <si>
    <t>O77932_DOM3Z</t>
  </si>
  <si>
    <t>O94760_DDAH1</t>
  </si>
  <si>
    <t>O94761_RECQL4</t>
  </si>
  <si>
    <t>O94763_URI1</t>
  </si>
  <si>
    <t>O94763-4_URI1</t>
  </si>
  <si>
    <t>O94776_MTA2</t>
  </si>
  <si>
    <t>O94782_USP1</t>
  </si>
  <si>
    <t>O94788-4_ALDH1A2</t>
  </si>
  <si>
    <t>O94804_STK10</t>
  </si>
  <si>
    <t>O94806_PRKD3</t>
  </si>
  <si>
    <t>O94808_GFPT2</t>
  </si>
  <si>
    <t>O94811_TPPP</t>
  </si>
  <si>
    <t>O94817_ATG12</t>
  </si>
  <si>
    <t>O94819_KBTBD11</t>
  </si>
  <si>
    <t>O94822_LTN1</t>
  </si>
  <si>
    <t>O94826_TOMM70A</t>
  </si>
  <si>
    <t>O94829_IPO13</t>
  </si>
  <si>
    <t>O94830_DDHD2</t>
  </si>
  <si>
    <t>O94851-5_MICAL2</t>
  </si>
  <si>
    <t>O94854-2_KIAA0754</t>
  </si>
  <si>
    <t>O94855_SEC24D</t>
  </si>
  <si>
    <t>O94864-2_SUPT7L</t>
  </si>
  <si>
    <t>O94868_FCHSD2</t>
  </si>
  <si>
    <t>O94874_UFL1</t>
  </si>
  <si>
    <t>O94880_PHF14</t>
  </si>
  <si>
    <t>O94885_SASH1</t>
  </si>
  <si>
    <t>O94887_FARP2</t>
  </si>
  <si>
    <t>O94888_UBXN7</t>
  </si>
  <si>
    <t>O94889_KLHL18</t>
  </si>
  <si>
    <t>O94903_PROSC</t>
  </si>
  <si>
    <t>O94906-2_PRPF6</t>
  </si>
  <si>
    <t>O94907_DKK1</t>
  </si>
  <si>
    <t>O94913_PCF11</t>
  </si>
  <si>
    <t>O94916_NFAT5</t>
  </si>
  <si>
    <t>O94925_GLS</t>
  </si>
  <si>
    <t>O94925-3_GLS</t>
  </si>
  <si>
    <t>O94927_HAUS5</t>
  </si>
  <si>
    <t>O94941-2_UBOX5</t>
  </si>
  <si>
    <t>O94952-1_FBXO21</t>
  </si>
  <si>
    <t>O94964-2_SOGA1</t>
  </si>
  <si>
    <t>O94966-7_USP19</t>
  </si>
  <si>
    <t>O94967-2_WDR47</t>
  </si>
  <si>
    <t>O94972-2_TRIM37</t>
  </si>
  <si>
    <t>O94973_AP2A2</t>
  </si>
  <si>
    <t>O94992_HEXIM1</t>
  </si>
  <si>
    <t>O95059_RPP14</t>
  </si>
  <si>
    <t>O95067_CCNB2</t>
  </si>
  <si>
    <t>O95081_AGFG2</t>
  </si>
  <si>
    <t>O95104_SCAF4</t>
  </si>
  <si>
    <t>O95149_SNUPN</t>
  </si>
  <si>
    <t>O95155-2_UBE4B</t>
  </si>
  <si>
    <t>O95163_IKBKAP</t>
  </si>
  <si>
    <t>O95197-7_RTN3</t>
  </si>
  <si>
    <t>O95202_LETM1</t>
  </si>
  <si>
    <t>O95205_MBLL</t>
  </si>
  <si>
    <t>O95218-2_ZRANB2</t>
  </si>
  <si>
    <t>O95219_SNX4</t>
  </si>
  <si>
    <t>O95229_ZWINT</t>
  </si>
  <si>
    <t>O95231_VENTX</t>
  </si>
  <si>
    <t>O95232_LUC7L3</t>
  </si>
  <si>
    <t>O95235_KIF20A</t>
  </si>
  <si>
    <t>O95239_KIF4A</t>
  </si>
  <si>
    <t>O95243-3_MBD4</t>
  </si>
  <si>
    <t>O95248_SBF1</t>
  </si>
  <si>
    <t>O95249_GOSR1</t>
  </si>
  <si>
    <t>O95251-4_KAT7</t>
  </si>
  <si>
    <t>O95273_CCNDBP1</t>
  </si>
  <si>
    <t>O95292_VAPB</t>
  </si>
  <si>
    <t>O95295_SNAPIN</t>
  </si>
  <si>
    <t>O95297-4_MPZL1</t>
  </si>
  <si>
    <t>O95302_FKBP9</t>
  </si>
  <si>
    <t>O95336_PGLS</t>
  </si>
  <si>
    <t>O95340_PAPSS2</t>
  </si>
  <si>
    <t>O95347_SMC2</t>
  </si>
  <si>
    <t>O95352_ATG7</t>
  </si>
  <si>
    <t>O95361_TRIM16</t>
  </si>
  <si>
    <t>O95365_ZBTB7A</t>
  </si>
  <si>
    <t>O95372_LYPLA2</t>
  </si>
  <si>
    <t>O95373_IPO7</t>
  </si>
  <si>
    <t>O95376_ARIH2</t>
  </si>
  <si>
    <t>O95379-3_TNFAIP8</t>
  </si>
  <si>
    <t>O95391_SLU7</t>
  </si>
  <si>
    <t>O95394_PGM3</t>
  </si>
  <si>
    <t>O95396_MOCS3</t>
  </si>
  <si>
    <t>O95399_UTS2</t>
  </si>
  <si>
    <t>O95400_CD2BP2</t>
  </si>
  <si>
    <t>O95402_MED26</t>
  </si>
  <si>
    <t>O95405_ZFYVE9</t>
  </si>
  <si>
    <t>O95425_SVIL</t>
  </si>
  <si>
    <t>O95429-2_BAG4</t>
  </si>
  <si>
    <t>O95433_AHSA1</t>
  </si>
  <si>
    <t>O95453-2_PARN</t>
  </si>
  <si>
    <t>O95456_PSMG1</t>
  </si>
  <si>
    <t>O95466_FMNL1</t>
  </si>
  <si>
    <t>O95479_H6PD</t>
  </si>
  <si>
    <t>O95486_SEC24A</t>
  </si>
  <si>
    <t>O95487-2_SEC24B</t>
  </si>
  <si>
    <t>O95544_NADK</t>
  </si>
  <si>
    <t>O95551_TDP2</t>
  </si>
  <si>
    <t>O95568_METTL18</t>
  </si>
  <si>
    <t>O95571_ETHE1</t>
  </si>
  <si>
    <t>O95602_POLR1A</t>
  </si>
  <si>
    <t>O95619_YEATS4</t>
  </si>
  <si>
    <t>O95620_DUS4L</t>
  </si>
  <si>
    <t>O95628-3_CNOT4</t>
  </si>
  <si>
    <t>O95630_STAMBP</t>
  </si>
  <si>
    <t>O95671-2_ASMTL</t>
  </si>
  <si>
    <t>O95684_FGFR1OP</t>
  </si>
  <si>
    <t>O95685_PPP1R3D</t>
  </si>
  <si>
    <t>O95707_POP4</t>
  </si>
  <si>
    <t>O95714_HERC2</t>
  </si>
  <si>
    <t>O95716_RAB3D</t>
  </si>
  <si>
    <t>O95721_SNAP29</t>
  </si>
  <si>
    <t>O95747_OXSR1</t>
  </si>
  <si>
    <t>O95749_GGPS1</t>
  </si>
  <si>
    <t>O95757_HSPA4L</t>
  </si>
  <si>
    <t>O95758-1_PTBP3</t>
  </si>
  <si>
    <t>O95759_TBC1D8</t>
  </si>
  <si>
    <t>O95777_NAA38</t>
  </si>
  <si>
    <t>O95782-2_AP2A1</t>
  </si>
  <si>
    <t>O95786-2_DDX58</t>
  </si>
  <si>
    <t>O95801_TTC4</t>
  </si>
  <si>
    <t>O95810_SDPR</t>
  </si>
  <si>
    <t>O95816_BAG2</t>
  </si>
  <si>
    <t>O95817_BAG3</t>
  </si>
  <si>
    <t>O95825_CRYZL1</t>
  </si>
  <si>
    <t>O95831-3_AIFM1</t>
  </si>
  <si>
    <t>O95833_CLIC3</t>
  </si>
  <si>
    <t>O95834-2_EML2</t>
  </si>
  <si>
    <t>O95835_LATS1</t>
  </si>
  <si>
    <t>O95848_NUDT14</t>
  </si>
  <si>
    <t>O95861_BPNT1</t>
  </si>
  <si>
    <t>O95865_DDAH2</t>
  </si>
  <si>
    <t>O95881_TXNDC12</t>
  </si>
  <si>
    <t>O95905_ECD</t>
  </si>
  <si>
    <t>O95926_SYF2</t>
  </si>
  <si>
    <t>O95985_TOP3B</t>
  </si>
  <si>
    <t>O95989_NUDT3</t>
  </si>
  <si>
    <t>O95994_AGR2</t>
  </si>
  <si>
    <t>O95997_PTTG1</t>
  </si>
  <si>
    <t>O95999_BCL10</t>
  </si>
  <si>
    <t>O96006_ZBED1</t>
  </si>
  <si>
    <t>O96007_MOCS2</t>
  </si>
  <si>
    <t>O96013_PAK4</t>
  </si>
  <si>
    <t>O96017_CHEK2</t>
  </si>
  <si>
    <t>O96019_ACTL6A</t>
  </si>
  <si>
    <t>O96028_WHSC1</t>
  </si>
  <si>
    <t>O96033_MOCS2</t>
  </si>
  <si>
    <t>P00325_ADH1B</t>
  </si>
  <si>
    <t>P00338_LDHA</t>
  </si>
  <si>
    <t>P00352_ALDH1A1</t>
  </si>
  <si>
    <t>P00374_DHFR</t>
  </si>
  <si>
    <t>P00387-2_CYB5R3</t>
  </si>
  <si>
    <t>P00390-2_GSR</t>
  </si>
  <si>
    <t>P00450_CP</t>
  </si>
  <si>
    <t>P00491_PNP</t>
  </si>
  <si>
    <t>P00492_HPRT1</t>
  </si>
  <si>
    <t>P00505_GOT2</t>
  </si>
  <si>
    <t>P00519_ABL1</t>
  </si>
  <si>
    <t>P00533_EGFR</t>
  </si>
  <si>
    <t>P00558_PGK1</t>
  </si>
  <si>
    <t>P00568_AK1</t>
  </si>
  <si>
    <t>P00813_ADA</t>
  </si>
  <si>
    <t>P00966_ASS1</t>
  </si>
  <si>
    <t>P01009_SERPINA1</t>
  </si>
  <si>
    <t>P01023_A2M</t>
  </si>
  <si>
    <t>P01024_C3</t>
  </si>
  <si>
    <t>P01034_CST3</t>
  </si>
  <si>
    <t>P01042-3_KNG1</t>
  </si>
  <si>
    <t>P01111_NRAS</t>
  </si>
  <si>
    <t>P01116-2_KRAS</t>
  </si>
  <si>
    <t>P01130-3_LDLR</t>
  </si>
  <si>
    <t>P01137_TGFB1</t>
  </si>
  <si>
    <t>P01859_IGHG2</t>
  </si>
  <si>
    <t>P02452_COL1A1</t>
  </si>
  <si>
    <t>P02462_COL4A1</t>
  </si>
  <si>
    <t>P02545_LMNA</t>
  </si>
  <si>
    <t>P02545-2_LMNA</t>
  </si>
  <si>
    <t>P02647_APOA1</t>
  </si>
  <si>
    <t>P02656_APOC3</t>
  </si>
  <si>
    <t>P02751-12_FN1</t>
  </si>
  <si>
    <t>P02763_ORM1</t>
  </si>
  <si>
    <t>P02765_AHSG</t>
  </si>
  <si>
    <t>P02771_AFP</t>
  </si>
  <si>
    <t>P02774_GC</t>
  </si>
  <si>
    <t>P02786_TFRC</t>
  </si>
  <si>
    <t>P02790_HPX</t>
  </si>
  <si>
    <t>P02794_FTH1</t>
  </si>
  <si>
    <t>P02795_MT2A</t>
  </si>
  <si>
    <t>P04066_FUCA1</t>
  </si>
  <si>
    <t>P04075_ALDOA</t>
  </si>
  <si>
    <t>P04080_CSTB</t>
  </si>
  <si>
    <t>P04083_ANXA1</t>
  </si>
  <si>
    <t>P04114_APOB</t>
  </si>
  <si>
    <t>P04150-2_NR3C1</t>
  </si>
  <si>
    <t>P04156-2_PRNP</t>
  </si>
  <si>
    <t>P04181_OAT</t>
  </si>
  <si>
    <t>P04183_TK1</t>
  </si>
  <si>
    <t>P04259_KRT6B</t>
  </si>
  <si>
    <t>P04264_KRT1</t>
  </si>
  <si>
    <t>P04350_TUBB4A</t>
  </si>
  <si>
    <t>P04406_GAPDH</t>
  </si>
  <si>
    <t>P04424_ASL</t>
  </si>
  <si>
    <t>P04626-4_ERBB2</t>
  </si>
  <si>
    <t>P04632_CAPNS1</t>
  </si>
  <si>
    <t>P04731_MT1A</t>
  </si>
  <si>
    <t>P04733_MT1F</t>
  </si>
  <si>
    <t>P04792_HSPB1</t>
  </si>
  <si>
    <t>P04818_TYMS</t>
  </si>
  <si>
    <t>P04899_GNAI2</t>
  </si>
  <si>
    <t>P04920-2_SLC4A2</t>
  </si>
  <si>
    <t>P05091_ALDH2</t>
  </si>
  <si>
    <t>P05114_HMGN1</t>
  </si>
  <si>
    <t>P05121_SERPINE1</t>
  </si>
  <si>
    <t>P05161_ISG15</t>
  </si>
  <si>
    <t>P05165-2_PCCA</t>
  </si>
  <si>
    <t>P05198_EIF2S1</t>
  </si>
  <si>
    <t>P05204_HMGN2</t>
  </si>
  <si>
    <t>P05386_RPLP1</t>
  </si>
  <si>
    <t>P05387_RPLP2</t>
  </si>
  <si>
    <t>P05388_RPLP0</t>
  </si>
  <si>
    <t>P05412_JUN</t>
  </si>
  <si>
    <t>P05423_POLR3D</t>
  </si>
  <si>
    <t>P05455_SSB</t>
  </si>
  <si>
    <t>P05556_ITGB1</t>
  </si>
  <si>
    <t>P05783_KRT18</t>
  </si>
  <si>
    <t>P05787_KRT8</t>
  </si>
  <si>
    <t>P05814_CSN2</t>
  </si>
  <si>
    <t>P05976-2_MYL1</t>
  </si>
  <si>
    <t>P05997_COL5A2</t>
  </si>
  <si>
    <t>P06132_UROD</t>
  </si>
  <si>
    <t>P06280_GLA</t>
  </si>
  <si>
    <t>P06400_RB1</t>
  </si>
  <si>
    <t>P06493_CDK1</t>
  </si>
  <si>
    <t>P06576_ATP5B</t>
  </si>
  <si>
    <t>P06730_EIF4E</t>
  </si>
  <si>
    <t>P06733_ENO1</t>
  </si>
  <si>
    <t>P06737-2_PYGL</t>
  </si>
  <si>
    <t>P06744_GPI</t>
  </si>
  <si>
    <t>P06748_NPM1</t>
  </si>
  <si>
    <t>P06753-2_TPM3</t>
  </si>
  <si>
    <t>P06753-3_TPM3</t>
  </si>
  <si>
    <t>P06756-3_ITGAV</t>
  </si>
  <si>
    <t>P06865_HEXA</t>
  </si>
  <si>
    <t>P07093-2_SERPINE2</t>
  </si>
  <si>
    <t>P07108_DBI</t>
  </si>
  <si>
    <t>P07148_FABP1</t>
  </si>
  <si>
    <t>P07195_LDHB</t>
  </si>
  <si>
    <t>P07199_CENPB</t>
  </si>
  <si>
    <t>P07203_GPX1</t>
  </si>
  <si>
    <t>P07204_THBD</t>
  </si>
  <si>
    <t>P07205_PGK2</t>
  </si>
  <si>
    <t>P07237_P4HB</t>
  </si>
  <si>
    <t>P07305-2_H1F0</t>
  </si>
  <si>
    <t>P07311_ACYP1</t>
  </si>
  <si>
    <t>P07355_ANXA2</t>
  </si>
  <si>
    <t>P07384_CAPN1</t>
  </si>
  <si>
    <t>P07498_CSN3</t>
  </si>
  <si>
    <t>P07602_PSAP</t>
  </si>
  <si>
    <t>P07686_HEXB</t>
  </si>
  <si>
    <t>P07711_CTSL1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</si>
  <si>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</si>
  <si>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</si>
  <si>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</si>
  <si>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</si>
  <si>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</si>
  <si>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</si>
  <si>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</si>
  <si>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</si>
  <si>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P07942_LAMB1</t>
  </si>
  <si>
    <t>P07947_YES1</t>
  </si>
  <si>
    <t>P07951_TPM2</t>
  </si>
  <si>
    <t>P07951-2_TPM2</t>
  </si>
  <si>
    <t>P07954-2_FH</t>
  </si>
  <si>
    <t>P07992_ERCC1</t>
  </si>
  <si>
    <t>P07996_THBS1</t>
  </si>
  <si>
    <t>P08047_SP1</t>
  </si>
  <si>
    <t>P08107_HSPA1A</t>
  </si>
  <si>
    <t>P08133_ANXA6</t>
  </si>
  <si>
    <t>P08195-2_SLC3A2</t>
  </si>
  <si>
    <t>P08237_PFKM</t>
  </si>
  <si>
    <t>P08238_HSP90AB1</t>
  </si>
  <si>
    <t>P08240-2_SRPR</t>
  </si>
  <si>
    <t>P08243-2_ASNS</t>
  </si>
  <si>
    <t>P08397-2_HMBS</t>
  </si>
  <si>
    <t>P08559-3_PDHA1</t>
  </si>
  <si>
    <t>P08572_COL4A2</t>
  </si>
  <si>
    <t>P08579_SNRPB2</t>
  </si>
  <si>
    <t>P08581_MET</t>
  </si>
  <si>
    <t>P08582_MFI2</t>
  </si>
  <si>
    <t>P08621_SNRNP70</t>
  </si>
  <si>
    <t>P08651-2_NFIC</t>
  </si>
  <si>
    <t>P08670_VIM</t>
  </si>
  <si>
    <t>P08727_KRT19</t>
  </si>
  <si>
    <t>P08729_KRT7</t>
  </si>
  <si>
    <t>P08754_GNAI3</t>
  </si>
  <si>
    <t>P08779_KRT16</t>
  </si>
  <si>
    <t>P09012_SNRPA</t>
  </si>
  <si>
    <t>P09038-2_FGF2</t>
  </si>
  <si>
    <t>P09110_ACAA1</t>
  </si>
  <si>
    <t>P09132_SRP19</t>
  </si>
  <si>
    <t>P09234_SNRPC</t>
  </si>
  <si>
    <t>P09382_LGALS1</t>
  </si>
  <si>
    <t>P09417_QDPR</t>
  </si>
  <si>
    <t>P09429_HMGB1</t>
  </si>
  <si>
    <t>P09455_RBP1</t>
  </si>
  <si>
    <t>P09493-10_TPM1</t>
  </si>
  <si>
    <t>P09493-3_TPM1</t>
  </si>
  <si>
    <t>P09493-9_TPM1</t>
  </si>
  <si>
    <t>P09496-2_CLTA</t>
  </si>
  <si>
    <t>P09497-2_CLTB</t>
  </si>
  <si>
    <t>P09525_ANXA4</t>
  </si>
  <si>
    <t>P09543-2_CNP</t>
  </si>
  <si>
    <t>P09601_HMOX1</t>
  </si>
  <si>
    <t>P09622_DLD</t>
  </si>
  <si>
    <t>P09661_SNRPA1</t>
  </si>
  <si>
    <t>P09668_CTSH</t>
  </si>
  <si>
    <t>P09874_PARP1</t>
  </si>
  <si>
    <t>P09884_POLA1</t>
  </si>
  <si>
    <t>P09936_UCHL1</t>
  </si>
  <si>
    <t>P09960_LTA4H</t>
  </si>
  <si>
    <t>P09972_ALDOC</t>
  </si>
  <si>
    <t>P0C7T5_ATXN1L</t>
  </si>
  <si>
    <t>P0CAP2_POLR2M</t>
  </si>
  <si>
    <t>P0CG12_CHTF8</t>
  </si>
  <si>
    <t>P0CG35_TMSB15B</t>
  </si>
  <si>
    <t>P0CW22_RPS17L</t>
  </si>
  <si>
    <t>P0DI82_TRAPPC2P1</t>
  </si>
  <si>
    <t>P0DI83_RAB34</t>
  </si>
  <si>
    <t>P10070_GLI2</t>
  </si>
  <si>
    <t>P10075_GLI4</t>
  </si>
  <si>
    <t>P10109_FDX1</t>
  </si>
  <si>
    <t>P10155_TROVE2</t>
  </si>
  <si>
    <t>P10253_GAA</t>
  </si>
  <si>
    <t>P10301_RRAS</t>
  </si>
  <si>
    <t>P10398_ARAF</t>
  </si>
  <si>
    <t>P10412_HIST1H1E</t>
  </si>
  <si>
    <t>P10451-5_SPP1</t>
  </si>
  <si>
    <t>P10515_DLAT</t>
  </si>
  <si>
    <t>P10586-2_PTPRF</t>
  </si>
  <si>
    <t>P10606_COX5B</t>
  </si>
  <si>
    <t>P10619_CTSA</t>
  </si>
  <si>
    <t>P10644_PRKAR1A</t>
  </si>
  <si>
    <t>P10746_UROS</t>
  </si>
  <si>
    <t>P10768_ESD</t>
  </si>
  <si>
    <t>P10809_HSPD1</t>
  </si>
  <si>
    <t>P10909-4_CLU</t>
  </si>
  <si>
    <t>P11021_HSPA5</t>
  </si>
  <si>
    <t>P11047_LAMC1</t>
  </si>
  <si>
    <t>P11117_ACP2</t>
  </si>
  <si>
    <t>P11137-3_MAP2</t>
  </si>
  <si>
    <t>P11142_HSPA8</t>
  </si>
  <si>
    <t>P11171-3_EPB41</t>
  </si>
  <si>
    <t>P11172_UMPS</t>
  </si>
  <si>
    <t>P11177-3_PDHB</t>
  </si>
  <si>
    <t>P11182_DBT</t>
  </si>
  <si>
    <t>P11216_PYGB</t>
  </si>
  <si>
    <t>P11233_RALA</t>
  </si>
  <si>
    <t>P11274_BCR</t>
  </si>
  <si>
    <t>P11279_LAMP1</t>
  </si>
  <si>
    <t>P11310_ACADM</t>
  </si>
  <si>
    <t>P11387_TOP1</t>
  </si>
  <si>
    <t>P11388_TOP2A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</si>
  <si>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</si>
  <si>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</si>
  <si>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</si>
  <si>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</si>
  <si>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</si>
  <si>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</si>
  <si>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</si>
  <si>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P11908_PRPS2</t>
  </si>
  <si>
    <t>P11926_ODC1</t>
  </si>
  <si>
    <t>P11940_PABPC1</t>
  </si>
  <si>
    <t>P12004_PCNA</t>
  </si>
  <si>
    <t>P12109_COL6A1</t>
  </si>
  <si>
    <t>P12270_TPR</t>
  </si>
  <si>
    <t>P12277_CKB</t>
  </si>
  <si>
    <t>P12429_ANXA3</t>
  </si>
  <si>
    <t>P12532_CKMT1A</t>
  </si>
  <si>
    <t>P12694_BCKDHA</t>
  </si>
  <si>
    <t>P12814_ACTN1</t>
  </si>
  <si>
    <t>P12931_SRC</t>
  </si>
  <si>
    <t>P12955_PEPD</t>
  </si>
  <si>
    <t>P12956_XRCC6</t>
  </si>
  <si>
    <t>P13010_XRCC5</t>
  </si>
  <si>
    <t>P13051_UNG</t>
  </si>
  <si>
    <t>P13056_NR2C1</t>
  </si>
  <si>
    <t>P13489_RNH1</t>
  </si>
  <si>
    <t>P13498_CYBA</t>
  </si>
  <si>
    <t>P13639_EEF2</t>
  </si>
  <si>
    <t>P13647_KRT5</t>
  </si>
  <si>
    <t>P13667_PDIA4</t>
  </si>
  <si>
    <t>P13674-2_P4HA1</t>
  </si>
  <si>
    <t>P13693_TPT1</t>
  </si>
  <si>
    <t>P13797_PLS3</t>
  </si>
  <si>
    <t>P13798_APEH</t>
  </si>
  <si>
    <t>P13804_ETFA</t>
  </si>
  <si>
    <t>P13807-2_GYS1</t>
  </si>
  <si>
    <t>P13861_PRKAR2A</t>
  </si>
  <si>
    <t>P13928_ANXA8</t>
  </si>
  <si>
    <t>P13929_ENO3</t>
  </si>
  <si>
    <t>P13984_GTF2F2</t>
  </si>
  <si>
    <t>P13995_MTHFD2</t>
  </si>
  <si>
    <t>P14174_MIF</t>
  </si>
  <si>
    <t>P14314-2_PRKCSH</t>
  </si>
  <si>
    <t>P14324-2_FDPS</t>
  </si>
  <si>
    <t>P14550_AKR1A1</t>
  </si>
  <si>
    <t>P14618_PKM</t>
  </si>
  <si>
    <t>P14618-2_PKM</t>
  </si>
  <si>
    <t>P14621_ACYP2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</si>
  <si>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</si>
  <si>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</si>
  <si>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</si>
  <si>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</si>
  <si>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</si>
  <si>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</si>
  <si>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</si>
  <si>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</si>
  <si>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</si>
  <si>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</si>
  <si>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</si>
  <si>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P15121_AKR1B1</t>
  </si>
  <si>
    <t>P15151-3_PVR</t>
  </si>
  <si>
    <t>P15170-2_GSPT1</t>
  </si>
  <si>
    <t>P15248_IL9</t>
  </si>
  <si>
    <t>P15289_ARSA</t>
  </si>
  <si>
    <t>P15311_EZR</t>
  </si>
  <si>
    <t>P15374_UCHL3</t>
  </si>
  <si>
    <t>P15428_HPGD</t>
  </si>
  <si>
    <t>P15529-15_CD46</t>
  </si>
  <si>
    <t>P15531_NME1</t>
  </si>
  <si>
    <t>P15735-2_PHKG2</t>
  </si>
  <si>
    <t>P15822_HIVEP1</t>
  </si>
  <si>
    <t>P15848_ARSB</t>
  </si>
  <si>
    <t>P15880_RPS2</t>
  </si>
  <si>
    <t>P15882_CHN1</t>
  </si>
  <si>
    <t>P15924_DSP</t>
  </si>
  <si>
    <t>P15927_RPA2</t>
  </si>
  <si>
    <t>P16070-18_CD44</t>
  </si>
  <si>
    <t>P16144-4_ITGB4</t>
  </si>
  <si>
    <t>P16152_CBR1</t>
  </si>
  <si>
    <t>P16157-11_ANK1</t>
  </si>
  <si>
    <t>P16220-2_CREB1</t>
  </si>
  <si>
    <t>P16278-3_GLB1</t>
  </si>
  <si>
    <t>P16298_PPP3CB</t>
  </si>
  <si>
    <t>P16333_NCK1</t>
  </si>
  <si>
    <t>P16383_GCFC2</t>
  </si>
  <si>
    <t>P16401_HIST1H1B</t>
  </si>
  <si>
    <t>P16403_HIST1H1C</t>
  </si>
  <si>
    <t>P16455_MGMT</t>
  </si>
  <si>
    <t>P16885_PLCG2</t>
  </si>
  <si>
    <t>P16930_FAH</t>
  </si>
  <si>
    <t>P16949_STMN1</t>
  </si>
  <si>
    <t>P16989_YBX3</t>
  </si>
  <si>
    <t>P16989-2_YBX3</t>
  </si>
  <si>
    <t>P17028_ZNF24</t>
  </si>
  <si>
    <t>P17029_ZKSCAN1</t>
  </si>
  <si>
    <t>P17039_ZNF30</t>
  </si>
  <si>
    <t>P17050_NAGA</t>
  </si>
  <si>
    <t>P17066_HSPA6</t>
  </si>
  <si>
    <t>P17096_HMGA1</t>
  </si>
  <si>
    <t>P17098_ZNF8</t>
  </si>
  <si>
    <t>P17174_GOT1</t>
  </si>
  <si>
    <t>P17252_PRKCA</t>
  </si>
  <si>
    <t>P17275_JUNB</t>
  </si>
  <si>
    <t>P17302_GJA1</t>
  </si>
  <si>
    <t>P17480-2_UBTF</t>
  </si>
  <si>
    <t>P17516_AKR1C4</t>
  </si>
  <si>
    <t>P17535_JUND</t>
  </si>
  <si>
    <t>P17544-4_ATF7</t>
  </si>
  <si>
    <t>P17612_PRKACA</t>
  </si>
  <si>
    <t>P17655_CAPN2</t>
  </si>
  <si>
    <t>P17706-2_PTPN2</t>
  </si>
  <si>
    <t>P17707_AMD1</t>
  </si>
  <si>
    <t>P17812_CTPS1</t>
  </si>
  <si>
    <t>P17858_PFKL</t>
  </si>
  <si>
    <t>P17900_GM2A</t>
  </si>
  <si>
    <t>P17931_LGALS3</t>
  </si>
  <si>
    <t>P17987_TCP1</t>
  </si>
  <si>
    <t>P18031_PTPN1</t>
  </si>
  <si>
    <t>P18065_IGFBP2</t>
  </si>
  <si>
    <t>P18077_RPL35A</t>
  </si>
  <si>
    <t>P18084_ITGB5</t>
  </si>
  <si>
    <t>P18085_ARF4</t>
  </si>
  <si>
    <t>P18124_RPL7</t>
  </si>
  <si>
    <t>P18206-2_VCL</t>
  </si>
  <si>
    <t>P18283_GPX2</t>
  </si>
  <si>
    <t>P18440_NAT1</t>
  </si>
  <si>
    <t>P18583-10_SON</t>
  </si>
  <si>
    <t>P18615_NELFE</t>
  </si>
  <si>
    <t>P18669_PGAM1</t>
  </si>
  <si>
    <t>P18827_SDC1</t>
  </si>
  <si>
    <t>P18846_ATF1</t>
  </si>
  <si>
    <t>P18858_LIG1</t>
  </si>
  <si>
    <t>P18887_XRCC1</t>
  </si>
  <si>
    <t>P19105_MYL12A</t>
  </si>
  <si>
    <t>P19174-2_PLCG1</t>
  </si>
  <si>
    <t>P19338_NCL</t>
  </si>
  <si>
    <t>P19367-4_HK1</t>
  </si>
  <si>
    <t>P19387_POLR2C</t>
  </si>
  <si>
    <t>P19388_POLR2E</t>
  </si>
  <si>
    <t>P19404_NDUFV2</t>
  </si>
  <si>
    <t>P19419_ELK1</t>
  </si>
  <si>
    <t>P19440_GGT1</t>
  </si>
  <si>
    <t>P19447_ERCC3</t>
  </si>
  <si>
    <t>P19525_EIF2AK2</t>
  </si>
  <si>
    <t>P19532_TFE3</t>
  </si>
  <si>
    <t>P19623_SRM</t>
  </si>
  <si>
    <t>P19784_CSNK2A2</t>
  </si>
  <si>
    <t>P19835_CEL</t>
  </si>
  <si>
    <t>P19838_NFKB1</t>
  </si>
  <si>
    <t>P19971_TYMP</t>
  </si>
  <si>
    <t>P20042_EIF2S2</t>
  </si>
  <si>
    <t>P20248_CCNA2</t>
  </si>
  <si>
    <t>P20290_BTF3</t>
  </si>
  <si>
    <t>P20290-2_BTF3</t>
  </si>
  <si>
    <t>P20337_RAB3B</t>
  </si>
  <si>
    <t>P20338_RAB4A</t>
  </si>
  <si>
    <t>P20340-2_RAB6A</t>
  </si>
  <si>
    <t>P20585_MSH3</t>
  </si>
  <si>
    <t>P20618_PSMB1</t>
  </si>
  <si>
    <t>P20674_COX5A</t>
  </si>
  <si>
    <t>P20700_LMNB1</t>
  </si>
  <si>
    <t>P20742_PZP</t>
  </si>
  <si>
    <t>P20749_BCL3</t>
  </si>
  <si>
    <t>P20810-5_CAST</t>
  </si>
  <si>
    <t>P20810-6_CAST</t>
  </si>
  <si>
    <t>P20839-2_IMPDH1</t>
  </si>
  <si>
    <t>P20908_COL5A1</t>
  </si>
  <si>
    <t>P20936-2_RASA1</t>
  </si>
  <si>
    <t>P20962_PTMS</t>
  </si>
  <si>
    <t>P21127-8_CDK11B</t>
  </si>
  <si>
    <t>P21266_GSTM3</t>
  </si>
  <si>
    <t>P21281_ATP6V1B2</t>
  </si>
  <si>
    <t>P21283_ATP6V1C1</t>
  </si>
  <si>
    <t>P21291_CSRP1</t>
  </si>
  <si>
    <t>P21333-2_FLNA</t>
  </si>
  <si>
    <t>P21359-2_NF1</t>
  </si>
  <si>
    <t>P21399_ACO1</t>
  </si>
  <si>
    <t>P21549_AGXT</t>
  </si>
  <si>
    <t>P21580_TNFAIP3</t>
  </si>
  <si>
    <t>P21953_BCKDHB</t>
  </si>
  <si>
    <t>P21964-2_COMT</t>
  </si>
  <si>
    <t>P21980_TGM2</t>
  </si>
  <si>
    <t>P22033_MUT</t>
  </si>
  <si>
    <t>P22059_OSBP</t>
  </si>
  <si>
    <t>P22061_PCMT1</t>
  </si>
  <si>
    <t>P22087_FBL</t>
  </si>
  <si>
    <t>P22102_GART</t>
  </si>
  <si>
    <t>P22307-7_SCP2</t>
  </si>
  <si>
    <t>P22314_UBA1</t>
  </si>
  <si>
    <t>P22392-2_NME2</t>
  </si>
  <si>
    <t>P22570_FDXR</t>
  </si>
  <si>
    <t>P22626_HNRNPA2B1</t>
  </si>
  <si>
    <t>P22670_RFX1</t>
  </si>
  <si>
    <t>P22676_CALB2</t>
  </si>
  <si>
    <t>P22681_CBL</t>
  </si>
  <si>
    <t>P22692_IGFBP4</t>
  </si>
  <si>
    <t>P22694_PRKACB</t>
  </si>
  <si>
    <t>P22830_FECH</t>
  </si>
  <si>
    <t>P22897_MRC1</t>
  </si>
  <si>
    <t>P23025_XPA</t>
  </si>
  <si>
    <t>P23141-3_CES1</t>
  </si>
  <si>
    <t>P23142-3_FBLN1</t>
  </si>
  <si>
    <t>P23193_TCEA1</t>
  </si>
  <si>
    <t>P23246_SFPQ</t>
  </si>
  <si>
    <t>P23258_TUBG1</t>
  </si>
  <si>
    <t>P23284_PPIB</t>
  </si>
  <si>
    <t>P23368_ME2</t>
  </si>
  <si>
    <t>P23378_GLDC</t>
  </si>
  <si>
    <t>P23381_WARS</t>
  </si>
  <si>
    <t>P23396_RPS3</t>
  </si>
  <si>
    <t>P23409_MYF6</t>
  </si>
  <si>
    <t>P23434_GCSH</t>
  </si>
  <si>
    <t>P23458_JAK1</t>
  </si>
  <si>
    <t>P23497_SP100</t>
  </si>
  <si>
    <t>P23511-2_NFYA</t>
  </si>
  <si>
    <t>P23526_AHCY</t>
  </si>
  <si>
    <t>P23528_CFL1</t>
  </si>
  <si>
    <t>P23588_EIF4B</t>
  </si>
  <si>
    <t>P23610_F8A1</t>
  </si>
  <si>
    <t>P23743_DGKA</t>
  </si>
  <si>
    <t>P23919_DTYMK</t>
  </si>
  <si>
    <t>P23921_RRM1</t>
  </si>
  <si>
    <t>P24385_CCND1</t>
  </si>
  <si>
    <t>P24534_EEF1B2</t>
  </si>
  <si>
    <t>P24588_AKAP5</t>
  </si>
  <si>
    <t>P24666_ACP1</t>
  </si>
  <si>
    <t>P24666-2_ACP1</t>
  </si>
  <si>
    <t>P24752_ACAT1</t>
  </si>
  <si>
    <t>P24844_MYL9</t>
  </si>
  <si>
    <t>P24928_POLR2A</t>
  </si>
  <si>
    <t>P24941_CDK2</t>
  </si>
  <si>
    <t>P25054-2_APC</t>
  </si>
  <si>
    <t>P25098_ADRBK1</t>
  </si>
  <si>
    <t>P25205_MCM3</t>
  </si>
  <si>
    <t>P25398_RPS12</t>
  </si>
  <si>
    <t>P25490_YY1</t>
  </si>
  <si>
    <t>P25685_DNAJB1</t>
  </si>
  <si>
    <t>P25686_DNAJB2</t>
  </si>
  <si>
    <t>P25705_ATP5A1</t>
  </si>
  <si>
    <t>P25774-2_CTSS</t>
  </si>
  <si>
    <t>P25786_PSMA1</t>
  </si>
  <si>
    <t>P25787_PSMA2</t>
  </si>
  <si>
    <t>P25788-2_PSMA3</t>
  </si>
  <si>
    <t>P25789_PSMA4</t>
  </si>
  <si>
    <t>P25815_S100P</t>
  </si>
  <si>
    <t>P26038_MSN</t>
  </si>
  <si>
    <t>P26045_PTPN3</t>
  </si>
  <si>
    <t>P26196_DDX6</t>
  </si>
  <si>
    <t>P26358_DNMT1</t>
  </si>
  <si>
    <t>P26358-2_DNMT1</t>
  </si>
  <si>
    <t>P26368-2_U2AF2</t>
  </si>
  <si>
    <t>P26373_RPL13</t>
  </si>
  <si>
    <t>P26374_CHML</t>
  </si>
  <si>
    <t>P26440_IVD</t>
  </si>
  <si>
    <t>P26447_S100A4</t>
  </si>
  <si>
    <t>P26583_HMGB2</t>
  </si>
  <si>
    <t>P26599_PTBP1</t>
  </si>
  <si>
    <t>P26639_TARS</t>
  </si>
  <si>
    <t>P26640_VARS</t>
  </si>
  <si>
    <t>P26641_EEF1G</t>
  </si>
  <si>
    <t>P26651_ZFP36</t>
  </si>
  <si>
    <t>P26885_FKBP2</t>
  </si>
  <si>
    <t>P27144_AK4</t>
  </si>
  <si>
    <t>P27348_YWHAQ</t>
  </si>
  <si>
    <t>P27361_MAPK3</t>
  </si>
  <si>
    <t>P27448-8_MARK3</t>
  </si>
  <si>
    <t>P27540-2_ARNT</t>
  </si>
  <si>
    <t>P27635_RPL10</t>
  </si>
  <si>
    <t>P27694_RPA1</t>
  </si>
  <si>
    <t>P27695_APEX1</t>
  </si>
  <si>
    <t>P27707_DCK</t>
  </si>
  <si>
    <t>P27797_CALR</t>
  </si>
  <si>
    <t>P27824_CANX</t>
  </si>
  <si>
    <t>P27986_PIK3R1</t>
  </si>
  <si>
    <t>P27987_ITPKB</t>
  </si>
  <si>
    <t>P28062-2_PSMB8</t>
  </si>
  <si>
    <t>P28065_PSMB9</t>
  </si>
  <si>
    <t>P28066_PSMA5</t>
  </si>
  <si>
    <t>P28070_PSMB4</t>
  </si>
  <si>
    <t>P28072_PSMB6</t>
  </si>
  <si>
    <t>P28074_PSMB5</t>
  </si>
  <si>
    <t>P28331-4_NDUFS1</t>
  </si>
  <si>
    <t>P28340_POLD1</t>
  </si>
  <si>
    <t>P28482_MAPK1</t>
  </si>
  <si>
    <t>P28562_DUSP1</t>
  </si>
  <si>
    <t>P28702_RXRB</t>
  </si>
  <si>
    <t>P28715_ERCC5</t>
  </si>
  <si>
    <t>P28749_RBL1</t>
  </si>
  <si>
    <t>P28799_GRN</t>
  </si>
  <si>
    <t>P28838-2_LAP3</t>
  </si>
  <si>
    <t>P29034_S100A2</t>
  </si>
  <si>
    <t>P29083_GTF2E1</t>
  </si>
  <si>
    <t>P29084_GTF2E2</t>
  </si>
  <si>
    <t>P29144_TPP2</t>
  </si>
  <si>
    <t>P29218_IMPA1</t>
  </si>
  <si>
    <t>P29323-2_EPHB2</t>
  </si>
  <si>
    <t>P29350_PTPN6</t>
  </si>
  <si>
    <t>P29353_SHC1</t>
  </si>
  <si>
    <t>P29353-6_SHC1</t>
  </si>
  <si>
    <t>P29372-5_MPG</t>
  </si>
  <si>
    <t>P29373_CRABP2</t>
  </si>
  <si>
    <t>P29401_TKT</t>
  </si>
  <si>
    <t>P29590_PML</t>
  </si>
  <si>
    <t>P29692_EEF1D</t>
  </si>
  <si>
    <t>P29692-2_EEF1D</t>
  </si>
  <si>
    <t>P29966_MARCKS</t>
  </si>
  <si>
    <t>P30038_ALDH4A1</t>
  </si>
  <si>
    <t>P30039_PBLD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</si>
  <si>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</si>
  <si>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</si>
  <si>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</si>
  <si>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</si>
  <si>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</si>
  <si>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</si>
  <si>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</si>
  <si>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</si>
  <si>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</si>
  <si>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</si>
  <si>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</si>
  <si>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</si>
  <si>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</si>
  <si>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P30260_CDC27</t>
  </si>
  <si>
    <t>P30281_CCND3</t>
  </si>
  <si>
    <t>P30307-2_CDC25C</t>
  </si>
  <si>
    <t>P30405_PPIF</t>
  </si>
  <si>
    <t>P30414_NKTR</t>
  </si>
  <si>
    <t>P30419_NMT1</t>
  </si>
  <si>
    <t>P30519_HMOX2</t>
  </si>
  <si>
    <t>P30520_ADSS</t>
  </si>
  <si>
    <t>P30530-2_AXL</t>
  </si>
  <si>
    <t>P30533_LRPAP1</t>
  </si>
  <si>
    <t>P30566_ADSL</t>
  </si>
  <si>
    <t>P30613-2_PKLR</t>
  </si>
  <si>
    <t>P30622_CLIP1</t>
  </si>
  <si>
    <t>P30622-2_CLIP1</t>
  </si>
  <si>
    <t>P30740_SERPINB1</t>
  </si>
  <si>
    <t>P30837_ALDH1B1</t>
  </si>
  <si>
    <t>P30838_ALDH3A1</t>
  </si>
  <si>
    <t>P31040_SDHA</t>
  </si>
  <si>
    <t>P31146_CORO1A</t>
  </si>
  <si>
    <t>P31150_GDI1</t>
  </si>
  <si>
    <t>P31153_MAT2A</t>
  </si>
  <si>
    <t>P31321_PRKAR1B</t>
  </si>
  <si>
    <t>P31327_CPS1</t>
  </si>
  <si>
    <t>P31350_RRM2</t>
  </si>
  <si>
    <t>P31689_DNAJA1</t>
  </si>
  <si>
    <t>P31749_AKT1</t>
  </si>
  <si>
    <t>P31751_AKT2</t>
  </si>
  <si>
    <t>P31937_HIBADH</t>
  </si>
  <si>
    <t>P31939_ATIC</t>
  </si>
  <si>
    <t>P31942-2_HNRNPH3</t>
  </si>
  <si>
    <t>P31943_HNRNPH1</t>
  </si>
  <si>
    <t>P31946_YWHAB</t>
  </si>
  <si>
    <t>P31946-2_YWHAB</t>
  </si>
  <si>
    <t>P31947_SFN</t>
  </si>
  <si>
    <t>P31948_STIP1</t>
  </si>
  <si>
    <t>P31949_S100A11</t>
  </si>
  <si>
    <t>P32019-3_INPP5B</t>
  </si>
  <si>
    <t>P32121-5_ARRB2</t>
  </si>
  <si>
    <t>P32320_CDA</t>
  </si>
  <si>
    <t>P32321-2_DCTD</t>
  </si>
  <si>
    <t>P32322_PYCR1</t>
  </si>
  <si>
    <t>P32519-2_ELF1</t>
  </si>
  <si>
    <t>P32780_GTF2H1</t>
  </si>
  <si>
    <t>P32929_CTH</t>
  </si>
  <si>
    <t>P32969_RPL9</t>
  </si>
  <si>
    <t>P33176_KIF5B</t>
  </si>
  <si>
    <t>P33240-2_CSTF2</t>
  </si>
  <si>
    <t>P33241-2_LSP1</t>
  </si>
  <si>
    <t>P33316_DUT</t>
  </si>
  <si>
    <t>P33316-2_DUT</t>
  </si>
  <si>
    <t>P33552_CKS2</t>
  </si>
  <si>
    <t>P33764_S100A3</t>
  </si>
  <si>
    <t>P33981-2_TTK</t>
  </si>
  <si>
    <t>P33991_MCM4</t>
  </si>
  <si>
    <t>P33992_MCM5</t>
  </si>
  <si>
    <t>P33993_MCM7</t>
  </si>
  <si>
    <t>P34059_GALNS</t>
  </si>
  <si>
    <t>P34896-2_SHMT1</t>
  </si>
  <si>
    <t>P34897-3_SHMT2</t>
  </si>
  <si>
    <t>P34913_EPHX2</t>
  </si>
  <si>
    <t>P34931_HSPA1L</t>
  </si>
  <si>
    <t>P34932_HSPA4</t>
  </si>
  <si>
    <t>P35052_GPC1</t>
  </si>
  <si>
    <t>P35219_CA8</t>
  </si>
  <si>
    <t>P35221_CTNNA1</t>
  </si>
  <si>
    <t>P35237_SERPINB6</t>
  </si>
  <si>
    <t>P35240-5_NF2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</si>
  <si>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</si>
  <si>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</si>
  <si>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</si>
  <si>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</si>
  <si>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</si>
  <si>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</si>
  <si>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</si>
  <si>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</si>
  <si>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P35520_CBS</t>
  </si>
  <si>
    <t>P35556_FBN2</t>
  </si>
  <si>
    <t>P35568_IRS1</t>
  </si>
  <si>
    <t>P35573_AGL</t>
  </si>
  <si>
    <t>P35579_MYH9</t>
  </si>
  <si>
    <t>P35580_MYH10</t>
  </si>
  <si>
    <t>P35580-4_MYH10</t>
  </si>
  <si>
    <t>P35606_COPB2</t>
  </si>
  <si>
    <t>P35611-2_ADD1</t>
  </si>
  <si>
    <t>P35612_ADD2</t>
  </si>
  <si>
    <t>P35637-2_FUS</t>
  </si>
  <si>
    <t>P35658-2_NUP214</t>
  </si>
  <si>
    <t>P35658-4_NUP214</t>
  </si>
  <si>
    <t>P35659_DEK</t>
  </si>
  <si>
    <t>P35754_GLRX</t>
  </si>
  <si>
    <t>P35790-2_CHKA</t>
  </si>
  <si>
    <t>P35813_PPM1A</t>
  </si>
  <si>
    <t>P35998_PSMC2</t>
  </si>
  <si>
    <t>P36404_ARL2</t>
  </si>
  <si>
    <t>P36405_ARL3</t>
  </si>
  <si>
    <t>P36507_MAP2K2</t>
  </si>
  <si>
    <t>P36543_ATP6V1E1</t>
  </si>
  <si>
    <t>P36551_CPOX</t>
  </si>
  <si>
    <t>P36578_RPL4</t>
  </si>
  <si>
    <t>P36639-4_NUDT1</t>
  </si>
  <si>
    <t>P36871_PGM1</t>
  </si>
  <si>
    <t>P36873_PPP1CC</t>
  </si>
  <si>
    <t>P36915_GNL1</t>
  </si>
  <si>
    <t>P36954_POLR2I</t>
  </si>
  <si>
    <t>P36957_DLST</t>
  </si>
  <si>
    <t>P36969-2_GPX4</t>
  </si>
  <si>
    <t>P37108_SRP14</t>
  </si>
  <si>
    <t>P37198_NUP62</t>
  </si>
  <si>
    <t>P37235_HPCAL1</t>
  </si>
  <si>
    <t>P37802_TAGLN2</t>
  </si>
  <si>
    <t>P37837_TALDO1</t>
  </si>
  <si>
    <t>P38117_ETFB</t>
  </si>
  <si>
    <t>P38159_RBMX</t>
  </si>
  <si>
    <t>P38398-4_BRCA1</t>
  </si>
  <si>
    <t>P38432_COIL</t>
  </si>
  <si>
    <t>P38571-2_LIPA</t>
  </si>
  <si>
    <t>P38606_ATP6V1A</t>
  </si>
  <si>
    <t>P38646_HSPA9</t>
  </si>
  <si>
    <t>P38919_EIF4A3</t>
  </si>
  <si>
    <t>P38935_IGHMBP2</t>
  </si>
  <si>
    <t>P38936_CDKN1A</t>
  </si>
  <si>
    <t>P39019_RPS19</t>
  </si>
  <si>
    <t>P39023_RPL3</t>
  </si>
  <si>
    <t>P39060-2_COL18A1</t>
  </si>
  <si>
    <t>P39687_ANP32A</t>
  </si>
  <si>
    <t>P39748_FEN1</t>
  </si>
  <si>
    <t>P39880-3_CUX1</t>
  </si>
  <si>
    <t>P40121-2_CAPG</t>
  </si>
  <si>
    <t>P40123_CAP2</t>
  </si>
  <si>
    <t>P40189-3_IL6ST</t>
  </si>
  <si>
    <t>P40199_CEACAM6</t>
  </si>
  <si>
    <t>P40222_TXLNA</t>
  </si>
  <si>
    <t>P40227_CCT6A</t>
  </si>
  <si>
    <t>P40261_NNMT</t>
  </si>
  <si>
    <t>P40306_PSMB10</t>
  </si>
  <si>
    <t>P40337-3_VHL</t>
  </si>
  <si>
    <t>P40426-4_PBX3</t>
  </si>
  <si>
    <t>P40429_RPL13A</t>
  </si>
  <si>
    <t>P40692_MLH1</t>
  </si>
  <si>
    <t>P40763_STAT3</t>
  </si>
  <si>
    <t>P40763-2_STAT3</t>
  </si>
  <si>
    <t>P40818_USP8</t>
  </si>
  <si>
    <t>P40925_MDH1</t>
  </si>
  <si>
    <t>P40926_MDH2</t>
  </si>
  <si>
    <t>P40937_RFC5</t>
  </si>
  <si>
    <t>P40938_RFC3</t>
  </si>
  <si>
    <t>P40939_HADHA</t>
  </si>
  <si>
    <t>P41091_EIF2S3</t>
  </si>
  <si>
    <t>P41134-2_ID1</t>
  </si>
  <si>
    <t>P41162_ETV3</t>
  </si>
  <si>
    <t>P41208_CETN2</t>
  </si>
  <si>
    <t>P41212_ETV6</t>
  </si>
  <si>
    <t>P41214_EIF2D</t>
  </si>
  <si>
    <t>P41223_BUD31</t>
  </si>
  <si>
    <t>P41227-2_NAA10</t>
  </si>
  <si>
    <t>P41229-2_KDM5C</t>
  </si>
  <si>
    <t>P41236_PPP1R2</t>
  </si>
  <si>
    <t>P41240_CSK</t>
  </si>
  <si>
    <t>P41250_GARS</t>
  </si>
  <si>
    <t>P41252_IARS</t>
  </si>
  <si>
    <t>P41567_EIF1</t>
  </si>
  <si>
    <t>P41743_PRKCI</t>
  </si>
  <si>
    <t>P42025_ACTR1B</t>
  </si>
  <si>
    <t>P42126-2_ECI1</t>
  </si>
  <si>
    <t>P42166_TMPO</t>
  </si>
  <si>
    <t>P42167_TMPO</t>
  </si>
  <si>
    <t>P42224_STAT1</t>
  </si>
  <si>
    <t>P42226_STAT6</t>
  </si>
  <si>
    <t>P42285_SKIV2L2</t>
  </si>
  <si>
    <t>P42330_AKR1C3</t>
  </si>
  <si>
    <t>P42336_PIK3CA</t>
  </si>
  <si>
    <t>P42338_PIK3CB</t>
  </si>
  <si>
    <t>P42345_MTOR</t>
  </si>
  <si>
    <t>P42566_EPS15</t>
  </si>
  <si>
    <t>P42574_CASP3</t>
  </si>
  <si>
    <t>P42575_CASP2</t>
  </si>
  <si>
    <t>P42677_RPS27</t>
  </si>
  <si>
    <t>P42684-6_ABL2</t>
  </si>
  <si>
    <t>P42695_NCAPD3</t>
  </si>
  <si>
    <t>P42704_LRPPRC</t>
  </si>
  <si>
    <t>P42765_ACAA2</t>
  </si>
  <si>
    <t>P42766_RPL35</t>
  </si>
  <si>
    <t>P42773_CDKN2C</t>
  </si>
  <si>
    <t>P42785_PRCP</t>
  </si>
  <si>
    <t>P42858_HTT</t>
  </si>
  <si>
    <t>P43034_PAFAH1B1</t>
  </si>
  <si>
    <t>P43155-2_CRAT</t>
  </si>
  <si>
    <t>P43243_MATR3</t>
  </si>
  <si>
    <t>P43246_MSH2</t>
  </si>
  <si>
    <t>P43353_ALDH3B1</t>
  </si>
  <si>
    <t>P43378_PTPN9</t>
  </si>
  <si>
    <t>P43487_RANBP1</t>
  </si>
  <si>
    <t>P43490_NAMPT</t>
  </si>
  <si>
    <t>P43686_PSMC4</t>
  </si>
  <si>
    <t>P43897_TSFM</t>
  </si>
  <si>
    <t>P45877_PPIC</t>
  </si>
  <si>
    <t>P45954_ACADSB</t>
  </si>
  <si>
    <t>P45973_CBX5</t>
  </si>
  <si>
    <t>P45974-2_USP5</t>
  </si>
  <si>
    <t>P45983-3_MAPK8</t>
  </si>
  <si>
    <t>P45984-2_MAPK9</t>
  </si>
  <si>
    <t>P45985_MAP2K4</t>
  </si>
  <si>
    <t>P46013_MKI67</t>
  </si>
  <si>
    <t>P46013-2_MKI67</t>
  </si>
  <si>
    <t>P46019_PHKA2</t>
  </si>
  <si>
    <t>P46020-2_PHKA1</t>
  </si>
  <si>
    <t>P46060_RANGAP1</t>
  </si>
  <si>
    <t>P46063_RECQL</t>
  </si>
  <si>
    <t>P46087_NOP2</t>
  </si>
  <si>
    <t>P46100-4_ATRX</t>
  </si>
  <si>
    <t>P46108_CRK</t>
  </si>
  <si>
    <t>P46109_CRKL</t>
  </si>
  <si>
    <t>P46199_MTIF2</t>
  </si>
  <si>
    <t>P46527_CDKN1B</t>
  </si>
  <si>
    <t>P46734_MAP2K3</t>
  </si>
  <si>
    <t>P46736-2_BRCC3</t>
  </si>
  <si>
    <t>P46777_RPL5</t>
  </si>
  <si>
    <t>P46778_RPL21</t>
  </si>
  <si>
    <t>P46779_RPL28</t>
  </si>
  <si>
    <t>P46781_RPS9</t>
  </si>
  <si>
    <t>P46783_RPS10</t>
  </si>
  <si>
    <t>P46821_MAP1B</t>
  </si>
  <si>
    <t>P46926_GNPDA1</t>
  </si>
  <si>
    <t>P46934-2_NEDD4</t>
  </si>
  <si>
    <t>P46934-4_NEDD4</t>
  </si>
  <si>
    <t>P46937_YAP1</t>
  </si>
  <si>
    <t>P46937-2_YAP1</t>
  </si>
  <si>
    <t>P46939_UTRN</t>
  </si>
  <si>
    <t>P46940_IQGAP1</t>
  </si>
  <si>
    <t>P46976-2_GYG1</t>
  </si>
  <si>
    <t>P47224_RABIF</t>
  </si>
  <si>
    <t>P47710-2_CSN1S1</t>
  </si>
  <si>
    <t>P47712_PLA2G4A</t>
  </si>
  <si>
    <t>P47736_RAP1GAP</t>
  </si>
  <si>
    <t>P47755_CAPZA2</t>
  </si>
  <si>
    <t>P47756-2_CAPZB</t>
  </si>
  <si>
    <t>P47813_EIF1AX</t>
  </si>
  <si>
    <t>P47895_ALDH1A3</t>
  </si>
  <si>
    <t>P47897_QARS</t>
  </si>
  <si>
    <t>P47914_RPL29</t>
  </si>
  <si>
    <t>P47929_LGALS7</t>
  </si>
  <si>
    <t>P47974_ZFP36L2</t>
  </si>
  <si>
    <t>P47985_UQCRFS1</t>
  </si>
  <si>
    <t>P48059_LIMS1</t>
  </si>
  <si>
    <t>P48147_PREP</t>
  </si>
  <si>
    <t>P48163_ME1</t>
  </si>
  <si>
    <t>P48169_GABRA4</t>
  </si>
  <si>
    <t>P48200_IREB2</t>
  </si>
  <si>
    <t>P48380-3_RFX3</t>
  </si>
  <si>
    <t>P48436_SOX9</t>
  </si>
  <si>
    <t>P48444_ARCN1</t>
  </si>
  <si>
    <t>P48454-2_PPP3CC</t>
  </si>
  <si>
    <t>P48506_GCLC</t>
  </si>
  <si>
    <t>P48507_GCLM</t>
  </si>
  <si>
    <t>P48552_NRIP1</t>
  </si>
  <si>
    <t>P48553_TRAPPC10</t>
  </si>
  <si>
    <t>P48634_PRRC2A</t>
  </si>
  <si>
    <t>P48637_GSS</t>
  </si>
  <si>
    <t>P48643_CCT5</t>
  </si>
  <si>
    <t>P48681_NES</t>
  </si>
  <si>
    <t>P48723_HSPA13</t>
  </si>
  <si>
    <t>P48729_CSNK1A1</t>
  </si>
  <si>
    <t>P48730-2_CSNK1D</t>
  </si>
  <si>
    <t>P48735_IDH2</t>
  </si>
  <si>
    <t>P48739_PITPNB</t>
  </si>
  <si>
    <t>P49005_POLD2</t>
  </si>
  <si>
    <t>P49006_MARCKSL1</t>
  </si>
  <si>
    <t>P49116_NR2C2</t>
  </si>
  <si>
    <t>P49137_MAPKAPK2</t>
  </si>
  <si>
    <t>P49189_ALDH9A1</t>
  </si>
  <si>
    <t>P49207_RPL34</t>
  </si>
  <si>
    <t>P49247_RPIA</t>
  </si>
  <si>
    <t>P49321_NASP</t>
  </si>
  <si>
    <t>P49327_FASN</t>
  </si>
  <si>
    <t>P49354_FNTA</t>
  </si>
  <si>
    <t>P49366_DHPS</t>
  </si>
  <si>
    <t>P49368_CCT3</t>
  </si>
  <si>
    <t>P49406_MRPL19</t>
  </si>
  <si>
    <t>P49407-2_ARRB1</t>
  </si>
  <si>
    <t>P49411_TUFM</t>
  </si>
  <si>
    <t>P49419-2_ALDH7A1</t>
  </si>
  <si>
    <t>P49427_CDC34</t>
  </si>
  <si>
    <t>P49441_INPP1</t>
  </si>
  <si>
    <t>P49454_CENPF</t>
  </si>
  <si>
    <t>P49458_SRP9</t>
  </si>
  <si>
    <t>P49459_UBE2A</t>
  </si>
  <si>
    <t>P49585_PCYT1A</t>
  </si>
  <si>
    <t>P49588_AARS</t>
  </si>
  <si>
    <t>P49589-3_CARS</t>
  </si>
  <si>
    <t>P49591_SARS</t>
  </si>
  <si>
    <t>P49642_PRIM1</t>
  </si>
  <si>
    <t>P49643_PRIM2</t>
  </si>
  <si>
    <t>P49662-2_CASP4</t>
  </si>
  <si>
    <t>P49674_CSNK1E</t>
  </si>
  <si>
    <t>P49711_CTCF</t>
  </si>
  <si>
    <t>P49720_PSMB3</t>
  </si>
  <si>
    <t>P49721_PSMB2</t>
  </si>
  <si>
    <t>P49736_MCM2</t>
  </si>
  <si>
    <t>P49748_ACADVL</t>
  </si>
  <si>
    <t>P49750-4_YLPM1</t>
  </si>
  <si>
    <t>P49756_RBM25</t>
  </si>
  <si>
    <t>P49757-4_NUMB</t>
  </si>
  <si>
    <t>P49770_EIF2B2</t>
  </si>
  <si>
    <t>P49773_HINT1</t>
  </si>
  <si>
    <t>P49789_FHIT</t>
  </si>
  <si>
    <t>P49790_NUP153</t>
  </si>
  <si>
    <t>P49792_RANBP2</t>
  </si>
  <si>
    <t>P49821-2_NDUFV1</t>
  </si>
  <si>
    <t>P49840_GSK3A</t>
  </si>
  <si>
    <t>P49841_GSK3B</t>
  </si>
  <si>
    <t>P49848_TAF6</t>
  </si>
  <si>
    <t>P49902_NT5C2</t>
  </si>
  <si>
    <t>P49903_SEPHS1</t>
  </si>
  <si>
    <t>P49914_MTHFS</t>
  </si>
  <si>
    <t>P49915_GMPS</t>
  </si>
  <si>
    <t>P49916_LIG3</t>
  </si>
  <si>
    <t>P49959_MRE11A</t>
  </si>
  <si>
    <t>P50053_KHK</t>
  </si>
  <si>
    <t>P50135_HNMT</t>
  </si>
  <si>
    <t>P50213_IDH3A</t>
  </si>
  <si>
    <t>P50219_MNX1</t>
  </si>
  <si>
    <t>P50224_SULT1A3</t>
  </si>
  <si>
    <t>P50238_CRIP1</t>
  </si>
  <si>
    <t>P50336_PPOX</t>
  </si>
  <si>
    <t>P50395_GDI2</t>
  </si>
  <si>
    <t>P50402_EMD</t>
  </si>
  <si>
    <t>P50440-2_GATM</t>
  </si>
  <si>
    <t>P50452_SERPINB8</t>
  </si>
  <si>
    <t>P50453_SERPINB9</t>
  </si>
  <si>
    <t>P50454_SERPINH1</t>
  </si>
  <si>
    <t>P50502_ST13</t>
  </si>
  <si>
    <t>P50542_PEX5</t>
  </si>
  <si>
    <t>P50552_VASP</t>
  </si>
  <si>
    <t>P50570-2_DNM2</t>
  </si>
  <si>
    <t>P50570-3_DNM2</t>
  </si>
  <si>
    <t>P50579_METAP2</t>
  </si>
  <si>
    <t>P50583_NUDT2</t>
  </si>
  <si>
    <t>P50613_CDK7</t>
  </si>
  <si>
    <t>P50747_HLCS</t>
  </si>
  <si>
    <t>P50748_KNTC1</t>
  </si>
  <si>
    <t>P50749_RASSF2</t>
  </si>
  <si>
    <t>P50750_CDK9</t>
  </si>
  <si>
    <t>P50851_LRBA</t>
  </si>
  <si>
    <t>P50895_BCAM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</si>
  <si>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</si>
  <si>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</si>
  <si>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</si>
  <si>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</si>
  <si>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</si>
  <si>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</si>
  <si>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</si>
  <si>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P51151_RAB9A</t>
  </si>
  <si>
    <t>P51153_RAB13</t>
  </si>
  <si>
    <t>P51157-3_RAB28</t>
  </si>
  <si>
    <t>P51161_FABP6</t>
  </si>
  <si>
    <t>P51178_PLCD1</t>
  </si>
  <si>
    <t>P51397_DAP</t>
  </si>
  <si>
    <t>P51398-2_DAP3</t>
  </si>
  <si>
    <t>P51452_DUSP3</t>
  </si>
  <si>
    <t>P51513-4_NOVA1</t>
  </si>
  <si>
    <t>P51530-3_DNA2</t>
  </si>
  <si>
    <t>P51531-2_SMARCA2</t>
  </si>
  <si>
    <t>P51553_IDH3G</t>
  </si>
  <si>
    <t>P51570_GALK1</t>
  </si>
  <si>
    <t>P51580_TPMT</t>
  </si>
  <si>
    <t>P51587_BRCA2</t>
  </si>
  <si>
    <t>P51589_CYP2J2</t>
  </si>
  <si>
    <t>P51608_MECP2</t>
  </si>
  <si>
    <t>P51610_HCFC1</t>
  </si>
  <si>
    <t>P51610-4_HCFC1</t>
  </si>
  <si>
    <t>P51617_IRAK1</t>
  </si>
  <si>
    <t>P51649_ALDH5A1</t>
  </si>
  <si>
    <t>P51659_HSD17B4</t>
  </si>
  <si>
    <t>P51665_PSMD7</t>
  </si>
  <si>
    <t>P51668_UBE2D1</t>
  </si>
  <si>
    <t>P51688_SGSH</t>
  </si>
  <si>
    <t>P51692_STAT5B</t>
  </si>
  <si>
    <t>P51808_DYNLT3</t>
  </si>
  <si>
    <t>P51812_RPS6KA3</t>
  </si>
  <si>
    <t>P51817_PRKX</t>
  </si>
  <si>
    <t>P51825-2_AFF1</t>
  </si>
  <si>
    <t>P51857-2_AKR1D1</t>
  </si>
  <si>
    <t>P51858_HDGF</t>
  </si>
  <si>
    <t>P51948_MNAT1</t>
  </si>
  <si>
    <t>P51991_HNRNPA3</t>
  </si>
  <si>
    <t>P52272-2_HNRNPM</t>
  </si>
  <si>
    <t>P52292_KPNA2</t>
  </si>
  <si>
    <t>P52294_KPNA1</t>
  </si>
  <si>
    <t>P52298_NCBP2</t>
  </si>
  <si>
    <t>P52306_RAP1GDS1</t>
  </si>
  <si>
    <t>P52306-4_RAP1GDS1</t>
  </si>
  <si>
    <t>P52564_MAP2K6</t>
  </si>
  <si>
    <t>P52565_ARHGDIA</t>
  </si>
  <si>
    <t>P52594-2_AGFG1</t>
  </si>
  <si>
    <t>P52597_HNRNPF</t>
  </si>
  <si>
    <t>P52630-4_STAT2</t>
  </si>
  <si>
    <t>P52655_GTF2A1</t>
  </si>
  <si>
    <t>P52657_GTF2A2</t>
  </si>
  <si>
    <t>P52701_MSH6</t>
  </si>
  <si>
    <t>P52732_KIF11</t>
  </si>
  <si>
    <t>P52735-3_VAV2</t>
  </si>
  <si>
    <t>P52739-2_ZNF131</t>
  </si>
  <si>
    <t>P52747-2_ZNF143</t>
  </si>
  <si>
    <t>P52758_HRSP12</t>
  </si>
  <si>
    <t>P52788_SMS</t>
  </si>
  <si>
    <t>P52815_MRPL12</t>
  </si>
  <si>
    <t>P52824_DGKQ</t>
  </si>
  <si>
    <t>P52888_THOP1</t>
  </si>
  <si>
    <t>P52895_AKR1C2</t>
  </si>
  <si>
    <t>P52907_CAPZA1</t>
  </si>
  <si>
    <t>P52943_CRIP2</t>
  </si>
  <si>
    <t>P52948-5_NUP98</t>
  </si>
  <si>
    <t>P53004_BLVRA</t>
  </si>
  <si>
    <t>P53350_PLK1</t>
  </si>
  <si>
    <t>P53365_ARFIP2</t>
  </si>
  <si>
    <t>P53367_ARFIP1</t>
  </si>
  <si>
    <t>P53367-2_ARFIP1</t>
  </si>
  <si>
    <t>P53384-2_NUBP1</t>
  </si>
  <si>
    <t>P53396_ACLY</t>
  </si>
  <si>
    <t>P53396-2_ACLY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</si>
  <si>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</si>
  <si>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</si>
  <si>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</si>
  <si>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</si>
  <si>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</si>
  <si>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</si>
  <si>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</si>
  <si>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</si>
  <si>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P53675-2_CLTCL1</t>
  </si>
  <si>
    <t>P53680_AP2S1</t>
  </si>
  <si>
    <t>P53778_MAPK12</t>
  </si>
  <si>
    <t>P53803_POLR2K</t>
  </si>
  <si>
    <t>P53814-5_SMTN</t>
  </si>
  <si>
    <t>P53990-2_IST1</t>
  </si>
  <si>
    <t>P53992_SEC24C</t>
  </si>
  <si>
    <t>P53999_SUB1</t>
  </si>
  <si>
    <t>P54136_RARS</t>
  </si>
  <si>
    <t>P54253_ATXN1</t>
  </si>
  <si>
    <t>P54259_ATN1</t>
  </si>
  <si>
    <t>P54277-3_PMS1</t>
  </si>
  <si>
    <t>P54278_PMS2</t>
  </si>
  <si>
    <t>P54577_YARS</t>
  </si>
  <si>
    <t>P54578_USP14</t>
  </si>
  <si>
    <t>P54619-2_PRKAG1</t>
  </si>
  <si>
    <t>P54646_PRKAA2</t>
  </si>
  <si>
    <t>P54652_HSPA2</t>
  </si>
  <si>
    <t>P54687_BCAT1</t>
  </si>
  <si>
    <t>P54727_RAD23B</t>
  </si>
  <si>
    <t>P54802_NAGLU</t>
  </si>
  <si>
    <t>P54819_AK2</t>
  </si>
  <si>
    <t>P54886-2_ALDH18A1</t>
  </si>
  <si>
    <t>P54920_NAPA</t>
  </si>
  <si>
    <t>P54922_ADPRH</t>
  </si>
  <si>
    <t>P55010_EIF5</t>
  </si>
  <si>
    <t>P55036_PSMD4</t>
  </si>
  <si>
    <t>P55039_DRG2</t>
  </si>
  <si>
    <t>P55060-3_CSE1L</t>
  </si>
  <si>
    <t>P55072_VCP</t>
  </si>
  <si>
    <t>P55081_MFAP1</t>
  </si>
  <si>
    <t>P55145_MANF</t>
  </si>
  <si>
    <t>P55196_MLLT4</t>
  </si>
  <si>
    <t>P55196-3_MLLT4</t>
  </si>
  <si>
    <t>P55199_ELL</t>
  </si>
  <si>
    <t>P55210_CASP7</t>
  </si>
  <si>
    <t>P55211-2_CASP9</t>
  </si>
  <si>
    <t>P55212_CASP6</t>
  </si>
  <si>
    <t>P55263_ADK</t>
  </si>
  <si>
    <t>P55265-5_ADAR</t>
  </si>
  <si>
    <t>P55268_LAMB2</t>
  </si>
  <si>
    <t>P55327-2_TPD52</t>
  </si>
  <si>
    <t>P55347-2_PKNOX1</t>
  </si>
  <si>
    <t>P55735_SEC13</t>
  </si>
  <si>
    <t>P55769_NHP2L1</t>
  </si>
  <si>
    <t>P55789_GFER</t>
  </si>
  <si>
    <t>P55795_HNRNPH2</t>
  </si>
  <si>
    <t>P55809_OXCT1</t>
  </si>
  <si>
    <t>P55854_SUMO3</t>
  </si>
  <si>
    <t>P55884_EIF3B</t>
  </si>
  <si>
    <t>P56181-2_NDUFV3</t>
  </si>
  <si>
    <t>P56192_MARS</t>
  </si>
  <si>
    <t>P56211_ARPP19</t>
  </si>
  <si>
    <t>P56277_CMC4</t>
  </si>
  <si>
    <t>P56282-2_POLE2</t>
  </si>
  <si>
    <t>P56377_AP1S2</t>
  </si>
  <si>
    <t>P56524_HDAC4</t>
  </si>
  <si>
    <t>P56537_EIF6</t>
  </si>
  <si>
    <t>P56545_CTBP2</t>
  </si>
  <si>
    <t>P56945_BCAR1</t>
  </si>
  <si>
    <t>P56962_STX17</t>
  </si>
  <si>
    <t>P57060_RWDD2B</t>
  </si>
  <si>
    <t>P57076_C21orf59</t>
  </si>
  <si>
    <t>P57081_WDR4</t>
  </si>
  <si>
    <t>P57105_SYNJ2BP</t>
  </si>
  <si>
    <t>P57737-3_CORO7</t>
  </si>
  <si>
    <t>P57740_NUP107</t>
  </si>
  <si>
    <t>P57764_GSDMD</t>
  </si>
  <si>
    <t>P57768_SNX16</t>
  </si>
  <si>
    <t>P57772_EEFSEC</t>
  </si>
  <si>
    <t>P58546_MTPN</t>
  </si>
  <si>
    <t>P59780_AP3S2</t>
  </si>
  <si>
    <t>P59998_ARPC4</t>
  </si>
  <si>
    <t>P60174-1_TPI1</t>
  </si>
  <si>
    <t>P60228_EIF3E</t>
  </si>
  <si>
    <t>P60468_SEC61B</t>
  </si>
  <si>
    <t>P60510_PPP4C</t>
  </si>
  <si>
    <t>P60520_GABARAPL2</t>
  </si>
  <si>
    <t>P60660_MYL6</t>
  </si>
  <si>
    <t>P60660-2_MYL6</t>
  </si>
  <si>
    <t>P60709_ACTB</t>
  </si>
  <si>
    <t>P60763_RAC3</t>
  </si>
  <si>
    <t>P60842_EIF4A1</t>
  </si>
  <si>
    <t>P60866_RPS20</t>
  </si>
  <si>
    <t>P60880-2_SNAP25</t>
  </si>
  <si>
    <t>P60891_PRPS1</t>
  </si>
  <si>
    <t>P60900_PSMA6</t>
  </si>
  <si>
    <t>P60903_S100A10</t>
  </si>
  <si>
    <t>P60953_CDC42</t>
  </si>
  <si>
    <t>P60981_DSTN</t>
  </si>
  <si>
    <t>P60983_GMFB</t>
  </si>
  <si>
    <t>P61006_RAB8A</t>
  </si>
  <si>
    <t>P61011_SRP54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</si>
  <si>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</si>
  <si>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</si>
  <si>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</si>
  <si>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</si>
  <si>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</si>
  <si>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</si>
  <si>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</si>
  <si>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</si>
  <si>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</si>
  <si>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P61158_ACTR3</t>
  </si>
  <si>
    <t>P61160_ACTR2</t>
  </si>
  <si>
    <t>P61163_ACTR1A</t>
  </si>
  <si>
    <t>P61201_COPS2</t>
  </si>
  <si>
    <t>P61221_ABCE1</t>
  </si>
  <si>
    <t>P61224_RAP1B</t>
  </si>
  <si>
    <t>P61225_RAP2B</t>
  </si>
  <si>
    <t>P61244-2_MAX</t>
  </si>
  <si>
    <t>P61247_RPS3A</t>
  </si>
  <si>
    <t>P61254_RPL26</t>
  </si>
  <si>
    <t>P61289_PSME3</t>
  </si>
  <si>
    <t>P61313_RPL15</t>
  </si>
  <si>
    <t>P61353_RPL27</t>
  </si>
  <si>
    <t>P61457_PCBD1</t>
  </si>
  <si>
    <t>P61586_RHOA</t>
  </si>
  <si>
    <t>P61587_RND3</t>
  </si>
  <si>
    <t>P61599_NAA20</t>
  </si>
  <si>
    <t>P61604_HSPE1</t>
  </si>
  <si>
    <t>P61758_VBP1</t>
  </si>
  <si>
    <t>P61764_STXBP1</t>
  </si>
  <si>
    <t>P61923_COPZ1</t>
  </si>
  <si>
    <t>P61927_RPL37</t>
  </si>
  <si>
    <t>P61952_GNG11</t>
  </si>
  <si>
    <t>P61956_SUMO2</t>
  </si>
  <si>
    <t>P61962_DCAF7</t>
  </si>
  <si>
    <t>P61964_WDR5</t>
  </si>
  <si>
    <t>P61966_AP1S1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</si>
  <si>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</si>
  <si>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</si>
  <si>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</si>
  <si>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</si>
  <si>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</si>
  <si>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</si>
  <si>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</si>
  <si>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</si>
  <si>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P62158_CALM1</t>
  </si>
  <si>
    <t>P62166_NCS1</t>
  </si>
  <si>
    <t>P62191_PSMC1</t>
  </si>
  <si>
    <t>P62195-2_PSMC5</t>
  </si>
  <si>
    <t>P62241_RPS8</t>
  </si>
  <si>
    <t>P62249_RPS16</t>
  </si>
  <si>
    <t>P62253_UBE2G1</t>
  </si>
  <si>
    <t>P62258_YWHAE</t>
  </si>
  <si>
    <t>P62263_RPS14</t>
  </si>
  <si>
    <t>P62266_RPS23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</si>
  <si>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</si>
  <si>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</si>
  <si>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</si>
  <si>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</si>
  <si>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</si>
  <si>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</si>
  <si>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</si>
  <si>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</si>
  <si>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</si>
  <si>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</si>
  <si>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</si>
  <si>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</si>
  <si>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</si>
  <si>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</si>
  <si>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</si>
  <si>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</si>
  <si>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</si>
  <si>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</si>
  <si>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P62633-2_CNBP</t>
  </si>
  <si>
    <t>P62633-3_CNBP</t>
  </si>
  <si>
    <t>P62699_YPEL5</t>
  </si>
  <si>
    <t>P62701_RPS4X</t>
  </si>
  <si>
    <t>P62714_PPP2CB</t>
  </si>
  <si>
    <t>P62750_RPL23A</t>
  </si>
  <si>
    <t>P62753_RPS6</t>
  </si>
  <si>
    <t>P62805_HIST1H4A</t>
  </si>
  <si>
    <t>P62820_RAB1A</t>
  </si>
  <si>
    <t>P62826_RAN</t>
  </si>
  <si>
    <t>P62829_RPL23</t>
  </si>
  <si>
    <t>P62837_UBE2D2</t>
  </si>
  <si>
    <t>P62847-2_RPS24</t>
  </si>
  <si>
    <t>P62851_RPS25</t>
  </si>
  <si>
    <t>P62854_RPS26</t>
  </si>
  <si>
    <t>P62857_RPS28</t>
  </si>
  <si>
    <t>P62873_GNB1</t>
  </si>
  <si>
    <t>P62875_POLR2L</t>
  </si>
  <si>
    <t>P62877_RBX1</t>
  </si>
  <si>
    <t>P62888_RPL30</t>
  </si>
  <si>
    <t>P62906_RPL10A</t>
  </si>
  <si>
    <t>P62917_RPL8</t>
  </si>
  <si>
    <t>P62942_FKBP1A</t>
  </si>
  <si>
    <t>P62993_GRB2</t>
  </si>
  <si>
    <t>P62995_TRA2B</t>
  </si>
  <si>
    <t>P63000_RAC1</t>
  </si>
  <si>
    <t>P63010_AP2B1</t>
  </si>
  <si>
    <t>P63096_GNAI1</t>
  </si>
  <si>
    <t>P63104_YWHAZ</t>
  </si>
  <si>
    <t>P63151_PPP2R2A</t>
  </si>
  <si>
    <t>P63167_DYNLL1</t>
  </si>
  <si>
    <t>P63241_EIF5A</t>
  </si>
  <si>
    <t>P63244_GNB2L1</t>
  </si>
  <si>
    <t>P63261_ACTG1</t>
  </si>
  <si>
    <t>P63272_SUPT4H1</t>
  </si>
  <si>
    <t>P63313_TMSB10</t>
  </si>
  <si>
    <t>P67775_PPP2CA</t>
  </si>
  <si>
    <t>P67809_YBX1</t>
  </si>
  <si>
    <t>P67870_CSNK2B</t>
  </si>
  <si>
    <t>P67936_TPM4</t>
  </si>
  <si>
    <t>P68036_UBE2L3</t>
  </si>
  <si>
    <t>P68104_EEF1A1</t>
  </si>
  <si>
    <t>P68106_FKBP1B</t>
  </si>
  <si>
    <t>P68133_ACTA1</t>
  </si>
  <si>
    <t>P68363_TUBA1B</t>
  </si>
  <si>
    <t>P68371_TUBB4B</t>
  </si>
  <si>
    <t>P68402_PAFAH1B2</t>
  </si>
  <si>
    <t>P78314_SH3BP2</t>
  </si>
  <si>
    <t>P78316_NOP14</t>
  </si>
  <si>
    <t>P78318_IGBP1</t>
  </si>
  <si>
    <t>P78324_SIRPA</t>
  </si>
  <si>
    <t>P78330_PSPH</t>
  </si>
  <si>
    <t>P78332_RBM6</t>
  </si>
  <si>
    <t>P78345_RPP38</t>
  </si>
  <si>
    <t>P78346_RPP30</t>
  </si>
  <si>
    <t>P78347-2_GTF2I</t>
  </si>
  <si>
    <t>P78356_PIP4K2B</t>
  </si>
  <si>
    <t>P78364_PHC1</t>
  </si>
  <si>
    <t>P78371_CCT2</t>
  </si>
  <si>
    <t>P78406_RAE1</t>
  </si>
  <si>
    <t>P78417_GSTO1</t>
  </si>
  <si>
    <t>P78504_JAG1</t>
  </si>
  <si>
    <t>P78527_PRKDC</t>
  </si>
  <si>
    <t>P78537_BLOC1S1</t>
  </si>
  <si>
    <t>P78545-2_ELF3</t>
  </si>
  <si>
    <t>P78559_MAP1A</t>
  </si>
  <si>
    <t>P78560_CRADD</t>
  </si>
  <si>
    <t>P80217_IFI35</t>
  </si>
  <si>
    <t>P80297_MT1X</t>
  </si>
  <si>
    <t>P80303_NUCB2</t>
  </si>
  <si>
    <t>P80723_BASP1</t>
  </si>
  <si>
    <t>P81605_DCD</t>
  </si>
  <si>
    <t>P82094_TMF1</t>
  </si>
  <si>
    <t>P82673_MRPS35</t>
  </si>
  <si>
    <t>P82909_MRPS36</t>
  </si>
  <si>
    <t>P82912-2_MRPS11</t>
  </si>
  <si>
    <t>P82930_MRPS34</t>
  </si>
  <si>
    <t>P82932_MRPS6</t>
  </si>
  <si>
    <t>P82979_SARNP</t>
  </si>
  <si>
    <t>P83369_LSM11</t>
  </si>
  <si>
    <t>P83436_COG7</t>
  </si>
  <si>
    <t>P83881_RPL36A</t>
  </si>
  <si>
    <t>P84022_SMAD3</t>
  </si>
  <si>
    <t>P84077_ARF1</t>
  </si>
  <si>
    <t>P84085_ARF5</t>
  </si>
  <si>
    <t>P84090_ERH</t>
  </si>
  <si>
    <t>P84095_RHOG</t>
  </si>
  <si>
    <t>P84101-4_SERF2</t>
  </si>
  <si>
    <t>P85037_FOXK1</t>
  </si>
  <si>
    <t>P85299-2_PRR5</t>
  </si>
  <si>
    <t>P86791_CCZ1</t>
  </si>
  <si>
    <t>P98082-3_DAB2</t>
  </si>
  <si>
    <t>P98155-2_VLDLR</t>
  </si>
  <si>
    <t>P98170_XIAP</t>
  </si>
  <si>
    <t>P98174_FGD1</t>
  </si>
  <si>
    <t>P98175-4_RBM10</t>
  </si>
  <si>
    <t>P98179_RBM3</t>
  </si>
  <si>
    <t>Q00013-2_MPP1</t>
  </si>
  <si>
    <t>Q00059_TFAM</t>
  </si>
  <si>
    <t>Q00169_PITPNA</t>
  </si>
  <si>
    <t>Q00341_HDLBP</t>
  </si>
  <si>
    <t>Q00403_GTF2B</t>
  </si>
  <si>
    <t>Q00534_CDK6</t>
  </si>
  <si>
    <t>Q00535_CDK5</t>
  </si>
  <si>
    <t>Q00536_CDK16</t>
  </si>
  <si>
    <t>Q00577_PURA</t>
  </si>
  <si>
    <t>Q00587-2_CDC42EP1</t>
  </si>
  <si>
    <t>Q00610-2_CLTC</t>
  </si>
  <si>
    <t>Q00653-4_NFKB2</t>
  </si>
  <si>
    <t>Q00688_FKBP3</t>
  </si>
  <si>
    <t>Q00796_SORD</t>
  </si>
  <si>
    <t>Q00839_HNRNPU</t>
  </si>
  <si>
    <t>Q00978_IRF9</t>
  </si>
  <si>
    <t>Q01081_U2AF1</t>
  </si>
  <si>
    <t>Q01082_SPTBN1</t>
  </si>
  <si>
    <t>Q01082-3_SPTBN1</t>
  </si>
  <si>
    <t>Q01085-2_TIAL1</t>
  </si>
  <si>
    <t>Q01105_SET</t>
  </si>
  <si>
    <t>Q01105-2_SET</t>
  </si>
  <si>
    <t>Q01167_FOXK2</t>
  </si>
  <si>
    <t>Q01432_AMPD3</t>
  </si>
  <si>
    <t>Q01433_AMPD2</t>
  </si>
  <si>
    <t>Q01459_CTBS</t>
  </si>
  <si>
    <t>Q01469_FABP5</t>
  </si>
  <si>
    <t>Q01518-2_CAP1</t>
  </si>
  <si>
    <t>Q01581_HMGCS1</t>
  </si>
  <si>
    <t>Q01650_SLC7A5</t>
  </si>
  <si>
    <t>Q01658_DR1</t>
  </si>
  <si>
    <t>Q01664_TFAP4</t>
  </si>
  <si>
    <t>Q01780-2_EXOSC10</t>
  </si>
  <si>
    <t>Q01804_OTUD4</t>
  </si>
  <si>
    <t>Q01813_PFKP</t>
  </si>
  <si>
    <t>Q01844-6_EWSR1</t>
  </si>
  <si>
    <t>Q01850_CDR2</t>
  </si>
  <si>
    <t>Q01968-2_OCRL</t>
  </si>
  <si>
    <t>Q01970_PLCB3</t>
  </si>
  <si>
    <t>Q01973_ROR1</t>
  </si>
  <si>
    <t>Q01995_TAGLN</t>
  </si>
  <si>
    <t>Q02040_AKAP17A</t>
  </si>
  <si>
    <t>Q02078-4_MEF2A</t>
  </si>
  <si>
    <t>Q02083-2_NAAA</t>
  </si>
  <si>
    <t>Q02086-2_SP2</t>
  </si>
  <si>
    <t>Q02156_PRKCE</t>
  </si>
  <si>
    <t>Q02224-3_CENPE</t>
  </si>
  <si>
    <t>Q02241_KIF23</t>
  </si>
  <si>
    <t>Q02241-2_KIF23</t>
  </si>
  <si>
    <t>Q02297_NRG1</t>
  </si>
  <si>
    <t>Q02388-2_COL7A1</t>
  </si>
  <si>
    <t>Q02410_APBA1</t>
  </si>
  <si>
    <t>Q02446_SP4</t>
  </si>
  <si>
    <t>Q02447-3_SP3</t>
  </si>
  <si>
    <t>Q02535_ID3</t>
  </si>
  <si>
    <t>Q02543_RPL18A</t>
  </si>
  <si>
    <t>Q02750_MAP2K1</t>
  </si>
  <si>
    <t>Q02790_FKBP4</t>
  </si>
  <si>
    <t>Q02809_PLOD1</t>
  </si>
  <si>
    <t>Q02818_NUCB1</t>
  </si>
  <si>
    <t>Q02833-3_RASSF7</t>
  </si>
  <si>
    <t>Q02880-2_TOP2B</t>
  </si>
  <si>
    <t>Q02952-3_AKAP12</t>
  </si>
  <si>
    <t>Q03001_DST</t>
  </si>
  <si>
    <t>Q03111_MLLT1</t>
  </si>
  <si>
    <t>Q03135_CAV1</t>
  </si>
  <si>
    <t>Q03154_ACY1</t>
  </si>
  <si>
    <t>Q03164-2_MLL</t>
  </si>
  <si>
    <t>Q03169_TNFAIP2</t>
  </si>
  <si>
    <t>Q03252_LMNB2</t>
  </si>
  <si>
    <t>Q03393_PTS</t>
  </si>
  <si>
    <t>Q03468_ERCC6</t>
  </si>
  <si>
    <t>Q03701_CEBPZ</t>
  </si>
  <si>
    <t>Q03933-2_HSF2</t>
  </si>
  <si>
    <t>Q04446_GBE1</t>
  </si>
  <si>
    <t>Q04656-5_ATP7A</t>
  </si>
  <si>
    <t>Q04695_KRT17</t>
  </si>
  <si>
    <t>Q04724_TLE1</t>
  </si>
  <si>
    <t>Q04726-3_TLE3</t>
  </si>
  <si>
    <t>Q04727-3_TLE4</t>
  </si>
  <si>
    <t>Q04756_HGFAC</t>
  </si>
  <si>
    <t>Q04760_GLO1</t>
  </si>
  <si>
    <t>Q04828_AKR1C1</t>
  </si>
  <si>
    <t>Q04837_SSBP1</t>
  </si>
  <si>
    <t>Q04917_YWHAH</t>
  </si>
  <si>
    <t>Q05048_CSTF1</t>
  </si>
  <si>
    <t>Q05086-3_UBE3A</t>
  </si>
  <si>
    <t>Q05193_DNM1</t>
  </si>
  <si>
    <t>Q05209_PTPN12</t>
  </si>
  <si>
    <t>Q05397-6_PTK2</t>
  </si>
  <si>
    <t>Q05513_PRKCZ</t>
  </si>
  <si>
    <t>Q05519-2_SRSF11</t>
  </si>
  <si>
    <t>Q05639_EEF1A2</t>
  </si>
  <si>
    <t>Q05655_PRKCD</t>
  </si>
  <si>
    <t>Q05682_CALD1</t>
  </si>
  <si>
    <t>Q05682-4_CALD1</t>
  </si>
  <si>
    <t>Q05932-3_FPGS</t>
  </si>
  <si>
    <t>Q06124_PTPN11</t>
  </si>
  <si>
    <t>Q06203_PPAT</t>
  </si>
  <si>
    <t>Q06210-2_GFPT1</t>
  </si>
  <si>
    <t>Q06265_EXOSC9</t>
  </si>
  <si>
    <t>Q06323_PSME1</t>
  </si>
  <si>
    <t>Q06330-5_RBPJ</t>
  </si>
  <si>
    <t>Q06546_GABPA</t>
  </si>
  <si>
    <t>Q06547-2_GABPB1</t>
  </si>
  <si>
    <t>Q06587_RING1</t>
  </si>
  <si>
    <t>Q06609-3_RAD51</t>
  </si>
  <si>
    <t>Q06787-8_FMR1</t>
  </si>
  <si>
    <t>Q06945_SOX4</t>
  </si>
  <si>
    <t>Q07020_RPL18</t>
  </si>
  <si>
    <t>Q07021_C1QBP</t>
  </si>
  <si>
    <t>Q07065_CKAP4</t>
  </si>
  <si>
    <t>Q07283_TCHH</t>
  </si>
  <si>
    <t>Q07617_SPAG1</t>
  </si>
  <si>
    <t>Q07666_KHDRBS1</t>
  </si>
  <si>
    <t>Q07812-8_BAX</t>
  </si>
  <si>
    <t>Q07866-6_KLC1</t>
  </si>
  <si>
    <t>Q07954_LRP1</t>
  </si>
  <si>
    <t>Q07955_SRSF1</t>
  </si>
  <si>
    <t>Q07960_ARHGAP1</t>
  </si>
  <si>
    <t>Q08117_AES</t>
  </si>
  <si>
    <t>Q08170_SRSF4</t>
  </si>
  <si>
    <t>Q08188_TGM3</t>
  </si>
  <si>
    <t>Q08209-2_PPP3CA</t>
  </si>
  <si>
    <t>Q08211_DHX9</t>
  </si>
  <si>
    <t>Q08257_CRYZ</t>
  </si>
  <si>
    <t>Q08378_GOLGA3</t>
  </si>
  <si>
    <t>Q08379_GOLGA2</t>
  </si>
  <si>
    <t>Q08380_LGALS3BP</t>
  </si>
  <si>
    <t>Q08431-2_MFGE8</t>
  </si>
  <si>
    <t>Q08495_EPB49</t>
  </si>
  <si>
    <t>Q08499-6_PDE4D</t>
  </si>
  <si>
    <t>Q08554-2_DSC1</t>
  </si>
  <si>
    <t>Q08752_PPID</t>
  </si>
  <si>
    <t>Q08945_SSRP1</t>
  </si>
  <si>
    <t>Q08999_RBL2</t>
  </si>
  <si>
    <t>Q08AD1-2_CAMSAP2</t>
  </si>
  <si>
    <t>Q08AE8-2_SPIRE1</t>
  </si>
  <si>
    <t>Q08AG7_MZT1</t>
  </si>
  <si>
    <t>Q08AM6_VAC14</t>
  </si>
  <si>
    <t>Q08J23_NSUN2</t>
  </si>
  <si>
    <t>Q09028-3_RBBP4</t>
  </si>
  <si>
    <t>Q09161_NCBP1</t>
  </si>
  <si>
    <t>Q09472_EP300</t>
  </si>
  <si>
    <t>Q09666_AHNAK</t>
  </si>
  <si>
    <t>Q09666-2_AHNAK</t>
  </si>
  <si>
    <t>Q0JRZ9_FCHO2</t>
  </si>
  <si>
    <t>Q0PNE2_ELP6</t>
  </si>
  <si>
    <t>Q0VDF9_HSPA14</t>
  </si>
  <si>
    <t>Q0VDG4_SCRN3</t>
  </si>
  <si>
    <t>Q0VF96_CGNL1</t>
  </si>
  <si>
    <t>Q0VG06_FAAP100</t>
  </si>
  <si>
    <t>Q0VGL1_LAMTOR4</t>
  </si>
  <si>
    <t>Q10567-2_AP1B1</t>
  </si>
  <si>
    <t>Q10567-3_AP1B1</t>
  </si>
  <si>
    <t>Q10570_CPSF1</t>
  </si>
  <si>
    <t>Q10713_PMPCA</t>
  </si>
  <si>
    <t>Q12765_SCRN1</t>
  </si>
  <si>
    <t>Q12768_KIAA0196</t>
  </si>
  <si>
    <t>Q12769_NUP160</t>
  </si>
  <si>
    <t>Q12789_GTF3C1</t>
  </si>
  <si>
    <t>Q12792_TWF1</t>
  </si>
  <si>
    <t>Q12797_ASPH</t>
  </si>
  <si>
    <t>Q12800-2_TFCP2</t>
  </si>
  <si>
    <t>Q12802_AKAP13</t>
  </si>
  <si>
    <t>Q12824-2_SMARCB1</t>
  </si>
  <si>
    <t>Q12830-4_BPTF</t>
  </si>
  <si>
    <t>Q12834_CDC20</t>
  </si>
  <si>
    <t>Q12841_FSTL1</t>
  </si>
  <si>
    <t>Q12846_STX4</t>
  </si>
  <si>
    <t>Q12849-5_GRSF1</t>
  </si>
  <si>
    <t>Q12860-2_CNTN1</t>
  </si>
  <si>
    <t>Q12872_SFSWAP</t>
  </si>
  <si>
    <t>Q12873_CHD3</t>
  </si>
  <si>
    <t>Q12874_SF3A3</t>
  </si>
  <si>
    <t>Q12882_DPYD</t>
  </si>
  <si>
    <t>Q12888_TP53BP1</t>
  </si>
  <si>
    <t>Q12894_IFRD2</t>
  </si>
  <si>
    <t>Q12904_AIMP1</t>
  </si>
  <si>
    <t>Q12905_ILF2</t>
  </si>
  <si>
    <t>Q12906-7_ILF3</t>
  </si>
  <si>
    <t>Q12913_PTPRJ</t>
  </si>
  <si>
    <t>Q12923-2_PTPN13</t>
  </si>
  <si>
    <t>Q12929_EPS8</t>
  </si>
  <si>
    <t>Q12933-3_TRAF2</t>
  </si>
  <si>
    <t>Q12955_ANK3</t>
  </si>
  <si>
    <t>Q12959-5_DLG1</t>
  </si>
  <si>
    <t>Q12962_TAF10</t>
  </si>
  <si>
    <t>Q12965_MYO1E</t>
  </si>
  <si>
    <t>Q12972_PPP1R8</t>
  </si>
  <si>
    <t>Q12974_PTP4A2</t>
  </si>
  <si>
    <t>Q12979-4_ABR</t>
  </si>
  <si>
    <t>Q12981_BNIP1</t>
  </si>
  <si>
    <t>Q12982_BNIP2</t>
  </si>
  <si>
    <t>Q12986_NFX1</t>
  </si>
  <si>
    <t>Q12996_CSTF3</t>
  </si>
  <si>
    <t>Q13011_ECH1</t>
  </si>
  <si>
    <t>Q13017-2_ARHGAP5</t>
  </si>
  <si>
    <t>Q13033-2_STRN3</t>
  </si>
  <si>
    <t>Q13042-3_CDC16</t>
  </si>
  <si>
    <t>Q13043_STK4</t>
  </si>
  <si>
    <t>Q13045_FLII</t>
  </si>
  <si>
    <t>Q13045-2_FLII</t>
  </si>
  <si>
    <t>Q13049_TRIM32</t>
  </si>
  <si>
    <t>Q13057_COASY</t>
  </si>
  <si>
    <t>Q13077_TRAF1</t>
  </si>
  <si>
    <t>Q13085_ACACA</t>
  </si>
  <si>
    <t>Q13107-2_USP4</t>
  </si>
  <si>
    <t>Q13111_CHAF1A</t>
  </si>
  <si>
    <t>Q13112_CHAF1B</t>
  </si>
  <si>
    <t>Q13114-2_TRAF3</t>
  </si>
  <si>
    <t>Q13115_DUSP4</t>
  </si>
  <si>
    <t>Q13123_IK</t>
  </si>
  <si>
    <t>Q13131_PRKAA1</t>
  </si>
  <si>
    <t>Q13136_PPFIA1</t>
  </si>
  <si>
    <t>Q13148_TARDBP</t>
  </si>
  <si>
    <t>Q13151_HNRNPA0</t>
  </si>
  <si>
    <t>Q13153_PAK1</t>
  </si>
  <si>
    <t>Q13155_AIMP2</t>
  </si>
  <si>
    <t>Q13158_FADD</t>
  </si>
  <si>
    <t>Q13162_PRDX4</t>
  </si>
  <si>
    <t>Q13163-4_MAP2K5</t>
  </si>
  <si>
    <t>Q13164_MAPK7</t>
  </si>
  <si>
    <t>Q13177_PAK2</t>
  </si>
  <si>
    <t>Q13185_CBX3</t>
  </si>
  <si>
    <t>Q13188_STK3</t>
  </si>
  <si>
    <t>Q13190_STX5</t>
  </si>
  <si>
    <t>Q13191_CBLB</t>
  </si>
  <si>
    <t>Q13200_PSMD2</t>
  </si>
  <si>
    <t>Q13206_DDX10</t>
  </si>
  <si>
    <t>Q13216-2_ERCC8</t>
  </si>
  <si>
    <t>Q13217_DNAJC3</t>
  </si>
  <si>
    <t>Q13228_SELENBP1</t>
  </si>
  <si>
    <t>Q13232_NME3</t>
  </si>
  <si>
    <t>Q13233_MAP3K1</t>
  </si>
  <si>
    <t>Q13242_SRSF9</t>
  </si>
  <si>
    <t>Q13243-3_SRSF5</t>
  </si>
  <si>
    <t>Q13247-3_SRSF6</t>
  </si>
  <si>
    <t>Q13255_GRM1</t>
  </si>
  <si>
    <t>Q13257_MAD2L1</t>
  </si>
  <si>
    <t>Q13263_TRIM28</t>
  </si>
  <si>
    <t>Q13283_G3BP1</t>
  </si>
  <si>
    <t>Q13287_NMI</t>
  </si>
  <si>
    <t>Q13303-2_KCNAB2</t>
  </si>
  <si>
    <t>Q13308-3_PTK7</t>
  </si>
  <si>
    <t>Q13310-3_PABPC4</t>
  </si>
  <si>
    <t>Q13315_ATM</t>
  </si>
  <si>
    <t>Q13322-2_GRB10</t>
  </si>
  <si>
    <t>Q13325_IFIT5</t>
  </si>
  <si>
    <t>Q13330-3_MTA1</t>
  </si>
  <si>
    <t>Q13332-6_PTPRS</t>
  </si>
  <si>
    <t>Q13347_EIF3I</t>
  </si>
  <si>
    <t>Q13362-4_PPP2R5C</t>
  </si>
  <si>
    <t>Q13363-2_CTBP1</t>
  </si>
  <si>
    <t>Q13371_PDCL</t>
  </si>
  <si>
    <t>Q13395_TARBP1</t>
  </si>
  <si>
    <t>Q13404_UBE2V1</t>
  </si>
  <si>
    <t>Q13409-6_DYNC1I2</t>
  </si>
  <si>
    <t>Q13416_ORC2</t>
  </si>
  <si>
    <t>Q13418_ILK</t>
  </si>
  <si>
    <t>Q13425_SNTB2</t>
  </si>
  <si>
    <t>Q13426_XRCC4</t>
  </si>
  <si>
    <t>Q13427_PPIG</t>
  </si>
  <si>
    <t>Q13428-3_TCOF1</t>
  </si>
  <si>
    <t>Q13428-4_TCOF1</t>
  </si>
  <si>
    <t>Q13432_UNC119</t>
  </si>
  <si>
    <t>Q13435_SF3B2</t>
  </si>
  <si>
    <t>Q13439-3_GOLGA4</t>
  </si>
  <si>
    <t>Q13442_PDAP1</t>
  </si>
  <si>
    <t>Q13443_ADAM9</t>
  </si>
  <si>
    <t>Q13451_FKBP5</t>
  </si>
  <si>
    <t>Q13464_ROCK1</t>
  </si>
  <si>
    <t>Q13467_FZD5</t>
  </si>
  <si>
    <t>Q13472-2_TOP3A</t>
  </si>
  <si>
    <t>Q13480-2_GAB1</t>
  </si>
  <si>
    <t>Q13492-3_PICALM</t>
  </si>
  <si>
    <t>Q13496_MTM1</t>
  </si>
  <si>
    <t>Q13501_SQSTM1</t>
  </si>
  <si>
    <t>Q13503_MED21</t>
  </si>
  <si>
    <t>Q13506_NAB1</t>
  </si>
  <si>
    <t>Q13509_TUBB3</t>
  </si>
  <si>
    <t>Q13516_OLIG2</t>
  </si>
  <si>
    <t>Q13526_PIN1</t>
  </si>
  <si>
    <t>Q13535-2_ATR</t>
  </si>
  <si>
    <t>Q13541_EIF4EBP1</t>
  </si>
  <si>
    <t>Q13542_EIF4EBP2</t>
  </si>
  <si>
    <t>Q13546_RIPK1</t>
  </si>
  <si>
    <t>Q13547_HDAC1</t>
  </si>
  <si>
    <t>Q13557-8_CAMK2D</t>
  </si>
  <si>
    <t>Q13561_DCTN2</t>
  </si>
  <si>
    <t>Q13563-2_PKD2</t>
  </si>
  <si>
    <t>Q13564-2_NAE1</t>
  </si>
  <si>
    <t>Q13572_ITPK1</t>
  </si>
  <si>
    <t>Q13573_SNW1</t>
  </si>
  <si>
    <t>Q13574-2_DGKZ</t>
  </si>
  <si>
    <t>Q13596_SNX1</t>
  </si>
  <si>
    <t>Q13608_PEX6</t>
  </si>
  <si>
    <t>Q13613_MTMR1</t>
  </si>
  <si>
    <t>Q13614_MTMR2</t>
  </si>
  <si>
    <t>Q13615-3_MTMR3</t>
  </si>
  <si>
    <t>Q13616_CUL1</t>
  </si>
  <si>
    <t>Q13617_CUL2</t>
  </si>
  <si>
    <t>Q13618_CUL3</t>
  </si>
  <si>
    <t>Q13619_CUL4A</t>
  </si>
  <si>
    <t>Q13625_TP53BP2</t>
  </si>
  <si>
    <t>Q13627-3_DYRK1A</t>
  </si>
  <si>
    <t>Q13630_TSTA3</t>
  </si>
  <si>
    <t>Q13637_RAB32</t>
  </si>
  <si>
    <t>Q13641_TPBG</t>
  </si>
  <si>
    <t>Q13642-1_FHL1</t>
  </si>
  <si>
    <t>Q13643_FHL3</t>
  </si>
  <si>
    <t>Q13671_RIN1</t>
  </si>
  <si>
    <t>Q13686_ALKBH1</t>
  </si>
  <si>
    <t>Q13740-2_ALCAM</t>
  </si>
  <si>
    <t>Q13769_THOC5</t>
  </si>
  <si>
    <t>Q13796_SHROOM2</t>
  </si>
  <si>
    <t>Q13813_SPTAN1</t>
  </si>
  <si>
    <t>Q13813-3_SPTAN1</t>
  </si>
  <si>
    <t>Q13825_AUH</t>
  </si>
  <si>
    <t>Q13838_DDX39B</t>
  </si>
  <si>
    <t>Q13867_BLMH</t>
  </si>
  <si>
    <t>Q13868_EXOSC2</t>
  </si>
  <si>
    <t>Q13885_TUBB2A</t>
  </si>
  <si>
    <t>Q13887_KLF5</t>
  </si>
  <si>
    <t>Q13895_BYSL</t>
  </si>
  <si>
    <t>Q13907_IDI1</t>
  </si>
  <si>
    <t>Q13951_CBFB</t>
  </si>
  <si>
    <t>Q13951-2_CBFB</t>
  </si>
  <si>
    <t>Q13952-3_NFYC</t>
  </si>
  <si>
    <t>Q14004_CDK13</t>
  </si>
  <si>
    <t>Q14008_CKAP5</t>
  </si>
  <si>
    <t>Q14011_CIRBP</t>
  </si>
  <si>
    <t>Q14012_CAMK1</t>
  </si>
  <si>
    <t>Q14019_COTL1</t>
  </si>
  <si>
    <t>Q14032_BAAT</t>
  </si>
  <si>
    <t>Q14061_COX17</t>
  </si>
  <si>
    <t>Q14103-3_HNRNPD</t>
  </si>
  <si>
    <t>Q14116-2_IL18</t>
  </si>
  <si>
    <t>Q14118_DAG1</t>
  </si>
  <si>
    <t>Q14123_PDE1C</t>
  </si>
  <si>
    <t>Q14126_DSG2</t>
  </si>
  <si>
    <t>Q14137_BOP1</t>
  </si>
  <si>
    <t>Q14139_UBE4A</t>
  </si>
  <si>
    <t>Q14141-2_SEPT6</t>
  </si>
  <si>
    <t>Q14146_URB2</t>
  </si>
  <si>
    <t>Q14147_DHX34</t>
  </si>
  <si>
    <t>Q14149_MORC3</t>
  </si>
  <si>
    <t>Q14151_SAFB2</t>
  </si>
  <si>
    <t>Q14152_EIF3A</t>
  </si>
  <si>
    <t>Q14153_FAM53B</t>
  </si>
  <si>
    <t>Q14155-1_ARHGEF7</t>
  </si>
  <si>
    <t>Q14157_UBAP2L</t>
  </si>
  <si>
    <t>Q14157-1_UBAP2L</t>
  </si>
  <si>
    <t>Q14160-3_SCRIB</t>
  </si>
  <si>
    <t>Q14161_GIT2</t>
  </si>
  <si>
    <t>Q14166_TTLL12</t>
  </si>
  <si>
    <t>Q14181_POLA2</t>
  </si>
  <si>
    <t>Q14185_DOCK1</t>
  </si>
  <si>
    <t>Q14191_WRN</t>
  </si>
  <si>
    <t>Q14192_FHL2</t>
  </si>
  <si>
    <t>Q14195-2_DPYSL3</t>
  </si>
  <si>
    <t>Q14202-2_ZMYM3</t>
  </si>
  <si>
    <t>Q14203-3_DCTN1</t>
  </si>
  <si>
    <t>Q14204_DYNC1H1</t>
  </si>
  <si>
    <t>Q14207_NPAT</t>
  </si>
  <si>
    <t>Q14232_EIF2B1</t>
  </si>
  <si>
    <t>Q14240_EIF4A2</t>
  </si>
  <si>
    <t>Q14241_TCEB3</t>
  </si>
  <si>
    <t>Q14244_MAP7</t>
  </si>
  <si>
    <t>Q14247_CTTN</t>
  </si>
  <si>
    <t>Q14247-3_CTTN</t>
  </si>
  <si>
    <t>Q14249_ENDOG</t>
  </si>
  <si>
    <t>Q14257_RCN2</t>
  </si>
  <si>
    <t>Q14258_TRIM25</t>
  </si>
  <si>
    <t>Q14289-2_PTK2B</t>
  </si>
  <si>
    <t>Q14315-2_FLNC</t>
  </si>
  <si>
    <t>Q14318_FKBP8</t>
  </si>
  <si>
    <t>Q14320_FAM50A</t>
  </si>
  <si>
    <t>Q14331_FRG1</t>
  </si>
  <si>
    <t>Q14344_GNA13</t>
  </si>
  <si>
    <t>Q14353_GAMT</t>
  </si>
  <si>
    <t>Q14376_GALE</t>
  </si>
  <si>
    <t>Q14432_PDE3A</t>
  </si>
  <si>
    <t>Q14444-2_CAPRIN1</t>
  </si>
  <si>
    <t>Q14449_GRB14</t>
  </si>
  <si>
    <t>Q14451_GRB7</t>
  </si>
  <si>
    <t>Q14457_BECN1</t>
  </si>
  <si>
    <t>Q14469_HES1</t>
  </si>
  <si>
    <t>Q14493_SLBP</t>
  </si>
  <si>
    <t>Q14493-2_SLBP</t>
  </si>
  <si>
    <t>Q14498-2_RBM39</t>
  </si>
  <si>
    <t>Q14511-3_NEDD9</t>
  </si>
  <si>
    <t>Q14517_FAT1</t>
  </si>
  <si>
    <t>Q14520-2_HABP2</t>
  </si>
  <si>
    <t>Q14527_HLTF</t>
  </si>
  <si>
    <t>Q14554_PDIA5</t>
  </si>
  <si>
    <t>Q14558-2_PRPSAP1</t>
  </si>
  <si>
    <t>Q14562_DHX8</t>
  </si>
  <si>
    <t>Q14566_MCM6</t>
  </si>
  <si>
    <t>Q14651_PLS1</t>
  </si>
  <si>
    <t>Q14653_IRF3</t>
  </si>
  <si>
    <t>Q14657_LAGE3</t>
  </si>
  <si>
    <t>Q14669-3_TRIP12</t>
  </si>
  <si>
    <t>Q14671-2_PUM1</t>
  </si>
  <si>
    <t>Q14676_MDC1</t>
  </si>
  <si>
    <t>Q14677_CLINT1</t>
  </si>
  <si>
    <t>Q14678_KANK1</t>
  </si>
  <si>
    <t>Q14683_SMC1A</t>
  </si>
  <si>
    <t>Q14684-2_RRP1B</t>
  </si>
  <si>
    <t>Q14686_NCOA6</t>
  </si>
  <si>
    <t>Q14687-2_GSE1</t>
  </si>
  <si>
    <t>Q14689-6_DIP2A</t>
  </si>
  <si>
    <t>Q14690_PDCD11</t>
  </si>
  <si>
    <t>Q14691_GINS1</t>
  </si>
  <si>
    <t>Q14694_USP10</t>
  </si>
  <si>
    <t>Q14696_MESDC2</t>
  </si>
  <si>
    <t>Q14697_GANAB</t>
  </si>
  <si>
    <t>Q14764_MVP</t>
  </si>
  <si>
    <t>Q14781_CBX2</t>
  </si>
  <si>
    <t>Q14789_GOLGB1</t>
  </si>
  <si>
    <t>Q14790-3_CASP8</t>
  </si>
  <si>
    <t>Q14790-9_CASP8</t>
  </si>
  <si>
    <t>Q147X3_NAA30</t>
  </si>
  <si>
    <t>Q14807-2_KIF22</t>
  </si>
  <si>
    <t>Q14814-4_MEF2D</t>
  </si>
  <si>
    <t>Q14839-2_CHD4</t>
  </si>
  <si>
    <t>Q14847_LASP1</t>
  </si>
  <si>
    <t>Q14872_MTF1</t>
  </si>
  <si>
    <t>Q14914-2_PTGR1</t>
  </si>
  <si>
    <t>Q14919-2_DRAP1</t>
  </si>
  <si>
    <t>Q14966_ZNF638</t>
  </si>
  <si>
    <t>Q14974_KPNB1</t>
  </si>
  <si>
    <t>Q14978-2_NOLC1</t>
  </si>
  <si>
    <t>Q14980_NUMA1</t>
  </si>
  <si>
    <t>Q14980-2_NUMA1</t>
  </si>
  <si>
    <t>Q14997_PSME4</t>
  </si>
  <si>
    <t>Q14C86-5_GAPVD1</t>
  </si>
  <si>
    <t>Q14CB8-4_ARHGAP19</t>
  </si>
  <si>
    <t>Q14CS0_UBXN2B</t>
  </si>
  <si>
    <t>Q14CX7_NAA25</t>
  </si>
  <si>
    <t>Q15003_NCAPH</t>
  </si>
  <si>
    <t>Q15004_KIAA0101</t>
  </si>
  <si>
    <t>Q15007_WTAP</t>
  </si>
  <si>
    <t>Q15008_PSMD6</t>
  </si>
  <si>
    <t>Q15013_MAD2L1BP</t>
  </si>
  <si>
    <t>Q15014_MORF4L2</t>
  </si>
  <si>
    <t>Q15018_FAM175B</t>
  </si>
  <si>
    <t>Q15019_SEPT2</t>
  </si>
  <si>
    <t>Q15020_SART3</t>
  </si>
  <si>
    <t>Q15021_NCAPD2</t>
  </si>
  <si>
    <t>Q15024_EXOSC7</t>
  </si>
  <si>
    <t>Q15029-2_EFTUD2</t>
  </si>
  <si>
    <t>Q15032-2_R3HDM1</t>
  </si>
  <si>
    <t>Q15036-2_SNX17</t>
  </si>
  <si>
    <t>Q15042_RAB3GAP1</t>
  </si>
  <si>
    <t>Q15043-2_SLC39A14</t>
  </si>
  <si>
    <t>Q15046_KARS</t>
  </si>
  <si>
    <t>Q15047-3_SETDB1</t>
  </si>
  <si>
    <t>Q15048_LRRC14</t>
  </si>
  <si>
    <t>Q15050_RRS1</t>
  </si>
  <si>
    <t>Q15054_POLD3</t>
  </si>
  <si>
    <t>Q15056_EIF4H</t>
  </si>
  <si>
    <t>Q15056-2_EIF4H</t>
  </si>
  <si>
    <t>Q15057_ACAP2</t>
  </si>
  <si>
    <t>Q15058_KIF14</t>
  </si>
  <si>
    <t>Q15059_BRD3</t>
  </si>
  <si>
    <t>Q15061_WDR43</t>
  </si>
  <si>
    <t>Q15067-2_ACOX1</t>
  </si>
  <si>
    <t>Q15072_ZNF146</t>
  </si>
  <si>
    <t>Q15075_EEA1</t>
  </si>
  <si>
    <t>Q15102_PAFAH1B3</t>
  </si>
  <si>
    <t>Q15121_PEA15</t>
  </si>
  <si>
    <t>Q15126_PMVK</t>
  </si>
  <si>
    <t>Q15139_PRKD1</t>
  </si>
  <si>
    <t>Q15147-4_PLCB4</t>
  </si>
  <si>
    <t>Q15149_PLEC</t>
  </si>
  <si>
    <t>Q15149-2_PLEC</t>
  </si>
  <si>
    <t>Q15149-3_PLEC</t>
  </si>
  <si>
    <t>Q15149-4_PLEC</t>
  </si>
  <si>
    <t>Q15149-8_PLEC</t>
  </si>
  <si>
    <t>Q15154_PCM1</t>
  </si>
  <si>
    <t>Q15170-2_TCEAL1</t>
  </si>
  <si>
    <t>Q15172_PPP2R5A</t>
  </si>
  <si>
    <t>Q15181_PPA1</t>
  </si>
  <si>
    <t>Q15208_STK38</t>
  </si>
  <si>
    <t>Q15233_NONO</t>
  </si>
  <si>
    <t>Q15257_PPP2R4</t>
  </si>
  <si>
    <t>Q15262-2_PTPRK</t>
  </si>
  <si>
    <t>Q15276_RABEP1</t>
  </si>
  <si>
    <t>Q15283-2_RASA2</t>
  </si>
  <si>
    <t>Q15286_RAB35</t>
  </si>
  <si>
    <t>Q15291_RBBP5</t>
  </si>
  <si>
    <t>Q15291-2_RBBP5</t>
  </si>
  <si>
    <t>Q15293_RCN1</t>
  </si>
  <si>
    <t>Q15311_RALBP1</t>
  </si>
  <si>
    <t>Q15329-2_E2F5</t>
  </si>
  <si>
    <t>Q15334_LLGL1</t>
  </si>
  <si>
    <t>Q15345_LRRC41</t>
  </si>
  <si>
    <t>Q15365_PCBP1</t>
  </si>
  <si>
    <t>Q15366_PCBP2</t>
  </si>
  <si>
    <t>Q15366-6_PCBP2</t>
  </si>
  <si>
    <t>Q15370-2_TCEB2</t>
  </si>
  <si>
    <t>Q15382_RHEB</t>
  </si>
  <si>
    <t>Q15386_UBE3C</t>
  </si>
  <si>
    <t>Q15393_SF3B3</t>
  </si>
  <si>
    <t>Q15398-3_DLGAP5</t>
  </si>
  <si>
    <t>Q15404_RSU1</t>
  </si>
  <si>
    <t>Q15417_CNN3</t>
  </si>
  <si>
    <t>Q15424_SAFB</t>
  </si>
  <si>
    <t>Q15427_SF3B4</t>
  </si>
  <si>
    <t>Q15428_SF3A2</t>
  </si>
  <si>
    <t>Q15435_PPP1R7</t>
  </si>
  <si>
    <t>Q15437_SEC23B</t>
  </si>
  <si>
    <t>Q15438-2_CYTH1</t>
  </si>
  <si>
    <t>Q15459_SF3A1</t>
  </si>
  <si>
    <t>Q15464_SHB</t>
  </si>
  <si>
    <t>Q15477_SKIV2L</t>
  </si>
  <si>
    <t>Q15506_SPA17</t>
  </si>
  <si>
    <t>Q15526-2_SURF1</t>
  </si>
  <si>
    <t>Q15527_SURF2</t>
  </si>
  <si>
    <t>Q15542-2_TAF5</t>
  </si>
  <si>
    <t>Q15545_TAF7</t>
  </si>
  <si>
    <t>Q15554-3_TERF2</t>
  </si>
  <si>
    <t>Q15583-4_TGIF1</t>
  </si>
  <si>
    <t>Q15596_NCOA2</t>
  </si>
  <si>
    <t>Q15599_SLC9A3R2</t>
  </si>
  <si>
    <t>Q15628_TRADD</t>
  </si>
  <si>
    <t>Q15633-2_TARBP2</t>
  </si>
  <si>
    <t>Q15637-5_SF1</t>
  </si>
  <si>
    <t>Q15642_TRIP10</t>
  </si>
  <si>
    <t>Q15642-2_TRIP10</t>
  </si>
  <si>
    <t>Q15643_TRIP11</t>
  </si>
  <si>
    <t>Q15645_TRIP13</t>
  </si>
  <si>
    <t>Q15648_MED1</t>
  </si>
  <si>
    <t>Q15649_ZNHIT3</t>
  </si>
  <si>
    <t>Q15650_TRIP4</t>
  </si>
  <si>
    <t>Q15651_HMGN3</t>
  </si>
  <si>
    <t>Q15652_JMJD1C</t>
  </si>
  <si>
    <t>Q15654_TRIP6</t>
  </si>
  <si>
    <t>Q15691_MAPRE1</t>
  </si>
  <si>
    <t>Q15714_TSC22D1</t>
  </si>
  <si>
    <t>Q15717_ELAVL1</t>
  </si>
  <si>
    <t>Q15746-4_MYLK</t>
  </si>
  <si>
    <t>Q15750-2_TAB1</t>
  </si>
  <si>
    <t>Q15751_HERC1</t>
  </si>
  <si>
    <t>Q15758-3_SLC1A5</t>
  </si>
  <si>
    <t>Q15773_MLF2</t>
  </si>
  <si>
    <t>Q15785_TOMM34</t>
  </si>
  <si>
    <t>Q15788-2_NCOA1</t>
  </si>
  <si>
    <t>Q15796-2_SMAD2</t>
  </si>
  <si>
    <t>Q15814_TBCC</t>
  </si>
  <si>
    <t>Q15818_NPTX1</t>
  </si>
  <si>
    <t>Q15819_UBE2V2</t>
  </si>
  <si>
    <t>Q15833_STXBP2</t>
  </si>
  <si>
    <t>Q15836_VAMP3</t>
  </si>
  <si>
    <t>Q15853-2_USF2</t>
  </si>
  <si>
    <t>Q15906_VPS72</t>
  </si>
  <si>
    <t>Q15907_RAB11B</t>
  </si>
  <si>
    <t>Q15910_EZH2</t>
  </si>
  <si>
    <t>Q15942_ZYX</t>
  </si>
  <si>
    <t>Q16143_SNCB</t>
  </si>
  <si>
    <t>Q16181_SEPT7</t>
  </si>
  <si>
    <t>Q16186_ADRM1</t>
  </si>
  <si>
    <t>Q16204_CCDC6</t>
  </si>
  <si>
    <t>Q16222-2_UAP1</t>
  </si>
  <si>
    <t>Q16254_E2F4</t>
  </si>
  <si>
    <t>Q16270-2_IGFBP7</t>
  </si>
  <si>
    <t>Q16401-2_PSMD5</t>
  </si>
  <si>
    <t>Q16512_PKN1</t>
  </si>
  <si>
    <t>Q16513_PKN2</t>
  </si>
  <si>
    <t>Q16526_CRY1</t>
  </si>
  <si>
    <t>Q16527_CSRP2</t>
  </si>
  <si>
    <t>Q16531_DDB1</t>
  </si>
  <si>
    <t>Q16539_MAPK14</t>
  </si>
  <si>
    <t>Q16543_CDC37</t>
  </si>
  <si>
    <t>Q16555_DPYSL2</t>
  </si>
  <si>
    <t>Q16576_RBBP7</t>
  </si>
  <si>
    <t>Q16587-5_ZNF74</t>
  </si>
  <si>
    <t>Q16623-3_STX1A</t>
  </si>
  <si>
    <t>Q16625-5_OCLN</t>
  </si>
  <si>
    <t>Q16626_MEA1</t>
  </si>
  <si>
    <t>Q16629-3_SRSF7</t>
  </si>
  <si>
    <t>Q16637-3_SMN1</t>
  </si>
  <si>
    <t>Q16643_DBN1</t>
  </si>
  <si>
    <t>Q16644_MAPKAPK3</t>
  </si>
  <si>
    <t>Q16656_NRF1</t>
  </si>
  <si>
    <t>Q16658_FSCN1</t>
  </si>
  <si>
    <t>Q16670_ZSCAN26</t>
  </si>
  <si>
    <t>Q16719_KYNU</t>
  </si>
  <si>
    <t>Q16740_CLPP</t>
  </si>
  <si>
    <t>Q16760-2_DGKD</t>
  </si>
  <si>
    <t>Q16762_TST</t>
  </si>
  <si>
    <t>Q16763_UBE2S</t>
  </si>
  <si>
    <t>Q16773_CCBL1</t>
  </si>
  <si>
    <t>Q16775_HAGH</t>
  </si>
  <si>
    <t>Q16778_HIST2H2BE</t>
  </si>
  <si>
    <t>Q16822_PCK2</t>
  </si>
  <si>
    <t>Q16825_PTPN21</t>
  </si>
  <si>
    <t>Q16831_UPP1</t>
  </si>
  <si>
    <t>Q16836_HADH</t>
  </si>
  <si>
    <t>Q16851_UGP2</t>
  </si>
  <si>
    <t>Q16854_DGUOK</t>
  </si>
  <si>
    <t>Q16864_ATP6V1F</t>
  </si>
  <si>
    <t>Q17R31-2_TATDN3</t>
  </si>
  <si>
    <t>Q17RN3_FAM98C</t>
  </si>
  <si>
    <t>Q17RS7_GEN1</t>
  </si>
  <si>
    <t>Q17RU2_REL</t>
  </si>
  <si>
    <t>Q1MSJ5-1_CSPP1</t>
  </si>
  <si>
    <t>Q24JP5-4_TMEM132A</t>
  </si>
  <si>
    <t>Q27J81_INF2</t>
  </si>
  <si>
    <t>Q29RF7_PDS5A</t>
  </si>
  <si>
    <t>Q2KHR3_QSER1</t>
  </si>
  <si>
    <t>Q2KHT3_CLEC16A</t>
  </si>
  <si>
    <t>Q2M2I8_AAK1</t>
  </si>
  <si>
    <t>Q2M2Z5-5_PLK1S1</t>
  </si>
  <si>
    <t>Q2M389_KIAA1033</t>
  </si>
  <si>
    <t>Q2NKX8_ERCC6L</t>
  </si>
  <si>
    <t>Q2NKX9-3_C2orf68</t>
  </si>
  <si>
    <t>Q2NL82_TSR1</t>
  </si>
  <si>
    <t>Q2TAL8_QRICH1</t>
  </si>
  <si>
    <t>Q2TAM5_RELA</t>
  </si>
  <si>
    <t>Q2TAY7_SMU1</t>
  </si>
  <si>
    <t>Q2TAZ0_ATG2A</t>
  </si>
  <si>
    <t>Q2TB39_TCF3</t>
  </si>
  <si>
    <t>Q2TBE0_CWF19L2</t>
  </si>
  <si>
    <t>Q2VPK5_CTU2</t>
  </si>
  <si>
    <t>Q32MM7_PDE4C</t>
  </si>
  <si>
    <t>Q32MZ4_LRRFIP1</t>
  </si>
  <si>
    <t>Q32MZ4-2_LRRFIP1</t>
  </si>
  <si>
    <t>Q32MZ4-3_LRRFIP1</t>
  </si>
  <si>
    <t>Q32MZ4-4_LRRFIP1</t>
  </si>
  <si>
    <t>Q32P28_LEPRE1</t>
  </si>
  <si>
    <t>Q32P41_TRMT5</t>
  </si>
  <si>
    <t>Q32P44_EML3</t>
  </si>
  <si>
    <t>Q3B726_TWISTNB</t>
  </si>
  <si>
    <t>Q3B7T1-5_EDRF1</t>
  </si>
  <si>
    <t>Q3B820_FAM161A</t>
  </si>
  <si>
    <t>Q3KQU3-2_MAP7D1</t>
  </si>
  <si>
    <t>Q3KQV9_UAP1L1</t>
  </si>
  <si>
    <t>Q3KRA6_C2orf76</t>
  </si>
  <si>
    <t>Q3KRA9_ALKBH6</t>
  </si>
  <si>
    <t>Q3L8U1-2_CHD9</t>
  </si>
  <si>
    <t>Q3LXA3_DAK</t>
  </si>
  <si>
    <t>Q3MHD2_LSM12</t>
  </si>
  <si>
    <t>Q3MII6_TBC1D25</t>
  </si>
  <si>
    <t>Q3MIT2_PUS10</t>
  </si>
  <si>
    <t>Q3SY56_SP6</t>
  </si>
  <si>
    <t>Q3T8J9-3_GON4L</t>
  </si>
  <si>
    <t>Q3V6T2-2_CCDC88A</t>
  </si>
  <si>
    <t>Q3V6T2-4_CCDC88A</t>
  </si>
  <si>
    <t>Q3V6T2-5_CCDC88A</t>
  </si>
  <si>
    <t>Q3YEC7_RABL6</t>
  </si>
  <si>
    <t>Q3ZCM7_TUBB8</t>
  </si>
  <si>
    <t>Q3ZCV1_USP38</t>
  </si>
  <si>
    <t>Q3ZCW2_LGALSL</t>
  </si>
  <si>
    <t>Q460N5-4_PARP14</t>
  </si>
  <si>
    <t>Q494U1-3_PLEKHN1</t>
  </si>
  <si>
    <t>Q495W5-2_FUT11</t>
  </si>
  <si>
    <t>Q499Z4_ZNF672</t>
  </si>
  <si>
    <t>Q49A88-2_CCDC14</t>
  </si>
  <si>
    <t>Q49AR2_C5orf22</t>
  </si>
  <si>
    <t>Q49B96_COX19</t>
  </si>
  <si>
    <t>Q49MG5-2_MAP9</t>
  </si>
  <si>
    <t>Q4G0F5_VPS26B</t>
  </si>
  <si>
    <t>Q4G0J3_LARP7</t>
  </si>
  <si>
    <t>Q4G0N4_NADKD1</t>
  </si>
  <si>
    <t>Q4G148-2_GXYLT1</t>
  </si>
  <si>
    <t>Q4G176_ACSF3</t>
  </si>
  <si>
    <t>Q4J6C6-4_PREPL</t>
  </si>
  <si>
    <t>Q4KMP7_TBC1D10B</t>
  </si>
  <si>
    <t>Q4KMQ1_TPRN</t>
  </si>
  <si>
    <t>Q4KWH8-2_PLCH1</t>
  </si>
  <si>
    <t>Q4LDG9_DNAL1</t>
  </si>
  <si>
    <t>Q4LE39-2_ARID4B</t>
  </si>
  <si>
    <t>Q4V328_GRIPAP1</t>
  </si>
  <si>
    <t>Q4VC05-2_BCL7A</t>
  </si>
  <si>
    <t>Q4VC44-2_FLYWCH1</t>
  </si>
  <si>
    <t>Q4VXZ8_DECR2</t>
  </si>
  <si>
    <t>Q504Q3-2_PAN2</t>
  </si>
  <si>
    <t>Q504U0_C4orf46</t>
  </si>
  <si>
    <t>Q52LJ0-2_FAM98B</t>
  </si>
  <si>
    <t>Q52LR7_EPC2</t>
  </si>
  <si>
    <t>Q52LW3_ARHGAP29</t>
  </si>
  <si>
    <t>Q53EL6-2_PDCD4</t>
  </si>
  <si>
    <t>Q53EZ4_CEP55</t>
  </si>
  <si>
    <t>Q53F19_C17orf85</t>
  </si>
  <si>
    <t>Q53FA7_TP53I3</t>
  </si>
  <si>
    <t>Q53FT3_C11orf73</t>
  </si>
  <si>
    <t>Q53G59_KLHL12</t>
  </si>
  <si>
    <t>Q53GA4_PHLDA2</t>
  </si>
  <si>
    <t>Q53H54_TRMT12</t>
  </si>
  <si>
    <t>Q53H82_LACTB2</t>
  </si>
  <si>
    <t>Q53HC9_TSSC1</t>
  </si>
  <si>
    <t>Q53HV7_SMUG1</t>
  </si>
  <si>
    <t>Q53LP3_SOWAHC</t>
  </si>
  <si>
    <t>Q53QV2_LBH</t>
  </si>
  <si>
    <t>Q53RE8_ANKRD39</t>
  </si>
  <si>
    <t>Q53S33_BOLA3</t>
  </si>
  <si>
    <t>Q53SF7-4_COBLL1</t>
  </si>
  <si>
    <t>Q53T59_HS1BP3</t>
  </si>
  <si>
    <t>Q562E7_WDR81</t>
  </si>
  <si>
    <t>Q562F6-2_SGOL2</t>
  </si>
  <si>
    <t>Q567Q0_PPIA</t>
  </si>
  <si>
    <t>Q58A45-4_PAN3</t>
  </si>
  <si>
    <t>Q58FF8_HSP90AB2P</t>
  </si>
  <si>
    <t>Q58FG1_HSP90AA4P</t>
  </si>
  <si>
    <t>Q58WW2_DCAF6</t>
  </si>
  <si>
    <t>Q59GN2_RPL39P5</t>
  </si>
  <si>
    <t>Q5BKU9_OXLD1</t>
  </si>
  <si>
    <t>Q5BKX5_C19orf54</t>
  </si>
  <si>
    <t>Q5BKZ1_ZNF326</t>
  </si>
  <si>
    <t>Q5D1E8_ZC3H12A</t>
  </si>
  <si>
    <t>Q5D862_FLG2</t>
  </si>
  <si>
    <t>Q5EBL4_RILPL1</t>
  </si>
  <si>
    <t>Q5EBL8_PDZD11</t>
  </si>
  <si>
    <t>Q5F1R6_DNAJC21</t>
  </si>
  <si>
    <t>Q5FWF5-2_ESCO1</t>
  </si>
  <si>
    <t>Q5GLZ8-2_HERC4</t>
  </si>
  <si>
    <t>Q5H937_PKIG</t>
  </si>
  <si>
    <t>Q5H9A7_TIMP1</t>
  </si>
  <si>
    <t>Q5H9F3-2_BCORL1</t>
  </si>
  <si>
    <t>Q5HY92_FIGN</t>
  </si>
  <si>
    <t>Q5HYK7-2_SH3D19</t>
  </si>
  <si>
    <t>Q5I0X7_TTC32</t>
  </si>
  <si>
    <t>Q5I2W7_CYP24</t>
  </si>
  <si>
    <t>Q5JP53_TUBB</t>
  </si>
  <si>
    <t>Q5JPF3_ANKRD36C</t>
  </si>
  <si>
    <t>Q5JPI3-2_C3orf38</t>
  </si>
  <si>
    <t>Q5JR01_EEF1A1</t>
  </si>
  <si>
    <t>Q5JR04_MOV10</t>
  </si>
  <si>
    <t>Q5JR08_RHOC</t>
  </si>
  <si>
    <t>Q5JRA6-2_MIA3</t>
  </si>
  <si>
    <t>Q5JRG1_NUPL1</t>
  </si>
  <si>
    <t>Q5JRX3_PITRM1</t>
  </si>
  <si>
    <t>Q5JS37-2_NHLRC3</t>
  </si>
  <si>
    <t>Q5JS54_PSMG4</t>
  </si>
  <si>
    <t>Q5JSB6_TFDP1</t>
  </si>
  <si>
    <t>Q5JSH3-2_WDR44</t>
  </si>
  <si>
    <t>Q5JSZ5_PRRC2B</t>
  </si>
  <si>
    <t>Q5JTD0-2_TJAP1</t>
  </si>
  <si>
    <t>Q5JTH9_RRP12</t>
  </si>
  <si>
    <t>Q5JTJ3-3_COA6</t>
  </si>
  <si>
    <t>Q5JTV1_GMEB2</t>
  </si>
  <si>
    <t>Q5JTV8_TOR1AIP1</t>
  </si>
  <si>
    <t>Q5JTW2_CEP78</t>
  </si>
  <si>
    <t>Q5JTZ9_AARS2</t>
  </si>
  <si>
    <t>Q5JU85_IQSEC2</t>
  </si>
  <si>
    <t>Q5JUE6_RAPGEF1</t>
  </si>
  <si>
    <t>Q5JUR7_TEX30</t>
  </si>
  <si>
    <t>Q5JV73_FRMPD3</t>
  </si>
  <si>
    <t>Q5JVF3-3_PCID2</t>
  </si>
  <si>
    <t>Q5JVS0_HABP4</t>
  </si>
  <si>
    <t>Q5JVZ5_ELMO2</t>
  </si>
  <si>
    <t>Q5JW30_STAU1</t>
  </si>
  <si>
    <t>Q5JYJ5_MCF2</t>
  </si>
  <si>
    <t>Q5JZH3_SNX21</t>
  </si>
  <si>
    <t>Q5K651_SAMD9</t>
  </si>
  <si>
    <t>Q5KSL6_DGKK</t>
  </si>
  <si>
    <t>Q5M775_SPECC1</t>
  </si>
  <si>
    <t>Q5MIZ7-2_SMEK2</t>
  </si>
  <si>
    <t>Q5MNZ6_WDR45B</t>
  </si>
  <si>
    <t>Q5NDL2_EOGT</t>
  </si>
  <si>
    <t>Q5QJ74_TBCEL</t>
  </si>
  <si>
    <t>Q5QJE6_DNTTIP2</t>
  </si>
  <si>
    <t>Q5QNY5_PEX19</t>
  </si>
  <si>
    <t>Q5QP56_BCL2L1</t>
  </si>
  <si>
    <t>Q5QP82_DCAF10</t>
  </si>
  <si>
    <t>Q5QPL9_RALY</t>
  </si>
  <si>
    <t>Q5QPM7_PSMF1</t>
  </si>
  <si>
    <t>Q5R372-4_RABGAP1L</t>
  </si>
  <si>
    <t>Q5RGS4_PLEKHA1</t>
  </si>
  <si>
    <t>Q5RIB3_CBWD5</t>
  </si>
  <si>
    <t>Q5RKV6_EXOSC6</t>
  </si>
  <si>
    <t>Q5SNT6_FAM21B</t>
  </si>
  <si>
    <t>Q5SRE5_NUP188</t>
  </si>
  <si>
    <t>Q5SRN7_HLA-A</t>
  </si>
  <si>
    <t>Q5SSJ5_HP1BP3</t>
  </si>
  <si>
    <t>Q5SVZ6_ZMYM1</t>
  </si>
  <si>
    <t>Q5SW79_CEP170</t>
  </si>
  <si>
    <t>Q5SW79-3_CEP170</t>
  </si>
  <si>
    <t>Q5SW96_LDLRAP1</t>
  </si>
  <si>
    <t>Q5SX86_GDI2</t>
  </si>
  <si>
    <t>Q5SXM8_DNLZ</t>
  </si>
  <si>
    <t>Q5SYE7-2_NHSL1</t>
  </si>
  <si>
    <t>Q5T0N5-3_FNBP1L</t>
  </si>
  <si>
    <t>Q5T123_SH3BGRL3</t>
  </si>
  <si>
    <t>Q5T160_RARS2</t>
  </si>
  <si>
    <t>Q5T171_PYGO2</t>
  </si>
  <si>
    <t>Q5T1C6_THEM4</t>
  </si>
  <si>
    <t>Q5T1M5_FKBP15</t>
  </si>
  <si>
    <t>Q5T1V6_DDX59</t>
  </si>
  <si>
    <t>Q5T200_ZC3H13</t>
  </si>
  <si>
    <t>Q5T2E6_C10orf76</t>
  </si>
  <si>
    <t>Q5T2R2-3_PDSS1</t>
  </si>
  <si>
    <t>Q5T2W1_PDZK1</t>
  </si>
  <si>
    <t>Q5T321_NBEA</t>
  </si>
  <si>
    <t>Q5T370_ARRDC1</t>
  </si>
  <si>
    <t>Q5T3J3_LRIF1</t>
  </si>
  <si>
    <t>Q5T427_ZNF438</t>
  </si>
  <si>
    <t>Q5T440_IBA57</t>
  </si>
  <si>
    <t>Q5T447_HECTD3</t>
  </si>
  <si>
    <t>Q5T4S7-3_UBR4</t>
  </si>
  <si>
    <t>Q5T534_BLZF1</t>
  </si>
  <si>
    <t>Q5T5C0-3_STXBP5</t>
  </si>
  <si>
    <t>Q5T5P2-3_KIAA1217</t>
  </si>
  <si>
    <t>Q5T5U3_ARHGAP21</t>
  </si>
  <si>
    <t>Q5T5X7_BEND3</t>
  </si>
  <si>
    <t>Q5T5Y3_CAMSAP1</t>
  </si>
  <si>
    <t>Q5T6F2_UBAP2</t>
  </si>
  <si>
    <t>Q5T6S3-2_PHF19</t>
  </si>
  <si>
    <t>Q5T6V5_C9orf64</t>
  </si>
  <si>
    <t>Q5T7A2_ADCK3</t>
  </si>
  <si>
    <t>Q5T7V8_GORAB</t>
  </si>
  <si>
    <t>Q5T7W0_ZNF618</t>
  </si>
  <si>
    <t>Q5T7W0-2_ZNF618</t>
  </si>
  <si>
    <t>Q5T8A7_PPP1R26</t>
  </si>
  <si>
    <t>Q5T8D3-2_ACBD5</t>
  </si>
  <si>
    <t>Q5T8P6-2_RBM26</t>
  </si>
  <si>
    <t>Q5T985_ITIH2</t>
  </si>
  <si>
    <t>Q5T9C2-2_FAM102A</t>
  </si>
  <si>
    <t>Q5TA02_GSTO1</t>
  </si>
  <si>
    <t>Q5TA04_WDR96</t>
  </si>
  <si>
    <t>Q5TA31_RNF187</t>
  </si>
  <si>
    <t>Q5TA58_AGO1</t>
  </si>
  <si>
    <t>Q5TAQ0_MNF1</t>
  </si>
  <si>
    <t>Q5TAW7_CAB39L</t>
  </si>
  <si>
    <t>Q5TAX3_ZCCHC11</t>
  </si>
  <si>
    <t>Q5TBB1_RNASEH2B</t>
  </si>
  <si>
    <t>Q5TBI2_C1orf131</t>
  </si>
  <si>
    <t>Q5TBP9_LSM14B</t>
  </si>
  <si>
    <t>Q5TC12_ATPAF1</t>
  </si>
  <si>
    <t>Q5TC82_RC3H1</t>
  </si>
  <si>
    <t>Q5TC84_OGFRL1</t>
  </si>
  <si>
    <t>Q5TCQ9-4_MAGI3</t>
  </si>
  <si>
    <t>Q5TCU3_TPM2</t>
  </si>
  <si>
    <t>Q5TCX8_MLK4</t>
  </si>
  <si>
    <t>Q5TDH0_DDI2</t>
  </si>
  <si>
    <t>Q5TEU4_NDUFAF5</t>
  </si>
  <si>
    <t>Q5TFE4_NT5DC1</t>
  </si>
  <si>
    <t>Q5TGY1_TMCO4</t>
  </si>
  <si>
    <t>Q5TH69_ARFGEF3</t>
  </si>
  <si>
    <t>Q5THK1_PRR14L</t>
  </si>
  <si>
    <t>Q5TKA1_LIN9</t>
  </si>
  <si>
    <t>Q5TZA2_CROCC</t>
  </si>
  <si>
    <t>Q5U5Q3_MEX3C</t>
  </si>
  <si>
    <t>Q5U5X0_LYRM7</t>
  </si>
  <si>
    <t>Q5U649_C12orf60</t>
  </si>
  <si>
    <t>Q5UIP0_RIF1</t>
  </si>
  <si>
    <t>Q5VIR6-4_VPS53</t>
  </si>
  <si>
    <t>Q5VSL9_STRIP1</t>
  </si>
  <si>
    <t>Q5VSR5_PFKP</t>
  </si>
  <si>
    <t>Q5VSY0-2_GKAP1</t>
  </si>
  <si>
    <t>Q5VT06_CEP350</t>
  </si>
  <si>
    <t>Q5VT25-4_CDC42BPA</t>
  </si>
  <si>
    <t>Q5VT52_RPRD2</t>
  </si>
  <si>
    <t>Q5VT79_ANXA8L2</t>
  </si>
  <si>
    <t>Q5VTL8_PRPF38B</t>
  </si>
  <si>
    <t>Q5VTR2_RNF20</t>
  </si>
  <si>
    <t>Q5VTU3_DYNLT1</t>
  </si>
  <si>
    <t>Q5VTU8_ATP5EP2</t>
  </si>
  <si>
    <t>Q5VU43-6_PDE4DIP</t>
  </si>
  <si>
    <t>Q5VU58_TPM3</t>
  </si>
  <si>
    <t>Q5VUA4_ZNF318</t>
  </si>
  <si>
    <t>Q5VUB5_FAM171A1</t>
  </si>
  <si>
    <t>Q5VUE5_C1orf53</t>
  </si>
  <si>
    <t>Q5VV41_ARHGEF16</t>
  </si>
  <si>
    <t>Q5VV42_CDKAL1</t>
  </si>
  <si>
    <t>Q5VV52-2_ZNF691</t>
  </si>
  <si>
    <t>Q5VVC8_RPL11</t>
  </si>
  <si>
    <t>Q5VVD7_PLEKHM2</t>
  </si>
  <si>
    <t>Q5VVQ6-2_YOD1</t>
  </si>
  <si>
    <t>Q5VW32_BROX</t>
  </si>
  <si>
    <t>Q5VW36_FOCAD</t>
  </si>
  <si>
    <t>Q5VWC4_PSMD4</t>
  </si>
  <si>
    <t>Q5VWG9_TAF3</t>
  </si>
  <si>
    <t>Q5VWN6_FAM208B</t>
  </si>
  <si>
    <t>Q5VWQ0_RSBN1</t>
  </si>
  <si>
    <t>Q5VWQ8-2_DAB2IP</t>
  </si>
  <si>
    <t>Q5VWZ2_LYPLAL1</t>
  </si>
  <si>
    <t>Q5VX52_SPATA1</t>
  </si>
  <si>
    <t>Q5VYB9_LRP11</t>
  </si>
  <si>
    <t>Q5VYK3_ECM29</t>
  </si>
  <si>
    <t>Q5VYS8-6_ZCCHC6</t>
  </si>
  <si>
    <t>Q5VYV7_SLX4IP</t>
  </si>
  <si>
    <t>Q5VYX0-2_RNLS</t>
  </si>
  <si>
    <t>Q5VZE5_NAA35</t>
  </si>
  <si>
    <t>Q5VZK9_LRRC16A</t>
  </si>
  <si>
    <t>Q5VZL5-4_ZMYM4</t>
  </si>
  <si>
    <t>Q5W015_PFKFB3</t>
  </si>
  <si>
    <t>Q5W0B1_RNF219</t>
  </si>
  <si>
    <t>Q5W0Q7-2_USPL1</t>
  </si>
  <si>
    <t>Q5W0V3_FAM160B1</t>
  </si>
  <si>
    <t>Q5W111-2_SPRYD7</t>
  </si>
  <si>
    <t>Q5XPI4_RNF123</t>
  </si>
  <si>
    <t>Q5XUX1-3_FBXW9</t>
  </si>
  <si>
    <t>Q63HN8_RNF213</t>
  </si>
  <si>
    <t>Q63HN8-4_RNF213</t>
  </si>
  <si>
    <t>Q63HQ0-2_AP1AR</t>
  </si>
  <si>
    <t>Q63ZY3-3_KANK2</t>
  </si>
  <si>
    <t>Q641Q2_FAM21A</t>
  </si>
  <si>
    <t>Q659A1_NARG2</t>
  </si>
  <si>
    <t>Q66GS9_CEP135</t>
  </si>
  <si>
    <t>Q66K14-2_TBC1D9B</t>
  </si>
  <si>
    <t>Q66K64_DCAF15</t>
  </si>
  <si>
    <t>Q66LE6_PPP2R2D</t>
  </si>
  <si>
    <t>Q66PJ3_ARL6IP4</t>
  </si>
  <si>
    <t>Q676U5-2_ATG16L1</t>
  </si>
  <si>
    <t>Q684P5-3_RAP1GAP2</t>
  </si>
  <si>
    <t>Q68CP9_ARID2</t>
  </si>
  <si>
    <t>Q68CQ4_DIEXF</t>
  </si>
  <si>
    <t>Q68CZ1-2_RPGRIP1L</t>
  </si>
  <si>
    <t>Q68CZ2_TNS3</t>
  </si>
  <si>
    <t>Q68CZ6_HAUS3</t>
  </si>
  <si>
    <t>Q68D10-2_SPTY2D1</t>
  </si>
  <si>
    <t>Q68D20_PMS2CL</t>
  </si>
  <si>
    <t>Q68DQ2_CRYBG3</t>
  </si>
  <si>
    <t>Q68DW7_DKFZp781D1416</t>
  </si>
  <si>
    <t>Q68E01-2_INTS3</t>
  </si>
  <si>
    <t>Q68EM7-6_ARHGAP17</t>
  </si>
  <si>
    <t>Q69YH5_CDCA2</t>
  </si>
  <si>
    <t>Q69YN2_CWF19L1</t>
  </si>
  <si>
    <t>Q69YN4_KIAA1429</t>
  </si>
  <si>
    <t>Q69YQ0-2_SPECC1L</t>
  </si>
  <si>
    <t>Q6AI08_HEATR6</t>
  </si>
  <si>
    <t>Q6AI12_ANKRD40</t>
  </si>
  <si>
    <t>Q6AWC2-4_WWC2</t>
  </si>
  <si>
    <t>Q6AZZ1_TRIM68</t>
  </si>
  <si>
    <t>Q6BCY4_CYB5R2</t>
  </si>
  <si>
    <t>Q6BDS2_UHRF1BP1</t>
  </si>
  <si>
    <t>Q6DCA0_AMMECR1L</t>
  </si>
  <si>
    <t>Q6DD87_ZNF787</t>
  </si>
  <si>
    <t>Q6DHV7-3_ADAL</t>
  </si>
  <si>
    <t>Q6DKJ4_NXN</t>
  </si>
  <si>
    <t>Q6DKK2_TTC19</t>
  </si>
  <si>
    <t>Q6EEV4-2_POLR2M</t>
  </si>
  <si>
    <t>Q6FI81_CIAPIN1</t>
  </si>
  <si>
    <t>Q6FIF0-2_ZFAND6</t>
  </si>
  <si>
    <t>Q6GMV2_SMYD5</t>
  </si>
  <si>
    <t>Q6GMV3_PTRHD1</t>
  </si>
  <si>
    <t>Q6GQQ9_OTUD7B</t>
  </si>
  <si>
    <t>Q6GYQ0_RALGAPA1</t>
  </si>
  <si>
    <t>Q6I9Y2_THOC7</t>
  </si>
  <si>
    <t>Q6IA69_NADSYN1</t>
  </si>
  <si>
    <t>Q6IA86-3_ELP2</t>
  </si>
  <si>
    <t>Q6IBS0_TWF2</t>
  </si>
  <si>
    <t>Q6IBW4_NCAPH2</t>
  </si>
  <si>
    <t>Q6ICG6_KIAA0930</t>
  </si>
  <si>
    <t>Q6IE81-2_PHF17</t>
  </si>
  <si>
    <t>Q6IN84_MRM1</t>
  </si>
  <si>
    <t>Q6IN85_SMEK1</t>
  </si>
  <si>
    <t>Q6IQ22_RAB12</t>
  </si>
  <si>
    <t>Q6IQ23-2_PLEKHA7</t>
  </si>
  <si>
    <t>Q6IQ32_ADNP2</t>
  </si>
  <si>
    <t>Q6IQ49-2_SDE2</t>
  </si>
  <si>
    <t>Q6IS14_EIF5AL1</t>
  </si>
  <si>
    <t>Q6JHV3_USP3</t>
  </si>
  <si>
    <t>Q6KB66_KRT80</t>
  </si>
  <si>
    <t>Q6KC79-2_NIPBL</t>
  </si>
  <si>
    <t>Q6L8Q7-2_PDE12</t>
  </si>
  <si>
    <t>Q6MZP7_LIN54</t>
  </si>
  <si>
    <t>Q6N043-2_ZNF280D</t>
  </si>
  <si>
    <t>Q6N063_OGFOD2</t>
  </si>
  <si>
    <t>Q6N069_NAA16</t>
  </si>
  <si>
    <t>Q6NS38_ALKBH2</t>
  </si>
  <si>
    <t>Q6NSJ2_PHLDB3</t>
  </si>
  <si>
    <t>Q6NT89_TRNP1</t>
  </si>
  <si>
    <t>Q6NTE8_C5orf45</t>
  </si>
  <si>
    <t>Q6NVU6_UFSP1</t>
  </si>
  <si>
    <t>Q6NVY1_HIBCH</t>
  </si>
  <si>
    <t>Q6NXE6-2_ARMC6</t>
  </si>
  <si>
    <t>Q6NXT1_ANKRD54</t>
  </si>
  <si>
    <t>Q6NY19-2_KANK3</t>
  </si>
  <si>
    <t>Q6NYC1_JMJD6</t>
  </si>
  <si>
    <t>Q6NYC8_PPP1R18</t>
  </si>
  <si>
    <t>Q6NZ36-5_FAAP20</t>
  </si>
  <si>
    <t>Q6NZI2_PTRF</t>
  </si>
  <si>
    <t>Q6NZY4_ZCCHC8</t>
  </si>
  <si>
    <t>Q6P0N0-2_MIS18BP1</t>
  </si>
  <si>
    <t>Q6P158_DHX57</t>
  </si>
  <si>
    <t>Q6P1J9_CDC73</t>
  </si>
  <si>
    <t>Q6P1K2_PMF1</t>
  </si>
  <si>
    <t>Q6P1L5_FAM117B</t>
  </si>
  <si>
    <t>Q6P1M3-2_LLGL2</t>
  </si>
  <si>
    <t>Q6P1M9_ARMCX5</t>
  </si>
  <si>
    <t>Q6P1N0_CC2D1A</t>
  </si>
  <si>
    <t>Q6P1N9_TATDN1</t>
  </si>
  <si>
    <t>Q6P1Q9_METTL2B</t>
  </si>
  <si>
    <t>Q6P1R4_DUS1L</t>
  </si>
  <si>
    <t>Q6P1X5_TAF2</t>
  </si>
  <si>
    <t>Q6P1X6_C8orf82</t>
  </si>
  <si>
    <t>Q6P2D0-2_ZFP1</t>
  </si>
  <si>
    <t>Q6P2E9_EDC4</t>
  </si>
  <si>
    <t>Q6P2H3-2_CEP85</t>
  </si>
  <si>
    <t>Q6P2P2_PRMT10</t>
  </si>
  <si>
    <t>Q6P2Q9_PRPF8</t>
  </si>
  <si>
    <t>Q6P3S6_FBXO42</t>
  </si>
  <si>
    <t>Q6P3W7_SCYL2</t>
  </si>
  <si>
    <t>Q6P3X3_TTC27</t>
  </si>
  <si>
    <t>Q6P4F2_FDX1L</t>
  </si>
  <si>
    <t>Q6P4G0_RECQL5</t>
  </si>
  <si>
    <t>Q6P4I2_WDR73</t>
  </si>
  <si>
    <t>Q6P4R8-3_NFRKB</t>
  </si>
  <si>
    <t>Q6P582_MZT2A</t>
  </si>
  <si>
    <t>Q6P587_FAHD1</t>
  </si>
  <si>
    <t>Q6P6B1_C8orf47</t>
  </si>
  <si>
    <t>Q6P6C2_ALKBH5</t>
  </si>
  <si>
    <t>Q6P9B6_KIAA1609</t>
  </si>
  <si>
    <t>Q6P9B9_INTS5</t>
  </si>
  <si>
    <t>Q6PCB5_RSBN1L</t>
  </si>
  <si>
    <t>Q6PCE3_PGM2L1</t>
  </si>
  <si>
    <t>Q6PCT2-2_FBXL19</t>
  </si>
  <si>
    <t>Q6PD62_CTR9</t>
  </si>
  <si>
    <t>Q6PD74_AAGAB</t>
  </si>
  <si>
    <t>Q6PGN9-2_PSRC1</t>
  </si>
  <si>
    <t>Q6PGP7_TTC37</t>
  </si>
  <si>
    <t>Q6PH81_C16orf87</t>
  </si>
  <si>
    <t>Q6PHR2-3_ULK3</t>
  </si>
  <si>
    <t>Q6PI48_DARS2</t>
  </si>
  <si>
    <t>Q6PID6_TTC33</t>
  </si>
  <si>
    <t>Q6PII3_CCDC174</t>
  </si>
  <si>
    <t>Q6PIJ6_FBXO38</t>
  </si>
  <si>
    <t>Q6PIR0_CENPC1</t>
  </si>
  <si>
    <t>Q6PIW4-2_FIGNL1</t>
  </si>
  <si>
    <t>Q6PJ69_TRIM65</t>
  </si>
  <si>
    <t>Q6PJG2_ELMSAN1</t>
  </si>
  <si>
    <t>Q6PJG6_BRAT1</t>
  </si>
  <si>
    <t>Q6PJT7-5_ZC3H14</t>
  </si>
  <si>
    <t>Q6PK81-2_ZNF773</t>
  </si>
  <si>
    <t>Q6PKG0_LARP1</t>
  </si>
  <si>
    <t>Q6PL24_TMED8</t>
  </si>
  <si>
    <t>Q6PUV4_CPLX2</t>
  </si>
  <si>
    <t>Q6Q0C0_TRAF7</t>
  </si>
  <si>
    <t>Q6QNY0_BLOC1S3</t>
  </si>
  <si>
    <t>Q6R327_RICTOR</t>
  </si>
  <si>
    <t>Q6SJ93_FAM111B</t>
  </si>
  <si>
    <t>Q6SPF0_SAMD1</t>
  </si>
  <si>
    <t>Q6SZW1_SARM1</t>
  </si>
  <si>
    <t>Q6T4R5-4_NHS</t>
  </si>
  <si>
    <t>Q6UB35_MTHFD1L</t>
  </si>
  <si>
    <t>Q6UB99_ANKRD11</t>
  </si>
  <si>
    <t>Q6ULP2-5_AFTPH</t>
  </si>
  <si>
    <t>Q6UN15_FIP1L1</t>
  </si>
  <si>
    <t>Q6UUV9-3_CRTC1</t>
  </si>
  <si>
    <t>Q6UW63_KDELC1</t>
  </si>
  <si>
    <t>Q6UWE0_LRSAM1</t>
  </si>
  <si>
    <t>Q6UWP2_DHRS11</t>
  </si>
  <si>
    <t>Q6UWP8_SBSN</t>
  </si>
  <si>
    <t>Q6UWW8-2_CES3</t>
  </si>
  <si>
    <t>Q6UX04_CWC27</t>
  </si>
  <si>
    <t>Q6UXH1-4_CRELD2</t>
  </si>
  <si>
    <t>Q6UXN9_WDR82</t>
  </si>
  <si>
    <t>Q6UXY1-2_BAIAP2L2</t>
  </si>
  <si>
    <t>Q6UXY8-2_TMC5</t>
  </si>
  <si>
    <t>Q6V1X1-4_DPP8</t>
  </si>
  <si>
    <t>Q6VMQ6-2_ATF7IP</t>
  </si>
  <si>
    <t>Q6VY07_PACS1</t>
  </si>
  <si>
    <t>Q6WCQ1-2_MPRIP</t>
  </si>
  <si>
    <t>Q6WKZ4_RAB11FIP1</t>
  </si>
  <si>
    <t>Q6WN34_CHRDL2</t>
  </si>
  <si>
    <t>Q6XQN6_NAPRT1</t>
  </si>
  <si>
    <t>Q6XUX3-2_DSTYK</t>
  </si>
  <si>
    <t>Q6XZF7_DNMBP</t>
  </si>
  <si>
    <t>Q6Y7W6_GIGYF2</t>
  </si>
  <si>
    <t>Q6YHK3_CD109</t>
  </si>
  <si>
    <t>Q6YHU6-3_THADA</t>
  </si>
  <si>
    <t>Q6YN16_HSDL2</t>
  </si>
  <si>
    <t>Q6YP21-3_CCBL2</t>
  </si>
  <si>
    <t>Q6ZMI0_PPP1R21</t>
  </si>
  <si>
    <t>Q6ZN04_MEX3B</t>
  </si>
  <si>
    <t>Q6ZN17-2_LIN28B</t>
  </si>
  <si>
    <t>Q6ZN18-2_AEBP2</t>
  </si>
  <si>
    <t>Q6ZN40_TPM1</t>
  </si>
  <si>
    <t>Q6ZN54-6_DEF8</t>
  </si>
  <si>
    <t>Q6ZNA4-2_RNF111</t>
  </si>
  <si>
    <t>Q6ZNB6-2_NFXL1</t>
  </si>
  <si>
    <t>Q6ZNE5_ATG14</t>
  </si>
  <si>
    <t>Q6ZNJ1-3_NBEAL2</t>
  </si>
  <si>
    <t>Q6ZNW5_GDPGP1</t>
  </si>
  <si>
    <t>Q6ZQX7-4_C17orf97</t>
  </si>
  <si>
    <t>Q6ZRS2-3_SRCAP</t>
  </si>
  <si>
    <t>Q6ZS17-2_FAM65A</t>
  </si>
  <si>
    <t>Q6ZS30_NBEAL1</t>
  </si>
  <si>
    <t>Q6ZSJ8_C1orf122</t>
  </si>
  <si>
    <t>Q6ZSZ5-2_ARHGEF18</t>
  </si>
  <si>
    <t>Q6ZT12_UBR3</t>
  </si>
  <si>
    <t>Q6ZT62_SH3BP1</t>
  </si>
  <si>
    <t>Q6ZU65_UBN2</t>
  </si>
  <si>
    <t>Q6ZUM4-2_ARHGAP27</t>
  </si>
  <si>
    <t>Q6ZUT6-4_C15orf52</t>
  </si>
  <si>
    <t>Q6ZUT9_DENND5B</t>
  </si>
  <si>
    <t>Q6ZV73_FGD6</t>
  </si>
  <si>
    <t>Q6ZVF9_GPRIN3</t>
  </si>
  <si>
    <t>Q6ZVK8_NUDT18</t>
  </si>
  <si>
    <t>Q6ZVM7_TOM1L2</t>
  </si>
  <si>
    <t>Q6ZW49-4_PAXIP1</t>
  </si>
  <si>
    <t>Q6ZWJ1_STXBP4</t>
  </si>
  <si>
    <t>Q6ZYL4_GTF2H5</t>
  </si>
  <si>
    <t>Q709C8-3_VPS13C</t>
  </si>
  <si>
    <t>Q70CQ2_USP34</t>
  </si>
  <si>
    <t>Q70CQ4_USP31</t>
  </si>
  <si>
    <t>Q70E73_RAPH1</t>
  </si>
  <si>
    <t>Q70EK8_USP53</t>
  </si>
  <si>
    <t>Q70EL1-7_USP54</t>
  </si>
  <si>
    <t>Q70IA6_MOB2</t>
  </si>
  <si>
    <t>Q70J99_UNC13D</t>
  </si>
  <si>
    <t>Q70Z53-2_FRA10AC1</t>
  </si>
  <si>
    <t>Q712K3_UBE2R2</t>
  </si>
  <si>
    <t>Q71RC2-3_LARP4</t>
  </si>
  <si>
    <t>Q71SY5-5_MED25</t>
  </si>
  <si>
    <t>Q71U36-2_TUBA1A</t>
  </si>
  <si>
    <t>Q71UI9_H2AFV</t>
  </si>
  <si>
    <t>Q71UM5_RPS27L</t>
  </si>
  <si>
    <t>Q75N03_CBLL1</t>
  </si>
  <si>
    <t>Q765P7_MTSS1L</t>
  </si>
  <si>
    <t>Q76FK4-4_NOL8</t>
  </si>
  <si>
    <t>Q76N32-2_CEP68</t>
  </si>
  <si>
    <t>Q7KZ85_SUPT6H</t>
  </si>
  <si>
    <t>Q7KZ85-2_SUPT6H</t>
  </si>
  <si>
    <t>Q7KZF4_SND1</t>
  </si>
  <si>
    <t>Q7KZI7-14_MARK2</t>
  </si>
  <si>
    <t>Q7L014_DDX46</t>
  </si>
  <si>
    <t>Q7L099-2_RUFY3</t>
  </si>
  <si>
    <t>Q7L0Y3_TRMT10C</t>
  </si>
  <si>
    <t>Q7L1Q6_BZW1</t>
  </si>
  <si>
    <t>Q7L1T6_CYB5R4</t>
  </si>
  <si>
    <t>Q7L266_ASRGL1</t>
  </si>
  <si>
    <t>Q7L273_KCTD9</t>
  </si>
  <si>
    <t>Q7L2H7_EIF3M</t>
  </si>
  <si>
    <t>Q7L2J0_MEPCE</t>
  </si>
  <si>
    <t>Q7L3S4_ZNF771</t>
  </si>
  <si>
    <t>Q7L4I2_RSRC2</t>
  </si>
  <si>
    <t>Q7L523_RRAGA</t>
  </si>
  <si>
    <t>Q7L576_CYFIP1</t>
  </si>
  <si>
    <t>Q7L590-2_MCM10</t>
  </si>
  <si>
    <t>Q7L592_NDUFAF7</t>
  </si>
  <si>
    <t>Q7L5D6_GET4</t>
  </si>
  <si>
    <t>Q7L5Y1_ENOSF1</t>
  </si>
  <si>
    <t>Q7L5Y9_MAEA</t>
  </si>
  <si>
    <t>Q7L775_EPM2AIP1</t>
  </si>
  <si>
    <t>Q7L7V1_DHX32</t>
  </si>
  <si>
    <t>Q7L7X3_TAOK1</t>
  </si>
  <si>
    <t>Q7L8J4_SH3BP5L</t>
  </si>
  <si>
    <t>Q7L8L6_FASTKD5</t>
  </si>
  <si>
    <t>Q7L8W6_ATPBD4</t>
  </si>
  <si>
    <t>Q7LBC6_KDM3B</t>
  </si>
  <si>
    <t>Q7LBR1_CHMP1B</t>
  </si>
  <si>
    <t>Q7LG56_RRM2B</t>
  </si>
  <si>
    <t>Q7RTP6_MICAL3</t>
  </si>
  <si>
    <t>Q7RTV0_PHF5A</t>
  </si>
  <si>
    <t>Q7Z2E3-3_APTX</t>
  </si>
  <si>
    <t>Q7Z2K8_GPRIN1</t>
  </si>
  <si>
    <t>Q7Z2T5_TRMT1L</t>
  </si>
  <si>
    <t>Q7Z2W4_ZC3HAV1</t>
  </si>
  <si>
    <t>Q7Z2Y8_GVINP1</t>
  </si>
  <si>
    <t>Q7Z2Z1-2_TICRR</t>
  </si>
  <si>
    <t>Q7Z2Z2_EFTUD1</t>
  </si>
  <si>
    <t>Q7Z309_FAM122B</t>
  </si>
  <si>
    <t>Q7Z333-3_SETX</t>
  </si>
  <si>
    <t>Q7Z350_DKFZp686L0695</t>
  </si>
  <si>
    <t>Q7Z392_TRAPPC11</t>
  </si>
  <si>
    <t>Q7Z3B3_KANSL1</t>
  </si>
  <si>
    <t>Q7Z3C6-2_ATG9A</t>
  </si>
  <si>
    <t>Q7Z3D4_LYSMD3</t>
  </si>
  <si>
    <t>Q7Z3E2_C10orf118</t>
  </si>
  <si>
    <t>Q7Z3E5_ARMC9</t>
  </si>
  <si>
    <t>Q7Z3G6_PRICKLE2</t>
  </si>
  <si>
    <t>Q7Z3J2_C16orf62</t>
  </si>
  <si>
    <t>Q7Z3K6-4_MIER3</t>
  </si>
  <si>
    <t>Q7Z3T8_ZFYVE16</t>
  </si>
  <si>
    <t>Q7Z3V4_UBE3B</t>
  </si>
  <si>
    <t>Q7Z406-6_MYH14</t>
  </si>
  <si>
    <t>Q7Z417_NUFIP2</t>
  </si>
  <si>
    <t>Q7Z422-2_SZRD1</t>
  </si>
  <si>
    <t>Q7Z434_MAVS</t>
  </si>
  <si>
    <t>Q7Z460_CLASP1</t>
  </si>
  <si>
    <t>Q7Z478_DHX29</t>
  </si>
  <si>
    <t>Q7Z4G1_COMMD6</t>
  </si>
  <si>
    <t>Q7Z4G4-2_TRMT11</t>
  </si>
  <si>
    <t>Q7Z4H3_HDDC2</t>
  </si>
  <si>
    <t>Q7Z4H7_HAUS6</t>
  </si>
  <si>
    <t>Q7Z4H8_KDELC2</t>
  </si>
  <si>
    <t>Q7Z4I7-3_LIMS2</t>
  </si>
  <si>
    <t>Q7Z4Q2_HEATR3</t>
  </si>
  <si>
    <t>Q7Z4S6-5_KIF21A</t>
  </si>
  <si>
    <t>Q7Z4V5_HDGFRP2</t>
  </si>
  <si>
    <t>Q7Z4W1_DCXR</t>
  </si>
  <si>
    <t>Q7Z589_EMSY</t>
  </si>
  <si>
    <t>Q7Z5K2_WAPAL</t>
  </si>
  <si>
    <t>Q7Z5L2-2_R3HCC1L</t>
  </si>
  <si>
    <t>Q7Z5L9_IRF2BP2</t>
  </si>
  <si>
    <t>Q7Z5Q1-5_CPEB2</t>
  </si>
  <si>
    <t>Q7Z5R6_APBB1IP</t>
  </si>
  <si>
    <t>Q7Z624_CAMKMT</t>
  </si>
  <si>
    <t>Q7Z6B0-2_CCDC91</t>
  </si>
  <si>
    <t>Q7Z6B7_SRGAP1</t>
  </si>
  <si>
    <t>Q7Z6E9-2_RBBP6</t>
  </si>
  <si>
    <t>Q7Z6I8_C5orf24</t>
  </si>
  <si>
    <t>Q7Z6J0_SH3RF1</t>
  </si>
  <si>
    <t>Q7Z6J8_UBE3D</t>
  </si>
  <si>
    <t>Q7Z6J9_TSEN54</t>
  </si>
  <si>
    <t>Q7Z6K3_PTAR1</t>
  </si>
  <si>
    <t>Q7Z6L1_TECPR1</t>
  </si>
  <si>
    <t>Q7Z6M1_RABEPK</t>
  </si>
  <si>
    <t>Q7Z6Z7-2_HUWE1</t>
  </si>
  <si>
    <t>Q7Z7A1-2_CNTRL</t>
  </si>
  <si>
    <t>Q7Z7A3_CTU1</t>
  </si>
  <si>
    <t>Q7Z7B0_FILIP1</t>
  </si>
  <si>
    <t>Q7Z7C8_TAF8</t>
  </si>
  <si>
    <t>Q7Z7E8_UBE2Q1</t>
  </si>
  <si>
    <t>Q7Z7F0_KIAA0907</t>
  </si>
  <si>
    <t>Q7Z7G8-2_VPS13B</t>
  </si>
  <si>
    <t>Q7Z7J9_CAMK2N1</t>
  </si>
  <si>
    <t>Q7Z7K0_CMC1</t>
  </si>
  <si>
    <t>Q7Z7L1_SLFN11</t>
  </si>
  <si>
    <t>Q7Z7L7_ZER1</t>
  </si>
  <si>
    <t>Q7Z7L9_ZSCAN2</t>
  </si>
  <si>
    <t>Q86SJ2_AMIGO2</t>
  </si>
  <si>
    <t>Q86SQ0_PHLDB2</t>
  </si>
  <si>
    <t>Q86SQ0-2_PHLDB2</t>
  </si>
  <si>
    <t>Q86SQ4_GPR126</t>
  </si>
  <si>
    <t>Q86SQ7_SDCCAG8</t>
  </si>
  <si>
    <t>Q86SX6_GLRX5</t>
  </si>
  <si>
    <t>Q86SZ2_TRAPPC6B</t>
  </si>
  <si>
    <t>Q86T24_ZBTB33</t>
  </si>
  <si>
    <t>Q86TA1_MOB3B</t>
  </si>
  <si>
    <t>Q86TB3_ALPK2</t>
  </si>
  <si>
    <t>Q86TB9-4_PATL1</t>
  </si>
  <si>
    <t>Q86TG7-2_PEG10</t>
  </si>
  <si>
    <t>Q86TI0-2_TBC1D1</t>
  </si>
  <si>
    <t>Q86TI2-2_DPP9</t>
  </si>
  <si>
    <t>Q86TN4_TRPT1</t>
  </si>
  <si>
    <t>Q86TP1_PRUNE</t>
  </si>
  <si>
    <t>Q86TU7_SETD3</t>
  </si>
  <si>
    <t>Q86TV2_LGMN</t>
  </si>
  <si>
    <t>Q86TX2_ACOT1</t>
  </si>
  <si>
    <t>Q86TZ8_TINF2</t>
  </si>
  <si>
    <t>Q86U28_ISCA2</t>
  </si>
  <si>
    <t>Q86U44_METTL3</t>
  </si>
  <si>
    <t>Q86U70-3_LDB1</t>
  </si>
  <si>
    <t>Q86U90_YRDC</t>
  </si>
  <si>
    <t>Q86UA1_PRPF39</t>
  </si>
  <si>
    <t>Q86UA6-3_RPAIN</t>
  </si>
  <si>
    <t>Q86UD0_SAPCD2</t>
  </si>
  <si>
    <t>Q86UE8-2_TLK2</t>
  </si>
  <si>
    <t>Q86UK5-2_EVC2</t>
  </si>
  <si>
    <t>Q86UK7-3_ZNF598</t>
  </si>
  <si>
    <t>Q86UP2_KTN1</t>
  </si>
  <si>
    <t>Q86US8_SMG6</t>
  </si>
  <si>
    <t>Q86UU0-4_BCL9L</t>
  </si>
  <si>
    <t>Q86UU1-2_PHLDB1</t>
  </si>
  <si>
    <t>Q86UV5_USP48</t>
  </si>
  <si>
    <t>Q86UX6_STK32C</t>
  </si>
  <si>
    <t>Q86UY0_TXNDC5</t>
  </si>
  <si>
    <t>Q86UY8-2_NT5DC3</t>
  </si>
  <si>
    <t>Q86V21_AACS</t>
  </si>
  <si>
    <t>Q86V48_LUZP1</t>
  </si>
  <si>
    <t>Q86V87_FAM160B2</t>
  </si>
  <si>
    <t>Q86VG3_C11orf74</t>
  </si>
  <si>
    <t>Q86VK4-3_ZNF410</t>
  </si>
  <si>
    <t>Q86VM9_ZC3H18</t>
  </si>
  <si>
    <t>Q86VN1_VPS36</t>
  </si>
  <si>
    <t>Q86VP1-2_TAX1BP1</t>
  </si>
  <si>
    <t>Q86VP6_CAND1</t>
  </si>
  <si>
    <t>Q86VQ1_GLCCI1</t>
  </si>
  <si>
    <t>Q86VQ6_TXNRD3</t>
  </si>
  <si>
    <t>Q86VR2_FAM134C</t>
  </si>
  <si>
    <t>Q86VS8_HOOK3</t>
  </si>
  <si>
    <t>Q86VV8-3_RTTN</t>
  </si>
  <si>
    <t>Q86VW0_SESTD1</t>
  </si>
  <si>
    <t>Q86VX2-2_COMMD7</t>
  </si>
  <si>
    <t>Q86VY4_TSPYL5</t>
  </si>
  <si>
    <t>Q86W34_AMZ2</t>
  </si>
  <si>
    <t>Q86W42_THOC6</t>
  </si>
  <si>
    <t>Q86W50_METTL16</t>
  </si>
  <si>
    <t>Q86W56_PARG</t>
  </si>
  <si>
    <t>Q86W92-2_PPFIBP1</t>
  </si>
  <si>
    <t>Q86W92-4_PPFIBP1</t>
  </si>
  <si>
    <t>Q86WA6-2_BPHL</t>
  </si>
  <si>
    <t>Q86WH2_RASSF3</t>
  </si>
  <si>
    <t>Q86WJ1-2_CHD1L</t>
  </si>
  <si>
    <t>Q86WP2_GPBP1</t>
  </si>
  <si>
    <t>Q86WQ0_NR2C2AP</t>
  </si>
  <si>
    <t>Q86WR0_CCDC25</t>
  </si>
  <si>
    <t>Q86WR7_PROSER2</t>
  </si>
  <si>
    <t>Q86WT1_TTC30A</t>
  </si>
  <si>
    <t>Q86X02_CDR2L</t>
  </si>
  <si>
    <t>Q86X10_RALGAPB</t>
  </si>
  <si>
    <t>Q86X27_RALGPS2</t>
  </si>
  <si>
    <t>Q86X40-3_LRRC28</t>
  </si>
  <si>
    <t>Q86X53_ERICH1</t>
  </si>
  <si>
    <t>Q86X55-1_CARM1</t>
  </si>
  <si>
    <t>Q86X76-2_NIT1</t>
  </si>
  <si>
    <t>Q86X83_COMMD2</t>
  </si>
  <si>
    <t>Q86X95-2_CIR1</t>
  </si>
  <si>
    <t>Q86XA9_HEATR5A</t>
  </si>
  <si>
    <t>Q86XI2_NCAPG2</t>
  </si>
  <si>
    <t>Q86XK3-3_SFR1</t>
  </si>
  <si>
    <t>Q86XN8_MEX3D</t>
  </si>
  <si>
    <t>Q86XP3_DDX42</t>
  </si>
  <si>
    <t>Q86XZ4_SPATS2</t>
  </si>
  <si>
    <t>Q86Y07-4_VRK2</t>
  </si>
  <si>
    <t>Q86Y37_CACUL1</t>
  </si>
  <si>
    <t>Q86Y56_HEATR2</t>
  </si>
  <si>
    <t>Q86Y79_PTRH1</t>
  </si>
  <si>
    <t>Q86Y82_STX12</t>
  </si>
  <si>
    <t>Q86Y91-2_KIF18B</t>
  </si>
  <si>
    <t>Q86YH6_PDSS2</t>
  </si>
  <si>
    <t>Q86YL5_TDRP</t>
  </si>
  <si>
    <t>Q86YM7_HOMER1</t>
  </si>
  <si>
    <t>Q86YP4-2_GATAD2A</t>
  </si>
  <si>
    <t>Q86YR5-4_GPSM1</t>
  </si>
  <si>
    <t>Q86YS7_C2CD5</t>
  </si>
  <si>
    <t>Q86YV5_SGK223</t>
  </si>
  <si>
    <t>Q86YV9_HPS6</t>
  </si>
  <si>
    <t>Q86YZ3_HRNR</t>
  </si>
  <si>
    <t>Q8IU81_IRF2BP1</t>
  </si>
  <si>
    <t>Q8IU85-2_CAMK1D</t>
  </si>
  <si>
    <t>Q8IUC4_RHPN2</t>
  </si>
  <si>
    <t>Q8IUD2_ERC1</t>
  </si>
  <si>
    <t>Q8IUD6_RNF135</t>
  </si>
  <si>
    <t>Q8IUF8-4_MINA</t>
  </si>
  <si>
    <t>Q8IUI8_CRLF3</t>
  </si>
  <si>
    <t>Q8IUQ4_SIAH1</t>
  </si>
  <si>
    <t>Q8IUR0_TRAPPC5</t>
  </si>
  <si>
    <t>Q8IUR7-7_ARMC8</t>
  </si>
  <si>
    <t>Q8IUW1_ANKRD10</t>
  </si>
  <si>
    <t>Q8IV08_PLD3</t>
  </si>
  <si>
    <t>Q8IV20_LACC1</t>
  </si>
  <si>
    <t>Q8IV36-3_HID1</t>
  </si>
  <si>
    <t>Q8IV38_ANKMY2</t>
  </si>
  <si>
    <t>Q8IV48_ERI1</t>
  </si>
  <si>
    <t>Q8IV50_LYSMD2</t>
  </si>
  <si>
    <t>Q8IV63-3_VRK3</t>
  </si>
  <si>
    <t>Q8IVB5_LIX1L</t>
  </si>
  <si>
    <t>Q8IVD9_NUDCD3</t>
  </si>
  <si>
    <t>Q8IVF2-3_AHNAK2</t>
  </si>
  <si>
    <t>Q8IVF6_ANKRD18A</t>
  </si>
  <si>
    <t>Q8IVH2-3_FOXP4</t>
  </si>
  <si>
    <t>Q8IVH8-3_MAP4K3</t>
  </si>
  <si>
    <t>Q8IVL1-4_NAV2</t>
  </si>
  <si>
    <t>Q8IVL5_LEPREL1</t>
  </si>
  <si>
    <t>Q8IVM0_CCDC50</t>
  </si>
  <si>
    <t>Q8IVS2_MCAT</t>
  </si>
  <si>
    <t>Q8IVT2_C19orf21</t>
  </si>
  <si>
    <t>Q8IVV2_LOXHD1</t>
  </si>
  <si>
    <t>Q8IW19_APLF</t>
  </si>
  <si>
    <t>Q8IW41-2_MAPKAPK5</t>
  </si>
  <si>
    <t>Q8IW45_CARKD</t>
  </si>
  <si>
    <t>Q8IW50-7_FAM219A</t>
  </si>
  <si>
    <t>Q8IWB7_WDFY1</t>
  </si>
  <si>
    <t>Q8IWB9_TEX2</t>
  </si>
  <si>
    <t>Q8IWC1-2_MAP7D3</t>
  </si>
  <si>
    <t>Q8IWD4_CCDC117</t>
  </si>
  <si>
    <t>Q8IWE2_FAM114A1</t>
  </si>
  <si>
    <t>Q8IWI9_MGA</t>
  </si>
  <si>
    <t>Q8IWJ2_GCC2</t>
  </si>
  <si>
    <t>Q8IWL3_HSCB</t>
  </si>
  <si>
    <t>Q8IWP9_CCDC28A</t>
  </si>
  <si>
    <t>Q8IWQ3-3_BRSK2</t>
  </si>
  <si>
    <t>Q8IWR0_ZC3H7A</t>
  </si>
  <si>
    <t>Q8IWT0_ZBTB8OS</t>
  </si>
  <si>
    <t>Q8IWU2_LMTK2</t>
  </si>
  <si>
    <t>Q8IWV7_UBR1</t>
  </si>
  <si>
    <t>Q8IWV8-4_UBR2</t>
  </si>
  <si>
    <t>Q8IWW6-2_ARHGAP12</t>
  </si>
  <si>
    <t>Q8IWX8_CHERP</t>
  </si>
  <si>
    <t>Q8IWY9-1_CDAN1</t>
  </si>
  <si>
    <t>Q8IWZ3-6_ANKHD1</t>
  </si>
  <si>
    <t>Q8IWZ8_SUGP1</t>
  </si>
  <si>
    <t>Q8IX01-4_SUGP2</t>
  </si>
  <si>
    <t>Q8IX03-2_WWC1</t>
  </si>
  <si>
    <t>Q8IX04-6_UEVLD</t>
  </si>
  <si>
    <t>Q8IX07_ZFPM1</t>
  </si>
  <si>
    <t>Q8IX12-2_CCAR1</t>
  </si>
  <si>
    <t>Q8IX18-3_DHX40</t>
  </si>
  <si>
    <t>Q8IX90_SKA3</t>
  </si>
  <si>
    <t>Q8IXB1_DNAJC10</t>
  </si>
  <si>
    <t>Q8IXH7-4_NELFCD</t>
  </si>
  <si>
    <t>Q8IXJ6-2_SIRT2</t>
  </si>
  <si>
    <t>Q8IXK0-2_PHC2</t>
  </si>
  <si>
    <t>Q8IXM2-2_BAP18</t>
  </si>
  <si>
    <t>Q8IXM3_MRPL41</t>
  </si>
  <si>
    <t>Q8IXN7_RIMKLA</t>
  </si>
  <si>
    <t>Q8IXQ3_C9orf40</t>
  </si>
  <si>
    <t>Q8IXQ4_KIAA1704</t>
  </si>
  <si>
    <t>Q8IXW5-2_RPAP2</t>
  </si>
  <si>
    <t>Q8IXZ2_ZC3H3</t>
  </si>
  <si>
    <t>Q8IY18_SMC5</t>
  </si>
  <si>
    <t>Q8IY22_CMIP</t>
  </si>
  <si>
    <t>Q8IY31_IFT20</t>
  </si>
  <si>
    <t>Q8IY33_MICALL2</t>
  </si>
  <si>
    <t>Q8IY37_DHX37</t>
  </si>
  <si>
    <t>Q8IY47_KBTBD2</t>
  </si>
  <si>
    <t>Q8IY81_FTSJ3</t>
  </si>
  <si>
    <t>Q8IY85_EFCAB13</t>
  </si>
  <si>
    <t>Q8IY92_SLX4</t>
  </si>
  <si>
    <t>Q8IYA6_CKAP2L</t>
  </si>
  <si>
    <t>Q8IYB1_MB21D2</t>
  </si>
  <si>
    <t>Q8IYB5-3_SMAP1</t>
  </si>
  <si>
    <t>Q8IYB7_DIS3L2</t>
  </si>
  <si>
    <t>Q8IYB8_SUPV3L1</t>
  </si>
  <si>
    <t>Q8IYD1_GSPT2</t>
  </si>
  <si>
    <t>Q8IYE0-2_CCDC146</t>
  </si>
  <si>
    <t>Q8IYH5-4_ZZZ3</t>
  </si>
  <si>
    <t>Q8IYI6_EXOC8</t>
  </si>
  <si>
    <t>Q8IYL3_C1orf174</t>
  </si>
  <si>
    <t>Q8IYN2_TCEAL8</t>
  </si>
  <si>
    <t>Q8IYN9_PTK2</t>
  </si>
  <si>
    <t>Q8IYQ7_THNSL1</t>
  </si>
  <si>
    <t>Q8IYR2_SMYD4</t>
  </si>
  <si>
    <t>Q8IYS0-2_GRAMD1C</t>
  </si>
  <si>
    <t>Q8IYS1_PM20D2</t>
  </si>
  <si>
    <t>Q8IYT2_FTSJD1</t>
  </si>
  <si>
    <t>Q8IYU8_MICU2</t>
  </si>
  <si>
    <t>Q8IYW5_RNF168</t>
  </si>
  <si>
    <t>Q8IZ07_ANKRD13A</t>
  </si>
  <si>
    <t>Q8IZ21-3_PHACTR4</t>
  </si>
  <si>
    <t>Q8IZ69_TRMT2A</t>
  </si>
  <si>
    <t>Q8IZ73_RPUSD2</t>
  </si>
  <si>
    <t>Q8IZ83_ALDH16A1</t>
  </si>
  <si>
    <t>Q8IZD2-6_MLL5</t>
  </si>
  <si>
    <t>Q8IZD4_DCP1B</t>
  </si>
  <si>
    <t>Q8IZE3-2_SCYL3</t>
  </si>
  <si>
    <t>Q8IZH2-2_XRN1</t>
  </si>
  <si>
    <t>Q8IZL2_MAML2</t>
  </si>
  <si>
    <t>Q8IZL8_PELP1</t>
  </si>
  <si>
    <t>Q8IZP0-10_ABI1</t>
  </si>
  <si>
    <t>Q8IZQ1-2_WDFY3</t>
  </si>
  <si>
    <t>Q8IZW8_TNS4</t>
  </si>
  <si>
    <t>Q8N0T1_C8orf59</t>
  </si>
  <si>
    <t>Q8N0U4-3_FAM185A</t>
  </si>
  <si>
    <t>Q8N0W3_FUK</t>
  </si>
  <si>
    <t>Q8N0X7_SPG20</t>
  </si>
  <si>
    <t>Q8N0Z3_SPICE1</t>
  </si>
  <si>
    <t>Q8N0Z6_TTC5</t>
  </si>
  <si>
    <t>Q8N108-17_MIER1</t>
  </si>
  <si>
    <t>Q8N122_RPTOR</t>
  </si>
  <si>
    <t>Q8N129_CNPY4</t>
  </si>
  <si>
    <t>Q8N142_ADSSL1</t>
  </si>
  <si>
    <t>Q8N163_KIAA1967</t>
  </si>
  <si>
    <t>Q8N1B4_VPS52</t>
  </si>
  <si>
    <t>Q8N1F7_NUP93</t>
  </si>
  <si>
    <t>Q8N1G2_FTSJD2</t>
  </si>
  <si>
    <t>Q8N1G4_LRRC47</t>
  </si>
  <si>
    <t>Q8N1N4_KRT78</t>
  </si>
  <si>
    <t>Q8N1W1-4_ARHGEF28</t>
  </si>
  <si>
    <t>Q8N201_INTS1</t>
  </si>
  <si>
    <t>Q8N2F6-4_ARMC10</t>
  </si>
  <si>
    <t>Q8N2W9_PIAS4</t>
  </si>
  <si>
    <t>Q8N2Y8_RUSC2</t>
  </si>
  <si>
    <t>Q8N2Z9_APITD1</t>
  </si>
  <si>
    <t>Q8N300_CCDC23</t>
  </si>
  <si>
    <t>Q8N302_AGGF1</t>
  </si>
  <si>
    <t>Q8N335_GPD1L</t>
  </si>
  <si>
    <t>Q8N371_KDM8</t>
  </si>
  <si>
    <t>Q8N392_ARHGAP18</t>
  </si>
  <si>
    <t>Q8N3C0_ASCC3</t>
  </si>
  <si>
    <t>Q8N3C7_CLIP4</t>
  </si>
  <si>
    <t>Q8N3D4_EHBP1L1</t>
  </si>
  <si>
    <t>Q8N3F8_MICALL1</t>
  </si>
  <si>
    <t>Q8N3J3-3_C17orf53</t>
  </si>
  <si>
    <t>Q8N3P4-3_VPS8</t>
  </si>
  <si>
    <t>Q8N3R9_MPP5</t>
  </si>
  <si>
    <t>Q8N3V7-2_SYNPO</t>
  </si>
  <si>
    <t>Q8N3X1_FNBP4</t>
  </si>
  <si>
    <t>Q8N465_D2HGDH</t>
  </si>
  <si>
    <t>Q8N488_RYBP</t>
  </si>
  <si>
    <t>Q8N4C8_MINK1</t>
  </si>
  <si>
    <t>Q8N4J0_C9orf41</t>
  </si>
  <si>
    <t>Q8N4N3_KLHL36</t>
  </si>
  <si>
    <t>Q8N4P3_HDDC3</t>
  </si>
  <si>
    <t>Q8N4Q0_ZADH2</t>
  </si>
  <si>
    <t>Q8N4T8_CBR4</t>
  </si>
  <si>
    <t>Q8N4X5_AFAP1L2</t>
  </si>
  <si>
    <t>Q8N4X5-2_AFAP1L2</t>
  </si>
  <si>
    <t>Q8N543_OGFOD1</t>
  </si>
  <si>
    <t>Q8N556_AFAP1</t>
  </si>
  <si>
    <t>Q8N567_ZCCHC9</t>
  </si>
  <si>
    <t>Q8N573-2_OXR1</t>
  </si>
  <si>
    <t>Q8N584-2_TTC39C</t>
  </si>
  <si>
    <t>Q8N5A5-3_ZGPAT</t>
  </si>
  <si>
    <t>Q8N5C7_DTWD1</t>
  </si>
  <si>
    <t>Q8N5C8-2_TAB3</t>
  </si>
  <si>
    <t>Q8N5F7_NKAP</t>
  </si>
  <si>
    <t>Q8N5G2_TMEM57</t>
  </si>
  <si>
    <t>Q8N5I9_C12orf45</t>
  </si>
  <si>
    <t>Q8N5L8_RPP25L</t>
  </si>
  <si>
    <t>Q8N5M1_ATPAF2</t>
  </si>
  <si>
    <t>Q8N5N7_MRPL50</t>
  </si>
  <si>
    <t>Q8N5P1_ZC3H8</t>
  </si>
  <si>
    <t>Q8N5S9_CAMKK1</t>
  </si>
  <si>
    <t>Q8N5V2-3_NGEF</t>
  </si>
  <si>
    <t>Q8N5W9_FAM101B</t>
  </si>
  <si>
    <t>Q8N612_FAM160A2</t>
  </si>
  <si>
    <t>Q8N653_LZTR1</t>
  </si>
  <si>
    <t>Q8N655_C10orf12</t>
  </si>
  <si>
    <t>Q8N668_COMMD1</t>
  </si>
  <si>
    <t>Q8N684_CPSF7</t>
  </si>
  <si>
    <t>Q8N6H7_ARFGAP2</t>
  </si>
  <si>
    <t>Q8N6I1_EID2</t>
  </si>
  <si>
    <t>Q8N6M0_OTUD6B</t>
  </si>
  <si>
    <t>Q8N6N3-2_C1orf52</t>
  </si>
  <si>
    <t>Q8N6N7_ACBD7</t>
  </si>
  <si>
    <t>Q8N6Q8_METTL25</t>
  </si>
  <si>
    <t>Q8N749_TOM1L1</t>
  </si>
  <si>
    <t>Q8N7C3_TRIML2</t>
  </si>
  <si>
    <t>Q8N806_UBR7</t>
  </si>
  <si>
    <t>Q8N819-2_PPM1N</t>
  </si>
  <si>
    <t>Q8N883_ZNF614</t>
  </si>
  <si>
    <t>Q8N8A2_ANKRD44</t>
  </si>
  <si>
    <t>Q8N8A6_DDX51</t>
  </si>
  <si>
    <t>Q8N8N7_PTGR2</t>
  </si>
  <si>
    <t>Q8N8R5_C2orf69</t>
  </si>
  <si>
    <t>Q8N8R7_ARL14EP</t>
  </si>
  <si>
    <t>Q8N8S7_ENAH</t>
  </si>
  <si>
    <t>Q8N8S7-2_ENAH</t>
  </si>
  <si>
    <t>Q8N954_GPATCH11</t>
  </si>
  <si>
    <t>Q8N961-2_ABTB2</t>
  </si>
  <si>
    <t>Q8N999_C12orf29</t>
  </si>
  <si>
    <t>Q8N9B5-2_JMY</t>
  </si>
  <si>
    <t>Q8N9M1-2_C19orf47</t>
  </si>
  <si>
    <t>Q8N9M5_TMEM102</t>
  </si>
  <si>
    <t>Q8N9N2-2_ASCC1</t>
  </si>
  <si>
    <t>Q8N9N5-7_BANP</t>
  </si>
  <si>
    <t>Q8N9N8_EIF1AD</t>
  </si>
  <si>
    <t>Q8N9V3_WDSUB1</t>
  </si>
  <si>
    <t>Q8NAF0_ZNF579</t>
  </si>
  <si>
    <t>Q8NB15-2_ZNF511</t>
  </si>
  <si>
    <t>Q8NB16_MLKL</t>
  </si>
  <si>
    <t>Q8NB37_PDDC1</t>
  </si>
  <si>
    <t>Q8NB46_ANKRD52</t>
  </si>
  <si>
    <t>Q8NB78_KDM1B</t>
  </si>
  <si>
    <t>Q8NB90_SPATA5</t>
  </si>
  <si>
    <t>Q8NBA8_DTWD2</t>
  </si>
  <si>
    <t>Q8NBF2_NHLRC2</t>
  </si>
  <si>
    <t>Q8NBF6_AVL9</t>
  </si>
  <si>
    <t>Q8NBJ4-2_GOLM1</t>
  </si>
  <si>
    <t>Q8NBJ5_COLGALT1</t>
  </si>
  <si>
    <t>Q8NBJ7_SUMF2</t>
  </si>
  <si>
    <t>Q8NBK3-4_SUMF1</t>
  </si>
  <si>
    <t>Q8NBL1_POGLUT1</t>
  </si>
  <si>
    <t>Q8NBM4-4_UBAC2</t>
  </si>
  <si>
    <t>Q8NC26-2_ZNF114</t>
  </si>
  <si>
    <t>Q8NC51-2_SERBP1</t>
  </si>
  <si>
    <t>Q8NC56_LEMD2</t>
  </si>
  <si>
    <t>Q8NC60_NOA1</t>
  </si>
  <si>
    <t>Q8NC96_NECAP1</t>
  </si>
  <si>
    <t>Q8NCA5-2_FAM98A</t>
  </si>
  <si>
    <t>Q8NCC3_PLA2G15</t>
  </si>
  <si>
    <t>Q8NCD3-3_HJURP</t>
  </si>
  <si>
    <t>Q8NCE0-4_TSEN2</t>
  </si>
  <si>
    <t>Q8NCE2-2_MTMR14</t>
  </si>
  <si>
    <t>Q8NCF5_NFATC2IP</t>
  </si>
  <si>
    <t>Q8NCM8_DYNC2H1</t>
  </si>
  <si>
    <t>Q8NCN4_RNF169</t>
  </si>
  <si>
    <t>Q8NCN5_PDPR</t>
  </si>
  <si>
    <t>Q8NCP5-3_ZBTB44</t>
  </si>
  <si>
    <t>Q8NCW5_APOA1BP</t>
  </si>
  <si>
    <t>Q8ND04_SMG8</t>
  </si>
  <si>
    <t>Q8ND24_RNF214</t>
  </si>
  <si>
    <t>Q8ND30_PPFIBP2</t>
  </si>
  <si>
    <t>Q8ND56-2_LSM14A</t>
  </si>
  <si>
    <t>Q8ND76-3_CCNY</t>
  </si>
  <si>
    <t>Q8NDC0_MAPK1IP1L</t>
  </si>
  <si>
    <t>Q8NDF8_PAPD5</t>
  </si>
  <si>
    <t>Q8NDH3_NPEPL1</t>
  </si>
  <si>
    <t>Q8NDI1-3_EHBP1</t>
  </si>
  <si>
    <t>Q8NDV7-6_TNRC6A</t>
  </si>
  <si>
    <t>Q8NDX5-2_PHC3</t>
  </si>
  <si>
    <t>Q8NE71_ABCF1</t>
  </si>
  <si>
    <t>Q8NEB9_PIK3C3</t>
  </si>
  <si>
    <t>Q8NEC7_GSTCD</t>
  </si>
  <si>
    <t>Q8NEF9_SRFBP1</t>
  </si>
  <si>
    <t>Q8NEH6_MNS1</t>
  </si>
  <si>
    <t>Q8NEL9-2_DDHD1</t>
  </si>
  <si>
    <t>Q8NEM0_MCPH1</t>
  </si>
  <si>
    <t>Q8NEM2_SHCBP1</t>
  </si>
  <si>
    <t>Q8NEN9_PDZD8</t>
  </si>
  <si>
    <t>Q8NEU8_APPL2</t>
  </si>
  <si>
    <t>Q8NEY1-2_NAV1</t>
  </si>
  <si>
    <t>Q8NEZ2_VPS37A</t>
  </si>
  <si>
    <t>Q8NEZ4_MLL3</t>
  </si>
  <si>
    <t>Q8NEZ5_FBXO22</t>
  </si>
  <si>
    <t>Q8NF64-3_ZMIZ2</t>
  </si>
  <si>
    <t>Q8NF67_</t>
  </si>
  <si>
    <t>Q8NF91_SYNE1</t>
  </si>
  <si>
    <t>Q8NFA0_USP32</t>
  </si>
  <si>
    <t>Q8NFC6_BOD1L1</t>
  </si>
  <si>
    <t>Q8NFF5-2_FLAD1</t>
  </si>
  <si>
    <t>Q8NFG4_FLCN</t>
  </si>
  <si>
    <t>Q8NFH3_NUP43</t>
  </si>
  <si>
    <t>Q8NFH4_NUP37</t>
  </si>
  <si>
    <t>Q8NFI3_ENGASE</t>
  </si>
  <si>
    <t>Q8NFQ8_TOR1AIP2</t>
  </si>
  <si>
    <t>Q8NFV4_ABHD11</t>
  </si>
  <si>
    <t>Q8NFW8_CMAS</t>
  </si>
  <si>
    <t>Q8NFZ0_FBXO18</t>
  </si>
  <si>
    <t>Q8NFZ5_TNIP2</t>
  </si>
  <si>
    <t>Q8NFZ8_CADM4</t>
  </si>
  <si>
    <t>Q8NG08_HELB</t>
  </si>
  <si>
    <t>Q8NG27-3_PJA1</t>
  </si>
  <si>
    <t>Q8NG31-2_CASC5</t>
  </si>
  <si>
    <t>Q8NG68_TTL</t>
  </si>
  <si>
    <t>Q8NHG7_SVIP</t>
  </si>
  <si>
    <t>Q8NHG8_ZNRF2</t>
  </si>
  <si>
    <t>Q8NHM4_TRY6</t>
  </si>
  <si>
    <t>Q8NHM5-2_KDM2B</t>
  </si>
  <si>
    <t>Q8NHP8_PLBD2</t>
  </si>
  <si>
    <t>Q8NHU6_TDRD7</t>
  </si>
  <si>
    <t>Q8NHV4_NEDD1</t>
  </si>
  <si>
    <t>Q8NHZ8_CDC26</t>
  </si>
  <si>
    <t>Q8NI08-2_NCOA7</t>
  </si>
  <si>
    <t>Q8NI27_THOC2</t>
  </si>
  <si>
    <t>Q8NI35_INADL</t>
  </si>
  <si>
    <t>Q8NI36_WDR36</t>
  </si>
  <si>
    <t>Q8TA86_RP9</t>
  </si>
  <si>
    <t>Q8TAD8_SNIP1</t>
  </si>
  <si>
    <t>Q8TAE8_GADD45GIP1</t>
  </si>
  <si>
    <t>Q8TAF3_WDR48</t>
  </si>
  <si>
    <t>Q8TAP6_CEP76</t>
  </si>
  <si>
    <t>Q8TAP8_PPP1R35</t>
  </si>
  <si>
    <t>Q8TAP9_MPLKIP</t>
  </si>
  <si>
    <t>Q8TAQ2_SMARCC2</t>
  </si>
  <si>
    <t>Q8TAT6_NPLOC4</t>
  </si>
  <si>
    <t>Q8TAV0_FAM76A</t>
  </si>
  <si>
    <t>Q8TB03_CXorf38</t>
  </si>
  <si>
    <t>Q8TB22_SPATA20</t>
  </si>
  <si>
    <t>Q8TB24_RIN3</t>
  </si>
  <si>
    <t>Q8TB37_NUBPL</t>
  </si>
  <si>
    <t>Q8TB40_ABHD4</t>
  </si>
  <si>
    <t>Q8TB52_FBXO30</t>
  </si>
  <si>
    <t>Q8TB72-3_PUM2</t>
  </si>
  <si>
    <t>Q8TBA6-2_GOLGA5</t>
  </si>
  <si>
    <t>Q8TBB5-3_KLHDC4</t>
  </si>
  <si>
    <t>Q8TBC4_UBA3</t>
  </si>
  <si>
    <t>Q8TBE9_NANP</t>
  </si>
  <si>
    <t>Q8TBF2-4_FAM213B</t>
  </si>
  <si>
    <t>Q8TBM8_DNAJB14</t>
  </si>
  <si>
    <t>Q8TBN0_RAB3IL1</t>
  </si>
  <si>
    <t>Q8TBX8_PIP4K2C</t>
  </si>
  <si>
    <t>Q8TBZ6_TRMT10A</t>
  </si>
  <si>
    <t>Q8TC07-2_TBC1D15</t>
  </si>
  <si>
    <t>Q8TCA0_LRRC20</t>
  </si>
  <si>
    <t>Q8TCD5_NT5C</t>
  </si>
  <si>
    <t>Q8TCE6-2_FAM45A</t>
  </si>
  <si>
    <t>Q8TCG1_KIAA1524</t>
  </si>
  <si>
    <t>Q8TCN5_ZNF507</t>
  </si>
  <si>
    <t>Q8TCS8_PNPT1</t>
  </si>
  <si>
    <t>Q8TCU4-3_ALMS1</t>
  </si>
  <si>
    <t>Q8TCU6_PREX1</t>
  </si>
  <si>
    <t>Q8TCX1_DYNC2LI1</t>
  </si>
  <si>
    <t>Q8TCY9_URGCP</t>
  </si>
  <si>
    <t>Q8TD08-2_MAPK15</t>
  </si>
  <si>
    <t>Q8TD16_BICD2</t>
  </si>
  <si>
    <t>Q8TD19_NEK9</t>
  </si>
  <si>
    <t>Q8TD30_GPT2</t>
  </si>
  <si>
    <t>Q8TD55-2_PLEKHO2</t>
  </si>
  <si>
    <t>Q8TDD1_DDX54</t>
  </si>
  <si>
    <t>Q8TDD1-2_DDX54</t>
  </si>
  <si>
    <t>Q8TDH9_BLOC1S5</t>
  </si>
  <si>
    <t>Q8TDJ6_DMXL2</t>
  </si>
  <si>
    <t>Q8TDM0-3_BCAS4</t>
  </si>
  <si>
    <t>Q8TDM6_DLG5</t>
  </si>
  <si>
    <t>Q8TDQ7_GNPDA2</t>
  </si>
  <si>
    <t>Q8TDR0-2_TRAF3IP1</t>
  </si>
  <si>
    <t>Q8TDX7_NEK7</t>
  </si>
  <si>
    <t>Q8TDY2-2_RB1CC1</t>
  </si>
  <si>
    <t>Q8TDZ2_MICAL1</t>
  </si>
  <si>
    <t>Q8TE04_PANK1</t>
  </si>
  <si>
    <t>Q8TE76-3_MORC4</t>
  </si>
  <si>
    <t>Q8TE77_SSH3</t>
  </si>
  <si>
    <t>Q8TEA1_NSUN6</t>
  </si>
  <si>
    <t>Q8TEA7-3_TBCK</t>
  </si>
  <si>
    <t>Q8TEA8_DTD1</t>
  </si>
  <si>
    <t>Q8TEB1-2_DCAF11</t>
  </si>
  <si>
    <t>Q8TEH3_DENND1A</t>
  </si>
  <si>
    <t>Q8TEK3-2_DOT1L</t>
  </si>
  <si>
    <t>Q8TEQ6_GEMIN5</t>
  </si>
  <si>
    <t>Q8TER5_ARHGEF40</t>
  </si>
  <si>
    <t>Q8TES7-5_FBF1</t>
  </si>
  <si>
    <t>Q8TEV9_SMCR8</t>
  </si>
  <si>
    <t>Q8TEW0-2_PARD3</t>
  </si>
  <si>
    <t>Q8TEX9_IPO4</t>
  </si>
  <si>
    <t>Q8TF01_PNISR</t>
  </si>
  <si>
    <t>Q8TF05-2_PPP4R1</t>
  </si>
  <si>
    <t>Q8TF42_UBASH3B</t>
  </si>
  <si>
    <t>Q8TF71_SLC16A10</t>
  </si>
  <si>
    <t>Q8TF72_SHROOM3</t>
  </si>
  <si>
    <t>Q8TF74_WIPF2</t>
  </si>
  <si>
    <t>Q8WTS6_SETD7</t>
  </si>
  <si>
    <t>Q8WTW3_COG1</t>
  </si>
  <si>
    <t>Q8WU20_FRS2</t>
  </si>
  <si>
    <t>Q8WU58_FAM222B</t>
  </si>
  <si>
    <t>Q8WU79-2_SMAP2</t>
  </si>
  <si>
    <t>Q8WU90_ZC3H15</t>
  </si>
  <si>
    <t>Q8WUA2_PPIL4</t>
  </si>
  <si>
    <t>Q8WUA4_GTF3C2</t>
  </si>
  <si>
    <t>Q8WUA8_TSKU</t>
  </si>
  <si>
    <t>Q8WUB8-3_PHF10</t>
  </si>
  <si>
    <t>Q8WUD1_RAB2B</t>
  </si>
  <si>
    <t>Q8WUD4_CCDC12</t>
  </si>
  <si>
    <t>Q8WUF5_PPP1R13L</t>
  </si>
  <si>
    <t>Q8WUF8_FAM172A</t>
  </si>
  <si>
    <t>Q8WUH1_CHURC1</t>
  </si>
  <si>
    <t>Q8WUH2_TGFBRAP1</t>
  </si>
  <si>
    <t>Q8WUH6_C12orf23</t>
  </si>
  <si>
    <t>Q8WUI4-3_HDAC7</t>
  </si>
  <si>
    <t>Q8WUJ0_STYX</t>
  </si>
  <si>
    <t>Q8WUM0_NUP133</t>
  </si>
  <si>
    <t>Q8WUM4_PDCD6IP</t>
  </si>
  <si>
    <t>Q8WUN7_UBTD2</t>
  </si>
  <si>
    <t>Q8WUP2_FBLIM1</t>
  </si>
  <si>
    <t>Q8WUR7_C15orf40</t>
  </si>
  <si>
    <t>Q8WUW1_BRK1</t>
  </si>
  <si>
    <t>Q8WUX2_CHAC2</t>
  </si>
  <si>
    <t>Q8WUX9_CHMP7</t>
  </si>
  <si>
    <t>Q8WUZ0_BCL7C</t>
  </si>
  <si>
    <t>Q8WV22_NSMCE1</t>
  </si>
  <si>
    <t>Q8WV41_SNX33</t>
  </si>
  <si>
    <t>Q8WV74_NUDT8</t>
  </si>
  <si>
    <t>Q8WV92_MITD1</t>
  </si>
  <si>
    <t>Q8WVB3_HEXDC</t>
  </si>
  <si>
    <t>Q8WVB6_CHTF18</t>
  </si>
  <si>
    <t>Q8WVC0_LEO1</t>
  </si>
  <si>
    <t>Q8WVC2_RPS21</t>
  </si>
  <si>
    <t>Q8WVD3_RNF138</t>
  </si>
  <si>
    <t>Q8WVJ2_NUDCD2</t>
  </si>
  <si>
    <t>Q8WVK2_SNRNP27</t>
  </si>
  <si>
    <t>Q8WVM0_TFB1M</t>
  </si>
  <si>
    <t>Q8WVM8_SCFD1</t>
  </si>
  <si>
    <t>Q8WVP5_TNFAIP8L1</t>
  </si>
  <si>
    <t>Q8WVS4_WDR60</t>
  </si>
  <si>
    <t>Q8WVT3_TRAPPC12</t>
  </si>
  <si>
    <t>Q8WVV4_POF1B</t>
  </si>
  <si>
    <t>Q8WVV9-4_HNRPLL</t>
  </si>
  <si>
    <t>Q8WVY7_UBLCP1</t>
  </si>
  <si>
    <t>Q8WW01_TSEN15</t>
  </si>
  <si>
    <t>Q8WW12_PCNP</t>
  </si>
  <si>
    <t>Q8WW35_TCTEX1D2</t>
  </si>
  <si>
    <t>Q8WW59_SPRYD4</t>
  </si>
  <si>
    <t>Q8WWH5_TRUB1</t>
  </si>
  <si>
    <t>Q8WWM7_ATXN2L</t>
  </si>
  <si>
    <t>Q8WWN8_ARAP3</t>
  </si>
  <si>
    <t>Q8WWV3_RTN4IP1</t>
  </si>
  <si>
    <t>Q8WWX9_SELM</t>
  </si>
  <si>
    <t>Q8WWY3_PRPF31</t>
  </si>
  <si>
    <t>Q8WWZ3-2_EDARADD</t>
  </si>
  <si>
    <t>Q8WX92_NELFB</t>
  </si>
  <si>
    <t>Q8WX93-3_PALLD</t>
  </si>
  <si>
    <t>Q8WXA3-2_RUFY2</t>
  </si>
  <si>
    <t>Q8WXA9-2_SREK1</t>
  </si>
  <si>
    <t>Q8WXB1_METTL21A</t>
  </si>
  <si>
    <t>Q8WXD5_GEMIN6</t>
  </si>
  <si>
    <t>Q8WXE0_CASKIN2</t>
  </si>
  <si>
    <t>Q8WXE1-2_ATRIP</t>
  </si>
  <si>
    <t>Q8WXF1_PSPC1</t>
  </si>
  <si>
    <t>Q8WXI2-5_CNKSR2</t>
  </si>
  <si>
    <t>Q8WXI4-2_ACOT11</t>
  </si>
  <si>
    <t>Q8WXI9_GATAD2B</t>
  </si>
  <si>
    <t>Q8WXW3_PIBF1</t>
  </si>
  <si>
    <t>Q8WXX5_DNAJC9</t>
  </si>
  <si>
    <t>Q8WYA0_IFT81</t>
  </si>
  <si>
    <t>Q8WYA6_CTNNBL1</t>
  </si>
  <si>
    <t>Q8WYL5_SSH1</t>
  </si>
  <si>
    <t>Q8WYP3_RIN2</t>
  </si>
  <si>
    <t>Q8WYP5_AHCTF1</t>
  </si>
  <si>
    <t>Q8WZ73-3_RFFL</t>
  </si>
  <si>
    <t>Q8WZ82_OVCA2</t>
  </si>
  <si>
    <t>Q8WZA0_LZIC</t>
  </si>
  <si>
    <t>Q8WZA9_IRGQ</t>
  </si>
  <si>
    <t>Q92466_DDB2</t>
  </si>
  <si>
    <t>Q92499_DDX1</t>
  </si>
  <si>
    <t>Q92503-3_SEC14L1</t>
  </si>
  <si>
    <t>Q92506_HSD17B8</t>
  </si>
  <si>
    <t>Q92522_H1FX</t>
  </si>
  <si>
    <t>Q92526_CCT6B</t>
  </si>
  <si>
    <t>Q92538_GBF1</t>
  </si>
  <si>
    <t>Q92540-2_SMG7</t>
  </si>
  <si>
    <t>Q92541_RTF1</t>
  </si>
  <si>
    <t>Q92545_TMEM131</t>
  </si>
  <si>
    <t>Q92547_TOPBP1</t>
  </si>
  <si>
    <t>Q92552_MRPS27</t>
  </si>
  <si>
    <t>Q92558_WASF1</t>
  </si>
  <si>
    <t>Q92567-2_FAM168A</t>
  </si>
  <si>
    <t>Q92572_AP3S1</t>
  </si>
  <si>
    <t>Q92575_UBXN4</t>
  </si>
  <si>
    <t>Q92576-2_PHF3</t>
  </si>
  <si>
    <t>Q92585_MAML1</t>
  </si>
  <si>
    <t>Q92597_NDRG1</t>
  </si>
  <si>
    <t>Q92598-2_HSPH1</t>
  </si>
  <si>
    <t>Q92599-2_SEPT8</t>
  </si>
  <si>
    <t>Q92600_RQCD1</t>
  </si>
  <si>
    <t>Q92609_TBC1D5</t>
  </si>
  <si>
    <t>Q92610_ZNF592</t>
  </si>
  <si>
    <t>Q92614-3_MYO18A</t>
  </si>
  <si>
    <t>Q92615_LARP4B</t>
  </si>
  <si>
    <t>Q92616_GCN1L1</t>
  </si>
  <si>
    <t>Q92620_DHX38</t>
  </si>
  <si>
    <t>Q92621_NUP205</t>
  </si>
  <si>
    <t>Q92623_TTC9</t>
  </si>
  <si>
    <t>Q92624_APPBP2</t>
  </si>
  <si>
    <t>Q92625_ANKS1A</t>
  </si>
  <si>
    <t>Q92629-3_SGCD</t>
  </si>
  <si>
    <t>Q92636_NSMAF</t>
  </si>
  <si>
    <t>Q92664-2_GTF3A</t>
  </si>
  <si>
    <t>Q92665_MRPS31</t>
  </si>
  <si>
    <t>Q92667_AKAP1</t>
  </si>
  <si>
    <t>Q92686_NRGN</t>
  </si>
  <si>
    <t>Q92688-2_ANP32B</t>
  </si>
  <si>
    <t>Q92692_PVRL2</t>
  </si>
  <si>
    <t>Q92696_RABGGTA</t>
  </si>
  <si>
    <t>Q92734-2_TFG</t>
  </si>
  <si>
    <t>Q92738_USP6NL</t>
  </si>
  <si>
    <t>Q92747_ARPC1A</t>
  </si>
  <si>
    <t>Q92783-2_STAM</t>
  </si>
  <si>
    <t>Q92785_DPF2</t>
  </si>
  <si>
    <t>Q92793_CREBBP</t>
  </si>
  <si>
    <t>Q92797_SYMPK</t>
  </si>
  <si>
    <t>Q92804-2_TAF15</t>
  </si>
  <si>
    <t>Q92805_GOLGA1</t>
  </si>
  <si>
    <t>Q92817_EVPL</t>
  </si>
  <si>
    <t>Q92820_GGH</t>
  </si>
  <si>
    <t>Q92834-4_RPGR</t>
  </si>
  <si>
    <t>Q92841_DDX17</t>
  </si>
  <si>
    <t>Q92843-2_BCL2L2</t>
  </si>
  <si>
    <t>Q92844_TANK</t>
  </si>
  <si>
    <t>Q92845-2_KIFAP3</t>
  </si>
  <si>
    <t>Q92851-4_CASP10</t>
  </si>
  <si>
    <t>Q92859-3_NEO1</t>
  </si>
  <si>
    <t>Q92871_PMM1</t>
  </si>
  <si>
    <t>Q92878_RAD50</t>
  </si>
  <si>
    <t>Q92879-2_CELF1</t>
  </si>
  <si>
    <t>Q92882_OSTF1</t>
  </si>
  <si>
    <t>Q92889_ERCC4</t>
  </si>
  <si>
    <t>Q92890_UFD1L</t>
  </si>
  <si>
    <t>Q92900_UPF1</t>
  </si>
  <si>
    <t>Q92902-2_HPS1</t>
  </si>
  <si>
    <t>Q92905_COPS5</t>
  </si>
  <si>
    <t>Q92917_GPKOW</t>
  </si>
  <si>
    <t>Q92922_SMARCC1</t>
  </si>
  <si>
    <t>Q92930_RAB8B</t>
  </si>
  <si>
    <t>Q92934_BAD</t>
  </si>
  <si>
    <t>Q92945_KHSRP</t>
  </si>
  <si>
    <t>Q92947_GCDH</t>
  </si>
  <si>
    <t>Q92963-2_RIT1</t>
  </si>
  <si>
    <t>Q92973-2_TNPO1</t>
  </si>
  <si>
    <t>Q92974-3_ARHGEF2</t>
  </si>
  <si>
    <t>Q92979_EMG1</t>
  </si>
  <si>
    <t>Q92989-2_CLP1</t>
  </si>
  <si>
    <t>Q92990_GLMN</t>
  </si>
  <si>
    <t>Q92994-5_BRF1</t>
  </si>
  <si>
    <t>Q92995-2_USP13</t>
  </si>
  <si>
    <t>Q93008_USP9X</t>
  </si>
  <si>
    <t>Q93034_CUL5</t>
  </si>
  <si>
    <t>Q93052_LPP</t>
  </si>
  <si>
    <t>Q93062-4_RBPMS</t>
  </si>
  <si>
    <t>Q93073-2_SECISBP2L</t>
  </si>
  <si>
    <t>Q93074-3_MED12</t>
  </si>
  <si>
    <t>Q93077_HIST1H2AC</t>
  </si>
  <si>
    <t>Q93096_PTP4A1</t>
  </si>
  <si>
    <t>Q93099_HGD</t>
  </si>
  <si>
    <t>Q93100-4_PHKB</t>
  </si>
  <si>
    <t>Q969E4_TCEAL3</t>
  </si>
  <si>
    <t>Q969E8_TSR2</t>
  </si>
  <si>
    <t>Q969F9_HPS3</t>
  </si>
  <si>
    <t>Q969G3-2_SMARCE1</t>
  </si>
  <si>
    <t>Q969G6_RFK</t>
  </si>
  <si>
    <t>Q969H6-2_POP5</t>
  </si>
  <si>
    <t>Q969H8_C19orf10</t>
  </si>
  <si>
    <t>Q969K3_RNF34</t>
  </si>
  <si>
    <t>Q969M3_YIPF5</t>
  </si>
  <si>
    <t>Q969Q0_RPL36AL</t>
  </si>
  <si>
    <t>Q969R8_ITFG2</t>
  </si>
  <si>
    <t>Q969S3_ZNF622</t>
  </si>
  <si>
    <t>Q969S9-3_GFM2</t>
  </si>
  <si>
    <t>Q969T7-2_NT5C3B</t>
  </si>
  <si>
    <t>Q969U6_FBXW5</t>
  </si>
  <si>
    <t>Q969U7_PSMG2</t>
  </si>
  <si>
    <t>Q969V5_MUL1</t>
  </si>
  <si>
    <t>Q969W3-2_FAM104A</t>
  </si>
  <si>
    <t>Q969X6_CIRH1A</t>
  </si>
  <si>
    <t>Q969Y2-3_GTPBP3</t>
  </si>
  <si>
    <t>Q969Z0_TBRG4</t>
  </si>
  <si>
    <t>Q96A00_PPP1R14A</t>
  </si>
  <si>
    <t>Q96A19_CCDC102A</t>
  </si>
  <si>
    <t>Q96A37-3_RNF166</t>
  </si>
  <si>
    <t>Q96A46_SLC25A28</t>
  </si>
  <si>
    <t>Q96A49_SYAP1</t>
  </si>
  <si>
    <t>Q96A65_EXOC4</t>
  </si>
  <si>
    <t>Q96A72_MAGOHB</t>
  </si>
  <si>
    <t>Q96A73_KIAA1191</t>
  </si>
  <si>
    <t>Q96AB3_ISOC2</t>
  </si>
  <si>
    <t>Q96AB6_NTAN1</t>
  </si>
  <si>
    <t>Q96AC1_FERMT2</t>
  </si>
  <si>
    <t>Q96AE4_FUBP1</t>
  </si>
  <si>
    <t>Q96AE4-2_FUBP1</t>
  </si>
  <si>
    <t>Q96AG4_LRRC59</t>
  </si>
  <si>
    <t>Q96AJ9-1_VTI1A</t>
  </si>
  <si>
    <t>Q96AP0-2_ACD</t>
  </si>
  <si>
    <t>Q96AT1_KIAA1143</t>
  </si>
  <si>
    <t>Q96AT9_RPE</t>
  </si>
  <si>
    <t>Q96AX1_VPS33A</t>
  </si>
  <si>
    <t>Q96AY2_EME1</t>
  </si>
  <si>
    <t>Q96AY3_FKBP10</t>
  </si>
  <si>
    <t>Q96AY4_TTC28</t>
  </si>
  <si>
    <t>Q96B01-2_RAD51AP1</t>
  </si>
  <si>
    <t>Q96B02-2_UBE2W</t>
  </si>
  <si>
    <t>Q96B23-2_C18orf25</t>
  </si>
  <si>
    <t>Q96B26_EXOSC8</t>
  </si>
  <si>
    <t>Q96B36_AKT1S1</t>
  </si>
  <si>
    <t>Q96B45_C10orf32</t>
  </si>
  <si>
    <t>Q96B97_SH3KBP1</t>
  </si>
  <si>
    <t>Q96BD5-2_PHF21A</t>
  </si>
  <si>
    <t>Q96BF6_NACC2</t>
  </si>
  <si>
    <t>Q96BH1_RNF25</t>
  </si>
  <si>
    <t>Q96BJ3_AIDA</t>
  </si>
  <si>
    <t>Q96BK5_PINX1</t>
  </si>
  <si>
    <t>Q96BN8_FAM105B</t>
  </si>
  <si>
    <t>Q96BP2_CHCHD1</t>
  </si>
  <si>
    <t>Q96BP3_PPWD1</t>
  </si>
  <si>
    <t>Q96BR5_SELRC1</t>
  </si>
  <si>
    <t>Q96BS2_TESC</t>
  </si>
  <si>
    <t>Q96BT7_ALKBH8</t>
  </si>
  <si>
    <t>Q96BW1_UPRT</t>
  </si>
  <si>
    <t>Q96BW5-2_PTER</t>
  </si>
  <si>
    <t>Q96BX8_MOB3A</t>
  </si>
  <si>
    <t>Q96BY6_DOCK10</t>
  </si>
  <si>
    <t>Q96BY7_ATG2B</t>
  </si>
  <si>
    <t>Q96BZ8_LENG1</t>
  </si>
  <si>
    <t>Q96C01_FAM136A</t>
  </si>
  <si>
    <t>Q96C19_EFHD2</t>
  </si>
  <si>
    <t>Q96C23_GALM</t>
  </si>
  <si>
    <t>Q96C24_SYTL4</t>
  </si>
  <si>
    <t>Q96C34-2_RUNDC1</t>
  </si>
  <si>
    <t>Q96C36_PYCR2</t>
  </si>
  <si>
    <t>Q96C57_C12orf43</t>
  </si>
  <si>
    <t>Q96C86_DCPS</t>
  </si>
  <si>
    <t>Q96C90_PPP1R14B</t>
  </si>
  <si>
    <t>Q96CB8_INTS12</t>
  </si>
  <si>
    <t>Q96CD0_FBXL8</t>
  </si>
  <si>
    <t>Q96CD2_PPCDC</t>
  </si>
  <si>
    <t>Q96CF2_CHMP4C</t>
  </si>
  <si>
    <t>Q96CG3_TIFA</t>
  </si>
  <si>
    <t>Q96CN5_LRRC45</t>
  </si>
  <si>
    <t>Q96CN7_ISOC1</t>
  </si>
  <si>
    <t>Q96CN9_GCC1</t>
  </si>
  <si>
    <t>Q96CP2_FLYWCH2</t>
  </si>
  <si>
    <t>Q96CP6-2_GRAMD1A</t>
  </si>
  <si>
    <t>Q96CS2_HAUS1</t>
  </si>
  <si>
    <t>Q96CS3_FAF2</t>
  </si>
  <si>
    <t>Q96CT7_CCDC124</t>
  </si>
  <si>
    <t>Q96CV9_OPTN</t>
  </si>
  <si>
    <t>Q96CW1-2_AP2M1</t>
  </si>
  <si>
    <t>Q96CW5-2_TUBGCP3</t>
  </si>
  <si>
    <t>Q96CW6_SLC7A6OS</t>
  </si>
  <si>
    <t>Q96CX2_KCTD12</t>
  </si>
  <si>
    <t>Q96CX6_LRRC58</t>
  </si>
  <si>
    <t>Q96D09_GPRASP2</t>
  </si>
  <si>
    <t>Q96D46_NMD3</t>
  </si>
  <si>
    <t>Q96D53_ADCK4</t>
  </si>
  <si>
    <t>Q96D71-3_REPS1</t>
  </si>
  <si>
    <t>Q96DB5_RMDN1</t>
  </si>
  <si>
    <t>Q96DC7_TMCO6</t>
  </si>
  <si>
    <t>Q96DE0_NUDT16</t>
  </si>
  <si>
    <t>Q96DE5_ANAPC16</t>
  </si>
  <si>
    <t>Q96DF8_DGCR14</t>
  </si>
  <si>
    <t>Q96DG6_CMBL</t>
  </si>
  <si>
    <t>Q96DI7_SNRNP40</t>
  </si>
  <si>
    <t>Q96DR7_ARHGEF26</t>
  </si>
  <si>
    <t>Q96DT0-3_LGALS12</t>
  </si>
  <si>
    <t>Q96DT7-2_ZBTB10</t>
  </si>
  <si>
    <t>Q96DU7_ITPKC</t>
  </si>
  <si>
    <t>Q96DV4_MRPL38</t>
  </si>
  <si>
    <t>Q96DX4_RSPRY1</t>
  </si>
  <si>
    <t>Q96DX5_ASB9</t>
  </si>
  <si>
    <t>Q96DX5-2_ASB9</t>
  </si>
  <si>
    <t>Q96DX7_TRIM44</t>
  </si>
  <si>
    <t>Q96DZ1-2_ERLEC1</t>
  </si>
  <si>
    <t>Q96E09_FAM122A</t>
  </si>
  <si>
    <t>Q96E11-3_MRRF</t>
  </si>
  <si>
    <t>Q96E14_RMI2</t>
  </si>
  <si>
    <t>Q96EA4_SPDL1</t>
  </si>
  <si>
    <t>Q96EB1_ELP4</t>
  </si>
  <si>
    <t>Q96EB6_SIRT1</t>
  </si>
  <si>
    <t>Q96ED9-2_HOOK2</t>
  </si>
  <si>
    <t>Q96EE3_SEH1L</t>
  </si>
  <si>
    <t>Q96EF6_FBXO17</t>
  </si>
  <si>
    <t>Q96EH3_MALSU1</t>
  </si>
  <si>
    <t>Q96EI5_TCEAL4</t>
  </si>
  <si>
    <t>Q96EK4_THAP11</t>
  </si>
  <si>
    <t>Q96EK5_KIAA1279</t>
  </si>
  <si>
    <t>Q96EK6_GNPNAT1</t>
  </si>
  <si>
    <t>Q96EK7_FAM120B</t>
  </si>
  <si>
    <t>Q96EK9_KTI12</t>
  </si>
  <si>
    <t>Q96EL3_MRPL53</t>
  </si>
  <si>
    <t>Q96EM0_L3HYPDH</t>
  </si>
  <si>
    <t>Q96EN8_MOCOS</t>
  </si>
  <si>
    <t>Q96EP0_RNF31</t>
  </si>
  <si>
    <t>Q96EP1-2_CHFR</t>
  </si>
  <si>
    <t>Q96EP5_DAZAP1</t>
  </si>
  <si>
    <t>Q96EQ0_SGTB</t>
  </si>
  <si>
    <t>Q96ER3_SAAL1</t>
  </si>
  <si>
    <t>Q96ES7_CCDC101</t>
  </si>
  <si>
    <t>Q96EV2_RBM33</t>
  </si>
  <si>
    <t>Q96EV8_DTNBP1</t>
  </si>
  <si>
    <t>Q96EW2_HSPBAP1</t>
  </si>
  <si>
    <t>Q96EX3_WDR34</t>
  </si>
  <si>
    <t>Q96EY1-2_DNAJA3</t>
  </si>
  <si>
    <t>Q96EY4_TMA16</t>
  </si>
  <si>
    <t>Q96EY5-3_MVB12A</t>
  </si>
  <si>
    <t>Q96EY7_PTCD3</t>
  </si>
  <si>
    <t>Q96EY8_MMAB</t>
  </si>
  <si>
    <t>Q96EY9_ADAT3</t>
  </si>
  <si>
    <t>Q96F24_NRBF2</t>
  </si>
  <si>
    <t>Q96F44-3_TRIM11</t>
  </si>
  <si>
    <t>Q96F46_IL17RA</t>
  </si>
  <si>
    <t>Q96F63_CCDC97</t>
  </si>
  <si>
    <t>Q96F86_EDC3</t>
  </si>
  <si>
    <t>Q96FF9_CDCA5</t>
  </si>
  <si>
    <t>Q96FH0_MEF2BNB</t>
  </si>
  <si>
    <t>Q96FJ0_STAMBPL1</t>
  </si>
  <si>
    <t>Q96FJ2_DYNLL2</t>
  </si>
  <si>
    <t>Q96FK6_WDR89</t>
  </si>
  <si>
    <t>Q96FN9_DTD2</t>
  </si>
  <si>
    <t>Q96FQ6_S100A16</t>
  </si>
  <si>
    <t>Q96FS4_SIPA1</t>
  </si>
  <si>
    <t>Q96FT9_IFT43</t>
  </si>
  <si>
    <t>Q96FV2_SCRN2</t>
  </si>
  <si>
    <t>Q96FV9_THOC1</t>
  </si>
  <si>
    <t>Q96FW1_OTUB1</t>
  </si>
  <si>
    <t>Q96FX2_DPH3</t>
  </si>
  <si>
    <t>Q96FX7_TRMT61A</t>
  </si>
  <si>
    <t>Q96FZ2_C3orf37</t>
  </si>
  <si>
    <t>Q96G03_PGM2</t>
  </si>
  <si>
    <t>Q96G04_FAM86A</t>
  </si>
  <si>
    <t>Q96G25_MED8</t>
  </si>
  <si>
    <t>Q96G28_CCDC104</t>
  </si>
  <si>
    <t>Q96G46_DUS3L</t>
  </si>
  <si>
    <t>Q96G61_NUDT11</t>
  </si>
  <si>
    <t>Q96G74-3_OTUD5</t>
  </si>
  <si>
    <t>Q96GA3_LTV1</t>
  </si>
  <si>
    <t>Q96GA7_SDSL</t>
  </si>
  <si>
    <t>Q96GD0_PDXP</t>
  </si>
  <si>
    <t>Q96GE4_CEP95</t>
  </si>
  <si>
    <t>Q96GG9_DCUN1D1</t>
  </si>
  <si>
    <t>Q96GK7_FAHD2A</t>
  </si>
  <si>
    <t>Q96GM5_SMARCD1</t>
  </si>
  <si>
    <t>Q96GQ7_DDX27</t>
  </si>
  <si>
    <t>Q96GS4_C17orf59</t>
  </si>
  <si>
    <t>Q96GW9_MARS2</t>
  </si>
  <si>
    <t>Q96GX2_ATXN7L3B</t>
  </si>
  <si>
    <t>Q96GX5_MASTL</t>
  </si>
  <si>
    <t>Q96GX9_APIP</t>
  </si>
  <si>
    <t>Q96GY0_ZC2HC1A</t>
  </si>
  <si>
    <t>Q96H20_SNF8</t>
  </si>
  <si>
    <t>Q96H79_ZC3HAV1L</t>
  </si>
  <si>
    <t>Q96HA7-2_TONSL</t>
  </si>
  <si>
    <t>Q96HC4_PDLIM5</t>
  </si>
  <si>
    <t>Q96HD9_ACY3</t>
  </si>
  <si>
    <t>Q96HE7_ERO1L</t>
  </si>
  <si>
    <t>Q96HJ9_C7orf55</t>
  </si>
  <si>
    <t>Q96HJ9-2_C7orf55</t>
  </si>
  <si>
    <t>Q96HN2-2_AHCYL2</t>
  </si>
  <si>
    <t>Q96HP4_OXNAD1</t>
  </si>
  <si>
    <t>Q96HQ2_CDKN2AIPNL</t>
  </si>
  <si>
    <t>Q96HS1-2_PGAM5</t>
  </si>
  <si>
    <t>Q96HW7_INTS4</t>
  </si>
  <si>
    <t>Q96HY6_DDRGK1</t>
  </si>
  <si>
    <t>Q96HY7_DHTKD1</t>
  </si>
  <si>
    <t>Q96I15_SCLY</t>
  </si>
  <si>
    <t>Q96I23_PYURF</t>
  </si>
  <si>
    <t>Q96I24_FUBP3</t>
  </si>
  <si>
    <t>Q96I25_RBM17</t>
  </si>
  <si>
    <t>Q96I51_WBSCR16</t>
  </si>
  <si>
    <t>Q96I59_NARS2</t>
  </si>
  <si>
    <t>Q96I99_SUCLG2</t>
  </si>
  <si>
    <t>Q96IF1_AJUBA</t>
  </si>
  <si>
    <t>Q96IJ6_GMPPA</t>
  </si>
  <si>
    <t>Q96IK1_BOD1</t>
  </si>
  <si>
    <t>Q96IQ9-2_ZNF414</t>
  </si>
  <si>
    <t>Q96IR7_HPDL</t>
  </si>
  <si>
    <t>Q96IU4_ABHD14B</t>
  </si>
  <si>
    <t>Q96IV0-2_NGLY1</t>
  </si>
  <si>
    <t>Q96IY1_NSL1</t>
  </si>
  <si>
    <t>Q96IZ0_PAWR</t>
  </si>
  <si>
    <t>Q96IZ5-2_RBM41</t>
  </si>
  <si>
    <t>Q96IZ6_METTL2A</t>
  </si>
  <si>
    <t>Q96IZ7-2_RSRC1</t>
  </si>
  <si>
    <t>Q96J01_THOC3</t>
  </si>
  <si>
    <t>Q96J02-2_ITCH</t>
  </si>
  <si>
    <t>Q96J84_KIRREL</t>
  </si>
  <si>
    <t>Q96JB2_COG3</t>
  </si>
  <si>
    <t>Q96JB5_CDK5RAP3</t>
  </si>
  <si>
    <t>Q96JC1-2_VPS39</t>
  </si>
  <si>
    <t>Q96JC9_EAF1</t>
  </si>
  <si>
    <t>Q96JE9_MAP6</t>
  </si>
  <si>
    <t>Q96JG6_CCDC132</t>
  </si>
  <si>
    <t>Q96JG9_ZNF469</t>
  </si>
  <si>
    <t>Q96JH7_VCPIP1</t>
  </si>
  <si>
    <t>Q96JI7-2_SPG11</t>
  </si>
  <si>
    <t>Q96JK9_MAML3</t>
  </si>
  <si>
    <t>Q96JM3_CHAMP1</t>
  </si>
  <si>
    <t>Q96JN0-2_LCOR</t>
  </si>
  <si>
    <t>Q96JP2_MYO15B</t>
  </si>
  <si>
    <t>Q96JP5_ZFP91</t>
  </si>
  <si>
    <t>Q96JQ2_CLMN</t>
  </si>
  <si>
    <t>Q96JY6_PDLIM2</t>
  </si>
  <si>
    <t>Q96KB5_PBK</t>
  </si>
  <si>
    <t>Q96KG9-3_SCYL1</t>
  </si>
  <si>
    <t>Q96KP1_EXOC2</t>
  </si>
  <si>
    <t>Q96KP4_CNDP2</t>
  </si>
  <si>
    <t>Q96KQ4_PPP1R13B</t>
  </si>
  <si>
    <t>Q96KR1_ZFR</t>
  </si>
  <si>
    <t>Q96L35_EPHB4</t>
  </si>
  <si>
    <t>Q96L73-2_NSD1</t>
  </si>
  <si>
    <t>Q96L91-5_EP400</t>
  </si>
  <si>
    <t>Q96L92_SNX27</t>
  </si>
  <si>
    <t>Q96L93-6_KIF16B</t>
  </si>
  <si>
    <t>Q96LB3_IFT74</t>
  </si>
  <si>
    <t>Q96LD4_TRIM47</t>
  </si>
  <si>
    <t>Q96LD8_SENP8</t>
  </si>
  <si>
    <t>Q96LR5_UBE2E2</t>
  </si>
  <si>
    <t>Q96LT7_C9orf72</t>
  </si>
  <si>
    <t>Q96M27_PRRC1</t>
  </si>
  <si>
    <t>Q96ME1-4_FBXL18</t>
  </si>
  <si>
    <t>Q96ME7-3_ZNF512</t>
  </si>
  <si>
    <t>Q96MG7_NDNL2</t>
  </si>
  <si>
    <t>Q96MG8-2_PCMTD1</t>
  </si>
  <si>
    <t>Q96MH2_HEXIM2</t>
  </si>
  <si>
    <t>Q96MU7-2_YTHDC1</t>
  </si>
  <si>
    <t>Q96MW1_CCDC43</t>
  </si>
  <si>
    <t>Q96MX6_WDR92</t>
  </si>
  <si>
    <t>Q96MY1_C20orf112</t>
  </si>
  <si>
    <t>Q96N06_C16orf55</t>
  </si>
  <si>
    <t>Q96N21-2_ENTHD2</t>
  </si>
  <si>
    <t>Q96N67-4_DOCK7</t>
  </si>
  <si>
    <t>Q96NB1_FOPNL</t>
  </si>
  <si>
    <t>Q96NB3_ZNF830</t>
  </si>
  <si>
    <t>Q96NC0_ZMAT2</t>
  </si>
  <si>
    <t>Q96NL6_SCLT1</t>
  </si>
  <si>
    <t>Q96NL8_C8orf37</t>
  </si>
  <si>
    <t>Q96NT1_NAP1L5</t>
  </si>
  <si>
    <t>Q96NW4_ANKRD27</t>
  </si>
  <si>
    <t>Q96P11-2_NSUN5</t>
  </si>
  <si>
    <t>Q96P16_RPRD1A</t>
  </si>
  <si>
    <t>Q96P47_AGAP3</t>
  </si>
  <si>
    <t>Q96P48-3_ARAP1</t>
  </si>
  <si>
    <t>Q96P70_IPO9</t>
  </si>
  <si>
    <t>Q96PD2_DCBLD2</t>
  </si>
  <si>
    <t>Q96PE2_ARHGEF17</t>
  </si>
  <si>
    <t>Q96PE7_MCEE</t>
  </si>
  <si>
    <t>Q96PK6_RBM14</t>
  </si>
  <si>
    <t>Q96PM5_RCHY1</t>
  </si>
  <si>
    <t>Q96PN7-4_TRERF1</t>
  </si>
  <si>
    <t>Q96PQ7-5_KLHL5</t>
  </si>
  <si>
    <t>Q96PU4_UHRF2</t>
  </si>
  <si>
    <t>Q96PU5-7_NEDD4L</t>
  </si>
  <si>
    <t>Q96PU8-9_QKI</t>
  </si>
  <si>
    <t>Q96PY5_FMNL2</t>
  </si>
  <si>
    <t>Q96PZ0_PUS7</t>
  </si>
  <si>
    <t>Q96Q05-3_TRAPPC9</t>
  </si>
  <si>
    <t>Q96Q11-2_TRNT1</t>
  </si>
  <si>
    <t>Q96Q15_SMG1</t>
  </si>
  <si>
    <t>Q96Q42_ALS2</t>
  </si>
  <si>
    <t>Q96Q45-2_TMEM237</t>
  </si>
  <si>
    <t>Q96Q83_ALKBH3</t>
  </si>
  <si>
    <t>Q96Q89-4_KIF20B</t>
  </si>
  <si>
    <t>Q96QB1_DLC1</t>
  </si>
  <si>
    <t>Q96QC0_PPP1R10</t>
  </si>
  <si>
    <t>Q96QE3-2_ATAD5</t>
  </si>
  <si>
    <t>Q96QF0-2_RAB3IP</t>
  </si>
  <si>
    <t>Q96QG7_MTMR9</t>
  </si>
  <si>
    <t>Q96QK1_VPS35</t>
  </si>
  <si>
    <t>Q96QR8_PURB</t>
  </si>
  <si>
    <t>Q96QU6_ACCS</t>
  </si>
  <si>
    <t>Q96QU8_XPO6</t>
  </si>
  <si>
    <t>Q96QZ7-7_MAGI1</t>
  </si>
  <si>
    <t>Q96R06_SPAG5</t>
  </si>
  <si>
    <t>Q96RE7_NACC1</t>
  </si>
  <si>
    <t>Q96RF0-3_SNX18</t>
  </si>
  <si>
    <t>Q96RG2_PASK</t>
  </si>
  <si>
    <t>Q96RK0_CIC</t>
  </si>
  <si>
    <t>Q96RL1_UIMC1</t>
  </si>
  <si>
    <t>Q96RL7-4_VPS13A</t>
  </si>
  <si>
    <t>Q96RN5-3_MED15</t>
  </si>
  <si>
    <t>Q96RP9_GFM1</t>
  </si>
  <si>
    <t>Q96RR4-2_CAMKK2</t>
  </si>
  <si>
    <t>Q96RS0_TGS1</t>
  </si>
  <si>
    <t>Q96RS6_NUDCD1</t>
  </si>
  <si>
    <t>Q96RT1-9_ERBB2IP</t>
  </si>
  <si>
    <t>Q96RU2-2_USP28</t>
  </si>
  <si>
    <t>Q96RU3-2_FNBP1</t>
  </si>
  <si>
    <t>Q96RW7-2_HMCN1</t>
  </si>
  <si>
    <t>Q96RY5_CRAMP1L</t>
  </si>
  <si>
    <t>Q96RY7_IFT140</t>
  </si>
  <si>
    <t>Q96S19_C16orf13</t>
  </si>
  <si>
    <t>Q96S38_RPS6KC1</t>
  </si>
  <si>
    <t>Q96S44_TP53RK</t>
  </si>
  <si>
    <t>Q96S55-2_WRNIP1</t>
  </si>
  <si>
    <t>Q96S59_RANBP9</t>
  </si>
  <si>
    <t>Q96S66-4_CLCC1</t>
  </si>
  <si>
    <t>Q96S82_UBL7</t>
  </si>
  <si>
    <t>Q96S90_LYSMD1</t>
  </si>
  <si>
    <t>Q96S99_PLEKHF1</t>
  </si>
  <si>
    <t>Q96SB3_PPP1R9B</t>
  </si>
  <si>
    <t>Q96SB4_SRPK1</t>
  </si>
  <si>
    <t>Q96SB8_SMC6</t>
  </si>
  <si>
    <t>Q96SI1_KCTD15</t>
  </si>
  <si>
    <t>Q96SI9-2_STRBP</t>
  </si>
  <si>
    <t>Q96SK2-2_TMEM209</t>
  </si>
  <si>
    <t>Q96SL8_FIZ1</t>
  </si>
  <si>
    <t>Q96ST2_IWS1</t>
  </si>
  <si>
    <t>Q96ST3_SIN3A</t>
  </si>
  <si>
    <t>Q96SU4-7_OSBPL9</t>
  </si>
  <si>
    <t>Q96SY0-4_VWA9</t>
  </si>
  <si>
    <t>Q96SZ5_ADO</t>
  </si>
  <si>
    <t>Q96SZ6-2_CDK5RAP1</t>
  </si>
  <si>
    <t>Q96T17_MAP7D2</t>
  </si>
  <si>
    <t>Q96T21_SECISBP2</t>
  </si>
  <si>
    <t>Q96T37-2_RBM15</t>
  </si>
  <si>
    <t>Q96T51_RUFY1</t>
  </si>
  <si>
    <t>Q96T58_SPEN</t>
  </si>
  <si>
    <t>Q96T60_PNKP</t>
  </si>
  <si>
    <t>Q96T76_MMS19</t>
  </si>
  <si>
    <t>Q96T88_UHRF1</t>
  </si>
  <si>
    <t>Q96TA1_FAM129B</t>
  </si>
  <si>
    <t>Q99081_TCF12</t>
  </si>
  <si>
    <t>Q99417_MYCBP</t>
  </si>
  <si>
    <t>Q99418-2_CYTH2</t>
  </si>
  <si>
    <t>Q99426_TBCB</t>
  </si>
  <si>
    <t>Q99436_PSMB7</t>
  </si>
  <si>
    <t>Q99447_PCYT2</t>
  </si>
  <si>
    <t>Q99459_CDC5L</t>
  </si>
  <si>
    <t>Q99460_PSMD1</t>
  </si>
  <si>
    <t>Q99470_SDF2</t>
  </si>
  <si>
    <t>Q99471_PFDN5</t>
  </si>
  <si>
    <t>Q99487_PAFAH2</t>
  </si>
  <si>
    <t>Q99496_RNF2</t>
  </si>
  <si>
    <t>Q99497_PARK7</t>
  </si>
  <si>
    <t>Q99501_GAS2L1</t>
  </si>
  <si>
    <t>Q99504-2_EYA3</t>
  </si>
  <si>
    <t>Q99519_NEU1</t>
  </si>
  <si>
    <t>Q99536_VAT1</t>
  </si>
  <si>
    <t>Q99541_PLIN2</t>
  </si>
  <si>
    <t>Q99543_DNAJC2</t>
  </si>
  <si>
    <t>Q99543-2_DNAJC2</t>
  </si>
  <si>
    <t>Q99549_MPHOSPH8</t>
  </si>
  <si>
    <t>Q99567_NUP88</t>
  </si>
  <si>
    <t>Q99569-2_PKP4</t>
  </si>
  <si>
    <t>Q99570_PIK3R4</t>
  </si>
  <si>
    <t>Q99575_POP1</t>
  </si>
  <si>
    <t>Q99583_MNT</t>
  </si>
  <si>
    <t>Q99584_S100A13</t>
  </si>
  <si>
    <t>Q99598_TSNAX</t>
  </si>
  <si>
    <t>Q99611_SEPHS2</t>
  </si>
  <si>
    <t>Q99614_TTC1</t>
  </si>
  <si>
    <t>Q99615_DNAJC7</t>
  </si>
  <si>
    <t>Q99618_CDCA3</t>
  </si>
  <si>
    <t>Q99622_C12orf57</t>
  </si>
  <si>
    <t>Q99627-2_COPS8</t>
  </si>
  <si>
    <t>Q99633_PRPF18</t>
  </si>
  <si>
    <t>Q99638_RAD9A</t>
  </si>
  <si>
    <t>Q99653_CHP1</t>
  </si>
  <si>
    <t>Q99661_KIF2C</t>
  </si>
  <si>
    <t>Q99674_CGREF1</t>
  </si>
  <si>
    <t>Q99685_MGLL</t>
  </si>
  <si>
    <t>Q99700-4_ATXN2</t>
  </si>
  <si>
    <t>Q99707_MTR</t>
  </si>
  <si>
    <t>Q99708_RBBP8</t>
  </si>
  <si>
    <t>Q99714_HSD17B10</t>
  </si>
  <si>
    <t>Q99729-3_HNRNPAB</t>
  </si>
  <si>
    <t>Q99733_NAP1L4</t>
  </si>
  <si>
    <t>Q99747_NAPG</t>
  </si>
  <si>
    <t>Q99757_TXN2</t>
  </si>
  <si>
    <t>Q99766_ATP5S</t>
  </si>
  <si>
    <t>Q99767-2_APBA2</t>
  </si>
  <si>
    <t>Q99797_MIPEP</t>
  </si>
  <si>
    <t>Q99798_ACO2</t>
  </si>
  <si>
    <t>Q99816_TSG101</t>
  </si>
  <si>
    <t>Q99829_CPNE1</t>
  </si>
  <si>
    <t>Q99832_CCT7</t>
  </si>
  <si>
    <t>Q99871-3_HAUS7</t>
  </si>
  <si>
    <t>Q99878_HIST1H2AJ</t>
  </si>
  <si>
    <t>Q99879_HIST1H2BM</t>
  </si>
  <si>
    <t>Q99933-4_BAG1</t>
  </si>
  <si>
    <t>Q99941-2_ATF6B</t>
  </si>
  <si>
    <t>Q99961_SH3GL1</t>
  </si>
  <si>
    <t>Q99986_VRK1</t>
  </si>
  <si>
    <t>Q99996-5_AKAP9</t>
  </si>
  <si>
    <t>Q9BPU6_DPYSL5</t>
  </si>
  <si>
    <t>Q9BPW8_NIPSNAP1</t>
  </si>
  <si>
    <t>Q9BPX3_NCAPG</t>
  </si>
  <si>
    <t>Q9BPX5_ARPC5L</t>
  </si>
  <si>
    <t>Q9BPX6-2_MICU1</t>
  </si>
  <si>
    <t>Q9BPX7_C7orf25</t>
  </si>
  <si>
    <t>Q9BPZ3_PAIP2</t>
  </si>
  <si>
    <t>Q9BQ24_ZFYVE21</t>
  </si>
  <si>
    <t>Q9BQ39_DDX50</t>
  </si>
  <si>
    <t>Q9BQ52_ELAC2</t>
  </si>
  <si>
    <t>Q9BQ61_C19orf43</t>
  </si>
  <si>
    <t>Q9BQ67_GRWD1</t>
  </si>
  <si>
    <t>Q9BQ69_MACROD1</t>
  </si>
  <si>
    <t>Q9BQ70_TCF25</t>
  </si>
  <si>
    <t>Q9BQA1_WDR77</t>
  </si>
  <si>
    <t>Q9BQC3_DPH2</t>
  </si>
  <si>
    <t>Q9BQE3_TUBA1C</t>
  </si>
  <si>
    <t>Q9BQE5_APOL2</t>
  </si>
  <si>
    <t>Q9BQE6-2_C11orf48</t>
  </si>
  <si>
    <t>Q9BQE9-4_BCL7B</t>
  </si>
  <si>
    <t>Q9BQG0_MYBBP1A</t>
  </si>
  <si>
    <t>Q9BQI3-2_EIF2AK1</t>
  </si>
  <si>
    <t>Q9BQK8-2_LPIN3</t>
  </si>
  <si>
    <t>Q9BQL6_FERMT1</t>
  </si>
  <si>
    <t>Q9BQP7_MGME1</t>
  </si>
  <si>
    <t>Q9BQS8_FYCO1</t>
  </si>
  <si>
    <t>Q9BR61_ACBD6</t>
  </si>
  <si>
    <t>Q9BR76_CORO1B</t>
  </si>
  <si>
    <t>Q9BRA0-2_LSMD1</t>
  </si>
  <si>
    <t>Q9BRA2_TXNDC17</t>
  </si>
  <si>
    <t>Q9BRD0_BUD13</t>
  </si>
  <si>
    <t>Q9BRF8_CPPED1</t>
  </si>
  <si>
    <t>Q9BRG1_VPS25</t>
  </si>
  <si>
    <t>Q9BRG2_SH2D3A</t>
  </si>
  <si>
    <t>Q9BRK5_SDF4</t>
  </si>
  <si>
    <t>Q9BRP1_PDCD2L</t>
  </si>
  <si>
    <t>Q9BRP4_PAAF1</t>
  </si>
  <si>
    <t>Q9BRP8-2_WIBG</t>
  </si>
  <si>
    <t>Q9BRQ8_AIFM2</t>
  </si>
  <si>
    <t>Q9BRR6-2_ADPGK</t>
  </si>
  <si>
    <t>Q9BRR8_GPATCH1</t>
  </si>
  <si>
    <t>Q9BRS2_RIOK1</t>
  </si>
  <si>
    <t>Q9BRS8_LARP6</t>
  </si>
  <si>
    <t>Q9BRT3_MIEN1</t>
  </si>
  <si>
    <t>Q9BRT9_GINS4</t>
  </si>
  <si>
    <t>Q9BRV8_SIKE1</t>
  </si>
  <si>
    <t>Q9BRX2_PELO</t>
  </si>
  <si>
    <t>Q9BRX5_GINS3</t>
  </si>
  <si>
    <t>Q9BRX9_WDR83</t>
  </si>
  <si>
    <t>Q9BRZ2_TRIM56</t>
  </si>
  <si>
    <t>Q9BS26_ERP44</t>
  </si>
  <si>
    <t>Q9BS40_LXN</t>
  </si>
  <si>
    <t>Q9BSB4_ATG101</t>
  </si>
  <si>
    <t>Q9BSD7_NTPCR</t>
  </si>
  <si>
    <t>Q9BSE4_HERPUD2</t>
  </si>
  <si>
    <t>Q9BSE5_AGMAT</t>
  </si>
  <si>
    <t>Q9BSH4_TACO1</t>
  </si>
  <si>
    <t>Q9BSH5_HDHD3</t>
  </si>
  <si>
    <t>Q9BSJ2_TUBGCP2</t>
  </si>
  <si>
    <t>Q9BSJ5-3_C17orf80</t>
  </si>
  <si>
    <t>Q9BSJ6_FAM64A</t>
  </si>
  <si>
    <t>Q9BSJ8_ESYT1</t>
  </si>
  <si>
    <t>Q9BSL1_UBAC1</t>
  </si>
  <si>
    <t>Q9BSQ5_CCM2</t>
  </si>
  <si>
    <t>Q9BST9-2_RTKN</t>
  </si>
  <si>
    <t>Q9BSU1_C16orf70</t>
  </si>
  <si>
    <t>Q9BSV6_TSEN34</t>
  </si>
  <si>
    <t>Q9BSY4_CHCHD5</t>
  </si>
  <si>
    <t>Q9BT09_CNPY3</t>
  </si>
  <si>
    <t>Q9BT17_MTG1</t>
  </si>
  <si>
    <t>Q9BT25-3_HAUS8</t>
  </si>
  <si>
    <t>Q9BT30_ALKBH7</t>
  </si>
  <si>
    <t>Q9BT73_PSMG3</t>
  </si>
  <si>
    <t>Q9BT78_COPS4</t>
  </si>
  <si>
    <t>Q9BTA9_WAC</t>
  </si>
  <si>
    <t>Q9BTC0_DIDO1</t>
  </si>
  <si>
    <t>Q9BTD8-4_RBM42</t>
  </si>
  <si>
    <t>Q9BTE1-2_DCTN5</t>
  </si>
  <si>
    <t>Q9BTE3-2_MCMBP</t>
  </si>
  <si>
    <t>Q9BTE6_AARSD1</t>
  </si>
  <si>
    <t>Q9BTE7_DCUN1D5</t>
  </si>
  <si>
    <t>Q9BTF0_THUMPD2</t>
  </si>
  <si>
    <t>Q9BTL3_FAM103A1</t>
  </si>
  <si>
    <t>Q9BTM9_URM1</t>
  </si>
  <si>
    <t>Q9BTP7_FAAP24</t>
  </si>
  <si>
    <t>Q9BTT0_ANP32E</t>
  </si>
  <si>
    <t>Q9BTT4_MED10</t>
  </si>
  <si>
    <t>Q9BTT6_LRRC1</t>
  </si>
  <si>
    <t>Q9BTV5_FSD1</t>
  </si>
  <si>
    <t>Q9BTV6_WDR85</t>
  </si>
  <si>
    <t>Q9BTW9_TBCD</t>
  </si>
  <si>
    <t>Q9BTX7_TTPAL</t>
  </si>
  <si>
    <t>Q9BTY2_FUCA2</t>
  </si>
  <si>
    <t>Q9BTY7_FAM203A</t>
  </si>
  <si>
    <t>Q9BTZ2_DHRS4</t>
  </si>
  <si>
    <t>Q9BU02_THTPA</t>
  </si>
  <si>
    <t>Q9BU64_CENPO</t>
  </si>
  <si>
    <t>Q9BU76-4_MMTAG2</t>
  </si>
  <si>
    <t>Q9BU89_DOHH</t>
  </si>
  <si>
    <t>Q9BUA3_C11orf84</t>
  </si>
  <si>
    <t>Q9BUB4_ADAT1</t>
  </si>
  <si>
    <t>Q9BUB5-2_MKNK1</t>
  </si>
  <si>
    <t>Q9BUE0_MED18</t>
  </si>
  <si>
    <t>Q9BUF5_TUBB6</t>
  </si>
  <si>
    <t>Q9BUH6_C9orf142</t>
  </si>
  <si>
    <t>Q9BUI4_POLR3C</t>
  </si>
  <si>
    <t>Q9BUJ2-2_HNRNPUL1</t>
  </si>
  <si>
    <t>Q9BUK6-3_MSTO1</t>
  </si>
  <si>
    <t>Q9BUL9_RPP25</t>
  </si>
  <si>
    <t>Q9BUP3_HTATIP2</t>
  </si>
  <si>
    <t>Q9BUQ8_DDX23</t>
  </si>
  <si>
    <t>Q9BUR4_WRAP53</t>
  </si>
  <si>
    <t>Q9BUT1_BDH2</t>
  </si>
  <si>
    <t>Q9BUT9_FAM195A</t>
  </si>
  <si>
    <t>Q9BUW7_C9orf16</t>
  </si>
  <si>
    <t>Q9BV19_C1orf50</t>
  </si>
  <si>
    <t>Q9BV20_MRI1</t>
  </si>
  <si>
    <t>Q9BV36_MLPH</t>
  </si>
  <si>
    <t>Q9BV36-2_MLPH</t>
  </si>
  <si>
    <t>Q9BV44_THUMPD3</t>
  </si>
  <si>
    <t>Q9BV57_ADI1</t>
  </si>
  <si>
    <t>Q9BV68-2_RNF126</t>
  </si>
  <si>
    <t>Q9BV73-2_CEP250</t>
  </si>
  <si>
    <t>Q9BV79_MECR</t>
  </si>
  <si>
    <t>Q9BV86_NTMT1</t>
  </si>
  <si>
    <t>Q9BVA0_KATNB1</t>
  </si>
  <si>
    <t>Q9BVA1_TUBB2B</t>
  </si>
  <si>
    <t>Q9BVC3_DSCC1</t>
  </si>
  <si>
    <t>Q9BVC4_MLST8</t>
  </si>
  <si>
    <t>Q9BVC5_C2orf49</t>
  </si>
  <si>
    <t>Q9BVG4_PBDC1</t>
  </si>
  <si>
    <t>Q9BVG8-2_KIFC3</t>
  </si>
  <si>
    <t>Q9BVI4_NOC4L</t>
  </si>
  <si>
    <t>Q9BVJ6_UTP14A</t>
  </si>
  <si>
    <t>Q9BVJ7_DUSP23</t>
  </si>
  <si>
    <t>Q9BVL4_SELO</t>
  </si>
  <si>
    <t>Q9BVM2_DPCD</t>
  </si>
  <si>
    <t>Q9BVM4_GGACT</t>
  </si>
  <si>
    <t>Q9BVQ7_SPATA5L1</t>
  </si>
  <si>
    <t>Q9BVR6_TUBGCP4</t>
  </si>
  <si>
    <t>Q9BVS4_RIOK2</t>
  </si>
  <si>
    <t>Q9BVS5_TRMT61B</t>
  </si>
  <si>
    <t>Q9BVV6-2_KIAA0586</t>
  </si>
  <si>
    <t>Q9BVW5_TIPIN</t>
  </si>
  <si>
    <t>Q9BW04_SARG</t>
  </si>
  <si>
    <t>Q9BW19_KIFC1</t>
  </si>
  <si>
    <t>Q9BW27_NUP85</t>
  </si>
  <si>
    <t>Q9BW30_TPPP3</t>
  </si>
  <si>
    <t>Q9BW61_DDA1</t>
  </si>
  <si>
    <t>Q9BW62_KATNAL1</t>
  </si>
  <si>
    <t>Q9BW71_HIRIP3</t>
  </si>
  <si>
    <t>Q9BW83_IFT27</t>
  </si>
  <si>
    <t>Q9BW85_CCDC94</t>
  </si>
  <si>
    <t>Q9BW91-2_NUDT9</t>
  </si>
  <si>
    <t>Q9BW92_TARS2</t>
  </si>
  <si>
    <t>Q9BWD1_ACAT2</t>
  </si>
  <si>
    <t>Q9BWE0_REPIN1</t>
  </si>
  <si>
    <t>Q9BWF3_RBM4</t>
  </si>
  <si>
    <t>Q9BWH2_FUNDC2</t>
  </si>
  <si>
    <t>Q9BWH6_RPAP1</t>
  </si>
  <si>
    <t>Q9BWJ5_SF3B5</t>
  </si>
  <si>
    <t>Q9BWK5_MRI</t>
  </si>
  <si>
    <t>Q9BWS9-3_CHID1</t>
  </si>
  <si>
    <t>Q9BWT3_PAPOLG</t>
  </si>
  <si>
    <t>Q9BWT6_MND1</t>
  </si>
  <si>
    <t>Q9BWU0_SLC4A1AP</t>
  </si>
  <si>
    <t>Q9BWW5_SSDP4</t>
  </si>
  <si>
    <t>Q9BX40_LSM14B</t>
  </si>
  <si>
    <t>Q9BX63_BRIP1</t>
  </si>
  <si>
    <t>Q9BX66-4_SORBS1</t>
  </si>
  <si>
    <t>Q9BX68_HINT2</t>
  </si>
  <si>
    <t>Q9BX95_SGPP1</t>
  </si>
  <si>
    <t>Q9BXB4_OSBPL11</t>
  </si>
  <si>
    <t>Q9BXB5-2_OSBPL10</t>
  </si>
  <si>
    <t>Q9BXF6_RAB11FIP5</t>
  </si>
  <si>
    <t>Q9BXI6_TBC1D10A</t>
  </si>
  <si>
    <t>Q9BXJ9_NAA15</t>
  </si>
  <si>
    <t>Q9BXK1_KLF16</t>
  </si>
  <si>
    <t>Q9BXL8_CDCA4</t>
  </si>
  <si>
    <t>Q9BXP5-4_SRRT</t>
  </si>
  <si>
    <t>Q9BXR0_QTRT1</t>
  </si>
  <si>
    <t>Q9BXS5_AP1M1</t>
  </si>
  <si>
    <t>Q9BXS6-2_NUSAP1</t>
  </si>
  <si>
    <t>Q9BXV9_C14orf142</t>
  </si>
  <si>
    <t>Q9BXW6_OSBPL1A</t>
  </si>
  <si>
    <t>Q9BXW7-2_CECR5</t>
  </si>
  <si>
    <t>Q9BXW9-2_FANCD2</t>
  </si>
  <si>
    <t>Q9BXY0_MAK16</t>
  </si>
  <si>
    <t>Q9BY32_ITPA</t>
  </si>
  <si>
    <t>Q9BY42_RTFDC1</t>
  </si>
  <si>
    <t>Q9BY43_CHMP4A</t>
  </si>
  <si>
    <t>Q9BY67-2_CADM1</t>
  </si>
  <si>
    <t>Q9BY77_POLDIP3</t>
  </si>
  <si>
    <t>Q9BY89_KIAA1671</t>
  </si>
  <si>
    <t>Q9BYB4_GNB1L</t>
  </si>
  <si>
    <t>Q9BYC8_MRPL32</t>
  </si>
  <si>
    <t>Q9BYD1_MRPL13</t>
  </si>
  <si>
    <t>Q9BYD6_MRPL1</t>
  </si>
  <si>
    <t>Q9BYG5_PARD6B</t>
  </si>
  <si>
    <t>Q9BYJ9_YTHDF1</t>
  </si>
  <si>
    <t>Q9BYM8_RBCK1</t>
  </si>
  <si>
    <t>Q9BYN0_SRXN1</t>
  </si>
  <si>
    <t>Q9BYN8_MRPS26</t>
  </si>
  <si>
    <t>Q9BYT8_NLN</t>
  </si>
  <si>
    <t>Q9BYV8_CEP41</t>
  </si>
  <si>
    <t>Q9BYW2_SETD2</t>
  </si>
  <si>
    <t>Q9BYX2-4_TBC1D2</t>
  </si>
  <si>
    <t>Q9BZ23-3_PANK2</t>
  </si>
  <si>
    <t>Q9BZ29-3_DOCK9</t>
  </si>
  <si>
    <t>Q9BZ67-2_FRMD8</t>
  </si>
  <si>
    <t>Q9BZ95-4_WHSC1L1</t>
  </si>
  <si>
    <t>Q9BZA5_TXLNG2P</t>
  </si>
  <si>
    <t>Q9BZD4_NUF2</t>
  </si>
  <si>
    <t>Q9BZE4_GTPBP4</t>
  </si>
  <si>
    <t>Q9BZE9_ASPSCR1</t>
  </si>
  <si>
    <t>Q9BZG1_RAB34</t>
  </si>
  <si>
    <t>Q9BZH6_WDR11</t>
  </si>
  <si>
    <t>Q9BZI7-2_UPF3B</t>
  </si>
  <si>
    <t>Q9BZJ0-2_CRNKL1</t>
  </si>
  <si>
    <t>Q9BZK7_TBL1XR1</t>
  </si>
  <si>
    <t>Q9BZL1_UBL5</t>
  </si>
  <si>
    <t>Q9BZL4_PPP1R12C</t>
  </si>
  <si>
    <t>Q9BZL4-3_PPP1R12C</t>
  </si>
  <si>
    <t>Q9BZL6_PRKD2</t>
  </si>
  <si>
    <t>Q9BZX2_UCK2</t>
  </si>
  <si>
    <t>Q9BZZ5-2_API5</t>
  </si>
  <si>
    <t>Q9C005_DPY30</t>
  </si>
  <si>
    <t>Q9C026-5_TRIM9</t>
  </si>
  <si>
    <t>Q9C029-1_TRIM7</t>
  </si>
  <si>
    <t>Q9C035-2_TRIM5</t>
  </si>
  <si>
    <t>Q9C073_FAM117A</t>
  </si>
  <si>
    <t>Q9C0B0_UNK</t>
  </si>
  <si>
    <t>Q9C0B1_FTO</t>
  </si>
  <si>
    <t>Q9C0B5-2_ZDHHC5</t>
  </si>
  <si>
    <t>Q9C0B7_TANGO6</t>
  </si>
  <si>
    <t>Q9C0C2_TNKS1BP1</t>
  </si>
  <si>
    <t>Q9C0C7-4_AMBRA1</t>
  </si>
  <si>
    <t>Q9C0C9_UBE2O</t>
  </si>
  <si>
    <t>Q9C0D3_ZYG11B</t>
  </si>
  <si>
    <t>Q9C0D5_TANC1</t>
  </si>
  <si>
    <t>Q9C0F1_CEP44</t>
  </si>
  <si>
    <t>Q9C0H5_ARHGAP39</t>
  </si>
  <si>
    <t>Q9C0I1_MTMR12</t>
  </si>
  <si>
    <t>Q9C0J8_WDR33</t>
  </si>
  <si>
    <t>Q9GZL7_WDR12</t>
  </si>
  <si>
    <t>Q9GZN8_C20orf27</t>
  </si>
  <si>
    <t>Q9GZP4_PITHD1</t>
  </si>
  <si>
    <t>Q9GZQ3_COMMD5</t>
  </si>
  <si>
    <t>Q9GZR1-2_SENP6</t>
  </si>
  <si>
    <t>Q9GZS1-2_POLR1E</t>
  </si>
  <si>
    <t>Q9GZS3_WDR61</t>
  </si>
  <si>
    <t>Q9GZT3-2_SLIRP</t>
  </si>
  <si>
    <t>Q9GZT4_SRR</t>
  </si>
  <si>
    <t>Q9GZT8_NIF3L1</t>
  </si>
  <si>
    <t>Q9GZT9_EGLN1</t>
  </si>
  <si>
    <t>Q9GZU8_FAM192A</t>
  </si>
  <si>
    <t>Q9GZV1_ANKRD2</t>
  </si>
  <si>
    <t>Q9GZV5_WWTR1</t>
  </si>
  <si>
    <t>Q9GZY8-2_MFF</t>
  </si>
  <si>
    <t>Q9GZZ9_UBA5</t>
  </si>
  <si>
    <t>Q9H008_LHPP</t>
  </si>
  <si>
    <t>Q9H074_PAIP1</t>
  </si>
  <si>
    <t>Q9H078-2_CLPB</t>
  </si>
  <si>
    <t>Q9H081_MIS12</t>
  </si>
  <si>
    <t>Q9H098_FAM107B</t>
  </si>
  <si>
    <t>Q9H0A8_COMMD4</t>
  </si>
  <si>
    <t>Q9H0B6_KLC2</t>
  </si>
  <si>
    <t>Q9H0C8_ILKAP</t>
  </si>
  <si>
    <t>Q9H0D6_XRN2</t>
  </si>
  <si>
    <t>Q9H0E2_TOLLIP</t>
  </si>
  <si>
    <t>Q9H0E3-3_SAP130</t>
  </si>
  <si>
    <t>Q9H0E9-2_BRD8</t>
  </si>
  <si>
    <t>Q9H0F6_SHARPIN</t>
  </si>
  <si>
    <t>Q9H0F7_ARL6</t>
  </si>
  <si>
    <t>Q9H0G5_NSRP1</t>
  </si>
  <si>
    <t>Q9H0H3_KLHL25</t>
  </si>
  <si>
    <t>Q9H0H5_RACGAP1</t>
  </si>
  <si>
    <t>Q9H0K1_SIK2</t>
  </si>
  <si>
    <t>Q9H0K6_PUS7L</t>
  </si>
  <si>
    <t>Q9H0L4_CSTF2T</t>
  </si>
  <si>
    <t>Q9H0P0-1_NT5C3A</t>
  </si>
  <si>
    <t>Q9H0R1_AP5M1</t>
  </si>
  <si>
    <t>Q9H0R4_HDHD2</t>
  </si>
  <si>
    <t>Q9H0S4-2_DDX47</t>
  </si>
  <si>
    <t>Q9H0U4_RAB1B</t>
  </si>
  <si>
    <t>Q9H0U9_TSPYL1</t>
  </si>
  <si>
    <t>Q9H0W8_SMG9</t>
  </si>
  <si>
    <t>Q9H0W9-2_C11orf54</t>
  </si>
  <si>
    <t>Q9H147_DNTTIP1</t>
  </si>
  <si>
    <t>Q9H173_SIL1</t>
  </si>
  <si>
    <t>Q9H1A4_ANAPC1</t>
  </si>
  <si>
    <t>Q9H1B7_IRF2BPL</t>
  </si>
  <si>
    <t>Q9H1D9_POLR3F</t>
  </si>
  <si>
    <t>Q9H1E3_NUCKS1</t>
  </si>
  <si>
    <t>Q9H1H9-3_KIF13A</t>
  </si>
  <si>
    <t>Q9H1I8-3_ASCC2</t>
  </si>
  <si>
    <t>Q9H1J1-2_UPF3A</t>
  </si>
  <si>
    <t>Q9H1K0_ZFYVE20</t>
  </si>
  <si>
    <t>Q9H1K1_ISCU</t>
  </si>
  <si>
    <t>Q9H1K6_MESDC1</t>
  </si>
  <si>
    <t>Q9H1P3-2_OSBPL2</t>
  </si>
  <si>
    <t>Q9H1U4_MEGF9</t>
  </si>
  <si>
    <t>Q9H1Y0_ATG5</t>
  </si>
  <si>
    <t>Q9H1Z4_WDR13</t>
  </si>
  <si>
    <t>Q9H204_MED28</t>
  </si>
  <si>
    <t>Q9H211_CDT1</t>
  </si>
  <si>
    <t>Q9H223_EHD4</t>
  </si>
  <si>
    <t>Q9H267_VPS33B</t>
  </si>
  <si>
    <t>Q9H269_VPS16</t>
  </si>
  <si>
    <t>Q9H270_VPS11</t>
  </si>
  <si>
    <t>Q9H2C0_GAN</t>
  </si>
  <si>
    <t>Q9H2D6-3_TRIOBP</t>
  </si>
  <si>
    <t>Q9H2G2_SLK</t>
  </si>
  <si>
    <t>Q9H2H8_PPIL3</t>
  </si>
  <si>
    <t>Q9H2J4_PDCL3</t>
  </si>
  <si>
    <t>Q9H2K8_TAOK3</t>
  </si>
  <si>
    <t>Q9H2M9_RAB3GAP2</t>
  </si>
  <si>
    <t>Q9H2P0_ADNP</t>
  </si>
  <si>
    <t>Q9H2P9-3_DPH5</t>
  </si>
  <si>
    <t>Q9H2U1-3_DHX36</t>
  </si>
  <si>
    <t>Q9H2U2_PPA2</t>
  </si>
  <si>
    <t>Q9H2W6_MRPL46</t>
  </si>
  <si>
    <t>Q9H2Y7_ZNF106</t>
  </si>
  <si>
    <t>Q9H307_PNN</t>
  </si>
  <si>
    <t>Q9H3F6_KCTD10</t>
  </si>
  <si>
    <t>Q9H3H1-4_TRIT1</t>
  </si>
  <si>
    <t>Q9H3H3-2_C11orf68</t>
  </si>
  <si>
    <t>Q9H3K6_BOLA2</t>
  </si>
  <si>
    <t>Q9H3L0_MMADHC</t>
  </si>
  <si>
    <t>Q9H3N1_TMX1</t>
  </si>
  <si>
    <t>Q9H3P2_NELFA</t>
  </si>
  <si>
    <t>Q9H3P7_ACBD3</t>
  </si>
  <si>
    <t>Q9H3Q1_CDC42EP4</t>
  </si>
  <si>
    <t>Q9H3S7_PTPN23</t>
  </si>
  <si>
    <t>Q9H3U1_UNC45A</t>
  </si>
  <si>
    <t>Q9H3Y8_PPDPF</t>
  </si>
  <si>
    <t>Q9H410_DSN1</t>
  </si>
  <si>
    <t>Q9H425_C1orf198</t>
  </si>
  <si>
    <t>Q9H444_CHMP4B</t>
  </si>
  <si>
    <t>Q9H461_FZD8</t>
  </si>
  <si>
    <t>Q9H467_CUEDC2</t>
  </si>
  <si>
    <t>Q9H479_FN3K</t>
  </si>
  <si>
    <t>Q9H488_POFUT1</t>
  </si>
  <si>
    <t>Q9H492_MAP1LC3A</t>
  </si>
  <si>
    <t>Q9H496_IFRG15</t>
  </si>
  <si>
    <t>Q9H497-2_TOR3A</t>
  </si>
  <si>
    <t>Q9H4A4_RNPEP</t>
  </si>
  <si>
    <t>Q9H4A5_GOLPH3L</t>
  </si>
  <si>
    <t>Q9H4A6_GOLPH3</t>
  </si>
  <si>
    <t>Q9H4B0_OSGEPL1</t>
  </si>
  <si>
    <t>Q9H4B6_SAV1</t>
  </si>
  <si>
    <t>Q9H4G0_EPB41L1</t>
  </si>
  <si>
    <t>Q9H4G0-2_EPB41L1</t>
  </si>
  <si>
    <t>Q9H4G0-4_EPB41L1</t>
  </si>
  <si>
    <t>Q9H4H8_FAM83D</t>
  </si>
  <si>
    <t>Q9H4L7_SMARCAD1</t>
  </si>
  <si>
    <t>Q9H4M9_EHD1</t>
  </si>
  <si>
    <t>Q9H4P4-2_RNF41</t>
  </si>
  <si>
    <t>Q9H4Z3_PCIF1</t>
  </si>
  <si>
    <t>Q9H501_ESF1</t>
  </si>
  <si>
    <t>Q9H582-2_ZNF644</t>
  </si>
  <si>
    <t>Q9H5N1_RABEP2</t>
  </si>
  <si>
    <t>Q9H5Q4_TFB2M</t>
  </si>
  <si>
    <t>Q9H5V9-3_CXorf56</t>
  </si>
  <si>
    <t>Q9H5X1_FAM96A</t>
  </si>
  <si>
    <t>Q9H672_ASB7</t>
  </si>
  <si>
    <t>Q9H694_BICC1</t>
  </si>
  <si>
    <t>Q9H6A9_PCNXL3</t>
  </si>
  <si>
    <t>Q9H6D7_HAUS4</t>
  </si>
  <si>
    <t>Q9H6E4_CCDC134</t>
  </si>
  <si>
    <t>Q9H6E5_TUT1</t>
  </si>
  <si>
    <t>Q9H6F5_CCDC86</t>
  </si>
  <si>
    <t>Q9H6K1_C6orf106</t>
  </si>
  <si>
    <t>Q9H6L4_ARMC7</t>
  </si>
  <si>
    <t>Q9H6Q4_NARFL</t>
  </si>
  <si>
    <t>Q9H6R4-2_NOL6</t>
  </si>
  <si>
    <t>Q9H6R7-2_C2orf44</t>
  </si>
  <si>
    <t>Q9H6S0_YTHDC2</t>
  </si>
  <si>
    <t>Q9H6S1_AZI2</t>
  </si>
  <si>
    <t>Q9H6S3_EPS8L2</t>
  </si>
  <si>
    <t>Q9H6T3-2_RPAP3</t>
  </si>
  <si>
    <t>Q9H6U6-2_BCAS3</t>
  </si>
  <si>
    <t>Q9H6W3_NO66</t>
  </si>
  <si>
    <t>Q9H6X2_ANTXR1</t>
  </si>
  <si>
    <t>Q9H6Y2_WDR55</t>
  </si>
  <si>
    <t>Q9H6Z4-2_RANBP3</t>
  </si>
  <si>
    <t>Q9H773_DCTPP1</t>
  </si>
  <si>
    <t>Q9H788_SH2D4A</t>
  </si>
  <si>
    <t>Q9H792_PEAK1</t>
  </si>
  <si>
    <t>Q9H7B4_SMYD3</t>
  </si>
  <si>
    <t>Q9H7C4-2_SYNC</t>
  </si>
  <si>
    <t>Q9H7C9_AAMDC</t>
  </si>
  <si>
    <t>Q9H7D0_DOCK5</t>
  </si>
  <si>
    <t>Q9H7D7-2_WDR26</t>
  </si>
  <si>
    <t>Q9H7E2-3_TDRD3</t>
  </si>
  <si>
    <t>Q9H7E9_C8orf33</t>
  </si>
  <si>
    <t>Q9H7L9_SUDS3</t>
  </si>
  <si>
    <t>Q9H7N4_SCAF1</t>
  </si>
  <si>
    <t>Q9H7P9_PLEKHG2</t>
  </si>
  <si>
    <t>Q9H7R5-2_ZNF665</t>
  </si>
  <si>
    <t>Q9H7S9_ZNF703</t>
  </si>
  <si>
    <t>Q9H7U1-3_CCSER2</t>
  </si>
  <si>
    <t>Q9H7X3_ZNF696</t>
  </si>
  <si>
    <t>Q9H7X7-2_RABL5</t>
  </si>
  <si>
    <t>Q9H7Z6_KAT8</t>
  </si>
  <si>
    <t>Q9H7Z7_PTGES2</t>
  </si>
  <si>
    <t>Q9H814_PHAX</t>
  </si>
  <si>
    <t>Q9H832_UBE2Z</t>
  </si>
  <si>
    <t>Q9H840_GEMIN7</t>
  </si>
  <si>
    <t>Q9H845_ACAD9</t>
  </si>
  <si>
    <t>Q9H857-2_NT5DC2</t>
  </si>
  <si>
    <t>Q9H869-7_YY1AP1</t>
  </si>
  <si>
    <t>Q9H875_PRKRIP1</t>
  </si>
  <si>
    <t>Q9H8E8_CSRP2BP</t>
  </si>
  <si>
    <t>Q9H8G2_CAAP1</t>
  </si>
  <si>
    <t>Q9H8H0_NOL11</t>
  </si>
  <si>
    <t>Q9H8K7_C10orf88</t>
  </si>
  <si>
    <t>Q9H8M2_BRD9</t>
  </si>
  <si>
    <t>Q9H8M7_FAM188A</t>
  </si>
  <si>
    <t>Q9H8S9_MOB1A</t>
  </si>
  <si>
    <t>Q9H8U3_ZFAND3</t>
  </si>
  <si>
    <t>Q9H8V3_ECT2</t>
  </si>
  <si>
    <t>Q9H8W4_PLEKHF2</t>
  </si>
  <si>
    <t>Q9H8Y5_ANKZF1</t>
  </si>
  <si>
    <t>Q9H8Y8_GORASP2</t>
  </si>
  <si>
    <t>Q9H900_ZWILCH</t>
  </si>
  <si>
    <t>Q9H910-2_HN1L</t>
  </si>
  <si>
    <t>Q9H944_MED20</t>
  </si>
  <si>
    <t>Q9H974_QTRTD1</t>
  </si>
  <si>
    <t>Q9H977_WDR54</t>
  </si>
  <si>
    <t>Q9H981_ACTR8</t>
  </si>
  <si>
    <t>Q9H992_MARCH7</t>
  </si>
  <si>
    <t>Q9H993_C6orf211</t>
  </si>
  <si>
    <t>Q9H999_PANK3</t>
  </si>
  <si>
    <t>Q9H9A5-2_CNOT10</t>
  </si>
  <si>
    <t>Q9H9A6_LRRC40</t>
  </si>
  <si>
    <t>Q9H9A7_RMI1</t>
  </si>
  <si>
    <t>Q9H9B1_EHMT1</t>
  </si>
  <si>
    <t>Q9H9C1_VIPAS39</t>
  </si>
  <si>
    <t>Q9H9D4_ZNF408</t>
  </si>
  <si>
    <t>Q9H9E3_COG4</t>
  </si>
  <si>
    <t>Q9H9F9_ACTR5</t>
  </si>
  <si>
    <t>Q9H9H4_VPS37B</t>
  </si>
  <si>
    <t>Q9H9J2_MRPL44</t>
  </si>
  <si>
    <t>Q9H9R9_DBNDD1</t>
  </si>
  <si>
    <t>Q9H9T3-2_ELP3</t>
  </si>
  <si>
    <t>Q9H9V9-2_JMJD4</t>
  </si>
  <si>
    <t>Q9HA47-3_UCK1</t>
  </si>
  <si>
    <t>Q9HA64_FN3KRP</t>
  </si>
  <si>
    <t>Q9HA65_TBC1D17</t>
  </si>
  <si>
    <t>Q9HA77_CARS2</t>
  </si>
  <si>
    <t>Q9HAB8_PPCS</t>
  </si>
  <si>
    <t>Q9HAD4_WDR41</t>
  </si>
  <si>
    <t>Q9HAF1-2_MEAF6</t>
  </si>
  <si>
    <t>Q9HAJ7_SAP30L</t>
  </si>
  <si>
    <t>Q9HAP2_MLXIP</t>
  </si>
  <si>
    <t>Q9HAT2-2_SIAE</t>
  </si>
  <si>
    <t>Q9HAU0_PLEKHA5</t>
  </si>
  <si>
    <t>Q9HAU5_UPF2</t>
  </si>
  <si>
    <t>Q9HAV4_XPO5</t>
  </si>
  <si>
    <t>Q9HAV7_GRPEL1</t>
  </si>
  <si>
    <t>Q9HAW4-2_CLSPN</t>
  </si>
  <si>
    <t>Q9HAY6_BCMO1</t>
  </si>
  <si>
    <t>Q9HB07_C12orf10</t>
  </si>
  <si>
    <t>Q9HB09-3_BCL2L12</t>
  </si>
  <si>
    <t>Q9HB19_PLEKHA2</t>
  </si>
  <si>
    <t>Q9HB20_PLEKHA3</t>
  </si>
  <si>
    <t>Q9HB21_PLEKHA1</t>
  </si>
  <si>
    <t>Q9HB40_SCPEP1</t>
  </si>
  <si>
    <t>Q9HB71_CACYBP</t>
  </si>
  <si>
    <t>Q9HB90_RRAGC</t>
  </si>
  <si>
    <t>Q9HB96_FANCE</t>
  </si>
  <si>
    <t>Q9HBE1-4_PATZ1</t>
  </si>
  <si>
    <t>Q9HBH0_RHOF</t>
  </si>
  <si>
    <t>Q9HBH1_PDF</t>
  </si>
  <si>
    <t>Q9HBI1_PARVB</t>
  </si>
  <si>
    <t>Q9HBK9_AS3MT</t>
  </si>
  <si>
    <t>Q9HBL8_NMRAL1</t>
  </si>
  <si>
    <t>Q9HBM1_SPC25</t>
  </si>
  <si>
    <t>Q9HBR0_SLC38A10</t>
  </si>
  <si>
    <t>Q9HBU6_ETNK1</t>
  </si>
  <si>
    <t>Q9HBZ2-2_ARNT2</t>
  </si>
  <si>
    <t>Q9HC35_EML4</t>
  </si>
  <si>
    <t>Q9HC38-2_GLOD4</t>
  </si>
  <si>
    <t>Q9HC52_CBX8</t>
  </si>
  <si>
    <t>Q9HCC0_MCCC2</t>
  </si>
  <si>
    <t>Q9HCC9-5_ZFYVE28</t>
  </si>
  <si>
    <t>Q9HCD5_NCOA5</t>
  </si>
  <si>
    <t>Q9HCD6_TANC2</t>
  </si>
  <si>
    <t>Q9HCE0-2_EPG5</t>
  </si>
  <si>
    <t>Q9HCE3_ZNF532</t>
  </si>
  <si>
    <t>Q9HCE5_METTL14</t>
  </si>
  <si>
    <t>Q9HCE6-3_ARHGEF10L</t>
  </si>
  <si>
    <t>Q9HCE7-2_SMURF1</t>
  </si>
  <si>
    <t>Q9HCH0_NCKAP5L</t>
  </si>
  <si>
    <t>Q9HCJ0_TNRC6C</t>
  </si>
  <si>
    <t>Q9HCJ3-2_RAVER2</t>
  </si>
  <si>
    <t>Q9HCK8_CHD8</t>
  </si>
  <si>
    <t>Q9HCN4-3_GPN1</t>
  </si>
  <si>
    <t>Q9HCN8_SDF2L1</t>
  </si>
  <si>
    <t>Q9HCR9_PDE11A</t>
  </si>
  <si>
    <t>Q9HCU8_POLD4</t>
  </si>
  <si>
    <t>Q9HD15_SRA1</t>
  </si>
  <si>
    <t>Q9HD26-2_GOPC</t>
  </si>
  <si>
    <t>Q9HD42_CHMP1A</t>
  </si>
  <si>
    <t>Q9HD47-2_RANGRF</t>
  </si>
  <si>
    <t>Q9HD67_MYO10</t>
  </si>
  <si>
    <t>Q9NNW5_WDR6</t>
  </si>
  <si>
    <t>Q9NNX1-2_TUFT1</t>
  </si>
  <si>
    <t>Q9NP61_ARFGAP3</t>
  </si>
  <si>
    <t>Q9NP66_HMG20A</t>
  </si>
  <si>
    <t>Q9NP72_RAB18</t>
  </si>
  <si>
    <t>Q9NP73-2_ALG13</t>
  </si>
  <si>
    <t>Q9NP74_PALMD</t>
  </si>
  <si>
    <t>Q9NP77_SSU72</t>
  </si>
  <si>
    <t>Q9NP79_VTA1</t>
  </si>
  <si>
    <t>Q9NP97_DYNLRB1</t>
  </si>
  <si>
    <t>Q9NPA3_MID1IP1</t>
  </si>
  <si>
    <t>Q9NPA5-2_ZFP64</t>
  </si>
  <si>
    <t>Q9NPA8-2_ENY2</t>
  </si>
  <si>
    <t>Q9NPB8_GPCPD1</t>
  </si>
  <si>
    <t>Q9NPD3_EXOSC4</t>
  </si>
  <si>
    <t>Q9NPD8_UBE2T</t>
  </si>
  <si>
    <t>Q9NPE3_NOP10</t>
  </si>
  <si>
    <t>Q9NPF0_CD320</t>
  </si>
  <si>
    <t>Q9NPF4_OSGEP</t>
  </si>
  <si>
    <t>Q9NPF5_DMAP1</t>
  </si>
  <si>
    <t>Q9NPG3-2_UBN1</t>
  </si>
  <si>
    <t>Q9NPH0_ACP6</t>
  </si>
  <si>
    <t>Q9NPI6_DCP1A</t>
  </si>
  <si>
    <t>Q9NPJ3_ACOT13</t>
  </si>
  <si>
    <t>Q9NPJ6_MED4</t>
  </si>
  <si>
    <t>Q9NPQ8-4_RIC8A</t>
  </si>
  <si>
    <t>Q9NQ29_LUC7L</t>
  </si>
  <si>
    <t>Q9NQ88_TIGAR</t>
  </si>
  <si>
    <t>Q9NQ89_C12orf4</t>
  </si>
  <si>
    <t>Q9NQ92_COPRS</t>
  </si>
  <si>
    <t>Q9NQA3_WASH6P</t>
  </si>
  <si>
    <t>Q9NQC3_RTN4</t>
  </si>
  <si>
    <t>Q9NQE9_HINT3</t>
  </si>
  <si>
    <t>Q9NQG5_RPRD1B</t>
  </si>
  <si>
    <t>Q9NQH7-2_XPNPEP3</t>
  </si>
  <si>
    <t>Q9NQP4_PFDN4</t>
  </si>
  <si>
    <t>Q9NQR4_NIT2</t>
  </si>
  <si>
    <t>Q9NQS1_AVEN</t>
  </si>
  <si>
    <t>Q9NQS3_PVRL3</t>
  </si>
  <si>
    <t>Q9NQS7-2_INCENP</t>
  </si>
  <si>
    <t>Q9NQT4_EXOSC5</t>
  </si>
  <si>
    <t>Q9NQT5_EXOSC3</t>
  </si>
  <si>
    <t>Q9NQT8_KIF13B</t>
  </si>
  <si>
    <t>Q9NQW6_ANLN</t>
  </si>
  <si>
    <t>Q9NQW7-3_XPNPEP1</t>
  </si>
  <si>
    <t>Q9NQX3_GPHN</t>
  </si>
  <si>
    <t>Q9NQY0_BIN3</t>
  </si>
  <si>
    <t>Q9NQZ5_STARD7</t>
  </si>
  <si>
    <t>Q9NR09_BIRC6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</si>
  <si>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</si>
  <si>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</si>
  <si>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</si>
  <si>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</si>
  <si>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</si>
  <si>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</si>
  <si>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</si>
  <si>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Q9NR46_SH3GLB2</t>
  </si>
  <si>
    <t>Q9NR50_EIF2B3</t>
  </si>
  <si>
    <t>Q9NRF2-3_SH2B1</t>
  </si>
  <si>
    <t>Q9NRF8_CTPS2</t>
  </si>
  <si>
    <t>Q9NRF9_POLE3</t>
  </si>
  <si>
    <t>Q9NRG0_CHRAC1</t>
  </si>
  <si>
    <t>Q9NRG1_PRTFDC1</t>
  </si>
  <si>
    <t>Q9NRG4_SMYD2</t>
  </si>
  <si>
    <t>Q9NRH1_YAE1D1</t>
  </si>
  <si>
    <t>Q9NRJ4_TULP4</t>
  </si>
  <si>
    <t>Q9NRL2-2_BAZ1A</t>
  </si>
  <si>
    <t>Q9NRL3_STRN4</t>
  </si>
  <si>
    <t>Q9NRN7_AASDHPPT</t>
  </si>
  <si>
    <t>Q9NRN9_METTL5</t>
  </si>
  <si>
    <t>Q9NRR5_UBQLN4</t>
  </si>
  <si>
    <t>Q9NRS6_SNX15</t>
  </si>
  <si>
    <t>Q9NRV9_HEBP1</t>
  </si>
  <si>
    <t>Q9NRW7_VPS45</t>
  </si>
  <si>
    <t>Q9NRX1_PNO1</t>
  </si>
  <si>
    <t>Q9NRX4_PHPT1</t>
  </si>
  <si>
    <t>Q9NRY2_INIP</t>
  </si>
  <si>
    <t>Q9NRY4_ARHGAP35</t>
  </si>
  <si>
    <t>Q9NRY5_FAM114A2</t>
  </si>
  <si>
    <t>Q9NRZ9-3_HELLS</t>
  </si>
  <si>
    <t>Q9NS18_GLRX2</t>
  </si>
  <si>
    <t>Q9NS37_CREBZF</t>
  </si>
  <si>
    <t>Q9NS73-3_MBIP</t>
  </si>
  <si>
    <t>Q9NS86_LANCL2</t>
  </si>
  <si>
    <t>Q9NS87-2_KIF15</t>
  </si>
  <si>
    <t>Q9NS91_RAD18</t>
  </si>
  <si>
    <t>Q9NSA3_CTNNBIP1</t>
  </si>
  <si>
    <t>Q9NSB8-2_HOMER2</t>
  </si>
  <si>
    <t>Q9NSC5-5_HOMER3</t>
  </si>
  <si>
    <t>Q9NSD9_FARSB</t>
  </si>
  <si>
    <t>Q9NSE4_IARS2</t>
  </si>
  <si>
    <t>Q9NSI2-2_FAM207A</t>
  </si>
  <si>
    <t>Q9NSK0_KLC4</t>
  </si>
  <si>
    <t>Q9NSY0_NRBP2</t>
  </si>
  <si>
    <t>Q9NSY2_STARD5</t>
  </si>
  <si>
    <t>Q9NT62_ATG3</t>
  </si>
  <si>
    <t>Q9NTG7_SIRT3</t>
  </si>
  <si>
    <t>Q9NTI5-2_PDS5B</t>
  </si>
  <si>
    <t>Q9NTJ3_SMC4</t>
  </si>
  <si>
    <t>Q9NTJ4-3_MAN2C1</t>
  </si>
  <si>
    <t>Q9NTK5_OLA1</t>
  </si>
  <si>
    <t>Q9NTK5-2_OLA1</t>
  </si>
  <si>
    <t>Q9NTM9_CUTC</t>
  </si>
  <si>
    <t>Q9NTX5-6_ECHDC1</t>
  </si>
  <si>
    <t>Q9NTZ6_RBM12</t>
  </si>
  <si>
    <t>Q9NU19_TBC1D22B</t>
  </si>
  <si>
    <t>Q9NU22_MDN1</t>
  </si>
  <si>
    <t>Q9NU23_LYRM2</t>
  </si>
  <si>
    <t>Q9NUG6_PDRG1</t>
  </si>
  <si>
    <t>Q9NUJ1_ABHD10</t>
  </si>
  <si>
    <t>Q9NUJ3_TCP11L1</t>
  </si>
  <si>
    <t>Q9NUL5-2_C19orf66</t>
  </si>
  <si>
    <t>Q9NUM4_TMEM106B</t>
  </si>
  <si>
    <t>Q9NUP1_BLOC1S4</t>
  </si>
  <si>
    <t>Q9NUP7_TRMT13</t>
  </si>
  <si>
    <t>Q9NUP9_LIN7C</t>
  </si>
  <si>
    <t>Q9NUQ3_TXLNG</t>
  </si>
  <si>
    <t>Q9NUQ6-2_SPATS2L</t>
  </si>
  <si>
    <t>Q9NUQ8_ABCF3</t>
  </si>
  <si>
    <t>Q9NUQ9_FAM49B</t>
  </si>
  <si>
    <t>Q9NUS5_AP5S1</t>
  </si>
  <si>
    <t>Q9NUU7_DDX19A</t>
  </si>
  <si>
    <t>Q9NUW8_TDP1</t>
  </si>
  <si>
    <t>Q9NUY8_TBC1D23</t>
  </si>
  <si>
    <t>Q9NV06_DCAF13</t>
  </si>
  <si>
    <t>Q9NV31_IMP3</t>
  </si>
  <si>
    <t>Q9NV35_NUDT15</t>
  </si>
  <si>
    <t>Q9NV56_MRGBP</t>
  </si>
  <si>
    <t>Q9NV70-2_EXOC1</t>
  </si>
  <si>
    <t>Q9NV88-3_INTS9</t>
  </si>
  <si>
    <t>Q9NVC6_MED17</t>
  </si>
  <si>
    <t>Q9NVD7_PARVA</t>
  </si>
  <si>
    <t>Q9NVE5_USP40</t>
  </si>
  <si>
    <t>Q9NVE7_PANK4</t>
  </si>
  <si>
    <t>Q9NVF7_FBXO28</t>
  </si>
  <si>
    <t>Q9NVG8_TBC1D13</t>
  </si>
  <si>
    <t>Q9NVH2-3_INTS7</t>
  </si>
  <si>
    <t>Q9NVH6-7_TMLHE</t>
  </si>
  <si>
    <t>Q9NVI1_FANCI</t>
  </si>
  <si>
    <t>Q9NVJ2_ARL8B</t>
  </si>
  <si>
    <t>Q9NVK5_FGFR1OP2</t>
  </si>
  <si>
    <t>Q9NVM4-3_PRMT7</t>
  </si>
  <si>
    <t>Q9NVM6_DNAJC17</t>
  </si>
  <si>
    <t>Q9NVM9_ASUN</t>
  </si>
  <si>
    <t>Q9NVN3_RIC8B</t>
  </si>
  <si>
    <t>Q9NVN8_GNL3L</t>
  </si>
  <si>
    <t>Q9NVP1_DDX18</t>
  </si>
  <si>
    <t>Q9NVP2_ASF1B</t>
  </si>
  <si>
    <t>Q9NVQ4_FAIM</t>
  </si>
  <si>
    <t>Q9NVR0_KLHL11</t>
  </si>
  <si>
    <t>Q9NVR2_INTS10</t>
  </si>
  <si>
    <t>Q9NVR5_DNAAF2</t>
  </si>
  <si>
    <t>Q9NVS9_PNPO</t>
  </si>
  <si>
    <t>Q9NVT9_ARMC1</t>
  </si>
  <si>
    <t>Q9NVU0-5_POLR3E</t>
  </si>
  <si>
    <t>Q9NVU7-2_SDAD1</t>
  </si>
  <si>
    <t>Q9NVW2_RLIM</t>
  </si>
  <si>
    <t>Q9NVX0-3_HAUS2</t>
  </si>
  <si>
    <t>Q9NVX2_NLE1</t>
  </si>
  <si>
    <t>Q9NVX7_KBTBD4</t>
  </si>
  <si>
    <t>Q9NVZ3_NECAP2</t>
  </si>
  <si>
    <t>Q9NW13_RBM28</t>
  </si>
  <si>
    <t>Q9NW64_RBM22</t>
  </si>
  <si>
    <t>Q9NW75_GPATCH2</t>
  </si>
  <si>
    <t>Q9NW82_WDR70</t>
  </si>
  <si>
    <t>Q9NW97_TMEM51</t>
  </si>
  <si>
    <t>Q9NWA0_MED9</t>
  </si>
  <si>
    <t>Q9NWB6_ARGLU1</t>
  </si>
  <si>
    <t>Q9NWF9_RNF216</t>
  </si>
  <si>
    <t>Q9NWH9_SLTM</t>
  </si>
  <si>
    <t>Q9NWK9_ZNHIT6</t>
  </si>
  <si>
    <t>Q9NWM0-2_SMOX</t>
  </si>
  <si>
    <t>Q9NWM3_CUEDC1</t>
  </si>
  <si>
    <t>Q9NWM8_FKBP14</t>
  </si>
  <si>
    <t>Q9NWQ9_C14orf119</t>
  </si>
  <si>
    <t>Q9NWS0_PIH1D1</t>
  </si>
  <si>
    <t>Q9NWS1-5_PARPBP</t>
  </si>
  <si>
    <t>Q9NWS6_FAM118A</t>
  </si>
  <si>
    <t>Q9NWT1_PAK1IP1</t>
  </si>
  <si>
    <t>Q9NWT6_HIF1AN</t>
  </si>
  <si>
    <t>Q9NWU1_OXSM</t>
  </si>
  <si>
    <t>Q9NWU2_GID8</t>
  </si>
  <si>
    <t>Q9NWV4_C1orf123</t>
  </si>
  <si>
    <t>Q9NWX5_ASB6</t>
  </si>
  <si>
    <t>Q9NWX6_THG1L</t>
  </si>
  <si>
    <t>Q9NWY4_C4orf27</t>
  </si>
  <si>
    <t>Q9NWZ3_IRAK4</t>
  </si>
  <si>
    <t>Q9NWZ5_UCKL1</t>
  </si>
  <si>
    <t>Q9NWZ8_GEMIN8</t>
  </si>
  <si>
    <t>Q9NX01_TXNL4B</t>
  </si>
  <si>
    <t>Q9NX02-5_NLRP2</t>
  </si>
  <si>
    <t>Q9NX07_TRNAU1AP</t>
  </si>
  <si>
    <t>Q9NX08_COMMD8</t>
  </si>
  <si>
    <t>Q9NX24_NHP2</t>
  </si>
  <si>
    <t>Q9NX38_FAM206A</t>
  </si>
  <si>
    <t>Q9NX46_ADPRHL2</t>
  </si>
  <si>
    <t>Q9NX55_HYPK</t>
  </si>
  <si>
    <t>Q9NX58_LYAR</t>
  </si>
  <si>
    <t>Q9NX70_MED29</t>
  </si>
  <si>
    <t>Q9NX74_DUS2L</t>
  </si>
  <si>
    <t>Q9NXA8_SIRT5</t>
  </si>
  <si>
    <t>Q9NXC5_MIOS</t>
  </si>
  <si>
    <t>Q9NXD2_MTMR10</t>
  </si>
  <si>
    <t>Q9NXE8_CWC25</t>
  </si>
  <si>
    <t>Q9NXG2_THUMPD1</t>
  </si>
  <si>
    <t>Q9NXG6_P4HTM</t>
  </si>
  <si>
    <t>Q9NXH9-2_TRMT1</t>
  </si>
  <si>
    <t>Q9NXR1-2_NDE1</t>
  </si>
  <si>
    <t>Q9NXR7_BRE</t>
  </si>
  <si>
    <t>Q9NXV2_KCTD5</t>
  </si>
  <si>
    <t>Q9NXV6_CDKN2AIP</t>
  </si>
  <si>
    <t>Q9NXW2_DNAJB12</t>
  </si>
  <si>
    <t>Q9NXW9_ALKBH4</t>
  </si>
  <si>
    <t>Q9NXX6_NSMCE4A</t>
  </si>
  <si>
    <t>Q9NY12-2_GAR1</t>
  </si>
  <si>
    <t>Q9NY27_PPP4R2</t>
  </si>
  <si>
    <t>Q9NY33_DPP3</t>
  </si>
  <si>
    <t>Q9NY61_AATF</t>
  </si>
  <si>
    <t>Q9NY93_DDX56</t>
  </si>
  <si>
    <t>Q9NYB0_TERF2IP</t>
  </si>
  <si>
    <t>Q9NYB9-2_ABI2</t>
  </si>
  <si>
    <t>Q9NYF8-2_BCLAF1</t>
  </si>
  <si>
    <t>Q9NYF8-3_BCLAF1</t>
  </si>
  <si>
    <t>Q9NYG5_ANAPC11</t>
  </si>
  <si>
    <t>Q9NYJ1_COA4</t>
  </si>
  <si>
    <t>Q9NYJ8_TAB2</t>
  </si>
  <si>
    <t>Q9NYL2_MLTK</t>
  </si>
  <si>
    <t>Q9NYL2-2_MLTK</t>
  </si>
  <si>
    <t>Q9NYL9_TMOD3</t>
  </si>
  <si>
    <t>Q9NYP9_MIS18A</t>
  </si>
  <si>
    <t>Q9NYQ6_CELSR1</t>
  </si>
  <si>
    <t>Q9NYS0_NKIRAS1</t>
  </si>
  <si>
    <t>Q9NYT0_PLEK2</t>
  </si>
  <si>
    <t>Q9NYU2-2_UGGT1</t>
  </si>
  <si>
    <t>Q9NYV4-2_CDK12</t>
  </si>
  <si>
    <t>Q9NYY8_FASTKD2</t>
  </si>
  <si>
    <t>Q9NYZ3_GTSE1</t>
  </si>
  <si>
    <t>Q9NZ08_ERAP1</t>
  </si>
  <si>
    <t>Q9NZ09_UBAP1</t>
  </si>
  <si>
    <t>Q9NZ32_ACTR10</t>
  </si>
  <si>
    <t>Q9NZ45_CISD1</t>
  </si>
  <si>
    <t>Q9NZ52_GGA3</t>
  </si>
  <si>
    <t>Q9NZ63_C9orf78</t>
  </si>
  <si>
    <t>Q9NZB2_FAM120A</t>
  </si>
  <si>
    <t>Q9NZC9_SMARCAL1</t>
  </si>
  <si>
    <t>Q9NZD2_GLTP</t>
  </si>
  <si>
    <t>Q9NZD8-2_SPG21</t>
  </si>
  <si>
    <t>Q9NZI7-4_UBP1</t>
  </si>
  <si>
    <t>Q9NZI8_IGF2BP1</t>
  </si>
  <si>
    <t>Q9NZJ4_SACS</t>
  </si>
  <si>
    <t>Q9NZJ6_COQ3</t>
  </si>
  <si>
    <t>Q9NZJ7-2_MTCH1</t>
  </si>
  <si>
    <t>Q9NZJ9_NUDT4</t>
  </si>
  <si>
    <t>Q9NZJ9-2_NUDT4</t>
  </si>
  <si>
    <t>Q9NZL4_HSPBP1</t>
  </si>
  <si>
    <t>Q9NZL9_MAT2B</t>
  </si>
  <si>
    <t>Q9NZM1-6_MYOF</t>
  </si>
  <si>
    <t>Q9NZM3-2_ITSN2</t>
  </si>
  <si>
    <t>Q9NZM4-2_GLTSCR1</t>
  </si>
  <si>
    <t>Q9NZN3_EHD3</t>
  </si>
  <si>
    <t>Q9NZN4_EHD2</t>
  </si>
  <si>
    <t>Q9NZN5_ARHGEF12</t>
  </si>
  <si>
    <t>Q9NZN8_CNOT2</t>
  </si>
  <si>
    <t>Q9NZQ3-3_NCKIPSD</t>
  </si>
  <si>
    <t>Q9NZT2-2_OGFR</t>
  </si>
  <si>
    <t>Q9NZU0_FLRT3</t>
  </si>
  <si>
    <t>Q9NZU5_LMCD1</t>
  </si>
  <si>
    <t>Q9NZV1_CRIM1</t>
  </si>
  <si>
    <t>Q9NZW5_MPP6</t>
  </si>
  <si>
    <t>Q9NZZ3_CHMP5</t>
  </si>
  <si>
    <t>Q9P000_COMMD9</t>
  </si>
  <si>
    <t>Q9P013_CWC15</t>
  </si>
  <si>
    <t>Q9P016_THYN1</t>
  </si>
  <si>
    <t>Q9P021_CRIPT</t>
  </si>
  <si>
    <t>Q9P0J7_KCMF1</t>
  </si>
  <si>
    <t>Q9P0K7_RAI14</t>
  </si>
  <si>
    <t>Q9P0L0_VAPA</t>
  </si>
  <si>
    <t>Q9P0M6_H2AFY2</t>
  </si>
  <si>
    <t>Q9P0N9-3_TBC1D7</t>
  </si>
  <si>
    <t>Q9P0P0_RNF181</t>
  </si>
  <si>
    <t>Q9P0P8_C6orf203</t>
  </si>
  <si>
    <t>Q9P0R6_GSKIP</t>
  </si>
  <si>
    <t>Q9P0S2_COX16</t>
  </si>
  <si>
    <t>Q9P0U4_CXXC1</t>
  </si>
  <si>
    <t>Q9P0V3_SH3BP4</t>
  </si>
  <si>
    <t>Q9P1F3_ABRACL</t>
  </si>
  <si>
    <t>Q9P1U0_ZNRD1</t>
  </si>
  <si>
    <t>Q9P1V8_SAMD15</t>
  </si>
  <si>
    <t>Q9P1Y5_CAMSAP3</t>
  </si>
  <si>
    <t>Q9P1Z0_ZBTB4</t>
  </si>
  <si>
    <t>Q9P1Z2-2_CALCOCO1</t>
  </si>
  <si>
    <t>Q9P203_BTBD7</t>
  </si>
  <si>
    <t>Q9P206-2_KIAA1522</t>
  </si>
  <si>
    <t>Q9P219_CCDC88C</t>
  </si>
  <si>
    <t>Q9P253_VPS18</t>
  </si>
  <si>
    <t>Q9P258_RCC2</t>
  </si>
  <si>
    <t>Q9P260_KIAA1468</t>
  </si>
  <si>
    <t>Q9P260-2_KIAA1468</t>
  </si>
  <si>
    <t>Q9P265_DIP2B</t>
  </si>
  <si>
    <t>Q9P266_KIAA1462</t>
  </si>
  <si>
    <t>Q9P270_SLAIN2</t>
  </si>
  <si>
    <t>Q9P275_USP36</t>
  </si>
  <si>
    <t>Q9P287_BCCIP</t>
  </si>
  <si>
    <t>Q9P287-2_BCCIP</t>
  </si>
  <si>
    <t>Q9P289_MST4</t>
  </si>
  <si>
    <t>Q9P299_COPZ2</t>
  </si>
  <si>
    <t>Q9P2B2_PTGFRN</t>
  </si>
  <si>
    <t>Q9P2B4_CTTNBP2NL</t>
  </si>
  <si>
    <t>Q9P2B7-2_KIAA1430</t>
  </si>
  <si>
    <t>Q9P2D3-3_HEATR5B</t>
  </si>
  <si>
    <t>Q9P2D6-3_FAM135A</t>
  </si>
  <si>
    <t>Q9P2D7-5_DNAH1</t>
  </si>
  <si>
    <t>Q9P2E3_ZNFX1</t>
  </si>
  <si>
    <t>Q9P2E9_RRBP1</t>
  </si>
  <si>
    <t>Q9P2G1_ANKIB1</t>
  </si>
  <si>
    <t>Q9P2H5_USP35</t>
  </si>
  <si>
    <t>Q9P2I0_CPSF2</t>
  </si>
  <si>
    <t>Q9P2J5_LARS</t>
  </si>
  <si>
    <t>Q9P2K3-4_RCOR3</t>
  </si>
  <si>
    <t>Q9P2K5-2_MYEF2</t>
  </si>
  <si>
    <t>Q9P2K6_KLHL42</t>
  </si>
  <si>
    <t>Q9P2K8-2_EIF2AK4</t>
  </si>
  <si>
    <t>Q9P2M4_TBC1D14</t>
  </si>
  <si>
    <t>Q9P2M7_CGN</t>
  </si>
  <si>
    <t>Q9P2N5_RBM27</t>
  </si>
  <si>
    <t>Q9P2N6-3_KANSL3</t>
  </si>
  <si>
    <t>Q9P2R3_ANKFY1</t>
  </si>
  <si>
    <t>Q9P2R6_RERE</t>
  </si>
  <si>
    <t>Q9P2W1_PSMC3IP</t>
  </si>
  <si>
    <t>Q9P2X3_IMPACT</t>
  </si>
  <si>
    <t>Q9P2Y5_UVRAG</t>
  </si>
  <si>
    <t>Q9UBB4_ATXN10</t>
  </si>
  <si>
    <t>Q9UBB5_MBD2</t>
  </si>
  <si>
    <t>Q9UBB6_NCDN</t>
  </si>
  <si>
    <t>Q9UBC2-2_EPS15L1</t>
  </si>
  <si>
    <t>Q9UBD5_ORC3</t>
  </si>
  <si>
    <t>Q9UBE0_SAE1</t>
  </si>
  <si>
    <t>Q9UBF2_COPG2</t>
  </si>
  <si>
    <t>Q9UBF6_RNF7</t>
  </si>
  <si>
    <t>Q9UBF8-2_PI4KB</t>
  </si>
  <si>
    <t>Q9UBG0_MRC2</t>
  </si>
  <si>
    <t>Q9UBI1_COMMD3</t>
  </si>
  <si>
    <t>Q9UBI6_GNG12</t>
  </si>
  <si>
    <t>Q9UBK8-2_MTRR</t>
  </si>
  <si>
    <t>Q9UBK9_UXT</t>
  </si>
  <si>
    <t>Q9UBL3-3_ASH2L</t>
  </si>
  <si>
    <t>Q9UBN6_TNFRSF10D</t>
  </si>
  <si>
    <t>Q9UBP0-3_SPAST</t>
  </si>
  <si>
    <t>Q9UBP6_METTL1</t>
  </si>
  <si>
    <t>Q9UBP9-4_GULP1</t>
  </si>
  <si>
    <t>Q9UBQ0_VPS29</t>
  </si>
  <si>
    <t>Q9UBQ7_GRHPR</t>
  </si>
  <si>
    <t>Q9UBR2_CTSZ</t>
  </si>
  <si>
    <t>Q9UBS0_RPS6KB2</t>
  </si>
  <si>
    <t>Q9UBS4_DNAJB11</t>
  </si>
  <si>
    <t>Q9UBS8_RNF14</t>
  </si>
  <si>
    <t>Q9UBT2_UBA2</t>
  </si>
  <si>
    <t>Q9UBT7-2_CTNNAL1</t>
  </si>
  <si>
    <t>Q9UBU9_NXF1</t>
  </si>
  <si>
    <t>Q9UBV8_PEF1</t>
  </si>
  <si>
    <t>Q9UBW7_ZMYM2</t>
  </si>
  <si>
    <t>Q9UBW8_COPS7A</t>
  </si>
  <si>
    <t>Q9UBZ4_APEX2</t>
  </si>
  <si>
    <t>Q9UDT6_CLIP2</t>
  </si>
  <si>
    <t>Q9UDX3-2_SEC14L4</t>
  </si>
  <si>
    <t>Q9UDY2-3_TJP2</t>
  </si>
  <si>
    <t>Q9UDY4_DNAJB4</t>
  </si>
  <si>
    <t>Q9UDY8_MALT1</t>
  </si>
  <si>
    <t>Q9UEE9_CFDP1</t>
  </si>
  <si>
    <t>Q9UEG4_ZNF629</t>
  </si>
  <si>
    <t>Q9UER7-3_DAXX</t>
  </si>
  <si>
    <t>Q9UET6-2_FTSJ1</t>
  </si>
  <si>
    <t>Q9UEU0_VTI1B</t>
  </si>
  <si>
    <t>Q9UEW8_STK39</t>
  </si>
  <si>
    <t>Q9UEY8-2_ADD3</t>
  </si>
  <si>
    <t>Q9UF56_FBXL17</t>
  </si>
  <si>
    <t>Q9UFC0_LRWD1</t>
  </si>
  <si>
    <t>Q9UFG5_C19orf25</t>
  </si>
  <si>
    <t>Q9UFM8_DKFZp566H1924</t>
  </si>
  <si>
    <t>Q9UFN0_NIPSNAP3A</t>
  </si>
  <si>
    <t>Q9UFW8_CGGBP1</t>
  </si>
  <si>
    <t>Q9UG63_ABCF2</t>
  </si>
  <si>
    <t>Q9UGC7_MTRF1L</t>
  </si>
  <si>
    <t>Q9UGI8_TES</t>
  </si>
  <si>
    <t>Q9UGI8-2_TES</t>
  </si>
  <si>
    <t>Q9UGJ0-2_PRKAG2</t>
  </si>
  <si>
    <t>Q9UGK8_SERGEF</t>
  </si>
  <si>
    <t>Q9UGP4_LIMD1</t>
  </si>
  <si>
    <t>Q9UGT4_SUSD2</t>
  </si>
  <si>
    <t>Q9UGU0-2_TCF20</t>
  </si>
  <si>
    <t>Q9UGV2_NDRG3</t>
  </si>
  <si>
    <t>Q9UH62_ARMCX3</t>
  </si>
  <si>
    <t>Q9UH65_SWAP70</t>
  </si>
  <si>
    <t>Q9UH92-2_MLX</t>
  </si>
  <si>
    <t>Q9UHA3_RSL24D1</t>
  </si>
  <si>
    <t>Q9UHA4-2_LAMTOR3</t>
  </si>
  <si>
    <t>Q9UHB6_LIMA1</t>
  </si>
  <si>
    <t>Q9UHB7_AFF4</t>
  </si>
  <si>
    <t>Q9UHB9_SRP68</t>
  </si>
  <si>
    <t>Q9UHD1_CHORDC1</t>
  </si>
  <si>
    <t>Q9UHD2_TBK1</t>
  </si>
  <si>
    <t>Q9UHD8_SEPT9</t>
  </si>
  <si>
    <t>Q9UHD9_UBQLN2</t>
  </si>
  <si>
    <t>Q9UHG0_DCDC2</t>
  </si>
  <si>
    <t>Q9UHI6_DDX20</t>
  </si>
  <si>
    <t>Q9UHJ3-2_SFMBT1</t>
  </si>
  <si>
    <t>Q9UHJ6_SHPK</t>
  </si>
  <si>
    <t>Q9UHL4_DPP7</t>
  </si>
  <si>
    <t>Q9UHN1_POLG2</t>
  </si>
  <si>
    <t>Q9UHN6-2_TMEM2</t>
  </si>
  <si>
    <t>Q9UHP3_USP25</t>
  </si>
  <si>
    <t>Q9UHQ1-4_NARF</t>
  </si>
  <si>
    <t>Q9UHR4_BAIAP2L1</t>
  </si>
  <si>
    <t>Q9UHR6_ZNHIT2</t>
  </si>
  <si>
    <t>Q9UHV9_PFDN2</t>
  </si>
  <si>
    <t>Q9UHW5_GPN3</t>
  </si>
  <si>
    <t>Q9UHX1-4_PUF60</t>
  </si>
  <si>
    <t>Q9UHY1_NRBP1</t>
  </si>
  <si>
    <t>Q9UHY7_ENOPH1</t>
  </si>
  <si>
    <t>Q9UHY8_FEZ2</t>
  </si>
  <si>
    <t>Q9UI08_EVL</t>
  </si>
  <si>
    <t>Q9UI10_EIF2B4</t>
  </si>
  <si>
    <t>Q9UI10-3_EIF2B4</t>
  </si>
  <si>
    <t>Q9UI12-2_ATP6V1H</t>
  </si>
  <si>
    <t>Q9UI26_IPO11</t>
  </si>
  <si>
    <t>Q9UI30_TRMT112</t>
  </si>
  <si>
    <t>Q9UIA9_XPO7</t>
  </si>
  <si>
    <t>Q9UIC8_LCMT1</t>
  </si>
  <si>
    <t>Q9UID3_VPS51</t>
  </si>
  <si>
    <t>Q9UID6_ZNF639</t>
  </si>
  <si>
    <t>Q9UIF8-4_BAZ2B</t>
  </si>
  <si>
    <t>Q9UIG0-2_BAZ1B</t>
  </si>
  <si>
    <t>Q9UII2_ATPIF1</t>
  </si>
  <si>
    <t>Q9UIJ7_AK3</t>
  </si>
  <si>
    <t>Q9UIL1-3_SCOC</t>
  </si>
  <si>
    <t>Q9UIM3_FKBPL</t>
  </si>
  <si>
    <t>Q9UIV1-2_CNOT7</t>
  </si>
  <si>
    <t>Q9UJ41_RABGEF1</t>
  </si>
  <si>
    <t>Q9UJ68-2_MSRA</t>
  </si>
  <si>
    <t>Q9UJ70-2_NAGK</t>
  </si>
  <si>
    <t>Q9UJA5_TRMT6</t>
  </si>
  <si>
    <t>Q9UJJ2_ZNF280C</t>
  </si>
  <si>
    <t>Q9UJK0_TSR3</t>
  </si>
  <si>
    <t>Q9UJM3_ERRFI1</t>
  </si>
  <si>
    <t>Q9UJU6_DBNL</t>
  </si>
  <si>
    <t>Q9UJU6-2_DBNL</t>
  </si>
  <si>
    <t>Q9UJV9_DDX41</t>
  </si>
  <si>
    <t>Q9UJW0_DCTN4</t>
  </si>
  <si>
    <t>Q9UJX0-2_OSGIN1</t>
  </si>
  <si>
    <t>Q9UJX2-3_CDC23</t>
  </si>
  <si>
    <t>Q9UJX3-2_ANAPC7</t>
  </si>
  <si>
    <t>Q9UJX5_ANAPC4</t>
  </si>
  <si>
    <t>Q9UJX6_ANAPC2</t>
  </si>
  <si>
    <t>Q9UJY1_HSPB8</t>
  </si>
  <si>
    <t>Q9UJY4_GGA2</t>
  </si>
  <si>
    <t>Q9UJY5-4_GGA1</t>
  </si>
  <si>
    <t>Q9UK22_FBXO2</t>
  </si>
  <si>
    <t>Q9UK33_ZNF580</t>
  </si>
  <si>
    <t>Q9UK41_VPS28</t>
  </si>
  <si>
    <t>Q9UK59_DBR1</t>
  </si>
  <si>
    <t>Q9UK61-3_FAM208A</t>
  </si>
  <si>
    <t>Q9UK73_FEM1B</t>
  </si>
  <si>
    <t>Q9UK76_HN1</t>
  </si>
  <si>
    <t>Q9UK99_FBXO3</t>
  </si>
  <si>
    <t>Q9UKA4_AKAP11</t>
  </si>
  <si>
    <t>Q9UKA8_RCAN3</t>
  </si>
  <si>
    <t>Q9UKA9_PTBP2</t>
  </si>
  <si>
    <t>Q9UKB1-2_FBXW11</t>
  </si>
  <si>
    <t>Q9UKB3_DNAJC12</t>
  </si>
  <si>
    <t>Q9UKD2_MRTO4</t>
  </si>
  <si>
    <t>Q9UKE5-8_TNIK</t>
  </si>
  <si>
    <t>Q9UKF6_CPSF3</t>
  </si>
  <si>
    <t>Q9UKG1_APPL1</t>
  </si>
  <si>
    <t>Q9UKG9_CROT</t>
  </si>
  <si>
    <t>Q9UKI8_TLK1</t>
  </si>
  <si>
    <t>Q9UKJ3_GPATCH8</t>
  </si>
  <si>
    <t>Q9UKK3_PARP4</t>
  </si>
  <si>
    <t>Q9UKK6_NXT1</t>
  </si>
  <si>
    <t>Q9UKK9_NUDT5</t>
  </si>
  <si>
    <t>Q9UKL3_CASP8AP2</t>
  </si>
  <si>
    <t>Q9UKL6_PCTP</t>
  </si>
  <si>
    <t>Q9UKN8_GTF3C4</t>
  </si>
  <si>
    <t>Q9UKS6_PACSIN3</t>
  </si>
  <si>
    <t>Q9UKT4-2_FBXO5</t>
  </si>
  <si>
    <t>Q9UKT5_FBXO4</t>
  </si>
  <si>
    <t>Q9UKU7_ACAD8</t>
  </si>
  <si>
    <t>Q9UKV8_AGO2</t>
  </si>
  <si>
    <t>Q9UKX7_NUP50</t>
  </si>
  <si>
    <t>Q9UKY7_CDV3</t>
  </si>
  <si>
    <t>Q9UKZ1_CNOT11</t>
  </si>
  <si>
    <t>Q9UL15_BAG5</t>
  </si>
  <si>
    <t>Q9UL25_RAB21</t>
  </si>
  <si>
    <t>Q9UL26_RAB22A</t>
  </si>
  <si>
    <t>Q9UL33-2_TRAPPC2L</t>
  </si>
  <si>
    <t>Q9UL42_PNMA2</t>
  </si>
  <si>
    <t>Q9UL46_PSME2</t>
  </si>
  <si>
    <t>Q9UL51_HCN2</t>
  </si>
  <si>
    <t>Q9UL63_MKLN1</t>
  </si>
  <si>
    <t>Q9ULA0_DNPEP</t>
  </si>
  <si>
    <t>Q9ULC3_RAB23</t>
  </si>
  <si>
    <t>Q9ULC4_MCTS1</t>
  </si>
  <si>
    <t>Q9ULD2_MTUS1</t>
  </si>
  <si>
    <t>Q9ULD5_ZNF777</t>
  </si>
  <si>
    <t>Q9ULE0_WWC3</t>
  </si>
  <si>
    <t>Q9ULE6_PALD1</t>
  </si>
  <si>
    <t>Q9ULF5_SLC39A10</t>
  </si>
  <si>
    <t>Q9ULH0-5_KIDINS220</t>
  </si>
  <si>
    <t>Q9ULH1_ASAP1</t>
  </si>
  <si>
    <t>Q9ULH7-4_MKL2</t>
  </si>
  <si>
    <t>Q9ULJ3-2_ZBTB21</t>
  </si>
  <si>
    <t>Q9ULJ6_ZMIZ1</t>
  </si>
  <si>
    <t>Q9ULJ7_ANKRD50</t>
  </si>
  <si>
    <t>Q9ULJ8-4_PPP1R9A</t>
  </si>
  <si>
    <t>Q9ULK4-4_MED23</t>
  </si>
  <si>
    <t>Q9ULL5-3_PRR12</t>
  </si>
  <si>
    <t>Q9ULM6_CNOT6</t>
  </si>
  <si>
    <t>Q9ULP9-2_TBC1D24</t>
  </si>
  <si>
    <t>Q9ULR0_ISY1</t>
  </si>
  <si>
    <t>Q9ULR3_PPM1H</t>
  </si>
  <si>
    <t>Q9ULT8_HECTD1</t>
  </si>
  <si>
    <t>Q9ULV0_MYO5B</t>
  </si>
  <si>
    <t>Q9ULV3-5_CIZ1</t>
  </si>
  <si>
    <t>Q9ULV4_CORO1C</t>
  </si>
  <si>
    <t>Q9ULW0_TPX2</t>
  </si>
  <si>
    <t>Q9ULX3_NOB1</t>
  </si>
  <si>
    <t>Q9ULX6_AKAP8L</t>
  </si>
  <si>
    <t>Q9ULX9-2_MAFF</t>
  </si>
  <si>
    <t>Q9ULZ3_PYCARD</t>
  </si>
  <si>
    <t>Q9UM11-3_FZR1</t>
  </si>
  <si>
    <t>Q9UM13_ANAPC10</t>
  </si>
  <si>
    <t>Q9UM22_EPDR1</t>
  </si>
  <si>
    <t>Q9UM54-6_MYO6</t>
  </si>
  <si>
    <t>Q9UM82_SPATA2</t>
  </si>
  <si>
    <t>Q9UMN6_WBP7</t>
  </si>
  <si>
    <t>Q9UMR2_DDX19B</t>
  </si>
  <si>
    <t>Q9UMS0-3_NFU1</t>
  </si>
  <si>
    <t>Q9UMS4_PRPF19</t>
  </si>
  <si>
    <t>Q9UMS6_SYNPO2</t>
  </si>
  <si>
    <t>Q9UMX0_UBQLN1</t>
  </si>
  <si>
    <t>Q9UMX1_SUFU</t>
  </si>
  <si>
    <t>Q9UMX5_NENF</t>
  </si>
  <si>
    <t>Q9UMY1_NOL7</t>
  </si>
  <si>
    <t>Q9UMY4-2_SNX12</t>
  </si>
  <si>
    <t>Q9UMZ2_SYNRG</t>
  </si>
  <si>
    <t>Q9UN36-2_NDRG2</t>
  </si>
  <si>
    <t>Q9UN37_VPS4A</t>
  </si>
  <si>
    <t>Q9UN79_SOX13</t>
  </si>
  <si>
    <t>Q9UN86-2_G3BP2</t>
  </si>
  <si>
    <t>Q9UNA1-2_ARHGAP26</t>
  </si>
  <si>
    <t>Q9UNE7_STUB1</t>
  </si>
  <si>
    <t>Q9UNF0_PACSIN2</t>
  </si>
  <si>
    <t>Q9UNF1_MAGED2</t>
  </si>
  <si>
    <t>Q9UNH6-2_SNX7</t>
  </si>
  <si>
    <t>Q9UNH7_SNX6</t>
  </si>
  <si>
    <t>Q9UNI6_DUSP12</t>
  </si>
  <si>
    <t>Q9UNK0_STX8</t>
  </si>
  <si>
    <t>Q9UNM6_PSMD13</t>
  </si>
  <si>
    <t>Q9UNN5_FAF1</t>
  </si>
  <si>
    <t>Q9UNN8_PROCR</t>
  </si>
  <si>
    <t>Q9UNP9_PPIE</t>
  </si>
  <si>
    <t>Q9UNQ2_DIMT1</t>
  </si>
  <si>
    <t>Q9UNS1-2_TIMELESS</t>
  </si>
  <si>
    <t>Q9UNS2_COPS3</t>
  </si>
  <si>
    <t>Q9UNT1_RABL2B</t>
  </si>
  <si>
    <t>Q9UNW1_MINPP1</t>
  </si>
  <si>
    <t>Q9UNY4_TTF2</t>
  </si>
  <si>
    <t>Q9UNZ2_NSFL1C</t>
  </si>
  <si>
    <t>Q9UNZ5_C19orf53</t>
  </si>
  <si>
    <t>Q9UP83_COG5</t>
  </si>
  <si>
    <t>Q9UPM8_AP4E1</t>
  </si>
  <si>
    <t>Q9UPN4-3_AZI1</t>
  </si>
  <si>
    <t>Q9UPN6_SCAF8</t>
  </si>
  <si>
    <t>Q9UPN7_PPP6R1</t>
  </si>
  <si>
    <t>Q9UPN9_TRIM33</t>
  </si>
  <si>
    <t>Q9UPP1-4_PHF8</t>
  </si>
  <si>
    <t>Q9UPP5-2_KIAA1107</t>
  </si>
  <si>
    <t>Q9UPQ0-10_LIMCH1</t>
  </si>
  <si>
    <t>Q9UPQ0-6_LIMCH1</t>
  </si>
  <si>
    <t>Q9UPQ3_AGAP1</t>
  </si>
  <si>
    <t>Q9UPQ9-1_TNRC6B</t>
  </si>
  <si>
    <t>Q9UPR0_PLCL2</t>
  </si>
  <si>
    <t>Q9UPR3_SMG5</t>
  </si>
  <si>
    <t>Q9UPS8_ANKRD26</t>
  </si>
  <si>
    <t>Q9UPT5-6_EXOC7</t>
  </si>
  <si>
    <t>Q9UPT8_ZC3H4</t>
  </si>
  <si>
    <t>Q9UPT9-2_USP22</t>
  </si>
  <si>
    <t>Q9UPU5_USP24</t>
  </si>
  <si>
    <t>Q9UPU7_TBC1D2B</t>
  </si>
  <si>
    <t>Q9UPW5_AGTPBP1</t>
  </si>
  <si>
    <t>Q9UPX8-3_SHANK2</t>
  </si>
  <si>
    <t>Q9UPY3-2_DICER1</t>
  </si>
  <si>
    <t>Q9UPY8_MAPRE3</t>
  </si>
  <si>
    <t>Q9UPZ3-2_HPS5</t>
  </si>
  <si>
    <t>Q9UPZ6_THSD7A</t>
  </si>
  <si>
    <t>Q9UQ13-2_SHOC2</t>
  </si>
  <si>
    <t>Q9UQ35_SRRM2</t>
  </si>
  <si>
    <t>Q9UQ80_PA2G4</t>
  </si>
  <si>
    <t>Q9UQB8-3_BAIAP2</t>
  </si>
  <si>
    <t>Q9UQC2-2_GAB2</t>
  </si>
  <si>
    <t>Q9UQE7_SMC3</t>
  </si>
  <si>
    <t>Q9UQN3_CHMP2B</t>
  </si>
  <si>
    <t>Q9UQR0_SCML2</t>
  </si>
  <si>
    <t>Q9UQR1_ZNF148</t>
  </si>
  <si>
    <t>Q9Y217_MTMR6</t>
  </si>
  <si>
    <t>Q9Y223_GNE</t>
  </si>
  <si>
    <t>Q9Y224_C14orf166</t>
  </si>
  <si>
    <t>Q9Y230_RUVBL2</t>
  </si>
  <si>
    <t>Q9Y232-2_CDYL</t>
  </si>
  <si>
    <t>Q9Y237_PIN4</t>
  </si>
  <si>
    <t>Q9Y243-2_AKT3</t>
  </si>
  <si>
    <t>Q9Y244_POMP</t>
  </si>
  <si>
    <t>Q9Y248_GINS2</t>
  </si>
  <si>
    <t>Q9Y259_CHKB</t>
  </si>
  <si>
    <t>Q9Y262_EIF3L</t>
  </si>
  <si>
    <t>Q9Y263_PLAA</t>
  </si>
  <si>
    <t>Q9Y265_RUVBL1</t>
  </si>
  <si>
    <t>Q9Y266_NUDC</t>
  </si>
  <si>
    <t>Q9Y281_CFL2</t>
  </si>
  <si>
    <t>Q9Y285_FARSA</t>
  </si>
  <si>
    <t>Q9Y294_ASF1A</t>
  </si>
  <si>
    <t>Q9Y295_DRG1</t>
  </si>
  <si>
    <t>Q9Y296_TRAPPC4</t>
  </si>
  <si>
    <t>Q9Y2A7_NCKAP1</t>
  </si>
  <si>
    <t>Q9Y2B0_CNPY2</t>
  </si>
  <si>
    <t>Q9Y2D4_EXOC6B</t>
  </si>
  <si>
    <t>Q9Y2D5-6_AKAP2</t>
  </si>
  <si>
    <t>Q9Y2E4_DIP2C</t>
  </si>
  <si>
    <t>Q9Y2F5_KIAA0947</t>
  </si>
  <si>
    <t>Q9Y2G2-5_CARD8</t>
  </si>
  <si>
    <t>Q9Y2G5_POFUT2</t>
  </si>
  <si>
    <t>Q9Y2H0-3_DLGAP4</t>
  </si>
  <si>
    <t>Q9Y2H1_STK38L</t>
  </si>
  <si>
    <t>Q9Y2H2_INPP5F</t>
  </si>
  <si>
    <t>Q9Y2H5_PLEKHA6</t>
  </si>
  <si>
    <t>Q9Y2I1_NISCH</t>
  </si>
  <si>
    <t>Q9Y2I6_NINL</t>
  </si>
  <si>
    <t>Q9Y2I7_PIKFYVE</t>
  </si>
  <si>
    <t>Q9Y2I8_WDR37</t>
  </si>
  <si>
    <t>Q9Y2J4-2_AMOTL2</t>
  </si>
  <si>
    <t>Q9Y2K1-2_ZBTB1</t>
  </si>
  <si>
    <t>Q9Y2K7_KDM2A</t>
  </si>
  <si>
    <t>Q9Y2L1_DIS3</t>
  </si>
  <si>
    <t>Q9Y2L9-2_LRCH1</t>
  </si>
  <si>
    <t>Q9Y2Q3_GSTK1</t>
  </si>
  <si>
    <t>Q9Y2Q5_LAMTOR2</t>
  </si>
  <si>
    <t>Q9Y2Q9_MRPS28</t>
  </si>
  <si>
    <t>Q9Y2R4_DDX52</t>
  </si>
  <si>
    <t>Q9Y2R9_MRPS7</t>
  </si>
  <si>
    <t>Q9Y2S0_POLR1D</t>
  </si>
  <si>
    <t>Q9Y2S2-2_CRYL1</t>
  </si>
  <si>
    <t>Q9Y2S6_TMA7</t>
  </si>
  <si>
    <t>Q9Y2S7_POLDIP2</t>
  </si>
  <si>
    <t>Q9Y2T2_AP3M1</t>
  </si>
  <si>
    <t>Q9Y2T7_YBX2</t>
  </si>
  <si>
    <t>Q9Y2U5_MAP3K2</t>
  </si>
  <si>
    <t>Q9Y2U8_LEMD3</t>
  </si>
  <si>
    <t>Q9Y2U9_KLHDC2</t>
  </si>
  <si>
    <t>Q9Y2V2_CARHSP1</t>
  </si>
  <si>
    <t>Q9Y2V7_COG6</t>
  </si>
  <si>
    <t>Q9Y2W1_THRAP3</t>
  </si>
  <si>
    <t>Q9Y2X0-2_MED16</t>
  </si>
  <si>
    <t>Q9Y2X3_NOP58</t>
  </si>
  <si>
    <t>Q9Y2X7_GIT1</t>
  </si>
  <si>
    <t>Q9Y2Y1_POLR3K</t>
  </si>
  <si>
    <t>Q9Y2Y9_KLF13</t>
  </si>
  <si>
    <t>Q9Y2Z0_SUGT1</t>
  </si>
  <si>
    <t>Q9Y2Z4_YARS2</t>
  </si>
  <si>
    <t>Q9Y303_AMDHD2</t>
  </si>
  <si>
    <t>Q9Y305_ACOT9</t>
  </si>
  <si>
    <t>Q9Y312_AAR2</t>
  </si>
  <si>
    <t>Q9Y314_NOSIP</t>
  </si>
  <si>
    <t>Q9Y315_DERA</t>
  </si>
  <si>
    <t>Q9Y316_MEMO1</t>
  </si>
  <si>
    <t>Q9Y333_LSM2</t>
  </si>
  <si>
    <t>Q9Y371_SH3GLB1</t>
  </si>
  <si>
    <t>Q9Y376_CAB39</t>
  </si>
  <si>
    <t>Q9Y383_LUC7L2</t>
  </si>
  <si>
    <t>Q9Y399_MRPS2</t>
  </si>
  <si>
    <t>Q9Y3A3-3_MOB4</t>
  </si>
  <si>
    <t>Q9Y3A5_SBDS</t>
  </si>
  <si>
    <t>Q9Y3B4_SF3B14</t>
  </si>
  <si>
    <t>Q9Y3B9_RRP15</t>
  </si>
  <si>
    <t>Q9Y3C1_NOP16</t>
  </si>
  <si>
    <t>Q9Y3C4_TPRKB</t>
  </si>
  <si>
    <t>Q9Y3C6_PPIL1</t>
  </si>
  <si>
    <t>Q9Y3C8_UFC1</t>
  </si>
  <si>
    <t>Q9Y3D0_FAM96B</t>
  </si>
  <si>
    <t>Q9Y3D2_MSRB2</t>
  </si>
  <si>
    <t>Q9Y3D6_FIS1</t>
  </si>
  <si>
    <t>Q9Y3D8_TAF9</t>
  </si>
  <si>
    <t>Q9Y3D9_MRPS23</t>
  </si>
  <si>
    <t>Q9Y3E1_HDGFRP3</t>
  </si>
  <si>
    <t>Q9Y3E2_BOLA1</t>
  </si>
  <si>
    <t>Q9Y3E7_CHMP3</t>
  </si>
  <si>
    <t>Q9Y3F4_STRAP</t>
  </si>
  <si>
    <t>Q9Y3I0_C22orf28</t>
  </si>
  <si>
    <t>Q9Y3I1_FBXO7</t>
  </si>
  <si>
    <t>Q9Y3L3_SH3BP1</t>
  </si>
  <si>
    <t>Q9Y3L5_RAP2C</t>
  </si>
  <si>
    <t>Q9Y3M8-3_STARD13</t>
  </si>
  <si>
    <t>Q9Y3P9_RABGAP1</t>
  </si>
  <si>
    <t>Q9Y3Q8_TSC22D4</t>
  </si>
  <si>
    <t>Q9Y3R5-2_DOPEY2</t>
  </si>
  <si>
    <t>Q9Y3S2_ZNF330</t>
  </si>
  <si>
    <t>Q9Y3T6_R3HCC1</t>
  </si>
  <si>
    <t>Q9Y3T9_NOC2L</t>
  </si>
  <si>
    <t>Q9Y3U8_RPL36</t>
  </si>
  <si>
    <t>Q9Y3V2_RWDD3</t>
  </si>
  <si>
    <t>Q9Y3X0_CCDC9</t>
  </si>
  <si>
    <t>Q9Y3Y2-4_CHTOP</t>
  </si>
  <si>
    <t>Q9Y3Z3_SAMHD1</t>
  </si>
  <si>
    <t>Q9Y446_PKP3</t>
  </si>
  <si>
    <t>Q9Y448_KNSTRN</t>
  </si>
  <si>
    <t>Q9Y450-2_HBS1L</t>
  </si>
  <si>
    <t>Q9Y450-4_HBS1L</t>
  </si>
  <si>
    <t>Q9Y490_TLN1</t>
  </si>
  <si>
    <t>Q9Y496_KIF3A</t>
  </si>
  <si>
    <t>Q9Y4B4_RAD54L2</t>
  </si>
  <si>
    <t>Q9Y4B5_SOGA2</t>
  </si>
  <si>
    <t>Q9Y4B6-2_VPRBP</t>
  </si>
  <si>
    <t>Q9Y4C1_KDM3A</t>
  </si>
  <si>
    <t>Q9Y4C2-2_FAM115A</t>
  </si>
  <si>
    <t>Q9Y4C4_MFHAS1</t>
  </si>
  <si>
    <t>Q9Y4C8_RBM19</t>
  </si>
  <si>
    <t>Q9Y4E1-2_FAM21C</t>
  </si>
  <si>
    <t>Q9Y4E6-2_WDR7</t>
  </si>
  <si>
    <t>Q9Y4E8_USP15</t>
  </si>
  <si>
    <t>Q9Y4F1_FARP1</t>
  </si>
  <si>
    <t>Q9Y4F5_CEP170B</t>
  </si>
  <si>
    <t>Q9Y4G6_TLN2</t>
  </si>
  <si>
    <t>Q9Y4G8_RAPGEF2</t>
  </si>
  <si>
    <t>Q9Y4H2_IRS2</t>
  </si>
  <si>
    <t>Q9Y4I1-2_MYO5A</t>
  </si>
  <si>
    <t>Q9Y4K1_AIM1</t>
  </si>
  <si>
    <t>Q9Y4K3_TRAF6</t>
  </si>
  <si>
    <t>Q9Y4K4_MAP4K5</t>
  </si>
  <si>
    <t>Q9Y4P1-6_ATG4B</t>
  </si>
  <si>
    <t>Q9Y4P8-4_WIPI2</t>
  </si>
  <si>
    <t>Q9Y4R8_TELO2</t>
  </si>
  <si>
    <t>Q9Y4U1_MMACHC</t>
  </si>
  <si>
    <t>Q9Y4X5_ARIH1</t>
  </si>
  <si>
    <t>Q9Y4Z0_LSM4</t>
  </si>
  <si>
    <t>Q9Y508_RNF114</t>
  </si>
  <si>
    <t>Q9Y520-4_PRRC2C</t>
  </si>
  <si>
    <t>Q9Y546_LRRC42</t>
  </si>
  <si>
    <t>Q9Y547_HSPB11</t>
  </si>
  <si>
    <t>Q9Y570_PPME1</t>
  </si>
  <si>
    <t>Q9Y580_RBM7</t>
  </si>
  <si>
    <t>Q9Y597-2_KCTD3</t>
  </si>
  <si>
    <t>Q9Y5A7-2_NUB1</t>
  </si>
  <si>
    <t>Q9Y5A9_YTHDF2</t>
  </si>
  <si>
    <t>Q9Y5B0_CTDP1</t>
  </si>
  <si>
    <t>Q9Y5B6_PAXBP1</t>
  </si>
  <si>
    <t>Q9Y5B8-2_NME7</t>
  </si>
  <si>
    <t>Q9Y5B9_SUPT16H</t>
  </si>
  <si>
    <t>Q9Y5J1_UTP18</t>
  </si>
  <si>
    <t>Q9Y5J5_PHLDA3</t>
  </si>
  <si>
    <t>Q9Y5J7_TIMM9</t>
  </si>
  <si>
    <t>Q9Y5J9_TIMM8B</t>
  </si>
  <si>
    <t>Q9Y5K5-2_UCHL5</t>
  </si>
  <si>
    <t>Q9Y5K6_CD2AP</t>
  </si>
  <si>
    <t>Q9Y5K8_ATP6V1D</t>
  </si>
  <si>
    <t>Q9Y5L0_TNPO3</t>
  </si>
  <si>
    <t>Q9Y5L4_TIMM13</t>
  </si>
  <si>
    <t>Q9Y5N5-2_N6AMT1</t>
  </si>
  <si>
    <t>Q9Y5P4-2_COL4A3BP</t>
  </si>
  <si>
    <t>Q9Y5P6_GMPPB</t>
  </si>
  <si>
    <t>Q9Y5Q8_GTF3C5</t>
  </si>
  <si>
    <t>Q9Y5Q9_GTF3C3</t>
  </si>
  <si>
    <t>Q9Y5R8_TRAPPC1</t>
  </si>
  <si>
    <t>Q9Y5S2_CDC42BPB</t>
  </si>
  <si>
    <t>Q9Y5S9_RBM8A</t>
  </si>
  <si>
    <t>Q9Y5T5-2_USP16</t>
  </si>
  <si>
    <t>Q9Y5U2-2_TSSC4</t>
  </si>
  <si>
    <t>Q9Y5V0_ZNF706</t>
  </si>
  <si>
    <t>Q9Y5V3_MAGED1</t>
  </si>
  <si>
    <t>Q9Y5X1_SNX9</t>
  </si>
  <si>
    <t>Q9Y5X2_SNX8</t>
  </si>
  <si>
    <t>Q9Y5X3_SNX5</t>
  </si>
  <si>
    <t>Q9Y5Y0_FLVCR1</t>
  </si>
  <si>
    <t>Q9Y5Y2_NUBP2</t>
  </si>
  <si>
    <t>Q9Y5Z4_HEBP2</t>
  </si>
  <si>
    <t>Q9Y5Z7_HCFC2</t>
  </si>
  <si>
    <t>Q9Y605_MRFAP1</t>
  </si>
  <si>
    <t>Q9Y608-4_LRRFIP2</t>
  </si>
  <si>
    <t>Q9Y613_FHOD1</t>
  </si>
  <si>
    <t>Q9Y617_PSAT1</t>
  </si>
  <si>
    <t>Q9Y620_RAD54B</t>
  </si>
  <si>
    <t>Q9Y657_SPIN1</t>
  </si>
  <si>
    <t>Q9Y678_COPG1</t>
  </si>
  <si>
    <t>Q9Y680-3_FKBP7</t>
  </si>
  <si>
    <t>Q9Y692-2_GMEB1</t>
  </si>
  <si>
    <t>Q9Y696_CLIC4</t>
  </si>
  <si>
    <t>Q9Y697-2_NFS1</t>
  </si>
  <si>
    <t>Q9Y6A4_C16orf80</t>
  </si>
  <si>
    <t>Q9Y6A5_TACC3</t>
  </si>
  <si>
    <t>Q9Y6B6_SAR1B</t>
  </si>
  <si>
    <t>Q9Y6B7_AP4B1</t>
  </si>
  <si>
    <t>Q9Y6D5_ARFGEF2</t>
  </si>
  <si>
    <t>Q9Y6D6_ARFGEF1</t>
  </si>
  <si>
    <t>Q9Y6D9_MAD1L1</t>
  </si>
  <si>
    <t>Q9Y6E0-2_STK24</t>
  </si>
  <si>
    <t>Q9Y6G9_DYNC1LI1</t>
  </si>
  <si>
    <t>Q9Y6H1_CHCHD2</t>
  </si>
  <si>
    <t>Q9Y6I3_EPN1</t>
  </si>
  <si>
    <t>Q9Y6I9_TEX264</t>
  </si>
  <si>
    <t>Q9Y6J9_TAF6L</t>
  </si>
  <si>
    <t>Q9Y6K1-3_DNMT3A</t>
  </si>
  <si>
    <t>Q9Y6K5_OAS3</t>
  </si>
  <si>
    <t>Q9Y6K9_IKBKG</t>
  </si>
  <si>
    <t>Q9Y6M5_SLC30A1</t>
  </si>
  <si>
    <t>Q9Y6N5_SQRDL</t>
  </si>
  <si>
    <t>Q9Y6N7-5_ROBO1</t>
  </si>
  <si>
    <t>Q9Y6N9-5_USH1C</t>
  </si>
  <si>
    <t>Q9Y6Q6_TNFRSF11A</t>
  </si>
  <si>
    <t>Q9Y6Q9-5_NCOA3</t>
  </si>
  <si>
    <t>Q9Y6R0_NUMBL</t>
  </si>
  <si>
    <t>Q9Y6V7_DDX49</t>
  </si>
  <si>
    <t>Q9Y6W3_CAPN7</t>
  </si>
  <si>
    <t>Q9Y6W5_WASF2</t>
  </si>
  <si>
    <t>Q9Y6X5_ENPP4</t>
  </si>
  <si>
    <t>Q9Y6X8_ZHX2</t>
  </si>
  <si>
    <t>Q9Y6X9_MORC2</t>
  </si>
  <si>
    <t>Q9Y6Y0_IVNS1ABP</t>
  </si>
  <si>
    <t>R4GMN1_MOSPD2</t>
  </si>
  <si>
    <t>R4GMR5_PSMD8</t>
  </si>
  <si>
    <t>R4GMU8_LAMTOR5</t>
  </si>
  <si>
    <t>R4GMX3_BMI1</t>
  </si>
  <si>
    <t>R4GN55_YTHDF3</t>
  </si>
  <si>
    <t>R4GN62_PARD3B</t>
  </si>
  <si>
    <t>R4GN98_S100A6</t>
  </si>
  <si>
    <t>R4GNB2_DENND4C</t>
  </si>
  <si>
    <t>R4GND3_PHLDA1</t>
  </si>
  <si>
    <t>R4GNH3_PSMC3</t>
  </si>
  <si>
    <t>R4GNH4_FBXO44</t>
  </si>
  <si>
    <t>Melting_Curves/meltCurve_A0AVT1_UBA6.pdf</t>
  </si>
  <si>
    <t>Melting_Curves/meltCurve_A0JNW5_UHRF1BP1L.pdf</t>
  </si>
  <si>
    <t>Melting_Curves/meltCurve_A0MZ66_KIAA1598.pdf</t>
  </si>
  <si>
    <t>Melting_Curves/meltCurve_A1A4S6_ARHGAP10.pdf</t>
  </si>
  <si>
    <t>Melting_Curves/meltCurve_A1A5A9_KIAA0999.pdf</t>
  </si>
  <si>
    <t>Melting_Curves/meltCurve_A1L188_C17orf89.pdf</t>
  </si>
  <si>
    <t>Melting_Curves/meltCurve_A1L390_PLEKHG3.pdf</t>
  </si>
  <si>
    <t>Melting_Curves/meltCurve_A1X283_SH3PXD2B.pdf</t>
  </si>
  <si>
    <t>Melting_Curves/meltCurve_A2A2A7_PARD6B.pdf</t>
  </si>
  <si>
    <t>Melting_Curves/meltCurve_A2A3N6_PIPSL.pdf</t>
  </si>
  <si>
    <t>Melting_Curves/meltCurve_A2RTX5_2_TARSL2.pdf</t>
  </si>
  <si>
    <t>Melting_Curves/meltCurve_A2RUC4_TYW5.pdf</t>
  </si>
  <si>
    <t>Melting_Curves/meltCurve_A3KMH1_2_VWA8.pdf</t>
  </si>
  <si>
    <t>Melting_Curves/meltCurve_A3KN83_2_SBNO1.pdf</t>
  </si>
  <si>
    <t>Melting_Curves/meltCurve_A4D1E9_2_GTPBP10.pdf</t>
  </si>
  <si>
    <t>Melting_Curves/meltCurve_A4D1P6_2_WDR91.pdf</t>
  </si>
  <si>
    <t>Melting_Curves/meltCurve_A4D1S0_2_KLRG2.pdf</t>
  </si>
  <si>
    <t>Melting_Curves/meltCurve_A4D2B0_MBLAC1.pdf</t>
  </si>
  <si>
    <t>Melting_Curves/meltCurve_A5PLN9_2_TRAPPC13.pdf</t>
  </si>
  <si>
    <t>Melting_Curves/meltCurve_A5YKK6_CNOT1.pdf</t>
  </si>
  <si>
    <t>Melting_Curves/meltCurve_A6H8Y1_7_BDP1.pdf</t>
  </si>
  <si>
    <t>Melting_Curves/meltCurve_A6ND22_MRPS16.pdf</t>
  </si>
  <si>
    <t>Melting_Curves/meltCurve_A6ND36_FAM83G.pdf</t>
  </si>
  <si>
    <t>Melting_Curves/meltCurve_A6NDB9_PALM3.pdf</t>
  </si>
  <si>
    <t>Melting_Curves/meltCurve_A6NDG6_PGP.pdf</t>
  </si>
  <si>
    <t>Melting_Curves/meltCurve_A6NDU8_C5orf51.pdf</t>
  </si>
  <si>
    <t>Melting_Curves/meltCurve_A6NED2_RCCD1.pdf</t>
  </si>
  <si>
    <t>Melting_Curves/meltCurve_A6NF31_OFD1.pdf</t>
  </si>
  <si>
    <t>Melting_Curves/meltCurve_A6NF48_ZNF281.pdf</t>
  </si>
  <si>
    <t>Melting_Curves/meltCurve_A6NFI3_ZNF316.pdf</t>
  </si>
  <si>
    <t>Melting_Curves/meltCurve_A6NG32_CHMP1A.pdf</t>
  </si>
  <si>
    <t>Melting_Curves/meltCurve_A6NG64_C10orf11.pdf</t>
  </si>
  <si>
    <t>Melting_Curves/meltCurve_A6NG79_PRCC.pdf</t>
  </si>
  <si>
    <t>Melting_Curves/meltCurve_A6NGB9_WIPF3.pdf</t>
  </si>
  <si>
    <t>Melting_Curves/meltCurve_A6NGP5_HN1L.pdf</t>
  </si>
  <si>
    <t>Melting_Curves/meltCurve_A6NHL2_2_TUBAL3.pdf</t>
  </si>
  <si>
    <t>Melting_Curves/meltCurve_A6NHR9_SMCHD1.pdf</t>
  </si>
  <si>
    <t>Melting_Curves/meltCurve_A6NHX0_GATSL2.pdf</t>
  </si>
  <si>
    <t>Melting_Curves/meltCurve_A6NIH7_UNC119B.pdf</t>
  </si>
  <si>
    <t>Melting_Curves/meltCurve_A6NIX2_WTIP.pdf</t>
  </si>
  <si>
    <t>Melting_Curves/meltCurve_A6NIZ0_NDEL1.pdf</t>
  </si>
  <si>
    <t>Melting_Curves/meltCurve_A6NIZ6_ASXL1.pdf</t>
  </si>
  <si>
    <t>Melting_Curves/meltCurve_A6NJ78_2_METTL15.pdf</t>
  </si>
  <si>
    <t>Melting_Curves/meltCurve_A6NKD9_CCDC85C.pdf</t>
  </si>
  <si>
    <t>Melting_Curves/meltCurve_A6NML8_DIAPH2.pdf</t>
  </si>
  <si>
    <t>Melting_Curves/meltCurve_A6NN40_SHROOM1.pdf</t>
  </si>
  <si>
    <t>Melting_Curves/meltCurve_A6NNT2_C16orf96.pdf</t>
  </si>
  <si>
    <t>Melting_Curves/meltCurve_A6NNV6_ZWINT.pdf</t>
  </si>
  <si>
    <t>Melting_Curves/meltCurve_A6QL63_BTBD11.pdf</t>
  </si>
  <si>
    <t>Melting_Curves/meltCurve_A6ZKI3_FAM127A.pdf</t>
  </si>
  <si>
    <t>Melting_Curves/meltCurve_A7KAX9_ARHGAP32.pdf</t>
  </si>
  <si>
    <t>Melting_Curves/meltCurve_A7Y2D6_PYGO1.pdf</t>
  </si>
  <si>
    <t>Melting_Curves/meltCurve_A8CG34_2_POM121C.pdf</t>
  </si>
  <si>
    <t>Melting_Curves/meltCurve_A8CTX8_ITSN1.pdf</t>
  </si>
  <si>
    <t>Melting_Curves/meltCurve_A8MQB8_FMR1.pdf</t>
  </si>
  <si>
    <t>Melting_Curves/meltCurve_A8MTK3_POT1.pdf</t>
  </si>
  <si>
    <t>Melting_Curves/meltCurve_A8MTZ6_S100PBP.pdf</t>
  </si>
  <si>
    <t>Melting_Curves/meltCurve_A8MUB1_TUBA4A.pdf</t>
  </si>
  <si>
    <t>Melting_Curves/meltCurve_A8MVZ6_BICD1.pdf</t>
  </si>
  <si>
    <t>Melting_Curves/meltCurve_A8MWK3_CDH2.pdf</t>
  </si>
  <si>
    <t>Melting_Curves/meltCurve_A8MWR2_WIPF2.pdf</t>
  </si>
  <si>
    <t>Melting_Curves/meltCurve_A8MX75_ERCC2.pdf</t>
  </si>
  <si>
    <t>Melting_Curves/meltCurve_A8MXV4_NUDT19.pdf</t>
  </si>
  <si>
    <t>Melting_Curves/meltCurve_A9Z1X7_SRRM1.pdf</t>
  </si>
  <si>
    <t>Melting_Curves/meltCurve_B0FLL2_PFKFB2.pdf</t>
  </si>
  <si>
    <t>Melting_Curves/meltCurve_B0QXZ5_DNAL4.pdf</t>
  </si>
  <si>
    <t>Melting_Curves/meltCurve_B0QY74_MKL1.pdf</t>
  </si>
  <si>
    <t>Melting_Curves/meltCurve_B0QYI3_TBC1D22A.pdf</t>
  </si>
  <si>
    <t>Melting_Curves/meltCurve_B0S8A9_FLOT1.pdf</t>
  </si>
  <si>
    <t>Melting_Curves/meltCurve_B0UX83_BAG6.pdf</t>
  </si>
  <si>
    <t>Melting_Curves/meltCurve_B0UZY3_EHMT2.pdf</t>
  </si>
  <si>
    <t>Melting_Curves/meltCurve_B1AHQ7_CENPM.pdf</t>
  </si>
  <si>
    <t>Melting_Curves/meltCurve_B1AJY7_PSMD10.pdf</t>
  </si>
  <si>
    <t>Melting_Curves/meltCurve_B1AK13_HMGCL.pdf</t>
  </si>
  <si>
    <t>Melting_Curves/meltCurve_B1AKC7_RASAL2.pdf</t>
  </si>
  <si>
    <t>Melting_Curves/meltCurve_B1AKL4_EIF4ENIF1.pdf</t>
  </si>
  <si>
    <t>Melting_Curves/meltCurve_B1AKN7_NFIA.pdf</t>
  </si>
  <si>
    <t>Melting_Curves/meltCurve_B1AL69_CDC37L1.pdf</t>
  </si>
  <si>
    <t>Melting_Curves/meltCurve_B1AMU7_EXOSC1.pdf</t>
  </si>
  <si>
    <t>Melting_Curves/meltCurve_B1AN99_PRSS3.pdf</t>
  </si>
  <si>
    <t>Melting_Curves/meltCurve_B1ANH0_GUK1.pdf</t>
  </si>
  <si>
    <t>Melting_Curves/meltCurve_B1N949_PPFIA4.pdf</t>
  </si>
  <si>
    <t>Melting_Curves/meltCurve_B2R5P6_TXNRD1.pdf</t>
  </si>
  <si>
    <t>Melting_Curves/meltCurve_B2RTY4_5_MYO9A.pdf</t>
  </si>
  <si>
    <t>Melting_Curves/meltCurve_B3KNQ0_CCDC92.pdf</t>
  </si>
  <si>
    <t>Melting_Curves/meltCurve_B3KP87_MDS025.pdf</t>
  </si>
  <si>
    <t>Melting_Curves/meltCurve_B3KRS5_HDAC2.pdf</t>
  </si>
  <si>
    <t>Melting_Curves/meltCurve_B3KSI9_LZTFL1.pdf</t>
  </si>
  <si>
    <t>Melting_Curves/meltCurve_B3KUK2_SOD2.pdf</t>
  </si>
  <si>
    <t>Melting_Curves/meltCurve_B3KVH8_PHF23.pdf</t>
  </si>
  <si>
    <t>Melting_Curves/meltCurve_B3KVZ3_CENPH.pdf</t>
  </si>
  <si>
    <t>Melting_Curves/meltCurve_B3KWN8_PYROXD1.pdf</t>
  </si>
  <si>
    <t>Melting_Curves/meltCurve_B3KY83_RXRA.pdf</t>
  </si>
  <si>
    <t>Melting_Curves/meltCurve_B4DDF4_CNN2.pdf</t>
  </si>
  <si>
    <t>Melting_Curves/meltCurve_B4DDF9_ANXA4.pdf</t>
  </si>
  <si>
    <t>Melting_Curves/meltCurve_B4DDY8_HARS2.pdf</t>
  </si>
  <si>
    <t>Melting_Curves/meltCurve_B4DDZ0_MON1B.pdf</t>
  </si>
  <si>
    <t>Melting_Curves/meltCurve_B4DEK4_SNX2.pdf</t>
  </si>
  <si>
    <t>Melting_Curves/meltCurve_B4DGU4_CTNNB1.pdf</t>
  </si>
  <si>
    <t>Melting_Curves/meltCurve_B4DGX2_PIP4K2A.pdf</t>
  </si>
  <si>
    <t>Melting_Curves/meltCurve_B4DH42_HECW1.pdf</t>
  </si>
  <si>
    <t>Melting_Curves/meltCurve_B4DH53_MAP1S.pdf</t>
  </si>
  <si>
    <t>Melting_Curves/meltCurve_B4DJ25_NCOR1.pdf</t>
  </si>
  <si>
    <t>Melting_Curves/meltCurve_B4DJA5_RAB5A.pdf</t>
  </si>
  <si>
    <t>Melting_Curves/meltCurve_B4DJP7_SNRPD3.pdf</t>
  </si>
  <si>
    <t>Melting_Curves/meltCurve_B4DJV2_CS.pdf</t>
  </si>
  <si>
    <t>Melting_Curves/meltCurve_B4DJV5_PWP1.pdf</t>
  </si>
  <si>
    <t>Melting_Curves/meltCurve_B4DKF9_ZNF286A.pdf</t>
  </si>
  <si>
    <t>Melting_Curves/meltCurve_B4DKL4_LSR.pdf</t>
  </si>
  <si>
    <t>Melting_Curves/meltCurve_B4DL05_SHQ1.pdf</t>
  </si>
  <si>
    <t>Melting_Curves/meltCurve_B4DL14_ATP5C1.pdf</t>
  </si>
  <si>
    <t>Melting_Curves/meltCurve_B4DL54_CHURC1_FNTB.pdf</t>
  </si>
  <si>
    <t>Melting_Curves/meltCurve_B4DLE8_CRYBG3.pdf</t>
  </si>
  <si>
    <t>Melting_Curves/meltCurve_B4DLW8_DDX5.pdf</t>
  </si>
  <si>
    <t>Melting_Curves/meltCurve_B4DLZ9_RNF220.pdf</t>
  </si>
  <si>
    <t>Melting_Curves/meltCurve_B4DNX9_ZNF460.pdf</t>
  </si>
  <si>
    <t>Melting_Curves/meltCurve_B4DP21_PTGES3.pdf</t>
  </si>
  <si>
    <t>Melting_Curves/meltCurve_B4DPR4_MKRN2.pdf</t>
  </si>
  <si>
    <t>Melting_Curves/meltCurve_B4DPY5_SNX11.pdf</t>
  </si>
  <si>
    <t>Melting_Curves/meltCurve_B4DPY8_TOX4.pdf</t>
  </si>
  <si>
    <t>Melting_Curves/meltCurve_B4DQ14_EIF2A.pdf</t>
  </si>
  <si>
    <t>Melting_Curves/meltCurve_B4DQE7_HDAC8.pdf</t>
  </si>
  <si>
    <t>Melting_Curves/meltCurve_B4DQH9_RANBP10.pdf</t>
  </si>
  <si>
    <t>Melting_Curves/meltCurve_B4DQI6_TRA2A.pdf</t>
  </si>
  <si>
    <t>Melting_Curves/meltCurve_B4DQJ8_PGD.pdf</t>
  </si>
  <si>
    <t>Melting_Curves/meltCurve_B4DRL9_CHM.pdf</t>
  </si>
  <si>
    <t>Melting_Curves/meltCurve_B4DRM7_SIMC1.pdf</t>
  </si>
  <si>
    <t>Melting_Curves/meltCurve_B4DT77_ANXA7.pdf</t>
  </si>
  <si>
    <t>Melting_Curves/meltCurve_B4DTU4_LIG1.pdf</t>
  </si>
  <si>
    <t>Melting_Curves/meltCurve_B4DV96_RBKS.pdf</t>
  </si>
  <si>
    <t>Melting_Curves/meltCurve_B4DVE7_ANXA11.pdf</t>
  </si>
  <si>
    <t>Melting_Curves/meltCurve_B4DVY1_EIF3D.pdf</t>
  </si>
  <si>
    <t>Melting_Curves/meltCurve_B4DWW1_ARL1.pdf</t>
  </si>
  <si>
    <t>Melting_Curves/meltCurve_B4DX32_KIN.pdf</t>
  </si>
  <si>
    <t>Melting_Curves/meltCurve_B4DXZ6_FXR1.pdf</t>
  </si>
  <si>
    <t>Melting_Curves/meltCurve_B4DYB4_NUP35.pdf</t>
  </si>
  <si>
    <t>Melting_Curves/meltCurve_B4DZH6_HDAC6.pdf</t>
  </si>
  <si>
    <t>Melting_Curves/meltCurve_B4E0G4_PHF6.pdf</t>
  </si>
  <si>
    <t>Melting_Curves/meltCurve_B4E0T7_LRCH3.pdf</t>
  </si>
  <si>
    <t>Melting_Curves/meltCurve_B4E1K7_STOML2.pdf</t>
  </si>
  <si>
    <t>Melting_Curves/meltCurve_B4E1M0_MSANTD2.pdf</t>
  </si>
  <si>
    <t>Melting_Curves/meltCurve_B4E1N6_RAF1.pdf</t>
  </si>
  <si>
    <t>Melting_Curves/meltCurve_B4E1Q4_RIOK3.pdf</t>
  </si>
  <si>
    <t>Melting_Curves/meltCurve_B4E241_SFRS3.pdf</t>
  </si>
  <si>
    <t>Melting_Curves/meltCurve_B4E2S7_LAMP2.pdf</t>
  </si>
  <si>
    <t>Melting_Curves/meltCurve_B4E2W0_HADHB.pdf</t>
  </si>
  <si>
    <t>Melting_Curves/meltCurve_B4E2X3_METTL13.pdf</t>
  </si>
  <si>
    <t>Melting_Curves/meltCurve_B5MCF9_PES1.pdf</t>
  </si>
  <si>
    <t>Melting_Curves/meltCurve_B5MCT7_PPM1F.pdf</t>
  </si>
  <si>
    <t>Melting_Curves/meltCurve_B5MCU0_R3HDM2.pdf</t>
  </si>
  <si>
    <t>Melting_Curves/meltCurve_B5MEB3_CABIN1.pdf</t>
  </si>
  <si>
    <t>Melting_Curves/meltCurve_B7WP27_CWC22.pdf</t>
  </si>
  <si>
    <t>Melting_Curves/meltCurve_B7Z254_PDIA6.pdf</t>
  </si>
  <si>
    <t>Melting_Curves/meltCurve_B7Z2G1_KLHL22.pdf</t>
  </si>
  <si>
    <t>Melting_Curves/meltCurve_B7Z2S5_TXNRD1.pdf</t>
  </si>
  <si>
    <t>Melting_Curves/meltCurve_B7Z2T3_TTC26.pdf</t>
  </si>
  <si>
    <t>Melting_Curves/meltCurve_B7Z2X9_ENO2.pdf</t>
  </si>
  <si>
    <t>Melting_Curves/meltCurve_B7Z2Y2_COG2.pdf</t>
  </si>
  <si>
    <t>Melting_Curves/meltCurve_B7Z367_ZNF346.pdf</t>
  </si>
  <si>
    <t>Melting_Curves/meltCurve_B7Z3I9_ALAD.pdf</t>
  </si>
  <si>
    <t>Melting_Curves/meltCurve_B7Z3P1_TBCE.pdf</t>
  </si>
  <si>
    <t>Melting_Curves/meltCurve_B7Z3Y2_PCYOX1.pdf</t>
  </si>
  <si>
    <t>Melting_Curves/meltCurve_B7Z4K6_DNASE2.pdf</t>
  </si>
  <si>
    <t>Melting_Curves/meltCurve_B7Z4R0_ERF.pdf</t>
  </si>
  <si>
    <t>Melting_Curves/meltCurve_B7Z5G4_STMN3.pdf</t>
  </si>
  <si>
    <t>Melting_Curves/meltCurve_B7Z652_RPL7L1.pdf</t>
  </si>
  <si>
    <t>Melting_Curves/meltCurve_B7Z6B8_DECR1.pdf</t>
  </si>
  <si>
    <t>Melting_Curves/meltCurve_B7Z6J6_TRIML2.pdf</t>
  </si>
  <si>
    <t>Melting_Curves/meltCurve_B7Z755_MLLT3.pdf</t>
  </si>
  <si>
    <t>Melting_Curves/meltCurve_B7Z7J3_AMN1.pdf</t>
  </si>
  <si>
    <t>Melting_Curves/meltCurve_B7Z7U4_NTRK3.pdf</t>
  </si>
  <si>
    <t>Melting_Curves/meltCurve_B7Z815_USP7.pdf</t>
  </si>
  <si>
    <t>Melting_Curves/meltCurve_B7Z848_RFX5.pdf</t>
  </si>
  <si>
    <t>Melting_Curves/meltCurve_B7Z9U0_CNOT8.pdf</t>
  </si>
  <si>
    <t>Melting_Curves/meltCurve_B7Z9X4_NDRG4.pdf</t>
  </si>
  <si>
    <t>Melting_Curves/meltCurve_B7ZAX5_GALK2.pdf</t>
  </si>
  <si>
    <t>Melting_Curves/meltCurve_B7ZKK9_PPP2R5E.pdf</t>
  </si>
  <si>
    <t>Melting_Curves/meltCurve_B7ZKP8_UBXN2A.pdf</t>
  </si>
  <si>
    <t>Melting_Curves/meltCurve_B7ZKT6_SOS2.pdf</t>
  </si>
  <si>
    <t>Melting_Curves/meltCurve_B7ZLQ8_CPEB4.pdf</t>
  </si>
  <si>
    <t>Melting_Curves/meltCurve_B7ZM82_WIZ.pdf</t>
  </si>
  <si>
    <t>Melting_Curves/meltCurve_B8X2Z3_RLTPR.pdf</t>
  </si>
  <si>
    <t>Melting_Curves/meltCurve_B8ZZF8_LSM5.pdf</t>
  </si>
  <si>
    <t>Melting_Curves/meltCurve_B8ZZJ9_EIF4E2.pdf</t>
  </si>
  <si>
    <t>Melting_Curves/meltCurve_B8ZZK4_RPL31.pdf</t>
  </si>
  <si>
    <t>Melting_Curves/meltCurve_B8ZZQ6_PTMA.pdf</t>
  </si>
  <si>
    <t>Melting_Curves/meltCurve_B8ZZT4_VAMP8.pdf</t>
  </si>
  <si>
    <t>Melting_Curves/meltCurve_B9A018_USP39.pdf</t>
  </si>
  <si>
    <t>Melting_Curves/meltCurve_B9A047_ASB1.pdf</t>
  </si>
  <si>
    <t>Melting_Curves/meltCurve_C4AMC7_WASH3P.pdf</t>
  </si>
  <si>
    <t>Melting_Curves/meltCurve_C9IZE4_PSMD6.pdf</t>
  </si>
  <si>
    <t>Melting_Curves/meltCurve_C9J0I9_ZC3HC1.pdf</t>
  </si>
  <si>
    <t>Melting_Curves/meltCurve_C9J0J7_PFN2.pdf</t>
  </si>
  <si>
    <t>Melting_Curves/meltCurve_C9J0K6_SRI.pdf</t>
  </si>
  <si>
    <t>Melting_Curves/meltCurve_C9J0V9_ZNF655.pdf</t>
  </si>
  <si>
    <t>Melting_Curves/meltCurve_C9J191_KLHL22.pdf</t>
  </si>
  <si>
    <t>Melting_Curves/meltCurve_C9J212_UBE2F.pdf</t>
  </si>
  <si>
    <t>Melting_Curves/meltCurve_C9J2U0_CCNE1.pdf</t>
  </si>
  <si>
    <t>Melting_Curves/meltCurve_C9J2Y9_POLR2B.pdf</t>
  </si>
  <si>
    <t>Melting_Curves/meltCurve_C9J366_IQCJ_SCHIP1.pdf</t>
  </si>
  <si>
    <t>Melting_Curves/meltCurve_C9J384_CMSS1.pdf</t>
  </si>
  <si>
    <t>Melting_Curves/meltCurve_C9J406_IMMT.pdf</t>
  </si>
  <si>
    <t>Melting_Curves/meltCurve_C9J4W5_EIF5A2.pdf</t>
  </si>
  <si>
    <t>Melting_Curves/meltCurve_C9J5C3_PDCD10.pdf</t>
  </si>
  <si>
    <t>Melting_Curves/meltCurve_C9J5X1_IGF1R.pdf</t>
  </si>
  <si>
    <t>Melting_Curves/meltCurve_C9J5X9_FANCB.pdf</t>
  </si>
  <si>
    <t>Melting_Curves/meltCurve_C9J710_CEP70.pdf</t>
  </si>
  <si>
    <t>Melting_Curves/meltCurve_C9J712_PFN2.pdf</t>
  </si>
  <si>
    <t>Melting_Curves/meltCurve_C9J718_KRIT1.pdf</t>
  </si>
  <si>
    <t>Melting_Curves/meltCurve_C9J7H8_LDHB.pdf</t>
  </si>
  <si>
    <t>Melting_Curves/meltCurve_C9J9K3_RPSA.pdf</t>
  </si>
  <si>
    <t>Melting_Curves/meltCurve_C9JA69_BBX.pdf</t>
  </si>
  <si>
    <t>Melting_Curves/meltCurve_C9JAX1_FXN.pdf</t>
  </si>
  <si>
    <t>Melting_Curves/meltCurve_C9JB13_BSDC1.pdf</t>
  </si>
  <si>
    <t>Melting_Curves/meltCurve_C9JBM0_NFE2L2.pdf</t>
  </si>
  <si>
    <t>Melting_Curves/meltCurve_C9JCN8_FOSL2.pdf</t>
  </si>
  <si>
    <t>Melting_Curves/meltCurve_C9JDG0_DIAPH3.pdf</t>
  </si>
  <si>
    <t>Melting_Curves/meltCurve_C9JE98_NCOR2.pdf</t>
  </si>
  <si>
    <t>Melting_Curves/meltCurve_C9JEV0_AZGP1.pdf</t>
  </si>
  <si>
    <t>Melting_Curves/meltCurve_C9JEZ4_CDC42EP3.pdf</t>
  </si>
  <si>
    <t>Melting_Curves/meltCurve_C9JF58_OSCP1.pdf</t>
  </si>
  <si>
    <t>Melting_Curves/meltCurve_C9JFE4_GPS1.pdf</t>
  </si>
  <si>
    <t>Melting_Curves/meltCurve_C9JFK9_BAG3.pdf</t>
  </si>
  <si>
    <t>Melting_Curves/meltCurve_C9JG15_ATAD2B.pdf</t>
  </si>
  <si>
    <t>Melting_Curves/meltCurve_C9JG87_MRPL39.pdf</t>
  </si>
  <si>
    <t>Melting_Curves/meltCurve_C9JG97_AAMP.pdf</t>
  </si>
  <si>
    <t>Melting_Curves/meltCurve_C9JIS1_GNB2.pdf</t>
  </si>
  <si>
    <t>Melting_Curves/meltCurve_C9JKT3_PDK1.pdf</t>
  </si>
  <si>
    <t>Melting_Curves/meltCurve_C9JLU1_POLR2H.pdf</t>
  </si>
  <si>
    <t>Melting_Curves/meltCurve_C9JLV4_APAF1.pdf</t>
  </si>
  <si>
    <t>Melting_Curves/meltCurve_C9JMH6_SERPINF2.pdf</t>
  </si>
  <si>
    <t>Melting_Curves/meltCurve_C9JNE2_OARD1.pdf</t>
  </si>
  <si>
    <t>Melting_Curves/meltCurve_C9JNI7_HSPBP1.pdf</t>
  </si>
  <si>
    <t>Melting_Curves/meltCurve_C9JNT3_GSTK1.pdf</t>
  </si>
  <si>
    <t>Melting_Curves/meltCurve_C9JNU9_USP4.pdf</t>
  </si>
  <si>
    <t>Melting_Curves/meltCurve_C9JP00_MBNL1.pdf</t>
  </si>
  <si>
    <t>Melting_Curves/meltCurve_C9JP16_CRTAP.pdf</t>
  </si>
  <si>
    <t>Melting_Curves/meltCurve_C9JPC9_USP42.pdf</t>
  </si>
  <si>
    <t>Melting_Curves/meltCurve_C9JPP2_NKIRAS2.pdf</t>
  </si>
  <si>
    <t>Melting_Curves/meltCurve_C9JQ41_CCDC58.pdf</t>
  </si>
  <si>
    <t>Melting_Curves/meltCurve_C9JQB1_NME6.pdf</t>
  </si>
  <si>
    <t>Melting_Curves/meltCurve_C9JQQ5_ATL2.pdf</t>
  </si>
  <si>
    <t>Melting_Curves/meltCurve_C9JQV0_C7orf50.pdf</t>
  </si>
  <si>
    <t>Melting_Curves/meltCurve_C9JQV3_STK11IP.pdf</t>
  </si>
  <si>
    <t>Melting_Curves/meltCurve_C9JRV0_RNF13.pdf</t>
  </si>
  <si>
    <t>Melting_Curves/meltCurve_C9JRZ8_2_AKR1B15.pdf</t>
  </si>
  <si>
    <t>Melting_Curves/meltCurve_C9JW69_RCC1.pdf</t>
  </si>
  <si>
    <t>Melting_Curves/meltCurve_C9JWL4_AP4M1.pdf</t>
  </si>
  <si>
    <t>Melting_Curves/meltCurve_C9JXB8_RPL24.pdf</t>
  </si>
  <si>
    <t>Melting_Curves/meltCurve_C9JXK0_LBR.pdf</t>
  </si>
  <si>
    <t>Melting_Curves/meltCurve_C9JXK9_LPP.pdf</t>
  </si>
  <si>
    <t>Melting_Curves/meltCurve_C9JYM0_POP7.pdf</t>
  </si>
  <si>
    <t>Melting_Curves/meltCurve_C9JYP6_.pdf</t>
  </si>
  <si>
    <t>Melting_Curves/meltCurve_C9JYQ9_RPL22L1.pdf</t>
  </si>
  <si>
    <t>Melting_Curves/meltCurve_C9JYY6_NRCAM.pdf</t>
  </si>
  <si>
    <t>Melting_Curves/meltCurve_C9JZY6_UBE2H.pdf</t>
  </si>
  <si>
    <t>Melting_Curves/meltCurve_D3DQV9_EIF4G2.pdf</t>
  </si>
  <si>
    <t>Melting_Curves/meltCurve_D3DUE0_FAM100A.pdf</t>
  </si>
  <si>
    <t>Melting_Curves/meltCurve_D3DUE4_ANKS3.pdf</t>
  </si>
  <si>
    <t>Melting_Curves/meltCurve_D3K174_SLC4A7.pdf</t>
  </si>
  <si>
    <t>Melting_Curves/meltCurve_D3YHP0_CXADR.pdf</t>
  </si>
  <si>
    <t>Melting_Curves/meltCurve_D3YTB1_RPL32.pdf</t>
  </si>
  <si>
    <t>Melting_Curves/meltCurve_D3YTE0_KRI1.pdf</t>
  </si>
  <si>
    <t>Melting_Curves/meltCurve_D3YTG6_NDOR1.pdf</t>
  </si>
  <si>
    <t>Melting_Curves/meltCurve_D6R966_CXXC5.pdf</t>
  </si>
  <si>
    <t>Melting_Curves/meltCurve_D6R992_RELB.pdf</t>
  </si>
  <si>
    <t>Melting_Curves/meltCurve_D6R9D6_RBM47.pdf</t>
  </si>
  <si>
    <t>Melting_Curves/meltCurve_D6R9U7_POLR3G.pdf</t>
  </si>
  <si>
    <t>Melting_Curves/meltCurve_D6R9V3_CC2D2A.pdf</t>
  </si>
  <si>
    <t>Melting_Curves/meltCurve_D6RB01_FAM169A.pdf</t>
  </si>
  <si>
    <t>Melting_Curves/meltCurve_D6RBC4_ZBTB38.pdf</t>
  </si>
  <si>
    <t>Melting_Curves/meltCurve_D6RBN5_OCIAD1.pdf</t>
  </si>
  <si>
    <t>Melting_Curves/meltCurve_D6RBV2_LMAN2.pdf</t>
  </si>
  <si>
    <t>Melting_Curves/meltCurve_D6RC23_PACRGL.pdf</t>
  </si>
  <si>
    <t>Melting_Curves/meltCurve_D6RC56_AADAT.pdf</t>
  </si>
  <si>
    <t>Melting_Curves/meltCurve_D6RDG4_POC5.pdf</t>
  </si>
  <si>
    <t>Melting_Curves/meltCurve_D6RDM1_CCDC111.pdf</t>
  </si>
  <si>
    <t>Melting_Curves/meltCurve_D6RDX3_ATG10.pdf</t>
  </si>
  <si>
    <t>Melting_Curves/meltCurve_D6REA0_PET112.pdf</t>
  </si>
  <si>
    <t>Melting_Curves/meltCurve_D6REX3_SEC31A.pdf</t>
  </si>
  <si>
    <t>Melting_Curves/meltCurve_D6RGI3_SEPT11.pdf</t>
  </si>
  <si>
    <t>Melting_Curves/meltCurve_D6RHC4_ANKHD1.pdf</t>
  </si>
  <si>
    <t>Melting_Curves/meltCurve_D6RHD3_CENPK.pdf</t>
  </si>
  <si>
    <t>Melting_Curves/meltCurve_D6RHI7_CCNH.pdf</t>
  </si>
  <si>
    <t>Melting_Curves/meltCurve_D6RHI9_RNASET2.pdf</t>
  </si>
  <si>
    <t>Melting_Curves/meltCurve_D6RHJ6_IGJ.pdf</t>
  </si>
  <si>
    <t>Melting_Curves/meltCurve_D6RJ90_COMMD10.pdf</t>
  </si>
  <si>
    <t>Melting_Curves/meltCurve_D6W5P0_DMTF1.pdf</t>
  </si>
  <si>
    <t>Melting_Curves/meltCurve_E2QRD4_MMS22L.pdf</t>
  </si>
  <si>
    <t>Melting_Curves/meltCurve_E2QRD5_C15orf38_AP3S2.pdf</t>
  </si>
  <si>
    <t>Melting_Curves/meltCurve_E2QRF9_GMNN.pdf</t>
  </si>
  <si>
    <t>Melting_Curves/meltCurve_E5RFJ1_NSMCE2.pdf</t>
  </si>
  <si>
    <t>Melting_Curves/meltCurve_E5RG13_IMPA1.pdf</t>
  </si>
  <si>
    <t>Melting_Curves/meltCurve_E5RGQ3_RWDD1.pdf</t>
  </si>
  <si>
    <t>Melting_Curves/meltCurve_E5RGX5_STMN2.pdf</t>
  </si>
  <si>
    <t>Melting_Curves/meltCurve_E5RHG8_TCEB1.pdf</t>
  </si>
  <si>
    <t>Melting_Curves/meltCurve_E5RIH5_TTI2.pdf</t>
  </si>
  <si>
    <t>Melting_Curves/meltCurve_E5RJ29_PSD3.pdf</t>
  </si>
  <si>
    <t>Melting_Curves/meltCurve_E5RJ52_AP3M2.pdf</t>
  </si>
  <si>
    <t>Melting_Curves/meltCurve_E5RJ99_ZFAND1.pdf</t>
  </si>
  <si>
    <t>Melting_Curves/meltCurve_E5RJR5_SKP1.pdf</t>
  </si>
  <si>
    <t>Melting_Curves/meltCurve_E5RJU9_MTDH.pdf</t>
  </si>
  <si>
    <t>Melting_Curves/meltCurve_E7EM64_COPS6.pdf</t>
  </si>
  <si>
    <t>Melting_Curves/meltCurve_E7EMB8_PTPN18.pdf</t>
  </si>
  <si>
    <t>Melting_Curves/meltCurve_E7EMC3_EPN2.pdf</t>
  </si>
  <si>
    <t>Melting_Curves/meltCurve_E7EMM4_ASAH1.pdf</t>
  </si>
  <si>
    <t>Melting_Curves/meltCurve_E7EMW7_UBR5.pdf</t>
  </si>
  <si>
    <t>Melting_Curves/meltCurve_E7EMZ9_TACC2.pdf</t>
  </si>
  <si>
    <t>Melting_Curves/meltCurve_E7EN68_SETMAR.pdf</t>
  </si>
  <si>
    <t>Melting_Curves/meltCurve_E7ENA9_NCSTN.pdf</t>
  </si>
  <si>
    <t>Melting_Curves/meltCurve_E7ENK0_CALCOCO2.pdf</t>
  </si>
  <si>
    <t>Melting_Curves/meltCurve_E7EP86_.pdf</t>
  </si>
  <si>
    <t>Melting_Curves/meltCurve_E7EPB3_RPL14.pdf</t>
  </si>
  <si>
    <t>Melting_Curves/meltCurve_E7EPD0_TOM1.pdf</t>
  </si>
  <si>
    <t>Melting_Curves/meltCurve_E7EPI0_IBTK.pdf</t>
  </si>
  <si>
    <t>Melting_Curves/meltCurve_E7EPL4_PDXDC1.pdf</t>
  </si>
  <si>
    <t>Melting_Curves/meltCurve_E7EPS8_PTPRM.pdf</t>
  </si>
  <si>
    <t>Melting_Curves/meltCurve_E7EQ69_NAA50.pdf</t>
  </si>
  <si>
    <t>Melting_Curves/meltCurve_E7EQT4_ACIN1.pdf</t>
  </si>
  <si>
    <t>Melting_Curves/meltCurve_E7EQY4_MTA3.pdf</t>
  </si>
  <si>
    <t>Melting_Curves/meltCurve_E7ER32_MKL1.pdf</t>
  </si>
  <si>
    <t>Melting_Curves/meltCurve_E7ER68_FAM91A1.pdf</t>
  </si>
  <si>
    <t>Melting_Curves/meltCurve_E7ERB7_GMIP.pdf</t>
  </si>
  <si>
    <t>Melting_Curves/meltCurve_E7ERL6_MAST2.pdf</t>
  </si>
  <si>
    <t>Melting_Curves/meltCurve_E7ERR0_KLHDC3.pdf</t>
  </si>
  <si>
    <t>Melting_Curves/meltCurve_E7ES08_HMGB3.pdf</t>
  </si>
  <si>
    <t>Melting_Curves/meltCurve_E7ES35_TTC38.pdf</t>
  </si>
  <si>
    <t>Melting_Curves/meltCurve_E7ESD5_EYA4.pdf</t>
  </si>
  <si>
    <t>Melting_Curves/meltCurve_E7ET15_U2SURP.pdf</t>
  </si>
  <si>
    <t>Melting_Curves/meltCurve_E7ET33_ITIH3.pdf</t>
  </si>
  <si>
    <t>Melting_Curves/meltCurve_E7ET89_DTX2.pdf</t>
  </si>
  <si>
    <t>Melting_Curves/meltCurve_E7ET96_TNIP1.pdf</t>
  </si>
  <si>
    <t>Melting_Curves/meltCurve_E7ETR5_ACSM3.pdf</t>
  </si>
  <si>
    <t>Melting_Curves/meltCurve_E7ETU5_RBMS1.pdf</t>
  </si>
  <si>
    <t>Melting_Curves/meltCurve_E7ETU9_PLOD2.pdf</t>
  </si>
  <si>
    <t>Melting_Curves/meltCurve_E7ETZ4_BZW2.pdf</t>
  </si>
  <si>
    <t>Melting_Curves/meltCurve_E7EU35_PITPNC1.pdf</t>
  </si>
  <si>
    <t>Melting_Curves/meltCurve_E7EU96_CSNK2A1.pdf</t>
  </si>
  <si>
    <t>Melting_Curves/meltCurve_E7EUC6_NAV3.pdf</t>
  </si>
  <si>
    <t>Melting_Curves/meltCurve_E7EUI8_G6PD.pdf</t>
  </si>
  <si>
    <t>Melting_Curves/meltCurve_E7EUM5_NUP54.pdf</t>
  </si>
  <si>
    <t>Melting_Curves/meltCurve_E7EUU4_EIF4G1.pdf</t>
  </si>
  <si>
    <t>Melting_Curves/meltCurve_E7EUY3_PCCB.pdf</t>
  </si>
  <si>
    <t>Melting_Curves/meltCurve_E7EV62_ARFGAP1.pdf</t>
  </si>
  <si>
    <t>Melting_Curves/meltCurve_E7EVA0_MAP4.pdf</t>
  </si>
  <si>
    <t>Melting_Curves/meltCurve_E7EVG6_PPRC1.pdf</t>
  </si>
  <si>
    <t>Melting_Curves/meltCurve_E7EVH9_HDHD1.pdf</t>
  </si>
  <si>
    <t>Melting_Curves/meltCurve_E7EVJ5_CYFIP2.pdf</t>
  </si>
  <si>
    <t>Melting_Curves/meltCurve_E7EVY7_POR.pdf</t>
  </si>
  <si>
    <t>Melting_Curves/meltCurve_E7EVZ3_RAI1.pdf</t>
  </si>
  <si>
    <t>Melting_Curves/meltCurve_E7EW69_SEPT10.pdf</t>
  </si>
  <si>
    <t>Melting_Curves/meltCurve_E7EW80_PPIL2.pdf</t>
  </si>
  <si>
    <t>Melting_Curves/meltCurve_E7EW84_EXOC6.pdf</t>
  </si>
  <si>
    <t>Melting_Curves/meltCurve_E7EWC2_IQGAP2.pdf</t>
  </si>
  <si>
    <t>Melting_Curves/meltCurve_E7EX44_CALD1.pdf</t>
  </si>
  <si>
    <t>Melting_Curves/meltCurve_E7EX48_NEK4.pdf</t>
  </si>
  <si>
    <t>Melting_Curves/meltCurve_E7EX73_EIF4G1.pdf</t>
  </si>
  <si>
    <t>Melting_Curves/meltCurve_E7EX87_SARS2.pdf</t>
  </si>
  <si>
    <t>Melting_Curves/meltCurve_E9PAU2_RAVER1.pdf</t>
  </si>
  <si>
    <t>Melting_Curves/meltCurve_E9PAV9_GPATCH4.pdf</t>
  </si>
  <si>
    <t>Melting_Curves/meltCurve_E9PAX8_PPHLN1.pdf</t>
  </si>
  <si>
    <t>Melting_Curves/meltCurve_E9PB14_PDHX.pdf</t>
  </si>
  <si>
    <t>Melting_Curves/meltCurve_E9PB61_ALYREF.pdf</t>
  </si>
  <si>
    <t>Melting_Curves/meltCurve_E9PB90_HK2.pdf</t>
  </si>
  <si>
    <t>Melting_Curves/meltCurve_E9PBS1_PAICS.pdf</t>
  </si>
  <si>
    <t>Melting_Curves/meltCurve_E9PC26_BUB1.pdf</t>
  </si>
  <si>
    <t>Melting_Curves/meltCurve_E9PC74_EIF2B5.pdf</t>
  </si>
  <si>
    <t>Melting_Curves/meltCurve_E9PCH4_FNIP1.pdf</t>
  </si>
  <si>
    <t>Melting_Curves/meltCurve_E9PCX8_TNS3.pdf</t>
  </si>
  <si>
    <t>Melting_Curves/meltCurve_E9PD90_CKAP2.pdf</t>
  </si>
  <si>
    <t>Melting_Curves/meltCurve_E9PDK2_UNKL.pdf</t>
  </si>
  <si>
    <t>Melting_Curves/meltCurve_E9PDP5_ANKHD1.pdf</t>
  </si>
  <si>
    <t>Melting_Curves/meltCurve_E9PE82_ACADS.pdf</t>
  </si>
  <si>
    <t>Melting_Curves/meltCurve_E9PEG3_AR.pdf</t>
  </si>
  <si>
    <t>Melting_Curves/meltCurve_E9PEK0_HMGXB3.pdf</t>
  </si>
  <si>
    <t>Melting_Curves/meltCurve_E9PER6_PDPK1.pdf</t>
  </si>
  <si>
    <t>Melting_Curves/meltCurve_E9PEZ3_DIAPH1.pdf</t>
  </si>
  <si>
    <t>Melting_Curves/meltCurve_E9PF10_NUP155.pdf</t>
  </si>
  <si>
    <t>Melting_Curves/meltCurve_E9PF16_ACSF2.pdf</t>
  </si>
  <si>
    <t>Melting_Curves/meltCurve_E9PF99_CEP192.pdf</t>
  </si>
  <si>
    <t>Melting_Curves/meltCurve_E9PFR3_PPP2R5D.pdf</t>
  </si>
  <si>
    <t>Melting_Curves/meltCurve_E9PFU9_ZFAND2B.pdf</t>
  </si>
  <si>
    <t>Melting_Curves/meltCurve_E9PG22_CEP97.pdf</t>
  </si>
  <si>
    <t>Melting_Curves/meltCurve_E9PG40_APP.pdf</t>
  </si>
  <si>
    <t>Melting_Curves/meltCurve_E9PGF5_TNS1.pdf</t>
  </si>
  <si>
    <t>Melting_Curves/meltCurve_E9PGT1_TSN.pdf</t>
  </si>
  <si>
    <t>Melting_Curves/meltCurve_E9PGW7_MED22.pdf</t>
  </si>
  <si>
    <t>Melting_Curves/meltCurve_E9PH29_PRDX3.pdf</t>
  </si>
  <si>
    <t>Melting_Curves/meltCurve_E9PHK0_CLEC3B.pdf</t>
  </si>
  <si>
    <t>Melting_Curves/meltCurve_E9PHM2_LARS2.pdf</t>
  </si>
  <si>
    <t>Melting_Curves/meltCurve_E9PHV5_SSFA2.pdf</t>
  </si>
  <si>
    <t>Melting_Curves/meltCurve_E9PIB1_HLA_DQB1.pdf</t>
  </si>
  <si>
    <t>Melting_Curves/meltCurve_E9PJ04_SF3B2.pdf</t>
  </si>
  <si>
    <t>Melting_Curves/meltCurve_E9PJ24_PHRF1.pdf</t>
  </si>
  <si>
    <t>Melting_Curves/meltCurve_E9PJ81_UBXN1.pdf</t>
  </si>
  <si>
    <t>Melting_Curves/meltCurve_E9PJD7_CYHR1.pdf</t>
  </si>
  <si>
    <t>Melting_Curves/meltCurve_E9PJF5_BRMS1.pdf</t>
  </si>
  <si>
    <t>Melting_Curves/meltCurve_E9PJK4_ARHGAP42.pdf</t>
  </si>
  <si>
    <t>Melting_Curves/meltCurve_E9PJN1_RPS6KA4.pdf</t>
  </si>
  <si>
    <t>Melting_Curves/meltCurve_E9PJP2_SOGA3.pdf</t>
  </si>
  <si>
    <t>Melting_Curves/meltCurve_E9PJV3_RPUSD4.pdf</t>
  </si>
  <si>
    <t>Melting_Curves/meltCurve_E9PKD1_TOR1AIP1.pdf</t>
  </si>
  <si>
    <t>Melting_Curves/meltCurve_E9PKG1_PRMT1.pdf</t>
  </si>
  <si>
    <t>Melting_Curves/meltCurve_E9PKV8_TTC9C.pdf</t>
  </si>
  <si>
    <t>Melting_Curves/meltCurve_E9PL10_BTF3L4.pdf</t>
  </si>
  <si>
    <t>Melting_Curves/meltCurve_E9PL22_HYOU1.pdf</t>
  </si>
  <si>
    <t>Melting_Curves/meltCurve_E9PL24_PDE4DIP.pdf</t>
  </si>
  <si>
    <t>Melting_Curves/meltCurve_E9PL57_NEDD8_MDP1.pdf</t>
  </si>
  <si>
    <t>Melting_Curves/meltCurve_E9PLD2_MTFR1L.pdf</t>
  </si>
  <si>
    <t>Melting_Curves/meltCurve_E9PLD3_.pdf</t>
  </si>
  <si>
    <t>Melting_Curves/meltCurve_E9PLK3_NPEPPS.pdf</t>
  </si>
  <si>
    <t>Melting_Curves/meltCurve_E9PLL6_RPL27A.pdf</t>
  </si>
  <si>
    <t>Melting_Curves/meltCurve_E9PLX2_RNF141.pdf</t>
  </si>
  <si>
    <t>Melting_Curves/meltCurve_E9PLY5_MACF1.pdf</t>
  </si>
  <si>
    <t>Melting_Curves/meltCurve_E9PM46_USP47.pdf</t>
  </si>
  <si>
    <t>Melting_Curves/meltCurve_E9PM92_C11orf58.pdf</t>
  </si>
  <si>
    <t>Melting_Curves/meltCurve_E9PMB9_ME3.pdf</t>
  </si>
  <si>
    <t>Melting_Curves/meltCurve_E9PMH5_BIRC2.pdf</t>
  </si>
  <si>
    <t>Melting_Curves/meltCurve_E9PMI6_CLNS1A.pdf</t>
  </si>
  <si>
    <t>Melting_Curves/meltCurve_E9PMJ2_FAM118B.pdf</t>
  </si>
  <si>
    <t>Melting_Curves/meltCurve_E9PMQ6_HSF1.pdf</t>
  </si>
  <si>
    <t>Melting_Curves/meltCurve_E9PMS6_LMO7.pdf</t>
  </si>
  <si>
    <t>Melting_Curves/meltCurve_E9PN20_ZNF595.pdf</t>
  </si>
  <si>
    <t>Melting_Curves/meltCurve_E9PNJ4_STIM1.pdf</t>
  </si>
  <si>
    <t>Melting_Curves/meltCurve_E9PNW4_CD59.pdf</t>
  </si>
  <si>
    <t>Melting_Curves/meltCurve_E9PQ47_ZFPL1.pdf</t>
  </si>
  <si>
    <t>Melting_Curves/meltCurve_E9PR30_FAU.pdf</t>
  </si>
  <si>
    <t>Melting_Curves/meltCurve_E9PR76_MAF1.pdf</t>
  </si>
  <si>
    <t>Melting_Curves/meltCurve_E9PRI4_RPS6KA1.pdf</t>
  </si>
  <si>
    <t>Melting_Curves/meltCurve_E9PS84_.pdf</t>
  </si>
  <si>
    <t>Melting_Curves/meltCurve_E9PSF2_STIL.pdf</t>
  </si>
  <si>
    <t>Melting_Curves/meltCurve_E9PSH2_CD55.pdf</t>
  </si>
  <si>
    <t>Melting_Curves/meltCurve_F2Z2V1_FGGY.pdf</t>
  </si>
  <si>
    <t>Melting_Curves/meltCurve_F2Z2X4_XPO4.pdf</t>
  </si>
  <si>
    <t>Melting_Curves/meltCurve_F2ZC08_TRIP6i3.pdf</t>
  </si>
  <si>
    <t>Melting_Curves/meltCurve_F5GWA7_PHB2.pdf</t>
  </si>
  <si>
    <t>Melting_Curves/meltCurve_F5GWD3_GTF2H3.pdf</t>
  </si>
  <si>
    <t>Melting_Curves/meltCurve_F5GWF3_C1RL.pdf</t>
  </si>
  <si>
    <t>Melting_Curves/meltCurve_F5GWI9_CCDC53.pdf</t>
  </si>
  <si>
    <t>Melting_Curves/meltCurve_F5GWN5_PIK3C2B.pdf</t>
  </si>
  <si>
    <t>Melting_Curves/meltCurve_F5GWP8_JUP.pdf</t>
  </si>
  <si>
    <t>Melting_Curves/meltCurve_F5GWT4_WNK1.pdf</t>
  </si>
  <si>
    <t>Melting_Curves/meltCurve_F5GWU7_SMAD5.pdf</t>
  </si>
  <si>
    <t>Melting_Curves/meltCurve_F5GX09_FAM76B.pdf</t>
  </si>
  <si>
    <t>Melting_Curves/meltCurve_F5GX82_FRYL.pdf</t>
  </si>
  <si>
    <t>Melting_Curves/meltCurve_F5GXC8_SUCLA2.pdf</t>
  </si>
  <si>
    <t>Melting_Curves/meltCurve_F5GXC9_LTBP4.pdf</t>
  </si>
  <si>
    <t>Melting_Curves/meltCurve_F5GXE4_ATE1.pdf</t>
  </si>
  <si>
    <t>Melting_Curves/meltCurve_F5GXE7_LTBR.pdf</t>
  </si>
  <si>
    <t>Melting_Curves/meltCurve_F5GXQ1_ITIH4.pdf</t>
  </si>
  <si>
    <t>Melting_Curves/meltCurve_F5GXS0_C4B.pdf</t>
  </si>
  <si>
    <t>Melting_Curves/meltCurve_F5GXY5_SASS6.pdf</t>
  </si>
  <si>
    <t>Melting_Curves/meltCurve_F5GY03_SPARC.pdf</t>
  </si>
  <si>
    <t>Melting_Curves/meltCurve_F5GY11_STARD10.pdf</t>
  </si>
  <si>
    <t>Melting_Curves/meltCurve_F5GYE8_CEP112.pdf</t>
  </si>
  <si>
    <t>Melting_Curves/meltCurve_F5GYJ5_.pdf</t>
  </si>
  <si>
    <t>Melting_Curves/meltCurve_F5GYK4_TK2.pdf</t>
  </si>
  <si>
    <t>Melting_Curves/meltCurve_F5GZ78_PXN.pdf</t>
  </si>
  <si>
    <t>Melting_Curves/meltCurve_F5GZ90_DTL.pdf</t>
  </si>
  <si>
    <t>Melting_Curves/meltCurve_F5GZY0_APLP2.pdf</t>
  </si>
  <si>
    <t>Melting_Curves/meltCurve_F5H012_TRIM21.pdf</t>
  </si>
  <si>
    <t>Melting_Curves/meltCurve_F5H0B0_TPD52.pdf</t>
  </si>
  <si>
    <t>Melting_Curves/meltCurve_F5H0C4_PAAF1.pdf</t>
  </si>
  <si>
    <t>Melting_Curves/meltCurve_F5H0I7_TDG.pdf</t>
  </si>
  <si>
    <t>Melting_Curves/meltCurve_F5H0K8_KSR1.pdf</t>
  </si>
  <si>
    <t>Melting_Curves/meltCurve_F5H0L8_SEC23IP.pdf</t>
  </si>
  <si>
    <t>Melting_Curves/meltCurve_F5H0Q6_CLASRP.pdf</t>
  </si>
  <si>
    <t>Melting_Curves/meltCurve_F5H148_RRN3.pdf</t>
  </si>
  <si>
    <t>Melting_Curves/meltCurve_F5H199_MSRB3.pdf</t>
  </si>
  <si>
    <t>Melting_Curves/meltCurve_F5H1D6_POLE.pdf</t>
  </si>
  <si>
    <t>Melting_Curves/meltCurve_F5H1L4_TXNRD2.pdf</t>
  </si>
  <si>
    <t>Melting_Curves/meltCurve_F5H1N7_KIAA1211.pdf</t>
  </si>
  <si>
    <t>Melting_Curves/meltCurve_F5H1R7_FLJ22184.pdf</t>
  </si>
  <si>
    <t>Melting_Curves/meltCurve_F5H2A0_C12orf43.pdf</t>
  </si>
  <si>
    <t>Melting_Curves/meltCurve_F5H2E3_OPHN1.pdf</t>
  </si>
  <si>
    <t>Melting_Curves/meltCurve_F5H2H5_ANKLE2.pdf</t>
  </si>
  <si>
    <t>Melting_Curves/meltCurve_F5H2Q7_KIAA1715.pdf</t>
  </si>
  <si>
    <t>Melting_Curves/meltCurve_F5H2U2_PRPF4B.pdf</t>
  </si>
  <si>
    <t>Melting_Curves/meltCurve_F5H2U8_HMGA2.pdf</t>
  </si>
  <si>
    <t>Melting_Curves/meltCurve_F5H2X0_TJP3.pdf</t>
  </si>
  <si>
    <t>Melting_Curves/meltCurve_F5H315_XAB2.pdf</t>
  </si>
  <si>
    <t>Melting_Curves/meltCurve_F5H365_SEC23A.pdf</t>
  </si>
  <si>
    <t>Melting_Curves/meltCurve_F5H476_ANGEL2.pdf</t>
  </si>
  <si>
    <t>Melting_Curves/meltCurve_F5H4B1_PRAME.pdf</t>
  </si>
  <si>
    <t>Melting_Curves/meltCurve_F5H4G7_KPNA6.pdf</t>
  </si>
  <si>
    <t>Melting_Curves/meltCurve_F5H4J2_PEX14.pdf</t>
  </si>
  <si>
    <t>Melting_Curves/meltCurve_F5H4Q5_VPS37C.pdf</t>
  </si>
  <si>
    <t>Melting_Curves/meltCurve_F5H4V9_PDCD2.pdf</t>
  </si>
  <si>
    <t>Melting_Curves/meltCurve_F5H4W9_PON1.pdf</t>
  </si>
  <si>
    <t>Melting_Curves/meltCurve_F5H555_CASC1.pdf</t>
  </si>
  <si>
    <t>Melting_Curves/meltCurve_F5H5K5_.pdf</t>
  </si>
  <si>
    <t>Melting_Curves/meltCurve_F5H5M7_IFNGR1.pdf</t>
  </si>
  <si>
    <t>Melting_Curves/meltCurve_F5H5X7_CLEC4E.pdf</t>
  </si>
  <si>
    <t>Melting_Curves/meltCurve_F5H604_CLASP2.pdf</t>
  </si>
  <si>
    <t>Melting_Curves/meltCurve_F5H629_ATF2.pdf</t>
  </si>
  <si>
    <t>Melting_Curves/meltCurve_F5H6C2_IFT88.pdf</t>
  </si>
  <si>
    <t>Melting_Curves/meltCurve_F5H6I7_ATL3.pdf</t>
  </si>
  <si>
    <t>Melting_Curves/meltCurve_F5H6S1_KDM6A.pdf</t>
  </si>
  <si>
    <t>Melting_Curves/meltCurve_F5H6Z0_CDK17.pdf</t>
  </si>
  <si>
    <t>Melting_Curves/meltCurve_F5H702_MRPL48.pdf</t>
  </si>
  <si>
    <t>Melting_Curves/meltCurve_F5H721_WBP11.pdf</t>
  </si>
  <si>
    <t>Melting_Curves/meltCurve_F5H780_TXNRD1.pdf</t>
  </si>
  <si>
    <t>Melting_Curves/meltCurve_F5H7X9_ANKS6.pdf</t>
  </si>
  <si>
    <t>Melting_Curves/meltCurve_F5H801_OGDH.pdf</t>
  </si>
  <si>
    <t>Melting_Curves/meltCurve_F5H860_INPP4A.pdf</t>
  </si>
  <si>
    <t>Melting_Curves/meltCurve_F5H897_TRAP1.pdf</t>
  </si>
  <si>
    <t>Melting_Curves/meltCurve_F5H8E6_WDR20.pdf</t>
  </si>
  <si>
    <t>Melting_Curves/meltCurve_F5H8H2_MVK.pdf</t>
  </si>
  <si>
    <t>Melting_Curves/meltCurve_F5H8H4_POGZ.pdf</t>
  </si>
  <si>
    <t>Melting_Curves/meltCurve_F6TQG2_SMARCA1.pdf</t>
  </si>
  <si>
    <t>Melting_Curves/meltCurve_F6U1T9_PPP3R1.pdf</t>
  </si>
  <si>
    <t>Melting_Curves/meltCurve_F6UYM1_RPS6KB1.pdf</t>
  </si>
  <si>
    <t>Melting_Curves/meltCurve_F6V707_TPD52L1.pdf</t>
  </si>
  <si>
    <t>Melting_Curves/meltCurve_F6XY72_NME2.pdf</t>
  </si>
  <si>
    <t>Melting_Curves/meltCurve_F8VPD4_CAD.pdf</t>
  </si>
  <si>
    <t>Melting_Curves/meltCurve_F8VQZ7_METAP2.pdf</t>
  </si>
  <si>
    <t>Melting_Curves/meltCurve_F8VRH0_PCBP2.pdf</t>
  </si>
  <si>
    <t>Melting_Curves/meltCurve_F8VS47_NEK3.pdf</t>
  </si>
  <si>
    <t>Melting_Curves/meltCurve_F8VSL3_NFYB.pdf</t>
  </si>
  <si>
    <t>Melting_Curves/meltCurve_F8VSZ4_PLXNA1.pdf</t>
  </si>
  <si>
    <t>Melting_Curves/meltCurve_F8VUA7_OSBPL8.pdf</t>
  </si>
  <si>
    <t>Melting_Curves/meltCurve_F8VV59_NAP1L1.pdf</t>
  </si>
  <si>
    <t>Melting_Curves/meltCurve_F8VV64_TENC1.pdf</t>
  </si>
  <si>
    <t>Melting_Curves/meltCurve_F8VVK7_MBD6.pdf</t>
  </si>
  <si>
    <t>Melting_Curves/meltCurve_F8VWA6_MON2.pdf</t>
  </si>
  <si>
    <t>Melting_Curves/meltCurve_F8VWL3_FGD4.pdf</t>
  </si>
  <si>
    <t>Melting_Curves/meltCurve_F8VXG7_SCAF11.pdf</t>
  </si>
  <si>
    <t>Melting_Curves/meltCurve_F8VXY3_OAS1.pdf</t>
  </si>
  <si>
    <t>Melting_Curves/meltCurve_F8VY35_NAP1L1.pdf</t>
  </si>
  <si>
    <t>Melting_Curves/meltCurve_F8VYK9_IGFBP6.pdf</t>
  </si>
  <si>
    <t>Melting_Curves/meltCurve_F8VYY5_DNAJC14.pdf</t>
  </si>
  <si>
    <t>Melting_Curves/meltCurve_F8VZJ2_NACA.pdf</t>
  </si>
  <si>
    <t>Melting_Curves/meltCurve_F8W038_C17orf49.pdf</t>
  </si>
  <si>
    <t>Melting_Curves/meltCurve_F8W052_TROAP.pdf</t>
  </si>
  <si>
    <t>Melting_Curves/meltCurve_F8W181_RPL6.pdf</t>
  </si>
  <si>
    <t>Melting_Curves/meltCurve_F8W1B9_YEATS4.pdf</t>
  </si>
  <si>
    <t>Melting_Curves/meltCurve_F8W1F5_FMNL3.pdf</t>
  </si>
  <si>
    <t>Melting_Curves/meltCurve_F8W1T6_RBMS2.pdf</t>
  </si>
  <si>
    <t>Melting_Curves/meltCurve_F8W648_PLEKHM1.pdf</t>
  </si>
  <si>
    <t>Melting_Curves/meltCurve_F8W6D7_CBFA2T2.pdf</t>
  </si>
  <si>
    <t>Melting_Curves/meltCurve_F8W6I7_HNRNPA1.pdf</t>
  </si>
  <si>
    <t>Melting_Curves/meltCurve_F8W6X8_RASA3.pdf</t>
  </si>
  <si>
    <t>Melting_Curves/meltCurve_F8W717_EML1.pdf</t>
  </si>
  <si>
    <t>Melting_Curves/meltCurve_F8W785_GOLIM4.pdf</t>
  </si>
  <si>
    <t>Melting_Curves/meltCurve_F8W7U8_MRE11A.pdf</t>
  </si>
  <si>
    <t>Melting_Curves/meltCurve_F8W8C2_VEZT.pdf</t>
  </si>
  <si>
    <t>Melting_Curves/meltCurve_F8W8H5_RAB24.pdf</t>
  </si>
  <si>
    <t>Melting_Curves/meltCurve_F8W8I6_TIA1.pdf</t>
  </si>
  <si>
    <t>Melting_Curves/meltCurve_F8W8K9_AP1S3.pdf</t>
  </si>
  <si>
    <t>Melting_Curves/meltCurve_F8W8M4_ABLIM1.pdf</t>
  </si>
  <si>
    <t>Melting_Curves/meltCurve_F8W8T8_ACACB.pdf</t>
  </si>
  <si>
    <t>Melting_Curves/meltCurve_F8W9F9_WNK2.pdf</t>
  </si>
  <si>
    <t>Melting_Curves/meltCurve_F8W9Q9_LENG8.pdf</t>
  </si>
  <si>
    <t>Melting_Curves/meltCurve_F8W9X7_CCDC93.pdf</t>
  </si>
  <si>
    <t>Melting_Curves/meltCurve_F8WAK8_STAG2.pdf</t>
  </si>
  <si>
    <t>Melting_Curves/meltCurve_F8WAN4_FRMD4A.pdf</t>
  </si>
  <si>
    <t>Melting_Curves/meltCurve_F8WAS3_NDUFA5.pdf</t>
  </si>
  <si>
    <t>Melting_Curves/meltCurve_F8WB06_ATXN2.pdf</t>
  </si>
  <si>
    <t>Melting_Curves/meltCurve_F8WBK5_MRPL40.pdf</t>
  </si>
  <si>
    <t>Melting_Curves/meltCurve_F8WC89_SAC3D1.pdf</t>
  </si>
  <si>
    <t>Melting_Curves/meltCurve_F8WD19_DONSON.pdf</t>
  </si>
  <si>
    <t>Melting_Curves/meltCurve_F8WEG4_CBWD2.pdf</t>
  </si>
  <si>
    <t>Melting_Curves/meltCurve_F8WEG8_PRKRA.pdf</t>
  </si>
  <si>
    <t>Melting_Curves/meltCurve_F8WJN3_CPSF6.pdf</t>
  </si>
  <si>
    <t>Melting_Curves/meltCurve_G3V167_PARP2.pdf</t>
  </si>
  <si>
    <t>Melting_Curves/meltCurve_G3V1L9_TJP1.pdf</t>
  </si>
  <si>
    <t>Melting_Curves/meltCurve_G3V1P3_LOH12CR1.pdf</t>
  </si>
  <si>
    <t>Melting_Curves/meltCurve_G3V1R3_ZEB1.pdf</t>
  </si>
  <si>
    <t>Melting_Curves/meltCurve_G3V1R9_ISYNA1.pdf</t>
  </si>
  <si>
    <t>Melting_Curves/meltCurve_G3V1V0_MYL6.pdf</t>
  </si>
  <si>
    <t>Melting_Curves/meltCurve_G3V3A0_SERPINA3.pdf</t>
  </si>
  <si>
    <t>Melting_Curves/meltCurve_G3V3G9_DCAF8.pdf</t>
  </si>
  <si>
    <t>Melting_Curves/meltCurve_G3V3I4_NFKBIA.pdf</t>
  </si>
  <si>
    <t>Melting_Curves/meltCurve_G3V3R7_ATXN3.pdf</t>
  </si>
  <si>
    <t>Melting_Curves/meltCurve_G3V439_SIVA1.pdf</t>
  </si>
  <si>
    <t>Melting_Curves/meltCurve_G3V4J7_DCAF5.pdf</t>
  </si>
  <si>
    <t>Melting_Curves/meltCurve_G3V4W0_HNRNPC.pdf</t>
  </si>
  <si>
    <t>Melting_Curves/meltCurve_G3V529_DDX24.pdf</t>
  </si>
  <si>
    <t>Melting_Curves/meltCurve_G3V577_RPGRIP1.pdf</t>
  </si>
  <si>
    <t>Melting_Curves/meltCurve_G3V583_FAM177A1.pdf</t>
  </si>
  <si>
    <t>Melting_Curves/meltCurve_G3V599_CTAGE5.pdf</t>
  </si>
  <si>
    <t>Melting_Curves/meltCurve_G3V5T0_GSTZ1.pdf</t>
  </si>
  <si>
    <t>Melting_Curves/meltCurve_G3XAA0_ARID1B.pdf</t>
  </si>
  <si>
    <t>Melting_Curves/meltCurve_G3XAA2_MAP4K4.pdf</t>
  </si>
  <si>
    <t>Melting_Curves/meltCurve_G3XAF7_BCAS1.pdf</t>
  </si>
  <si>
    <t>Melting_Curves/meltCurve_G3XAH0_SEPT5.pdf</t>
  </si>
  <si>
    <t>Melting_Curves/meltCurve_G3XAI9_FAM133B.pdf</t>
  </si>
  <si>
    <t>Melting_Curves/meltCurve_G3XAJ6_RFTN1.pdf</t>
  </si>
  <si>
    <t>Melting_Curves/meltCurve_G3XAL9_SLC12A2.pdf</t>
  </si>
  <si>
    <t>Melting_Curves/meltCurve_G3XAM2_CFI.pdf</t>
  </si>
  <si>
    <t>Melting_Curves/meltCurve_G3XAN4_TRAM1.pdf</t>
  </si>
  <si>
    <t>Melting_Curves/meltCurve_G5E948_MAP4K4.pdf</t>
  </si>
  <si>
    <t>Melting_Curves/meltCurve_G5E979_ATG4A.pdf</t>
  </si>
  <si>
    <t>Melting_Curves/meltCurve_G5E9A6_USP11.pdf</t>
  </si>
  <si>
    <t>Melting_Curves/meltCurve_G5E9A7_DMWD.pdf</t>
  </si>
  <si>
    <t>Melting_Curves/meltCurve_G5E9C8_SOS1.pdf</t>
  </si>
  <si>
    <t>Melting_Curves/meltCurve_G5E9E7_TJP1.pdf</t>
  </si>
  <si>
    <t>Melting_Curves/meltCurve_G5E9I6_MAPRE2.pdf</t>
  </si>
  <si>
    <t>Melting_Curves/meltCurve_G5E9L9_DCLK2.pdf</t>
  </si>
  <si>
    <t>Melting_Curves/meltCurve_G5E9R3_RPL37A.pdf</t>
  </si>
  <si>
    <t>Melting_Curves/meltCurve_G5E9W7_MRPS22.pdf</t>
  </si>
  <si>
    <t>Melting_Curves/meltCurve_G5EA37_WIPI1.pdf</t>
  </si>
  <si>
    <t>Melting_Curves/meltCurve_G5EA42_TMOD2.pdf</t>
  </si>
  <si>
    <t>Melting_Curves/meltCurve_G5EA52_PDIA3.pdf</t>
  </si>
  <si>
    <t>Melting_Curves/meltCurve_G8JLA8_TGFBI.pdf</t>
  </si>
  <si>
    <t>Melting_Curves/meltCurve_G8JLB3_PUS1.pdf</t>
  </si>
  <si>
    <t>Melting_Curves/meltCurve_G8JLH2_CDC25B.pdf</t>
  </si>
  <si>
    <t>Melting_Curves/meltCurve_G8JLI5_WDR45.pdf</t>
  </si>
  <si>
    <t>Melting_Curves/meltCurve_G8JLK3_PACS2.pdf</t>
  </si>
  <si>
    <t>Melting_Curves/meltCurve_G8JLP2_C14orf159.pdf</t>
  </si>
  <si>
    <t>Melting_Curves/meltCurve_H0Y2S9_MPRIP.pdf</t>
  </si>
  <si>
    <t>Melting_Curves/meltCurve_H0Y3P2_EIF4G2.pdf</t>
  </si>
  <si>
    <t>Melting_Curves/meltCurve_H0Y3R8_TJP1.pdf</t>
  </si>
  <si>
    <t>Melting_Curves/meltCurve_H0Y412_PRRC2B.pdf</t>
  </si>
  <si>
    <t>Melting_Curves/meltCurve_H0Y4R1_IMPDH2.pdf</t>
  </si>
  <si>
    <t>Melting_Curves/meltCurve_H0Y4V9_LARP4B.pdf</t>
  </si>
  <si>
    <t>Melting_Curves/meltCurve_H0Y4W2_TRRAP.pdf</t>
  </si>
  <si>
    <t>Melting_Curves/meltCurve_H0Y5B0_EPB41L2.pdf</t>
  </si>
  <si>
    <t>Melting_Curves/meltCurve_H0Y5B5_PBRM1.pdf</t>
  </si>
  <si>
    <t>Melting_Curves/meltCurve_H0Y614_UFM1.pdf</t>
  </si>
  <si>
    <t>Melting_Curves/meltCurve_H0Y6A0_ARFGAP3.pdf</t>
  </si>
  <si>
    <t>Melting_Curves/meltCurve_H0Y6C3_PYCRL.pdf</t>
  </si>
  <si>
    <t>Melting_Curves/meltCurve_H0Y6F0_EFCAB2.pdf</t>
  </si>
  <si>
    <t>Melting_Curves/meltCurve_H0Y858_.pdf</t>
  </si>
  <si>
    <t>Melting_Curves/meltCurve_H0Y9S9_PPIP5K2.pdf</t>
  </si>
  <si>
    <t>Melting_Curves/meltCurve_H0Y9V2_UBE2B.pdf</t>
  </si>
  <si>
    <t>Melting_Curves/meltCurve_H0Y9Y2_BOD1L1.pdf</t>
  </si>
  <si>
    <t>Melting_Curves/meltCurve_H0YA59_STOX2.pdf</t>
  </si>
  <si>
    <t>Melting_Curves/meltCurve_H0YA61_RBM24.pdf</t>
  </si>
  <si>
    <t>Melting_Curves/meltCurve_H0YA68_MAN2B2.pdf</t>
  </si>
  <si>
    <t>Melting_Curves/meltCurve_H0YAI5_RNF4.pdf</t>
  </si>
  <si>
    <t>Melting_Curves/meltCurve_H0YAJ5_APBB2.pdf</t>
  </si>
  <si>
    <t>Melting_Curves/meltCurve_H0YAN8_ARHGEF10.pdf</t>
  </si>
  <si>
    <t>Melting_Curves/meltCurve_H0YBD4_GSR.pdf</t>
  </si>
  <si>
    <t>Melting_Curves/meltCurve_H0YCZ8_LETM2.pdf</t>
  </si>
  <si>
    <t>Melting_Curves/meltCurve_H0YDM5_SLC27A3.pdf</t>
  </si>
  <si>
    <t>Melting_Curves/meltCurve_H0YDP7_MRPL49.pdf</t>
  </si>
  <si>
    <t>Melting_Curves/meltCurve_H0YDQ3_LMO7.pdf</t>
  </si>
  <si>
    <t>Melting_Curves/meltCurve_H0YDQ8_CRTC2.pdf</t>
  </si>
  <si>
    <t>Melting_Curves/meltCurve_H0YDS0_UBQLN1.pdf</t>
  </si>
  <si>
    <t>Melting_Curves/meltCurve_H0YDU8_PPP5C.pdf</t>
  </si>
  <si>
    <t>Melting_Curves/meltCurve_H0YEB6_SSSCA1.pdf</t>
  </si>
  <si>
    <t>Melting_Curves/meltCurve_H0YEF3_RNASEH2C.pdf</t>
  </si>
  <si>
    <t>Melting_Curves/meltCurve_H0YEP0_KAT5.pdf</t>
  </si>
  <si>
    <t>Melting_Curves/meltCurve_H0YEP5_SMPD1.pdf</t>
  </si>
  <si>
    <t>Melting_Curves/meltCurve_H0YFI1_LAMTOR1.pdf</t>
  </si>
  <si>
    <t>Melting_Curves/meltCurve_H0YGR4_REXO2.pdf</t>
  </si>
  <si>
    <t>Melting_Curves/meltCurve_H0YI78_KIF21A.pdf</t>
  </si>
  <si>
    <t>Melting_Curves/meltCurve_H0YIQ8_KANSL2.pdf</t>
  </si>
  <si>
    <t>Melting_Curves/meltCurve_H0YJS3_FANCM.pdf</t>
  </si>
  <si>
    <t>Melting_Curves/meltCurve_H0YJZ4_STRN3.pdf</t>
  </si>
  <si>
    <t>Melting_Curves/meltCurve_H0YKH1_PBX1.pdf</t>
  </si>
  <si>
    <t>Melting_Curves/meltCurve_H0YL33_ANXA2.pdf</t>
  </si>
  <si>
    <t>Melting_Curves/meltCurve_H0YLB5_POU2F1.pdf</t>
  </si>
  <si>
    <t>Melting_Curves/meltCurve_H0YLF2_HMBOX1.pdf</t>
  </si>
  <si>
    <t>Melting_Curves/meltCurve_H0YLX2_RFX7.pdf</t>
  </si>
  <si>
    <t>Melting_Curves/meltCurve_H0YM51_CASC4.pdf</t>
  </si>
  <si>
    <t>Melting_Curves/meltCurve_H0YM91_T.pdf</t>
  </si>
  <si>
    <t>Melting_Curves/meltCurve_H0YMB3_GMPR2.pdf</t>
  </si>
  <si>
    <t>Melting_Curves/meltCurve_H0YMJ0_MORF4L1.pdf</t>
  </si>
  <si>
    <t>Melting_Curves/meltCurve_H0YMM4_ISG20.pdf</t>
  </si>
  <si>
    <t>Melting_Curves/meltCurve_H0YNA7_SPPL2A.pdf</t>
  </si>
  <si>
    <t>Melting_Curves/meltCurve_H0YNH6_EMC9.pdf</t>
  </si>
  <si>
    <t>Melting_Curves/meltCurve_H0YNH8_UACA.pdf</t>
  </si>
  <si>
    <t>Melting_Curves/meltCurve_H0YNU5_BLM.pdf</t>
  </si>
  <si>
    <t>Melting_Curves/meltCurve_H0YNX7_GCHFR.pdf</t>
  </si>
  <si>
    <t>Melting_Curves/meltCurve_H3BLU7_AKR7A2.pdf</t>
  </si>
  <si>
    <t>Melting_Curves/meltCurve_H3BM42_GLG1.pdf</t>
  </si>
  <si>
    <t>Melting_Curves/meltCurve_H3BM67_NOL3.pdf</t>
  </si>
  <si>
    <t>Melting_Curves/meltCurve_H3BMJ2_C15orf39.pdf</t>
  </si>
  <si>
    <t>Melting_Curves/meltCurve_H3BN72_COX4I1.pdf</t>
  </si>
  <si>
    <t>Melting_Curves/meltCurve_H3BND2_PRR14.pdf</t>
  </si>
  <si>
    <t>Melting_Curves/meltCurve_H3BNK2_LYRM1.pdf</t>
  </si>
  <si>
    <t>Melting_Curves/meltCurve_H3BNM4_INO80E.pdf</t>
  </si>
  <si>
    <t>Melting_Curves/meltCurve_H3BNT4_MPHOSPH6.pdf</t>
  </si>
  <si>
    <t>Melting_Curves/meltCurve_H3BNU9_CARHSP1.pdf</t>
  </si>
  <si>
    <t>Melting_Curves/meltCurve_H3BPB8_MPI.pdf</t>
  </si>
  <si>
    <t>Melting_Curves/meltCurve_H3BPE1_MACF1.pdf</t>
  </si>
  <si>
    <t>Melting_Curves/meltCurve_H3BPG5_RNPS1.pdf</t>
  </si>
  <si>
    <t>Melting_Curves/meltCurve_H3BPS8_ALDOA.pdf</t>
  </si>
  <si>
    <t>Melting_Curves/meltCurve_H3BPV0_MTSS1L.pdf</t>
  </si>
  <si>
    <t>Melting_Curves/meltCurve_H3BQA0_SNAPC5.pdf</t>
  </si>
  <si>
    <t>Melting_Curves/meltCurve_H3BQF6_.pdf</t>
  </si>
  <si>
    <t>Melting_Curves/meltCurve_H3BQV3_COG8.pdf</t>
  </si>
  <si>
    <t>Melting_Curves/meltCurve_H3BQZ7_hCG_2044799.pdf</t>
  </si>
  <si>
    <t>Melting_Curves/meltCurve_H3BRB6_ZNRF1.pdf</t>
  </si>
  <si>
    <t>Melting_Curves/meltCurve_H3BRF9_ZFYVE19.pdf</t>
  </si>
  <si>
    <t>Melting_Curves/meltCurve_H3BRL3_UBFD1.pdf</t>
  </si>
  <si>
    <t>Melting_Curves/meltCurve_H3BRS1_NFATC3.pdf</t>
  </si>
  <si>
    <t>Melting_Curves/meltCurve_H3BRV0_EIF3C.pdf</t>
  </si>
  <si>
    <t>Melting_Curves/meltCurve_H3BSC1_RAB11A.pdf</t>
  </si>
  <si>
    <t>Melting_Curves/meltCurve_H3BSL4_E4F1.pdf</t>
  </si>
  <si>
    <t>Melting_Curves/meltCurve_H3BST1_BLOC1S6.pdf</t>
  </si>
  <si>
    <t>Melting_Curves/meltCurve_H3BSW0_LRRC57.pdf</t>
  </si>
  <si>
    <t>Melting_Curves/meltCurve_H3BTB7_EARS2.pdf</t>
  </si>
  <si>
    <t>Melting_Curves/meltCurve_H3BTL1_MAP1LC3B.pdf</t>
  </si>
  <si>
    <t>Melting_Curves/meltCurve_H3BTN5_PKM.pdf</t>
  </si>
  <si>
    <t>Melting_Curves/meltCurve_H3BTX0_.pdf</t>
  </si>
  <si>
    <t>Melting_Curves/meltCurve_H3BU49_ARL2BP.pdf</t>
  </si>
  <si>
    <t>Melting_Curves/meltCurve_H3BUF6_ATXN2L.pdf</t>
  </si>
  <si>
    <t>Melting_Curves/meltCurve_H6UMI1_GABARAP.pdf</t>
  </si>
  <si>
    <t>Melting_Curves/meltCurve_H7BXG2_NPRL3.pdf</t>
  </si>
  <si>
    <t>Melting_Curves/meltCurve_H7BXH2_PPP6R3.pdf</t>
  </si>
  <si>
    <t>Melting_Curves/meltCurve_H7BXI1_ESYT2.pdf</t>
  </si>
  <si>
    <t>Melting_Curves/meltCurve_H7BY36_EWSR1.pdf</t>
  </si>
  <si>
    <t>Melting_Curves/meltCurve_H7BYY1_TPM1.pdf</t>
  </si>
  <si>
    <t>Melting_Curves/meltCurve_H7BYY2_BCOR.pdf</t>
  </si>
  <si>
    <t>Melting_Curves/meltCurve_H7BZJ3_PDIA3.pdf</t>
  </si>
  <si>
    <t>Melting_Curves/meltCurve_H7BZL0_MKI67IP.pdf</t>
  </si>
  <si>
    <t>Melting_Curves/meltCurve_H7C0D5_YIPF4.pdf</t>
  </si>
  <si>
    <t>Melting_Curves/meltCurve_H7C0G7_NHEJ1.pdf</t>
  </si>
  <si>
    <t>Melting_Curves/meltCurve_H7C0J3_CHD3.pdf</t>
  </si>
  <si>
    <t>Melting_Curves/meltCurve_H7C0S3_CDKN3.pdf</t>
  </si>
  <si>
    <t>Melting_Curves/meltCurve_H7C0S8_.pdf</t>
  </si>
  <si>
    <t>Melting_Curves/meltCurve_H7C107_IQSEC1.pdf</t>
  </si>
  <si>
    <t>Melting_Curves/meltCurve_H7C1U3_CC2D1B.pdf</t>
  </si>
  <si>
    <t>Melting_Curves/meltCurve_H7C284_MFSD6.pdf</t>
  </si>
  <si>
    <t>Melting_Curves/meltCurve_H7C293_MZT2B.pdf</t>
  </si>
  <si>
    <t>Melting_Curves/meltCurve_H7C2G2_ART4.pdf</t>
  </si>
  <si>
    <t>Melting_Curves/meltCurve_H7C2K6_EPB41L1.pdf</t>
  </si>
  <si>
    <t>Melting_Curves/meltCurve_H7C2Z6_GCA.pdf</t>
  </si>
  <si>
    <t>Melting_Curves/meltCurve_H7C331_SDCCAG3.pdf</t>
  </si>
  <si>
    <t>Melting_Curves/meltCurve_H7C3G6_MPRIP.pdf</t>
  </si>
  <si>
    <t>Melting_Curves/meltCurve_H7C3J6_SAMD11.pdf</t>
  </si>
  <si>
    <t>Melting_Curves/meltCurve_H7C3P4_GNS.pdf</t>
  </si>
  <si>
    <t>Melting_Curves/meltCurve_H7C4E7_CSDC2.pdf</t>
  </si>
  <si>
    <t>Melting_Curves/meltCurve_H7C4X9_ZMYND8.pdf</t>
  </si>
  <si>
    <t>Melting_Curves/meltCurve_H7C5A5_STIM2.pdf</t>
  </si>
  <si>
    <t>Melting_Curves/meltCurve_H7C5G1_IAH1.pdf</t>
  </si>
  <si>
    <t>Melting_Curves/meltCurve_H8Y6P7_GCOM1.pdf</t>
  </si>
  <si>
    <t>Melting_Curves/meltCurve_H9KV61_PWWP2B.pdf</t>
  </si>
  <si>
    <t>Melting_Curves/meltCurve_H9ZYI9_GABPB1.pdf</t>
  </si>
  <si>
    <t>Melting_Curves/meltCurve_I3L077_MYO15B.pdf</t>
  </si>
  <si>
    <t>Melting_Curves/meltCurve_I3L097_.pdf</t>
  </si>
  <si>
    <t>Melting_Curves/meltCurve_I3L0N3_NSF.pdf</t>
  </si>
  <si>
    <t>Melting_Curves/meltCurve_I3L121_CLUAP1.pdf</t>
  </si>
  <si>
    <t>Melting_Curves/meltCurve_I3L192_BSG.pdf</t>
  </si>
  <si>
    <t>Melting_Curves/meltCurve_I3L1B0_CNTROB.pdf</t>
  </si>
  <si>
    <t>Melting_Curves/meltCurve_I3L1H5_DPH1.pdf</t>
  </si>
  <si>
    <t>Melting_Curves/meltCurve_I3L1Q3_ELP5.pdf</t>
  </si>
  <si>
    <t>Melting_Curves/meltCurve_I3L2B0_CLUH.pdf</t>
  </si>
  <si>
    <t>Melting_Curves/meltCurve_I3L2C7_GEMIN4.pdf</t>
  </si>
  <si>
    <t>Melting_Curves/meltCurve_I3L2J0_CIC.pdf</t>
  </si>
  <si>
    <t>Melting_Curves/meltCurve_I3L2N2_DVL2.pdf</t>
  </si>
  <si>
    <t>Melting_Curves/meltCurve_I3L2Z5_MAZ.pdf</t>
  </si>
  <si>
    <t>Melting_Curves/meltCurve_I3L380_ABHD12.pdf</t>
  </si>
  <si>
    <t>Melting_Curves/meltCurve_I3L3P7_RPS15A.pdf</t>
  </si>
  <si>
    <t>Melting_Curves/meltCurve_I3L4B1_MYL4.pdf</t>
  </si>
  <si>
    <t>Melting_Curves/meltCurve_I3L4C3_SPAG7.pdf</t>
  </si>
  <si>
    <t>Melting_Curves/meltCurve_I3L4D1_ELMO3.pdf</t>
  </si>
  <si>
    <t>Melting_Curves/meltCurve_I3L4N8_ACTG1.pdf</t>
  </si>
  <si>
    <t>Melting_Curves/meltCurve_I3L4Q0_FAM195B.pdf</t>
  </si>
  <si>
    <t>Melting_Curves/meltCurve_I3L4X3_NFKBIB.pdf</t>
  </si>
  <si>
    <t>Melting_Curves/meltCurve_I3L505_NDUFAB1.pdf</t>
  </si>
  <si>
    <t>Melting_Curves/meltCurve_I6L8B7_FABP5.pdf</t>
  </si>
  <si>
    <t>Melting_Curves/meltCurve_I6L9B4_DNAJC24.pdf</t>
  </si>
  <si>
    <t>Melting_Curves/meltCurve_J3KMW7_UBR5.pdf</t>
  </si>
  <si>
    <t>Melting_Curves/meltCurve_J3KMX2_SMARCD2.pdf</t>
  </si>
  <si>
    <t>Melting_Curves/meltCurve_J3KMY5_NPC2.pdf</t>
  </si>
  <si>
    <t>Melting_Curves/meltCurve_J3KMZ7_INTS2.pdf</t>
  </si>
  <si>
    <t>Melting_Curves/meltCurve_J3KN10_PI4KA.pdf</t>
  </si>
  <si>
    <t>Melting_Curves/meltCurve_J3KN32_RCOR1.pdf</t>
  </si>
  <si>
    <t>Melting_Curves/meltCurve_J3KN33_CNTLN.pdf</t>
  </si>
  <si>
    <t>Melting_Curves/meltCurve_J3KN68_VGLL4.pdf</t>
  </si>
  <si>
    <t>Melting_Curves/meltCurve_J3KN75_TBC1D8B.pdf</t>
  </si>
  <si>
    <t>Melting_Curves/meltCurve_J3KNB8_MAP3K4.pdf</t>
  </si>
  <si>
    <t>Melting_Curves/meltCurve_J3KND1_SAAL1.pdf</t>
  </si>
  <si>
    <t>Melting_Curves/meltCurve_J3KNF4_CCS.pdf</t>
  </si>
  <si>
    <t>Melting_Curves/meltCurve_J3KNH7_SENP3.pdf</t>
  </si>
  <si>
    <t>Melting_Curves/meltCurve_J3KNK4_AP4S1.pdf</t>
  </si>
  <si>
    <t>Melting_Curves/meltCurve_J3KNL6_SEC16A.pdf</t>
  </si>
  <si>
    <t>Melting_Curves/meltCurve_J3KNL9_ZFYVE1.pdf</t>
  </si>
  <si>
    <t>Melting_Curves/meltCurve_J3KNN7_BRAP.pdf</t>
  </si>
  <si>
    <t>Melting_Curves/meltCurve_J3KNU8_ALDH6A1.pdf</t>
  </si>
  <si>
    <t>Melting_Curves/meltCurve_J3KNV5_INTS8.pdf</t>
  </si>
  <si>
    <t>Melting_Curves/meltCurve_J3KNZ9_FBRS.pdf</t>
  </si>
  <si>
    <t>Melting_Curves/meltCurve_J3KP15_SRSF2.pdf</t>
  </si>
  <si>
    <t>Melting_Curves/meltCurve_J3KP22_PTPRA.pdf</t>
  </si>
  <si>
    <t>Melting_Curves/meltCurve_J3KP75_PHACTR2.pdf</t>
  </si>
  <si>
    <t>Melting_Curves/meltCurve_J3KPS2_FAM83H.pdf</t>
  </si>
  <si>
    <t>Melting_Curves/meltCurve_J3KPU4_MYD88.pdf</t>
  </si>
  <si>
    <t>Melting_Curves/meltCurve_J3KPV7_MPST.pdf</t>
  </si>
  <si>
    <t>Melting_Curves/meltCurve_J3KQ34_COPS7B.pdf</t>
  </si>
  <si>
    <t>Melting_Curves/meltCurve_J3KQ72_FBXO6.pdf</t>
  </si>
  <si>
    <t>Melting_Curves/meltCurve_J3KQ98_PPP1R37.pdf</t>
  </si>
  <si>
    <t>Melting_Curves/meltCurve_J3KQG4_GBA.pdf</t>
  </si>
  <si>
    <t>Melting_Curves/meltCurve_J3KQS6_BABAM1.pdf</t>
  </si>
  <si>
    <t>Melting_Curves/meltCurve_J3KQT5_KCTD1.pdf</t>
  </si>
  <si>
    <t>Melting_Curves/meltCurve_J3KRL7_PER1.pdf</t>
  </si>
  <si>
    <t>Melting_Curves/meltCurve_J3KRP6_SS18.pdf</t>
  </si>
  <si>
    <t>Melting_Curves/meltCurve_J3KRR7_CYLD.pdf</t>
  </si>
  <si>
    <t>Melting_Curves/meltCurve_J3KS05_CBX1.pdf</t>
  </si>
  <si>
    <t>Melting_Curves/meltCurve_J3KS15_ICT1.pdf</t>
  </si>
  <si>
    <t>Melting_Curves/meltCurve_J3KTD6_AURKB.pdf</t>
  </si>
  <si>
    <t>Melting_Curves/meltCurve_J3QL56_SCO1.pdf</t>
  </si>
  <si>
    <t>Melting_Curves/meltCurve_J3QLD9_FLOT2.pdf</t>
  </si>
  <si>
    <t>Melting_Curves/meltCurve_J3QQJ0_SAP30BP.pdf</t>
  </si>
  <si>
    <t>Melting_Curves/meltCurve_J3QQJ5_TRAPPC8.pdf</t>
  </si>
  <si>
    <t>Melting_Curves/meltCurve_J3QQM5_LIMD2.pdf</t>
  </si>
  <si>
    <t>Melting_Curves/meltCurve_J3QQT2_RPL17.pdf</t>
  </si>
  <si>
    <t>Melting_Curves/meltCurve_J3QQW9_SUZ12.pdf</t>
  </si>
  <si>
    <t>Melting_Curves/meltCurve_J3QQX3_FDXR.pdf</t>
  </si>
  <si>
    <t>Melting_Curves/meltCurve_J3QQY0_MSL1.pdf</t>
  </si>
  <si>
    <t>Melting_Curves/meltCurve_J3QR09_RPL19.pdf</t>
  </si>
  <si>
    <t>Melting_Curves/meltCurve_J3QRC3_NAT9.pdf</t>
  </si>
  <si>
    <t>Melting_Curves/meltCurve_J3QRD1_ALDH3A2.pdf</t>
  </si>
  <si>
    <t>Melting_Curves/meltCurve_J3QRK2_hCG_1996301.pdf</t>
  </si>
  <si>
    <t>Melting_Curves/meltCurve_J3QRT4_ZSWIM7.pdf</t>
  </si>
  <si>
    <t>Melting_Curves/meltCurve_J3QRZ6_MIF4GD.pdf</t>
  </si>
  <si>
    <t>Melting_Curves/meltCurve_J3QS27_ZNF207.pdf</t>
  </si>
  <si>
    <t>Melting_Curves/meltCurve_J3QT87_CRBN.pdf</t>
  </si>
  <si>
    <t>Melting_Curves/meltCurve_J9JIC5_C17orf75.pdf</t>
  </si>
  <si>
    <t>Melting_Curves/meltCurve_J9JIE0_GPRC5C.pdf</t>
  </si>
  <si>
    <t>Melting_Curves/meltCurve_K4DI92_RWDD4.pdf</t>
  </si>
  <si>
    <t>Melting_Curves/meltCurve_K4DI93_CUL4B.pdf</t>
  </si>
  <si>
    <t>Melting_Curves/meltCurve_K7EIE8_MBD3.pdf</t>
  </si>
  <si>
    <t>Melting_Curves/meltCurve_K7EIG1_CLUH.pdf</t>
  </si>
  <si>
    <t>Melting_Curves/meltCurve_K7EIJ0_WBP2.pdf</t>
  </si>
  <si>
    <t>Melting_Curves/meltCurve_K7EIN2_NUDT16L1.pdf</t>
  </si>
  <si>
    <t>Melting_Curves/meltCurve_K7EIR0_WDR18.pdf</t>
  </si>
  <si>
    <t>Melting_Curves/meltCurve_K7EIU8_SMAD4.pdf</t>
  </si>
  <si>
    <t>Melting_Curves/meltCurve_K7EJ78_RPS15.pdf</t>
  </si>
  <si>
    <t>Melting_Curves/meltCurve_K7EJG0_hCG_27535.pdf</t>
  </si>
  <si>
    <t>Melting_Curves/meltCurve_K7EJH0_SPC24.pdf</t>
  </si>
  <si>
    <t>Melting_Curves/meltCurve_K7EK07_H3F3B.pdf</t>
  </si>
  <si>
    <t>Melting_Curves/meltCurve_K7EK35_STAT5A.pdf</t>
  </si>
  <si>
    <t>Melting_Curves/meltCurve_K7EK99_LIN37.pdf</t>
  </si>
  <si>
    <t>Melting_Curves/meltCurve_K7EKE6_LONP1.pdf</t>
  </si>
  <si>
    <t>Melting_Curves/meltCurve_K7EKG9_ATXN7L3.pdf</t>
  </si>
  <si>
    <t>Melting_Curves/meltCurve_K7EKI8_PPL.pdf</t>
  </si>
  <si>
    <t>Melting_Curves/meltCurve_K7EKZ2_.pdf</t>
  </si>
  <si>
    <t>Melting_Curves/meltCurve_K7ELW5_PTBP1.pdf</t>
  </si>
  <si>
    <t>Melting_Curves/meltCurve_K7ELY2_STX10.pdf</t>
  </si>
  <si>
    <t>Melting_Curves/meltCurve_K7EM02_KATNAL2.pdf</t>
  </si>
  <si>
    <t>Melting_Curves/meltCurve_K7EMV5_ZNF444.pdf</t>
  </si>
  <si>
    <t>Melting_Curves/meltCurve_K7EMZ9_LSM14A.pdf</t>
  </si>
  <si>
    <t>Melting_Curves/meltCurve_K7EN05_ELOF1.pdf</t>
  </si>
  <si>
    <t>Melting_Curves/meltCurve_K7EN88_hCG_2039718.pdf</t>
  </si>
  <si>
    <t>Melting_Curves/meltCurve_K7ENF0_NARS.pdf</t>
  </si>
  <si>
    <t>Melting_Curves/meltCurve_K7ENL9_C18orf8.pdf</t>
  </si>
  <si>
    <t>Melting_Curves/meltCurve_K7ENW0_GGNBP2.pdf</t>
  </si>
  <si>
    <t>Melting_Curves/meltCurve_K7EP32_UBXN6.pdf</t>
  </si>
  <si>
    <t>Melting_Curves/meltCurve_K7EPS8_C19orf12.pdf</t>
  </si>
  <si>
    <t>Melting_Curves/meltCurve_K7EQU4_SAFB2.pdf</t>
  </si>
  <si>
    <t>Melting_Curves/meltCurve_K7EQW8_TPM4.pdf</t>
  </si>
  <si>
    <t>Melting_Curves/meltCurve_K7EQZ3_.pdf</t>
  </si>
  <si>
    <t>Melting_Curves/meltCurve_K7ER56_LONP1.pdf</t>
  </si>
  <si>
    <t>Melting_Curves/meltCurve_K7ER93_C19orf55.pdf</t>
  </si>
  <si>
    <t>Melting_Curves/meltCurve_K7ERF1_EIF3K.pdf</t>
  </si>
  <si>
    <t>Melting_Curves/meltCurve_K7ERI9_APOC1.pdf</t>
  </si>
  <si>
    <t>Melting_Curves/meltCurve_K7ERV3_TK1.pdf</t>
  </si>
  <si>
    <t>Melting_Curves/meltCurve_K7ES11_UBE2O.pdf</t>
  </si>
  <si>
    <t>Melting_Curves/meltCurve_K7ES25_PEPD.pdf</t>
  </si>
  <si>
    <t>Melting_Curves/meltCurve_K7ES54_FSTL3.pdf</t>
  </si>
  <si>
    <t>Melting_Curves/meltCurve_K7ESE3_RAD23A.pdf</t>
  </si>
  <si>
    <t>Melting_Curves/meltCurve_M0QWZ7_SARS2.pdf</t>
  </si>
  <si>
    <t>Melting_Curves/meltCurve_M0QX35_PAF1.pdf</t>
  </si>
  <si>
    <t>Melting_Curves/meltCurve_M0QXX4_KPTN.pdf</t>
  </si>
  <si>
    <t>Melting_Curves/meltCurve_M0QXZ5_ZNF428.pdf</t>
  </si>
  <si>
    <t>Melting_Curves/meltCurve_M0QYH6_PTOV1.pdf</t>
  </si>
  <si>
    <t>Melting_Curves/meltCurve_M0QYJ8_GMFG.pdf</t>
  </si>
  <si>
    <t>Melting_Curves/meltCurve_M0QYM7_TUBB4A.pdf</t>
  </si>
  <si>
    <t>Melting_Curves/meltCurve_M0QZ09_SIRT6.pdf</t>
  </si>
  <si>
    <t>Melting_Curves/meltCurve_M0QZ22_SAMD4B.pdf</t>
  </si>
  <si>
    <t>Melting_Curves/meltCurve_M0QZM1_HNRNPM.pdf</t>
  </si>
  <si>
    <t>Melting_Curves/meltCurve_M0QZR4_ARHGEF1.pdf</t>
  </si>
  <si>
    <t>Melting_Curves/meltCurve_M0R0B4_KXD1.pdf</t>
  </si>
  <si>
    <t>Melting_Curves/meltCurve_M0R0F0_RPS5.pdf</t>
  </si>
  <si>
    <t>Melting_Curves/meltCurve_M0R0P8_MYO9B.pdf</t>
  </si>
  <si>
    <t>Melting_Curves/meltCurve_M0R0W0_METTL6.pdf</t>
  </si>
  <si>
    <t>Melting_Curves/meltCurve_M0R2P6_SHKBP1.pdf</t>
  </si>
  <si>
    <t>Melting_Curves/meltCurve_M0R3D4_RABAC1.pdf</t>
  </si>
  <si>
    <t>Melting_Curves/meltCurve_O00116_AGPS.pdf</t>
  </si>
  <si>
    <t>Melting_Curves/meltCurve_O00139_1_KIF2A.pdf</t>
  </si>
  <si>
    <t>Melting_Curves/meltCurve_O00139_2_KIF2A.pdf</t>
  </si>
  <si>
    <t>Melting_Curves/meltCurve_O00148_DDX39A.pdf</t>
  </si>
  <si>
    <t>Melting_Curves/meltCurve_O00151_PDLIM1.pdf</t>
  </si>
  <si>
    <t>Melting_Curves/meltCurve_O00154_4_ACOT7.pdf</t>
  </si>
  <si>
    <t>Melting_Curves/meltCurve_O00159_MYO1C.pdf</t>
  </si>
  <si>
    <t>Melting_Curves/meltCurve_O00161_SNAP23.pdf</t>
  </si>
  <si>
    <t>Melting_Curves/meltCurve_O00170_AIP.pdf</t>
  </si>
  <si>
    <t>Melting_Curves/meltCurve_O00178_GTPBP1.pdf</t>
  </si>
  <si>
    <t>Melting_Curves/meltCurve_O00194_RAB27B.pdf</t>
  </si>
  <si>
    <t>Melting_Curves/meltCurve_O00203_AP3B1.pdf</t>
  </si>
  <si>
    <t>Melting_Curves/meltCurve_O00204_2_SULT2B1.pdf</t>
  </si>
  <si>
    <t>Melting_Curves/meltCurve_O00213_2_APBB1.pdf</t>
  </si>
  <si>
    <t>Melting_Curves/meltCurve_O00220_TNFRSF10A.pdf</t>
  </si>
  <si>
    <t>Melting_Curves/meltCurve_O00221_NFKBIE.pdf</t>
  </si>
  <si>
    <t>Melting_Curves/meltCurve_O00231_PSMD11.pdf</t>
  </si>
  <si>
    <t>Melting_Curves/meltCurve_O00232_PSMD12.pdf</t>
  </si>
  <si>
    <t>Melting_Curves/meltCurve_O00233_PSMD9.pdf</t>
  </si>
  <si>
    <t>Melting_Curves/meltCurve_O00244_ATOX1.pdf</t>
  </si>
  <si>
    <t>Melting_Curves/meltCurve_O00257_CBX4.pdf</t>
  </si>
  <si>
    <t>Melting_Curves/meltCurve_O00267_2_SUPT5H.pdf</t>
  </si>
  <si>
    <t>Melting_Curves/meltCurve_O00268_TAF4.pdf</t>
  </si>
  <si>
    <t>Melting_Curves/meltCurve_O00273_DFFA.pdf</t>
  </si>
  <si>
    <t>Melting_Curves/meltCurve_O00273_2_DFFA.pdf</t>
  </si>
  <si>
    <t>Melting_Curves/meltCurve_O00291_HIP1.pdf</t>
  </si>
  <si>
    <t>Melting_Curves/meltCurve_O00299_CLIC1.pdf</t>
  </si>
  <si>
    <t>Melting_Curves/meltCurve_O00303_EIF3F.pdf</t>
  </si>
  <si>
    <t>Melting_Curves/meltCurve_O00308_WWP2.pdf</t>
  </si>
  <si>
    <t>Melting_Curves/meltCurve_O00329_PIK3CD.pdf</t>
  </si>
  <si>
    <t>Melting_Curves/meltCurve_O00399_DCTN6.pdf</t>
  </si>
  <si>
    <t>Melting_Curves/meltCurve_O00401_WASL.pdf</t>
  </si>
  <si>
    <t>Melting_Curves/meltCurve_O00410_IPO5.pdf</t>
  </si>
  <si>
    <t>Melting_Curves/meltCurve_O00418_EEF2K.pdf</t>
  </si>
  <si>
    <t>Melting_Curves/meltCurve_O00422_SAP18.pdf</t>
  </si>
  <si>
    <t>Melting_Curves/meltCurve_O00425_IGF2BP3.pdf</t>
  </si>
  <si>
    <t>Melting_Curves/meltCurve_O00429_3_DNM1L.pdf</t>
  </si>
  <si>
    <t>Melting_Curves/meltCurve_O00429_4_DNM1L.pdf</t>
  </si>
  <si>
    <t>Melting_Curves/meltCurve_O00442_RTCA.pdf</t>
  </si>
  <si>
    <t>Melting_Curves/meltCurve_O00443_PIK3C2A.pdf</t>
  </si>
  <si>
    <t>Melting_Curves/meltCurve_O00459_PIK3R2.pdf</t>
  </si>
  <si>
    <t>Melting_Curves/meltCurve_O00468_2_AGRN.pdf</t>
  </si>
  <si>
    <t>Melting_Curves/meltCurve_O00471_EXOC5.pdf</t>
  </si>
  <si>
    <t>Melting_Curves/meltCurve_O00479_HMGN4.pdf</t>
  </si>
  <si>
    <t>Melting_Curves/meltCurve_O00487_PSMD14.pdf</t>
  </si>
  <si>
    <t>Melting_Curves/meltCurve_O00488_ZNF593.pdf</t>
  </si>
  <si>
    <t>Melting_Curves/meltCurve_O00499_6_BIN1.pdf</t>
  </si>
  <si>
    <t>Melting_Curves/meltCurve_O00505_KPNA3.pdf</t>
  </si>
  <si>
    <t>Melting_Curves/meltCurve_O00506_STK25.pdf</t>
  </si>
  <si>
    <t>Melting_Curves/meltCurve_O00512_BCL9.pdf</t>
  </si>
  <si>
    <t>Melting_Curves/meltCurve_O00560_3_SDCBP.pdf</t>
  </si>
  <si>
    <t>Melting_Curves/meltCurve_O00562_2_PITPNM1.pdf</t>
  </si>
  <si>
    <t>Melting_Curves/meltCurve_O00566_MPHOSPH10.pdf</t>
  </si>
  <si>
    <t>Melting_Curves/meltCurve_O00567_NOP56.pdf</t>
  </si>
  <si>
    <t>Melting_Curves/meltCurve_O00571_DDX3X.pdf</t>
  </si>
  <si>
    <t>Melting_Curves/meltCurve_O00592_2_PODXL.pdf</t>
  </si>
  <si>
    <t>Melting_Curves/meltCurve_O00622_CYR61.pdf</t>
  </si>
  <si>
    <t>Melting_Curves/meltCurve_O00625_PIR.pdf</t>
  </si>
  <si>
    <t>Melting_Curves/meltCurve_O00629_KPNA4.pdf</t>
  </si>
  <si>
    <t>Melting_Curves/meltCurve_O00635_TRIM38.pdf</t>
  </si>
  <si>
    <t>Melting_Curves/meltCurve_O00712_NFIB.pdf</t>
  </si>
  <si>
    <t>Melting_Curves/meltCurve_O00743_PPP6C.pdf</t>
  </si>
  <si>
    <t>Melting_Curves/meltCurve_O00746_NME4.pdf</t>
  </si>
  <si>
    <t>Melting_Curves/meltCurve_O00754_2_MAN2B1.pdf</t>
  </si>
  <si>
    <t>Melting_Curves/meltCurve_O00764_PDXK.pdf</t>
  </si>
  <si>
    <t>Melting_Curves/meltCurve_O14497_ARID1A.pdf</t>
  </si>
  <si>
    <t>Melting_Curves/meltCurve_O14519_2_CDK2AP1.pdf</t>
  </si>
  <si>
    <t>Melting_Curves/meltCurve_O14526_3_FCHO1.pdf</t>
  </si>
  <si>
    <t>Melting_Curves/meltCurve_O14530_TXNDC9.pdf</t>
  </si>
  <si>
    <t>Melting_Curves/meltCurve_O14531_DPYSL4.pdf</t>
  </si>
  <si>
    <t>Melting_Curves/meltCurve_O14544_SOCS6.pdf</t>
  </si>
  <si>
    <t>Melting_Curves/meltCurve_O14545_TRAFD1.pdf</t>
  </si>
  <si>
    <t>Melting_Curves/meltCurve_O14561_NDUFAB1.pdf</t>
  </si>
  <si>
    <t>Melting_Curves/meltCurve_O14578_4_CIT.pdf</t>
  </si>
  <si>
    <t>Melting_Curves/meltCurve_O14579_COPE.pdf</t>
  </si>
  <si>
    <t>Melting_Curves/meltCurve_O14602_EIF1AY.pdf</t>
  </si>
  <si>
    <t>Melting_Curves/meltCurve_O14617_4_AP3D1.pdf</t>
  </si>
  <si>
    <t>Melting_Curves/meltCurve_O14640_2_DVL1.pdf</t>
  </si>
  <si>
    <t>Melting_Curves/meltCurve_O14646_2_CHD1.pdf</t>
  </si>
  <si>
    <t>Melting_Curves/meltCurve_O14653_3_GOSR2.pdf</t>
  </si>
  <si>
    <t>Melting_Curves/meltCurve_O14657_TOR1B.pdf</t>
  </si>
  <si>
    <t>Melting_Curves/meltCurve_O14672_ADAM10.pdf</t>
  </si>
  <si>
    <t>Melting_Curves/meltCurve_O14686_MLL2.pdf</t>
  </si>
  <si>
    <t>Melting_Curves/meltCurve_O14732_2_IMPA2.pdf</t>
  </si>
  <si>
    <t>Melting_Curves/meltCurve_O14733_MAP2K7.pdf</t>
  </si>
  <si>
    <t>Melting_Curves/meltCurve_O14737_PDCD5.pdf</t>
  </si>
  <si>
    <t>Melting_Curves/meltCurve_O14744_PRMT5.pdf</t>
  </si>
  <si>
    <t>Melting_Curves/meltCurve_O14744_2_PRMT5.pdf</t>
  </si>
  <si>
    <t>Melting_Curves/meltCurve_O14745_SLC9A3R1.pdf</t>
  </si>
  <si>
    <t>Melting_Curves/meltCurve_O14757_CHEK1.pdf</t>
  </si>
  <si>
    <t>Melting_Curves/meltCurve_O14763_2_TNFRSF10B.pdf</t>
  </si>
  <si>
    <t>Melting_Curves/meltCurve_O14772_FPGT.pdf</t>
  </si>
  <si>
    <t>Melting_Curves/meltCurve_O14776_2_TCERG1.pdf</t>
  </si>
  <si>
    <t>Melting_Curves/meltCurve_O14777_NDC80.pdf</t>
  </si>
  <si>
    <t>Melting_Curves/meltCurve_O14782_KIF3C.pdf</t>
  </si>
  <si>
    <t>Melting_Curves/meltCurve_O14787_2_TNPO2.pdf</t>
  </si>
  <si>
    <t>Melting_Curves/meltCurve_O14795_UNC13B.pdf</t>
  </si>
  <si>
    <t>Melting_Curves/meltCurve_O14810_CPLX1.pdf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</si>
  <si>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</si>
  <si>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</si>
  <si>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</si>
  <si>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</si>
  <si>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Melting_Curves/meltCurve_O14893_3_GEMIN2.pdf</t>
  </si>
  <si>
    <t>Melting_Curves/meltCurve_O14907_TAX1BP3.pdf</t>
  </si>
  <si>
    <t>Melting_Curves/meltCurve_O14908_GIPC1.pdf</t>
  </si>
  <si>
    <t>Melting_Curves/meltCurve_O14920_IKBKB.pdf</t>
  </si>
  <si>
    <t>Melting_Curves/meltCurve_O14924_2_RGS12.pdf</t>
  </si>
  <si>
    <t>Melting_Curves/meltCurve_O14929_HAT1.pdf</t>
  </si>
  <si>
    <t>Melting_Curves/meltCurve_O14933_UBE2L6.pdf</t>
  </si>
  <si>
    <t>Melting_Curves/meltCurve_O14936_3_CASK.pdf</t>
  </si>
  <si>
    <t>Melting_Curves/meltCurve_O14964_HGS.pdf</t>
  </si>
  <si>
    <t>Melting_Curves/meltCurve_O14965_AURKA.pdf</t>
  </si>
  <si>
    <t>Melting_Curves/meltCurve_O14972_DSCR3.pdf</t>
  </si>
  <si>
    <t>Melting_Curves/meltCurve_O14974_PPP1R12A.pdf</t>
  </si>
  <si>
    <t>Melting_Curves/meltCurve_O14976_GAK.pdf</t>
  </si>
  <si>
    <t>Melting_Curves/meltCurve_O14977_AZIN1.pdf</t>
  </si>
  <si>
    <t>Melting_Curves/meltCurve_O14979_HNRPDL.pdf</t>
  </si>
  <si>
    <t>Melting_Curves/meltCurve_O14980_XPO1.pdf</t>
  </si>
  <si>
    <t>Melting_Curves/meltCurve_O14981_BTAF1.pdf</t>
  </si>
  <si>
    <t>Melting_Curves/meltCurve_O15014_ZNF609.pdf</t>
  </si>
  <si>
    <t>Melting_Curves/meltCurve_O15021_2_MAST4.pdf</t>
  </si>
  <si>
    <t>Melting_Curves/meltCurve_O15031_PLXNB2.pdf</t>
  </si>
  <si>
    <t>Melting_Curves/meltCurve_O15037_KHNYN.pdf</t>
  </si>
  <si>
    <t>Melting_Curves/meltCurve_O15040_TECPR2.pdf</t>
  </si>
  <si>
    <t>Melting_Curves/meltCurve_O15047_SETD1A.pdf</t>
  </si>
  <si>
    <t>Melting_Curves/meltCurve_O15054_KDM6B.pdf</t>
  </si>
  <si>
    <t>Melting_Curves/meltCurve_O15055_PER2.pdf</t>
  </si>
  <si>
    <t>Melting_Curves/meltCurve_O15056_SYNJ2.pdf</t>
  </si>
  <si>
    <t>Melting_Curves/meltCurve_O15061_SYNM.pdf</t>
  </si>
  <si>
    <t>Melting_Curves/meltCurve_O15066_KIF3B.pdf</t>
  </si>
  <si>
    <t>Melting_Curves/meltCurve_O15067_PFAS.pdf</t>
  </si>
  <si>
    <t>Melting_Curves/meltCurve_O15084_ANKRD28.pdf</t>
  </si>
  <si>
    <t>Melting_Curves/meltCurve_O15085_2_ARHGEF11.pdf</t>
  </si>
  <si>
    <t>Melting_Curves/meltCurve_O15111_CHUK.pdf</t>
  </si>
  <si>
    <t>Melting_Curves/meltCurve_O15116_LSM1.pdf</t>
  </si>
  <si>
    <t>Melting_Curves/meltCurve_O15118_NPC1.pdf</t>
  </si>
  <si>
    <t>Melting_Curves/meltCurve_O15119_2_TBX3.pdf</t>
  </si>
  <si>
    <t>Melting_Curves/meltCurve_O15143_ARPC1B.pdf</t>
  </si>
  <si>
    <t>Melting_Curves/meltCurve_O15144_ARPC2.pdf</t>
  </si>
  <si>
    <t>Melting_Curves/meltCurve_O15145_ARPC3.pdf</t>
  </si>
  <si>
    <t>Melting_Curves/meltCurve_O15160_2_POLR1C.pdf</t>
  </si>
  <si>
    <t>Melting_Curves/meltCurve_O15164_TRIM24.pdf</t>
  </si>
  <si>
    <t>Melting_Curves/meltCurve_O15169_2_AXIN1.pdf</t>
  </si>
  <si>
    <t>Melting_Curves/meltCurve_O15212_PFDN6.pdf</t>
  </si>
  <si>
    <t>Melting_Curves/meltCurve_O15226_NKRF.pdf</t>
  </si>
  <si>
    <t>Melting_Curves/meltCurve_O15230_LAMA5.pdf</t>
  </si>
  <si>
    <t>Melting_Curves/meltCurve_O15231_ZNF185.pdf</t>
  </si>
  <si>
    <t>Melting_Curves/meltCurve_O15231_3_ZNF185.pdf</t>
  </si>
  <si>
    <t>Melting_Curves/meltCurve_O15234_CASC3.pdf</t>
  </si>
  <si>
    <t>Melting_Curves/meltCurve_O15287_FANCG.pdf</t>
  </si>
  <si>
    <t>Melting_Curves/meltCurve_O15294_OGT.pdf</t>
  </si>
  <si>
    <t>Melting_Curves/meltCurve_O15305_PMM2.pdf</t>
  </si>
  <si>
    <t>Melting_Curves/meltCurve_O15327_INPP4B.pdf</t>
  </si>
  <si>
    <t>Melting_Curves/meltCurve_O15344_MID1.pdf</t>
  </si>
  <si>
    <t>Melting_Curves/meltCurve_O15355_PPM1G.pdf</t>
  </si>
  <si>
    <t>Melting_Curves/meltCurve_O15357_INPPL1.pdf</t>
  </si>
  <si>
    <t>Melting_Curves/meltCurve_O15370_SOX12.pdf</t>
  </si>
  <si>
    <t>Melting_Curves/meltCurve_O15372_EIF3H.pdf</t>
  </si>
  <si>
    <t>Melting_Curves/meltCurve_O15379_HDAC3.pdf</t>
  </si>
  <si>
    <t>Melting_Curves/meltCurve_O15382_BCAT2.pdf</t>
  </si>
  <si>
    <t>Melting_Curves/meltCurve_O15397_IPO8.pdf</t>
  </si>
  <si>
    <t>Melting_Curves/meltCurve_O15400_2_STX7.pdf</t>
  </si>
  <si>
    <t>Melting_Curves/meltCurve_O15417_2_TNRC18.pdf</t>
  </si>
  <si>
    <t>Melting_Curves/meltCurve_O15446_CD3EAP.pdf</t>
  </si>
  <si>
    <t>Melting_Curves/meltCurve_O15460_2_P4HA2.pdf</t>
  </si>
  <si>
    <t>Melting_Curves/meltCurve_O15498_YKT6.pdf</t>
  </si>
  <si>
    <t>Melting_Curves/meltCurve_O15511_ARPC5.pdf</t>
  </si>
  <si>
    <t>Melting_Curves/meltCurve_O15514_POLR2D.pdf</t>
  </si>
  <si>
    <t>Melting_Curves/meltCurve_O15523_DDX3Y.pdf</t>
  </si>
  <si>
    <t>Melting_Curves/meltCurve_O15541_RNF113A.pdf</t>
  </si>
  <si>
    <t>Melting_Curves/meltCurve_O43143_DHX15.pdf</t>
  </si>
  <si>
    <t>Melting_Curves/meltCurve_O43148_RNMT.pdf</t>
  </si>
  <si>
    <t>Melting_Curves/meltCurve_O43149_ZZEF1.pdf</t>
  </si>
  <si>
    <t>Melting_Curves/meltCurve_O43150_ASAP2.pdf</t>
  </si>
  <si>
    <t>Melting_Curves/meltCurve_O43156_TTI1.pdf</t>
  </si>
  <si>
    <t>Melting_Curves/meltCurve_O43159_RRP8.pdf</t>
  </si>
  <si>
    <t>Melting_Curves/meltCurve_O43164_2_PJA2.pdf</t>
  </si>
  <si>
    <t>Melting_Curves/meltCurve_O43172_2_PRPF4.pdf</t>
  </si>
  <si>
    <t>Melting_Curves/meltCurve_O43175_PHGDH.pdf</t>
  </si>
  <si>
    <t>Melting_Curves/meltCurve_O43237_DYNC1LI2.pdf</t>
  </si>
  <si>
    <t>Melting_Curves/meltCurve_O43242_PSMD3.pdf</t>
  </si>
  <si>
    <t>Melting_Curves/meltCurve_O43251_6_RBFOX2.pdf</t>
  </si>
  <si>
    <t>Melting_Curves/meltCurve_O43252_PAPSS1.pdf</t>
  </si>
  <si>
    <t>Melting_Curves/meltCurve_O43264_ZW10.pdf</t>
  </si>
  <si>
    <t>Melting_Curves/meltCurve_O43290_SART1.pdf</t>
  </si>
  <si>
    <t>Melting_Curves/meltCurve_O43293_DAPK3.pdf</t>
  </si>
  <si>
    <t>Melting_Curves/meltCurve_O43294_2_TGFB1I1.pdf</t>
  </si>
  <si>
    <t>Melting_Curves/meltCurve_O43298_ZBTB43.pdf</t>
  </si>
  <si>
    <t>Melting_Curves/meltCurve_O43301_HSPA12A.pdf</t>
  </si>
  <si>
    <t>Melting_Curves/meltCurve_O43303_2_CCP110.pdf</t>
  </si>
  <si>
    <t>Melting_Curves/meltCurve_O43310_CTIF.pdf</t>
  </si>
  <si>
    <t>Melting_Curves/meltCurve_O43314_2_PPIP5K2.pdf</t>
  </si>
  <si>
    <t>Melting_Curves/meltCurve_O43318_2_MAP3K7.pdf</t>
  </si>
  <si>
    <t>Melting_Curves/meltCurve_O43324_EEF1E1.pdf</t>
  </si>
  <si>
    <t>Melting_Curves/meltCurve_O43353_RIPK2.pdf</t>
  </si>
  <si>
    <t>Melting_Curves/meltCurve_O43379_WDR62.pdf</t>
  </si>
  <si>
    <t>Melting_Curves/meltCurve_O43390_HNRNPR.pdf</t>
  </si>
  <si>
    <t>Melting_Curves/meltCurve_O43395_PRPF3.pdf</t>
  </si>
  <si>
    <t>Melting_Curves/meltCurve_O43396_TXNL1.pdf</t>
  </si>
  <si>
    <t>Melting_Curves/meltCurve_O43399_4_TPD52L2.pdf</t>
  </si>
  <si>
    <t>Melting_Curves/meltCurve_O43399_5_TPD52L2.pdf</t>
  </si>
  <si>
    <t>Melting_Curves/meltCurve_O43402_EMC8.pdf</t>
  </si>
  <si>
    <t>Melting_Curves/meltCurve_O43414_3_ERI3.pdf</t>
  </si>
  <si>
    <t>Melting_Curves/meltCurve_O43422_2_PRKRIR.pdf</t>
  </si>
  <si>
    <t>Melting_Curves/meltCurve_O43427_2_FIBP.pdf</t>
  </si>
  <si>
    <t>Melting_Curves/meltCurve_O43432_EIF4G3.pdf</t>
  </si>
  <si>
    <t>Melting_Curves/meltCurve_O43447_PPIH.pdf</t>
  </si>
  <si>
    <t>Melting_Curves/meltCurve_O43464_3_HTRA2.pdf</t>
  </si>
  <si>
    <t>Melting_Curves/meltCurve_O43482_OIP5.pdf</t>
  </si>
  <si>
    <t>Melting_Curves/meltCurve_O43491_EPB41L2.pdf</t>
  </si>
  <si>
    <t>Melting_Curves/meltCurve_O43493_4_TGOLN2.pdf</t>
  </si>
  <si>
    <t>Melting_Curves/meltCurve_O43502_RAD51C.pdf</t>
  </si>
  <si>
    <t>Melting_Curves/meltCurve_O43513_MED7.pdf</t>
  </si>
  <si>
    <t>Melting_Curves/meltCurve_O43516_WIPF1.pdf</t>
  </si>
  <si>
    <t>Melting_Curves/meltCurve_O43542_XRCC3.pdf</t>
  </si>
  <si>
    <t>Melting_Curves/meltCurve_O43543_XRCC2.pdf</t>
  </si>
  <si>
    <t>Melting_Curves/meltCurve_O43572_AKAP10.pdf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</si>
  <si>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</si>
  <si>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</si>
  <si>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</si>
  <si>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</si>
  <si>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</si>
  <si>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</si>
  <si>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</si>
  <si>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Melting_Curves/meltCurve_O43657_TSPAN6.pdf</t>
  </si>
  <si>
    <t>Melting_Curves/meltCurve_O43660_2_PLRG1.pdf</t>
  </si>
  <si>
    <t>Melting_Curves/meltCurve_O43663_PRC1.pdf</t>
  </si>
  <si>
    <t>Melting_Curves/meltCurve_O43665_2_RGS10.pdf</t>
  </si>
  <si>
    <t>Melting_Curves/meltCurve_O43670_2_ZNF207.pdf</t>
  </si>
  <si>
    <t>Melting_Curves/meltCurve_O43674_2_NDUFB5.pdf</t>
  </si>
  <si>
    <t>Melting_Curves/meltCurve_O43678_NDUFA2.pdf</t>
  </si>
  <si>
    <t>Melting_Curves/meltCurve_O43681_ASNA1.pdf</t>
  </si>
  <si>
    <t>Melting_Curves/meltCurve_O43684_2_BUB3.pdf</t>
  </si>
  <si>
    <t>Melting_Curves/meltCurve_O43707_ACTN4.pdf</t>
  </si>
  <si>
    <t>Melting_Curves/meltCurve_O43709_WBSCR22.pdf</t>
  </si>
  <si>
    <t>Melting_Curves/meltCurve_O43715_TRIAP1.pdf</t>
  </si>
  <si>
    <t>Melting_Curves/meltCurve_O43716_GATC.pdf</t>
  </si>
  <si>
    <t>Melting_Curves/meltCurve_O43719_HTATSF1.pdf</t>
  </si>
  <si>
    <t>Melting_Curves/meltCurve_O43739_2_CYTH3.pdf</t>
  </si>
  <si>
    <t>Melting_Curves/meltCurve_O43747_AP1G1.pdf</t>
  </si>
  <si>
    <t>Melting_Curves/meltCurve_O43752_STX6.pdf</t>
  </si>
  <si>
    <t>Melting_Curves/meltCurve_O43765_SGTA.pdf</t>
  </si>
  <si>
    <t>Melting_Curves/meltCurve_O43766_2_LIAS.pdf</t>
  </si>
  <si>
    <t>Melting_Curves/meltCurve_O43768_2_ENSA.pdf</t>
  </si>
  <si>
    <t>Melting_Curves/meltCurve_O43776_NARS.pdf</t>
  </si>
  <si>
    <t>Melting_Curves/meltCurve_O43795_2_MYO1B.pdf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</si>
  <si>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</si>
  <si>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</si>
  <si>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</si>
  <si>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</si>
  <si>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</si>
  <si>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Melting_Curves/meltCurve_O43820_4_HYAL3.pdf</t>
  </si>
  <si>
    <t>Melting_Curves/meltCurve_O43823_AKAP8.pdf</t>
  </si>
  <si>
    <t>Melting_Curves/meltCurve_O43829_ZBTB14.pdf</t>
  </si>
  <si>
    <t>Melting_Curves/meltCurve_O43837_IDH3B.pdf</t>
  </si>
  <si>
    <t>Melting_Curves/meltCurve_O43847_2_NRD1.pdf</t>
  </si>
  <si>
    <t>Melting_Curves/meltCurve_O43852_CALU.pdf</t>
  </si>
  <si>
    <t>Melting_Curves/meltCurve_O43865_AHCYL1.pdf</t>
  </si>
  <si>
    <t>Melting_Curves/meltCurve_O43896_KIF1C.pdf</t>
  </si>
  <si>
    <t>Melting_Curves/meltCurve_O43913_ORC5.pdf</t>
  </si>
  <si>
    <t>Melting_Curves/meltCurve_O43924_PDE6D.pdf</t>
  </si>
  <si>
    <t>Melting_Curves/meltCurve_O43929_2_ORC4.pdf</t>
  </si>
  <si>
    <t>Melting_Curves/meltCurve_O60216_RAD21.pdf</t>
  </si>
  <si>
    <t>Melting_Curves/meltCurve_O60218_AKR1B10.pdf</t>
  </si>
  <si>
    <t>Melting_Curves/meltCurve_O60220_TIMM8A.pdf</t>
  </si>
  <si>
    <t>Melting_Curves/meltCurve_O60231_DHX16.pdf</t>
  </si>
  <si>
    <t>Melting_Curves/meltCurve_O60239_SH3BP5.pdf</t>
  </si>
  <si>
    <t>Melting_Curves/meltCurve_O60256_PRPSAP2.pdf</t>
  </si>
  <si>
    <t>Melting_Curves/meltCurve_O60264_SMARCA5.pdf</t>
  </si>
  <si>
    <t>Melting_Curves/meltCurve_O60269_GPRIN2.pdf</t>
  </si>
  <si>
    <t>Melting_Curves/meltCurve_O60271_SPAG9.pdf</t>
  </si>
  <si>
    <t>Melting_Curves/meltCurve_O60271_4_SPAG9.pdf</t>
  </si>
  <si>
    <t>Melting_Curves/meltCurve_O60271_9_SPAG9.pdf</t>
  </si>
  <si>
    <t>Melting_Curves/meltCurve_O60281_2_ZNF292.pdf</t>
  </si>
  <si>
    <t>Melting_Curves/meltCurve_O60291_MGRN1.pdf</t>
  </si>
  <si>
    <t>Melting_Curves/meltCurve_O60292_SIPA1L3.pdf</t>
  </si>
  <si>
    <t>Melting_Curves/meltCurve_O60294_LCMT2.pdf</t>
  </si>
  <si>
    <t>Melting_Curves/meltCurve_O60303_KIAA0556.pdf</t>
  </si>
  <si>
    <t>Melting_Curves/meltCurve_O60306_AQR.pdf</t>
  </si>
  <si>
    <t>Melting_Curves/meltCurve_O60318_MCM3AP.pdf</t>
  </si>
  <si>
    <t>Melting_Curves/meltCurve_O60333_2_KIF1B.pdf</t>
  </si>
  <si>
    <t>Melting_Curves/meltCurve_O60333_3_KIF1B.pdf</t>
  </si>
  <si>
    <t>Melting_Curves/meltCurve_O60341_KDM1A.pdf</t>
  </si>
  <si>
    <t>Melting_Curves/meltCurve_O60343_2_TBC1D4.pdf</t>
  </si>
  <si>
    <t>Melting_Curves/meltCurve_O60344_4_ECE2.pdf</t>
  </si>
  <si>
    <t>Melting_Curves/meltCurve_O60346_PHLPP1.pdf</t>
  </si>
  <si>
    <t>Melting_Curves/meltCurve_O60347_TBC1D12.pdf</t>
  </si>
  <si>
    <t>Melting_Curves/meltCurve_O60353_2_FZD6.pdf</t>
  </si>
  <si>
    <t>Melting_Curves/meltCurve_O60361_NME2P1.pdf</t>
  </si>
  <si>
    <t>Melting_Curves/meltCurve_O60443_DFNA5.pdf</t>
  </si>
  <si>
    <t>Melting_Curves/meltCurve_O60447_EVI5.pdf</t>
  </si>
  <si>
    <t>Melting_Curves/meltCurve_O60462_4_NRP2.pdf</t>
  </si>
  <si>
    <t>Melting_Curves/meltCurve_O60488_2_ACSL4.pdf</t>
  </si>
  <si>
    <t>Melting_Curves/meltCurve_O60493_SNX3.pdf</t>
  </si>
  <si>
    <t>Melting_Curves/meltCurve_O60502_MGEA5.pdf</t>
  </si>
  <si>
    <t>Melting_Curves/meltCurve_O60504_SORBS3.pdf</t>
  </si>
  <si>
    <t>Melting_Curves/meltCurve_O60506_2_SYNCRIP.pdf</t>
  </si>
  <si>
    <t>Melting_Curves/meltCurve_O60518_RANBP6.pdf</t>
  </si>
  <si>
    <t>Melting_Curves/meltCurve_O60524_4_NEMF.pdf</t>
  </si>
  <si>
    <t>Melting_Curves/meltCurve_O60547_2_GMDS.pdf</t>
  </si>
  <si>
    <t>Melting_Curves/meltCurve_O60551_NMT2.pdf</t>
  </si>
  <si>
    <t>Melting_Curves/meltCurve_O60563_CCNT1.pdf</t>
  </si>
  <si>
    <t>Melting_Curves/meltCurve_O60566_BUB1B.pdf</t>
  </si>
  <si>
    <t>Melting_Curves/meltCurve_O60568_PLOD3.pdf</t>
  </si>
  <si>
    <t>Melting_Curves/meltCurve_O60613_SEP15.pdf</t>
  </si>
  <si>
    <t>Melting_Curves/meltCurve_O60645_3_EXOC3.pdf</t>
  </si>
  <si>
    <t>Melting_Curves/meltCurve_O60664_PLIN3.pdf</t>
  </si>
  <si>
    <t>Melting_Curves/meltCurve_O60671_RAD1.pdf</t>
  </si>
  <si>
    <t>Melting_Curves/meltCurve_O60678_PRMT3.pdf</t>
  </si>
  <si>
    <t>Melting_Curves/meltCurve_O60701_UGDH.pdf</t>
  </si>
  <si>
    <t>Melting_Curves/meltCurve_O60716_5_CTNND1.pdf</t>
  </si>
  <si>
    <t>Melting_Curves/meltCurve_O60749_SNX2.pdf</t>
  </si>
  <si>
    <t>Melting_Curves/meltCurve_O60763_USO1.pdf</t>
  </si>
  <si>
    <t>Melting_Curves/meltCurve_O60783_MRPS14.pdf</t>
  </si>
  <si>
    <t>Melting_Curves/meltCurve_O60826_CCDC22.pdf</t>
  </si>
  <si>
    <t>Melting_Curves/meltCurve_O60828_2_PQBP1.pdf</t>
  </si>
  <si>
    <t>Melting_Curves/meltCurve_O60832_DKC1.pdf</t>
  </si>
  <si>
    <t>Melting_Curves/meltCurve_O60841_EIF5B.pdf</t>
  </si>
  <si>
    <t>Melting_Curves/meltCurve_O60869_EDF1.pdf</t>
  </si>
  <si>
    <t>Melting_Curves/meltCurve_O60884_DNAJA2.pdf</t>
  </si>
  <si>
    <t>Melting_Curves/meltCurve_O60885_BRD4.pdf</t>
  </si>
  <si>
    <t>Melting_Curves/meltCurve_O60888_3_CUTA.pdf</t>
  </si>
  <si>
    <t>Melting_Curves/meltCurve_O60907_2_TBL1X.pdf</t>
  </si>
  <si>
    <t>Melting_Curves/meltCurve_O60921_HUS1.pdf</t>
  </si>
  <si>
    <t>Melting_Curves/meltCurve_O60925_PFDN1.pdf</t>
  </si>
  <si>
    <t>Melting_Curves/meltCurve_O60927_PPP1R11.pdf</t>
  </si>
  <si>
    <t>Melting_Curves/meltCurve_O60934_NBN.pdf</t>
  </si>
  <si>
    <t>Melting_Curves/meltCurve_O60942_RNGTT.pdf</t>
  </si>
  <si>
    <t>Melting_Curves/meltCurve_O75030_12_MITF.pdf</t>
  </si>
  <si>
    <t>Melting_Curves/meltCurve_O75044_SRGAP2.pdf</t>
  </si>
  <si>
    <t>Melting_Curves/meltCurve_O75064_DENND4B.pdf</t>
  </si>
  <si>
    <t>Melting_Curves/meltCurve_O75083_WDR1.pdf</t>
  </si>
  <si>
    <t>Melting_Curves/meltCurve_O75094_SLIT3.pdf</t>
  </si>
  <si>
    <t>Melting_Curves/meltCurve_O75113_N4BP1.pdf</t>
  </si>
  <si>
    <t>Melting_Curves/meltCurve_O75116_ROCK2.pdf</t>
  </si>
  <si>
    <t>Melting_Curves/meltCurve_O75131_CPNE3.pdf</t>
  </si>
  <si>
    <t>Melting_Curves/meltCurve_O75143_3_ATG13.pdf</t>
  </si>
  <si>
    <t>Melting_Curves/meltCurve_O75146_HIP1R.pdf</t>
  </si>
  <si>
    <t>Melting_Curves/meltCurve_O75150_RNF40.pdf</t>
  </si>
  <si>
    <t>Melting_Curves/meltCurve_O75151_PHF2.pdf</t>
  </si>
  <si>
    <t>Melting_Curves/meltCurve_O75152_ZC3H11A.pdf</t>
  </si>
  <si>
    <t>Melting_Curves/meltCurve_O75157_2_TSC22D2.pdf</t>
  </si>
  <si>
    <t>Melting_Curves/meltCurve_O75164_KDM4A.pdf</t>
  </si>
  <si>
    <t>Melting_Curves/meltCurve_O75165_DNAJC13.pdf</t>
  </si>
  <si>
    <t>Melting_Curves/meltCurve_O75170_4_PPP6R2.pdf</t>
  </si>
  <si>
    <t>Melting_Curves/meltCurve_O75175_CNOT3.pdf</t>
  </si>
  <si>
    <t>Melting_Curves/meltCurve_O75179_2_ANKRD17.pdf</t>
  </si>
  <si>
    <t>Melting_Curves/meltCurve_O75190_DNAJB6.pdf</t>
  </si>
  <si>
    <t>Melting_Curves/meltCurve_O75191_XYLB.pdf</t>
  </si>
  <si>
    <t>Melting_Curves/meltCurve_O75208_COQ9.pdf</t>
  </si>
  <si>
    <t>Melting_Curves/meltCurve_O75223_GGCT.pdf</t>
  </si>
  <si>
    <t>Melting_Curves/meltCurve_O75312_ZNF259.pdf</t>
  </si>
  <si>
    <t>Melting_Curves/meltCurve_O75323_GBAS.pdf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</si>
  <si>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</si>
  <si>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</si>
  <si>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</si>
  <si>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</si>
  <si>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</si>
  <si>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Melting_Curves/meltCurve_O75362_ZNF217.pdf</t>
  </si>
  <si>
    <t>Melting_Curves/meltCurve_O75367_2_H2AFY.pdf</t>
  </si>
  <si>
    <t>Melting_Curves/meltCurve_O75368_SH3BGRL.pdf</t>
  </si>
  <si>
    <t>Melting_Curves/meltCurve_O75369_8_FLNB.pdf</t>
  </si>
  <si>
    <t>Melting_Curves/meltCurve_O75376_NCOR1.pdf</t>
  </si>
  <si>
    <t>Melting_Curves/meltCurve_O75380_NDUFS6.pdf</t>
  </si>
  <si>
    <t>Melting_Curves/meltCurve_O75385_ULK1.pdf</t>
  </si>
  <si>
    <t>Melting_Curves/meltCurve_O75391_SPAG7.pdf</t>
  </si>
  <si>
    <t>Melting_Curves/meltCurve_O75396_SEC22B.pdf</t>
  </si>
  <si>
    <t>Melting_Curves/meltCurve_O75400_2_PRPF40A.pdf</t>
  </si>
  <si>
    <t>Melting_Curves/meltCurve_O75410_7_TACC1.pdf</t>
  </si>
  <si>
    <t>Melting_Curves/meltCurve_O75419_2_CDC45.pdf</t>
  </si>
  <si>
    <t>Melting_Curves/meltCurve_O75420_GIGYF1.pdf</t>
  </si>
  <si>
    <t>Melting_Curves/meltCurve_O75436_VPS26A.pdf</t>
  </si>
  <si>
    <t>Melting_Curves/meltCurve_O75439_PMPCB.pdf</t>
  </si>
  <si>
    <t>Melting_Curves/meltCurve_O75449_KATNA1.pdf</t>
  </si>
  <si>
    <t>Melting_Curves/meltCurve_O75475_PSIP1.pdf</t>
  </si>
  <si>
    <t>Melting_Curves/meltCurve_O75503_CLN5.pdf</t>
  </si>
  <si>
    <t>Melting_Curves/meltCurve_O75506_HSBP1.pdf</t>
  </si>
  <si>
    <t>Melting_Curves/meltCurve_O75521_2_ECI2.pdf</t>
  </si>
  <si>
    <t>Melting_Curves/meltCurve_O75530_3_EED.pdf</t>
  </si>
  <si>
    <t>Melting_Curves/meltCurve_O75531_BANF1.pdf</t>
  </si>
  <si>
    <t>Melting_Curves/meltCurve_O75533_SF3B1.pdf</t>
  </si>
  <si>
    <t>Melting_Curves/meltCurve_O75534_CSDE1.pdf</t>
  </si>
  <si>
    <t>Melting_Curves/meltCurve_O75554_WBP4.pdf</t>
  </si>
  <si>
    <t>Melting_Curves/meltCurve_O75582_RPS6KA5.pdf</t>
  </si>
  <si>
    <t>Melting_Curves/meltCurve_O75607_NPM3.pdf</t>
  </si>
  <si>
    <t>Melting_Curves/meltCurve_O75608_2_LYPLA1.pdf</t>
  </si>
  <si>
    <t>Melting_Curves/meltCurve_O75629_CREG1.pdf</t>
  </si>
  <si>
    <t>Melting_Curves/meltCurve_O75643_SNRNP200.pdf</t>
  </si>
  <si>
    <t>Melting_Curves/meltCurve_O75663_TIPRL.pdf</t>
  </si>
  <si>
    <t>Melting_Curves/meltCurve_O75683_SURF6.pdf</t>
  </si>
  <si>
    <t>Melting_Curves/meltCurve_O75688_PPM1B.pdf</t>
  </si>
  <si>
    <t>Melting_Curves/meltCurve_O75691_UTP20.pdf</t>
  </si>
  <si>
    <t>Melting_Curves/meltCurve_O75717_WDHD1.pdf</t>
  </si>
  <si>
    <t>Melting_Curves/meltCurve_O75771_5_RAD51D.pdf</t>
  </si>
  <si>
    <t>Melting_Curves/meltCurve_O75781_PALM.pdf</t>
  </si>
  <si>
    <t>Melting_Curves/meltCurve_O75792_RNASEH2A.pdf</t>
  </si>
  <si>
    <t>Melting_Curves/meltCurve_O75794_CDC123.pdf</t>
  </si>
  <si>
    <t>Melting_Curves/meltCurve_O75808_SOLH.pdf</t>
  </si>
  <si>
    <t>Melting_Curves/meltCurve_O75815_BCAR3.pdf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</si>
  <si>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</si>
  <si>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</si>
  <si>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</si>
  <si>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</si>
  <si>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Melting_Curves/meltCurve_O75843_AP1G2.pdf</t>
  </si>
  <si>
    <t>Melting_Curves/meltCurve_O75865_TRAPPC6A.pdf</t>
  </si>
  <si>
    <t>Melting_Curves/meltCurve_O75874_IDH1.pdf</t>
  </si>
  <si>
    <t>Melting_Curves/meltCurve_O75882_2_ATRN.pdf</t>
  </si>
  <si>
    <t>Melting_Curves/meltCurve_O75884_RBBP9.pdf</t>
  </si>
  <si>
    <t>Melting_Curves/meltCurve_O75886_STAM2.pdf</t>
  </si>
  <si>
    <t>Melting_Curves/meltCurve_O75896_TUSC2.pdf</t>
  </si>
  <si>
    <t>Melting_Curves/meltCurve_O75909_CCNK.pdf</t>
  </si>
  <si>
    <t>Melting_Curves/meltCurve_O75915_ARL6IP5.pdf</t>
  </si>
  <si>
    <t>Melting_Curves/meltCurve_O75928_3_PIAS2.pdf</t>
  </si>
  <si>
    <t>Melting_Curves/meltCurve_O75934_BCAS2.pdf</t>
  </si>
  <si>
    <t>Melting_Curves/meltCurve_O75935_DCTN3.pdf</t>
  </si>
  <si>
    <t>Melting_Curves/meltCurve_O75937_DNAJC8.pdf</t>
  </si>
  <si>
    <t>Melting_Curves/meltCurve_O75940_SMNDC1.pdf</t>
  </si>
  <si>
    <t>Melting_Curves/meltCurve_O75962_TRIO.pdf</t>
  </si>
  <si>
    <t>Melting_Curves/meltCurve_O75970_3_MPDZ.pdf</t>
  </si>
  <si>
    <t>Melting_Curves/meltCurve_O76003_GLRX3.pdf</t>
  </si>
  <si>
    <t>Melting_Curves/meltCurve_O76021_RSL1D1.pdf</t>
  </si>
  <si>
    <t>Melting_Curves/meltCurve_O76024_WFS1.pdf</t>
  </si>
  <si>
    <t>Melting_Curves/meltCurve_O76031_CLPX.pdf</t>
  </si>
  <si>
    <t>Melting_Curves/meltCurve_O76041_2_NEBL.pdf</t>
  </si>
  <si>
    <t>Melting_Curves/meltCurve_O76054_SEC14L2.pdf</t>
  </si>
  <si>
    <t>Melting_Curves/meltCurve_O76070_SNCG.pdf</t>
  </si>
  <si>
    <t>Melting_Curves/meltCurve_O76071_CIAO1.pdf</t>
  </si>
  <si>
    <t>Melting_Curves/meltCurve_O76075_DFFB.pdf</t>
  </si>
  <si>
    <t>Melting_Curves/meltCurve_O76080_ZFAND5.pdf</t>
  </si>
  <si>
    <t>Melting_Curves/meltCurve_O76081_6_RGS20.pdf</t>
  </si>
  <si>
    <t>Melting_Curves/meltCurve_O76094_SRP72.pdf</t>
  </si>
  <si>
    <t>Melting_Curves/meltCurve_O77932_DOM3Z.pdf</t>
  </si>
  <si>
    <t>Melting_Curves/meltCurve_O94760_DDAH1.pdf</t>
  </si>
  <si>
    <t>Melting_Curves/meltCurve_O94761_RECQL4.pdf</t>
  </si>
  <si>
    <t>Melting_Curves/meltCurve_O94763_URI1.pdf</t>
  </si>
  <si>
    <t>Melting_Curves/meltCurve_O94763_4_URI1.pdf</t>
  </si>
  <si>
    <t>Melting_Curves/meltCurve_O94776_MTA2.pdf</t>
  </si>
  <si>
    <t>Melting_Curves/meltCurve_O94782_USP1.pdf</t>
  </si>
  <si>
    <t>Melting_Curves/meltCurve_O94788_4_ALDH1A2.pdf</t>
  </si>
  <si>
    <t>Melting_Curves/meltCurve_O94804_STK10.pdf</t>
  </si>
  <si>
    <t>Melting_Curves/meltCurve_O94806_PRKD3.pdf</t>
  </si>
  <si>
    <t>Melting_Curves/meltCurve_O94808_GFPT2.pdf</t>
  </si>
  <si>
    <t>Melting_Curves/meltCurve_O94811_TPPP.pdf</t>
  </si>
  <si>
    <t>Melting_Curves/meltCurve_O94817_ATG12.pdf</t>
  </si>
  <si>
    <t>Melting_Curves/meltCurve_O94819_KBTBD11.pdf</t>
  </si>
  <si>
    <t>Melting_Curves/meltCurve_O94822_LTN1.pdf</t>
  </si>
  <si>
    <t>Melting_Curves/meltCurve_O94826_TOMM70A.pdf</t>
  </si>
  <si>
    <t>Melting_Curves/meltCurve_O94829_IPO13.pdf</t>
  </si>
  <si>
    <t>Melting_Curves/meltCurve_O94830_DDHD2.pdf</t>
  </si>
  <si>
    <t>Melting_Curves/meltCurve_O94851_5_MICAL2.pdf</t>
  </si>
  <si>
    <t>Melting_Curves/meltCurve_O94854_2_KIAA0754.pdf</t>
  </si>
  <si>
    <t>Melting_Curves/meltCurve_O94855_SEC24D.pdf</t>
  </si>
  <si>
    <t>Melting_Curves/meltCurve_O94864_2_SUPT7L.pdf</t>
  </si>
  <si>
    <t>Melting_Curves/meltCurve_O94868_FCHSD2.pdf</t>
  </si>
  <si>
    <t>Melting_Curves/meltCurve_O94874_UFL1.pdf</t>
  </si>
  <si>
    <t>Melting_Curves/meltCurve_O94880_PHF14.pdf</t>
  </si>
  <si>
    <t>Melting_Curves/meltCurve_O94885_SASH1.pdf</t>
  </si>
  <si>
    <t>Melting_Curves/meltCurve_O94887_FARP2.pdf</t>
  </si>
  <si>
    <t>Melting_Curves/meltCurve_O94888_UBXN7.pdf</t>
  </si>
  <si>
    <t>Melting_Curves/meltCurve_O94889_KLHL18.pdf</t>
  </si>
  <si>
    <t>Melting_Curves/meltCurve_O94903_PROSC.pdf</t>
  </si>
  <si>
    <t>Melting_Curves/meltCurve_O94906_2_PRPF6.pdf</t>
  </si>
  <si>
    <t>Melting_Curves/meltCurve_O94907_DKK1.pdf</t>
  </si>
  <si>
    <t>Melting_Curves/meltCurve_O94913_PCF11.pdf</t>
  </si>
  <si>
    <t>Melting_Curves/meltCurve_O94916_NFAT5.pdf</t>
  </si>
  <si>
    <t>Melting_Curves/meltCurve_O94925_GLS.pdf</t>
  </si>
  <si>
    <t>Melting_Curves/meltCurve_O94925_3_GLS.pdf</t>
  </si>
  <si>
    <t>Melting_Curves/meltCurve_O94927_HAUS5.pdf</t>
  </si>
  <si>
    <t>Melting_Curves/meltCurve_O94941_2_UBOX5.pdf</t>
  </si>
  <si>
    <t>Melting_Curves/meltCurve_O94952_1_FBXO21.pdf</t>
  </si>
  <si>
    <t>Melting_Curves/meltCurve_O94964_2_SOGA1.pdf</t>
  </si>
  <si>
    <t>Melting_Curves/meltCurve_O94966_7_USP19.pdf</t>
  </si>
  <si>
    <t>Melting_Curves/meltCurve_O94967_2_WDR47.pdf</t>
  </si>
  <si>
    <t>Melting_Curves/meltCurve_O94972_2_TRIM37.pdf</t>
  </si>
  <si>
    <t>Melting_Curves/meltCurve_O94973_AP2A2.pdf</t>
  </si>
  <si>
    <t>Melting_Curves/meltCurve_O94992_HEXIM1.pdf</t>
  </si>
  <si>
    <t>Melting_Curves/meltCurve_O95059_RPP14.pdf</t>
  </si>
  <si>
    <t>Melting_Curves/meltCurve_O95067_CCNB2.pdf</t>
  </si>
  <si>
    <t>Melting_Curves/meltCurve_O95081_AGFG2.pdf</t>
  </si>
  <si>
    <t>Melting_Curves/meltCurve_O95104_SCAF4.pdf</t>
  </si>
  <si>
    <t>Melting_Curves/meltCurve_O95149_SNUPN.pdf</t>
  </si>
  <si>
    <t>Melting_Curves/meltCurve_O95155_2_UBE4B.pdf</t>
  </si>
  <si>
    <t>Melting_Curves/meltCurve_O95163_IKBKAP.pdf</t>
  </si>
  <si>
    <t>Melting_Curves/meltCurve_O95197_7_RTN3.pdf</t>
  </si>
  <si>
    <t>Melting_Curves/meltCurve_O95202_LETM1.pdf</t>
  </si>
  <si>
    <t>Melting_Curves/meltCurve_O95205_MBLL.pdf</t>
  </si>
  <si>
    <t>Melting_Curves/meltCurve_O95218_2_ZRANB2.pdf</t>
  </si>
  <si>
    <t>Melting_Curves/meltCurve_O95219_SNX4.pdf</t>
  </si>
  <si>
    <t>Melting_Curves/meltCurve_O95229_ZWINT.pdf</t>
  </si>
  <si>
    <t>Melting_Curves/meltCurve_O95231_VENTX.pdf</t>
  </si>
  <si>
    <t>Melting_Curves/meltCurve_O95232_LUC7L3.pdf</t>
  </si>
  <si>
    <t>Melting_Curves/meltCurve_O95235_KIF20A.pdf</t>
  </si>
  <si>
    <t>Melting_Curves/meltCurve_O95239_KIF4A.pdf</t>
  </si>
  <si>
    <t>Melting_Curves/meltCurve_O95243_3_MBD4.pdf</t>
  </si>
  <si>
    <t>Melting_Curves/meltCurve_O95248_SBF1.pdf</t>
  </si>
  <si>
    <t>Melting_Curves/meltCurve_O95249_GOSR1.pdf</t>
  </si>
  <si>
    <t>Melting_Curves/meltCurve_O95251_4_KAT7.pdf</t>
  </si>
  <si>
    <t>Melting_Curves/meltCurve_O95273_CCNDBP1.pdf</t>
  </si>
  <si>
    <t>Melting_Curves/meltCurve_O95292_VAPB.pdf</t>
  </si>
  <si>
    <t>Melting_Curves/meltCurve_O95295_SNAPIN.pdf</t>
  </si>
  <si>
    <t>Melting_Curves/meltCurve_O95297_4_MPZL1.pdf</t>
  </si>
  <si>
    <t>Melting_Curves/meltCurve_O95302_FKBP9.pdf</t>
  </si>
  <si>
    <t>Melting_Curves/meltCurve_O95336_PGLS.pdf</t>
  </si>
  <si>
    <t>Melting_Curves/meltCurve_O95340_PAPSS2.pdf</t>
  </si>
  <si>
    <t>Melting_Curves/meltCurve_O95347_SMC2.pdf</t>
  </si>
  <si>
    <t>Melting_Curves/meltCurve_O95352_ATG7.pdf</t>
  </si>
  <si>
    <t>Melting_Curves/meltCurve_O95361_TRIM16.pdf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</si>
  <si>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</si>
  <si>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</si>
  <si>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</si>
  <si>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</si>
  <si>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Melting_Curves/meltCurve_O95379_3_TNFAIP8.pdf</t>
  </si>
  <si>
    <t>Melting_Curves/meltCurve_O95391_SLU7.pdf</t>
  </si>
  <si>
    <t>Melting_Curves/meltCurve_O95394_PGM3.pdf</t>
  </si>
  <si>
    <t>Melting_Curves/meltCurve_O95396_MOCS3.pdf</t>
  </si>
  <si>
    <t>Melting_Curves/meltCurve_O95399_UTS2.pdf</t>
  </si>
  <si>
    <t>Melting_Curves/meltCurve_O95400_CD2BP2.pdf</t>
  </si>
  <si>
    <t>Melting_Curves/meltCurve_O95402_MED26.pdf</t>
  </si>
  <si>
    <t>Melting_Curves/meltCurve_O95405_ZFYVE9.pdf</t>
  </si>
  <si>
    <t>Melting_Curves/meltCurve_O95425_SVIL.pdf</t>
  </si>
  <si>
    <t>Melting_Curves/meltCurve_O95429_2_BAG4.pdf</t>
  </si>
  <si>
    <t>Melting_Curves/meltCurve_O95433_AHSA1.pdf</t>
  </si>
  <si>
    <t>Melting_Curves/meltCurve_O95453_2_PARN.pdf</t>
  </si>
  <si>
    <t>Melting_Curves/meltCurve_O95456_PSMG1.pdf</t>
  </si>
  <si>
    <t>Melting_Curves/meltCurve_O95466_FMNL1.pdf</t>
  </si>
  <si>
    <t>Melting_Curves/meltCurve_O95479_H6PD.pdf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</si>
  <si>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</si>
  <si>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</si>
  <si>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</si>
  <si>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</si>
  <si>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Melting_Curves/meltCurve_O95568_METTL18.pdf</t>
  </si>
  <si>
    <t>Melting_Curves/meltCurve_O95571_ETHE1.pdf</t>
  </si>
  <si>
    <t>Melting_Curves/meltCurve_O95602_POLR1A.pdf</t>
  </si>
  <si>
    <t>Melting_Curves/meltCurve_O95619_YEATS4.pdf</t>
  </si>
  <si>
    <t>Melting_Curves/meltCurve_O95620_DUS4L.pdf</t>
  </si>
  <si>
    <t>Melting_Curves/meltCurve_O95628_3_CNOT4.pdf</t>
  </si>
  <si>
    <t>Melting_Curves/meltCurve_O95630_STAMBP.pdf</t>
  </si>
  <si>
    <t>Melting_Curves/meltCurve_O95671_2_ASMTL.pdf</t>
  </si>
  <si>
    <t>Melting_Curves/meltCurve_O95684_FGFR1OP.pdf</t>
  </si>
  <si>
    <t>Melting_Curves/meltCurve_O95685_PPP1R3D.pdf</t>
  </si>
  <si>
    <t>Melting_Curves/meltCurve_O95707_POP4.pdf</t>
  </si>
  <si>
    <t>Melting_Curves/meltCurve_O95714_HERC2.pdf</t>
  </si>
  <si>
    <t>Melting_Curves/meltCurve_O95716_RAB3D.pdf</t>
  </si>
  <si>
    <t>Melting_Curves/meltCurve_O95721_SNAP29.pdf</t>
  </si>
  <si>
    <t>Melting_Curves/meltCurve_O95747_OXSR1.pdf</t>
  </si>
  <si>
    <t>Melting_Curves/meltCurve_O95749_GGPS1.pdf</t>
  </si>
  <si>
    <t>Melting_Curves/meltCurve_O95757_HSPA4L.pdf</t>
  </si>
  <si>
    <t>Melting_Curves/meltCurve_O95758_1_PTBP3.pdf</t>
  </si>
  <si>
    <t>Melting_Curves/meltCurve_O95759_TBC1D8.pdf</t>
  </si>
  <si>
    <t>Melting_Curves/meltCurve_O95777_NAA38.pdf</t>
  </si>
  <si>
    <t>Melting_Curves/meltCurve_O95782_2_AP2A1.pdf</t>
  </si>
  <si>
    <t>Melting_Curves/meltCurve_O95786_2_DDX58.pdf</t>
  </si>
  <si>
    <t>Melting_Curves/meltCurve_O95801_TTC4.pdf</t>
  </si>
  <si>
    <t>Melting_Curves/meltCurve_O95810_SDPR.pdf</t>
  </si>
  <si>
    <t>Melting_Curves/meltCurve_O95816_BAG2.pdf</t>
  </si>
  <si>
    <t>Melting_Curves/meltCurve_O95817_BAG3.pdf</t>
  </si>
  <si>
    <t>Melting_Curves/meltCurve_O95825_CRYZL1.pdf</t>
  </si>
  <si>
    <t>Melting_Curves/meltCurve_O95831_3_AIFM1.pdf</t>
  </si>
  <si>
    <t>Melting_Curves/meltCurve_O95833_CLIC3.pdf</t>
  </si>
  <si>
    <t>Melting_Curves/meltCurve_O95834_2_EML2.pdf</t>
  </si>
  <si>
    <t>Melting_Curves/meltCurve_O95835_LATS1.pdf</t>
  </si>
  <si>
    <t>Melting_Curves/meltCurve_O95848_NUDT14.pdf</t>
  </si>
  <si>
    <t>Melting_Curves/meltCurve_O95861_BPNT1.pdf</t>
  </si>
  <si>
    <t>Melting_Curves/meltCurve_O95865_DDAH2.pdf</t>
  </si>
  <si>
    <t>Melting_Curves/meltCurve_O95881_TXNDC12.pdf</t>
  </si>
  <si>
    <t>Melting_Curves/meltCurve_O95905_ECD.pdf</t>
  </si>
  <si>
    <t>Melting_Curves/meltCurve_O95926_SYF2.pdf</t>
  </si>
  <si>
    <t>Melting_Curves/meltCurve_O95985_TOP3B.pdf</t>
  </si>
  <si>
    <t>Melting_Curves/meltCurve_O95989_NUDT3.pdf</t>
  </si>
  <si>
    <t>Melting_Curves/meltCurve_O95994_AGR2.pdf</t>
  </si>
  <si>
    <t>Melting_Curves/meltCurve_O95997_PTTG1.pdf</t>
  </si>
  <si>
    <t>Melting_Curves/meltCurve_O95999_BCL10.pdf</t>
  </si>
  <si>
    <t>Melting_Curves/meltCurve_O96006_ZBED1.pdf</t>
  </si>
  <si>
    <t>Melting_Curves/meltCurve_O96007_MOCS2.pdf</t>
  </si>
  <si>
    <t>Melting_Curves/meltCurve_O96013_PAK4.pdf</t>
  </si>
  <si>
    <t>Melting_Curves/meltCurve_O96017_CHEK2.pdf</t>
  </si>
  <si>
    <t>Melting_Curves/meltCurve_O96019_ACTL6A.pdf</t>
  </si>
  <si>
    <t>Melting_Curves/meltCurve_O96028_WHSC1.pdf</t>
  </si>
  <si>
    <t>Melting_Curves/meltCurve_O96033_MOCS2.pdf</t>
  </si>
  <si>
    <t>Melting_Curves/meltCurve_P00325_ADH1B.pdf</t>
  </si>
  <si>
    <t>Melting_Curves/meltCurve_P00338_LDHA.pdf</t>
  </si>
  <si>
    <t>Melting_Curves/meltCurve_P00352_ALDH1A1.pdf</t>
  </si>
  <si>
    <t>Melting_Curves/meltCurve_P00374_DHFR.pdf</t>
  </si>
  <si>
    <t>Melting_Curves/meltCurve_P00387_2_CYB5R3.pdf</t>
  </si>
  <si>
    <t>Melting_Curves/meltCurve_P00390_2_GSR.pdf</t>
  </si>
  <si>
    <t>Melting_Curves/meltCurve_P00450_CP.pdf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</si>
  <si>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</si>
  <si>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</si>
  <si>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</si>
  <si>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</si>
  <si>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Melting_Curves/meltCurve_P00533_EGFR.pdf</t>
  </si>
  <si>
    <t>Melting_Curves/meltCurve_P00558_PGK1.pdf</t>
  </si>
  <si>
    <t>Melting_Curves/meltCurve_P00568_AK1.pdf</t>
  </si>
  <si>
    <t>Melting_Curves/meltCurve_P00813_ADA.pdf</t>
  </si>
  <si>
    <t>Melting_Curves/meltCurve_P00966_ASS1.pdf</t>
  </si>
  <si>
    <t>Melting_Curves/meltCurve_P01009_SERPINA1.pdf</t>
  </si>
  <si>
    <t>Melting_Curves/meltCurve_P01023_A2M.pdf</t>
  </si>
  <si>
    <t>Melting_Curves/meltCurve_P01024_C3.pdf</t>
  </si>
  <si>
    <t>Melting_Curves/meltCurve_P01034_CST3.pdf</t>
  </si>
  <si>
    <t>Melting_Curves/meltCurve_P01042_3_KNG1.pdf</t>
  </si>
  <si>
    <t>Melting_Curves/meltCurve_P01111_NRAS.pdf</t>
  </si>
  <si>
    <t>Melting_Curves/meltCurve_P01116_2_KRAS.pdf</t>
  </si>
  <si>
    <t>Melting_Curves/meltCurve_P01130_3_LDLR.pdf</t>
  </si>
  <si>
    <t>Melting_Curves/meltCurve_P01137_TGFB1.pdf</t>
  </si>
  <si>
    <t>Melting_Curves/meltCurve_P01859_IGHG2.pdf</t>
  </si>
  <si>
    <t>Melting_Curves/meltCurve_P02452_COL1A1.pdf</t>
  </si>
  <si>
    <t>Melting_Curves/meltCurve_P02462_COL4A1.pdf</t>
  </si>
  <si>
    <t>Melting_Curves/meltCurve_P02545_LMNA.pdf</t>
  </si>
  <si>
    <t>Melting_Curves/meltCurve_P02545_2_LMNA.pdf</t>
  </si>
  <si>
    <t>Melting_Curves/meltCurve_P02647_APOA1.pdf</t>
  </si>
  <si>
    <t>Melting_Curves/meltCurve_P02656_APOC3.pdf</t>
  </si>
  <si>
    <t>Melting_Curves/meltCurve_P02751_12_FN1.pdf</t>
  </si>
  <si>
    <t>Melting_Curves/meltCurve_P02763_ORM1.pdf</t>
  </si>
  <si>
    <t>Melting_Curves/meltCurve_P02765_AHSG.pdf</t>
  </si>
  <si>
    <t>Melting_Curves/meltCurve_P02771_AFP.pdf</t>
  </si>
  <si>
    <t>Melting_Curves/meltCurve_P02774_GC.pdf</t>
  </si>
  <si>
    <t>Melting_Curves/meltCurve_P02786_TFRC.pdf</t>
  </si>
  <si>
    <t>Melting_Curves/meltCurve_P02790_HPX.pdf</t>
  </si>
  <si>
    <t>Melting_Curves/meltCurve_P02794_FTH1.pdf</t>
  </si>
  <si>
    <t>Melting_Curves/meltCurve_P02795_MT2A.pdf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</si>
  <si>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</si>
  <si>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</si>
  <si>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</si>
  <si>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</si>
  <si>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Melting_Curves/meltCurve_P04114_APOB.pdf</t>
  </si>
  <si>
    <t>Melting_Curves/meltCurve_P04150_2_NR3C1.pdf</t>
  </si>
  <si>
    <t>Melting_Curves/meltCurve_P04156_2_PRNP.pdf</t>
  </si>
  <si>
    <t>Melting_Curves/meltCurve_P04181_OAT.pdf</t>
  </si>
  <si>
    <t>Melting_Curves/meltCurve_P04183_TK1.pdf</t>
  </si>
  <si>
    <t>Melting_Curves/meltCurve_P04259_KRT6B.pdf</t>
  </si>
  <si>
    <t>Melting_Curves/meltCurve_P04264_KRT1.pdf</t>
  </si>
  <si>
    <t>Melting_Curves/meltCurve_P04350_TUBB4A.pdf</t>
  </si>
  <si>
    <t>Melting_Curves/meltCurve_P04406_GAPDH.pdf</t>
  </si>
  <si>
    <t>Melting_Curves/meltCurve_P04424_ASL.pdf</t>
  </si>
  <si>
    <t>Melting_Curves/meltCurve_P04626_4_ERBB2.pdf</t>
  </si>
  <si>
    <t>Melting_Curves/meltCurve_P04632_CAPNS1.pdf</t>
  </si>
  <si>
    <t>Melting_Curves/meltCurve_P04731_MT1A.pdf</t>
  </si>
  <si>
    <t>Melting_Curves/meltCurve_P04733_MT1F.pdf</t>
  </si>
  <si>
    <t>Melting_Curves/meltCurve_P04792_HSPB1.pdf</t>
  </si>
  <si>
    <t>Melting_Curves/meltCurve_P04818_TYMS.pdf</t>
  </si>
  <si>
    <t>Melting_Curves/meltCurve_P04899_GNAI2.pdf</t>
  </si>
  <si>
    <t>Melting_Curves/meltCurve_P04920_2_SLC4A2.pdf</t>
  </si>
  <si>
    <t>Melting_Curves/meltCurve_P05091_ALDH2.pdf</t>
  </si>
  <si>
    <t>Melting_Curves/meltCurve_P05114_HMGN1.pdf</t>
  </si>
  <si>
    <t>Melting_Curves/meltCurve_P05121_SERPINE1.pdf</t>
  </si>
  <si>
    <t>Melting_Curves/meltCurve_P05161_ISG15.pdf</t>
  </si>
  <si>
    <t>Melting_Curves/meltCurve_P05165_2_PCCA.pdf</t>
  </si>
  <si>
    <t>Melting_Curves/meltCurve_P05198_EIF2S1.pdf</t>
  </si>
  <si>
    <t>Melting_Curves/meltCurve_P05204_HMGN2.pdf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</si>
  <si>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</si>
  <si>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</si>
  <si>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</si>
  <si>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</si>
  <si>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Melting_Curves/meltCurve_P05423_POLR3D.pdf</t>
  </si>
  <si>
    <t>Melting_Curves/meltCurve_P05455_SSB.pdf</t>
  </si>
  <si>
    <t>Melting_Curves/meltCurve_P05556_ITGB1.pdf</t>
  </si>
  <si>
    <t>Melting_Curves/meltCurve_P05783_KRT18.pdf</t>
  </si>
  <si>
    <t>Melting_Curves/meltCurve_P05787_KRT8.pdf</t>
  </si>
  <si>
    <t>Melting_Curves/meltCurve_P05814_CSN2.pdf</t>
  </si>
  <si>
    <t>Melting_Curves/meltCurve_P05976_2_MYL1.pdf</t>
  </si>
  <si>
    <t>Melting_Curves/meltCurve_P05997_COL5A2.pdf</t>
  </si>
  <si>
    <t>Melting_Curves/meltCurve_P06132_UROD.pdf</t>
  </si>
  <si>
    <t>Melting_Curves/meltCurve_P06280_GLA.pdf</t>
  </si>
  <si>
    <t>Melting_Curves/meltCurve_P06400_RB1.pdf</t>
  </si>
  <si>
    <t>Melting_Curves/meltCurve_P06493_CDK1.pdf</t>
  </si>
  <si>
    <t>Melting_Curves/meltCurve_P06576_ATP5B.pdf</t>
  </si>
  <si>
    <t>Melting_Curves/meltCurve_P06730_EIF4E.pdf</t>
  </si>
  <si>
    <t>Melting_Curves/meltCurve_P06733_ENO1.pdf</t>
  </si>
  <si>
    <t>Melting_Curves/meltCurve_P06737_2_PYGL.pdf</t>
  </si>
  <si>
    <t>Melting_Curves/meltCurve_P06744_GPI.pdf</t>
  </si>
  <si>
    <t>Melting_Curves/meltCurve_P06748_NPM1.pdf</t>
  </si>
  <si>
    <t>Melting_Curves/meltCurve_P06753_2_TPM3.pdf</t>
  </si>
  <si>
    <t>Melting_Curves/meltCurve_P06753_3_TPM3.pdf</t>
  </si>
  <si>
    <t>Melting_Curves/meltCurve_P06756_3_ITGAV.pdf</t>
  </si>
  <si>
    <t>Melting_Curves/meltCurve_P06865_HEXA.pdf</t>
  </si>
  <si>
    <t>Melting_Curves/meltCurve_P07093_2_SERPINE2.pdf</t>
  </si>
  <si>
    <t>Melting_Curves/meltCurve_P07108_DBI.pdf</t>
  </si>
  <si>
    <t>Melting_Curves/meltCurve_P07148_FABP1.pdf</t>
  </si>
  <si>
    <t>Melting_Curves/meltCurve_P07195_LDHB.pdf</t>
  </si>
  <si>
    <t>Melting_Curves/meltCurve_P07199_CENPB.pdf</t>
  </si>
  <si>
    <t>Melting_Curves/meltCurve_P07203_GPX1.pdf</t>
  </si>
  <si>
    <t>Melting_Curves/meltCurve_P07204_THBD.pdf</t>
  </si>
  <si>
    <t>Melting_Curves/meltCurve_P07205_PGK2.pdf</t>
  </si>
  <si>
    <t>Melting_Curves/meltCurve_P07237_P4HB.pdf</t>
  </si>
  <si>
    <t>Melting_Curves/meltCurve_P07305_2_H1F0.pdf</t>
  </si>
  <si>
    <t>Melting_Curves/meltCurve_P07311_ACYP1.pdf</t>
  </si>
  <si>
    <t>Melting_Curves/meltCurve_P07355_ANXA2.pdf</t>
  </si>
  <si>
    <t>Melting_Curves/meltCurve_P07384_CAPN1.pdf</t>
  </si>
  <si>
    <t>Melting_Curves/meltCurve_P07498_CSN3.pdf</t>
  </si>
  <si>
    <t>Melting_Curves/meltCurve_P07602_PSAP.pdf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</si>
  <si>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</si>
  <si>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</si>
  <si>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</si>
  <si>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</si>
  <si>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</si>
  <si>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</si>
  <si>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</si>
  <si>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</si>
  <si>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</si>
  <si>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</si>
  <si>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Melting_Curves/meltCurve_P07942_LAMB1.pdf</t>
  </si>
  <si>
    <t>Melting_Curves/meltCurve_P07947_YES1.pdf</t>
  </si>
  <si>
    <t>Melting_Curves/meltCurve_P07951_TPM2.pdf</t>
  </si>
  <si>
    <t>Melting_Curves/meltCurve_P07951_2_TPM2.pdf</t>
  </si>
  <si>
    <t>Melting_Curves/meltCurve_P07954_2_FH.pdf</t>
  </si>
  <si>
    <t>Melting_Curves/meltCurve_P07992_ERCC1.pdf</t>
  </si>
  <si>
    <t>Melting_Curves/meltCurve_P07996_THBS1.pdf</t>
  </si>
  <si>
    <t>Melting_Curves/meltCurve_P08047_SP1.pdf</t>
  </si>
  <si>
    <t>Melting_Curves/meltCurve_P08107_HSPA1A.pdf</t>
  </si>
  <si>
    <t>Melting_Curves/meltCurve_P08133_ANXA6.pdf</t>
  </si>
  <si>
    <t>Melting_Curves/meltCurve_P08195_2_SLC3A2.pdf</t>
  </si>
  <si>
    <t>Melting_Curves/meltCurve_P08237_PFKM.pdf</t>
  </si>
  <si>
    <t>Melting_Curves/meltCurve_P08238_HSP90AB1.pdf</t>
  </si>
  <si>
    <t>Melting_Curves/meltCurve_P08240_2_SRPR.pdf</t>
  </si>
  <si>
    <t>Melting_Curves/meltCurve_P08243_2_ASNS.pdf</t>
  </si>
  <si>
    <t>Melting_Curves/meltCurve_P08397_2_HMBS.pdf</t>
  </si>
  <si>
    <t>Melting_Curves/meltCurve_P08559_3_PDHA1.pdf</t>
  </si>
  <si>
    <t>Melting_Curves/meltCurve_P08572_COL4A2.pdf</t>
  </si>
  <si>
    <t>Melting_Curves/meltCurve_P08579_SNRPB2.pdf</t>
  </si>
  <si>
    <t>Melting_Curves/meltCurve_P08581_MET.pdf</t>
  </si>
  <si>
    <t>Melting_Curves/meltCurve_P08582_MFI2.pdf</t>
  </si>
  <si>
    <t>Melting_Curves/meltCurve_P08621_SNRNP70.pdf</t>
  </si>
  <si>
    <t>Melting_Curves/meltCurve_P08651_2_NFIC.pdf</t>
  </si>
  <si>
    <t>Melting_Curves/meltCurve_P08670_VIM.pdf</t>
  </si>
  <si>
    <t>Melting_Curves/meltCurve_P08727_KRT19.pdf</t>
  </si>
  <si>
    <t>Melting_Curves/meltCurve_P08729_KRT7.pdf</t>
  </si>
  <si>
    <t>Melting_Curves/meltCurve_P08754_GNAI3.pdf</t>
  </si>
  <si>
    <t>Melting_Curves/meltCurve_P08779_KRT16.pdf</t>
  </si>
  <si>
    <t>Melting_Curves/meltCurve_P09012_SNRPA.pdf</t>
  </si>
  <si>
    <t>Melting_Curves/meltCurve_P09038_2_FGF2.pdf</t>
  </si>
  <si>
    <t>Melting_Curves/meltCurve_P09110_ACAA1.pdf</t>
  </si>
  <si>
    <t>Melting_Curves/meltCurve_P09132_SRP19.pdf</t>
  </si>
  <si>
    <t>Melting_Curves/meltCurve_P09234_SNRPC.pdf</t>
  </si>
  <si>
    <t>Melting_Curves/meltCurve_P09382_LGALS1.pdf</t>
  </si>
  <si>
    <t>Melting_Curves/meltCurve_P09417_QDPR.pdf</t>
  </si>
  <si>
    <t>Melting_Curves/meltCurve_P09429_HMGB1.pdf</t>
  </si>
  <si>
    <t>Melting_Curves/meltCurve_P09455_RBP1.pdf</t>
  </si>
  <si>
    <t>Melting_Curves/meltCurve_P09493_10_TPM1.pdf</t>
  </si>
  <si>
    <t>Melting_Curves/meltCurve_P09493_3_TPM1.pdf</t>
  </si>
  <si>
    <t>Melting_Curves/meltCurve_P09493_9_TPM1.pdf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</si>
  <si>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</si>
  <si>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</si>
  <si>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</si>
  <si>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</si>
  <si>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Melting_Curves/meltCurve_P09601_HMOX1.pdf</t>
  </si>
  <si>
    <t>Melting_Curves/meltCurve_P09622_DLD.pdf</t>
  </si>
  <si>
    <t>Melting_Curves/meltCurve_P09661_SNRPA1.pdf</t>
  </si>
  <si>
    <t>Melting_Curves/meltCurve_P09668_CTSH.pdf</t>
  </si>
  <si>
    <t>Melting_Curves/meltCurve_P09874_PARP1.pdf</t>
  </si>
  <si>
    <t>Melting_Curves/meltCurve_P09884_POLA1.pdf</t>
  </si>
  <si>
    <t>Melting_Curves/meltCurve_P09936_UCHL1.pdf</t>
  </si>
  <si>
    <t>Melting_Curves/meltCurve_P09960_LTA4H.pdf</t>
  </si>
  <si>
    <t>Melting_Curves/meltCurve_P09972_ALDOC.pdf</t>
  </si>
  <si>
    <t>Melting_Curves/meltCurve_P0C7T5_ATXN1L.pdf</t>
  </si>
  <si>
    <t>Melting_Curves/meltCurve_P0CAP2_POLR2M.pdf</t>
  </si>
  <si>
    <t>Melting_Curves/meltCurve_P0CG12_CHTF8.pdf</t>
  </si>
  <si>
    <t>Melting_Curves/meltCurve_P0CG35_TMSB15B.pdf</t>
  </si>
  <si>
    <t>Melting_Curves/meltCurve_P0CW22_RPS17L.pdf</t>
  </si>
  <si>
    <t>Melting_Curves/meltCurve_P0DI82_TRAPPC2P1.pdf</t>
  </si>
  <si>
    <t>Melting_Curves/meltCurve_P0DI83_RAB34.pdf</t>
  </si>
  <si>
    <t>Melting_Curves/meltCurve_P10070_GLI2.pdf</t>
  </si>
  <si>
    <t>Melting_Curves/meltCurve_P10075_GLI4.pdf</t>
  </si>
  <si>
    <t>Melting_Curves/meltCurve_P10109_FDX1.pdf</t>
  </si>
  <si>
    <t>Melting_Curves/meltCurve_P10155_TROVE2.pdf</t>
  </si>
  <si>
    <t>Melting_Curves/meltCurve_P10253_GAA.pdf</t>
  </si>
  <si>
    <t>Melting_Curves/meltCurve_P10301_RRAS.pdf</t>
  </si>
  <si>
    <t>Melting_Curves/meltCurve_P10398_ARAF.pdf</t>
  </si>
  <si>
    <t>Melting_Curves/meltCurve_P10412_HIST1H1E.pdf</t>
  </si>
  <si>
    <t>Melting_Curves/meltCurve_P10451_5_SPP1.pdf</t>
  </si>
  <si>
    <t>Melting_Curves/meltCurve_P10515_DLAT.pdf</t>
  </si>
  <si>
    <t>Melting_Curves/meltCurve_P10586_2_PTPRF.pdf</t>
  </si>
  <si>
    <t>Melting_Curves/meltCurve_P10606_COX5B.pdf</t>
  </si>
  <si>
    <t>Melting_Curves/meltCurve_P10619_CTSA.pdf</t>
  </si>
  <si>
    <t>Melting_Curves/meltCurve_P10644_PRKAR1A.pdf</t>
  </si>
  <si>
    <t>Melting_Curves/meltCurve_P10746_UROS.pdf</t>
  </si>
  <si>
    <t>Melting_Curves/meltCurve_P10768_ESD.pdf</t>
  </si>
  <si>
    <t>Melting_Curves/meltCurve_P10809_HSPD1.pdf</t>
  </si>
  <si>
    <t>Melting_Curves/meltCurve_P10909_4_CLU.pdf</t>
  </si>
  <si>
    <t>Melting_Curves/meltCurve_P11021_HSPA5.pdf</t>
  </si>
  <si>
    <t>Melting_Curves/meltCurve_P11047_LAMC1.pdf</t>
  </si>
  <si>
    <t>Melting_Curves/meltCurve_P11117_ACP2.pdf</t>
  </si>
  <si>
    <t>Melting_Curves/meltCurve_P11137_3_MAP2.pdf</t>
  </si>
  <si>
    <t>Melting_Curves/meltCurve_P11142_HSPA8.pdf</t>
  </si>
  <si>
    <t>Melting_Curves/meltCurve_P11171_3_EPB41.pdf</t>
  </si>
  <si>
    <t>Melting_Curves/meltCurve_P11172_UMPS.pdf</t>
  </si>
  <si>
    <t>Melting_Curves/meltCurve_P11177_3_PDHB.pdf</t>
  </si>
  <si>
    <t>Melting_Curves/meltCurve_P11182_DBT.pdf</t>
  </si>
  <si>
    <t>Melting_Curves/meltCurve_P11216_PYGB.pdf</t>
  </si>
  <si>
    <t>Melting_Curves/meltCurve_P11233_RALA.pdf</t>
  </si>
  <si>
    <t>Melting_Curves/meltCurve_P11274_BCR.pdf</t>
  </si>
  <si>
    <t>Melting_Curves/meltCurve_P11279_LAMP1.pdf</t>
  </si>
  <si>
    <t>Melting_Curves/meltCurve_P11310_ACADM.pdf</t>
  </si>
  <si>
    <t>Melting_Curves/meltCurve_P11387_TOP1.pdf</t>
  </si>
  <si>
    <t>Melting_Curves/meltCurve_P11388_TOP2A.pdf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</si>
  <si>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</si>
  <si>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</si>
  <si>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</si>
  <si>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</si>
  <si>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</si>
  <si>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</si>
  <si>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</si>
  <si>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Melting_Curves/meltCurve_P11908_PRPS2.pdf</t>
  </si>
  <si>
    <t>Melting_Curves/meltCurve_P11926_ODC1.pdf</t>
  </si>
  <si>
    <t>Melting_Curves/meltCurve_P11940_PABPC1.pdf</t>
  </si>
  <si>
    <t>Melting_Curves/meltCurve_P12004_PCNA.pdf</t>
  </si>
  <si>
    <t>Melting_Curves/meltCurve_P12109_COL6A1.pdf</t>
  </si>
  <si>
    <t>Melting_Curves/meltCurve_P12270_TPR.pdf</t>
  </si>
  <si>
    <t>Melting_Curves/meltCurve_P12277_CKB.pdf</t>
  </si>
  <si>
    <t>Melting_Curves/meltCurve_P12429_ANXA3.pdf</t>
  </si>
  <si>
    <t>Melting_Curves/meltCurve_P12532_CKMT1A.pdf</t>
  </si>
  <si>
    <t>Melting_Curves/meltCurve_P12694_BCKDHA.pdf</t>
  </si>
  <si>
    <t>Melting_Curves/meltCurve_P12814_ACTN1.pdf</t>
  </si>
  <si>
    <t>Melting_Curves/meltCurve_P12931_SRC.pdf</t>
  </si>
  <si>
    <t>Melting_Curves/meltCurve_P12955_PEPD.pdf</t>
  </si>
  <si>
    <t>Melting_Curves/meltCurve_P12956_XRCC6.pdf</t>
  </si>
  <si>
    <t>Melting_Curves/meltCurve_P13010_XRCC5.pdf</t>
  </si>
  <si>
    <t>Melting_Curves/meltCurve_P13051_UNG.pdf</t>
  </si>
  <si>
    <t>Melting_Curves/meltCurve_P13056_NR2C1.pdf</t>
  </si>
  <si>
    <t>Melting_Curves/meltCurve_P13489_RNH1.pdf</t>
  </si>
  <si>
    <t>Melting_Curves/meltCurve_P13498_CYBA.pdf</t>
  </si>
  <si>
    <t>Melting_Curves/meltCurve_P13639_EEF2.pdf</t>
  </si>
  <si>
    <t>Melting_Curves/meltCurve_P13647_KRT5.pdf</t>
  </si>
  <si>
    <t>Melting_Curves/meltCurve_P13667_PDIA4.pdf</t>
  </si>
  <si>
    <t>Melting_Curves/meltCurve_P13674_2_P4HA1.pdf</t>
  </si>
  <si>
    <t>Melting_Curves/meltCurve_P13693_TPT1.pdf</t>
  </si>
  <si>
    <t>Melting_Curves/meltCurve_P13797_PLS3.pdf</t>
  </si>
  <si>
    <t>Melting_Curves/meltCurve_P13798_APEH.pdf</t>
  </si>
  <si>
    <t>Melting_Curves/meltCurve_P13804_ETFA.pdf</t>
  </si>
  <si>
    <t>Melting_Curves/meltCurve_P13807_2_GYS1.pdf</t>
  </si>
  <si>
    <t>Melting_Curves/meltCurve_P13861_PRKAR2A.pdf</t>
  </si>
  <si>
    <t>Melting_Curves/meltCurve_P13928_ANXA8.pdf</t>
  </si>
  <si>
    <t>Melting_Curves/meltCurve_P13929_ENO3.pdf</t>
  </si>
  <si>
    <t>Melting_Curves/meltCurve_P13984_GTF2F2.pdf</t>
  </si>
  <si>
    <t>Melting_Curves/meltCurve_P13995_MTHFD2.pdf</t>
  </si>
  <si>
    <t>Melting_Curves/meltCurve_P14174_MIF.pdf</t>
  </si>
  <si>
    <t>Melting_Curves/meltCurve_P14314_2_PRKCSH.pdf</t>
  </si>
  <si>
    <t>Melting_Curves/meltCurve_P14324_2_FDPS.pdf</t>
  </si>
  <si>
    <t>Melting_Curves/meltCurve_P14550_AKR1A1.pdf</t>
  </si>
  <si>
    <t>Melting_Curves/meltCurve_P14618_PKM.pdf</t>
  </si>
  <si>
    <t>Melting_Curves/meltCurve_P14618_2_PKM.pdf</t>
  </si>
  <si>
    <t>Melting_Curves/meltCurve_P14621_ACYP2.pdf</t>
  </si>
  <si>
    <t>Melting_Curves/meltCurve_P14625_HSP90B1.pdf</t>
  </si>
  <si>
    <t>Melting_Curves/meltCurve_P14635_CCNB1.pdf</t>
  </si>
  <si>
    <t>Melting_Curves/meltCurve_P14649_MYL6B.pdf</t>
  </si>
  <si>
    <t>Melting_Curves/meltCurve_P14678_2_SNRPB.pdf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</si>
  <si>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</si>
  <si>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</si>
  <si>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</si>
  <si>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</si>
  <si>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</si>
  <si>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</si>
  <si>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Melting_Curves/meltCurve_P15056_BRAF.pdf</t>
  </si>
  <si>
    <t>Melting_Curves/meltCurve_P15121_AKR1B1.pdf</t>
  </si>
  <si>
    <t>Melting_Curves/meltCurve_P15151_3_PVR.pdf</t>
  </si>
  <si>
    <t>Melting_Curves/meltCurve_P15170_2_GSPT1.pdf</t>
  </si>
  <si>
    <t>Melting_Curves/meltCurve_P15248_IL9.pdf</t>
  </si>
  <si>
    <t>Melting_Curves/meltCurve_P15289_ARSA.pdf</t>
  </si>
  <si>
    <t>Melting_Curves/meltCurve_P15311_EZR.pdf</t>
  </si>
  <si>
    <t>Melting_Curves/meltCurve_P15374_UCHL3.pdf</t>
  </si>
  <si>
    <t>Melting_Curves/meltCurve_P15428_HPGD.pdf</t>
  </si>
  <si>
    <t>Melting_Curves/meltCurve_P15529_15_CD46.pdf</t>
  </si>
  <si>
    <t>Melting_Curves/meltCurve_P15531_NME1.pdf</t>
  </si>
  <si>
    <t>Melting_Curves/meltCurve_P15735_2_PHKG2.pdf</t>
  </si>
  <si>
    <t>Melting_Curves/meltCurve_P15822_HIVEP1.pdf</t>
  </si>
  <si>
    <t>Melting_Curves/meltCurve_P15848_ARSB.pdf</t>
  </si>
  <si>
    <t>Melting_Curves/meltCurve_P15880_RPS2.pdf</t>
  </si>
  <si>
    <t>Melting_Curves/meltCurve_P15882_CHN1.pdf</t>
  </si>
  <si>
    <t>Melting_Curves/meltCurve_P15924_DSP.pdf</t>
  </si>
  <si>
    <t>Melting_Curves/meltCurve_P15927_RPA2.pdf</t>
  </si>
  <si>
    <t>Melting_Curves/meltCurve_P16070_18_CD44.pdf</t>
  </si>
  <si>
    <t>Melting_Curves/meltCurve_P16144_4_ITGB4.pdf</t>
  </si>
  <si>
    <t>Melting_Curves/meltCurve_P16152_CBR1.pdf</t>
  </si>
  <si>
    <t>Melting_Curves/meltCurve_P16157_11_ANK1.pdf</t>
  </si>
  <si>
    <t>Melting_Curves/meltCurve_P16220_2_CREB1.pdf</t>
  </si>
  <si>
    <t>Melting_Curves/meltCurve_P16278_3_GLB1.pdf</t>
  </si>
  <si>
    <t>Melting_Curves/meltCurve_P16298_PPP3CB.pdf</t>
  </si>
  <si>
    <t>Melting_Curves/meltCurve_P16333_NCK1.pdf</t>
  </si>
  <si>
    <t>Melting_Curves/meltCurve_P16383_GCFC2.pdf</t>
  </si>
  <si>
    <t>Melting_Curves/meltCurve_P16401_HIST1H1B.pdf</t>
  </si>
  <si>
    <t>Melting_Curves/meltCurve_P16403_HIST1H1C.pdf</t>
  </si>
  <si>
    <t>Melting_Curves/meltCurve_P16455_MGMT.pdf</t>
  </si>
  <si>
    <t>Melting_Curves/meltCurve_P16885_PLCG2.pdf</t>
  </si>
  <si>
    <t>Melting_Curves/meltCurve_P16930_FAH.pdf</t>
  </si>
  <si>
    <t>Melting_Curves/meltCurve_P16949_STMN1.pdf</t>
  </si>
  <si>
    <t>Melting_Curves/meltCurve_P16989_YBX3.pdf</t>
  </si>
  <si>
    <t>Melting_Curves/meltCurve_P16989_2_YBX3.pdf</t>
  </si>
  <si>
    <t>Melting_Curves/meltCurve_P17028_ZNF24.pdf</t>
  </si>
  <si>
    <t>Melting_Curves/meltCurve_P17029_ZKSCAN1.pdf</t>
  </si>
  <si>
    <t>Melting_Curves/meltCurve_P17039_ZNF30.pdf</t>
  </si>
  <si>
    <t>Melting_Curves/meltCurve_P17050_NAGA.pdf</t>
  </si>
  <si>
    <t>Melting_Curves/meltCurve_P17066_HSPA6.pdf</t>
  </si>
  <si>
    <t>Melting_Curves/meltCurve_P17096_HMGA1.pdf</t>
  </si>
  <si>
    <t>Melting_Curves/meltCurve_P17098_ZNF8.pdf</t>
  </si>
  <si>
    <t>Melting_Curves/meltCurve_P17174_GOT1.pdf</t>
  </si>
  <si>
    <t>Melting_Curves/meltCurve_P17252_PRKCA.pdf</t>
  </si>
  <si>
    <t>Melting_Curves/meltCurve_P17275_JUNB.pdf</t>
  </si>
  <si>
    <t>Melting_Curves/meltCurve_P17302_GJA1.pdf</t>
  </si>
  <si>
    <t>Melting_Curves/meltCurve_P17480_2_UBTF.pdf</t>
  </si>
  <si>
    <t>Melting_Curves/meltCurve_P17516_AKR1C4.pdf</t>
  </si>
  <si>
    <t>Melting_Curves/meltCurve_P17535_JUND.pdf</t>
  </si>
  <si>
    <t>Melting_Curves/meltCurve_P17544_4_ATF7.pdf</t>
  </si>
  <si>
    <t>Melting_Curves/meltCurve_P17612_PRKACA.pdf</t>
  </si>
  <si>
    <t>Melting_Curves/meltCurve_P17655_CAPN2.pdf</t>
  </si>
  <si>
    <t>Melting_Curves/meltCurve_P17706_2_PTPN2.pdf</t>
  </si>
  <si>
    <t>Melting_Curves/meltCurve_P17707_AMD1.pdf</t>
  </si>
  <si>
    <t>Melting_Curves/meltCurve_P17812_CTPS1.pdf</t>
  </si>
  <si>
    <t>Melting_Curves/meltCurve_P17858_PFKL.pdf</t>
  </si>
  <si>
    <t>Melting_Curves/meltCurve_P17900_GM2A.pdf</t>
  </si>
  <si>
    <t>Melting_Curves/meltCurve_P17931_LGALS3.pdf</t>
  </si>
  <si>
    <t>Melting_Curves/meltCurve_P17987_TCP1.pdf</t>
  </si>
  <si>
    <t>Melting_Curves/meltCurve_P18031_PTPN1.pdf</t>
  </si>
  <si>
    <t>Melting_Curves/meltCurve_P18065_IGFBP2.pdf</t>
  </si>
  <si>
    <t>Melting_Curves/meltCurve_P18077_RPL35A.pdf</t>
  </si>
  <si>
    <t>Melting_Curves/meltCurve_P18084_ITGB5.pdf</t>
  </si>
  <si>
    <t>Melting_Curves/meltCurve_P18085_ARF4.pdf</t>
  </si>
  <si>
    <t>Melting_Curves/meltCurve_P18124_RPL7.pdf</t>
  </si>
  <si>
    <t>Melting_Curves/meltCurve_P18206_2_VCL.pdf</t>
  </si>
  <si>
    <t>Melting_Curves/meltCurve_P18283_GPX2.pdf</t>
  </si>
  <si>
    <t>Melting_Curves/meltCurve_P18440_NAT1.pdf</t>
  </si>
  <si>
    <t>Melting_Curves/meltCurve_P18583_10_SON.pdf</t>
  </si>
  <si>
    <t>Melting_Curves/meltCurve_P18615_NELFE.pdf</t>
  </si>
  <si>
    <t>Melting_Curves/meltCurve_P18669_PGAM1.pdf</t>
  </si>
  <si>
    <t>Melting_Curves/meltCurve_P18827_SDC1.pdf</t>
  </si>
  <si>
    <t>Melting_Curves/meltCurve_P18846_ATF1.pdf</t>
  </si>
  <si>
    <t>Melting_Curves/meltCurve_P18858_LIG1.pdf</t>
  </si>
  <si>
    <t>Melting_Curves/meltCurve_P18887_XRCC1.pdf</t>
  </si>
  <si>
    <t>Melting_Curves/meltCurve_P19105_MYL12A.pdf</t>
  </si>
  <si>
    <t>Melting_Curves/meltCurve_P19174_2_PLCG1.pdf</t>
  </si>
  <si>
    <t>Melting_Curves/meltCurve_P19338_NCL.pdf</t>
  </si>
  <si>
    <t>Melting_Curves/meltCurve_P19367_4_HK1.pdf</t>
  </si>
  <si>
    <t>Melting_Curves/meltCurve_P19387_POLR2C.pdf</t>
  </si>
  <si>
    <t>Melting_Curves/meltCurve_P19388_POLR2E.pdf</t>
  </si>
  <si>
    <t>Melting_Curves/meltCurve_P19404_NDUFV2.pdf</t>
  </si>
  <si>
    <t>Melting_Curves/meltCurve_P19419_ELK1.pdf</t>
  </si>
  <si>
    <t>Melting_Curves/meltCurve_P19440_GGT1.pdf</t>
  </si>
  <si>
    <t>Melting_Curves/meltCurve_P19447_ERCC3.pdf</t>
  </si>
  <si>
    <t>Melting_Curves/meltCurve_P19525_EIF2AK2.pdf</t>
  </si>
  <si>
    <t>Melting_Curves/meltCurve_P19532_TFE3.pdf</t>
  </si>
  <si>
    <t>Melting_Curves/meltCurve_P19623_SRM.pdf</t>
  </si>
  <si>
    <t>Melting_Curves/meltCurve_P19784_CSNK2A2.pdf</t>
  </si>
  <si>
    <t>Melting_Curves/meltCurve_P19835_CEL.pdf</t>
  </si>
  <si>
    <t>Melting_Curves/meltCurve_P19838_NFKB1.pdf</t>
  </si>
  <si>
    <t>Melting_Curves/meltCurve_P19971_TYMP.pdf</t>
  </si>
  <si>
    <t>Melting_Curves/meltCurve_P20042_EIF2S2.pdf</t>
  </si>
  <si>
    <t>Melting_Curves/meltCurve_P20248_CCNA2.pdf</t>
  </si>
  <si>
    <t>Melting_Curves/meltCurve_P20290_BTF3.pdf</t>
  </si>
  <si>
    <t>Melting_Curves/meltCurve_P20290_2_BTF3.pdf</t>
  </si>
  <si>
    <t>Melting_Curves/meltCurve_P20337_RAB3B.pdf</t>
  </si>
  <si>
    <t>Melting_Curves/meltCurve_P20338_RAB4A.pdf</t>
  </si>
  <si>
    <t>Melting_Curves/meltCurve_P20340_2_RAB6A.pdf</t>
  </si>
  <si>
    <t>Melting_Curves/meltCurve_P20585_MSH3.pdf</t>
  </si>
  <si>
    <t>Melting_Curves/meltCurve_P20618_PSMB1.pdf</t>
  </si>
  <si>
    <t>Melting_Curves/meltCurve_P20674_COX5A.pdf</t>
  </si>
  <si>
    <t>Melting_Curves/meltCurve_P20700_LMNB1.pdf</t>
  </si>
  <si>
    <t>Melting_Curves/meltCurve_P20742_PZP.pdf</t>
  </si>
  <si>
    <t>Melting_Curves/meltCurve_P20749_BCL3.pdf</t>
  </si>
  <si>
    <t>Melting_Curves/meltCurve_P20810_5_CAST.pdf</t>
  </si>
  <si>
    <t>Melting_Curves/meltCurve_P20810_6_CAST.pdf</t>
  </si>
  <si>
    <t>Melting_Curves/meltCurve_P20839_2_IMPDH1.pdf</t>
  </si>
  <si>
    <t>Melting_Curves/meltCurve_P20908_COL5A1.pdf</t>
  </si>
  <si>
    <t>Melting_Curves/meltCurve_P20936_2_RASA1.pdf</t>
  </si>
  <si>
    <t>Melting_Curves/meltCurve_P20962_PTMS.pdf</t>
  </si>
  <si>
    <t>Melting_Curves/meltCurve_P21127_8_CDK11B.pdf</t>
  </si>
  <si>
    <t>Melting_Curves/meltCurve_P21266_GSTM3.pdf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</si>
  <si>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</si>
  <si>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</si>
  <si>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</si>
  <si>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</si>
  <si>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Melting_Curves/meltCurve_P21359_2_NF1.pdf</t>
  </si>
  <si>
    <t>Melting_Curves/meltCurve_P21399_ACO1.pdf</t>
  </si>
  <si>
    <t>Melting_Curves/meltCurve_P21549_AGXT.pdf</t>
  </si>
  <si>
    <t>Melting_Curves/meltCurve_P21580_TNFAIP3.pdf</t>
  </si>
  <si>
    <t>Melting_Curves/meltCurve_P21953_BCKDHB.pdf</t>
  </si>
  <si>
    <t>Melting_Curves/meltCurve_P21964_2_COMT.pdf</t>
  </si>
  <si>
    <t>Melting_Curves/meltCurve_P21980_TGM2.pdf</t>
  </si>
  <si>
    <t>Melting_Curves/meltCurve_P22033_MUT.pdf</t>
  </si>
  <si>
    <t>Melting_Curves/meltCurve_P22059_OSBP.pdf</t>
  </si>
  <si>
    <t>Melting_Curves/meltCurve_P22061_PCMT1.pdf</t>
  </si>
  <si>
    <t>Melting_Curves/meltCurve_P22087_FBL.pdf</t>
  </si>
  <si>
    <t>Melting_Curves/meltCurve_P22102_GART.pdf</t>
  </si>
  <si>
    <t>Melting_Curves/meltCurve_P22307_7_SCP2.pdf</t>
  </si>
  <si>
    <t>Melting_Curves/meltCurve_P22314_UBA1.pdf</t>
  </si>
  <si>
    <t>Melting_Curves/meltCurve_P22392_2_NME2.pdf</t>
  </si>
  <si>
    <t>Melting_Curves/meltCurve_P22570_FDXR.pdf</t>
  </si>
  <si>
    <t>Melting_Curves/meltCurve_P22626_HNRNPA2B1.pdf</t>
  </si>
  <si>
    <t>Melting_Curves/meltCurve_P22670_RFX1.pdf</t>
  </si>
  <si>
    <t>Melting_Curves/meltCurve_P22676_CALB2.pdf</t>
  </si>
  <si>
    <t>Melting_Curves/meltCurve_P22681_CBL.pdf</t>
  </si>
  <si>
    <t>Melting_Curves/meltCurve_P22692_IGFBP4.pdf</t>
  </si>
  <si>
    <t>Melting_Curves/meltCurve_P22694_PRKACB.pdf</t>
  </si>
  <si>
    <t>Melting_Curves/meltCurve_P22830_FECH.pdf</t>
  </si>
  <si>
    <t>Melting_Curves/meltCurve_P22897_MRC1.pdf</t>
  </si>
  <si>
    <t>Melting_Curves/meltCurve_P23025_XPA.pdf</t>
  </si>
  <si>
    <t>Melting_Curves/meltCurve_P23141_3_CES1.pdf</t>
  </si>
  <si>
    <t>Melting_Curves/meltCurve_P23142_3_FBLN1.pdf</t>
  </si>
  <si>
    <t>Melting_Curves/meltCurve_P23193_TCEA1.pdf</t>
  </si>
  <si>
    <t>Melting_Curves/meltCurve_P23246_SFPQ.pdf</t>
  </si>
  <si>
    <t>Melting_Curves/meltCurve_P23258_TUBG1.pdf</t>
  </si>
  <si>
    <t>Melting_Curves/meltCurve_P23284_PPIB.pdf</t>
  </si>
  <si>
    <t>Melting_Curves/meltCurve_P23368_ME2.pdf</t>
  </si>
  <si>
    <t>Melting_Curves/meltCurve_P23378_GLDC.pdf</t>
  </si>
  <si>
    <t>Melting_Curves/meltCurve_P23381_WARS.pdf</t>
  </si>
  <si>
    <t>Melting_Curves/meltCurve_P23396_RPS3.pdf</t>
  </si>
  <si>
    <t>Melting_Curves/meltCurve_P23409_MYF6.pdf</t>
  </si>
  <si>
    <t>Melting_Curves/meltCurve_P23434_GCSH.pdf</t>
  </si>
  <si>
    <t>Melting_Curves/meltCurve_P23458_JAK1.pdf</t>
  </si>
  <si>
    <t>Melting_Curves/meltCurve_P23497_SP100.pdf</t>
  </si>
  <si>
    <t>Melting_Curves/meltCurve_P23511_2_NFYA.pdf</t>
  </si>
  <si>
    <t>Melting_Curves/meltCurve_P23526_AHCY.pdf</t>
  </si>
  <si>
    <t>Melting_Curves/meltCurve_P23528_CFL1.pdf</t>
  </si>
  <si>
    <t>Melting_Curves/meltCurve_P23588_EIF4B.pdf</t>
  </si>
  <si>
    <t>Melting_Curves/meltCurve_P23610_F8A1.pdf</t>
  </si>
  <si>
    <t>Melting_Curves/meltCurve_P23743_DGKA.pdf</t>
  </si>
  <si>
    <t>Melting_Curves/meltCurve_P23919_DTYMK.pdf</t>
  </si>
  <si>
    <t>Melting_Curves/meltCurve_P23921_RRM1.pdf</t>
  </si>
  <si>
    <t>Melting_Curves/meltCurve_P24385_CCND1.pdf</t>
  </si>
  <si>
    <t>Melting_Curves/meltCurve_P24534_EEF1B2.pdf</t>
  </si>
  <si>
    <t>Melting_Curves/meltCurve_P24588_AKAP5.pdf</t>
  </si>
  <si>
    <t>Melting_Curves/meltCurve_P24666_ACP1.pdf</t>
  </si>
  <si>
    <t>Melting_Curves/meltCurve_P24666_2_ACP1.pdf</t>
  </si>
  <si>
    <t>Melting_Curves/meltCurve_P24752_ACAT1.pdf</t>
  </si>
  <si>
    <t>Melting_Curves/meltCurve_P24844_MYL9.pdf</t>
  </si>
  <si>
    <t>Melting_Curves/meltCurve_P24928_POLR2A.pdf</t>
  </si>
  <si>
    <t>Melting_Curves/meltCurve_P24941_CDK2.pdf</t>
  </si>
  <si>
    <t>Melting_Curves/meltCurve_P25054_2_APC.pdf</t>
  </si>
  <si>
    <t>Melting_Curves/meltCurve_P25098_ADRBK1.pdf</t>
  </si>
  <si>
    <t>Melting_Curves/meltCurve_P25205_MCM3.pdf</t>
  </si>
  <si>
    <t>Melting_Curves/meltCurve_P25398_RPS12.pdf</t>
  </si>
  <si>
    <t>Melting_Curves/meltCurve_P25490_YY1.pdf</t>
  </si>
  <si>
    <t>Melting_Curves/meltCurve_P25685_DNAJB1.pdf</t>
  </si>
  <si>
    <t>Melting_Curves/meltCurve_P25686_DNAJB2.pdf</t>
  </si>
  <si>
    <t>Melting_Curves/meltCurve_P25705_ATP5A1.pdf</t>
  </si>
  <si>
    <t>Melting_Curves/meltCurve_P25774_2_CTSS.pdf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</si>
  <si>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</si>
  <si>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</si>
  <si>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</si>
  <si>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</si>
  <si>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Melting_Curves/meltCurve_P25815_S100P.pdf</t>
  </si>
  <si>
    <t>Melting_Curves/meltCurve_P26038_MSN.pdf</t>
  </si>
  <si>
    <t>Melting_Curves/meltCurve_P26045_PTPN3.pdf</t>
  </si>
  <si>
    <t>Melting_Curves/meltCurve_P26196_DDX6.pdf</t>
  </si>
  <si>
    <t>Melting_Curves/meltCurve_P26358_DNMT1.pdf</t>
  </si>
  <si>
    <t>Melting_Curves/meltCurve_P26358_2_DNMT1.pdf</t>
  </si>
  <si>
    <t>Melting_Curves/meltCurve_P26368_2_U2AF2.pdf</t>
  </si>
  <si>
    <t>Melting_Curves/meltCurve_P26373_RPL13.pdf</t>
  </si>
  <si>
    <t>Melting_Curves/meltCurve_P26374_CHML.pdf</t>
  </si>
  <si>
    <t>Melting_Curves/meltCurve_P26440_IVD.pdf</t>
  </si>
  <si>
    <t>Melting_Curves/meltCurve_P26447_S100A4.pdf</t>
  </si>
  <si>
    <t>Melting_Curves/meltCurve_P26583_HMGB2.pdf</t>
  </si>
  <si>
    <t>Melting_Curves/meltCurve_P26599_PTBP1.pdf</t>
  </si>
  <si>
    <t>Melting_Curves/meltCurve_P26639_TARS.pdf</t>
  </si>
  <si>
    <t>Melting_Curves/meltCurve_P26640_VARS.pdf</t>
  </si>
  <si>
    <t>Melting_Curves/meltCurve_P26641_EEF1G.pdf</t>
  </si>
  <si>
    <t>Melting_Curves/meltCurve_P26651_ZFP36.pdf</t>
  </si>
  <si>
    <t>Melting_Curves/meltCurve_P26885_FKBP2.pdf</t>
  </si>
  <si>
    <t>Melting_Curves/meltCurve_P27144_AK4.pdf</t>
  </si>
  <si>
    <t>Melting_Curves/meltCurve_P27348_YWHAQ.pdf</t>
  </si>
  <si>
    <t>Melting_Curves/meltCurve_P27361_MAPK3.pdf</t>
  </si>
  <si>
    <t>Melting_Curves/meltCurve_P27448_8_MARK3.pdf</t>
  </si>
  <si>
    <t>Melting_Curves/meltCurve_P27540_2_ARNT.pdf</t>
  </si>
  <si>
    <t>Melting_Curves/meltCurve_P27635_RPL10.pdf</t>
  </si>
  <si>
    <t>Melting_Curves/meltCurve_P27694_RPA1.pdf</t>
  </si>
  <si>
    <t>Melting_Curves/meltCurve_P27695_APEX1.pdf</t>
  </si>
  <si>
    <t>Melting_Curves/meltCurve_P27707_DCK.pdf</t>
  </si>
  <si>
    <t>Melting_Curves/meltCurve_P27797_CALR.pdf</t>
  </si>
  <si>
    <t>Melting_Curves/meltCurve_P27824_CANX.pdf</t>
  </si>
  <si>
    <t>Melting_Curves/meltCurve_P27986_PIK3R1.pdf</t>
  </si>
  <si>
    <t>Melting_Curves/meltCurve_P27987_ITPKB.pdf</t>
  </si>
  <si>
    <t>Melting_Curves/meltCurve_P28062_2_PSMB8.pdf</t>
  </si>
  <si>
    <t>Melting_Curves/meltCurve_P28065_PSMB9.pdf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</si>
  <si>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</si>
  <si>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</si>
  <si>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</si>
  <si>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</si>
  <si>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Melting_Curves/meltCurve_P28331_4_NDUFS1.pdf</t>
  </si>
  <si>
    <t>Melting_Curves/meltCurve_P28340_POLD1.pdf</t>
  </si>
  <si>
    <t>Melting_Curves/meltCurve_P28482_MAPK1.pdf</t>
  </si>
  <si>
    <t>Melting_Curves/meltCurve_P28562_DUSP1.pdf</t>
  </si>
  <si>
    <t>Melting_Curves/meltCurve_P28702_RXRB.pdf</t>
  </si>
  <si>
    <t>Melting_Curves/meltCurve_P28715_ERCC5.pdf</t>
  </si>
  <si>
    <t>Melting_Curves/meltCurve_P28749_RBL1.pdf</t>
  </si>
  <si>
    <t>Melting_Curves/meltCurve_P28799_GRN.pdf</t>
  </si>
  <si>
    <t>Melting_Curves/meltCurve_P28838_2_LAP3.pdf</t>
  </si>
  <si>
    <t>Melting_Curves/meltCurve_P29034_S100A2.pdf</t>
  </si>
  <si>
    <t>Melting_Curves/meltCurve_P29083_GTF2E1.pdf</t>
  </si>
  <si>
    <t>Melting_Curves/meltCurve_P29084_GTF2E2.pdf</t>
  </si>
  <si>
    <t>Melting_Curves/meltCurve_P29144_TPP2.pdf</t>
  </si>
  <si>
    <t>Melting_Curves/meltCurve_P29218_IMPA1.pdf</t>
  </si>
  <si>
    <t>Melting_Curves/meltCurve_P29323_2_EPHB2.pdf</t>
  </si>
  <si>
    <t>Melting_Curves/meltCurve_P29350_PTPN6.pdf</t>
  </si>
  <si>
    <t>Melting_Curves/meltCurve_P29353_SHC1.pdf</t>
  </si>
  <si>
    <t>Melting_Curves/meltCurve_P29353_6_SHC1.pdf</t>
  </si>
  <si>
    <t>Melting_Curves/meltCurve_P29372_5_MPG.pdf</t>
  </si>
  <si>
    <t>Melting_Curves/meltCurve_P29373_CRABP2.pdf</t>
  </si>
  <si>
    <t>Melting_Curves/meltCurve_P29401_TKT.pdf</t>
  </si>
  <si>
    <t>Melting_Curves/meltCurve_P29590_PML.pdf</t>
  </si>
  <si>
    <t>Melting_Curves/meltCurve_P29692_EEF1D.pdf</t>
  </si>
  <si>
    <t>Melting_Curves/meltCurve_P29692_2_EEF1D.pdf</t>
  </si>
  <si>
    <t>Melting_Curves/meltCurve_P29966_MARCKS.pdf</t>
  </si>
  <si>
    <t>Melting_Curves/meltCurve_P30038_ALDH4A1.pdf</t>
  </si>
  <si>
    <t>Melting_Curves/meltCurve_P30039_PBLD.pdf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</si>
  <si>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</si>
  <si>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</si>
  <si>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</si>
  <si>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</si>
  <si>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</si>
  <si>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</si>
  <si>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</si>
  <si>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</si>
  <si>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</si>
  <si>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</si>
  <si>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</si>
  <si>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</si>
  <si>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</si>
  <si>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Melting_Curves/meltCurve_P30260_CDC27.pdf</t>
  </si>
  <si>
    <t>Melting_Curves/meltCurve_P30281_CCND3.pdf</t>
  </si>
  <si>
    <t>Melting_Curves/meltCurve_P30307_2_CDC25C.pdf</t>
  </si>
  <si>
    <t>Melting_Curves/meltCurve_P30405_PPIF.pdf</t>
  </si>
  <si>
    <t>Melting_Curves/meltCurve_P30414_NKTR.pdf</t>
  </si>
  <si>
    <t>Melting_Curves/meltCurve_P30419_NMT1.pdf</t>
  </si>
  <si>
    <t>Melting_Curves/meltCurve_P30519_HMOX2.pdf</t>
  </si>
  <si>
    <t>Melting_Curves/meltCurve_P30520_ADSS.pdf</t>
  </si>
  <si>
    <t>Melting_Curves/meltCurve_P30530_2_AXL.pdf</t>
  </si>
  <si>
    <t>Melting_Curves/meltCurve_P30533_LRPAP1.pdf</t>
  </si>
  <si>
    <t>Melting_Curves/meltCurve_P30566_ADSL.pdf</t>
  </si>
  <si>
    <t>Melting_Curves/meltCurve_P30613_2_PKLR.pdf</t>
  </si>
  <si>
    <t>Melting_Curves/meltCurve_P30622_CLIP1.pdf</t>
  </si>
  <si>
    <t>Melting_Curves/meltCurve_P30622_2_CLIP1.pdf</t>
  </si>
  <si>
    <t>Melting_Curves/meltCurve_P30740_SERPINB1.pdf</t>
  </si>
  <si>
    <t>Melting_Curves/meltCurve_P30837_ALDH1B1.pdf</t>
  </si>
  <si>
    <t>Melting_Curves/meltCurve_P30838_ALDH3A1.pdf</t>
  </si>
  <si>
    <t>Melting_Curves/meltCurve_P31040_SDHA.pdf</t>
  </si>
  <si>
    <t>Melting_Curves/meltCurve_P31146_CORO1A.pdf</t>
  </si>
  <si>
    <t>Melting_Curves/meltCurve_P31150_GDI1.pdf</t>
  </si>
  <si>
    <t>Melting_Curves/meltCurve_P31153_MAT2A.pdf</t>
  </si>
  <si>
    <t>Melting_Curves/meltCurve_P31321_PRKAR1B.pdf</t>
  </si>
  <si>
    <t>Melting_Curves/meltCurve_P31327_CPS1.pdf</t>
  </si>
  <si>
    <t>Melting_Curves/meltCurve_P31350_RRM2.pdf</t>
  </si>
  <si>
    <t>Melting_Curves/meltCurve_P31689_DNAJA1.pdf</t>
  </si>
  <si>
    <t>Melting_Curves/meltCurve_P31749_AKT1.pdf</t>
  </si>
  <si>
    <t>Melting_Curves/meltCurve_P31751_AKT2.pdf</t>
  </si>
  <si>
    <t>Melting_Curves/meltCurve_P31937_HIBADH.pdf</t>
  </si>
  <si>
    <t>Melting_Curves/meltCurve_P31939_ATIC.pdf</t>
  </si>
  <si>
    <t>Melting_Curves/meltCurve_P31942_2_HNRNPH3.pdf</t>
  </si>
  <si>
    <t>Melting_Curves/meltCurve_P31943_HNRNPH1.pdf</t>
  </si>
  <si>
    <t>Melting_Curves/meltCurve_P31946_YWHAB.pdf</t>
  </si>
  <si>
    <t>Melting_Curves/meltCurve_P31946_2_YWHAB.pdf</t>
  </si>
  <si>
    <t>Melting_Curves/meltCurve_P31947_SFN.pdf</t>
  </si>
  <si>
    <t>Melting_Curves/meltCurve_P31948_STIP1.pdf</t>
  </si>
  <si>
    <t>Melting_Curves/meltCurve_P31949_S100A11.pdf</t>
  </si>
  <si>
    <t>Melting_Curves/meltCurve_P32019_3_INPP5B.pdf</t>
  </si>
  <si>
    <t>Melting_Curves/meltCurve_P32121_5_ARRB2.pdf</t>
  </si>
  <si>
    <t>Melting_Curves/meltCurve_P32320_CDA.pdf</t>
  </si>
  <si>
    <t>Melting_Curves/meltCurve_P32321_2_DCTD.pdf</t>
  </si>
  <si>
    <t>Melting_Curves/meltCurve_P32322_PYCR1.pdf</t>
  </si>
  <si>
    <t>Melting_Curves/meltCurve_P32519_2_ELF1.pdf</t>
  </si>
  <si>
    <t>Melting_Curves/meltCurve_P32780_GTF2H1.pdf</t>
  </si>
  <si>
    <t>Melting_Curves/meltCurve_P32929_CTH.pdf</t>
  </si>
  <si>
    <t>Melting_Curves/meltCurve_P32969_RPL9.pdf</t>
  </si>
  <si>
    <t>Melting_Curves/meltCurve_P33176_KIF5B.pdf</t>
  </si>
  <si>
    <t>Melting_Curves/meltCurve_P33240_2_CSTF2.pdf</t>
  </si>
  <si>
    <t>Melting_Curves/meltCurve_P33241_2_LSP1.pdf</t>
  </si>
  <si>
    <t>Melting_Curves/meltCurve_P33316_DUT.pdf</t>
  </si>
  <si>
    <t>Melting_Curves/meltCurve_P33316_2_DUT.pdf</t>
  </si>
  <si>
    <t>Melting_Curves/meltCurve_P33552_CKS2.pdf</t>
  </si>
  <si>
    <t>Melting_Curves/meltCurve_P33764_S100A3.pdf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</si>
  <si>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</si>
  <si>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</si>
  <si>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</si>
  <si>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</si>
  <si>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Melting_Curves/meltCurve_P34059_GALNS.pdf</t>
  </si>
  <si>
    <t>Melting_Curves/meltCurve_P34896_2_SHMT1.pdf</t>
  </si>
  <si>
    <t>Melting_Curves/meltCurve_P34897_3_SHMT2.pdf</t>
  </si>
  <si>
    <t>Melting_Curves/meltCurve_P34913_EPHX2.pdf</t>
  </si>
  <si>
    <t>Melting_Curves/meltCurve_P34931_HSPA1L.pdf</t>
  </si>
  <si>
    <t>Melting_Curves/meltCurve_P34932_HSPA4.pdf</t>
  </si>
  <si>
    <t>Melting_Curves/meltCurve_P35052_GPC1.pdf</t>
  </si>
  <si>
    <t>Melting_Curves/meltCurve_P35219_CA8.pdf</t>
  </si>
  <si>
    <t>Melting_Curves/meltCurve_P35221_CTNNA1.pdf</t>
  </si>
  <si>
    <t>Melting_Curves/meltCurve_P35237_SERPINB6.pdf</t>
  </si>
  <si>
    <t>Melting_Curves/meltCurve_P35240_5_NF2.pdf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</si>
  <si>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</si>
  <si>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</si>
  <si>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</si>
  <si>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</si>
  <si>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</si>
  <si>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</si>
  <si>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</si>
  <si>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</si>
  <si>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Melting_Curves/meltCurve_P35520_CBS.pdf</t>
  </si>
  <si>
    <t>Melting_Curves/meltCurve_P35556_FBN2.pdf</t>
  </si>
  <si>
    <t>Melting_Curves/meltCurve_P35568_IRS1.pdf</t>
  </si>
  <si>
    <t>Melting_Curves/meltCurve_P35573_AGL.pdf</t>
  </si>
  <si>
    <t>Melting_Curves/meltCurve_P35579_MYH9.pdf</t>
  </si>
  <si>
    <t>Melting_Curves/meltCurve_P35580_MYH10.pdf</t>
  </si>
  <si>
    <t>Melting_Curves/meltCurve_P35580_4_MYH10.pdf</t>
  </si>
  <si>
    <t>Melting_Curves/meltCurve_P35606_COPB2.pdf</t>
  </si>
  <si>
    <t>Melting_Curves/meltCurve_P35611_2_ADD1.pdf</t>
  </si>
  <si>
    <t>Melting_Curves/meltCurve_P35612_ADD2.pdf</t>
  </si>
  <si>
    <t>Melting_Curves/meltCurve_P35637_2_FUS.pdf</t>
  </si>
  <si>
    <t>Melting_Curves/meltCurve_P35658_2_NUP214.pdf</t>
  </si>
  <si>
    <t>Melting_Curves/meltCurve_P35658_4_NUP214.pdf</t>
  </si>
  <si>
    <t>Melting_Curves/meltCurve_P35659_DEK.pdf</t>
  </si>
  <si>
    <t>Melting_Curves/meltCurve_P35754_GLRX.pdf</t>
  </si>
  <si>
    <t>Melting_Curves/meltCurve_P35790_2_CHKA.pdf</t>
  </si>
  <si>
    <t>Melting_Curves/meltCurve_P35813_PPM1A.pdf</t>
  </si>
  <si>
    <t>Melting_Curves/meltCurve_P35998_PSMC2.pdf</t>
  </si>
  <si>
    <t>Melting_Curves/meltCurve_P36404_ARL2.pdf</t>
  </si>
  <si>
    <t>Melting_Curves/meltCurve_P36405_ARL3.pdf</t>
  </si>
  <si>
    <t>Melting_Curves/meltCurve_P36507_MAP2K2.pdf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</si>
  <si>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</si>
  <si>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</si>
  <si>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</si>
  <si>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</si>
  <si>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Melting_Curves/meltCurve_P36871_PGM1.pdf</t>
  </si>
  <si>
    <t>Melting_Curves/meltCurve_P36873_PPP1CC.pdf</t>
  </si>
  <si>
    <t>Melting_Curves/meltCurve_P36915_GNL1.pdf</t>
  </si>
  <si>
    <t>Melting_Curves/meltCurve_P36954_POLR2I.pdf</t>
  </si>
  <si>
    <t>Melting_Curves/meltCurve_P36957_DLST.pdf</t>
  </si>
  <si>
    <t>Melting_Curves/meltCurve_P36969_2_GPX4.pdf</t>
  </si>
  <si>
    <t>Melting_Curves/meltCurve_P37108_SRP14.pdf</t>
  </si>
  <si>
    <t>Melting_Curves/meltCurve_P37198_NUP62.pdf</t>
  </si>
  <si>
    <t>Melting_Curves/meltCurve_P37235_HPCAL1.pdf</t>
  </si>
  <si>
    <t>Melting_Curves/meltCurve_P37802_TAGLN2.pdf</t>
  </si>
  <si>
    <t>Melting_Curves/meltCurve_P37837_TALDO1.pdf</t>
  </si>
  <si>
    <t>Melting_Curves/meltCurve_P38117_ETFB.pdf</t>
  </si>
  <si>
    <t>Melting_Curves/meltCurve_P38159_RBMX.pdf</t>
  </si>
  <si>
    <t>Melting_Curves/meltCurve_P38398_4_BRCA1.pdf</t>
  </si>
  <si>
    <t>Melting_Curves/meltCurve_P38432_COIL.pdf</t>
  </si>
  <si>
    <t>Melting_Curves/meltCurve_P38571_2_LIPA.pdf</t>
  </si>
  <si>
    <t>Melting_Curves/meltCurve_P38606_ATP6V1A.pdf</t>
  </si>
  <si>
    <t>Melting_Curves/meltCurve_P38646_HSPA9.pdf</t>
  </si>
  <si>
    <t>Melting_Curves/meltCurve_P38919_EIF4A3.pdf</t>
  </si>
  <si>
    <t>Melting_Curves/meltCurve_P38935_IGHMBP2.pdf</t>
  </si>
  <si>
    <t>Melting_Curves/meltCurve_P38936_CDKN1A.pdf</t>
  </si>
  <si>
    <t>Melting_Curves/meltCurve_P39019_RPS19.pdf</t>
  </si>
  <si>
    <t>Melting_Curves/meltCurve_P39023_RPL3.pdf</t>
  </si>
  <si>
    <t>Melting_Curves/meltCurve_P39060_2_COL18A1.pdf</t>
  </si>
  <si>
    <t>Melting_Curves/meltCurve_P39687_ANP32A.pdf</t>
  </si>
  <si>
    <t>Melting_Curves/meltCurve_P39748_FEN1.pdf</t>
  </si>
  <si>
    <t>Melting_Curves/meltCurve_P39880_3_CUX1.pdf</t>
  </si>
  <si>
    <t>Melting_Curves/meltCurve_P40121_2_CAPG.pdf</t>
  </si>
  <si>
    <t>Melting_Curves/meltCurve_P40123_CAP2.pdf</t>
  </si>
  <si>
    <t>Melting_Curves/meltCurve_P40189_3_IL6ST.pdf</t>
  </si>
  <si>
    <t>Melting_Curves/meltCurve_P40199_CEACAM6.pdf</t>
  </si>
  <si>
    <t>Melting_Curves/meltCurve_P40222_TXLNA.pdf</t>
  </si>
  <si>
    <t>Melting_Curves/meltCurve_P40227_CCT6A.pdf</t>
  </si>
  <si>
    <t>Melting_Curves/meltCurve_P40261_NNMT.pdf</t>
  </si>
  <si>
    <t>Melting_Curves/meltCurve_P40306_PSMB10.pdf</t>
  </si>
  <si>
    <t>Melting_Curves/meltCurve_P40337_3_VHL.pdf</t>
  </si>
  <si>
    <t>Melting_Curves/meltCurve_P40426_4_PBX3.pdf</t>
  </si>
  <si>
    <t>Melting_Curves/meltCurve_P40429_RPL13A.pdf</t>
  </si>
  <si>
    <t>Melting_Curves/meltCurve_P40692_MLH1.pdf</t>
  </si>
  <si>
    <t>Melting_Curves/meltCurve_P40763_STAT3.pdf</t>
  </si>
  <si>
    <t>Melting_Curves/meltCurve_P40763_2_STAT3.pdf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</si>
  <si>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</si>
  <si>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</si>
  <si>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</si>
  <si>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</si>
  <si>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Melting_Curves/meltCurve_P40938_RFC3.pdf</t>
  </si>
  <si>
    <t>Melting_Curves/meltCurve_P40939_HADHA.pdf</t>
  </si>
  <si>
    <t>Melting_Curves/meltCurve_P41091_EIF2S3.pdf</t>
  </si>
  <si>
    <t>Melting_Curves/meltCurve_P41134_2_ID1.pdf</t>
  </si>
  <si>
    <t>Melting_Curves/meltCurve_P41162_ETV3.pdf</t>
  </si>
  <si>
    <t>Melting_Curves/meltCurve_P41208_CETN2.pdf</t>
  </si>
  <si>
    <t>Melting_Curves/meltCurve_P41212_ETV6.pdf</t>
  </si>
  <si>
    <t>Melting_Curves/meltCurve_P41214_EIF2D.pdf</t>
  </si>
  <si>
    <t>Melting_Curves/meltCurve_P41223_BUD31.pdf</t>
  </si>
  <si>
    <t>Melting_Curves/meltCurve_P41227_2_NAA10.pdf</t>
  </si>
  <si>
    <t>Melting_Curves/meltCurve_P41229_2_KDM5C.pdf</t>
  </si>
  <si>
    <t>Melting_Curves/meltCurve_P41236_PPP1R2.pdf</t>
  </si>
  <si>
    <t>Melting_Curves/meltCurve_P41240_CSK.pdf</t>
  </si>
  <si>
    <t>Melting_Curves/meltCurve_P41250_GARS.pdf</t>
  </si>
  <si>
    <t>Melting_Curves/meltCurve_P41252_IARS.pdf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</si>
  <si>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</si>
  <si>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</si>
  <si>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</si>
  <si>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</si>
  <si>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Melting_Curves/meltCurve_P42166_TMPO.pdf</t>
  </si>
  <si>
    <t>Melting_Curves/meltCurve_P42167_TMPO.pdf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</si>
  <si>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</si>
  <si>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</si>
  <si>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</si>
  <si>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</si>
  <si>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Melting_Curves/meltCurve_P42336_PIK3CA.pdf</t>
  </si>
  <si>
    <t>Melting_Curves/meltCurve_P42338_PIK3CB.pdf</t>
  </si>
  <si>
    <t>Melting_Curves/meltCurve_P42345_MTOR.pdf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</si>
  <si>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</si>
  <si>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</si>
  <si>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</si>
  <si>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</si>
  <si>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Melting_Curves/meltCurve_P42684_6_ABL2.pdf</t>
  </si>
  <si>
    <t>Melting_Curves/meltCurve_P42695_NCAPD3.pdf</t>
  </si>
  <si>
    <t>Melting_Curves/meltCurve_P42704_LRPPRC.pdf</t>
  </si>
  <si>
    <t>Melting_Curves/meltCurve_P42765_ACAA2.pdf</t>
  </si>
  <si>
    <t>Melting_Curves/meltCurve_P42766_RPL35.pdf</t>
  </si>
  <si>
    <t>Melting_Curves/meltCurve_P42773_CDKN2C.pdf</t>
  </si>
  <si>
    <t>Melting_Curves/meltCurve_P42785_PRCP.pdf</t>
  </si>
  <si>
    <t>Melting_Curves/meltCurve_P42858_HTT.pdf</t>
  </si>
  <si>
    <t>Melting_Curves/meltCurve_P43034_PAFAH1B1.pdf</t>
  </si>
  <si>
    <t>Melting_Curves/meltCurve_P43155_2_CRAT.pdf</t>
  </si>
  <si>
    <t>Melting_Curves/meltCurve_P43243_MATR3.pdf</t>
  </si>
  <si>
    <t>Melting_Curves/meltCurve_P43246_MSH2.pdf</t>
  </si>
  <si>
    <t>Melting_Curves/meltCurve_P43353_ALDH3B1.pdf</t>
  </si>
  <si>
    <t>Melting_Curves/meltCurve_P43378_PTPN9.pdf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</si>
  <si>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</si>
  <si>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</si>
  <si>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</si>
  <si>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</si>
  <si>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Melting_Curves/meltCurve_P45877_PPIC.pdf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</si>
  <si>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</si>
  <si>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</si>
  <si>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</si>
  <si>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</si>
  <si>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Melting_Curves/meltCurve_P45984_2_MAPK9.pdf</t>
  </si>
  <si>
    <t>Melting_Curves/meltCurve_P45985_MAP2K4.pdf</t>
  </si>
  <si>
    <t>Melting_Curves/meltCurve_P46013_MKI67.pdf</t>
  </si>
  <si>
    <t>Melting_Curves/meltCurve_P46013_2_MKI67.pdf</t>
  </si>
  <si>
    <t>Melting_Curves/meltCurve_P46019_PHKA2.pdf</t>
  </si>
  <si>
    <t>Melting_Curves/meltCurve_P46020_2_PHKA1.pdf</t>
  </si>
  <si>
    <t>Melting_Curves/meltCurve_P46060_RANGAP1.pdf</t>
  </si>
  <si>
    <t>Melting_Curves/meltCurve_P46063_RECQL.pdf</t>
  </si>
  <si>
    <t>Melting_Curves/meltCurve_P46087_NOP2.pdf</t>
  </si>
  <si>
    <t>Melting_Curves/meltCurve_P46100_4_ATRX.pdf</t>
  </si>
  <si>
    <t>Melting_Curves/meltCurve_P46108_CRK.pdf</t>
  </si>
  <si>
    <t>Melting_Curves/meltCurve_P46109_CRKL.pdf</t>
  </si>
  <si>
    <t>Melting_Curves/meltCurve_P46199_MTIF2.pdf</t>
  </si>
  <si>
    <t>Melting_Curves/meltCurve_P46527_CDKN1B.pdf</t>
  </si>
  <si>
    <t>Melting_Curves/meltCurve_P46734_MAP2K3.pdf</t>
  </si>
  <si>
    <t>Melting_Curves/meltCurve_P46736_2_BRCC3.pdf</t>
  </si>
  <si>
    <t>Melting_Curves/meltCurve_P46777_RPL5.pdf</t>
  </si>
  <si>
    <t>Melting_Curves/meltCurve_P46778_RPL21.pdf</t>
  </si>
  <si>
    <t>Melting_Curves/meltCurve_P46779_RPL28.pdf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</si>
  <si>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</si>
  <si>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</si>
  <si>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</si>
  <si>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</si>
  <si>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Melting_Curves/meltCurve_P46934_2_NEDD4.pdf</t>
  </si>
  <si>
    <t>Melting_Curves/meltCurve_P46934_4_NEDD4.pdf</t>
  </si>
  <si>
    <t>Melting_Curves/meltCurve_P46937_YAP1.pdf</t>
  </si>
  <si>
    <t>Melting_Curves/meltCurve_P46937_2_YAP1.pdf</t>
  </si>
  <si>
    <t>Melting_Curves/meltCurve_P46939_UTRN.pdf</t>
  </si>
  <si>
    <t>Melting_Curves/meltCurve_P46940_IQGAP1.pdf</t>
  </si>
  <si>
    <t>Melting_Curves/meltCurve_P46976_2_GYG1.pdf</t>
  </si>
  <si>
    <t>Melting_Curves/meltCurve_P47224_RABIF.pdf</t>
  </si>
  <si>
    <t>Melting_Curves/meltCurve_P47710_2_CSN1S1.pdf</t>
  </si>
  <si>
    <t>Melting_Curves/meltCurve_P47712_PLA2G4A.pdf</t>
  </si>
  <si>
    <t>Melting_Curves/meltCurve_P47736_RAP1GAP.pdf</t>
  </si>
  <si>
    <t>Melting_Curves/meltCurve_P47755_CAPZA2.pdf</t>
  </si>
  <si>
    <t>Melting_Curves/meltCurve_P47756_2_CAPZB.pdf</t>
  </si>
  <si>
    <t>Melting_Curves/meltCurve_P47813_EIF1AX.pdf</t>
  </si>
  <si>
    <t>Melting_Curves/meltCurve_P47895_ALDH1A3.pdf</t>
  </si>
  <si>
    <t>Melting_Curves/meltCurve_P47897_QARS.pdf</t>
  </si>
  <si>
    <t>Melting_Curves/meltCurve_P47914_RPL29.pdf</t>
  </si>
  <si>
    <t>Melting_Curves/meltCurve_P47929_LGALS7.pdf</t>
  </si>
  <si>
    <t>Melting_Curves/meltCurve_P47974_ZFP36L2.pdf</t>
  </si>
  <si>
    <t>Melting_Curves/meltCurve_P47985_UQCRFS1.pdf</t>
  </si>
  <si>
    <t>Melting_Curves/meltCurve_P48059_LIMS1.pdf</t>
  </si>
  <si>
    <t>Melting_Curves/meltCurve_P48147_PREP.pdf</t>
  </si>
  <si>
    <t>Melting_Curves/meltCurve_P48163_ME1.pdf</t>
  </si>
  <si>
    <t>Melting_Curves/meltCurve_P48169_GABRA4.pdf</t>
  </si>
  <si>
    <t>Melting_Curves/meltCurve_P48200_IREB2.pdf</t>
  </si>
  <si>
    <t>Melting_Curves/meltCurve_P48380_3_RFX3.pdf</t>
  </si>
  <si>
    <t>Melting_Curves/meltCurve_P48436_SOX9.pdf</t>
  </si>
  <si>
    <t>Melting_Curves/meltCurve_P48444_ARCN1.pdf</t>
  </si>
  <si>
    <t>Melting_Curves/meltCurve_P48454_2_PPP3CC.pdf</t>
  </si>
  <si>
    <t>Melting_Curves/meltCurve_P48506_GCLC.pdf</t>
  </si>
  <si>
    <t>Melting_Curves/meltCurve_P48507_GCLM.pdf</t>
  </si>
  <si>
    <t>Melting_Curves/meltCurve_P48552_NRIP1.pdf</t>
  </si>
  <si>
    <t>Melting_Curves/meltCurve_P48553_TRAPPC10.pdf</t>
  </si>
  <si>
    <t>Melting_Curves/meltCurve_P48634_PRRC2A.pdf</t>
  </si>
  <si>
    <t>Melting_Curves/meltCurve_P48637_GSS.pdf</t>
  </si>
  <si>
    <t>Melting_Curves/meltCurve_P48643_CCT5.pdf</t>
  </si>
  <si>
    <t>Melting_Curves/meltCurve_P48681_NES.pdf</t>
  </si>
  <si>
    <t>Melting_Curves/meltCurve_P48723_HSPA13.pdf</t>
  </si>
  <si>
    <t>Melting_Curves/meltCurve_P48729_CSNK1A1.pdf</t>
  </si>
  <si>
    <t>Melting_Curves/meltCurve_P48730_2_CSNK1D.pdf</t>
  </si>
  <si>
    <t>Melting_Curves/meltCurve_P48735_IDH2.pdf</t>
  </si>
  <si>
    <t>Melting_Curves/meltCurve_P48739_PITPNB.pdf</t>
  </si>
  <si>
    <t>Melting_Curves/meltCurve_P49005_POLD2.pdf</t>
  </si>
  <si>
    <t>Melting_Curves/meltCurve_P49006_MARCKSL1.pdf</t>
  </si>
  <si>
    <t>Melting_Curves/meltCurve_P49116_NR2C2.pdf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</si>
  <si>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</si>
  <si>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</si>
  <si>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</si>
  <si>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</si>
  <si>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Melting_Curves/meltCurve_P49321_NASP.pdf</t>
  </si>
  <si>
    <t>Melting_Curves/meltCurve_P49327_FASN.pdf</t>
  </si>
  <si>
    <t>Melting_Curves/meltCurve_P49354_FNTA.pdf</t>
  </si>
  <si>
    <t>Melting_Curves/meltCurve_P49366_DHPS.pdf</t>
  </si>
  <si>
    <t>Melting_Curves/meltCurve_P49368_CCT3.pdf</t>
  </si>
  <si>
    <t>Melting_Curves/meltCurve_P49406_MRPL19.pdf</t>
  </si>
  <si>
    <t>Melting_Curves/meltCurve_P49407_2_ARRB1.pdf</t>
  </si>
  <si>
    <t>Melting_Curves/meltCurve_P49411_TUFM.pdf</t>
  </si>
  <si>
    <t>Melting_Curves/meltCurve_P49419_2_ALDH7A1.pdf</t>
  </si>
  <si>
    <t>Melting_Curves/meltCurve_P49427_CDC34.pdf</t>
  </si>
  <si>
    <t>Melting_Curves/meltCurve_P49441_INPP1.pdf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</si>
  <si>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</si>
  <si>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</si>
  <si>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</si>
  <si>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</si>
  <si>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</si>
  <si>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</si>
  <si>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</si>
  <si>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Melting_Curves/meltCurve_P49642_PRIM1.pdf</t>
  </si>
  <si>
    <t>Melting_Curves/meltCurve_P49643_PRIM2.pdf</t>
  </si>
  <si>
    <t>Melting_Curves/meltCurve_P49662_2_CASP4.pdf</t>
  </si>
  <si>
    <t>Melting_Curves/meltCurve_P49674_CSNK1E.pdf</t>
  </si>
  <si>
    <t>Melting_Curves/meltCurve_P49711_CTCF.pdf</t>
  </si>
  <si>
    <t>Melting_Curves/meltCurve_P49720_PSMB3.pdf</t>
  </si>
  <si>
    <t>Melting_Curves/meltCurve_P49721_PSMB2.pdf</t>
  </si>
  <si>
    <t>Melting_Curves/meltCurve_P49736_MCM2.pdf</t>
  </si>
  <si>
    <t>Melting_Curves/meltCurve_P49748_ACADVL.pdf</t>
  </si>
  <si>
    <t>Melting_Curves/meltCurve_P49750_4_YLPM1.pdf</t>
  </si>
  <si>
    <t>Melting_Curves/meltCurve_P49756_RBM25.pdf</t>
  </si>
  <si>
    <t>Melting_Curves/meltCurve_P49757_4_NUMB.pdf</t>
  </si>
  <si>
    <t>Melting_Curves/meltCurve_P49770_EIF2B2.pdf</t>
  </si>
  <si>
    <t>Melting_Curves/meltCurve_P49773_HINT1.pdf</t>
  </si>
  <si>
    <t>Melting_Curves/meltCurve_P49789_FHIT.pdf</t>
  </si>
  <si>
    <t>Melting_Curves/meltCurve_P49790_NUP153.pdf</t>
  </si>
  <si>
    <t>Melting_Curves/meltCurve_P49792_RANBP2.pdf</t>
  </si>
  <si>
    <t>Melting_Curves/meltCurve_P49821_2_NDUFV1.pdf</t>
  </si>
  <si>
    <t>Melting_Curves/meltCurve_P49840_GSK3A.pdf</t>
  </si>
  <si>
    <t>Melting_Curves/meltCurve_P49841_GSK3B.pdf</t>
  </si>
  <si>
    <t>Melting_Curves/meltCurve_P49848_TAF6.pdf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</si>
  <si>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</si>
  <si>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</si>
  <si>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</si>
  <si>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</si>
  <si>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Melting_Curves/meltCurve_P49916_LIG3.pdf</t>
  </si>
  <si>
    <t>Melting_Curves/meltCurve_P49959_MRE11A.pdf</t>
  </si>
  <si>
    <t>Melting_Curves/meltCurve_P50053_KHK.pdf</t>
  </si>
  <si>
    <t>Melting_Curves/meltCurve_P50135_HNMT.pdf</t>
  </si>
  <si>
    <t>Melting_Curves/meltCurve_P50213_IDH3A.pdf</t>
  </si>
  <si>
    <t>Melting_Curves/meltCurve_P50219_MNX1.pdf</t>
  </si>
  <si>
    <t>Melting_Curves/meltCurve_P50224_SULT1A3.pdf</t>
  </si>
  <si>
    <t>Melting_Curves/meltCurve_P50238_CRIP1.pdf</t>
  </si>
  <si>
    <t>Melting_Curves/meltCurve_P50336_PPOX.pdf</t>
  </si>
  <si>
    <t>Melting_Curves/meltCurve_P50395_GDI2.pdf</t>
  </si>
  <si>
    <t>Melting_Curves/meltCurve_P50402_EMD.pdf</t>
  </si>
  <si>
    <t>Melting_Curves/meltCurve_P50440_2_GATM.pdf</t>
  </si>
  <si>
    <t>Melting_Curves/meltCurve_P50452_SERPINB8.pdf</t>
  </si>
  <si>
    <t>Melting_Curves/meltCurve_P50453_SERPINB9.pdf</t>
  </si>
  <si>
    <t>Melting_Curves/meltCurve_P50454_SERPINH1.pdf</t>
  </si>
  <si>
    <t>Melting_Curves/meltCurve_P50502_ST13.pdf</t>
  </si>
  <si>
    <t>Melting_Curves/meltCurve_P50542_PEX5.pdf</t>
  </si>
  <si>
    <t>Melting_Curves/meltCurve_P50552_VASP.pdf</t>
  </si>
  <si>
    <t>Melting_Curves/meltCurve_P50570_2_DNM2.pdf</t>
  </si>
  <si>
    <t>Melting_Curves/meltCurve_P50570_3_DNM2.pdf</t>
  </si>
  <si>
    <t>Melting_Curves/meltCurve_P50579_METAP2.pdf</t>
  </si>
  <si>
    <t>Melting_Curves/meltCurve_P50583_NUDT2.pdf</t>
  </si>
  <si>
    <t>Melting_Curves/meltCurve_P50613_CDK7.pdf</t>
  </si>
  <si>
    <t>Melting_Curves/meltCurve_P50747_HLCS.pdf</t>
  </si>
  <si>
    <t>Melting_Curves/meltCurve_P50748_KNTC1.pdf</t>
  </si>
  <si>
    <t>Melting_Curves/meltCurve_P50749_RASSF2.pdf</t>
  </si>
  <si>
    <t>Melting_Curves/meltCurve_P50750_CDK9.pdf</t>
  </si>
  <si>
    <t>Melting_Curves/meltCurve_P50851_LRBA.pdf</t>
  </si>
  <si>
    <t>Melting_Curves/meltCurve_P50895_BCAM.pdf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</si>
  <si>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</si>
  <si>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</si>
  <si>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</si>
  <si>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</si>
  <si>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</si>
  <si>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</si>
  <si>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</si>
  <si>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</si>
  <si>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Melting_Curves/meltCurve_P51153_RAB13.pdf</t>
  </si>
  <si>
    <t>Melting_Curves/meltCurve_P51157_3_RAB28.pdf</t>
  </si>
  <si>
    <t>Melting_Curves/meltCurve_P51161_FABP6.pdf</t>
  </si>
  <si>
    <t>Melting_Curves/meltCurve_P51178_PLCD1.pdf</t>
  </si>
  <si>
    <t>Melting_Curves/meltCurve_P51397_DAP.pdf</t>
  </si>
  <si>
    <t>Melting_Curves/meltCurve_P51398_2_DAP3.pdf</t>
  </si>
  <si>
    <t>Melting_Curves/meltCurve_P51452_DUSP3.pdf</t>
  </si>
  <si>
    <t>Melting_Curves/meltCurve_P51513_4_NOVA1.pdf</t>
  </si>
  <si>
    <t>Melting_Curves/meltCurve_P51530_3_DNA2.pdf</t>
  </si>
  <si>
    <t>Melting_Curves/meltCurve_P51531_2_SMARCA2.pdf</t>
  </si>
  <si>
    <t>Melting_Curves/meltCurve_P51553_IDH3G.pdf</t>
  </si>
  <si>
    <t>Melting_Curves/meltCurve_P51570_GALK1.pdf</t>
  </si>
  <si>
    <t>Melting_Curves/meltCurve_P51580_TPMT.pdf</t>
  </si>
  <si>
    <t>Melting_Curves/meltCurve_P51587_BRCA2.pdf</t>
  </si>
  <si>
    <t>Melting_Curves/meltCurve_P51589_CYP2J2.pdf</t>
  </si>
  <si>
    <t>Melting_Curves/meltCurve_P51608_MECP2.pdf</t>
  </si>
  <si>
    <t>Melting_Curves/meltCurve_P51610_HCFC1.pdf</t>
  </si>
  <si>
    <t>Melting_Curves/meltCurve_P51610_4_HCFC1.pdf</t>
  </si>
  <si>
    <t>Melting_Curves/meltCurve_P51617_IRAK1.pdf</t>
  </si>
  <si>
    <t>Melting_Curves/meltCurve_P51649_ALDH5A1.pdf</t>
  </si>
  <si>
    <t>Melting_Curves/meltCurve_P51659_HSD17B4.pdf</t>
  </si>
  <si>
    <t>Melting_Curves/meltCurve_P51665_PSMD7.pdf</t>
  </si>
  <si>
    <t>Melting_Curves/meltCurve_P51668_UBE2D1.pdf</t>
  </si>
  <si>
    <t>Melting_Curves/meltCurve_P51688_SGSH.pdf</t>
  </si>
  <si>
    <t>Melting_Curves/meltCurve_P51692_STAT5B.pdf</t>
  </si>
  <si>
    <t>Melting_Curves/meltCurve_P51808_DYNLT3.pdf</t>
  </si>
  <si>
    <t>Melting_Curves/meltCurve_P51812_RPS6KA3.pdf</t>
  </si>
  <si>
    <t>Melting_Curves/meltCurve_P51817_PRKX.pdf</t>
  </si>
  <si>
    <t>Melting_Curves/meltCurve_P51825_2_AFF1.pdf</t>
  </si>
  <si>
    <t>Melting_Curves/meltCurve_P51857_2_AKR1D1.pdf</t>
  </si>
  <si>
    <t>Melting_Curves/meltCurve_P51858_HDGF.pdf</t>
  </si>
  <si>
    <t>Melting_Curves/meltCurve_P51948_MNAT1.pdf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</si>
  <si>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</si>
  <si>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</si>
  <si>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</si>
  <si>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</si>
  <si>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</si>
  <si>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</si>
  <si>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Melting_Curves/meltCurve_P52306_4_RAP1GDS1.pdf</t>
  </si>
  <si>
    <t>Melting_Curves/meltCurve_P52564_MAP2K6.pdf</t>
  </si>
  <si>
    <t>Melting_Curves/meltCurve_P52565_ARHGDIA.pdf</t>
  </si>
  <si>
    <t>Melting_Curves/meltCurve_P52594_2_AGFG1.pdf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</si>
  <si>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</si>
  <si>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</si>
  <si>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</si>
  <si>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</si>
  <si>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Melting_Curves/meltCurve_P52701_MSH6.pdf</t>
  </si>
  <si>
    <t>Melting_Curves/meltCurve_P52732_KIF11.pdf</t>
  </si>
  <si>
    <t>Melting_Curves/meltCurve_P52735_3_VAV2.pdf</t>
  </si>
  <si>
    <t>Melting_Curves/meltCurve_P52739_2_ZNF131.pdf</t>
  </si>
  <si>
    <t>Melting_Curves/meltCurve_P52747_2_ZNF143.pdf</t>
  </si>
  <si>
    <t>Melting_Curves/meltCurve_P52758_HRSP12.pdf</t>
  </si>
  <si>
    <t>Melting_Curves/meltCurve_P52788_SMS.pdf</t>
  </si>
  <si>
    <t>Melting_Curves/meltCurve_P52815_MRPL12.pdf</t>
  </si>
  <si>
    <t>Melting_Curves/meltCurve_P52824_DGKQ.pdf</t>
  </si>
  <si>
    <t>Melting_Curves/meltCurve_P52888_THOP1.pdf</t>
  </si>
  <si>
    <t>Melting_Curves/meltCurve_P52895_AKR1C2.pdf</t>
  </si>
  <si>
    <t>Melting_Curves/meltCurve_P52907_CAPZA1.pdf</t>
  </si>
  <si>
    <t>Melting_Curves/meltCurve_P52943_CRIP2.pdf</t>
  </si>
  <si>
    <t>Melting_Curves/meltCurve_P52948_5_NUP98.pdf</t>
  </si>
  <si>
    <t>Melting_Curves/meltCurve_P53004_BLVRA.pdf</t>
  </si>
  <si>
    <t>Melting_Curves/meltCurve_P53350_PLK1.pdf</t>
  </si>
  <si>
    <t>Melting_Curves/meltCurve_P53365_ARFIP2.pdf</t>
  </si>
  <si>
    <t>Melting_Curves/meltCurve_P53367_ARFIP1.pdf</t>
  </si>
  <si>
    <t>Melting_Curves/meltCurve_P53367_2_ARFIP1.pdf</t>
  </si>
  <si>
    <t>Melting_Curves/meltCurve_P53384_2_NUBP1.pdf</t>
  </si>
  <si>
    <t>Melting_Curves/meltCurve_P53396_ACLY.pdf</t>
  </si>
  <si>
    <t>Melting_Curves/meltCurve_P53396_2_ACLY.pdf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</si>
  <si>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</si>
  <si>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</si>
  <si>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</si>
  <si>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</si>
  <si>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</si>
  <si>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</si>
  <si>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</si>
  <si>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</si>
  <si>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Melting_Curves/meltCurve_P53675_2_CLTCL1.pdf</t>
  </si>
  <si>
    <t>Melting_Curves/meltCurve_P53680_AP2S1.pdf</t>
  </si>
  <si>
    <t>Melting_Curves/meltCurve_P53778_MAPK12.pdf</t>
  </si>
  <si>
    <t>Melting_Curves/meltCurve_P53803_POLR2K.pdf</t>
  </si>
  <si>
    <t>Melting_Curves/meltCurve_P53814_5_SMTN.pdf</t>
  </si>
  <si>
    <t>Melting_Curves/meltCurve_P53990_2_IST1.pdf</t>
  </si>
  <si>
    <t>Melting_Curves/meltCurve_P53992_SEC24C.pdf</t>
  </si>
  <si>
    <t>Melting_Curves/meltCurve_P53999_SUB1.pdf</t>
  </si>
  <si>
    <t>Melting_Curves/meltCurve_P54136_RARS.pdf</t>
  </si>
  <si>
    <t>Melting_Curves/meltCurve_P54253_ATXN1.pdf</t>
  </si>
  <si>
    <t>Melting_Curves/meltCurve_P54259_ATN1.pdf</t>
  </si>
  <si>
    <t>Melting_Curves/meltCurve_P54277_3_PMS1.pdf</t>
  </si>
  <si>
    <t>Melting_Curves/meltCurve_P54278_PMS2.pdf</t>
  </si>
  <si>
    <t>Melting_Curves/meltCurve_P54577_YARS.pdf</t>
  </si>
  <si>
    <t>Melting_Curves/meltCurve_P54578_USP14.pdf</t>
  </si>
  <si>
    <t>Melting_Curves/meltCurve_P54619_2_PRKAG1.pdf</t>
  </si>
  <si>
    <t>Melting_Curves/meltCurve_P54646_PRKAA2.pdf</t>
  </si>
  <si>
    <t>Melting_Curves/meltCurve_P54652_HSPA2.pdf</t>
  </si>
  <si>
    <t>Melting_Curves/meltCurve_P54687_BCAT1.pdf</t>
  </si>
  <si>
    <t>Melting_Curves/meltCurve_P54727_RAD23B.pdf</t>
  </si>
  <si>
    <t>Melting_Curves/meltCurve_P54802_NAGLU.pdf</t>
  </si>
  <si>
    <t>Melting_Curves/meltCurve_P54819_AK2.pdf</t>
  </si>
  <si>
    <t>Melting_Curves/meltCurve_P54886_2_ALDH18A1.pdf</t>
  </si>
  <si>
    <t>Melting_Curves/meltCurve_P54920_NAPA.pdf</t>
  </si>
  <si>
    <t>Melting_Curves/meltCurve_P54922_ADPRH.pdf</t>
  </si>
  <si>
    <t>Melting_Curves/meltCurve_P55010_EIF5.pdf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</si>
  <si>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</si>
  <si>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</si>
  <si>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</si>
  <si>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</si>
  <si>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</si>
  <si>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Melting_Curves/meltCurve_P55145_MANF.pdf</t>
  </si>
  <si>
    <t>Melting_Curves/meltCurve_P55196_MLLT4.pdf</t>
  </si>
  <si>
    <t>Melting_Curves/meltCurve_P55196_3_MLLT4.pdf</t>
  </si>
  <si>
    <t>Melting_Curves/meltCurve_P55199_ELL.pdf</t>
  </si>
  <si>
    <t>Melting_Curves/meltCurve_P55210_CASP7.pdf</t>
  </si>
  <si>
    <t>Melting_Curves/meltCurve_P55211_2_CASP9.pdf</t>
  </si>
  <si>
    <t>Melting_Curves/meltCurve_P55212_CASP6.pdf</t>
  </si>
  <si>
    <t>Melting_Curves/meltCurve_P55263_ADK.pdf</t>
  </si>
  <si>
    <t>Melting_Curves/meltCurve_P55265_5_ADAR.pdf</t>
  </si>
  <si>
    <t>Melting_Curves/meltCurve_P55268_LAMB2.pdf</t>
  </si>
  <si>
    <t>Melting_Curves/meltCurve_P55327_2_TPD52.pdf</t>
  </si>
  <si>
    <t>Melting_Curves/meltCurve_P55347_2_PKNOX1.pdf</t>
  </si>
  <si>
    <t>Melting_Curves/meltCurve_P55735_SEC13.pdf</t>
  </si>
  <si>
    <t>Melting_Curves/meltCurve_P55769_NHP2L1.pdf</t>
  </si>
  <si>
    <t>Melting_Curves/meltCurve_P55789_GFER.pdf</t>
  </si>
  <si>
    <t>Melting_Curves/meltCurve_P55795_HNRNPH2.pdf</t>
  </si>
  <si>
    <t>Melting_Curves/meltCurve_P55809_OXCT1.pdf</t>
  </si>
  <si>
    <t>Melting_Curves/meltCurve_P55854_SUMO3.pdf</t>
  </si>
  <si>
    <t>Melting_Curves/meltCurve_P55884_EIF3B.pdf</t>
  </si>
  <si>
    <t>Melting_Curves/meltCurve_P56181_2_NDUFV3.pdf</t>
  </si>
  <si>
    <t>Melting_Curves/meltCurve_P56192_MARS.pdf</t>
  </si>
  <si>
    <t>Melting_Curves/meltCurve_P56211_ARPP19.pdf</t>
  </si>
  <si>
    <t>Melting_Curves/meltCurve_P56277_CMC4.pdf</t>
  </si>
  <si>
    <t>Melting_Curves/meltCurve_P56282_2_POLE2.pdf</t>
  </si>
  <si>
    <t>Melting_Curves/meltCurve_P56377_AP1S2.pdf</t>
  </si>
  <si>
    <t>Melting_Curves/meltCurve_P56524_HDAC4.pdf</t>
  </si>
  <si>
    <t>Melting_Curves/meltCurve_P56537_EIF6.pdf</t>
  </si>
  <si>
    <t>Melting_Curves/meltCurve_P56545_CTBP2.pdf</t>
  </si>
  <si>
    <t>Melting_Curves/meltCurve_P56945_BCAR1.pdf</t>
  </si>
  <si>
    <t>Melting_Curves/meltCurve_P56962_STX17.pdf</t>
  </si>
  <si>
    <t>Melting_Curves/meltCurve_P57060_RWDD2B.pdf</t>
  </si>
  <si>
    <t>Melting_Curves/meltCurve_P57076_C21orf59.pdf</t>
  </si>
  <si>
    <t>Melting_Curves/meltCurve_P57081_WDR4.pdf</t>
  </si>
  <si>
    <t>Melting_Curves/meltCurve_P57105_SYNJ2BP.pdf</t>
  </si>
  <si>
    <t>Melting_Curves/meltCurve_P57737_3_CORO7.pdf</t>
  </si>
  <si>
    <t>Melting_Curves/meltCurve_P57740_NUP107.pdf</t>
  </si>
  <si>
    <t>Melting_Curves/meltCurve_P57764_GSDMD.pdf</t>
  </si>
  <si>
    <t>Melting_Curves/meltCurve_P57768_SNX16.pdf</t>
  </si>
  <si>
    <t>Melting_Curves/meltCurve_P57772_EEFSEC.pdf</t>
  </si>
  <si>
    <t>Melting_Curves/meltCurve_P58546_MTPN.pdf</t>
  </si>
  <si>
    <t>Melting_Curves/meltCurve_P59780_AP3S2.pdf</t>
  </si>
  <si>
    <t>Melting_Curves/meltCurve_P59998_ARPC4.pdf</t>
  </si>
  <si>
    <t>Melting_Curves/meltCurve_P60174_1_TPI1.pdf</t>
  </si>
  <si>
    <t>Melting_Curves/meltCurve_P60228_EIF3E.pdf</t>
  </si>
  <si>
    <t>Melting_Curves/meltCurve_P60468_SEC61B.pdf</t>
  </si>
  <si>
    <t>Melting_Curves/meltCurve_P60510_PPP4C.pdf</t>
  </si>
  <si>
    <t>Melting_Curves/meltCurve_P60520_GABARAPL2.pdf</t>
  </si>
  <si>
    <t>Melting_Curves/meltCurve_P60660_MYL6.pdf</t>
  </si>
  <si>
    <t>Melting_Curves/meltCurve_P60660_2_MYL6.pdf</t>
  </si>
  <si>
    <t>Melting_Curves/meltCurve_P60709_ACTB.pdf</t>
  </si>
  <si>
    <t>Melting_Curves/meltCurve_P60763_RAC3.pdf</t>
  </si>
  <si>
    <t>Melting_Curves/meltCurve_P60842_EIF4A1.pdf</t>
  </si>
  <si>
    <t>Melting_Curves/meltCurve_P60866_RPS20.pdf</t>
  </si>
  <si>
    <t>Melting_Curves/meltCurve_P60880_2_SNAP25.pdf</t>
  </si>
  <si>
    <t>Melting_Curves/meltCurve_P60891_PRPS1.pdf</t>
  </si>
  <si>
    <t>Melting_Curves/meltCurve_P60900_PSMA6.pdf</t>
  </si>
  <si>
    <t>Melting_Curves/meltCurve_P60903_S100A10.pdf</t>
  </si>
  <si>
    <t>Melting_Curves/meltCurve_P60953_CDC42.pdf</t>
  </si>
  <si>
    <t>Melting_Curves/meltCurve_P60981_DSTN.pdf</t>
  </si>
  <si>
    <t>Melting_Curves/meltCurve_P60983_GMFB.pdf</t>
  </si>
  <si>
    <t>Melting_Curves/meltCurve_P61006_RAB8A.pdf</t>
  </si>
  <si>
    <t>Melting_Curves/meltCurve_P61011_SRP54.pdf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</si>
  <si>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</si>
  <si>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</si>
  <si>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</si>
  <si>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</si>
  <si>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</si>
  <si>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</si>
  <si>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</si>
  <si>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</si>
  <si>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</si>
  <si>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</si>
  <si>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</si>
  <si>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</si>
  <si>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</si>
  <si>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</si>
  <si>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</si>
  <si>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</si>
  <si>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</si>
  <si>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Melting_Curves/meltCurve_P61247_RPS3A.pdf</t>
  </si>
  <si>
    <t>Melting_Curves/meltCurve_P61254_RPL26.pdf</t>
  </si>
  <si>
    <t>Melting_Curves/meltCurve_P61289_PSME3.pdf</t>
  </si>
  <si>
    <t>Melting_Curves/meltCurve_P61313_RPL15.pdf</t>
  </si>
  <si>
    <t>Melting_Curves/meltCurve_P61353_RPL27.pdf</t>
  </si>
  <si>
    <t>Melting_Curves/meltCurve_P61457_PCBD1.pdf</t>
  </si>
  <si>
    <t>Melting_Curves/meltCurve_P61586_RHOA.pdf</t>
  </si>
  <si>
    <t>Melting_Curves/meltCurve_P61587_RND3.pdf</t>
  </si>
  <si>
    <t>Melting_Curves/meltCurve_P61599_NAA20.pdf</t>
  </si>
  <si>
    <t>Melting_Curves/meltCurve_P61604_HSPE1.pdf</t>
  </si>
  <si>
    <t>Melting_Curves/meltCurve_P61758_VBP1.pdf</t>
  </si>
  <si>
    <t>Melting_Curves/meltCurve_P61764_STXBP1.pdf</t>
  </si>
  <si>
    <t>Melting_Curves/meltCurve_P61923_COPZ1.pdf</t>
  </si>
  <si>
    <t>Melting_Curves/meltCurve_P61927_RPL37.pdf</t>
  </si>
  <si>
    <t>Melting_Curves/meltCurve_P61952_GNG11.pdf</t>
  </si>
  <si>
    <t>Melting_Curves/meltCurve_P61956_SUMO2.pdf</t>
  </si>
  <si>
    <t>Melting_Curves/meltCurve_P61962_DCAF7.pdf</t>
  </si>
  <si>
    <t>Melting_Curves/meltCurve_P61964_WDR5.pdf</t>
  </si>
  <si>
    <t>Melting_Curves/meltCurve_P61966_AP1S1.pdf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</si>
  <si>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</si>
  <si>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</si>
  <si>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</si>
  <si>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</si>
  <si>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</si>
  <si>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</si>
  <si>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</si>
  <si>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</si>
  <si>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Melting_Curves/meltCurve_P62158_CALM1.pdf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</si>
  <si>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</si>
  <si>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</si>
  <si>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</si>
  <si>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</si>
  <si>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</si>
  <si>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</si>
  <si>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Melting_Curves/meltCurve_P62258_YWHAE.pdf</t>
  </si>
  <si>
    <t>Melting_Curves/meltCurve_P62263_RPS14.pdf</t>
  </si>
  <si>
    <t>Melting_Curves/meltCurve_P62266_RPS23.pdf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</si>
  <si>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</si>
  <si>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</si>
  <si>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</si>
  <si>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</si>
  <si>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</si>
  <si>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</si>
  <si>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</si>
  <si>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</si>
  <si>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</si>
  <si>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</si>
  <si>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</si>
  <si>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</si>
  <si>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</si>
  <si>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</si>
  <si>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</si>
  <si>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</si>
  <si>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</si>
  <si>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</si>
  <si>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</si>
  <si>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Melting_Curves/meltCurve_P62633_3_CNBP.pdf</t>
  </si>
  <si>
    <t>Melting_Curves/meltCurve_P62699_YPEL5.pdf</t>
  </si>
  <si>
    <t>Melting_Curves/meltCurve_P62701_RPS4X.pdf</t>
  </si>
  <si>
    <t>Melting_Curves/meltCurve_P62714_PPP2CB.pdf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</si>
  <si>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</si>
  <si>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</si>
  <si>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</si>
  <si>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</si>
  <si>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Melting_Curves/meltCurve_P62826_RAN.pdf</t>
  </si>
  <si>
    <t>Melting_Curves/meltCurve_P62829_RPL23.pdf</t>
  </si>
  <si>
    <t>Melting_Curves/meltCurve_P62837_UBE2D2.pdf</t>
  </si>
  <si>
    <t>Melting_Curves/meltCurve_P62847_2_RPS24.pdf</t>
  </si>
  <si>
    <t>Melting_Curves/meltCurve_P62851_RPS25.pdf</t>
  </si>
  <si>
    <t>Melting_Curves/meltCurve_P62854_RPS26.pdf</t>
  </si>
  <si>
    <t>Melting_Curves/meltCurve_P62857_RPS28.pdf</t>
  </si>
  <si>
    <t>Melting_Curves/meltCurve_P62873_GNB1.pdf</t>
  </si>
  <si>
    <t>Melting_Curves/meltCurve_P62875_POLR2L.pdf</t>
  </si>
  <si>
    <t>Melting_Curves/meltCurve_P62877_RBX1.pdf</t>
  </si>
  <si>
    <t>Melting_Curves/meltCurve_P62888_RPL30.pdf</t>
  </si>
  <si>
    <t>Melting_Curves/meltCurve_P62906_RPL10A.pdf</t>
  </si>
  <si>
    <t>Melting_Curves/meltCurve_P62917_RPL8.pdf</t>
  </si>
  <si>
    <t>Melting_Curves/meltCurve_P62942_FKBP1A.pdf</t>
  </si>
  <si>
    <t>Melting_Curves/meltCurve_P62993_GRB2.pdf</t>
  </si>
  <si>
    <t>Melting_Curves/meltCurve_P62995_TRA2B.pdf</t>
  </si>
  <si>
    <t>Melting_Curves/meltCurve_P63000_RAC1.pdf</t>
  </si>
  <si>
    <t>Melting_Curves/meltCurve_P63010_AP2B1.pdf</t>
  </si>
  <si>
    <t>Melting_Curves/meltCurve_P63096_GNAI1.pdf</t>
  </si>
  <si>
    <t>Melting_Curves/meltCurve_P63104_YWHAZ.pdf</t>
  </si>
  <si>
    <t>Melting_Curves/meltCurve_P63151_PPP2R2A.pdf</t>
  </si>
  <si>
    <t>Melting_Curves/meltCurve_P63167_DYNLL1.pdf</t>
  </si>
  <si>
    <t>Melting_Curves/meltCurve_P63241_EIF5A.pdf</t>
  </si>
  <si>
    <t>Melting_Curves/meltCurve_P63244_GNB2L1.pdf</t>
  </si>
  <si>
    <t>Melting_Curves/meltCurve_P63261_ACTG1.pdf</t>
  </si>
  <si>
    <t>Melting_Curves/meltCurve_P63272_SUPT4H1.pdf</t>
  </si>
  <si>
    <t>Melting_Curves/meltCurve_P63313_TMSB10.pdf</t>
  </si>
  <si>
    <t>Melting_Curves/meltCurve_P67775_PPP2CA.pdf</t>
  </si>
  <si>
    <t>Melting_Curves/meltCurve_P67809_YBX1.pdf</t>
  </si>
  <si>
    <t>Melting_Curves/meltCurve_P67870_CSNK2B.pdf</t>
  </si>
  <si>
    <t>Melting_Curves/meltCurve_P67936_TPM4.pdf</t>
  </si>
  <si>
    <t>Melting_Curves/meltCurve_P68036_UBE2L3.pdf</t>
  </si>
  <si>
    <t>Melting_Curves/meltCurve_P68104_EEF1A1.pdf</t>
  </si>
  <si>
    <t>Melting_Curves/meltCurve_P68106_FKBP1B.pdf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</si>
  <si>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</si>
  <si>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</si>
  <si>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</si>
  <si>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</si>
  <si>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Melting_Curves/meltCurve_P78314_SH3BP2.pdf</t>
  </si>
  <si>
    <t>Melting_Curves/meltCurve_P78316_NOP14.pdf</t>
  </si>
  <si>
    <t>Melting_Curves/meltCurve_P78318_IGBP1.pdf</t>
  </si>
  <si>
    <t>Melting_Curves/meltCurve_P78324_SIRPA.pdf</t>
  </si>
  <si>
    <t>Melting_Curves/meltCurve_P78330_PSPH.pdf</t>
  </si>
  <si>
    <t>Melting_Curves/meltCurve_P78332_RBM6.pdf</t>
  </si>
  <si>
    <t>Melting_Curves/meltCurve_P78345_RPP38.pdf</t>
  </si>
  <si>
    <t>Melting_Curves/meltCurve_P78346_RPP30.pdf</t>
  </si>
  <si>
    <t>Melting_Curves/meltCurve_P78347_2_GTF2I.pdf</t>
  </si>
  <si>
    <t>Melting_Curves/meltCurve_P78356_PIP4K2B.pdf</t>
  </si>
  <si>
    <t>Melting_Curves/meltCurve_P78364_PHC1.pdf</t>
  </si>
  <si>
    <t>Melting_Curves/meltCurve_P78371_CCT2.pdf</t>
  </si>
  <si>
    <t>Melting_Curves/meltCurve_P78406_RAE1.pdf</t>
  </si>
  <si>
    <t>Melting_Curves/meltCurve_P78417_GSTO1.pdf</t>
  </si>
  <si>
    <t>Melting_Curves/meltCurve_P78504_JAG1.pdf</t>
  </si>
  <si>
    <t>Melting_Curves/meltCurve_P78527_PRKDC.pdf</t>
  </si>
  <si>
    <t>Melting_Curves/meltCurve_P78537_BLOC1S1.pdf</t>
  </si>
  <si>
    <t>Melting_Curves/meltCurve_P78545_2_ELF3.pdf</t>
  </si>
  <si>
    <t>Melting_Curves/meltCurve_P78559_MAP1A.pdf</t>
  </si>
  <si>
    <t>Melting_Curves/meltCurve_P78560_CRADD.pdf</t>
  </si>
  <si>
    <t>Melting_Curves/meltCurve_P80217_IFI35.pdf</t>
  </si>
  <si>
    <t>Melting_Curves/meltCurve_P80297_MT1X.pdf</t>
  </si>
  <si>
    <t>Melting_Curves/meltCurve_P80303_NUCB2.pdf</t>
  </si>
  <si>
    <t>Melting_Curves/meltCurve_P80723_BASP1.pdf</t>
  </si>
  <si>
    <t>Melting_Curves/meltCurve_P81605_DCD.pdf</t>
  </si>
  <si>
    <t>Melting_Curves/meltCurve_P82094_TMF1.pdf</t>
  </si>
  <si>
    <t>Melting_Curves/meltCurve_P82673_MRPS35.pdf</t>
  </si>
  <si>
    <t>Melting_Curves/meltCurve_P82909_MRPS36.pdf</t>
  </si>
  <si>
    <t>Melting_Curves/meltCurve_P82912_2_MRPS11.pdf</t>
  </si>
  <si>
    <t>Melting_Curves/meltCurve_P82930_MRPS34.pdf</t>
  </si>
  <si>
    <t>Melting_Curves/meltCurve_P82932_MRPS6.pdf</t>
  </si>
  <si>
    <t>Melting_Curves/meltCurve_P82979_SARNP.pdf</t>
  </si>
  <si>
    <t>Melting_Curves/meltCurve_P83369_LSM11.pdf</t>
  </si>
  <si>
    <t>Melting_Curves/meltCurve_P83436_COG7.pdf</t>
  </si>
  <si>
    <t>Melting_Curves/meltCurve_P83881_RPL36A.pdf</t>
  </si>
  <si>
    <t>Melting_Curves/meltCurve_P84022_SMAD3.pdf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</si>
  <si>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</si>
  <si>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</si>
  <si>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</si>
  <si>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</si>
  <si>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Melting_Curves/meltCurve_P84101_4_SERF2.pdf</t>
  </si>
  <si>
    <t>Melting_Curves/meltCurve_P85037_FOXK1.pdf</t>
  </si>
  <si>
    <t>Melting_Curves/meltCurve_P85299_2_PRR5.pdf</t>
  </si>
  <si>
    <t>Melting_Curves/meltCurve_P86791_CCZ1.pdf</t>
  </si>
  <si>
    <t>Melting_Curves/meltCurve_P98082_3_DAB2.pdf</t>
  </si>
  <si>
    <t>Melting_Curves/meltCurve_P98155_2_VLDLR.pdf</t>
  </si>
  <si>
    <t>Melting_Curves/meltCurve_P98170_XIAP.pdf</t>
  </si>
  <si>
    <t>Melting_Curves/meltCurve_P98174_FGD1.pdf</t>
  </si>
  <si>
    <t>Melting_Curves/meltCurve_P98175_4_RBM10.pdf</t>
  </si>
  <si>
    <t>Melting_Curves/meltCurve_P98179_RBM3.pdf</t>
  </si>
  <si>
    <t>Melting_Curves/meltCurve_Q00013_2_MPP1.pdf</t>
  </si>
  <si>
    <t>Melting_Curves/meltCurve_Q00059_TFAM.pdf</t>
  </si>
  <si>
    <t>Melting_Curves/meltCurve_Q00169_PITPNA.pdf</t>
  </si>
  <si>
    <t>Melting_Curves/meltCurve_Q00341_HDLBP.pdf</t>
  </si>
  <si>
    <t>Melting_Curves/meltCurve_Q00403_GTF2B.pdf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</si>
  <si>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</si>
  <si>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</si>
  <si>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</si>
  <si>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</si>
  <si>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Melting_Curves/meltCurve_Q00587_2_CDC42EP1.pdf</t>
  </si>
  <si>
    <t>Melting_Curves/meltCurve_Q00610_2_CLTC.pdf</t>
  </si>
  <si>
    <t>Melting_Curves/meltCurve_Q00653_4_NFKB2.pdf</t>
  </si>
  <si>
    <t>Melting_Curves/meltCurve_Q00688_FKBP3.pdf</t>
  </si>
  <si>
    <t>Melting_Curves/meltCurve_Q00796_SORD.pdf</t>
  </si>
  <si>
    <t>Melting_Curves/meltCurve_Q00839_HNRNPU.pdf</t>
  </si>
  <si>
    <t>Melting_Curves/meltCurve_Q00978_IRF9.pdf</t>
  </si>
  <si>
    <t>Melting_Curves/meltCurve_Q01081_U2AF1.pdf</t>
  </si>
  <si>
    <t>Melting_Curves/meltCurve_Q01082_SPTBN1.pdf</t>
  </si>
  <si>
    <t>Melting_Curves/meltCurve_Q01082_3_SPTBN1.pdf</t>
  </si>
  <si>
    <t>Melting_Curves/meltCurve_Q01085_2_TIAL1.pdf</t>
  </si>
  <si>
    <t>Melting_Curves/meltCurve_Q01105_SET.pdf</t>
  </si>
  <si>
    <t>Melting_Curves/meltCurve_Q01105_2_SET.pdf</t>
  </si>
  <si>
    <t>Melting_Curves/meltCurve_Q01167_FOXK2.pdf</t>
  </si>
  <si>
    <t>Melting_Curves/meltCurve_Q01432_AMPD3.pdf</t>
  </si>
  <si>
    <t>Melting_Curves/meltCurve_Q01433_AMPD2.pdf</t>
  </si>
  <si>
    <t>Melting_Curves/meltCurve_Q01459_CTBS.pdf</t>
  </si>
  <si>
    <t>Melting_Curves/meltCurve_Q01469_FABP5.pdf</t>
  </si>
  <si>
    <t>Melting_Curves/meltCurve_Q01518_2_CAP1.pdf</t>
  </si>
  <si>
    <t>Melting_Curves/meltCurve_Q01581_HMGCS1.pdf</t>
  </si>
  <si>
    <t>Melting_Curves/meltCurve_Q01650_SLC7A5.pdf</t>
  </si>
  <si>
    <t>Melting_Curves/meltCurve_Q01658_DR1.pdf</t>
  </si>
  <si>
    <t>Melting_Curves/meltCurve_Q01664_TFAP4.pdf</t>
  </si>
  <si>
    <t>Melting_Curves/meltCurve_Q01780_2_EXOSC10.pdf</t>
  </si>
  <si>
    <t>Melting_Curves/meltCurve_Q01804_OTUD4.pdf</t>
  </si>
  <si>
    <t>Melting_Curves/meltCurve_Q01813_PFKP.pdf</t>
  </si>
  <si>
    <t>Melting_Curves/meltCurve_Q01844_6_EWSR1.pdf</t>
  </si>
  <si>
    <t>Melting_Curves/meltCurve_Q01850_CDR2.pdf</t>
  </si>
  <si>
    <t>Melting_Curves/meltCurve_Q01968_2_OCRL.pdf</t>
  </si>
  <si>
    <t>Melting_Curves/meltCurve_Q01970_PLCB3.pdf</t>
  </si>
  <si>
    <t>Melting_Curves/meltCurve_Q01973_ROR1.pdf</t>
  </si>
  <si>
    <t>Melting_Curves/meltCurve_Q01995_TAGLN.pdf</t>
  </si>
  <si>
    <t>Melting_Curves/meltCurve_Q02040_AKAP17A.pdf</t>
  </si>
  <si>
    <t>Melting_Curves/meltCurve_Q02078_4_MEF2A.pdf</t>
  </si>
  <si>
    <t>Melting_Curves/meltCurve_Q02083_2_NAAA.pdf</t>
  </si>
  <si>
    <t>Melting_Curves/meltCurve_Q02086_2_SP2.pdf</t>
  </si>
  <si>
    <t>Melting_Curves/meltCurve_Q02156_PRKCE.pdf</t>
  </si>
  <si>
    <t>Melting_Curves/meltCurve_Q02224_3_CENPE.pdf</t>
  </si>
  <si>
    <t>Melting_Curves/meltCurve_Q02241_KIF23.pdf</t>
  </si>
  <si>
    <t>Melting_Curves/meltCurve_Q02241_2_KIF23.pdf</t>
  </si>
  <si>
    <t>Melting_Curves/meltCurve_Q02297_NRG1.pdf</t>
  </si>
  <si>
    <t>Melting_Curves/meltCurve_Q02388_2_COL7A1.pdf</t>
  </si>
  <si>
    <t>Melting_Curves/meltCurve_Q02410_APBA1.pdf</t>
  </si>
  <si>
    <t>Melting_Curves/meltCurve_Q02446_SP4.pdf</t>
  </si>
  <si>
    <t>Melting_Curves/meltCurve_Q02447_3_SP3.pdf</t>
  </si>
  <si>
    <t>Melting_Curves/meltCurve_Q02535_ID3.pdf</t>
  </si>
  <si>
    <t>Melting_Curves/meltCurve_Q02543_RPL18A.pdf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</si>
  <si>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</si>
  <si>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</si>
  <si>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</si>
  <si>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</si>
  <si>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Melting_Curves/meltCurve_Q02833_3_RASSF7.pdf</t>
  </si>
  <si>
    <t>Melting_Curves/meltCurve_Q02880_2_TOP2B.pdf</t>
  </si>
  <si>
    <t>Melting_Curves/meltCurve_Q02952_3_AKAP12.pdf</t>
  </si>
  <si>
    <t>Melting_Curves/meltCurve_Q03001_DST.pdf</t>
  </si>
  <si>
    <t>Melting_Curves/meltCurve_Q03111_MLLT1.pdf</t>
  </si>
  <si>
    <t>Melting_Curves/meltCurve_Q03135_CAV1.pdf</t>
  </si>
  <si>
    <t>Melting_Curves/meltCurve_Q03154_ACY1.pdf</t>
  </si>
  <si>
    <t>Melting_Curves/meltCurve_Q03164_2_MLL.pdf</t>
  </si>
  <si>
    <t>Melting_Curves/meltCurve_Q03169_TNFAIP2.pdf</t>
  </si>
  <si>
    <t>Melting_Curves/meltCurve_Q03252_LMNB2.pdf</t>
  </si>
  <si>
    <t>Melting_Curves/meltCurve_Q03393_PTS.pdf</t>
  </si>
  <si>
    <t>Melting_Curves/meltCurve_Q03468_ERCC6.pdf</t>
  </si>
  <si>
    <t>Melting_Curves/meltCurve_Q03701_CEBPZ.pdf</t>
  </si>
  <si>
    <t>Melting_Curves/meltCurve_Q03933_2_HSF2.pdf</t>
  </si>
  <si>
    <t>Melting_Curves/meltCurve_Q04446_GBE1.pdf</t>
  </si>
  <si>
    <t>Melting_Curves/meltCurve_Q04656_5_ATP7A.pdf</t>
  </si>
  <si>
    <t>Melting_Curves/meltCurve_Q04695_KRT17.pdf</t>
  </si>
  <si>
    <t>Melting_Curves/meltCurve_Q04724_TLE1.pdf</t>
  </si>
  <si>
    <t>Melting_Curves/meltCurve_Q04726_3_TLE3.pdf</t>
  </si>
  <si>
    <t>Melting_Curves/meltCurve_Q04727_3_TLE4.pdf</t>
  </si>
  <si>
    <t>Melting_Curves/meltCurve_Q04756_HGFAC.pdf</t>
  </si>
  <si>
    <t>Melting_Curves/meltCurve_Q04760_GLO1.pdf</t>
  </si>
  <si>
    <t>Melting_Curves/meltCurve_Q04828_AKR1C1.pdf</t>
  </si>
  <si>
    <t>Melting_Curves/meltCurve_Q04837_SSBP1.pdf</t>
  </si>
  <si>
    <t>Melting_Curves/meltCurve_Q04917_YWHAH.pdf</t>
  </si>
  <si>
    <t>Melting_Curves/meltCurve_Q05048_CSTF1.pdf</t>
  </si>
  <si>
    <t>Melting_Curves/meltCurve_Q05086_3_UBE3A.pdf</t>
  </si>
  <si>
    <t>Melting_Curves/meltCurve_Q05193_DNM1.pdf</t>
  </si>
  <si>
    <t>Melting_Curves/meltCurve_Q05209_PTPN12.pdf</t>
  </si>
  <si>
    <t>Melting_Curves/meltCurve_Q05397_6_PTK2.pdf</t>
  </si>
  <si>
    <t>Melting_Curves/meltCurve_Q05513_PRKCZ.pdf</t>
  </si>
  <si>
    <t>Melting_Curves/meltCurve_Q05519_2_SRSF11.pdf</t>
  </si>
  <si>
    <t>Melting_Curves/meltCurve_Q05639_EEF1A2.pdf</t>
  </si>
  <si>
    <t>Melting_Curves/meltCurve_Q05655_PRKCD.pdf</t>
  </si>
  <si>
    <t>Melting_Curves/meltCurve_Q05682_CALD1.pdf</t>
  </si>
  <si>
    <t>Melting_Curves/meltCurve_Q05682_4_CALD1.pdf</t>
  </si>
  <si>
    <t>Melting_Curves/meltCurve_Q05932_3_FPGS.pdf</t>
  </si>
  <si>
    <t>Melting_Curves/meltCurve_Q06124_PTPN11.pdf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</si>
  <si>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</si>
  <si>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</si>
  <si>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</si>
  <si>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</si>
  <si>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Melting_Curves/meltCurve_Q06330_5_RBPJ.pdf</t>
  </si>
  <si>
    <t>Melting_Curves/meltCurve_Q06546_GABPA.pdf</t>
  </si>
  <si>
    <t>Melting_Curves/meltCurve_Q06547_2_GABPB1.pdf</t>
  </si>
  <si>
    <t>Melting_Curves/meltCurve_Q06587_RING1.pdf</t>
  </si>
  <si>
    <t>Melting_Curves/meltCurve_Q06609_3_RAD51.pdf</t>
  </si>
  <si>
    <t>Melting_Curves/meltCurve_Q06787_8_FMR1.pdf</t>
  </si>
  <si>
    <t>Melting_Curves/meltCurve_Q06945_SOX4.pdf</t>
  </si>
  <si>
    <t>Melting_Curves/meltCurve_Q07020_RPL18.pdf</t>
  </si>
  <si>
    <t>Melting_Curves/meltCurve_Q07021_C1QBP.pdf</t>
  </si>
  <si>
    <t>Melting_Curves/meltCurve_Q07065_CKAP4.pdf</t>
  </si>
  <si>
    <t>Melting_Curves/meltCurve_Q07283_TCHH.pdf</t>
  </si>
  <si>
    <t>Melting_Curves/meltCurve_Q07617_SPAG1.pdf</t>
  </si>
  <si>
    <t>Melting_Curves/meltCurve_Q07666_KHDRBS1.pdf</t>
  </si>
  <si>
    <t>Melting_Curves/meltCurve_Q07812_8_BAX.pdf</t>
  </si>
  <si>
    <t>Melting_Curves/meltCurve_Q07866_6_KLC1.pdf</t>
  </si>
  <si>
    <t>Melting_Curves/meltCurve_Q07954_LRP1.pdf</t>
  </si>
  <si>
    <t>Melting_Curves/meltCurve_Q07955_SRSF1.pdf</t>
  </si>
  <si>
    <t>Melting_Curves/meltCurve_Q07960_ARHGAP1.pdf</t>
  </si>
  <si>
    <t>Melting_Curves/meltCurve_Q08117_AES.pdf</t>
  </si>
  <si>
    <t>Melting_Curves/meltCurve_Q08170_SRSF4.pdf</t>
  </si>
  <si>
    <t>Melting_Curves/meltCurve_Q08188_TGM3.pdf</t>
  </si>
  <si>
    <t>Melting_Curves/meltCurve_Q08209_2_PPP3CA.pdf</t>
  </si>
  <si>
    <t>Melting_Curves/meltCurve_Q08211_DHX9.pdf</t>
  </si>
  <si>
    <t>Melting_Curves/meltCurve_Q08257_CRYZ.pdf</t>
  </si>
  <si>
    <t>Melting_Curves/meltCurve_Q08378_GOLGA3.pdf</t>
  </si>
  <si>
    <t>Melting_Curves/meltCurve_Q08379_GOLGA2.pdf</t>
  </si>
  <si>
    <t>Melting_Curves/meltCurve_Q08380_LGALS3BP.pdf</t>
  </si>
  <si>
    <t>Melting_Curves/meltCurve_Q08431_2_MFGE8.pdf</t>
  </si>
  <si>
    <t>Melting_Curves/meltCurve_Q08495_EPB49.pdf</t>
  </si>
  <si>
    <t>Melting_Curves/meltCurve_Q08499_6_PDE4D.pdf</t>
  </si>
  <si>
    <t>Melting_Curves/meltCurve_Q08554_2_DSC1.pdf</t>
  </si>
  <si>
    <t>Melting_Curves/meltCurve_Q08752_PPID.pdf</t>
  </si>
  <si>
    <t>Melting_Curves/meltCurve_Q08945_SSRP1.pdf</t>
  </si>
  <si>
    <t>Melting_Curves/meltCurve_Q08999_RBL2.pdf</t>
  </si>
  <si>
    <t>Melting_Curves/meltCurve_Q08AD1_2_CAMSAP2.pdf</t>
  </si>
  <si>
    <t>Melting_Curves/meltCurve_Q08AE8_2_SPIRE1.pdf</t>
  </si>
  <si>
    <t>Melting_Curves/meltCurve_Q08AG7_MZT1.pdf</t>
  </si>
  <si>
    <t>Melting_Curves/meltCurve_Q08AM6_VAC14.pdf</t>
  </si>
  <si>
    <t>Melting_Curves/meltCurve_Q08J23_NSUN2.pdf</t>
  </si>
  <si>
    <t>Melting_Curves/meltCurve_Q09028_3_RBBP4.pdf</t>
  </si>
  <si>
    <t>Melting_Curves/meltCurve_Q09161_NCBP1.pdf</t>
  </si>
  <si>
    <t>Melting_Curves/meltCurve_Q09472_EP300.pdf</t>
  </si>
  <si>
    <t>Melting_Curves/meltCurve_Q09666_AHNAK.pdf</t>
  </si>
  <si>
    <t>Melting_Curves/meltCurve_Q09666_2_AHNAK.pdf</t>
  </si>
  <si>
    <t>Melting_Curves/meltCurve_Q0JRZ9_FCHO2.pdf</t>
  </si>
  <si>
    <t>Melting_Curves/meltCurve_Q0PNE2_ELP6.pdf</t>
  </si>
  <si>
    <t>Melting_Curves/meltCurve_Q0VDF9_HSPA14.pdf</t>
  </si>
  <si>
    <t>Melting_Curves/meltCurve_Q0VDG4_SCRN3.pdf</t>
  </si>
  <si>
    <t>Melting_Curves/meltCurve_Q0VF96_CGNL1.pdf</t>
  </si>
  <si>
    <t>Melting_Curves/meltCurve_Q0VG06_FAAP100.pdf</t>
  </si>
  <si>
    <t>Melting_Curves/meltCurve_Q0VGL1_LAMTOR4.pdf</t>
  </si>
  <si>
    <t>Melting_Curves/meltCurve_Q10567_2_AP1B1.pdf</t>
  </si>
  <si>
    <t>Melting_Curves/meltCurve_Q10567_3_AP1B1.pdf</t>
  </si>
  <si>
    <t>Melting_Curves/meltCurve_Q10570_CPSF1.pdf</t>
  </si>
  <si>
    <t>Melting_Curves/meltCurve_Q10713_PMPCA.pdf</t>
  </si>
  <si>
    <t>Melting_Curves/meltCurve_Q12765_SCRN1.pdf</t>
  </si>
  <si>
    <t>Melting_Curves/meltCurve_Q12768_KIAA0196.pdf</t>
  </si>
  <si>
    <t>Melting_Curves/meltCurve_Q12769_NUP160.pdf</t>
  </si>
  <si>
    <t>Melting_Curves/meltCurve_Q12789_GTF3C1.pdf</t>
  </si>
  <si>
    <t>Melting_Curves/meltCurve_Q12792_TWF1.pdf</t>
  </si>
  <si>
    <t>Melting_Curves/meltCurve_Q12797_ASPH.pdf</t>
  </si>
  <si>
    <t>Melting_Curves/meltCurve_Q12800_2_TFCP2.pdf</t>
  </si>
  <si>
    <t>Melting_Curves/meltCurve_Q12802_AKAP13.pdf</t>
  </si>
  <si>
    <t>Melting_Curves/meltCurve_Q12824_2_SMARCB1.pdf</t>
  </si>
  <si>
    <t>Melting_Curves/meltCurve_Q12830_4_BPTF.pdf</t>
  </si>
  <si>
    <t>Melting_Curves/meltCurve_Q12834_CDC20.pdf</t>
  </si>
  <si>
    <t>Melting_Curves/meltCurve_Q12841_FSTL1.pdf</t>
  </si>
  <si>
    <t>Melting_Curves/meltCurve_Q12846_STX4.pdf</t>
  </si>
  <si>
    <t>Melting_Curves/meltCurve_Q12849_5_GRSF1.pdf</t>
  </si>
  <si>
    <t>Melting_Curves/meltCurve_Q12860_2_CNTN1.pdf</t>
  </si>
  <si>
    <t>Melting_Curves/meltCurve_Q12872_SFSWAP.pdf</t>
  </si>
  <si>
    <t>Melting_Curves/meltCurve_Q12873_CHD3.pdf</t>
  </si>
  <si>
    <t>Melting_Curves/meltCurve_Q12874_SF3A3.pdf</t>
  </si>
  <si>
    <t>Melting_Curves/meltCurve_Q12882_DPYD.pdf</t>
  </si>
  <si>
    <t>Melting_Curves/meltCurve_Q12888_TP53BP1.pdf</t>
  </si>
  <si>
    <t>Melting_Curves/meltCurve_Q12894_IFRD2.pdf</t>
  </si>
  <si>
    <t>Melting_Curves/meltCurve_Q12904_AIMP1.pdf</t>
  </si>
  <si>
    <t>Melting_Curves/meltCurve_Q12905_ILF2.pdf</t>
  </si>
  <si>
    <t>Melting_Curves/meltCurve_Q12906_7_ILF3.pdf</t>
  </si>
  <si>
    <t>Melting_Curves/meltCurve_Q12913_PTPRJ.pdf</t>
  </si>
  <si>
    <t>Melting_Curves/meltCurve_Q12923_2_PTPN13.pdf</t>
  </si>
  <si>
    <t>Melting_Curves/meltCurve_Q12929_EPS8.pdf</t>
  </si>
  <si>
    <t>Melting_Curves/meltCurve_Q12933_3_TRAF2.pdf</t>
  </si>
  <si>
    <t>Melting_Curves/meltCurve_Q12955_ANK3.pdf</t>
  </si>
  <si>
    <t>Melting_Curves/meltCurve_Q12959_5_DLG1.pdf</t>
  </si>
  <si>
    <t>Melting_Curves/meltCurve_Q12962_TAF10.pdf</t>
  </si>
  <si>
    <t>Melting_Curves/meltCurve_Q12965_MYO1E.pdf</t>
  </si>
  <si>
    <t>Melting_Curves/meltCurve_Q12972_PPP1R8.pdf</t>
  </si>
  <si>
    <t>Melting_Curves/meltCurve_Q12974_PTP4A2.pdf</t>
  </si>
  <si>
    <t>Melting_Curves/meltCurve_Q12979_4_ABR.pdf</t>
  </si>
  <si>
    <t>Melting_Curves/meltCurve_Q12981_BNIP1.pdf</t>
  </si>
  <si>
    <t>Melting_Curves/meltCurve_Q12982_BNIP2.pdf</t>
  </si>
  <si>
    <t>Melting_Curves/meltCurve_Q12986_NFX1.pdf</t>
  </si>
  <si>
    <t>Melting_Curves/meltCurve_Q12996_CSTF3.pdf</t>
  </si>
  <si>
    <t>Melting_Curves/meltCurve_Q13011_ECH1.pdf</t>
  </si>
  <si>
    <t>Melting_Curves/meltCurve_Q13017_2_ARHGAP5.pdf</t>
  </si>
  <si>
    <t>Melting_Curves/meltCurve_Q13033_2_STRN3.pdf</t>
  </si>
  <si>
    <t>Melting_Curves/meltCurve_Q13042_3_CDC16.pdf</t>
  </si>
  <si>
    <t>Melting_Curves/meltCurve_Q13043_STK4.pdf</t>
  </si>
  <si>
    <t>Melting_Curves/meltCurve_Q13045_FLII.pdf</t>
  </si>
  <si>
    <t>Melting_Curves/meltCurve_Q13045_2_FLII.pdf</t>
  </si>
  <si>
    <t>Melting_Curves/meltCurve_Q13049_TRIM32.pdf</t>
  </si>
  <si>
    <t>Melting_Curves/meltCurve_Q13057_COASY.pdf</t>
  </si>
  <si>
    <t>Melting_Curves/meltCurve_Q13077_TRAF1.pdf</t>
  </si>
  <si>
    <t>Melting_Curves/meltCurve_Q13085_ACACA.pdf</t>
  </si>
  <si>
    <t>Melting_Curves/meltCurve_Q13107_2_USP4.pdf</t>
  </si>
  <si>
    <t>Melting_Curves/meltCurve_Q13111_CHAF1A.pdf</t>
  </si>
  <si>
    <t>Melting_Curves/meltCurve_Q13112_CHAF1B.pdf</t>
  </si>
  <si>
    <t>Melting_Curves/meltCurve_Q13114_2_TRAF3.pdf</t>
  </si>
  <si>
    <t>Melting_Curves/meltCurve_Q13115_DUSP4.pdf</t>
  </si>
  <si>
    <t>Melting_Curves/meltCurve_Q13123_IK.pdf</t>
  </si>
  <si>
    <t>Melting_Curves/meltCurve_Q13131_PRKAA1.pdf</t>
  </si>
  <si>
    <t>Melting_Curves/meltCurve_Q13136_PPFIA1.pdf</t>
  </si>
  <si>
    <t>Melting_Curves/meltCurve_Q13148_TARDBP.pdf</t>
  </si>
  <si>
    <t>Melting_Curves/meltCurve_Q13151_HNRNPA0.pdf</t>
  </si>
  <si>
    <t>Melting_Curves/meltCurve_Q13153_PAK1.pdf</t>
  </si>
  <si>
    <t>Melting_Curves/meltCurve_Q13155_AIMP2.pdf</t>
  </si>
  <si>
    <t>Melting_Curves/meltCurve_Q13158_FADD.pdf</t>
  </si>
  <si>
    <t>Melting_Curves/meltCurve_Q13162_PRDX4.pdf</t>
  </si>
  <si>
    <t>Melting_Curves/meltCurve_Q13163_4_MAP2K5.pdf</t>
  </si>
  <si>
    <t>Melting_Curves/meltCurve_Q13164_MAPK7.pdf</t>
  </si>
  <si>
    <t>Melting_Curves/meltCurve_Q13177_PAK2.pdf</t>
  </si>
  <si>
    <t>Melting_Curves/meltCurve_Q13185_CBX3.pdf</t>
  </si>
  <si>
    <t>Melting_Curves/meltCurve_Q13188_STK3.pdf</t>
  </si>
  <si>
    <t>Melting_Curves/meltCurve_Q13190_STX5.pdf</t>
  </si>
  <si>
    <t>Melting_Curves/meltCurve_Q13191_CBLB.pdf</t>
  </si>
  <si>
    <t>Melting_Curves/meltCurve_Q13200_PSMD2.pdf</t>
  </si>
  <si>
    <t>Melting_Curves/meltCurve_Q13206_DDX10.pdf</t>
  </si>
  <si>
    <t>Melting_Curves/meltCurve_Q13216_2_ERCC8.pdf</t>
  </si>
  <si>
    <t>Melting_Curves/meltCurve_Q13217_DNAJC3.pdf</t>
  </si>
  <si>
    <t>Melting_Curves/meltCurve_Q13228_SELENBP1.pdf</t>
  </si>
  <si>
    <t>Melting_Curves/meltCurve_Q13232_NME3.pdf</t>
  </si>
  <si>
    <t>Melting_Curves/meltCurve_Q13233_MAP3K1.pdf</t>
  </si>
  <si>
    <t>Melting_Curves/meltCurve_Q13242_SRSF9.pdf</t>
  </si>
  <si>
    <t>Melting_Curves/meltCurve_Q13243_3_SRSF5.pdf</t>
  </si>
  <si>
    <t>Melting_Curves/meltCurve_Q13247_3_SRSF6.pdf</t>
  </si>
  <si>
    <t>Melting_Curves/meltCurve_Q13255_GRM1.pdf</t>
  </si>
  <si>
    <t>Melting_Curves/meltCurve_Q13257_MAD2L1.pdf</t>
  </si>
  <si>
    <t>Melting_Curves/meltCurve_Q13263_TRIM28.pdf</t>
  </si>
  <si>
    <t>Melting_Curves/meltCurve_Q13283_G3BP1.pdf</t>
  </si>
  <si>
    <t>Melting_Curves/meltCurve_Q13287_NMI.pdf</t>
  </si>
  <si>
    <t>Melting_Curves/meltCurve_Q13303_2_KCNAB2.pdf</t>
  </si>
  <si>
    <t>Melting_Curves/meltCurve_Q13308_3_PTK7.pdf</t>
  </si>
  <si>
    <t>Melting_Curves/meltCurve_Q13310_3_PABPC4.pdf</t>
  </si>
  <si>
    <t>Melting_Curves/meltCurve_Q13315_ATM.pdf</t>
  </si>
  <si>
    <t>Melting_Curves/meltCurve_Q13322_2_GRB10.pdf</t>
  </si>
  <si>
    <t>Melting_Curves/meltCurve_Q13325_IFIT5.pdf</t>
  </si>
  <si>
    <t>Melting_Curves/meltCurve_Q13330_3_MTA1.pdf</t>
  </si>
  <si>
    <t>Melting_Curves/meltCurve_Q13332_6_PTPRS.pdf</t>
  </si>
  <si>
    <t>Melting_Curves/meltCurve_Q13347_EIF3I.pdf</t>
  </si>
  <si>
    <t>Melting_Curves/meltCurve_Q13362_4_PPP2R5C.pdf</t>
  </si>
  <si>
    <t>Melting_Curves/meltCurve_Q13363_2_CTBP1.pdf</t>
  </si>
  <si>
    <t>Melting_Curves/meltCurve_Q13371_PDCL.pdf</t>
  </si>
  <si>
    <t>Melting_Curves/meltCurve_Q13395_TARBP1.pdf</t>
  </si>
  <si>
    <t>Melting_Curves/meltCurve_Q13404_UBE2V1.pdf</t>
  </si>
  <si>
    <t>Melting_Curves/meltCurve_Q13409_6_DYNC1I2.pdf</t>
  </si>
  <si>
    <t>Melting_Curves/meltCurve_Q13416_ORC2.pdf</t>
  </si>
  <si>
    <t>Melting_Curves/meltCurve_Q13418_ILK.pdf</t>
  </si>
  <si>
    <t>Melting_Curves/meltCurve_Q13425_SNTB2.pdf</t>
  </si>
  <si>
    <t>Melting_Curves/meltCurve_Q13426_XRCC4.pdf</t>
  </si>
  <si>
    <t>Melting_Curves/meltCurve_Q13427_PPIG.pdf</t>
  </si>
  <si>
    <t>Melting_Curves/meltCurve_Q13428_3_TCOF1.pdf</t>
  </si>
  <si>
    <t>Melting_Curves/meltCurve_Q13428_4_TCOF1.pdf</t>
  </si>
  <si>
    <t>Melting_Curves/meltCurve_Q13432_UNC119.pdf</t>
  </si>
  <si>
    <t>Melting_Curves/meltCurve_Q13435_SF3B2.pdf</t>
  </si>
  <si>
    <t>Melting_Curves/meltCurve_Q13439_3_GOLGA4.pdf</t>
  </si>
  <si>
    <t>Melting_Curves/meltCurve_Q13442_PDAP1.pdf</t>
  </si>
  <si>
    <t>Melting_Curves/meltCurve_Q13443_ADAM9.pdf</t>
  </si>
  <si>
    <t>Melting_Curves/meltCurve_Q13451_FKBP5.pdf</t>
  </si>
  <si>
    <t>Melting_Curves/meltCurve_Q13464_ROCK1.pdf</t>
  </si>
  <si>
    <t>Melting_Curves/meltCurve_Q13467_FZD5.pdf</t>
  </si>
  <si>
    <t>Melting_Curves/meltCurve_Q13472_2_TOP3A.pdf</t>
  </si>
  <si>
    <t>Melting_Curves/meltCurve_Q13480_2_GAB1.pdf</t>
  </si>
  <si>
    <t>Melting_Curves/meltCurve_Q13492_3_PICALM.pdf</t>
  </si>
  <si>
    <t>Melting_Curves/meltCurve_Q13496_MTM1.pdf</t>
  </si>
  <si>
    <t>Melting_Curves/meltCurve_Q13501_SQSTM1.pdf</t>
  </si>
  <si>
    <t>Melting_Curves/meltCurve_Q13503_MED21.pdf</t>
  </si>
  <si>
    <t>Melting_Curves/meltCurve_Q13506_NAB1.pdf</t>
  </si>
  <si>
    <t>Melting_Curves/meltCurve_Q13509_TUBB3.pdf</t>
  </si>
  <si>
    <t>Melting_Curves/meltCurve_Q13516_OLIG2.pdf</t>
  </si>
  <si>
    <t>Melting_Curves/meltCurve_Q13526_PIN1.pdf</t>
  </si>
  <si>
    <t>Melting_Curves/meltCurve_Q13535_2_ATR.pdf</t>
  </si>
  <si>
    <t>Melting_Curves/meltCurve_Q13541_EIF4EBP1.pdf</t>
  </si>
  <si>
    <t>Melting_Curves/meltCurve_Q13542_EIF4EBP2.pdf</t>
  </si>
  <si>
    <t>Melting_Curves/meltCurve_Q13546_RIPK1.pdf</t>
  </si>
  <si>
    <t>Melting_Curves/meltCurve_Q13547_HDAC1.pdf</t>
  </si>
  <si>
    <t>Melting_Curves/meltCurve_Q13557_8_CAMK2D.pdf</t>
  </si>
  <si>
    <t>Melting_Curves/meltCurve_Q13561_DCTN2.pdf</t>
  </si>
  <si>
    <t>Melting_Curves/meltCurve_Q13563_2_PKD2.pdf</t>
  </si>
  <si>
    <t>Melting_Curves/meltCurve_Q13564_2_NAE1.pdf</t>
  </si>
  <si>
    <t>Melting_Curves/meltCurve_Q13572_ITPK1.pdf</t>
  </si>
  <si>
    <t>Melting_Curves/meltCurve_Q13573_SNW1.pdf</t>
  </si>
  <si>
    <t>Melting_Curves/meltCurve_Q13574_2_DGKZ.pdf</t>
  </si>
  <si>
    <t>Melting_Curves/meltCurve_Q13596_SNX1.pdf</t>
  </si>
  <si>
    <t>Melting_Curves/meltCurve_Q13608_PEX6.pdf</t>
  </si>
  <si>
    <t>Melting_Curves/meltCurve_Q13613_MTMR1.pdf</t>
  </si>
  <si>
    <t>Melting_Curves/meltCurve_Q13614_MTMR2.pdf</t>
  </si>
  <si>
    <t>Melting_Curves/meltCurve_Q13615_3_MTMR3.pdf</t>
  </si>
  <si>
    <t>Melting_Curves/meltCurve_Q13616_CUL1.pdf</t>
  </si>
  <si>
    <t>Melting_Curves/meltCurve_Q13617_CUL2.pdf</t>
  </si>
  <si>
    <t>Melting_Curves/meltCurve_Q13618_CUL3.pdf</t>
  </si>
  <si>
    <t>Melting_Curves/meltCurve_Q13619_CUL4A.pdf</t>
  </si>
  <si>
    <t>Melting_Curves/meltCurve_Q13625_TP53BP2.pdf</t>
  </si>
  <si>
    <t>Melting_Curves/meltCurve_Q13627_3_DYRK1A.pdf</t>
  </si>
  <si>
    <t>Melting_Curves/meltCurve_Q13630_TSTA3.pdf</t>
  </si>
  <si>
    <t>Melting_Curves/meltCurve_Q13637_RAB32.pdf</t>
  </si>
  <si>
    <t>Melting_Curves/meltCurve_Q13641_TPBG.pdf</t>
  </si>
  <si>
    <t>Melting_Curves/meltCurve_Q13642_1_FHL1.pdf</t>
  </si>
  <si>
    <t>Melting_Curves/meltCurve_Q13643_FHL3.pdf</t>
  </si>
  <si>
    <t>Melting_Curves/meltCurve_Q13671_RIN1.pdf</t>
  </si>
  <si>
    <t>Melting_Curves/meltCurve_Q13686_ALKBH1.pdf</t>
  </si>
  <si>
    <t>Melting_Curves/meltCurve_Q13740_2_ALCAM.pdf</t>
  </si>
  <si>
    <t>Melting_Curves/meltCurve_Q13769_THOC5.pdf</t>
  </si>
  <si>
    <t>Melting_Curves/meltCurve_Q13796_SHROOM2.pdf</t>
  </si>
  <si>
    <t>Melting_Curves/meltCurve_Q13813_SPTAN1.pdf</t>
  </si>
  <si>
    <t>Melting_Curves/meltCurve_Q13813_3_SPTAN1.pdf</t>
  </si>
  <si>
    <t>Melting_Curves/meltCurve_Q13825_AUH.pdf</t>
  </si>
  <si>
    <t>Melting_Curves/meltCurve_Q13838_DDX39B.pdf</t>
  </si>
  <si>
    <t>Melting_Curves/meltCurve_Q13867_BLMH.pdf</t>
  </si>
  <si>
    <t>Melting_Curves/meltCurve_Q13868_EXOSC2.pdf</t>
  </si>
  <si>
    <t>Melting_Curves/meltCurve_Q13885_TUBB2A.pdf</t>
  </si>
  <si>
    <t>Melting_Curves/meltCurve_Q13887_KLF5.pdf</t>
  </si>
  <si>
    <t>Melting_Curves/meltCurve_Q13895_BYSL.pdf</t>
  </si>
  <si>
    <t>Melting_Curves/meltCurve_Q13907_IDI1.pdf</t>
  </si>
  <si>
    <t>Melting_Curves/meltCurve_Q13951_CBFB.pdf</t>
  </si>
  <si>
    <t>Melting_Curves/meltCurve_Q13951_2_CBFB.pdf</t>
  </si>
  <si>
    <t>Melting_Curves/meltCurve_Q13952_3_NFYC.pdf</t>
  </si>
  <si>
    <t>Melting_Curves/meltCurve_Q14004_CDK13.pdf</t>
  </si>
  <si>
    <t>Melting_Curves/meltCurve_Q14008_CKAP5.pdf</t>
  </si>
  <si>
    <t>Melting_Curves/meltCurve_Q14011_CIRBP.pdf</t>
  </si>
  <si>
    <t>Melting_Curves/meltCurve_Q14012_CAMK1.pdf</t>
  </si>
  <si>
    <t>Melting_Curves/meltCurve_Q14019_COTL1.pdf</t>
  </si>
  <si>
    <t>Melting_Curves/meltCurve_Q14032_BAAT.pdf</t>
  </si>
  <si>
    <t>Melting_Curves/meltCurve_Q14061_COX17.pdf</t>
  </si>
  <si>
    <t>Melting_Curves/meltCurve_Q14103_3_HNRNPD.pdf</t>
  </si>
  <si>
    <t>Melting_Curves/meltCurve_Q14116_2_IL18.pdf</t>
  </si>
  <si>
    <t>Melting_Curves/meltCurve_Q14118_DAG1.pdf</t>
  </si>
  <si>
    <t>Melting_Curves/meltCurve_Q14123_PDE1C.pdf</t>
  </si>
  <si>
    <t>Melting_Curves/meltCurve_Q14126_DSG2.pdf</t>
  </si>
  <si>
    <t>Melting_Curves/meltCurve_Q14137_BOP1.pdf</t>
  </si>
  <si>
    <t>Melting_Curves/meltCurve_Q14139_UBE4A.pdf</t>
  </si>
  <si>
    <t>Melting_Curves/meltCurve_Q14141_2_SEPT6.pdf</t>
  </si>
  <si>
    <t>Melting_Curves/meltCurve_Q14146_URB2.pdf</t>
  </si>
  <si>
    <t>Melting_Curves/meltCurve_Q14147_DHX34.pdf</t>
  </si>
  <si>
    <t>Melting_Curves/meltCurve_Q14149_MORC3.pdf</t>
  </si>
  <si>
    <t>Melting_Curves/meltCurve_Q14151_SAFB2.pdf</t>
  </si>
  <si>
    <t>Melting_Curves/meltCurve_Q14152_EIF3A.pdf</t>
  </si>
  <si>
    <t>Melting_Curves/meltCurve_Q14153_FAM53B.pdf</t>
  </si>
  <si>
    <t>Melting_Curves/meltCurve_Q14155_1_ARHGEF7.pdf</t>
  </si>
  <si>
    <t>Melting_Curves/meltCurve_Q14157_UBAP2L.pdf</t>
  </si>
  <si>
    <t>Melting_Curves/meltCurve_Q14157_1_UBAP2L.pdf</t>
  </si>
  <si>
    <t>Melting_Curves/meltCurve_Q14160_3_SCRIB.pdf</t>
  </si>
  <si>
    <t>Melting_Curves/meltCurve_Q14161_GIT2.pdf</t>
  </si>
  <si>
    <t>Melting_Curves/meltCurve_Q14166_TTLL12.pdf</t>
  </si>
  <si>
    <t>Melting_Curves/meltCurve_Q14181_POLA2.pdf</t>
  </si>
  <si>
    <t>Melting_Curves/meltCurve_Q14185_DOCK1.pdf</t>
  </si>
  <si>
    <t>Melting_Curves/meltCurve_Q14191_WRN.pdf</t>
  </si>
  <si>
    <t>Melting_Curves/meltCurve_Q14192_FHL2.pdf</t>
  </si>
  <si>
    <t>Melting_Curves/meltCurve_Q14195_2_DPYSL3.pdf</t>
  </si>
  <si>
    <t>Melting_Curves/meltCurve_Q14202_2_ZMYM3.pdf</t>
  </si>
  <si>
    <t>Melting_Curves/meltCurve_Q14203_3_DCTN1.pdf</t>
  </si>
  <si>
    <t>Melting_Curves/meltCurve_Q14204_DYNC1H1.pdf</t>
  </si>
  <si>
    <t>Melting_Curves/meltCurve_Q14207_NPAT.pdf</t>
  </si>
  <si>
    <t>Melting_Curves/meltCurve_Q14232_EIF2B1.pdf</t>
  </si>
  <si>
    <t>Melting_Curves/meltCurve_Q14240_EIF4A2.pdf</t>
  </si>
  <si>
    <t>Melting_Curves/meltCurve_Q14241_TCEB3.pdf</t>
  </si>
  <si>
    <t>Melting_Curves/meltCurve_Q14244_MAP7.pdf</t>
  </si>
  <si>
    <t>Melting_Curves/meltCurve_Q14247_CTTN.pdf</t>
  </si>
  <si>
    <t>Melting_Curves/meltCurve_Q14247_3_CTTN.pdf</t>
  </si>
  <si>
    <t>Melting_Curves/meltCurve_Q14249_ENDOG.pdf</t>
  </si>
  <si>
    <t>Melting_Curves/meltCurve_Q14257_RCN2.pdf</t>
  </si>
  <si>
    <t>Melting_Curves/meltCurve_Q14258_TRIM25.pdf</t>
  </si>
  <si>
    <t>Melting_Curves/meltCurve_Q14289_2_PTK2B.pdf</t>
  </si>
  <si>
    <t>Melting_Curves/meltCurve_Q14315_2_FLNC.pdf</t>
  </si>
  <si>
    <t>Melting_Curves/meltCurve_Q14318_FKBP8.pdf</t>
  </si>
  <si>
    <t>Melting_Curves/meltCurve_Q14320_FAM50A.pdf</t>
  </si>
  <si>
    <t>Melting_Curves/meltCurve_Q14331_FRG1.pdf</t>
  </si>
  <si>
    <t>Melting_Curves/meltCurve_Q14344_GNA13.pdf</t>
  </si>
  <si>
    <t>Melting_Curves/meltCurve_Q14353_GAMT.pdf</t>
  </si>
  <si>
    <t>Melting_Curves/meltCurve_Q14376_GALE.pdf</t>
  </si>
  <si>
    <t>Melting_Curves/meltCurve_Q14432_PDE3A.pdf</t>
  </si>
  <si>
    <t>Melting_Curves/meltCurve_Q14444_2_CAPRIN1.pdf</t>
  </si>
  <si>
    <t>Melting_Curves/meltCurve_Q14449_GRB14.pdf</t>
  </si>
  <si>
    <t>Melting_Curves/meltCurve_Q14451_GRB7.pdf</t>
  </si>
  <si>
    <t>Melting_Curves/meltCurve_Q14457_BECN1.pdf</t>
  </si>
  <si>
    <t>Melting_Curves/meltCurve_Q14469_HES1.pdf</t>
  </si>
  <si>
    <t>Melting_Curves/meltCurve_Q14493_SLBP.pdf</t>
  </si>
  <si>
    <t>Melting_Curves/meltCurve_Q14493_2_SLBP.pdf</t>
  </si>
  <si>
    <t>Melting_Curves/meltCurve_Q14498_2_RBM39.pdf</t>
  </si>
  <si>
    <t>Melting_Curves/meltCurve_Q14511_3_NEDD9.pdf</t>
  </si>
  <si>
    <t>Melting_Curves/meltCurve_Q14517_FAT1.pdf</t>
  </si>
  <si>
    <t>Melting_Curves/meltCurve_Q14520_2_HABP2.pdf</t>
  </si>
  <si>
    <t>Melting_Curves/meltCurve_Q14527_HLTF.pdf</t>
  </si>
  <si>
    <t>Melting_Curves/meltCurve_Q14554_PDIA5.pdf</t>
  </si>
  <si>
    <t>Melting_Curves/meltCurve_Q14558_2_PRPSAP1.pdf</t>
  </si>
  <si>
    <t>Melting_Curves/meltCurve_Q14562_DHX8.pdf</t>
  </si>
  <si>
    <t>Melting_Curves/meltCurve_Q14566_MCM6.pdf</t>
  </si>
  <si>
    <t>Melting_Curves/meltCurve_Q14651_PLS1.pdf</t>
  </si>
  <si>
    <t>Melting_Curves/meltCurve_Q14653_IRF3.pdf</t>
  </si>
  <si>
    <t>Melting_Curves/meltCurve_Q14657_LAGE3.pdf</t>
  </si>
  <si>
    <t>Melting_Curves/meltCurve_Q14669_3_TRIP12.pdf</t>
  </si>
  <si>
    <t>Melting_Curves/meltCurve_Q14671_2_PUM1.pdf</t>
  </si>
  <si>
    <t>Melting_Curves/meltCurve_Q14676_MDC1.pdf</t>
  </si>
  <si>
    <t>Melting_Curves/meltCurve_Q14677_CLINT1.pdf</t>
  </si>
  <si>
    <t>Melting_Curves/meltCurve_Q14678_KANK1.pdf</t>
  </si>
  <si>
    <t>Melting_Curves/meltCurve_Q14683_SMC1A.pdf</t>
  </si>
  <si>
    <t>Melting_Curves/meltCurve_Q14684_2_RRP1B.pdf</t>
  </si>
  <si>
    <t>Melting_Curves/meltCurve_Q14686_NCOA6.pdf</t>
  </si>
  <si>
    <t>Melting_Curves/meltCurve_Q14687_2_GSE1.pdf</t>
  </si>
  <si>
    <t>Melting_Curves/meltCurve_Q14689_6_DIP2A.pdf</t>
  </si>
  <si>
    <t>Melting_Curves/meltCurve_Q14690_PDCD11.pdf</t>
  </si>
  <si>
    <t>Melting_Curves/meltCurve_Q14691_GINS1.pdf</t>
  </si>
  <si>
    <t>Melting_Curves/meltCurve_Q14694_USP10.pdf</t>
  </si>
  <si>
    <t>Melting_Curves/meltCurve_Q14696_MESDC2.pdf</t>
  </si>
  <si>
    <t>Melting_Curves/meltCurve_Q14697_GANAB.pdf</t>
  </si>
  <si>
    <t>Melting_Curves/meltCurve_Q14764_MVP.pdf</t>
  </si>
  <si>
    <t>Melting_Curves/meltCurve_Q14781_CBX2.pdf</t>
  </si>
  <si>
    <t>Melting_Curves/meltCurve_Q14789_GOLGB1.pdf</t>
  </si>
  <si>
    <t>Melting_Curves/meltCurve_Q14790_3_CASP8.pdf</t>
  </si>
  <si>
    <t>Melting_Curves/meltCurve_Q14790_9_CASP8.pdf</t>
  </si>
  <si>
    <t>Melting_Curves/meltCurve_Q147X3_NAA30.pdf</t>
  </si>
  <si>
    <t>Melting_Curves/meltCurve_Q14807_2_KIF22.pdf</t>
  </si>
  <si>
    <t>Melting_Curves/meltCurve_Q14814_4_MEF2D.pdf</t>
  </si>
  <si>
    <t>Melting_Curves/meltCurve_Q14839_2_CHD4.pdf</t>
  </si>
  <si>
    <t>Melting_Curves/meltCurve_Q14847_LASP1.pdf</t>
  </si>
  <si>
    <t>Melting_Curves/meltCurve_Q14872_MTF1.pdf</t>
  </si>
  <si>
    <t>Melting_Curves/meltCurve_Q14914_2_PTGR1.pdf</t>
  </si>
  <si>
    <t>Melting_Curves/meltCurve_Q14919_2_DRAP1.pdf</t>
  </si>
  <si>
    <t>Melting_Curves/meltCurve_Q14966_ZNF638.pdf</t>
  </si>
  <si>
    <t>Melting_Curves/meltCurve_Q14974_KPNB1.pdf</t>
  </si>
  <si>
    <t>Melting_Curves/meltCurve_Q14978_2_NOLC1.pdf</t>
  </si>
  <si>
    <t>Melting_Curves/meltCurve_Q14980_NUMA1.pdf</t>
  </si>
  <si>
    <t>Melting_Curves/meltCurve_Q14980_2_NUMA1.pdf</t>
  </si>
  <si>
    <t>Melting_Curves/meltCurve_Q14997_PSME4.pdf</t>
  </si>
  <si>
    <t>Melting_Curves/meltCurve_Q14C86_5_GAPVD1.pdf</t>
  </si>
  <si>
    <t>Melting_Curves/meltCurve_Q14CB8_4_ARHGAP19.pdf</t>
  </si>
  <si>
    <t>Melting_Curves/meltCurve_Q14CS0_UBXN2B.pdf</t>
  </si>
  <si>
    <t>Melting_Curves/meltCurve_Q14CX7_NAA25.pdf</t>
  </si>
  <si>
    <t>Melting_Curves/meltCurve_Q15003_NCAPH.pdf</t>
  </si>
  <si>
    <t>Melting_Curves/meltCurve_Q15004_KIAA0101.pdf</t>
  </si>
  <si>
    <t>Melting_Curves/meltCurve_Q15007_WTAP.pdf</t>
  </si>
  <si>
    <t>Melting_Curves/meltCurve_Q15008_PSMD6.pdf</t>
  </si>
  <si>
    <t>Melting_Curves/meltCurve_Q15013_MAD2L1BP.pdf</t>
  </si>
  <si>
    <t>Melting_Curves/meltCurve_Q15014_MORF4L2.pdf</t>
  </si>
  <si>
    <t>Melting_Curves/meltCurve_Q15018_FAM175B.pdf</t>
  </si>
  <si>
    <t>Melting_Curves/meltCurve_Q15019_SEPT2.pdf</t>
  </si>
  <si>
    <t>Melting_Curves/meltCurve_Q15020_SART3.pdf</t>
  </si>
  <si>
    <t>Melting_Curves/meltCurve_Q15021_NCAPD2.pdf</t>
  </si>
  <si>
    <t>Melting_Curves/meltCurve_Q15024_EXOSC7.pdf</t>
  </si>
  <si>
    <t>Melting_Curves/meltCurve_Q15029_2_EFTUD2.pdf</t>
  </si>
  <si>
    <t>Melting_Curves/meltCurve_Q15032_2_R3HDM1.pdf</t>
  </si>
  <si>
    <t>Melting_Curves/meltCurve_Q15036_2_SNX17.pdf</t>
  </si>
  <si>
    <t>Melting_Curves/meltCurve_Q15042_RAB3GAP1.pdf</t>
  </si>
  <si>
    <t>Melting_Curves/meltCurve_Q15043_2_SLC39A14.pdf</t>
  </si>
  <si>
    <t>Melting_Curves/meltCurve_Q15046_KARS.pdf</t>
  </si>
  <si>
    <t>Melting_Curves/meltCurve_Q15047_3_SETDB1.pdf</t>
  </si>
  <si>
    <t>Melting_Curves/meltCurve_Q15048_LRRC14.pdf</t>
  </si>
  <si>
    <t>Melting_Curves/meltCurve_Q15050_RRS1.pdf</t>
  </si>
  <si>
    <t>Melting_Curves/meltCurve_Q15054_POLD3.pdf</t>
  </si>
  <si>
    <t>Melting_Curves/meltCurve_Q15056_EIF4H.pdf</t>
  </si>
  <si>
    <t>Melting_Curves/meltCurve_Q15056_2_EIF4H.pdf</t>
  </si>
  <si>
    <t>Melting_Curves/meltCurve_Q15057_ACAP2.pdf</t>
  </si>
  <si>
    <t>Melting_Curves/meltCurve_Q15058_KIF14.pdf</t>
  </si>
  <si>
    <t>Melting_Curves/meltCurve_Q15059_BRD3.pdf</t>
  </si>
  <si>
    <t>Melting_Curves/meltCurve_Q15061_WDR43.pdf</t>
  </si>
  <si>
    <t>Melting_Curves/meltCurve_Q15067_2_ACOX1.pdf</t>
  </si>
  <si>
    <t>Melting_Curves/meltCurve_Q15072_ZNF146.pdf</t>
  </si>
  <si>
    <t>Melting_Curves/meltCurve_Q15075_EEA1.pdf</t>
  </si>
  <si>
    <t>Melting_Curves/meltCurve_Q15102_PAFAH1B3.pdf</t>
  </si>
  <si>
    <t>Melting_Curves/meltCurve_Q15121_PEA15.pdf</t>
  </si>
  <si>
    <t>Melting_Curves/meltCurve_Q15126_PMVK.pdf</t>
  </si>
  <si>
    <t>Melting_Curves/meltCurve_Q15139_PRKD1.pdf</t>
  </si>
  <si>
    <t>Melting_Curves/meltCurve_Q15147_4_PLCB4.pdf</t>
  </si>
  <si>
    <t>Melting_Curves/meltCurve_Q15149_PLEC.pdf</t>
  </si>
  <si>
    <t>Melting_Curves/meltCurve_Q15149_2_PLEC.pdf</t>
  </si>
  <si>
    <t>Melting_Curves/meltCurve_Q15149_3_PLEC.pdf</t>
  </si>
  <si>
    <t>Melting_Curves/meltCurve_Q15149_4_PLEC.pdf</t>
  </si>
  <si>
    <t>Melting_Curves/meltCurve_Q15149_8_PLEC.pdf</t>
  </si>
  <si>
    <t>Melting_Curves/meltCurve_Q15154_PCM1.pdf</t>
  </si>
  <si>
    <t>Melting_Curves/meltCurve_Q15170_2_TCEAL1.pdf</t>
  </si>
  <si>
    <t>Melting_Curves/meltCurve_Q15172_PPP2R5A.pdf</t>
  </si>
  <si>
    <t>Melting_Curves/meltCurve_Q15181_PPA1.pdf</t>
  </si>
  <si>
    <t>Melting_Curves/meltCurve_Q15208_STK38.pdf</t>
  </si>
  <si>
    <t>Melting_Curves/meltCurve_Q15233_NONO.pdf</t>
  </si>
  <si>
    <t>Melting_Curves/meltCurve_Q15257_PPP2R4.pdf</t>
  </si>
  <si>
    <t>Melting_Curves/meltCurve_Q15262_2_PTPRK.pdf</t>
  </si>
  <si>
    <t>Melting_Curves/meltCurve_Q15276_RABEP1.pdf</t>
  </si>
  <si>
    <t>Melting_Curves/meltCurve_Q15283_2_RASA2.pdf</t>
  </si>
  <si>
    <t>Melting_Curves/meltCurve_Q15286_RAB35.pdf</t>
  </si>
  <si>
    <t>Melting_Curves/meltCurve_Q15291_RBBP5.pdf</t>
  </si>
  <si>
    <t>Melting_Curves/meltCurve_Q15291_2_RBBP5.pdf</t>
  </si>
  <si>
    <t>Melting_Curves/meltCurve_Q15293_RCN1.pdf</t>
  </si>
  <si>
    <t>Melting_Curves/meltCurve_Q15311_RALBP1.pdf</t>
  </si>
  <si>
    <t>Melting_Curves/meltCurve_Q15329_2_E2F5.pdf</t>
  </si>
  <si>
    <t>Melting_Curves/meltCurve_Q15334_LLGL1.pdf</t>
  </si>
  <si>
    <t>Melting_Curves/meltCurve_Q15345_LRRC41.pdf</t>
  </si>
  <si>
    <t>Melting_Curves/meltCurve_Q15365_PCBP1.pdf</t>
  </si>
  <si>
    <t>Melting_Curves/meltCurve_Q15366_PCBP2.pdf</t>
  </si>
  <si>
    <t>Melting_Curves/meltCurve_Q15366_6_PCBP2.pdf</t>
  </si>
  <si>
    <t>Melting_Curves/meltCurve_Q15370_2_TCEB2.pdf</t>
  </si>
  <si>
    <t>Melting_Curves/meltCurve_Q15382_RHEB.pdf</t>
  </si>
  <si>
    <t>Melting_Curves/meltCurve_Q15386_UBE3C.pdf</t>
  </si>
  <si>
    <t>Melting_Curves/meltCurve_Q15393_SF3B3.pdf</t>
  </si>
  <si>
    <t>Melting_Curves/meltCurve_Q15398_3_DLGAP5.pdf</t>
  </si>
  <si>
    <t>Melting_Curves/meltCurve_Q15404_RSU1.pdf</t>
  </si>
  <si>
    <t>Melting_Curves/meltCurve_Q15417_CNN3.pdf</t>
  </si>
  <si>
    <t>Melting_Curves/meltCurve_Q15424_SAFB.pdf</t>
  </si>
  <si>
    <t>Melting_Curves/meltCurve_Q15427_SF3B4.pdf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</si>
  <si>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</si>
  <si>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</si>
  <si>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</si>
  <si>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</si>
  <si>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Melting_Curves/meltCurve_Q15459_SF3A1.pdf</t>
  </si>
  <si>
    <t>Melting_Curves/meltCurve_Q15464_SHB.pdf</t>
  </si>
  <si>
    <t>Melting_Curves/meltCurve_Q15477_SKIV2L.pdf</t>
  </si>
  <si>
    <t>Melting_Curves/meltCurve_Q15506_SPA17.pdf</t>
  </si>
  <si>
    <t>Melting_Curves/meltCurve_Q15526_2_SURF1.pdf</t>
  </si>
  <si>
    <t>Melting_Curves/meltCurve_Q15527_SURF2.pdf</t>
  </si>
  <si>
    <t>Melting_Curves/meltCurve_Q15542_2_TAF5.pdf</t>
  </si>
  <si>
    <t>Melting_Curves/meltCurve_Q15545_TAF7.pdf</t>
  </si>
  <si>
    <t>Melting_Curves/meltCurve_Q15554_3_TERF2.pdf</t>
  </si>
  <si>
    <t>Melting_Curves/meltCurve_Q15583_4_TGIF1.pdf</t>
  </si>
  <si>
    <t>Melting_Curves/meltCurve_Q15596_NCOA2.pdf</t>
  </si>
  <si>
    <t>Melting_Curves/meltCurve_Q15599_SLC9A3R2.pdf</t>
  </si>
  <si>
    <t>Melting_Curves/meltCurve_Q15628_TRADD.pdf</t>
  </si>
  <si>
    <t>Melting_Curves/meltCurve_Q15633_2_TARBP2.pdf</t>
  </si>
  <si>
    <t>Melting_Curves/meltCurve_Q15637_5_SF1.pdf</t>
  </si>
  <si>
    <t>Melting_Curves/meltCurve_Q15642_TRIP10.pdf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</si>
  <si>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</si>
  <si>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</si>
  <si>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</si>
  <si>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</si>
  <si>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</si>
  <si>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Melting_Curves/meltCurve_Q15650_TRIP4.pdf</t>
  </si>
  <si>
    <t>Melting_Curves/meltCurve_Q15651_HMGN3.pdf</t>
  </si>
  <si>
    <t>Melting_Curves/meltCurve_Q15652_JMJD1C.pdf</t>
  </si>
  <si>
    <t>Melting_Curves/meltCurve_Q15654_TRIP6.pdf</t>
  </si>
  <si>
    <t>Melting_Curves/meltCurve_Q15691_MAPRE1.pdf</t>
  </si>
  <si>
    <t>Melting_Curves/meltCurve_Q15714_TSC22D1.pdf</t>
  </si>
  <si>
    <t>Melting_Curves/meltCurve_Q15717_ELAVL1.pdf</t>
  </si>
  <si>
    <t>Melting_Curves/meltCurve_Q15746_4_MYLK.pdf</t>
  </si>
  <si>
    <t>Melting_Curves/meltCurve_Q15750_2_TAB1.pdf</t>
  </si>
  <si>
    <t>Melting_Curves/meltCurve_Q15751_HERC1.pdf</t>
  </si>
  <si>
    <t>Melting_Curves/meltCurve_Q15758_3_SLC1A5.pdf</t>
  </si>
  <si>
    <t>Melting_Curves/meltCurve_Q15773_MLF2.pdf</t>
  </si>
  <si>
    <t>Melting_Curves/meltCurve_Q15785_TOMM34.pdf</t>
  </si>
  <si>
    <t>Melting_Curves/meltCurve_Q15788_2_NCOA1.pdf</t>
  </si>
  <si>
    <t>Melting_Curves/meltCurve_Q15796_2_SMAD2.pdf</t>
  </si>
  <si>
    <t>Melting_Curves/meltCurve_Q15814_TBCC.pdf</t>
  </si>
  <si>
    <t>Melting_Curves/meltCurve_Q15818_NPTX1.pdf</t>
  </si>
  <si>
    <t>Melting_Curves/meltCurve_Q15819_UBE2V2.pdf</t>
  </si>
  <si>
    <t>Melting_Curves/meltCurve_Q15833_STXBP2.pdf</t>
  </si>
  <si>
    <t>Melting_Curves/meltCurve_Q15836_VAMP3.pdf</t>
  </si>
  <si>
    <t>Melting_Curves/meltCurve_Q15853_2_USF2.pdf</t>
  </si>
  <si>
    <t>Melting_Curves/meltCurve_Q15906_VPS72.pdf</t>
  </si>
  <si>
    <t>Melting_Curves/meltCurve_Q15907_RAB11B.pdf</t>
  </si>
  <si>
    <t>Melting_Curves/meltCurve_Q15910_EZH2.pdf</t>
  </si>
  <si>
    <t>Melting_Curves/meltCurve_Q15942_ZYX.pdf</t>
  </si>
  <si>
    <t>Melting_Curves/meltCurve_Q16143_SNCB.pdf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</si>
  <si>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</si>
  <si>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</si>
  <si>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</si>
  <si>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</si>
  <si>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</si>
  <si>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Melting_Curves/meltCurve_Q16270_2_IGFBP7.pdf</t>
  </si>
  <si>
    <t>Melting_Curves/meltCurve_Q16401_2_PSMD5.pdf</t>
  </si>
  <si>
    <t>Melting_Curves/meltCurve_Q16512_PKN1.pdf</t>
  </si>
  <si>
    <t>Melting_Curves/meltCurve_Q16513_PKN2.pdf</t>
  </si>
  <si>
    <t>Melting_Curves/meltCurve_Q16526_CRY1.pdf</t>
  </si>
  <si>
    <t>Melting_Curves/meltCurve_Q16527_CSRP2.pdf</t>
  </si>
  <si>
    <t>Melting_Curves/meltCurve_Q16531_DDB1.pdf</t>
  </si>
  <si>
    <t>Melting_Curves/meltCurve_Q16539_MAPK14.pdf</t>
  </si>
  <si>
    <t>Melting_Curves/meltCurve_Q16543_CDC37.pdf</t>
  </si>
  <si>
    <t>Melting_Curves/meltCurve_Q16555_DPYSL2.pdf</t>
  </si>
  <si>
    <t>Melting_Curves/meltCurve_Q16576_RBBP7.pdf</t>
  </si>
  <si>
    <t>Melting_Curves/meltCurve_Q16587_5_ZNF74.pdf</t>
  </si>
  <si>
    <t>Melting_Curves/meltCurve_Q16623_3_STX1A.pdf</t>
  </si>
  <si>
    <t>Melting_Curves/meltCurve_Q16625_5_OCLN.pdf</t>
  </si>
  <si>
    <t>Melting_Curves/meltCurve_Q16626_MEA1.pdf</t>
  </si>
  <si>
    <t>Melting_Curves/meltCurve_Q16629_3_SRSF7.pdf</t>
  </si>
  <si>
    <t>Melting_Curves/meltCurve_Q16637_3_SMN1.pdf</t>
  </si>
  <si>
    <t>Melting_Curves/meltCurve_Q16643_DBN1.pdf</t>
  </si>
  <si>
    <t>Melting_Curves/meltCurve_Q16644_MAPKAPK3.pdf</t>
  </si>
  <si>
    <t>Melting_Curves/meltCurve_Q16656_NRF1.pdf</t>
  </si>
  <si>
    <t>Melting_Curves/meltCurve_Q16658_FSCN1.pdf</t>
  </si>
  <si>
    <t>Melting_Curves/meltCurve_Q16670_ZSCAN26.pdf</t>
  </si>
  <si>
    <t>Melting_Curves/meltCurve_Q16719_KYNU.pdf</t>
  </si>
  <si>
    <t>Melting_Curves/meltCurve_Q16740_CLPP.pdf</t>
  </si>
  <si>
    <t>Melting_Curves/meltCurve_Q16760_2_DGKD.pdf</t>
  </si>
  <si>
    <t>Melting_Curves/meltCurve_Q16762_TST.pdf</t>
  </si>
  <si>
    <t>Melting_Curves/meltCurve_Q16763_UBE2S.pdf</t>
  </si>
  <si>
    <t>Melting_Curves/meltCurve_Q16773_CCBL1.pdf</t>
  </si>
  <si>
    <t>Melting_Curves/meltCurve_Q16775_HAGH.pdf</t>
  </si>
  <si>
    <t>Melting_Curves/meltCurve_Q16778_HIST2H2BE.pdf</t>
  </si>
  <si>
    <t>Melting_Curves/meltCurve_Q16822_PCK2.pdf</t>
  </si>
  <si>
    <t>Melting_Curves/meltCurve_Q16825_PTPN21.pdf</t>
  </si>
  <si>
    <t>Melting_Curves/meltCurve_Q16831_UPP1.pdf</t>
  </si>
  <si>
    <t>Melting_Curves/meltCurve_Q16836_HADH.pdf</t>
  </si>
  <si>
    <t>Melting_Curves/meltCurve_Q16851_UGP2.pdf</t>
  </si>
  <si>
    <t>Melting_Curves/meltCurve_Q16854_DGUOK.pdf</t>
  </si>
  <si>
    <t>Melting_Curves/meltCurve_Q16864_ATP6V1F.pdf</t>
  </si>
  <si>
    <t>Melting_Curves/meltCurve_Q17R31_2_TATDN3.pdf</t>
  </si>
  <si>
    <t>Melting_Curves/meltCurve_Q17RN3_FAM98C.pdf</t>
  </si>
  <si>
    <t>Melting_Curves/meltCurve_Q17RS7_GEN1.pdf</t>
  </si>
  <si>
    <t>Melting_Curves/meltCurve_Q17RU2_REL.pdf</t>
  </si>
  <si>
    <t>Melting_Curves/meltCurve_Q1MSJ5_1_CSPP1.pdf</t>
  </si>
  <si>
    <t>Melting_Curves/meltCurve_Q24JP5_4_TMEM132A.pdf</t>
  </si>
  <si>
    <t>Melting_Curves/meltCurve_Q27J81_INF2.pdf</t>
  </si>
  <si>
    <t>Melting_Curves/meltCurve_Q29RF7_PDS5A.pdf</t>
  </si>
  <si>
    <t>Melting_Curves/meltCurve_Q2KHR3_QSER1.pdf</t>
  </si>
  <si>
    <t>Melting_Curves/meltCurve_Q2KHT3_CLEC16A.pdf</t>
  </si>
  <si>
    <t>Melting_Curves/meltCurve_Q2M2I8_AAK1.pdf</t>
  </si>
  <si>
    <t>Melting_Curves/meltCurve_Q2M2Z5_5_PLK1S1.pdf</t>
  </si>
  <si>
    <t>Melting_Curves/meltCurve_Q2M389_KIAA1033.pdf</t>
  </si>
  <si>
    <t>Melting_Curves/meltCurve_Q2NKX8_ERCC6L.pdf</t>
  </si>
  <si>
    <t>Melting_Curves/meltCurve_Q2NKX9_3_C2orf68.pdf</t>
  </si>
  <si>
    <t>Melting_Curves/meltCurve_Q2NL82_TSR1.pdf</t>
  </si>
  <si>
    <t>Melting_Curves/meltCurve_Q2TAL8_QRICH1.pdf</t>
  </si>
  <si>
    <t>Melting_Curves/meltCurve_Q2TAM5_RELA.pdf</t>
  </si>
  <si>
    <t>Melting_Curves/meltCurve_Q2TAY7_SMU1.pdf</t>
  </si>
  <si>
    <t>Melting_Curves/meltCurve_Q2TAZ0_ATG2A.pdf</t>
  </si>
  <si>
    <t>Melting_Curves/meltCurve_Q2TB39_TCF3.pdf</t>
  </si>
  <si>
    <t>Melting_Curves/meltCurve_Q2TBE0_CWF19L2.pdf</t>
  </si>
  <si>
    <t>Melting_Curves/meltCurve_Q2VPK5_CTU2.pdf</t>
  </si>
  <si>
    <t>Melting_Curves/meltCurve_Q32MM7_PDE4C.pdf</t>
  </si>
  <si>
    <t>Melting_Curves/meltCurve_Q32MZ4_LRRFIP1.pdf</t>
  </si>
  <si>
    <t>Melting_Curves/meltCurve_Q32MZ4_2_LRRFIP1.pdf</t>
  </si>
  <si>
    <t>Melting_Curves/meltCurve_Q32MZ4_3_LRRFIP1.pdf</t>
  </si>
  <si>
    <t>Melting_Curves/meltCurve_Q32MZ4_4_LRRFIP1.pdf</t>
  </si>
  <si>
    <t>Melting_Curves/meltCurve_Q32P28_LEPRE1.pdf</t>
  </si>
  <si>
    <t>Melting_Curves/meltCurve_Q32P41_TRMT5.pdf</t>
  </si>
  <si>
    <t>Melting_Curves/meltCurve_Q32P44_EML3.pdf</t>
  </si>
  <si>
    <t>Melting_Curves/meltCurve_Q3B726_TWISTNB.pdf</t>
  </si>
  <si>
    <t>Melting_Curves/meltCurve_Q3B7T1_5_EDRF1.pdf</t>
  </si>
  <si>
    <t>Melting_Curves/meltCurve_Q3B820_FAM161A.pdf</t>
  </si>
  <si>
    <t>Melting_Curves/meltCurve_Q3KQU3_2_MAP7D1.pdf</t>
  </si>
  <si>
    <t>Melting_Curves/meltCurve_Q3KQV9_UAP1L1.pdf</t>
  </si>
  <si>
    <t>Melting_Curves/meltCurve_Q3KRA6_C2orf76.pdf</t>
  </si>
  <si>
    <t>Melting_Curves/meltCurve_Q3KRA9_ALKBH6.pdf</t>
  </si>
  <si>
    <t>Melting_Curves/meltCurve_Q3L8U1_2_CHD9.pdf</t>
  </si>
  <si>
    <t>Melting_Curves/meltCurve_Q3LXA3_DAK.pdf</t>
  </si>
  <si>
    <t>Melting_Curves/meltCurve_Q3MHD2_LSM12.pdf</t>
  </si>
  <si>
    <t>Melting_Curves/meltCurve_Q3MII6_TBC1D25.pdf</t>
  </si>
  <si>
    <t>Melting_Curves/meltCurve_Q3MIT2_PUS10.pdf</t>
  </si>
  <si>
    <t>Melting_Curves/meltCurve_Q3SY56_SP6.pdf</t>
  </si>
  <si>
    <t>Melting_Curves/meltCurve_Q3T8J9_3_GON4L.pdf</t>
  </si>
  <si>
    <t>Melting_Curves/meltCurve_Q3V6T2_2_CCDC88A.pdf</t>
  </si>
  <si>
    <t>Melting_Curves/meltCurve_Q3V6T2_4_CCDC88A.pdf</t>
  </si>
  <si>
    <t>Melting_Curves/meltCurve_Q3V6T2_5_CCDC88A.pdf</t>
  </si>
  <si>
    <t>Melting_Curves/meltCurve_Q3YEC7_RABL6.pdf</t>
  </si>
  <si>
    <t>Melting_Curves/meltCurve_Q3ZCM7_TUBB8.pdf</t>
  </si>
  <si>
    <t>Melting_Curves/meltCurve_Q3ZCV1_USP38.pdf</t>
  </si>
  <si>
    <t>Melting_Curves/meltCurve_Q3ZCW2_LGALSL.pdf</t>
  </si>
  <si>
    <t>Melting_Curves/meltCurve_Q460N5_4_PARP14.pdf</t>
  </si>
  <si>
    <t>Melting_Curves/meltCurve_Q494U1_3_PLEKHN1.pdf</t>
  </si>
  <si>
    <t>Melting_Curves/meltCurve_Q495W5_2_FUT11.pdf</t>
  </si>
  <si>
    <t>Melting_Curves/meltCurve_Q499Z4_ZNF672.pdf</t>
  </si>
  <si>
    <t>Melting_Curves/meltCurve_Q49A88_2_CCDC14.pdf</t>
  </si>
  <si>
    <t>Melting_Curves/meltCurve_Q49AR2_C5orf22.pdf</t>
  </si>
  <si>
    <t>Melting_Curves/meltCurve_Q49B96_COX19.pdf</t>
  </si>
  <si>
    <t>Melting_Curves/meltCurve_Q49MG5_2_MAP9.pdf</t>
  </si>
  <si>
    <t>Melting_Curves/meltCurve_Q4G0F5_VPS26B.pdf</t>
  </si>
  <si>
    <t>Melting_Curves/meltCurve_Q4G0J3_LARP7.pdf</t>
  </si>
  <si>
    <t>Melting_Curves/meltCurve_Q4G0N4_NADKD1.pdf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</si>
  <si>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</si>
  <si>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</si>
  <si>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</si>
  <si>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</si>
  <si>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Melting_Curves/meltCurve_Q4KMQ1_TPRN.pdf</t>
  </si>
  <si>
    <t>Melting_Curves/meltCurve_Q4KWH8_2_PLCH1.pdf</t>
  </si>
  <si>
    <t>Melting_Curves/meltCurve_Q4LDG9_DNAL1.pdf</t>
  </si>
  <si>
    <t>Melting_Curves/meltCurve_Q4LE39_2_ARID4B.pdf</t>
  </si>
  <si>
    <t>Melting_Curves/meltCurve_Q4V328_GRIPAP1.pdf</t>
  </si>
  <si>
    <t>Melting_Curves/meltCurve_Q4VC05_2_BCL7A.pdf</t>
  </si>
  <si>
    <t>Melting_Curves/meltCurve_Q4VC44_2_FLYWCH1.pdf</t>
  </si>
  <si>
    <t>Melting_Curves/meltCurve_Q4VXZ8_DECR2.pdf</t>
  </si>
  <si>
    <t>Melting_Curves/meltCurve_Q504Q3_2_PAN2.pdf</t>
  </si>
  <si>
    <t>Melting_Curves/meltCurve_Q504U0_C4orf46.pdf</t>
  </si>
  <si>
    <t>Melting_Curves/meltCurve_Q52LJ0_2_FAM98B.pdf</t>
  </si>
  <si>
    <t>Melting_Curves/meltCurve_Q52LR7_EPC2.pdf</t>
  </si>
  <si>
    <t>Melting_Curves/meltCurve_Q52LW3_ARHGAP29.pdf</t>
  </si>
  <si>
    <t>Melting_Curves/meltCurve_Q53EL6_2_PDCD4.pdf</t>
  </si>
  <si>
    <t>Melting_Curves/meltCurve_Q53EZ4_CEP55.pdf</t>
  </si>
  <si>
    <t>Melting_Curves/meltCurve_Q53F19_C17orf85.pdf</t>
  </si>
  <si>
    <t>Melting_Curves/meltCurve_Q53FA7_TP53I3.pdf</t>
  </si>
  <si>
    <t>Melting_Curves/meltCurve_Q53FT3_C11orf73.pdf</t>
  </si>
  <si>
    <t>Melting_Curves/meltCurve_Q53G59_KLHL12.pdf</t>
  </si>
  <si>
    <t>Melting_Curves/meltCurve_Q53GA4_PHLDA2.pdf</t>
  </si>
  <si>
    <t>Melting_Curves/meltCurve_Q53H54_TRMT12.pdf</t>
  </si>
  <si>
    <t>Melting_Curves/meltCurve_Q53H82_LACTB2.pdf</t>
  </si>
  <si>
    <t>Melting_Curves/meltCurve_Q53HC9_TSSC1.pdf</t>
  </si>
  <si>
    <t>Melting_Curves/meltCurve_Q53HV7_SMUG1.pdf</t>
  </si>
  <si>
    <t>Melting_Curves/meltCurve_Q53LP3_SOWAHC.pdf</t>
  </si>
  <si>
    <t>Melting_Curves/meltCurve_Q53QV2_LBH.pdf</t>
  </si>
  <si>
    <t>Melting_Curves/meltCurve_Q53RE8_ANKRD39.pdf</t>
  </si>
  <si>
    <t>Melting_Curves/meltCurve_Q53S33_BOLA3.pdf</t>
  </si>
  <si>
    <t>Melting_Curves/meltCurve_Q53SF7_4_COBLL1.pdf</t>
  </si>
  <si>
    <t>Melting_Curves/meltCurve_Q53T59_HS1BP3.pdf</t>
  </si>
  <si>
    <t>Melting_Curves/meltCurve_Q562E7_WDR81.pdf</t>
  </si>
  <si>
    <t>Melting_Curves/meltCurve_Q562F6_2_SGOL2.pdf</t>
  </si>
  <si>
    <t>Melting_Curves/meltCurve_Q567Q0_PPIA.pdf</t>
  </si>
  <si>
    <t>Melting_Curves/meltCurve_Q58A45_4_PAN3.pdf</t>
  </si>
  <si>
    <t>Melting_Curves/meltCurve_Q58FF8_HSP90AB2P.pdf</t>
  </si>
  <si>
    <t>Melting_Curves/meltCurve_Q58FG1_HSP90AA4P.pdf</t>
  </si>
  <si>
    <t>Melting_Curves/meltCurve_Q58WW2_DCAF6.pdf</t>
  </si>
  <si>
    <t>Melting_Curves/meltCurve_Q59GN2_RPL39P5.pdf</t>
  </si>
  <si>
    <t>Melting_Curves/meltCurve_Q5BKU9_OXLD1.pdf</t>
  </si>
  <si>
    <t>Melting_Curves/meltCurve_Q5BKX5_C19orf54.pdf</t>
  </si>
  <si>
    <t>Melting_Curves/meltCurve_Q5BKZ1_ZNF326.pdf</t>
  </si>
  <si>
    <t>Melting_Curves/meltCurve_Q5D1E8_ZC3H12A.pdf</t>
  </si>
  <si>
    <t>Melting_Curves/meltCurve_Q5D862_FLG2.pdf</t>
  </si>
  <si>
    <t>Melting_Curves/meltCurve_Q5EBL4_RILPL1.pdf</t>
  </si>
  <si>
    <t>Melting_Curves/meltCurve_Q5EBL8_PDZD11.pdf</t>
  </si>
  <si>
    <t>Melting_Curves/meltCurve_Q5F1R6_DNAJC21.pdf</t>
  </si>
  <si>
    <t>Melting_Curves/meltCurve_Q5FWF5_2_ESCO1.pdf</t>
  </si>
  <si>
    <t>Melting_Curves/meltCurve_Q5GLZ8_2_HERC4.pdf</t>
  </si>
  <si>
    <t>Melting_Curves/meltCurve_Q5H937_PKIG.pdf</t>
  </si>
  <si>
    <t>Melting_Curves/meltCurve_Q5H9A7_TIMP1.pdf</t>
  </si>
  <si>
    <t>Melting_Curves/meltCurve_Q5H9F3_2_BCORL1.pdf</t>
  </si>
  <si>
    <t>Melting_Curves/meltCurve_Q5HY92_FIGN.pdf</t>
  </si>
  <si>
    <t>Melting_Curves/meltCurve_Q5HYK7_2_SH3D19.pdf</t>
  </si>
  <si>
    <t>Melting_Curves/meltCurve_Q5I0X7_TTC32.pdf</t>
  </si>
  <si>
    <t>Melting_Curves/meltCurve_Q5I2W7_CYP24.pdf</t>
  </si>
  <si>
    <t>Melting_Curves/meltCurve_Q5JP53_TUBB.pdf</t>
  </si>
  <si>
    <t>Melting_Curves/meltCurve_Q5JPF3_ANKRD36C.pdf</t>
  </si>
  <si>
    <t>Melting_Curves/meltCurve_Q5JPI3_2_C3orf38.pdf</t>
  </si>
  <si>
    <t>Melting_Curves/meltCurve_Q5JR01_EEF1A1.pdf</t>
  </si>
  <si>
    <t>Melting_Curves/meltCurve_Q5JR04_MOV10.pdf</t>
  </si>
  <si>
    <t>Melting_Curves/meltCurve_Q5JR08_RHOC.pdf</t>
  </si>
  <si>
    <t>Melting_Curves/meltCurve_Q5JRA6_2_MIA3.pdf</t>
  </si>
  <si>
    <t>Melting_Curves/meltCurve_Q5JRG1_NUPL1.pdf</t>
  </si>
  <si>
    <t>Melting_Curves/meltCurve_Q5JRX3_PITRM1.pdf</t>
  </si>
  <si>
    <t>Melting_Curves/meltCurve_Q5JS37_2_NHLRC3.pdf</t>
  </si>
  <si>
    <t>Melting_Curves/meltCurve_Q5JS54_PSMG4.pdf</t>
  </si>
  <si>
    <t>Melting_Curves/meltCurve_Q5JSB6_TFDP1.pdf</t>
  </si>
  <si>
    <t>Melting_Curves/meltCurve_Q5JSH3_2_WDR44.pdf</t>
  </si>
  <si>
    <t>Melting_Curves/meltCurve_Q5JSZ5_PRRC2B.pdf</t>
  </si>
  <si>
    <t>Melting_Curves/meltCurve_Q5JTD0_2_TJAP1.pdf</t>
  </si>
  <si>
    <t>Melting_Curves/meltCurve_Q5JTH9_RRP12.pdf</t>
  </si>
  <si>
    <t>Melting_Curves/meltCurve_Q5JTJ3_3_COA6.pdf</t>
  </si>
  <si>
    <t>Melting_Curves/meltCurve_Q5JTV1_GMEB2.pdf</t>
  </si>
  <si>
    <t>Melting_Curves/meltCurve_Q5JTV8_TOR1AIP1.pdf</t>
  </si>
  <si>
    <t>Melting_Curves/meltCurve_Q5JTW2_CEP78.pdf</t>
  </si>
  <si>
    <t>Melting_Curves/meltCurve_Q5JTZ9_AARS2.pdf</t>
  </si>
  <si>
    <t>Melting_Curves/meltCurve_Q5JU85_IQSEC2.pdf</t>
  </si>
  <si>
    <t>Melting_Curves/meltCurve_Q5JUE6_RAPGEF1.pdf</t>
  </si>
  <si>
    <t>Melting_Curves/meltCurve_Q5JUR7_TEX30.pdf</t>
  </si>
  <si>
    <t>Melting_Curves/meltCurve_Q5JV73_FRMPD3.pdf</t>
  </si>
  <si>
    <t>Melting_Curves/meltCurve_Q5JVF3_3_PCID2.pdf</t>
  </si>
  <si>
    <t>Melting_Curves/meltCurve_Q5JVS0_HABP4.pdf</t>
  </si>
  <si>
    <t>Melting_Curves/meltCurve_Q5JVZ5_ELMO2.pdf</t>
  </si>
  <si>
    <t>Melting_Curves/meltCurve_Q5JW30_STAU1.pdf</t>
  </si>
  <si>
    <t>Melting_Curves/meltCurve_Q5JYJ5_MCF2.pdf</t>
  </si>
  <si>
    <t>Melting_Curves/meltCurve_Q5JZH3_SNX21.pdf</t>
  </si>
  <si>
    <t>Melting_Curves/meltCurve_Q5K651_SAMD9.pdf</t>
  </si>
  <si>
    <t>Melting_Curves/meltCurve_Q5KSL6_DGKK.pdf</t>
  </si>
  <si>
    <t>Melting_Curves/meltCurve_Q5M775_SPECC1.pdf</t>
  </si>
  <si>
    <t>Melting_Curves/meltCurve_Q5MIZ7_2_SMEK2.pdf</t>
  </si>
  <si>
    <t>Melting_Curves/meltCurve_Q5MNZ6_WDR45B.pdf</t>
  </si>
  <si>
    <t>Melting_Curves/meltCurve_Q5NDL2_EOGT.pdf</t>
  </si>
  <si>
    <t>Melting_Curves/meltCurve_Q5QJ74_TBCEL.pdf</t>
  </si>
  <si>
    <t>Melting_Curves/meltCurve_Q5QJE6_DNTTIP2.pdf</t>
  </si>
  <si>
    <t>Melting_Curves/meltCurve_Q5QNY5_PEX19.pdf</t>
  </si>
  <si>
    <t>Melting_Curves/meltCurve_Q5QP56_BCL2L1.pdf</t>
  </si>
  <si>
    <t>Melting_Curves/meltCurve_Q5QP82_DCAF10.pdf</t>
  </si>
  <si>
    <t>Melting_Curves/meltCurve_Q5QPL9_RALY.pdf</t>
  </si>
  <si>
    <t>Melting_Curves/meltCurve_Q5QPM7_PSMF1.pdf</t>
  </si>
  <si>
    <t>Melting_Curves/meltCurve_Q5R372_4_RABGAP1L.pdf</t>
  </si>
  <si>
    <t>Melting_Curves/meltCurve_Q5RGS4_PLEKHA1.pdf</t>
  </si>
  <si>
    <t>Melting_Curves/meltCurve_Q5RIB3_CBWD5.pdf</t>
  </si>
  <si>
    <t>Melting_Curves/meltCurve_Q5RKV6_EXOSC6.pdf</t>
  </si>
  <si>
    <t>Melting_Curves/meltCurve_Q5SNT6_FAM21B.pdf</t>
  </si>
  <si>
    <t>Melting_Curves/meltCurve_Q5SRE5_NUP188.pdf</t>
  </si>
  <si>
    <t>Melting_Curves/meltCurve_Q5SRN7_HLA_A.pdf</t>
  </si>
  <si>
    <t>Melting_Curves/meltCurve_Q5SSJ5_HP1BP3.pdf</t>
  </si>
  <si>
    <t>Melting_Curves/meltCurve_Q5SVZ6_ZMYM1.pdf</t>
  </si>
  <si>
    <t>Melting_Curves/meltCurve_Q5SW79_CEP170.pdf</t>
  </si>
  <si>
    <t>Melting_Curves/meltCurve_Q5SW79_3_CEP170.pdf</t>
  </si>
  <si>
    <t>Melting_Curves/meltCurve_Q5SW96_LDLRAP1.pdf</t>
  </si>
  <si>
    <t>Melting_Curves/meltCurve_Q5SX86_GDI2.pdf</t>
  </si>
  <si>
    <t>Melting_Curves/meltCurve_Q5SXM8_DNLZ.pdf</t>
  </si>
  <si>
    <t>Melting_Curves/meltCurve_Q5SYE7_2_NHSL1.pdf</t>
  </si>
  <si>
    <t>Melting_Curves/meltCurve_Q5T0N5_3_FNBP1L.pdf</t>
  </si>
  <si>
    <t>Melting_Curves/meltCurve_Q5T123_SH3BGRL3.pdf</t>
  </si>
  <si>
    <t>Melting_Curves/meltCurve_Q5T160_RARS2.pdf</t>
  </si>
  <si>
    <t>Melting_Curves/meltCurve_Q5T171_PYGO2.pdf</t>
  </si>
  <si>
    <t>Melting_Curves/meltCurve_Q5T1C6_THEM4.pdf</t>
  </si>
  <si>
    <t>Melting_Curves/meltCurve_Q5T1M5_FKBP15.pdf</t>
  </si>
  <si>
    <t>Melting_Curves/meltCurve_Q5T1V6_DDX59.pdf</t>
  </si>
  <si>
    <t>Melting_Curves/meltCurve_Q5T200_ZC3H13.pdf</t>
  </si>
  <si>
    <t>Melting_Curves/meltCurve_Q5T2E6_C10orf76.pdf</t>
  </si>
  <si>
    <t>Melting_Curves/meltCurve_Q5T2R2_3_PDSS1.pdf</t>
  </si>
  <si>
    <t>Melting_Curves/meltCurve_Q5T2W1_PDZK1.pdf</t>
  </si>
  <si>
    <t>Melting_Curves/meltCurve_Q5T321_NBEA.pdf</t>
  </si>
  <si>
    <t>Melting_Curves/meltCurve_Q5T370_ARRDC1.pdf</t>
  </si>
  <si>
    <t>Melting_Curves/meltCurve_Q5T3J3_LRIF1.pdf</t>
  </si>
  <si>
    <t>Melting_Curves/meltCurve_Q5T427_ZNF438.pdf</t>
  </si>
  <si>
    <t>Melting_Curves/meltCurve_Q5T440_IBA57.pdf</t>
  </si>
  <si>
    <t>Melting_Curves/meltCurve_Q5T447_HECTD3.pdf</t>
  </si>
  <si>
    <t>Melting_Curves/meltCurve_Q5T4S7_3_UBR4.pdf</t>
  </si>
  <si>
    <t>Melting_Curves/meltCurve_Q5T534_BLZF1.pdf</t>
  </si>
  <si>
    <t>Melting_Curves/meltCurve_Q5T5C0_3_STXBP5.pdf</t>
  </si>
  <si>
    <t>Melting_Curves/meltCurve_Q5T5P2_3_KIAA1217.pdf</t>
  </si>
  <si>
    <t>Melting_Curves/meltCurve_Q5T5U3_ARHGAP21.pdf</t>
  </si>
  <si>
    <t>Melting_Curves/meltCurve_Q5T5X7_BEND3.pdf</t>
  </si>
  <si>
    <t>Melting_Curves/meltCurve_Q5T5Y3_CAMSAP1.pdf</t>
  </si>
  <si>
    <t>Melting_Curves/meltCurve_Q5T6F2_UBAP2.pdf</t>
  </si>
  <si>
    <t>Melting_Curves/meltCurve_Q5T6S3_2_PHF19.pdf</t>
  </si>
  <si>
    <t>Melting_Curves/meltCurve_Q5T6V5_C9orf64.pdf</t>
  </si>
  <si>
    <t>Melting_Curves/meltCurve_Q5T7A2_ADCK3.pdf</t>
  </si>
  <si>
    <t>Melting_Curves/meltCurve_Q5T7V8_GORAB.pdf</t>
  </si>
  <si>
    <t>Melting_Curves/meltCurve_Q5T7W0_ZNF618.pdf</t>
  </si>
  <si>
    <t>Melting_Curves/meltCurve_Q5T7W0_2_ZNF618.pdf</t>
  </si>
  <si>
    <t>Melting_Curves/meltCurve_Q5T8A7_PPP1R26.pdf</t>
  </si>
  <si>
    <t>Melting_Curves/meltCurve_Q5T8D3_2_ACBD5.pdf</t>
  </si>
  <si>
    <t>Melting_Curves/meltCurve_Q5T8P6_2_RBM26.pdf</t>
  </si>
  <si>
    <t>Melting_Curves/meltCurve_Q5T985_ITIH2.pdf</t>
  </si>
  <si>
    <t>Melting_Curves/meltCurve_Q5T9C2_2_FAM102A.pdf</t>
  </si>
  <si>
    <t>Melting_Curves/meltCurve_Q5TA02_GSTO1.pdf</t>
  </si>
  <si>
    <t>Melting_Curves/meltCurve_Q5TA04_WDR96.pdf</t>
  </si>
  <si>
    <t>Melting_Curves/meltCurve_Q5TA31_RNF187.pdf</t>
  </si>
  <si>
    <t>Melting_Curves/meltCurve_Q5TA58_AGO1.pdf</t>
  </si>
  <si>
    <t>Melting_Curves/meltCurve_Q5TAQ0_MNF1.pdf</t>
  </si>
  <si>
    <t>Melting_Curves/meltCurve_Q5TAW7_CAB39L.pdf</t>
  </si>
  <si>
    <t>Melting_Curves/meltCurve_Q5TAX3_ZCCHC11.pdf</t>
  </si>
  <si>
    <t>Melting_Curves/meltCurve_Q5TBB1_RNASEH2B.pdf</t>
  </si>
  <si>
    <t>Melting_Curves/meltCurve_Q5TBI2_C1orf131.pdf</t>
  </si>
  <si>
    <t>Melting_Curves/meltCurve_Q5TBP9_LSM14B.pdf</t>
  </si>
  <si>
    <t>Melting_Curves/meltCurve_Q5TC12_ATPAF1.pdf</t>
  </si>
  <si>
    <t>Melting_Curves/meltCurve_Q5TC82_RC3H1.pdf</t>
  </si>
  <si>
    <t>Melting_Curves/meltCurve_Q5TC84_OGFRL1.pdf</t>
  </si>
  <si>
    <t>Melting_Curves/meltCurve_Q5TCQ9_4_MAGI3.pdf</t>
  </si>
  <si>
    <t>Melting_Curves/meltCurve_Q5TCU3_TPM2.pdf</t>
  </si>
  <si>
    <t>Melting_Curves/meltCurve_Q5TCX8_MLK4.pdf</t>
  </si>
  <si>
    <t>Melting_Curves/meltCurve_Q5TDH0_DDI2.pdf</t>
  </si>
  <si>
    <t>Melting_Curves/meltCurve_Q5TEU4_NDUFAF5.pdf</t>
  </si>
  <si>
    <t>Melting_Curves/meltCurve_Q5TFE4_NT5DC1.pdf</t>
  </si>
  <si>
    <t>Melting_Curves/meltCurve_Q5TGY1_TMCO4.pdf</t>
  </si>
  <si>
    <t>Melting_Curves/meltCurve_Q5TH69_ARFGEF3.pdf</t>
  </si>
  <si>
    <t>Melting_Curves/meltCurve_Q5THK1_PRR14L.pdf</t>
  </si>
  <si>
    <t>Melting_Curves/meltCurve_Q5TKA1_LIN9.pdf</t>
  </si>
  <si>
    <t>Melting_Curves/meltCurve_Q5TZA2_CROCC.pdf</t>
  </si>
  <si>
    <t>Melting_Curves/meltCurve_Q5U5Q3_MEX3C.pdf</t>
  </si>
  <si>
    <t>Melting_Curves/meltCurve_Q5U5X0_LYRM7.pdf</t>
  </si>
  <si>
    <t>Melting_Curves/meltCurve_Q5U649_C12orf60.pdf</t>
  </si>
  <si>
    <t>Melting_Curves/meltCurve_Q5UIP0_RIF1.pdf</t>
  </si>
  <si>
    <t>Melting_Curves/meltCurve_Q5VIR6_4_VPS53.pdf</t>
  </si>
  <si>
    <t>Melting_Curves/meltCurve_Q5VSL9_STRIP1.pdf</t>
  </si>
  <si>
    <t>Melting_Curves/meltCurve_Q5VSR5_PFKP.pdf</t>
  </si>
  <si>
    <t>Melting_Curves/meltCurve_Q5VSY0_2_GKAP1.pdf</t>
  </si>
  <si>
    <t>Melting_Curves/meltCurve_Q5VT06_CEP350.pdf</t>
  </si>
  <si>
    <t>Melting_Curves/meltCurve_Q5VT25_4_CDC42BPA.pdf</t>
  </si>
  <si>
    <t>Melting_Curves/meltCurve_Q5VT52_RPRD2.pdf</t>
  </si>
  <si>
    <t>Melting_Curves/meltCurve_Q5VT79_ANXA8L2.pdf</t>
  </si>
  <si>
    <t>Melting_Curves/meltCurve_Q5VTL8_PRPF38B.pdf</t>
  </si>
  <si>
    <t>Melting_Curves/meltCurve_Q5VTR2_RNF20.pdf</t>
  </si>
  <si>
    <t>Melting_Curves/meltCurve_Q5VTU3_DYNLT1.pdf</t>
  </si>
  <si>
    <t>Melting_Curves/meltCurve_Q5VTU8_ATP5EP2.pdf</t>
  </si>
  <si>
    <t>Melting_Curves/meltCurve_Q5VU43_6_PDE4DIP.pdf</t>
  </si>
  <si>
    <t>Melting_Curves/meltCurve_Q5VU58_TPM3.pdf</t>
  </si>
  <si>
    <t>Melting_Curves/meltCurve_Q5VUA4_ZNF318.pdf</t>
  </si>
  <si>
    <t>Melting_Curves/meltCurve_Q5VUB5_FAM171A1.pdf</t>
  </si>
  <si>
    <t>Melting_Curves/meltCurve_Q5VUE5_C1orf53.pdf</t>
  </si>
  <si>
    <t>Melting_Curves/meltCurve_Q5VV41_ARHGEF16.pdf</t>
  </si>
  <si>
    <t>Melting_Curves/meltCurve_Q5VV42_CDKAL1.pdf</t>
  </si>
  <si>
    <t>Melting_Curves/meltCurve_Q5VV52_2_ZNF691.pdf</t>
  </si>
  <si>
    <t>Melting_Curves/meltCurve_Q5VVC8_RPL11.pdf</t>
  </si>
  <si>
    <t>Melting_Curves/meltCurve_Q5VVD7_PLEKHM2.pdf</t>
  </si>
  <si>
    <t>Melting_Curves/meltCurve_Q5VVQ6_2_YOD1.pdf</t>
  </si>
  <si>
    <t>Melting_Curves/meltCurve_Q5VW32_BROX.pdf</t>
  </si>
  <si>
    <t>Melting_Curves/meltCurve_Q5VW36_FOCAD.pdf</t>
  </si>
  <si>
    <t>Melting_Curves/meltCurve_Q5VWC4_PSMD4.pdf</t>
  </si>
  <si>
    <t>Melting_Curves/meltCurve_Q5VWG9_TAF3.pdf</t>
  </si>
  <si>
    <t>Melting_Curves/meltCurve_Q5VWN6_FAM208B.pdf</t>
  </si>
  <si>
    <t>Melting_Curves/meltCurve_Q5VWQ0_RSBN1.pdf</t>
  </si>
  <si>
    <t>Melting_Curves/meltCurve_Q5VWQ8_2_DAB2IP.pdf</t>
  </si>
  <si>
    <t>Melting_Curves/meltCurve_Q5VWZ2_LYPLAL1.pdf</t>
  </si>
  <si>
    <t>Melting_Curves/meltCurve_Q5VX52_SPATA1.pdf</t>
  </si>
  <si>
    <t>Melting_Curves/meltCurve_Q5VYB9_LRP11.pdf</t>
  </si>
  <si>
    <t>Melting_Curves/meltCurve_Q5VYK3_ECM29.pdf</t>
  </si>
  <si>
    <t>Melting_Curves/meltCurve_Q5VYS8_6_ZCCHC6.pdf</t>
  </si>
  <si>
    <t>Melting_Curves/meltCurve_Q5VYV7_SLX4IP.pdf</t>
  </si>
  <si>
    <t>Melting_Curves/meltCurve_Q5VYX0_2_RNLS.pdf</t>
  </si>
  <si>
    <t>Melting_Curves/meltCurve_Q5VZE5_NAA35.pdf</t>
  </si>
  <si>
    <t>Melting_Curves/meltCurve_Q5VZK9_LRRC16A.pdf</t>
  </si>
  <si>
    <t>Melting_Curves/meltCurve_Q5VZL5_4_ZMYM4.pdf</t>
  </si>
  <si>
    <t>Melting_Curves/meltCurve_Q5W015_PFKFB3.pdf</t>
  </si>
  <si>
    <t>Melting_Curves/meltCurve_Q5W0B1_RNF219.pdf</t>
  </si>
  <si>
    <t>Melting_Curves/meltCurve_Q5W0Q7_2_USPL1.pdf</t>
  </si>
  <si>
    <t>Melting_Curves/meltCurve_Q5W0V3_FAM160B1.pdf</t>
  </si>
  <si>
    <t>Melting_Curves/meltCurve_Q5W111_2_SPRYD7.pdf</t>
  </si>
  <si>
    <t>Melting_Curves/meltCurve_Q5XPI4_RNF123.pdf</t>
  </si>
  <si>
    <t>Melting_Curves/meltCurve_Q5XUX1_3_FBXW9.pdf</t>
  </si>
  <si>
    <t>Melting_Curves/meltCurve_Q63HN8_RNF213.pdf</t>
  </si>
  <si>
    <t>Melting_Curves/meltCurve_Q63HN8_4_RNF213.pdf</t>
  </si>
  <si>
    <t>Melting_Curves/meltCurve_Q63HQ0_2_AP1AR.pdf</t>
  </si>
  <si>
    <t>Melting_Curves/meltCurve_Q63ZY3_3_KANK2.pdf</t>
  </si>
  <si>
    <t>Melting_Curves/meltCurve_Q641Q2_FAM21A.pdf</t>
  </si>
  <si>
    <t>Melting_Curves/meltCurve_Q659A1_NARG2.pdf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</si>
  <si>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</si>
  <si>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</si>
  <si>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</si>
  <si>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</si>
  <si>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</si>
  <si>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Melting_Curves/meltCurve_Q676U5_2_ATG16L1.pdf</t>
  </si>
  <si>
    <t>Melting_Curves/meltCurve_Q684P5_3_RAP1GAP2.pdf</t>
  </si>
  <si>
    <t>Melting_Curves/meltCurve_Q68CP9_ARID2.pdf</t>
  </si>
  <si>
    <t>Melting_Curves/meltCurve_Q68CQ4_DIEXF.pdf</t>
  </si>
  <si>
    <t>Melting_Curves/meltCurve_Q68CZ1_2_RPGRIP1L.pdf</t>
  </si>
  <si>
    <t>Melting_Curves/meltCurve_Q68CZ2_TNS3.pdf</t>
  </si>
  <si>
    <t>Melting_Curves/meltCurve_Q68CZ6_HAUS3.pdf</t>
  </si>
  <si>
    <t>Melting_Curves/meltCurve_Q68D10_2_SPTY2D1.pdf</t>
  </si>
  <si>
    <t>Melting_Curves/meltCurve_Q68D20_PMS2CL.pdf</t>
  </si>
  <si>
    <t>Melting_Curves/meltCurve_Q68DQ2_CRYBG3.pdf</t>
  </si>
  <si>
    <t>Melting_Curves/meltCurve_Q68DW7_DKFZp781D1416.pdf</t>
  </si>
  <si>
    <t>Melting_Curves/meltCurve_Q68E01_2_INTS3.pdf</t>
  </si>
  <si>
    <t>Melting_Curves/meltCurve_Q68EM7_6_ARHGAP17.pdf</t>
  </si>
  <si>
    <t>Melting_Curves/meltCurve_Q69YH5_CDCA2.pdf</t>
  </si>
  <si>
    <t>Melting_Curves/meltCurve_Q69YN2_CWF19L1.pdf</t>
  </si>
  <si>
    <t>Melting_Curves/meltCurve_Q69YN4_KIAA1429.pdf</t>
  </si>
  <si>
    <t>Melting_Curves/meltCurve_Q69YQ0_2_SPECC1L.pdf</t>
  </si>
  <si>
    <t>Melting_Curves/meltCurve_Q6AI08_HEATR6.pdf</t>
  </si>
  <si>
    <t>Melting_Curves/meltCurve_Q6AI12_ANKRD40.pdf</t>
  </si>
  <si>
    <t>Melting_Curves/meltCurve_Q6AWC2_4_WWC2.pdf</t>
  </si>
  <si>
    <t>Melting_Curves/meltCurve_Q6AZZ1_TRIM68.pdf</t>
  </si>
  <si>
    <t>Melting_Curves/meltCurve_Q6BCY4_CYB5R2.pdf</t>
  </si>
  <si>
    <t>Melting_Curves/meltCurve_Q6BDS2_UHRF1BP1.pdf</t>
  </si>
  <si>
    <t>Melting_Curves/meltCurve_Q6DCA0_AMMECR1L.pdf</t>
  </si>
  <si>
    <t>Melting_Curves/meltCurve_Q6DD87_ZNF787.pdf</t>
  </si>
  <si>
    <t>Melting_Curves/meltCurve_Q6DHV7_3_ADAL.pdf</t>
  </si>
  <si>
    <t>Melting_Curves/meltCurve_Q6DKJ4_NXN.pdf</t>
  </si>
  <si>
    <t>Melting_Curves/meltCurve_Q6DKK2_TTC19.pdf</t>
  </si>
  <si>
    <t>Melting_Curves/meltCurve_Q6EEV4_2_POLR2M.pdf</t>
  </si>
  <si>
    <t>Melting_Curves/meltCurve_Q6FI81_CIAPIN1.pdf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</si>
  <si>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</si>
  <si>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</si>
  <si>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</si>
  <si>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</si>
  <si>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Melting_Curves/meltCurve_Q6GYQ0_RALGAPA1.pdf</t>
  </si>
  <si>
    <t>Melting_Curves/meltCurve_Q6I9Y2_THOC7.pdf</t>
  </si>
  <si>
    <t>Melting_Curves/meltCurve_Q6IA69_NADSYN1.pdf</t>
  </si>
  <si>
    <t>Melting_Curves/meltCurve_Q6IA86_3_ELP2.pdf</t>
  </si>
  <si>
    <t>Melting_Curves/meltCurve_Q6IBS0_TWF2.pdf</t>
  </si>
  <si>
    <t>Melting_Curves/meltCurve_Q6IBW4_NCAPH2.pdf</t>
  </si>
  <si>
    <t>Melting_Curves/meltCurve_Q6ICG6_KIAA0930.pdf</t>
  </si>
  <si>
    <t>Melting_Curves/meltCurve_Q6IE81_2_PHF17.pdf</t>
  </si>
  <si>
    <t>Melting_Curves/meltCurve_Q6IN84_MRM1.pdf</t>
  </si>
  <si>
    <t>Melting_Curves/meltCurve_Q6IN85_SMEK1.pdf</t>
  </si>
  <si>
    <t>Melting_Curves/meltCurve_Q6IQ22_RAB12.pdf</t>
  </si>
  <si>
    <t>Melting_Curves/meltCurve_Q6IQ23_2_PLEKHA7.pdf</t>
  </si>
  <si>
    <t>Melting_Curves/meltCurve_Q6IQ32_ADNP2.pdf</t>
  </si>
  <si>
    <t>Melting_Curves/meltCurve_Q6IQ49_2_SDE2.pdf</t>
  </si>
  <si>
    <t>Melting_Curves/meltCurve_Q6IS14_EIF5AL1.pdf</t>
  </si>
  <si>
    <t>Melting_Curves/meltCurve_Q6JHV3_USP3.pdf</t>
  </si>
  <si>
    <t>Melting_Curves/meltCurve_Q6KB66_KRT80.pdf</t>
  </si>
  <si>
    <t>Melting_Curves/meltCurve_Q6KC79_2_NIPBL.pdf</t>
  </si>
  <si>
    <t>Melting_Curves/meltCurve_Q6L8Q7_2_PDE12.pdf</t>
  </si>
  <si>
    <t>Melting_Curves/meltCurve_Q6MZP7_LIN54.pdf</t>
  </si>
  <si>
    <t>Melting_Curves/meltCurve_Q6N043_2_ZNF280D.pdf</t>
  </si>
  <si>
    <t>Melting_Curves/meltCurve_Q6N063_OGFOD2.pdf</t>
  </si>
  <si>
    <t>Melting_Curves/meltCurve_Q6N069_NAA16.pdf</t>
  </si>
  <si>
    <t>Melting_Curves/meltCurve_Q6NS38_ALKBH2.pdf</t>
  </si>
  <si>
    <t>Melting_Curves/meltCurve_Q6NSJ2_PHLDB3.pdf</t>
  </si>
  <si>
    <t>Melting_Curves/meltCurve_Q6NT89_TRNP1.pdf</t>
  </si>
  <si>
    <t>Melting_Curves/meltCurve_Q6NTE8_C5orf45.pdf</t>
  </si>
  <si>
    <t>Melting_Curves/meltCurve_Q6NVU6_UFSP1.pdf</t>
  </si>
  <si>
    <t>Melting_Curves/meltCurve_Q6NVY1_HIBCH.pdf</t>
  </si>
  <si>
    <t>Melting_Curves/meltCurve_Q6NXE6_2_ARMC6.pdf</t>
  </si>
  <si>
    <t>Melting_Curves/meltCurve_Q6NXT1_ANKRD54.pdf</t>
  </si>
  <si>
    <t>Melting_Curves/meltCurve_Q6NY19_2_KANK3.pdf</t>
  </si>
  <si>
    <t>Melting_Curves/meltCurve_Q6NYC1_JMJD6.pdf</t>
  </si>
  <si>
    <t>Melting_Curves/meltCurve_Q6NYC8_PPP1R18.pdf</t>
  </si>
  <si>
    <t>Melting_Curves/meltCurve_Q6NZ36_5_FAAP20.pdf</t>
  </si>
  <si>
    <t>Melting_Curves/meltCurve_Q6NZI2_PTRF.pdf</t>
  </si>
  <si>
    <t>Melting_Curves/meltCurve_Q6NZY4_ZCCHC8.pdf</t>
  </si>
  <si>
    <t>Melting_Curves/meltCurve_Q6P0N0_2_MIS18BP1.pdf</t>
  </si>
  <si>
    <t>Melting_Curves/meltCurve_Q6P158_DHX57.pdf</t>
  </si>
  <si>
    <t>Melting_Curves/meltCurve_Q6P1J9_CDC73.pdf</t>
  </si>
  <si>
    <t>Melting_Curves/meltCurve_Q6P1K2_PMF1.pdf</t>
  </si>
  <si>
    <t>Melting_Curves/meltCurve_Q6P1L5_FAM117B.pdf</t>
  </si>
  <si>
    <t>Melting_Curves/meltCurve_Q6P1M3_2_LLGL2.pdf</t>
  </si>
  <si>
    <t>Melting_Curves/meltCurve_Q6P1M9_ARMCX5.pdf</t>
  </si>
  <si>
    <t>Melting_Curves/meltCurve_Q6P1N0_CC2D1A.pdf</t>
  </si>
  <si>
    <t>Melting_Curves/meltCurve_Q6P1N9_TATDN1.pdf</t>
  </si>
  <si>
    <t>Melting_Curves/meltCurve_Q6P1Q9_METTL2B.pdf</t>
  </si>
  <si>
    <t>Melting_Curves/meltCurve_Q6P1R4_DUS1L.pdf</t>
  </si>
  <si>
    <t>Melting_Curves/meltCurve_Q6P1X5_TAF2.pdf</t>
  </si>
  <si>
    <t>Melting_Curves/meltCurve_Q6P1X6_C8orf82.pdf</t>
  </si>
  <si>
    <t>Melting_Curves/meltCurve_Q6P2D0_2_ZFP1.pdf</t>
  </si>
  <si>
    <t>Melting_Curves/meltCurve_Q6P2E9_EDC4.pdf</t>
  </si>
  <si>
    <t>Melting_Curves/meltCurve_Q6P2H3_2_CEP85.pdf</t>
  </si>
  <si>
    <t>Melting_Curves/meltCurve_Q6P2P2_PRMT10.pdf</t>
  </si>
  <si>
    <t>Melting_Curves/meltCurve_Q6P2Q9_PRPF8.pdf</t>
  </si>
  <si>
    <t>Melting_Curves/meltCurve_Q6P3S6_FBXO42.pdf</t>
  </si>
  <si>
    <t>Melting_Curves/meltCurve_Q6P3W7_SCYL2.pdf</t>
  </si>
  <si>
    <t>Melting_Curves/meltCurve_Q6P3X3_TTC27.pdf</t>
  </si>
  <si>
    <t>Melting_Curves/meltCurve_Q6P4F2_FDX1L.pdf</t>
  </si>
  <si>
    <t>Melting_Curves/meltCurve_Q6P4G0_RECQL5.pdf</t>
  </si>
  <si>
    <t>Melting_Curves/meltCurve_Q6P4I2_WDR73.pdf</t>
  </si>
  <si>
    <t>Melting_Curves/meltCurve_Q6P4R8_3_NFRKB.pdf</t>
  </si>
  <si>
    <t>Melting_Curves/meltCurve_Q6P582_MZT2A.pdf</t>
  </si>
  <si>
    <t>Melting_Curves/meltCurve_Q6P587_FAHD1.pdf</t>
  </si>
  <si>
    <t>Melting_Curves/meltCurve_Q6P6B1_C8orf47.pdf</t>
  </si>
  <si>
    <t>Melting_Curves/meltCurve_Q6P6C2_ALKBH5.pdf</t>
  </si>
  <si>
    <t>Melting_Curves/meltCurve_Q6P9B6_KIAA1609.pdf</t>
  </si>
  <si>
    <t>Melting_Curves/meltCurve_Q6P9B9_INTS5.pdf</t>
  </si>
  <si>
    <t>Melting_Curves/meltCurve_Q6PCB5_RSBN1L.pdf</t>
  </si>
  <si>
    <t>Melting_Curves/meltCurve_Q6PCE3_PGM2L1.pdf</t>
  </si>
  <si>
    <t>Melting_Curves/meltCurve_Q6PCT2_2_FBXL19.pdf</t>
  </si>
  <si>
    <t>Melting_Curves/meltCurve_Q6PD62_CTR9.pdf</t>
  </si>
  <si>
    <t>Melting_Curves/meltCurve_Q6PD74_AAGAB.pdf</t>
  </si>
  <si>
    <t>Melting_Curves/meltCurve_Q6PGN9_2_PSRC1.pdf</t>
  </si>
  <si>
    <t>Melting_Curves/meltCurve_Q6PGP7_TTC37.pdf</t>
  </si>
  <si>
    <t>Melting_Curves/meltCurve_Q6PH81_C16orf87.pdf</t>
  </si>
  <si>
    <t>Melting_Curves/meltCurve_Q6PHR2_3_ULK3.pdf</t>
  </si>
  <si>
    <t>Melting_Curves/meltCurve_Q6PI48_DARS2.pdf</t>
  </si>
  <si>
    <t>Melting_Curves/meltCurve_Q6PID6_TTC33.pdf</t>
  </si>
  <si>
    <t>Melting_Curves/meltCurve_Q6PII3_CCDC174.pdf</t>
  </si>
  <si>
    <t>Melting_Curves/meltCurve_Q6PIJ6_FBXO38.pdf</t>
  </si>
  <si>
    <t>Melting_Curves/meltCurve_Q6PIR0_CENPC1.pdf</t>
  </si>
  <si>
    <t>Melting_Curves/meltCurve_Q6PIW4_2_FIGNL1.pdf</t>
  </si>
  <si>
    <t>Melting_Curves/meltCurve_Q6PJ69_TRIM65.pdf</t>
  </si>
  <si>
    <t>Melting_Curves/meltCurve_Q6PJG2_ELMSAN1.pdf</t>
  </si>
  <si>
    <t>Melting_Curves/meltCurve_Q6PJG6_BRAT1.pdf</t>
  </si>
  <si>
    <t>Melting_Curves/meltCurve_Q6PJT7_5_ZC3H14.pdf</t>
  </si>
  <si>
    <t>Melting_Curves/meltCurve_Q6PK81_2_ZNF773.pdf</t>
  </si>
  <si>
    <t>Melting_Curves/meltCurve_Q6PKG0_LARP1.pdf</t>
  </si>
  <si>
    <t>Melting_Curves/meltCurve_Q6PL24_TMED8.pdf</t>
  </si>
  <si>
    <t>Melting_Curves/meltCurve_Q6PUV4_CPLX2.pdf</t>
  </si>
  <si>
    <t>Melting_Curves/meltCurve_Q6Q0C0_TRAF7.pdf</t>
  </si>
  <si>
    <t>Melting_Curves/meltCurve_Q6QNY0_BLOC1S3.pdf</t>
  </si>
  <si>
    <t>Melting_Curves/meltCurve_Q6R327_RICTOR.pdf</t>
  </si>
  <si>
    <t>Melting_Curves/meltCurve_Q6SJ93_FAM111B.pdf</t>
  </si>
  <si>
    <t>Melting_Curves/meltCurve_Q6SPF0_SAMD1.pdf</t>
  </si>
  <si>
    <t>Melting_Curves/meltCurve_Q6SZW1_SARM1.pdf</t>
  </si>
  <si>
    <t>Melting_Curves/meltCurve_Q6T4R5_4_NHS.pdf</t>
  </si>
  <si>
    <t>Melting_Curves/meltCurve_Q6UB35_MTHFD1L.pdf</t>
  </si>
  <si>
    <t>Melting_Curves/meltCurve_Q6UB99_ANKRD11.pdf</t>
  </si>
  <si>
    <t>Melting_Curves/meltCurve_Q6ULP2_5_AFTPH.pdf</t>
  </si>
  <si>
    <t>Melting_Curves/meltCurve_Q6UN15_FIP1L1.pdf</t>
  </si>
  <si>
    <t>Melting_Curves/meltCurve_Q6UUV9_3_CRTC1.pdf</t>
  </si>
  <si>
    <t>Melting_Curves/meltCurve_Q6UW63_KDELC1.pdf</t>
  </si>
  <si>
    <t>Melting_Curves/meltCurve_Q6UWE0_LRSAM1.pdf</t>
  </si>
  <si>
    <t>Melting_Curves/meltCurve_Q6UWP2_DHRS11.pdf</t>
  </si>
  <si>
    <t>Melting_Curves/meltCurve_Q6UWP8_SBSN.pdf</t>
  </si>
  <si>
    <t>Melting_Curves/meltCurve_Q6UWW8_2_CES3.pdf</t>
  </si>
  <si>
    <t>Melting_Curves/meltCurve_Q6UX04_CWC27.pdf</t>
  </si>
  <si>
    <t>Melting_Curves/meltCurve_Q6UXH1_4_CRELD2.pdf</t>
  </si>
  <si>
    <t>Melting_Curves/meltCurve_Q6UXN9_WDR82.pdf</t>
  </si>
  <si>
    <t>Melting_Curves/meltCurve_Q6UXY1_2_BAIAP2L2.pdf</t>
  </si>
  <si>
    <t>Melting_Curves/meltCurve_Q6UXY8_2_TMC5.pdf</t>
  </si>
  <si>
    <t>Melting_Curves/meltCurve_Q6V1X1_4_DPP8.pdf</t>
  </si>
  <si>
    <t>Melting_Curves/meltCurve_Q6VMQ6_2_ATF7IP.pdf</t>
  </si>
  <si>
    <t>Melting_Curves/meltCurve_Q6VY07_PACS1.pdf</t>
  </si>
  <si>
    <t>Melting_Curves/meltCurve_Q6WCQ1_2_MPRIP.pdf</t>
  </si>
  <si>
    <t>Melting_Curves/meltCurve_Q6WKZ4_RAB11FIP1.pdf</t>
  </si>
  <si>
    <t>Melting_Curves/meltCurve_Q6WN34_CHRDL2.pdf</t>
  </si>
  <si>
    <t>Melting_Curves/meltCurve_Q6XQN6_NAPRT1.pdf</t>
  </si>
  <si>
    <t>Melting_Curves/meltCurve_Q6XUX3_2_DSTYK.pdf</t>
  </si>
  <si>
    <t>Melting_Curves/meltCurve_Q6XZF7_DNMBP.pdf</t>
  </si>
  <si>
    <t>Melting_Curves/meltCurve_Q6Y7W6_GIGYF2.pdf</t>
  </si>
  <si>
    <t>Melting_Curves/meltCurve_Q6YHK3_CD109.pdf</t>
  </si>
  <si>
    <t>Melting_Curves/meltCurve_Q6YHU6_3_THADA.pdf</t>
  </si>
  <si>
    <t>Melting_Curves/meltCurve_Q6YN16_HSDL2.pdf</t>
  </si>
  <si>
    <t>Melting_Curves/meltCurve_Q6YP21_3_CCBL2.pdf</t>
  </si>
  <si>
    <t>Melting_Curves/meltCurve_Q6ZMI0_PPP1R21.pdf</t>
  </si>
  <si>
    <t>Melting_Curves/meltCurve_Q6ZN04_MEX3B.pdf</t>
  </si>
  <si>
    <t>Melting_Curves/meltCurve_Q6ZN17_2_LIN28B.pdf</t>
  </si>
  <si>
    <t>Melting_Curves/meltCurve_Q6ZN18_2_AEBP2.pdf</t>
  </si>
  <si>
    <t>Melting_Curves/meltCurve_Q6ZN40_TPM1.pdf</t>
  </si>
  <si>
    <t>Melting_Curves/meltCurve_Q6ZN54_6_DEF8.pdf</t>
  </si>
  <si>
    <t>Melting_Curves/meltCurve_Q6ZNA4_2_RNF111.pdf</t>
  </si>
  <si>
    <t>Melting_Curves/meltCurve_Q6ZNB6_2_NFXL1.pdf</t>
  </si>
  <si>
    <t>Melting_Curves/meltCurve_Q6ZNE5_ATG14.pdf</t>
  </si>
  <si>
    <t>Melting_Curves/meltCurve_Q6ZNJ1_3_NBEAL2.pdf</t>
  </si>
  <si>
    <t>Melting_Curves/meltCurve_Q6ZNW5_GDPGP1.pdf</t>
  </si>
  <si>
    <t>Melting_Curves/meltCurve_Q6ZQX7_4_C17orf97.pdf</t>
  </si>
  <si>
    <t>Melting_Curves/meltCurve_Q6ZRS2_3_SRCAP.pdf</t>
  </si>
  <si>
    <t>Melting_Curves/meltCurve_Q6ZS17_2_FAM65A.pdf</t>
  </si>
  <si>
    <t>Melting_Curves/meltCurve_Q6ZS30_NBEAL1.pdf</t>
  </si>
  <si>
    <t>Melting_Curves/meltCurve_Q6ZSJ8_C1orf122.pdf</t>
  </si>
  <si>
    <t>Melting_Curves/meltCurve_Q6ZSZ5_2_ARHGEF18.pdf</t>
  </si>
  <si>
    <t>Melting_Curves/meltCurve_Q6ZT12_UBR3.pdf</t>
  </si>
  <si>
    <t>Melting_Curves/meltCurve_Q6ZT62_SH3BP1.pdf</t>
  </si>
  <si>
    <t>Melting_Curves/meltCurve_Q6ZU65_UBN2.pdf</t>
  </si>
  <si>
    <t>Melting_Curves/meltCurve_Q6ZUM4_2_ARHGAP27.pdf</t>
  </si>
  <si>
    <t>Melting_Curves/meltCurve_Q6ZUT6_4_C15orf52.pdf</t>
  </si>
  <si>
    <t>Melting_Curves/meltCurve_Q6ZUT9_DENND5B.pdf</t>
  </si>
  <si>
    <t>Melting_Curves/meltCurve_Q6ZV73_FGD6.pdf</t>
  </si>
  <si>
    <t>Melting_Curves/meltCurve_Q6ZVF9_GPRIN3.pdf</t>
  </si>
  <si>
    <t>Melting_Curves/meltCurve_Q6ZVK8_NUDT18.pdf</t>
  </si>
  <si>
    <t>Melting_Curves/meltCurve_Q6ZVM7_TOM1L2.pdf</t>
  </si>
  <si>
    <t>Melting_Curves/meltCurve_Q6ZW49_4_PAXIP1.pdf</t>
  </si>
  <si>
    <t>Melting_Curves/meltCurve_Q6ZWJ1_STXBP4.pdf</t>
  </si>
  <si>
    <t>Melting_Curves/meltCurve_Q6ZYL4_GTF2H5.pdf</t>
  </si>
  <si>
    <t>Melting_Curves/meltCurve_Q709C8_3_VPS13C.pdf</t>
  </si>
  <si>
    <t>Melting_Curves/meltCurve_Q70CQ2_USP34.pdf</t>
  </si>
  <si>
    <t>Melting_Curves/meltCurve_Q70CQ4_USP31.pdf</t>
  </si>
  <si>
    <t>Melting_Curves/meltCurve_Q70E73_RAPH1.pdf</t>
  </si>
  <si>
    <t>Melting_Curves/meltCurve_Q70EK8_USP53.pdf</t>
  </si>
  <si>
    <t>Melting_Curves/meltCurve_Q70EL1_7_USP54.pdf</t>
  </si>
  <si>
    <t>Melting_Curves/meltCurve_Q70IA6_MOB2.pdf</t>
  </si>
  <si>
    <t>Melting_Curves/meltCurve_Q70J99_UNC13D.pdf</t>
  </si>
  <si>
    <t>Melting_Curves/meltCurve_Q70Z53_2_FRA10AC1.pdf</t>
  </si>
  <si>
    <t>Melting_Curves/meltCurve_Q712K3_UBE2R2.pdf</t>
  </si>
  <si>
    <t>Melting_Curves/meltCurve_Q71RC2_3_LARP4.pdf</t>
  </si>
  <si>
    <t>Melting_Curves/meltCurve_Q71SY5_5_MED25.pdf</t>
  </si>
  <si>
    <t>Melting_Curves/meltCurve_Q71U36_2_TUBA1A.pdf</t>
  </si>
  <si>
    <t>Melting_Curves/meltCurve_Q71UI9_H2AFV.pdf</t>
  </si>
  <si>
    <t>Melting_Curves/meltCurve_Q71UM5_RPS27L.pdf</t>
  </si>
  <si>
    <t>Melting_Curves/meltCurve_Q75N03_CBLL1.pdf</t>
  </si>
  <si>
    <t>Melting_Curves/meltCurve_Q765P7_MTSS1L.pdf</t>
  </si>
  <si>
    <t>Melting_Curves/meltCurve_Q76FK4_4_NOL8.pdf</t>
  </si>
  <si>
    <t>Melting_Curves/meltCurve_Q76N32_2_CEP68.pdf</t>
  </si>
  <si>
    <t>Melting_Curves/meltCurve_Q7KZ85_SUPT6H.pdf</t>
  </si>
  <si>
    <t>Melting_Curves/meltCurve_Q7KZ85_2_SUPT6H.pdf</t>
  </si>
  <si>
    <t>Melting_Curves/meltCurve_Q7KZF4_SND1.pdf</t>
  </si>
  <si>
    <t>Melting_Curves/meltCurve_Q7KZI7_14_MARK2.pdf</t>
  </si>
  <si>
    <t>Melting_Curves/meltCurve_Q7L014_DDX46.pdf</t>
  </si>
  <si>
    <t>Melting_Curves/meltCurve_Q7L099_2_RUFY3.pdf</t>
  </si>
  <si>
    <t>Melting_Curves/meltCurve_Q7L0Y3_TRMT10C.pdf</t>
  </si>
  <si>
    <t>Melting_Curves/meltCurve_Q7L1Q6_BZW1.pdf</t>
  </si>
  <si>
    <t>Melting_Curves/meltCurve_Q7L1T6_CYB5R4.pdf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</si>
  <si>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</si>
  <si>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</si>
  <si>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</si>
  <si>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</si>
  <si>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Melting_Curves/meltCurve_Q7L3S4_ZNF771.pdf</t>
  </si>
  <si>
    <t>Melting_Curves/meltCurve_Q7L4I2_RSRC2.pdf</t>
  </si>
  <si>
    <t>Melting_Curves/meltCurve_Q7L523_RRAGA.pdf</t>
  </si>
  <si>
    <t>Melting_Curves/meltCurve_Q7L576_CYFIP1.pdf</t>
  </si>
  <si>
    <t>Melting_Curves/meltCurve_Q7L590_2_MCM10.pdf</t>
  </si>
  <si>
    <t>Melting_Curves/meltCurve_Q7L592_NDUFAF7.pdf</t>
  </si>
  <si>
    <t>Melting_Curves/meltCurve_Q7L5D6_GET4.pdf</t>
  </si>
  <si>
    <t>Melting_Curves/meltCurve_Q7L5Y1_ENOSF1.pdf</t>
  </si>
  <si>
    <t>Melting_Curves/meltCurve_Q7L5Y9_MAEA.pdf</t>
  </si>
  <si>
    <t>Melting_Curves/meltCurve_Q7L775_EPM2AIP1.pdf</t>
  </si>
  <si>
    <t>Melting_Curves/meltCurve_Q7L7V1_DHX32.pdf</t>
  </si>
  <si>
    <t>Melting_Curves/meltCurve_Q7L7X3_TAOK1.pdf</t>
  </si>
  <si>
    <t>Melting_Curves/meltCurve_Q7L8J4_SH3BP5L.pdf</t>
  </si>
  <si>
    <t>Melting_Curves/meltCurve_Q7L8L6_FASTKD5.pdf</t>
  </si>
  <si>
    <t>Melting_Curves/meltCurve_Q7L8W6_ATPBD4.pdf</t>
  </si>
  <si>
    <t>Melting_Curves/meltCurve_Q7LBC6_KDM3B.pdf</t>
  </si>
  <si>
    <t>Melting_Curves/meltCurve_Q7LBR1_CHMP1B.pdf</t>
  </si>
  <si>
    <t>Melting_Curves/meltCurve_Q7LG56_RRM2B.pdf</t>
  </si>
  <si>
    <t>Melting_Curves/meltCurve_Q7RTP6_MICAL3.pdf</t>
  </si>
  <si>
    <t>Melting_Curves/meltCurve_Q7RTV0_PHF5A.pdf</t>
  </si>
  <si>
    <t>Melting_Curves/meltCurve_Q7Z2E3_3_APTX.pdf</t>
  </si>
  <si>
    <t>Melting_Curves/meltCurve_Q7Z2K8_GPRIN1.pdf</t>
  </si>
  <si>
    <t>Melting_Curves/meltCurve_Q7Z2T5_TRMT1L.pdf</t>
  </si>
  <si>
    <t>Melting_Curves/meltCurve_Q7Z2W4_ZC3HAV1.pdf</t>
  </si>
  <si>
    <t>Melting_Curves/meltCurve_Q7Z2Y8_GVINP1.pdf</t>
  </si>
  <si>
    <t>Melting_Curves/meltCurve_Q7Z2Z1_2_TICRR.pdf</t>
  </si>
  <si>
    <t>Melting_Curves/meltCurve_Q7Z2Z2_EFTUD1.pdf</t>
  </si>
  <si>
    <t>Melting_Curves/meltCurve_Q7Z309_FAM122B.pdf</t>
  </si>
  <si>
    <t>Melting_Curves/meltCurve_Q7Z333_3_SETX.pdf</t>
  </si>
  <si>
    <t>Melting_Curves/meltCurve_Q7Z350_DKFZp686L0695.pdf</t>
  </si>
  <si>
    <t>Melting_Curves/meltCurve_Q7Z392_TRAPPC11.pdf</t>
  </si>
  <si>
    <t>Melting_Curves/meltCurve_Q7Z3B3_KANSL1.pdf</t>
  </si>
  <si>
    <t>Melting_Curves/meltCurve_Q7Z3C6_2_ATG9A.pdf</t>
  </si>
  <si>
    <t>Melting_Curves/meltCurve_Q7Z3D4_LYSMD3.pdf</t>
  </si>
  <si>
    <t>Melting_Curves/meltCurve_Q7Z3E2_C10orf118.pdf</t>
  </si>
  <si>
    <t>Melting_Curves/meltCurve_Q7Z3E5_ARMC9.pdf</t>
  </si>
  <si>
    <t>Melting_Curves/meltCurve_Q7Z3G6_PRICKLE2.pdf</t>
  </si>
  <si>
    <t>Melting_Curves/meltCurve_Q7Z3J2_C16orf62.pdf</t>
  </si>
  <si>
    <t>Melting_Curves/meltCurve_Q7Z3K6_4_MIER3.pdf</t>
  </si>
  <si>
    <t>Melting_Curves/meltCurve_Q7Z3T8_ZFYVE16.pdf</t>
  </si>
  <si>
    <t>Melting_Curves/meltCurve_Q7Z3V4_UBE3B.pdf</t>
  </si>
  <si>
    <t>Melting_Curves/meltCurve_Q7Z406_6_MYH14.pdf</t>
  </si>
  <si>
    <t>Melting_Curves/meltCurve_Q7Z417_NUFIP2.pdf</t>
  </si>
  <si>
    <t>Melting_Curves/meltCurve_Q7Z422_2_SZRD1.pdf</t>
  </si>
  <si>
    <t>Melting_Curves/meltCurve_Q7Z434_MAVS.pdf</t>
  </si>
  <si>
    <t>Melting_Curves/meltCurve_Q7Z460_CLASP1.pdf</t>
  </si>
  <si>
    <t>Melting_Curves/meltCurve_Q7Z478_DHX29.pdf</t>
  </si>
  <si>
    <t>Melting_Curves/meltCurve_Q7Z4G1_COMMD6.pdf</t>
  </si>
  <si>
    <t>Melting_Curves/meltCurve_Q7Z4G4_2_TRMT11.pdf</t>
  </si>
  <si>
    <t>Melting_Curves/meltCurve_Q7Z4H3_HDDC2.pdf</t>
  </si>
  <si>
    <t>Melting_Curves/meltCurve_Q7Z4H7_HAUS6.pdf</t>
  </si>
  <si>
    <t>Melting_Curves/meltCurve_Q7Z4H8_KDELC2.pdf</t>
  </si>
  <si>
    <t>Melting_Curves/meltCurve_Q7Z4I7_3_LIMS2.pdf</t>
  </si>
  <si>
    <t>Melting_Curves/meltCurve_Q7Z4Q2_HEATR3.pdf</t>
  </si>
  <si>
    <t>Melting_Curves/meltCurve_Q7Z4S6_5_KIF21A.pdf</t>
  </si>
  <si>
    <t>Melting_Curves/meltCurve_Q7Z4V5_HDGFRP2.pdf</t>
  </si>
  <si>
    <t>Melting_Curves/meltCurve_Q7Z4W1_DCXR.pdf</t>
  </si>
  <si>
    <t>Melting_Curves/meltCurve_Q7Z589_EMSY.pdf</t>
  </si>
  <si>
    <t>Melting_Curves/meltCurve_Q7Z5K2_WAPAL.pdf</t>
  </si>
  <si>
    <t>Melting_Curves/meltCurve_Q7Z5L2_2_R3HCC1L.pdf</t>
  </si>
  <si>
    <t>Melting_Curves/meltCurve_Q7Z5L9_IRF2BP2.pdf</t>
  </si>
  <si>
    <t>Melting_Curves/meltCurve_Q7Z5Q1_5_CPEB2.pdf</t>
  </si>
  <si>
    <t>Melting_Curves/meltCurve_Q7Z5R6_APBB1IP.pdf</t>
  </si>
  <si>
    <t>Melting_Curves/meltCurve_Q7Z624_CAMKMT.pdf</t>
  </si>
  <si>
    <t>Melting_Curves/meltCurve_Q7Z6B0_2_CCDC91.pdf</t>
  </si>
  <si>
    <t>Melting_Curves/meltCurve_Q7Z6B7_SRGAP1.pdf</t>
  </si>
  <si>
    <t>Melting_Curves/meltCurve_Q7Z6E9_2_RBBP6.pdf</t>
  </si>
  <si>
    <t>Melting_Curves/meltCurve_Q7Z6I8_C5orf24.pdf</t>
  </si>
  <si>
    <t>Melting_Curves/meltCurve_Q7Z6J0_SH3RF1.pdf</t>
  </si>
  <si>
    <t>Melting_Curves/meltCurve_Q7Z6J8_UBE3D.pdf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</si>
  <si>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</si>
  <si>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</si>
  <si>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</si>
  <si>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</si>
  <si>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Melting_Curves/meltCurve_Q7Z6Z7_2_HUWE1.pdf</t>
  </si>
  <si>
    <t>Melting_Curves/meltCurve_Q7Z7A1_2_CNTRL.pdf</t>
  </si>
  <si>
    <t>Melting_Curves/meltCurve_Q7Z7A3_CTU1.pdf</t>
  </si>
  <si>
    <t>Melting_Curves/meltCurve_Q7Z7B0_FILIP1.pdf</t>
  </si>
  <si>
    <t>Melting_Curves/meltCurve_Q7Z7C8_TAF8.pdf</t>
  </si>
  <si>
    <t>Melting_Curves/meltCurve_Q7Z7E8_UBE2Q1.pdf</t>
  </si>
  <si>
    <t>Melting_Curves/meltCurve_Q7Z7F0_KIAA0907.pdf</t>
  </si>
  <si>
    <t>Melting_Curves/meltCurve_Q7Z7G8_2_VPS13B.pdf</t>
  </si>
  <si>
    <t>Melting_Curves/meltCurve_Q7Z7J9_CAMK2N1.pdf</t>
  </si>
  <si>
    <t>Melting_Curves/meltCurve_Q7Z7K0_CMC1.pdf</t>
  </si>
  <si>
    <t>Melting_Curves/meltCurve_Q7Z7L1_SLFN11.pdf</t>
  </si>
  <si>
    <t>Melting_Curves/meltCurve_Q7Z7L7_ZER1.pdf</t>
  </si>
  <si>
    <t>Melting_Curves/meltCurve_Q7Z7L9_ZSCAN2.pdf</t>
  </si>
  <si>
    <t>Melting_Curves/meltCurve_Q86SJ2_AMIGO2.pdf</t>
  </si>
  <si>
    <t>Melting_Curves/meltCurve_Q86SQ0_PHLDB2.pdf</t>
  </si>
  <si>
    <t>Melting_Curves/meltCurve_Q86SQ0_2_PHLDB2.pdf</t>
  </si>
  <si>
    <t>Melting_Curves/meltCurve_Q86SQ4_GPR126.pdf</t>
  </si>
  <si>
    <t>Melting_Curves/meltCurve_Q86SQ7_SDCCAG8.pdf</t>
  </si>
  <si>
    <t>Melting_Curves/meltCurve_Q86SX6_GLRX5.pdf</t>
  </si>
  <si>
    <t>Melting_Curves/meltCurve_Q86SZ2_TRAPPC6B.pdf</t>
  </si>
  <si>
    <t>Melting_Curves/meltCurve_Q86T24_ZBTB33.pdf</t>
  </si>
  <si>
    <t>Melting_Curves/meltCurve_Q86TA1_MOB3B.pdf</t>
  </si>
  <si>
    <t>Melting_Curves/meltCurve_Q86TB3_ALPK2.pdf</t>
  </si>
  <si>
    <t>Melting_Curves/meltCurve_Q86TB9_4_PATL1.pdf</t>
  </si>
  <si>
    <t>Melting_Curves/meltCurve_Q86TG7_2_PEG10.pdf</t>
  </si>
  <si>
    <t>Melting_Curves/meltCurve_Q86TI0_2_TBC1D1.pdf</t>
  </si>
  <si>
    <t>Melting_Curves/meltCurve_Q86TI2_2_DPP9.pdf</t>
  </si>
  <si>
    <t>Melting_Curves/meltCurve_Q86TN4_TRPT1.pdf</t>
  </si>
  <si>
    <t>Melting_Curves/meltCurve_Q86TP1_PRUNE.pdf</t>
  </si>
  <si>
    <t>Melting_Curves/meltCurve_Q86TU7_SETD3.pdf</t>
  </si>
  <si>
    <t>Melting_Curves/meltCurve_Q86TV2_LGMN.pdf</t>
  </si>
  <si>
    <t>Melting_Curves/meltCurve_Q86TX2_ACOT1.pdf</t>
  </si>
  <si>
    <t>Melting_Curves/meltCurve_Q86TZ8_TINF2.pdf</t>
  </si>
  <si>
    <t>Melting_Curves/meltCurve_Q86U28_ISCA2.pdf</t>
  </si>
  <si>
    <t>Melting_Curves/meltCurve_Q86U44_METTL3.pdf</t>
  </si>
  <si>
    <t>Melting_Curves/meltCurve_Q86U70_3_LDB1.pdf</t>
  </si>
  <si>
    <t>Melting_Curves/meltCurve_Q86U90_YRDC.pdf</t>
  </si>
  <si>
    <t>Melting_Curves/meltCurve_Q86UA1_PRPF39.pdf</t>
  </si>
  <si>
    <t>Melting_Curves/meltCurve_Q86UA6_3_RPAIN.pdf</t>
  </si>
  <si>
    <t>Melting_Curves/meltCurve_Q86UD0_SAPCD2.pdf</t>
  </si>
  <si>
    <t>Melting_Curves/meltCurve_Q86UE8_2_TLK2.pdf</t>
  </si>
  <si>
    <t>Melting_Curves/meltCurve_Q86UK5_2_EVC2.pdf</t>
  </si>
  <si>
    <t>Melting_Curves/meltCurve_Q86UK7_3_ZNF598.pdf</t>
  </si>
  <si>
    <t>Melting_Curves/meltCurve_Q86UP2_KTN1.pdf</t>
  </si>
  <si>
    <t>Melting_Curves/meltCurve_Q86US8_SMG6.pdf</t>
  </si>
  <si>
    <t>Melting_Curves/meltCurve_Q86UU0_4_BCL9L.pdf</t>
  </si>
  <si>
    <t>Melting_Curves/meltCurve_Q86UU1_2_PHLDB1.pdf</t>
  </si>
  <si>
    <t>Melting_Curves/meltCurve_Q86UV5_USP48.pdf</t>
  </si>
  <si>
    <t>Melting_Curves/meltCurve_Q86UX6_STK32C.pdf</t>
  </si>
  <si>
    <t>Melting_Curves/meltCurve_Q86UY0_TXNDC5.pdf</t>
  </si>
  <si>
    <t>Melting_Curves/meltCurve_Q86UY8_2_NT5DC3.pdf</t>
  </si>
  <si>
    <t>Melting_Curves/meltCurve_Q86V21_AACS.pdf</t>
  </si>
  <si>
    <t>Melting_Curves/meltCurve_Q86V48_LUZP1.pdf</t>
  </si>
  <si>
    <t>Melting_Curves/meltCurve_Q86V87_FAM160B2.pdf</t>
  </si>
  <si>
    <t>Melting_Curves/meltCurve_Q86VG3_C11orf74.pdf</t>
  </si>
  <si>
    <t>Melting_Curves/meltCurve_Q86VK4_3_ZNF410.pdf</t>
  </si>
  <si>
    <t>Melting_Curves/meltCurve_Q86VM9_ZC3H18.pdf</t>
  </si>
  <si>
    <t>Melting_Curves/meltCurve_Q86VN1_VPS36.pdf</t>
  </si>
  <si>
    <t>Melting_Curves/meltCurve_Q86VP1_2_TAX1BP1.pdf</t>
  </si>
  <si>
    <t>Melting_Curves/meltCurve_Q86VP6_CAND1.pdf</t>
  </si>
  <si>
    <t>Melting_Curves/meltCurve_Q86VQ1_GLCCI1.pdf</t>
  </si>
  <si>
    <t>Melting_Curves/meltCurve_Q86VQ6_TXNRD3.pdf</t>
  </si>
  <si>
    <t>Melting_Curves/meltCurve_Q86VR2_FAM134C.pdf</t>
  </si>
  <si>
    <t>Melting_Curves/meltCurve_Q86VS8_HOOK3.pdf</t>
  </si>
  <si>
    <t>Melting_Curves/meltCurve_Q86VV8_3_RTTN.pdf</t>
  </si>
  <si>
    <t>Melting_Curves/meltCurve_Q86VW0_SESTD1.pdf</t>
  </si>
  <si>
    <t>Melting_Curves/meltCurve_Q86VX2_2_COMMD7.pdf</t>
  </si>
  <si>
    <t>Melting_Curves/meltCurve_Q86VY4_TSPYL5.pdf</t>
  </si>
  <si>
    <t>Melting_Curves/meltCurve_Q86W34_AMZ2.pdf</t>
  </si>
  <si>
    <t>Melting_Curves/meltCurve_Q86W42_THOC6.pdf</t>
  </si>
  <si>
    <t>Melting_Curves/meltCurve_Q86W50_METTL16.pdf</t>
  </si>
  <si>
    <t>Melting_Curves/meltCurve_Q86W56_PARG.pdf</t>
  </si>
  <si>
    <t>Melting_Curves/meltCurve_Q86W92_2_PPFIBP1.pdf</t>
  </si>
  <si>
    <t>Melting_Curves/meltCurve_Q86W92_4_PPFIBP1.pdf</t>
  </si>
  <si>
    <t>Melting_Curves/meltCurve_Q86WA6_2_BPHL.pdf</t>
  </si>
  <si>
    <t>Melting_Curves/meltCurve_Q86WH2_RASSF3.pdf</t>
  </si>
  <si>
    <t>Melting_Curves/meltCurve_Q86WJ1_2_CHD1L.pdf</t>
  </si>
  <si>
    <t>Melting_Curves/meltCurve_Q86WP2_GPBP1.pdf</t>
  </si>
  <si>
    <t>Melting_Curves/meltCurve_Q86WQ0_NR2C2AP.pdf</t>
  </si>
  <si>
    <t>Melting_Curves/meltCurve_Q86WR0_CCDC25.pdf</t>
  </si>
  <si>
    <t>Melting_Curves/meltCurve_Q86WR7_PROSER2.pdf</t>
  </si>
  <si>
    <t>Melting_Curves/meltCurve_Q86WT1_TTC30A.pdf</t>
  </si>
  <si>
    <t>Melting_Curves/meltCurve_Q86X02_CDR2L.pdf</t>
  </si>
  <si>
    <t>Melting_Curves/meltCurve_Q86X10_RALGAPB.pdf</t>
  </si>
  <si>
    <t>Melting_Curves/meltCurve_Q86X27_RALGPS2.pdf</t>
  </si>
  <si>
    <t>Melting_Curves/meltCurve_Q86X40_3_LRRC28.pdf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</si>
  <si>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</si>
  <si>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</si>
  <si>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</si>
  <si>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</si>
  <si>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Melting_Curves/meltCurve_Q86X95_2_CIR1.pdf</t>
  </si>
  <si>
    <t>Melting_Curves/meltCurve_Q86XA9_HEATR5A.pdf</t>
  </si>
  <si>
    <t>Melting_Curves/meltCurve_Q86XI2_NCAPG2.pdf</t>
  </si>
  <si>
    <t>Melting_Curves/meltCurve_Q86XK3_3_SFR1.pdf</t>
  </si>
  <si>
    <t>Melting_Curves/meltCurve_Q86XN8_MEX3D.pdf</t>
  </si>
  <si>
    <t>Melting_Curves/meltCurve_Q86XP3_DDX42.pdf</t>
  </si>
  <si>
    <t>Melting_Curves/meltCurve_Q86XZ4_SPATS2.pdf</t>
  </si>
  <si>
    <t>Melting_Curves/meltCurve_Q86Y07_4_VRK2.pdf</t>
  </si>
  <si>
    <t>Melting_Curves/meltCurve_Q86Y37_CACUL1.pdf</t>
  </si>
  <si>
    <t>Melting_Curves/meltCurve_Q86Y56_HEATR2.pdf</t>
  </si>
  <si>
    <t>Melting_Curves/meltCurve_Q86Y79_PTRH1.pdf</t>
  </si>
  <si>
    <t>Melting_Curves/meltCurve_Q86Y82_STX12.pdf</t>
  </si>
  <si>
    <t>Melting_Curves/meltCurve_Q86Y91_2_KIF18B.pdf</t>
  </si>
  <si>
    <t>Melting_Curves/meltCurve_Q86YH6_PDSS2.pdf</t>
  </si>
  <si>
    <t>Melting_Curves/meltCurve_Q86YL5_TDRP.pdf</t>
  </si>
  <si>
    <t>Melting_Curves/meltCurve_Q86YM7_HOMER1.pdf</t>
  </si>
  <si>
    <t>Melting_Curves/meltCurve_Q86YP4_2_GATAD2A.pdf</t>
  </si>
  <si>
    <t>Melting_Curves/meltCurve_Q86YR5_4_GPSM1.pdf</t>
  </si>
  <si>
    <t>Melting_Curves/meltCurve_Q86YS7_C2CD5.pdf</t>
  </si>
  <si>
    <t>Melting_Curves/meltCurve_Q86YV5_SGK223.pdf</t>
  </si>
  <si>
    <t>Melting_Curves/meltCurve_Q86YV9_HPS6.pdf</t>
  </si>
  <si>
    <t>Melting_Curves/meltCurve_Q86YZ3_HRNR.pdf</t>
  </si>
  <si>
    <t>Melting_Curves/meltCurve_Q8IU81_IRF2BP1.pdf</t>
  </si>
  <si>
    <t>Melting_Curves/meltCurve_Q8IU85_2_CAMK1D.pdf</t>
  </si>
  <si>
    <t>Melting_Curves/meltCurve_Q8IUC4_RHPN2.pdf</t>
  </si>
  <si>
    <t>Melting_Curves/meltCurve_Q8IUD2_ERC1.pdf</t>
  </si>
  <si>
    <t>Melting_Curves/meltCurve_Q8IUD6_RNF135.pdf</t>
  </si>
  <si>
    <t>Melting_Curves/meltCurve_Q8IUF8_4_MINA.pdf</t>
  </si>
  <si>
    <t>Melting_Curves/meltCurve_Q8IUI8_CRLF3.pdf</t>
  </si>
  <si>
    <t>Melting_Curves/meltCurve_Q8IUQ4_SIAH1.pdf</t>
  </si>
  <si>
    <t>Melting_Curves/meltCurve_Q8IUR0_TRAPPC5.pdf</t>
  </si>
  <si>
    <t>Melting_Curves/meltCurve_Q8IUR7_7_ARMC8.pdf</t>
  </si>
  <si>
    <t>Melting_Curves/meltCurve_Q8IUW1_ANKRD10.pdf</t>
  </si>
  <si>
    <t>Melting_Curves/meltCurve_Q8IV08_PLD3.pdf</t>
  </si>
  <si>
    <t>Melting_Curves/meltCurve_Q8IV20_LACC1.pdf</t>
  </si>
  <si>
    <t>Melting_Curves/meltCurve_Q8IV36_3_HID1.pdf</t>
  </si>
  <si>
    <t>Melting_Curves/meltCurve_Q8IV38_ANKMY2.pdf</t>
  </si>
  <si>
    <t>Melting_Curves/meltCurve_Q8IV48_ERI1.pdf</t>
  </si>
  <si>
    <t>Melting_Curves/meltCurve_Q8IV50_LYSMD2.pdf</t>
  </si>
  <si>
    <t>Melting_Curves/meltCurve_Q8IV63_3_VRK3.pdf</t>
  </si>
  <si>
    <t>Melting_Curves/meltCurve_Q8IVB5_LIX1L.pdf</t>
  </si>
  <si>
    <t>Melting_Curves/meltCurve_Q8IVD9_NUDCD3.pdf</t>
  </si>
  <si>
    <t>Melting_Curves/meltCurve_Q8IVF2_3_AHNAK2.pdf</t>
  </si>
  <si>
    <t>Melting_Curves/meltCurve_Q8IVF6_ANKRD18A.pdf</t>
  </si>
  <si>
    <t>Melting_Curves/meltCurve_Q8IVH2_3_FOXP4.pdf</t>
  </si>
  <si>
    <t>Melting_Curves/meltCurve_Q8IVH8_3_MAP4K3.pdf</t>
  </si>
  <si>
    <t>Melting_Curves/meltCurve_Q8IVL1_4_NAV2.pdf</t>
  </si>
  <si>
    <t>Melting_Curves/meltCurve_Q8IVL5_LEPREL1.pdf</t>
  </si>
  <si>
    <t>Melting_Curves/meltCurve_Q8IVM0_CCDC50.pdf</t>
  </si>
  <si>
    <t>Melting_Curves/meltCurve_Q8IVS2_MCAT.pdf</t>
  </si>
  <si>
    <t>Melting_Curves/meltCurve_Q8IVT2_C19orf21.pdf</t>
  </si>
  <si>
    <t>Melting_Curves/meltCurve_Q8IVV2_LOXHD1.pdf</t>
  </si>
  <si>
    <t>Melting_Curves/meltCurve_Q8IW19_APLF.pdf</t>
  </si>
  <si>
    <t>Melting_Curves/meltCurve_Q8IW41_2_MAPKAPK5.pdf</t>
  </si>
  <si>
    <t>Melting_Curves/meltCurve_Q8IW45_CARKD.pdf</t>
  </si>
  <si>
    <t>Melting_Curves/meltCurve_Q8IW50_7_FAM219A.pdf</t>
  </si>
  <si>
    <t>Melting_Curves/meltCurve_Q8IWB7_WDFY1.pdf</t>
  </si>
  <si>
    <t>Melting_Curves/meltCurve_Q8IWB9_TEX2.pdf</t>
  </si>
  <si>
    <t>Melting_Curves/meltCurve_Q8IWC1_2_MAP7D3.pdf</t>
  </si>
  <si>
    <t>Melting_Curves/meltCurve_Q8IWD4_CCDC117.pdf</t>
  </si>
  <si>
    <t>Melting_Curves/meltCurve_Q8IWE2_FAM114A1.pdf</t>
  </si>
  <si>
    <t>Melting_Curves/meltCurve_Q8IWI9_MGA.pdf</t>
  </si>
  <si>
    <t>Melting_Curves/meltCurve_Q8IWJ2_GCC2.pdf</t>
  </si>
  <si>
    <t>Melting_Curves/meltCurve_Q8IWL3_HSCB.pdf</t>
  </si>
  <si>
    <t>Melting_Curves/meltCurve_Q8IWP9_CCDC28A.pdf</t>
  </si>
  <si>
    <t>Melting_Curves/meltCurve_Q8IWQ3_3_BRSK2.pdf</t>
  </si>
  <si>
    <t>Melting_Curves/meltCurve_Q8IWR0_ZC3H7A.pdf</t>
  </si>
  <si>
    <t>Melting_Curves/meltCurve_Q8IWT0_ZBTB8OS.pdf</t>
  </si>
  <si>
    <t>Melting_Curves/meltCurve_Q8IWU2_LMTK2.pdf</t>
  </si>
  <si>
    <t>Melting_Curves/meltCurve_Q8IWV7_UBR1.pdf</t>
  </si>
  <si>
    <t>Melting_Curves/meltCurve_Q8IWV8_4_UBR2.pdf</t>
  </si>
  <si>
    <t>Melting_Curves/meltCurve_Q8IWW6_2_ARHGAP12.pdf</t>
  </si>
  <si>
    <t>Melting_Curves/meltCurve_Q8IWX8_CHERP.pdf</t>
  </si>
  <si>
    <t>Melting_Curves/meltCurve_Q8IWY9_1_CDAN1.pdf</t>
  </si>
  <si>
    <t>Melting_Curves/meltCurve_Q8IWZ3_6_ANKHD1.pdf</t>
  </si>
  <si>
    <t>Melting_Curves/meltCurve_Q8IWZ8_SUGP1.pdf</t>
  </si>
  <si>
    <t>Melting_Curves/meltCurve_Q8IX01_4_SUGP2.pdf</t>
  </si>
  <si>
    <t>Melting_Curves/meltCurve_Q8IX03_2_WWC1.pdf</t>
  </si>
  <si>
    <t>Melting_Curves/meltCurve_Q8IX04_6_UEVLD.pdf</t>
  </si>
  <si>
    <t>Melting_Curves/meltCurve_Q8IX07_ZFPM1.pdf</t>
  </si>
  <si>
    <t>Melting_Curves/meltCurve_Q8IX12_2_CCAR1.pdf</t>
  </si>
  <si>
    <t>Melting_Curves/meltCurve_Q8IX18_3_DHX40.pdf</t>
  </si>
  <si>
    <t>Melting_Curves/meltCurve_Q8IX90_SKA3.pdf</t>
  </si>
  <si>
    <t>Melting_Curves/meltCurve_Q8IXB1_DNAJC10.pdf</t>
  </si>
  <si>
    <t>Melting_Curves/meltCurve_Q8IXH7_4_NELFCD.pdf</t>
  </si>
  <si>
    <t>Melting_Curves/meltCurve_Q8IXJ6_2_SIRT2.pdf</t>
  </si>
  <si>
    <t>Melting_Curves/meltCurve_Q8IXK0_2_PHC2.pdf</t>
  </si>
  <si>
    <t>Melting_Curves/meltCurve_Q8IXM2_2_BAP18.pdf</t>
  </si>
  <si>
    <t>Melting_Curves/meltCurve_Q8IXM3_MRPL41.pdf</t>
  </si>
  <si>
    <t>Melting_Curves/meltCurve_Q8IXN7_RIMKLA.pdf</t>
  </si>
  <si>
    <t>Melting_Curves/meltCurve_Q8IXQ3_C9orf40.pdf</t>
  </si>
  <si>
    <t>Melting_Curves/meltCurve_Q8IXQ4_KIAA1704.pdf</t>
  </si>
  <si>
    <t>Melting_Curves/meltCurve_Q8IXW5_2_RPAP2.pdf</t>
  </si>
  <si>
    <t>Melting_Curves/meltCurve_Q8IXZ2_ZC3H3.pdf</t>
  </si>
  <si>
    <t>Melting_Curves/meltCurve_Q8IY18_SMC5.pdf</t>
  </si>
  <si>
    <t>Melting_Curves/meltCurve_Q8IY22_CMIP.pdf</t>
  </si>
  <si>
    <t>Melting_Curves/meltCurve_Q8IY31_IFT20.pdf</t>
  </si>
  <si>
    <t>Melting_Curves/meltCurve_Q8IY33_MICALL2.pdf</t>
  </si>
  <si>
    <t>Melting_Curves/meltCurve_Q8IY37_DHX37.pdf</t>
  </si>
  <si>
    <t>Melting_Curves/meltCurve_Q8IY47_KBTBD2.pdf</t>
  </si>
  <si>
    <t>Melting_Curves/meltCurve_Q8IY81_FTSJ3.pdf</t>
  </si>
  <si>
    <t>Melting_Curves/meltCurve_Q8IY85_EFCAB13.pdf</t>
  </si>
  <si>
    <t>Melting_Curves/meltCurve_Q8IY92_SLX4.pdf</t>
  </si>
  <si>
    <t>Melting_Curves/meltCurve_Q8IYA6_CKAP2L.pdf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</si>
  <si>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</si>
  <si>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</si>
  <si>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</si>
  <si>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</si>
  <si>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Melting_Curves/meltCurve_Q8IYD1_GSPT2.pdf</t>
  </si>
  <si>
    <t>Melting_Curves/meltCurve_Q8IYE0_2_CCDC146.pdf</t>
  </si>
  <si>
    <t>Melting_Curves/meltCurve_Q8IYH5_4_ZZZ3.pdf</t>
  </si>
  <si>
    <t>Melting_Curves/meltCurve_Q8IYI6_EXOC8.pdf</t>
  </si>
  <si>
    <t>Melting_Curves/meltCurve_Q8IYL3_C1orf174.pdf</t>
  </si>
  <si>
    <t>Melting_Curves/meltCurve_Q8IYN2_TCEAL8.pdf</t>
  </si>
  <si>
    <t>Melting_Curves/meltCurve_Q8IYN9_PTK2.pdf</t>
  </si>
  <si>
    <t>Melting_Curves/meltCurve_Q8IYQ7_THNSL1.pdf</t>
  </si>
  <si>
    <t>Melting_Curves/meltCurve_Q8IYR2_SMYD4.pdf</t>
  </si>
  <si>
    <t>Melting_Curves/meltCurve_Q8IYS0_2_GRAMD1C.pdf</t>
  </si>
  <si>
    <t>Melting_Curves/meltCurve_Q8IYS1_PM20D2.pdf</t>
  </si>
  <si>
    <t>Melting_Curves/meltCurve_Q8IYT2_FTSJD1.pdf</t>
  </si>
  <si>
    <t>Melting_Curves/meltCurve_Q8IYU8_MICU2.pdf</t>
  </si>
  <si>
    <t>Melting_Curves/meltCurve_Q8IYW5_RNF168.pdf</t>
  </si>
  <si>
    <t>Melting_Curves/meltCurve_Q8IZ07_ANKRD13A.pdf</t>
  </si>
  <si>
    <t>Melting_Curves/meltCurve_Q8IZ21_3_PHACTR4.pdf</t>
  </si>
  <si>
    <t>Melting_Curves/meltCurve_Q8IZ69_TRMT2A.pdf</t>
  </si>
  <si>
    <t>Melting_Curves/meltCurve_Q8IZ73_RPUSD2.pdf</t>
  </si>
  <si>
    <t>Melting_Curves/meltCurve_Q8IZ83_ALDH16A1.pdf</t>
  </si>
  <si>
    <t>Melting_Curves/meltCurve_Q8IZD2_6_MLL5.pdf</t>
  </si>
  <si>
    <t>Melting_Curves/meltCurve_Q8IZD4_DCP1B.pdf</t>
  </si>
  <si>
    <t>Melting_Curves/meltCurve_Q8IZE3_2_SCYL3.pdf</t>
  </si>
  <si>
    <t>Melting_Curves/meltCurve_Q8IZH2_2_XRN1.pdf</t>
  </si>
  <si>
    <t>Melting_Curves/meltCurve_Q8IZL2_MAML2.pdf</t>
  </si>
  <si>
    <t>Melting_Curves/meltCurve_Q8IZL8_PELP1.pdf</t>
  </si>
  <si>
    <t>Melting_Curves/meltCurve_Q8IZP0_10_ABI1.pdf</t>
  </si>
  <si>
    <t>Melting_Curves/meltCurve_Q8IZQ1_2_WDFY3.pdf</t>
  </si>
  <si>
    <t>Melting_Curves/meltCurve_Q8IZW8_TNS4.pdf</t>
  </si>
  <si>
    <t>Melting_Curves/meltCurve_Q8N0T1_C8orf59.pdf</t>
  </si>
  <si>
    <t>Melting_Curves/meltCurve_Q8N0U4_3_FAM185A.pdf</t>
  </si>
  <si>
    <t>Melting_Curves/meltCurve_Q8N0W3_FUK.pdf</t>
  </si>
  <si>
    <t>Melting_Curves/meltCurve_Q8N0X7_SPG20.pdf</t>
  </si>
  <si>
    <t>Melting_Curves/meltCurve_Q8N0Z3_SPICE1.pdf</t>
  </si>
  <si>
    <t>Melting_Curves/meltCurve_Q8N0Z6_TTC5.pdf</t>
  </si>
  <si>
    <t>Melting_Curves/meltCurve_Q8N108_17_MIER1.pdf</t>
  </si>
  <si>
    <t>Melting_Curves/meltCurve_Q8N122_RPTOR.pdf</t>
  </si>
  <si>
    <t>Melting_Curves/meltCurve_Q8N129_CNPY4.pdf</t>
  </si>
  <si>
    <t>Melting_Curves/meltCurve_Q8N142_ADSSL1.pdf</t>
  </si>
  <si>
    <t>Melting_Curves/meltCurve_Q8N163_KIAA1967.pdf</t>
  </si>
  <si>
    <t>Melting_Curves/meltCurve_Q8N1B4_VPS52.pdf</t>
  </si>
  <si>
    <t>Melting_Curves/meltCurve_Q8N1F7_NUP93.pdf</t>
  </si>
  <si>
    <t>Melting_Curves/meltCurve_Q8N1G2_FTSJD2.pdf</t>
  </si>
  <si>
    <t>Melting_Curves/meltCurve_Q8N1G4_LRRC47.pdf</t>
  </si>
  <si>
    <t>Melting_Curves/meltCurve_Q8N1N4_KRT78.pdf</t>
  </si>
  <si>
    <t>Melting_Curves/meltCurve_Q8N1W1_4_ARHGEF28.pdf</t>
  </si>
  <si>
    <t>Melting_Curves/meltCurve_Q8N201_INTS1.pdf</t>
  </si>
  <si>
    <t>Melting_Curves/meltCurve_Q8N2F6_4_ARMC10.pdf</t>
  </si>
  <si>
    <t>Melting_Curves/meltCurve_Q8N2W9_PIAS4.pdf</t>
  </si>
  <si>
    <t>Melting_Curves/meltCurve_Q8N2Y8_RUSC2.pdf</t>
  </si>
  <si>
    <t>Melting_Curves/meltCurve_Q8N2Z9_APITD1.pdf</t>
  </si>
  <si>
    <t>Melting_Curves/meltCurve_Q8N300_CCDC23.pdf</t>
  </si>
  <si>
    <t>Melting_Curves/meltCurve_Q8N302_AGGF1.pdf</t>
  </si>
  <si>
    <t>Melting_Curves/meltCurve_Q8N335_GPD1L.pdf</t>
  </si>
  <si>
    <t>Melting_Curves/meltCurve_Q8N371_KDM8.pdf</t>
  </si>
  <si>
    <t>Melting_Curves/meltCurve_Q8N392_ARHGAP18.pdf</t>
  </si>
  <si>
    <t>Melting_Curves/meltCurve_Q8N3C0_ASCC3.pdf</t>
  </si>
  <si>
    <t>Melting_Curves/meltCurve_Q8N3C7_CLIP4.pdf</t>
  </si>
  <si>
    <t>Melting_Curves/meltCurve_Q8N3D4_EHBP1L1.pdf</t>
  </si>
  <si>
    <t>Melting_Curves/meltCurve_Q8N3F8_MICALL1.pdf</t>
  </si>
  <si>
    <t>Melting_Curves/meltCurve_Q8N3J3_3_C17orf53.pdf</t>
  </si>
  <si>
    <t>Melting_Curves/meltCurve_Q8N3P4_3_VPS8.pdf</t>
  </si>
  <si>
    <t>Melting_Curves/meltCurve_Q8N3R9_MPP5.pdf</t>
  </si>
  <si>
    <t>Melting_Curves/meltCurve_Q8N3V7_2_SYNPO.pdf</t>
  </si>
  <si>
    <t>Melting_Curves/meltCurve_Q8N3X1_FNBP4.pdf</t>
  </si>
  <si>
    <t>Melting_Curves/meltCurve_Q8N465_D2HGDH.pdf</t>
  </si>
  <si>
    <t>Melting_Curves/meltCurve_Q8N488_RYBP.pdf</t>
  </si>
  <si>
    <t>Melting_Curves/meltCurve_Q8N4C8_MINK1.pdf</t>
  </si>
  <si>
    <t>Melting_Curves/meltCurve_Q8N4J0_C9orf41.pdf</t>
  </si>
  <si>
    <t>Melting_Curves/meltCurve_Q8N4N3_KLHL36.pdf</t>
  </si>
  <si>
    <t>Melting_Curves/meltCurve_Q8N4P3_HDDC3.pdf</t>
  </si>
  <si>
    <t>Melting_Curves/meltCurve_Q8N4Q0_ZADH2.pdf</t>
  </si>
  <si>
    <t>Melting_Curves/meltCurve_Q8N4T8_CBR4.pdf</t>
  </si>
  <si>
    <t>Melting_Curves/meltCurve_Q8N4X5_AFAP1L2.pdf</t>
  </si>
  <si>
    <t>Melting_Curves/meltCurve_Q8N4X5_2_AFAP1L2.pdf</t>
  </si>
  <si>
    <t>Melting_Curves/meltCurve_Q8N543_OGFOD1.pdf</t>
  </si>
  <si>
    <t>Melting_Curves/meltCurve_Q8N556_AFAP1.pdf</t>
  </si>
  <si>
    <t>Melting_Curves/meltCurve_Q8N567_ZCCHC9.pdf</t>
  </si>
  <si>
    <t>Melting_Curves/meltCurve_Q8N573_2_OXR1.pdf</t>
  </si>
  <si>
    <t>Melting_Curves/meltCurve_Q8N584_2_TTC39C.pdf</t>
  </si>
  <si>
    <t>Melting_Curves/meltCurve_Q8N5A5_3_ZGPAT.pdf</t>
  </si>
  <si>
    <t>Melting_Curves/meltCurve_Q8N5C7_DTWD1.pdf</t>
  </si>
  <si>
    <t>Melting_Curves/meltCurve_Q8N5C8_2_TAB3.pdf</t>
  </si>
  <si>
    <t>Melting_Curves/meltCurve_Q8N5F7_NKAP.pdf</t>
  </si>
  <si>
    <t>Melting_Curves/meltCurve_Q8N5G2_TMEM57.pdf</t>
  </si>
  <si>
    <t>Melting_Curves/meltCurve_Q8N5I9_C12orf45.pdf</t>
  </si>
  <si>
    <t>Melting_Curves/meltCurve_Q8N5L8_RPP25L.pdf</t>
  </si>
  <si>
    <t>Melting_Curves/meltCurve_Q8N5M1_ATPAF2.pdf</t>
  </si>
  <si>
    <t>Melting_Curves/meltCurve_Q8N5N7_MRPL50.pdf</t>
  </si>
  <si>
    <t>Melting_Curves/meltCurve_Q8N5P1_ZC3H8.pdf</t>
  </si>
  <si>
    <t>Melting_Curves/meltCurve_Q8N5S9_CAMKK1.pdf</t>
  </si>
  <si>
    <t>Melting_Curves/meltCurve_Q8N5V2_3_NGEF.pdf</t>
  </si>
  <si>
    <t>Melting_Curves/meltCurve_Q8N5W9_FAM101B.pdf</t>
  </si>
  <si>
    <t>Melting_Curves/meltCurve_Q8N612_FAM160A2.pdf</t>
  </si>
  <si>
    <t>Melting_Curves/meltCurve_Q8N653_LZTR1.pdf</t>
  </si>
  <si>
    <t>Melting_Curves/meltCurve_Q8N655_C10orf12.pdf</t>
  </si>
  <si>
    <t>Melting_Curves/meltCurve_Q8N668_COMMD1.pdf</t>
  </si>
  <si>
    <t>Melting_Curves/meltCurve_Q8N684_CPSF7.pdf</t>
  </si>
  <si>
    <t>Melting_Curves/meltCurve_Q8N6H7_ARFGAP2.pdf</t>
  </si>
  <si>
    <t>Melting_Curves/meltCurve_Q8N6I1_EID2.pdf</t>
  </si>
  <si>
    <t>Melting_Curves/meltCurve_Q8N6M0_OTUD6B.pdf</t>
  </si>
  <si>
    <t>Melting_Curves/meltCurve_Q8N6N3_2_C1orf52.pdf</t>
  </si>
  <si>
    <t>Melting_Curves/meltCurve_Q8N6N7_ACBD7.pdf</t>
  </si>
  <si>
    <t>Melting_Curves/meltCurve_Q8N6Q8_METTL25.pdf</t>
  </si>
  <si>
    <t>Melting_Curves/meltCurve_Q8N749_TOM1L1.pdf</t>
  </si>
  <si>
    <t>Melting_Curves/meltCurve_Q8N7C3_TRIML2.pdf</t>
  </si>
  <si>
    <t>Melting_Curves/meltCurve_Q8N806_UBR7.pdf</t>
  </si>
  <si>
    <t>Melting_Curves/meltCurve_Q8N819_2_PPM1N.pdf</t>
  </si>
  <si>
    <t>Melting_Curves/meltCurve_Q8N883_ZNF614.pdf</t>
  </si>
  <si>
    <t>Melting_Curves/meltCurve_Q8N8A2_ANKRD44.pdf</t>
  </si>
  <si>
    <t>Melting_Curves/meltCurve_Q8N8A6_DDX51.pdf</t>
  </si>
  <si>
    <t>Melting_Curves/meltCurve_Q8N8N7_PTGR2.pdf</t>
  </si>
  <si>
    <t>Melting_Curves/meltCurve_Q8N8R5_C2orf69.pdf</t>
  </si>
  <si>
    <t>Melting_Curves/meltCurve_Q8N8R7_ARL14EP.pdf</t>
  </si>
  <si>
    <t>Melting_Curves/meltCurve_Q8N8S7_ENAH.pdf</t>
  </si>
  <si>
    <t>Melting_Curves/meltCurve_Q8N8S7_2_ENAH.pdf</t>
  </si>
  <si>
    <t>Melting_Curves/meltCurve_Q8N954_GPATCH11.pdf</t>
  </si>
  <si>
    <t>Melting_Curves/meltCurve_Q8N961_2_ABTB2.pdf</t>
  </si>
  <si>
    <t>Melting_Curves/meltCurve_Q8N999_C12orf29.pdf</t>
  </si>
  <si>
    <t>Melting_Curves/meltCurve_Q8N9B5_2_JMY.pdf</t>
  </si>
  <si>
    <t>Melting_Curves/meltCurve_Q8N9M1_2_C19orf47.pdf</t>
  </si>
  <si>
    <t>Melting_Curves/meltCurve_Q8N9M5_TMEM102.pdf</t>
  </si>
  <si>
    <t>Melting_Curves/meltCurve_Q8N9N2_2_ASCC1.pdf</t>
  </si>
  <si>
    <t>Melting_Curves/meltCurve_Q8N9N5_7_BANP.pdf</t>
  </si>
  <si>
    <t>Melting_Curves/meltCurve_Q8N9N8_EIF1AD.pdf</t>
  </si>
  <si>
    <t>Melting_Curves/meltCurve_Q8N9V3_WDSUB1.pdf</t>
  </si>
  <si>
    <t>Melting_Curves/meltCurve_Q8NAF0_ZNF579.pdf</t>
  </si>
  <si>
    <t>Melting_Curves/meltCurve_Q8NB15_2_ZNF511.pdf</t>
  </si>
  <si>
    <t>Melting_Curves/meltCurve_Q8NB16_MLKL.pdf</t>
  </si>
  <si>
    <t>Melting_Curves/meltCurve_Q8NB37_PDDC1.pdf</t>
  </si>
  <si>
    <t>Melting_Curves/meltCurve_Q8NB46_ANKRD52.pdf</t>
  </si>
  <si>
    <t>Melting_Curves/meltCurve_Q8NB78_KDM1B.pdf</t>
  </si>
  <si>
    <t>Melting_Curves/meltCurve_Q8NB90_SPATA5.pdf</t>
  </si>
  <si>
    <t>Melting_Curves/meltCurve_Q8NBA8_DTWD2.pdf</t>
  </si>
  <si>
    <t>Melting_Curves/meltCurve_Q8NBF2_NHLRC2.pdf</t>
  </si>
  <si>
    <t>Melting_Curves/meltCurve_Q8NBF6_AVL9.pdf</t>
  </si>
  <si>
    <t>Melting_Curves/meltCurve_Q8NBJ4_2_GOLM1.pdf</t>
  </si>
  <si>
    <t>Melting_Curves/meltCurve_Q8NBJ5_COLGALT1.pdf</t>
  </si>
  <si>
    <t>Melting_Curves/meltCurve_Q8NBJ7_SUMF2.pdf</t>
  </si>
  <si>
    <t>Melting_Curves/meltCurve_Q8NBK3_4_SUMF1.pdf</t>
  </si>
  <si>
    <t>Melting_Curves/meltCurve_Q8NBL1_POGLUT1.pdf</t>
  </si>
  <si>
    <t>Melting_Curves/meltCurve_Q8NBM4_4_UBAC2.pdf</t>
  </si>
  <si>
    <t>Melting_Curves/meltCurve_Q8NC26_2_ZNF114.pdf</t>
  </si>
  <si>
    <t>Melting_Curves/meltCurve_Q8NC51_2_SERBP1.pdf</t>
  </si>
  <si>
    <t>Melting_Curves/meltCurve_Q8NC56_LEMD2.pdf</t>
  </si>
  <si>
    <t>Melting_Curves/meltCurve_Q8NC60_NOA1.pdf</t>
  </si>
  <si>
    <t>Melting_Curves/meltCurve_Q8NC96_NECAP1.pdf</t>
  </si>
  <si>
    <t>Melting_Curves/meltCurve_Q8NCA5_2_FAM98A.pdf</t>
  </si>
  <si>
    <t>Melting_Curves/meltCurve_Q8NCC3_PLA2G15.pdf</t>
  </si>
  <si>
    <t>Melting_Curves/meltCurve_Q8NCD3_3_HJURP.pdf</t>
  </si>
  <si>
    <t>Melting_Curves/meltCurve_Q8NCE0_4_TSEN2.pdf</t>
  </si>
  <si>
    <t>Melting_Curves/meltCurve_Q8NCE2_2_MTMR14.pdf</t>
  </si>
  <si>
    <t>Melting_Curves/meltCurve_Q8NCF5_NFATC2IP.pdf</t>
  </si>
  <si>
    <t>Melting_Curves/meltCurve_Q8NCM8_DYNC2H1.pdf</t>
  </si>
  <si>
    <t>Melting_Curves/meltCurve_Q8NCN4_RNF169.pdf</t>
  </si>
  <si>
    <t>Melting_Curves/meltCurve_Q8NCN5_PDPR.pdf</t>
  </si>
  <si>
    <t>Melting_Curves/meltCurve_Q8NCP5_3_ZBTB44.pdf</t>
  </si>
  <si>
    <t>Melting_Curves/meltCurve_Q8NCW5_APOA1BP.pdf</t>
  </si>
  <si>
    <t>Melting_Curves/meltCurve_Q8ND04_SMG8.pdf</t>
  </si>
  <si>
    <t>Melting_Curves/meltCurve_Q8ND24_RNF214.pdf</t>
  </si>
  <si>
    <t>Melting_Curves/meltCurve_Q8ND30_PPFIBP2.pdf</t>
  </si>
  <si>
    <t>Melting_Curves/meltCurve_Q8ND56_2_LSM14A.pdf</t>
  </si>
  <si>
    <t>Melting_Curves/meltCurve_Q8ND76_3_CCNY.pdf</t>
  </si>
  <si>
    <t>Melting_Curves/meltCurve_Q8NDC0_MAPK1IP1L.pdf</t>
  </si>
  <si>
    <t>Melting_Curves/meltCurve_Q8NDF8_PAPD5.pdf</t>
  </si>
  <si>
    <t>Melting_Curves/meltCurve_Q8NDH3_NPEPL1.pdf</t>
  </si>
  <si>
    <t>Melting_Curves/meltCurve_Q8NDI1_3_EHBP1.pdf</t>
  </si>
  <si>
    <t>Melting_Curves/meltCurve_Q8NDV7_6_TNRC6A.pdf</t>
  </si>
  <si>
    <t>Melting_Curves/meltCurve_Q8NDX5_2_PHC3.pdf</t>
  </si>
  <si>
    <t>Melting_Curves/meltCurve_Q8NE71_ABCF1.pdf</t>
  </si>
  <si>
    <t>Melting_Curves/meltCurve_Q8NEB9_PIK3C3.pdf</t>
  </si>
  <si>
    <t>Melting_Curves/meltCurve_Q8NEC7_GSTCD.pdf</t>
  </si>
  <si>
    <t>Melting_Curves/meltCurve_Q8NEF9_SRFBP1.pdf</t>
  </si>
  <si>
    <t>Melting_Curves/meltCurve_Q8NEH6_MNS1.pdf</t>
  </si>
  <si>
    <t>Melting_Curves/meltCurve_Q8NEL9_2_DDHD1.pdf</t>
  </si>
  <si>
    <t>Melting_Curves/meltCurve_Q8NEM0_MCPH1.pdf</t>
  </si>
  <si>
    <t>Melting_Curves/meltCurve_Q8NEM2_SHCBP1.pdf</t>
  </si>
  <si>
    <t>Melting_Curves/meltCurve_Q8NEN9_PDZD8.pdf</t>
  </si>
  <si>
    <t>Melting_Curves/meltCurve_Q8NEU8_APPL2.pdf</t>
  </si>
  <si>
    <t>Melting_Curves/meltCurve_Q8NEY1_2_NAV1.pdf</t>
  </si>
  <si>
    <t>Melting_Curves/meltCurve_Q8NEZ2_VPS37A.pdf</t>
  </si>
  <si>
    <t>Melting_Curves/meltCurve_Q8NEZ4_MLL3.pdf</t>
  </si>
  <si>
    <t>Melting_Curves/meltCurve_Q8NEZ5_FBXO22.pdf</t>
  </si>
  <si>
    <t>Melting_Curves/meltCurve_Q8NF64_3_ZMIZ2.pdf</t>
  </si>
  <si>
    <t>Melting_Curves/meltCurve_Q8NF67_.pdf</t>
  </si>
  <si>
    <t>Melting_Curves/meltCurve_Q8NF91_SYNE1.pdf</t>
  </si>
  <si>
    <t>Melting_Curves/meltCurve_Q8NFA0_USP32.pdf</t>
  </si>
  <si>
    <t>Melting_Curves/meltCurve_Q8NFC6_BOD1L1.pdf</t>
  </si>
  <si>
    <t>Melting_Curves/meltCurve_Q8NFF5_2_FLAD1.pdf</t>
  </si>
  <si>
    <t>Melting_Curves/meltCurve_Q8NFG4_FLCN.pdf</t>
  </si>
  <si>
    <t>Melting_Curves/meltCurve_Q8NFH3_NUP43.pdf</t>
  </si>
  <si>
    <t>Melting_Curves/meltCurve_Q8NFH4_NUP37.pdf</t>
  </si>
  <si>
    <t>Melting_Curves/meltCurve_Q8NFI3_ENGASE.pdf</t>
  </si>
  <si>
    <t>Melting_Curves/meltCurve_Q8NFQ8_TOR1AIP2.pdf</t>
  </si>
  <si>
    <t>Melting_Curves/meltCurve_Q8NFV4_ABHD11.pdf</t>
  </si>
  <si>
    <t>Melting_Curves/meltCurve_Q8NFW8_CMAS.pdf</t>
  </si>
  <si>
    <t>Melting_Curves/meltCurve_Q8NFZ0_FBXO18.pdf</t>
  </si>
  <si>
    <t>Melting_Curves/meltCurve_Q8NFZ5_TNIP2.pdf</t>
  </si>
  <si>
    <t>Melting_Curves/meltCurve_Q8NFZ8_CADM4.pdf</t>
  </si>
  <si>
    <t>Melting_Curves/meltCurve_Q8NG08_HELB.pdf</t>
  </si>
  <si>
    <t>Melting_Curves/meltCurve_Q8NG27_3_PJA1.pdf</t>
  </si>
  <si>
    <t>Melting_Curves/meltCurve_Q8NG31_2_CASC5.pdf</t>
  </si>
  <si>
    <t>Melting_Curves/meltCurve_Q8NG68_TTL.pdf</t>
  </si>
  <si>
    <t>Melting_Curves/meltCurve_Q8NHG7_SVIP.pdf</t>
  </si>
  <si>
    <t>Melting_Curves/meltCurve_Q8NHG8_ZNRF2.pdf</t>
  </si>
  <si>
    <t>Melting_Curves/meltCurve_Q8NHM4_TRY6.pdf</t>
  </si>
  <si>
    <t>Melting_Curves/meltCurve_Q8NHM5_2_KDM2B.pdf</t>
  </si>
  <si>
    <t>Melting_Curves/meltCurve_Q8NHP8_PLBD2.pdf</t>
  </si>
  <si>
    <t>Melting_Curves/meltCurve_Q8NHU6_TDRD7.pdf</t>
  </si>
  <si>
    <t>Melting_Curves/meltCurve_Q8NHV4_NEDD1.pdf</t>
  </si>
  <si>
    <t>Melting_Curves/meltCurve_Q8NHZ8_CDC26.pdf</t>
  </si>
  <si>
    <t>Melting_Curves/meltCurve_Q8NI08_2_NCOA7.pdf</t>
  </si>
  <si>
    <t>Melting_Curves/meltCurve_Q8NI27_THOC2.pdf</t>
  </si>
  <si>
    <t>Melting_Curves/meltCurve_Q8NI35_INADL.pdf</t>
  </si>
  <si>
    <t>Melting_Curves/meltCurve_Q8NI36_WDR36.pdf</t>
  </si>
  <si>
    <t>Melting_Curves/meltCurve_Q8TA86_RP9.pdf</t>
  </si>
  <si>
    <t>Melting_Curves/meltCurve_Q8TAD8_SNIP1.pdf</t>
  </si>
  <si>
    <t>Melting_Curves/meltCurve_Q8TAE8_GADD45GIP1.pdf</t>
  </si>
  <si>
    <t>Melting_Curves/meltCurve_Q8TAF3_WDR48.pdf</t>
  </si>
  <si>
    <t>Melting_Curves/meltCurve_Q8TAP6_CEP76.pdf</t>
  </si>
  <si>
    <t>Melting_Curves/meltCurve_Q8TAP8_PPP1R35.pdf</t>
  </si>
  <si>
    <t>Melting_Curves/meltCurve_Q8TAP9_MPLKIP.pdf</t>
  </si>
  <si>
    <t>Melting_Curves/meltCurve_Q8TAQ2_SMARCC2.pdf</t>
  </si>
  <si>
    <t>Melting_Curves/meltCurve_Q8TAT6_NPLOC4.pdf</t>
  </si>
  <si>
    <t>Melting_Curves/meltCurve_Q8TAV0_FAM76A.pdf</t>
  </si>
  <si>
    <t>Melting_Curves/meltCurve_Q8TB03_CXorf38.pdf</t>
  </si>
  <si>
    <t>Melting_Curves/meltCurve_Q8TB22_SPATA20.pdf</t>
  </si>
  <si>
    <t>Melting_Curves/meltCurve_Q8TB24_RIN3.pdf</t>
  </si>
  <si>
    <t>Melting_Curves/meltCurve_Q8TB37_NUBPL.pdf</t>
  </si>
  <si>
    <t>Melting_Curves/meltCurve_Q8TB40_ABHD4.pdf</t>
  </si>
  <si>
    <t>Melting_Curves/meltCurve_Q8TB52_FBXO30.pdf</t>
  </si>
  <si>
    <t>Melting_Curves/meltCurve_Q8TB72_3_PUM2.pdf</t>
  </si>
  <si>
    <t>Melting_Curves/meltCurve_Q8TBA6_2_GOLGA5.pdf</t>
  </si>
  <si>
    <t>Melting_Curves/meltCurve_Q8TBB5_3_KLHDC4.pdf</t>
  </si>
  <si>
    <t>Melting_Curves/meltCurve_Q8TBC4_UBA3.pdf</t>
  </si>
  <si>
    <t>Melting_Curves/meltCurve_Q8TBE9_NANP.pdf</t>
  </si>
  <si>
    <t>Melting_Curves/meltCurve_Q8TBF2_4_FAM213B.pdf</t>
  </si>
  <si>
    <t>Melting_Curves/meltCurve_Q8TBM8_DNAJB14.pdf</t>
  </si>
  <si>
    <t>Melting_Curves/meltCurve_Q8TBN0_RAB3IL1.pdf</t>
  </si>
  <si>
    <t>Melting_Curves/meltCurve_Q8TBX8_PIP4K2C.pdf</t>
  </si>
  <si>
    <t>Melting_Curves/meltCurve_Q8TBZ6_TRMT10A.pdf</t>
  </si>
  <si>
    <t>Melting_Curves/meltCurve_Q8TC07_2_TBC1D15.pdf</t>
  </si>
  <si>
    <t>Melting_Curves/meltCurve_Q8TCA0_LRRC20.pdf</t>
  </si>
  <si>
    <t>Melting_Curves/meltCurve_Q8TCD5_NT5C.pdf</t>
  </si>
  <si>
    <t>Melting_Curves/meltCurve_Q8TCE6_2_FAM45A.pdf</t>
  </si>
  <si>
    <t>Melting_Curves/meltCurve_Q8TCG1_KIAA1524.pdf</t>
  </si>
  <si>
    <t>Melting_Curves/meltCurve_Q8TCN5_ZNF507.pdf</t>
  </si>
  <si>
    <t>Melting_Curves/meltCurve_Q8TCS8_PNPT1.pdf</t>
  </si>
  <si>
    <t>Melting_Curves/meltCurve_Q8TCU4_3_ALMS1.pdf</t>
  </si>
  <si>
    <t>Melting_Curves/meltCurve_Q8TCU6_PREX1.pdf</t>
  </si>
  <si>
    <t>Melting_Curves/meltCurve_Q8TCX1_DYNC2LI1.pdf</t>
  </si>
  <si>
    <t>Melting_Curves/meltCurve_Q8TCY9_URGCP.pdf</t>
  </si>
  <si>
    <t>Melting_Curves/meltCurve_Q8TD08_2_MAPK15.pdf</t>
  </si>
  <si>
    <t>Melting_Curves/meltCurve_Q8TD16_BICD2.pdf</t>
  </si>
  <si>
    <t>Melting_Curves/meltCurve_Q8TD19_NEK9.pdf</t>
  </si>
  <si>
    <t>Melting_Curves/meltCurve_Q8TD30_GPT2.pdf</t>
  </si>
  <si>
    <t>Melting_Curves/meltCurve_Q8TD55_2_PLEKHO2.pdf</t>
  </si>
  <si>
    <t>Melting_Curves/meltCurve_Q8TDD1_DDX54.pdf</t>
  </si>
  <si>
    <t>Melting_Curves/meltCurve_Q8TDD1_2_DDX54.pdf</t>
  </si>
  <si>
    <t>Melting_Curves/meltCurve_Q8TDH9_BLOC1S5.pdf</t>
  </si>
  <si>
    <t>Melting_Curves/meltCurve_Q8TDJ6_DMXL2.pdf</t>
  </si>
  <si>
    <t>Melting_Curves/meltCurve_Q8TDM0_3_BCAS4.pdf</t>
  </si>
  <si>
    <t>Melting_Curves/meltCurve_Q8TDM6_DLG5.pdf</t>
  </si>
  <si>
    <t>Melting_Curves/meltCurve_Q8TDQ7_GNPDA2.pdf</t>
  </si>
  <si>
    <t>Melting_Curves/meltCurve_Q8TDR0_2_TRAF3IP1.pdf</t>
  </si>
  <si>
    <t>Melting_Curves/meltCurve_Q8TDX7_NEK7.pdf</t>
  </si>
  <si>
    <t>Melting_Curves/meltCurve_Q8TDY2_2_RB1CC1.pdf</t>
  </si>
  <si>
    <t>Melting_Curves/meltCurve_Q8TDZ2_MICAL1.pdf</t>
  </si>
  <si>
    <t>Melting_Curves/meltCurve_Q8TE04_PANK1.pdf</t>
  </si>
  <si>
    <t>Melting_Curves/meltCurve_Q8TE76_3_MORC4.pdf</t>
  </si>
  <si>
    <t>Melting_Curves/meltCurve_Q8TE77_SSH3.pdf</t>
  </si>
  <si>
    <t>Melting_Curves/meltCurve_Q8TEA1_NSUN6.pdf</t>
  </si>
  <si>
    <t>Melting_Curves/meltCurve_Q8TEA7_3_TBCK.pdf</t>
  </si>
  <si>
    <t>Melting_Curves/meltCurve_Q8TEA8_DTD1.pdf</t>
  </si>
  <si>
    <t>Melting_Curves/meltCurve_Q8TEB1_2_DCAF11.pdf</t>
  </si>
  <si>
    <t>Melting_Curves/meltCurve_Q8TEH3_DENND1A.pdf</t>
  </si>
  <si>
    <t>Melting_Curves/meltCurve_Q8TEK3_2_DOT1L.pdf</t>
  </si>
  <si>
    <t>Melting_Curves/meltCurve_Q8TEQ6_GEMIN5.pdf</t>
  </si>
  <si>
    <t>Melting_Curves/meltCurve_Q8TER5_ARHGEF40.pdf</t>
  </si>
  <si>
    <t>Melting_Curves/meltCurve_Q8TES7_5_FBF1.pdf</t>
  </si>
  <si>
    <t>Melting_Curves/meltCurve_Q8TEV9_SMCR8.pdf</t>
  </si>
  <si>
    <t>Melting_Curves/meltCurve_Q8TEW0_2_PARD3.pdf</t>
  </si>
  <si>
    <t>Melting_Curves/meltCurve_Q8TEX9_IPO4.pdf</t>
  </si>
  <si>
    <t>Melting_Curves/meltCurve_Q8TF01_PNISR.pdf</t>
  </si>
  <si>
    <t>Melting_Curves/meltCurve_Q8TF05_2_PPP4R1.pdf</t>
  </si>
  <si>
    <t>Melting_Curves/meltCurve_Q8TF42_UBASH3B.pdf</t>
  </si>
  <si>
    <t>Melting_Curves/meltCurve_Q8TF71_SLC16A10.pdf</t>
  </si>
  <si>
    <t>Melting_Curves/meltCurve_Q8TF72_SHROOM3.pdf</t>
  </si>
  <si>
    <t>Melting_Curves/meltCurve_Q8TF74_WIPF2.pdf</t>
  </si>
  <si>
    <t>Melting_Curves/meltCurve_Q8WTS6_SETD7.pdf</t>
  </si>
  <si>
    <t>Melting_Curves/meltCurve_Q8WTW3_COG1.pdf</t>
  </si>
  <si>
    <t>Melting_Curves/meltCurve_Q8WU20_FRS2.pdf</t>
  </si>
  <si>
    <t>Melting_Curves/meltCurve_Q8WU58_FAM222B.pdf</t>
  </si>
  <si>
    <t>Melting_Curves/meltCurve_Q8WU79_2_SMAP2.pdf</t>
  </si>
  <si>
    <t>Melting_Curves/meltCurve_Q8WU90_ZC3H15.pdf</t>
  </si>
  <si>
    <t>Melting_Curves/meltCurve_Q8WUA2_PPIL4.pdf</t>
  </si>
  <si>
    <t>Melting_Curves/meltCurve_Q8WUA4_GTF3C2.pdf</t>
  </si>
  <si>
    <t>Melting_Curves/meltCurve_Q8WUA8_TSKU.pdf</t>
  </si>
  <si>
    <t>Melting_Curves/meltCurve_Q8WUB8_3_PHF10.pdf</t>
  </si>
  <si>
    <t>Melting_Curves/meltCurve_Q8WUD1_RAB2B.pdf</t>
  </si>
  <si>
    <t>Melting_Curves/meltCurve_Q8WUD4_CCDC12.pdf</t>
  </si>
  <si>
    <t>Melting_Curves/meltCurve_Q8WUF5_PPP1R13L.pdf</t>
  </si>
  <si>
    <t>Melting_Curves/meltCurve_Q8WUF8_FAM172A.pdf</t>
  </si>
  <si>
    <t>Melting_Curves/meltCurve_Q8WUH1_CHURC1.pdf</t>
  </si>
  <si>
    <t>Melting_Curves/meltCurve_Q8WUH2_TGFBRAP1.pdf</t>
  </si>
  <si>
    <t>Melting_Curves/meltCurve_Q8WUH6_C12orf23.pdf</t>
  </si>
  <si>
    <t>Melting_Curves/meltCurve_Q8WUI4_3_HDAC7.pdf</t>
  </si>
  <si>
    <t>Melting_Curves/meltCurve_Q8WUJ0_STYX.pdf</t>
  </si>
  <si>
    <t>Melting_Curves/meltCurve_Q8WUM0_NUP133.pdf</t>
  </si>
  <si>
    <t>Melting_Curves/meltCurve_Q8WUM4_PDCD6IP.pdf</t>
  </si>
  <si>
    <t>Melting_Curves/meltCurve_Q8WUN7_UBTD2.pdf</t>
  </si>
  <si>
    <t>Melting_Curves/meltCurve_Q8WUP2_FBLIM1.pdf</t>
  </si>
  <si>
    <t>Melting_Curves/meltCurve_Q8WUR7_C15orf40.pdf</t>
  </si>
  <si>
    <t>Melting_Curves/meltCurve_Q8WUW1_BRK1.pdf</t>
  </si>
  <si>
    <t>Melting_Curves/meltCurve_Q8WUX2_CHAC2.pdf</t>
  </si>
  <si>
    <t>Melting_Curves/meltCurve_Q8WUX9_CHMP7.pdf</t>
  </si>
  <si>
    <t>Melting_Curves/meltCurve_Q8WUZ0_BCL7C.pdf</t>
  </si>
  <si>
    <t>Melting_Curves/meltCurve_Q8WV22_NSMCE1.pdf</t>
  </si>
  <si>
    <t>Melting_Curves/meltCurve_Q8WV41_SNX33.pdf</t>
  </si>
  <si>
    <t>Melting_Curves/meltCurve_Q8WV74_NUDT8.pdf</t>
  </si>
  <si>
    <t>Melting_Curves/meltCurve_Q8WV92_MITD1.pdf</t>
  </si>
  <si>
    <t>Melting_Curves/meltCurve_Q8WVB3_HEXDC.pdf</t>
  </si>
  <si>
    <t>Melting_Curves/meltCurve_Q8WVB6_CHTF18.pdf</t>
  </si>
  <si>
    <t>Melting_Curves/meltCurve_Q8WVC0_LEO1.pdf</t>
  </si>
  <si>
    <t>Melting_Curves/meltCurve_Q8WVC2_RPS21.pdf</t>
  </si>
  <si>
    <t>Melting_Curves/meltCurve_Q8WVD3_RNF138.pdf</t>
  </si>
  <si>
    <t>Melting_Curves/meltCurve_Q8WVJ2_NUDCD2.pdf</t>
  </si>
  <si>
    <t>Melting_Curves/meltCurve_Q8WVK2_SNRNP27.pdf</t>
  </si>
  <si>
    <t>Melting_Curves/meltCurve_Q8WVM0_TFB1M.pdf</t>
  </si>
  <si>
    <t>Melting_Curves/meltCurve_Q8WVM8_SCFD1.pdf</t>
  </si>
  <si>
    <t>Melting_Curves/meltCurve_Q8WVP5_TNFAIP8L1.pdf</t>
  </si>
  <si>
    <t>Melting_Curves/meltCurve_Q8WVS4_WDR60.pdf</t>
  </si>
  <si>
    <t>Melting_Curves/meltCurve_Q8WVT3_TRAPPC12.pdf</t>
  </si>
  <si>
    <t>Melting_Curves/meltCurve_Q8WVV4_POF1B.pdf</t>
  </si>
  <si>
    <t>Melting_Curves/meltCurve_Q8WVV9_4_HNRPLL.pdf</t>
  </si>
  <si>
    <t>Melting_Curves/meltCurve_Q8WVY7_UBLCP1.pdf</t>
  </si>
  <si>
    <t>Melting_Curves/meltCurve_Q8WW01_TSEN15.pdf</t>
  </si>
  <si>
    <t>Melting_Curves/meltCurve_Q8WW12_PCNP.pdf</t>
  </si>
  <si>
    <t>Melting_Curves/meltCurve_Q8WW35_TCTEX1D2.pdf</t>
  </si>
  <si>
    <t>Melting_Curves/meltCurve_Q8WW59_SPRYD4.pdf</t>
  </si>
  <si>
    <t>Melting_Curves/meltCurve_Q8WWH5_TRUB1.pdf</t>
  </si>
  <si>
    <t>Melting_Curves/meltCurve_Q8WWM7_ATXN2L.pdf</t>
  </si>
  <si>
    <t>Melting_Curves/meltCurve_Q8WWN8_ARAP3.pdf</t>
  </si>
  <si>
    <t>Melting_Curves/meltCurve_Q8WWV3_RTN4IP1.pdf</t>
  </si>
  <si>
    <t>Melting_Curves/meltCurve_Q8WWX9_SELM.pdf</t>
  </si>
  <si>
    <t>Melting_Curves/meltCurve_Q8WWY3_PRPF31.pdf</t>
  </si>
  <si>
    <t>Melting_Curves/meltCurve_Q8WWZ3_2_EDARADD.pdf</t>
  </si>
  <si>
    <t>Melting_Curves/meltCurve_Q8WX92_NELFB.pdf</t>
  </si>
  <si>
    <t>Melting_Curves/meltCurve_Q8WX93_3_PALLD.pdf</t>
  </si>
  <si>
    <t>Melting_Curves/meltCurve_Q8WXA3_2_RUFY2.pdf</t>
  </si>
  <si>
    <t>Melting_Curves/meltCurve_Q8WXA9_2_SREK1.pdf</t>
  </si>
  <si>
    <t>Melting_Curves/meltCurve_Q8WXB1_METTL21A.pdf</t>
  </si>
  <si>
    <t>Melting_Curves/meltCurve_Q8WXD5_GEMIN6.pdf</t>
  </si>
  <si>
    <t>Melting_Curves/meltCurve_Q8WXE0_CASKIN2.pdf</t>
  </si>
  <si>
    <t>Melting_Curves/meltCurve_Q8WXE1_2_ATRIP.pdf</t>
  </si>
  <si>
    <t>Melting_Curves/meltCurve_Q8WXF1_PSPC1.pdf</t>
  </si>
  <si>
    <t>Melting_Curves/meltCurve_Q8WXI2_5_CNKSR2.pdf</t>
  </si>
  <si>
    <t>Melting_Curves/meltCurve_Q8WXI4_2_ACOT11.pdf</t>
  </si>
  <si>
    <t>Melting_Curves/meltCurve_Q8WXI9_GATAD2B.pdf</t>
  </si>
  <si>
    <t>Melting_Curves/meltCurve_Q8WXW3_PIBF1.pdf</t>
  </si>
  <si>
    <t>Melting_Curves/meltCurve_Q8WXX5_DNAJC9.pdf</t>
  </si>
  <si>
    <t>Melting_Curves/meltCurve_Q8WYA0_IFT81.pdf</t>
  </si>
  <si>
    <t>Melting_Curves/meltCurve_Q8WYA6_CTNNBL1.pdf</t>
  </si>
  <si>
    <t>Melting_Curves/meltCurve_Q8WYL5_SSH1.pdf</t>
  </si>
  <si>
    <t>Melting_Curves/meltCurve_Q8WYP3_RIN2.pdf</t>
  </si>
  <si>
    <t>Melting_Curves/meltCurve_Q8WYP5_AHCTF1.pdf</t>
  </si>
  <si>
    <t>Melting_Curves/meltCurve_Q8WZ73_3_RFFL.pdf</t>
  </si>
  <si>
    <t>Melting_Curves/meltCurve_Q8WZ82_OVCA2.pdf</t>
  </si>
  <si>
    <t>Melting_Curves/meltCurve_Q8WZA0_LZIC.pdf</t>
  </si>
  <si>
    <t>Melting_Curves/meltCurve_Q8WZA9_IRGQ.pdf</t>
  </si>
  <si>
    <t>Melting_Curves/meltCurve_Q92466_DDB2.pdf</t>
  </si>
  <si>
    <t>Melting_Curves/meltCurve_Q92499_DDX1.pdf</t>
  </si>
  <si>
    <t>Melting_Curves/meltCurve_Q92503_3_SEC14L1.pdf</t>
  </si>
  <si>
    <t>Melting_Curves/meltCurve_Q92506_HSD17B8.pdf</t>
  </si>
  <si>
    <t>Melting_Curves/meltCurve_Q92522_H1FX.pdf</t>
  </si>
  <si>
    <t>Melting_Curves/meltCurve_Q92526_CCT6B.pdf</t>
  </si>
  <si>
    <t>Melting_Curves/meltCurve_Q92538_GBF1.pdf</t>
  </si>
  <si>
    <t>Melting_Curves/meltCurve_Q92540_2_SMG7.pdf</t>
  </si>
  <si>
    <t>Melting_Curves/meltCurve_Q92541_RTF1.pdf</t>
  </si>
  <si>
    <t>Melting_Curves/meltCurve_Q92545_TMEM131.pdf</t>
  </si>
  <si>
    <t>Melting_Curves/meltCurve_Q92547_TOPBP1.pdf</t>
  </si>
  <si>
    <t>Melting_Curves/meltCurve_Q92552_MRPS27.pdf</t>
  </si>
  <si>
    <t>Melting_Curves/meltCurve_Q92558_WASF1.pdf</t>
  </si>
  <si>
    <t>Melting_Curves/meltCurve_Q92567_2_FAM168A.pdf</t>
  </si>
  <si>
    <t>Melting_Curves/meltCurve_Q92572_AP3S1.pdf</t>
  </si>
  <si>
    <t>Melting_Curves/meltCurve_Q92575_UBXN4.pdf</t>
  </si>
  <si>
    <t>Melting_Curves/meltCurve_Q92576_2_PHF3.pdf</t>
  </si>
  <si>
    <t>Melting_Curves/meltCurve_Q92585_MAML1.pdf</t>
  </si>
  <si>
    <t>Melting_Curves/meltCurve_Q92597_NDRG1.pdf</t>
  </si>
  <si>
    <t>Melting_Curves/meltCurve_Q92598_2_HSPH1.pdf</t>
  </si>
  <si>
    <t>Melting_Curves/meltCurve_Q92599_2_SEPT8.pdf</t>
  </si>
  <si>
    <t>Melting_Curves/meltCurve_Q92600_RQCD1.pdf</t>
  </si>
  <si>
    <t>Melting_Curves/meltCurve_Q92609_TBC1D5.pdf</t>
  </si>
  <si>
    <t>Melting_Curves/meltCurve_Q92610_ZNF592.pdf</t>
  </si>
  <si>
    <t>Melting_Curves/meltCurve_Q92614_3_MYO18A.pdf</t>
  </si>
  <si>
    <t>Melting_Curves/meltCurve_Q92615_LARP4B.pdf</t>
  </si>
  <si>
    <t>Melting_Curves/meltCurve_Q92616_GCN1L1.pdf</t>
  </si>
  <si>
    <t>Melting_Curves/meltCurve_Q92620_DHX38.pdf</t>
  </si>
  <si>
    <t>Melting_Curves/meltCurve_Q92621_NUP205.pdf</t>
  </si>
  <si>
    <t>Melting_Curves/meltCurve_Q92623_TTC9.pdf</t>
  </si>
  <si>
    <t>Melting_Curves/meltCurve_Q92624_APPBP2.pdf</t>
  </si>
  <si>
    <t>Melting_Curves/meltCurve_Q92625_ANKS1A.pdf</t>
  </si>
  <si>
    <t>Melting_Curves/meltCurve_Q92629_3_SGCD.pdf</t>
  </si>
  <si>
    <t>Melting_Curves/meltCurve_Q92636_NSMAF.pdf</t>
  </si>
  <si>
    <t>Melting_Curves/meltCurve_Q92664_2_GTF3A.pdf</t>
  </si>
  <si>
    <t>Melting_Curves/meltCurve_Q92665_MRPS31.pdf</t>
  </si>
  <si>
    <t>Melting_Curves/meltCurve_Q92667_AKAP1.pdf</t>
  </si>
  <si>
    <t>Melting_Curves/meltCurve_Q92686_NRGN.pdf</t>
  </si>
  <si>
    <t>Melting_Curves/meltCurve_Q92688_2_ANP32B.pdf</t>
  </si>
  <si>
    <t>Melting_Curves/meltCurve_Q92692_PVRL2.pdf</t>
  </si>
  <si>
    <t>Melting_Curves/meltCurve_Q92696_RABGGTA.pdf</t>
  </si>
  <si>
    <t>Melting_Curves/meltCurve_Q92734_2_TFG.pdf</t>
  </si>
  <si>
    <t>Melting_Curves/meltCurve_Q92738_USP6NL.pdf</t>
  </si>
  <si>
    <t>Melting_Curves/meltCurve_Q92747_ARPC1A.pdf</t>
  </si>
  <si>
    <t>Melting_Curves/meltCurve_Q92783_2_STAM.pdf</t>
  </si>
  <si>
    <t>Melting_Curves/meltCurve_Q92785_DPF2.pdf</t>
  </si>
  <si>
    <t>Melting_Curves/meltCurve_Q92793_CREBBP.pdf</t>
  </si>
  <si>
    <t>Melting_Curves/meltCurve_Q92797_SYMPK.pdf</t>
  </si>
  <si>
    <t>Melting_Curves/meltCurve_Q92804_2_TAF15.pdf</t>
  </si>
  <si>
    <t>Melting_Curves/meltCurve_Q92805_GOLGA1.pdf</t>
  </si>
  <si>
    <t>Melting_Curves/meltCurve_Q92817_EVPL.pdf</t>
  </si>
  <si>
    <t>Melting_Curves/meltCurve_Q92820_GGH.pdf</t>
  </si>
  <si>
    <t>Melting_Curves/meltCurve_Q92834_4_RPGR.pdf</t>
  </si>
  <si>
    <t>Melting_Curves/meltCurve_Q92841_DDX17.pdf</t>
  </si>
  <si>
    <t>Melting_Curves/meltCurve_Q92843_2_BCL2L2.pdf</t>
  </si>
  <si>
    <t>Melting_Curves/meltCurve_Q92844_TANK.pdf</t>
  </si>
  <si>
    <t>Melting_Curves/meltCurve_Q92845_2_KIFAP3.pdf</t>
  </si>
  <si>
    <t>Melting_Curves/meltCurve_Q92851_4_CASP10.pdf</t>
  </si>
  <si>
    <t>Melting_Curves/meltCurve_Q92859_3_NEO1.pdf</t>
  </si>
  <si>
    <t>Melting_Curves/meltCurve_Q92871_PMM1.pdf</t>
  </si>
  <si>
    <t>Melting_Curves/meltCurve_Q92878_RAD50.pdf</t>
  </si>
  <si>
    <t>Melting_Curves/meltCurve_Q92879_2_CELF1.pdf</t>
  </si>
  <si>
    <t>Melting_Curves/meltCurve_Q92882_OSTF1.pdf</t>
  </si>
  <si>
    <t>Melting_Curves/meltCurve_Q92889_ERCC4.pdf</t>
  </si>
  <si>
    <t>Melting_Curves/meltCurve_Q92890_UFD1L.pdf</t>
  </si>
  <si>
    <t>Melting_Curves/meltCurve_Q92900_UPF1.pdf</t>
  </si>
  <si>
    <t>Melting_Curves/meltCurve_Q92902_2_HPS1.pdf</t>
  </si>
  <si>
    <t>Melting_Curves/meltCurve_Q92905_COPS5.pdf</t>
  </si>
  <si>
    <t>Melting_Curves/meltCurve_Q92917_GPKOW.pdf</t>
  </si>
  <si>
    <t>Melting_Curves/meltCurve_Q92922_SMARCC1.pdf</t>
  </si>
  <si>
    <t>Melting_Curves/meltCurve_Q92930_RAB8B.pdf</t>
  </si>
  <si>
    <t>Melting_Curves/meltCurve_Q92934_BAD.pdf</t>
  </si>
  <si>
    <t>Melting_Curves/meltCurve_Q92945_KHSRP.pdf</t>
  </si>
  <si>
    <t>Melting_Curves/meltCurve_Q92947_GCDH.pdf</t>
  </si>
  <si>
    <t>Melting_Curves/meltCurve_Q92963_2_RIT1.pdf</t>
  </si>
  <si>
    <t>Melting_Curves/meltCurve_Q92973_2_TNPO1.pdf</t>
  </si>
  <si>
    <t>Melting_Curves/meltCurve_Q92974_3_ARHGEF2.pdf</t>
  </si>
  <si>
    <t>Melting_Curves/meltCurve_Q92979_EMG1.pdf</t>
  </si>
  <si>
    <t>Melting_Curves/meltCurve_Q92989_2_CLP1.pdf</t>
  </si>
  <si>
    <t>Melting_Curves/meltCurve_Q92990_GLMN.pdf</t>
  </si>
  <si>
    <t>Melting_Curves/meltCurve_Q92994_5_BRF1.pdf</t>
  </si>
  <si>
    <t>Melting_Curves/meltCurve_Q92995_2_USP13.pdf</t>
  </si>
  <si>
    <t>Melting_Curves/meltCurve_Q93008_USP9X.pdf</t>
  </si>
  <si>
    <t>Melting_Curves/meltCurve_Q93034_CUL5.pdf</t>
  </si>
  <si>
    <t>Melting_Curves/meltCurve_Q93052_LPP.pdf</t>
  </si>
  <si>
    <t>Melting_Curves/meltCurve_Q93062_4_RBPMS.pdf</t>
  </si>
  <si>
    <t>Melting_Curves/meltCurve_Q93073_2_SECISBP2L.pdf</t>
  </si>
  <si>
    <t>Melting_Curves/meltCurve_Q93074_3_MED12.pdf</t>
  </si>
  <si>
    <t>Melting_Curves/meltCurve_Q93077_HIST1H2AC.pdf</t>
  </si>
  <si>
    <t>Melting_Curves/meltCurve_Q93096_PTP4A1.pdf</t>
  </si>
  <si>
    <t>Melting_Curves/meltCurve_Q93099_HGD.pdf</t>
  </si>
  <si>
    <t>Melting_Curves/meltCurve_Q93100_4_PHKB.pdf</t>
  </si>
  <si>
    <t>Melting_Curves/meltCurve_Q969E4_TCEAL3.pdf</t>
  </si>
  <si>
    <t>Melting_Curves/meltCurve_Q969E8_TSR2.pdf</t>
  </si>
  <si>
    <t>Melting_Curves/meltCurve_Q969F9_HPS3.pdf</t>
  </si>
  <si>
    <t>Melting_Curves/meltCurve_Q969G3_2_SMARCE1.pdf</t>
  </si>
  <si>
    <t>Melting_Curves/meltCurve_Q969G6_RFK.pdf</t>
  </si>
  <si>
    <t>Melting_Curves/meltCurve_Q969H6_2_POP5.pdf</t>
  </si>
  <si>
    <t>Melting_Curves/meltCurve_Q969H8_C19orf10.pdf</t>
  </si>
  <si>
    <t>Melting_Curves/meltCurve_Q969K3_RNF34.pdf</t>
  </si>
  <si>
    <t>Melting_Curves/meltCurve_Q969M3_YIPF5.pdf</t>
  </si>
  <si>
    <t>Melting_Curves/meltCurve_Q969Q0_RPL36AL.pdf</t>
  </si>
  <si>
    <t>Melting_Curves/meltCurve_Q969R8_ITFG2.pdf</t>
  </si>
  <si>
    <t>Melting_Curves/meltCurve_Q969S3_ZNF622.pdf</t>
  </si>
  <si>
    <t>Melting_Curves/meltCurve_Q969S9_3_GFM2.pdf</t>
  </si>
  <si>
    <t>Melting_Curves/meltCurve_Q969T7_2_NT5C3B.pdf</t>
  </si>
  <si>
    <t>Melting_Curves/meltCurve_Q969U6_FBXW5.pdf</t>
  </si>
  <si>
    <t>Melting_Curves/meltCurve_Q969U7_PSMG2.pdf</t>
  </si>
  <si>
    <t>Melting_Curves/meltCurve_Q969V5_MUL1.pdf</t>
  </si>
  <si>
    <t>Melting_Curves/meltCurve_Q969W3_2_FAM104A.pdf</t>
  </si>
  <si>
    <t>Melting_Curves/meltCurve_Q969X6_CIRH1A.pdf</t>
  </si>
  <si>
    <t>Melting_Curves/meltCurve_Q969Y2_3_GTPBP3.pdf</t>
  </si>
  <si>
    <t>Melting_Curves/meltCurve_Q969Z0_TBRG4.pdf</t>
  </si>
  <si>
    <t>Melting_Curves/meltCurve_Q96A00_PPP1R14A.pdf</t>
  </si>
  <si>
    <t>Melting_Curves/meltCurve_Q96A19_CCDC102A.pdf</t>
  </si>
  <si>
    <t>Melting_Curves/meltCurve_Q96A37_3_RNF166.pdf</t>
  </si>
  <si>
    <t>Melting_Curves/meltCurve_Q96A46_SLC25A28.pdf</t>
  </si>
  <si>
    <t>Melting_Curves/meltCurve_Q96A49_SYAP1.pdf</t>
  </si>
  <si>
    <t>Melting_Curves/meltCurve_Q96A65_EXOC4.pdf</t>
  </si>
  <si>
    <t>Melting_Curves/meltCurve_Q96A72_MAGOHB.pdf</t>
  </si>
  <si>
    <t>Melting_Curves/meltCurve_Q96A73_KIAA1191.pdf</t>
  </si>
  <si>
    <t>Melting_Curves/meltCurve_Q96AB3_ISOC2.pdf</t>
  </si>
  <si>
    <t>Melting_Curves/meltCurve_Q96AB6_NTAN1.pdf</t>
  </si>
  <si>
    <t>Melting_Curves/meltCurve_Q96AC1_FERMT2.pdf</t>
  </si>
  <si>
    <t>Melting_Curves/meltCurve_Q96AE4_FUBP1.pdf</t>
  </si>
  <si>
    <t>Melting_Curves/meltCurve_Q96AE4_2_FUBP1.pdf</t>
  </si>
  <si>
    <t>Melting_Curves/meltCurve_Q96AG4_LRRC59.pdf</t>
  </si>
  <si>
    <t>Melting_Curves/meltCurve_Q96AJ9_1_VTI1A.pdf</t>
  </si>
  <si>
    <t>Melting_Curves/meltCurve_Q96AP0_2_ACD.pdf</t>
  </si>
  <si>
    <t>Melting_Curves/meltCurve_Q96AT1_KIAA1143.pdf</t>
  </si>
  <si>
    <t>Melting_Curves/meltCurve_Q96AT9_RPE.pdf</t>
  </si>
  <si>
    <t>Melting_Curves/meltCurve_Q96AX1_VPS33A.pdf</t>
  </si>
  <si>
    <t>Melting_Curves/meltCurve_Q96AY2_EME1.pdf</t>
  </si>
  <si>
    <t>Melting_Curves/meltCurve_Q96AY3_FKBP10.pdf</t>
  </si>
  <si>
    <t>Melting_Curves/meltCurve_Q96AY4_TTC28.pdf</t>
  </si>
  <si>
    <t>Melting_Curves/meltCurve_Q96B01_2_RAD51AP1.pdf</t>
  </si>
  <si>
    <t>Melting_Curves/meltCurve_Q96B02_2_UBE2W.pdf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</si>
  <si>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</si>
  <si>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</si>
  <si>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</si>
  <si>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</si>
  <si>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Melting_Curves/meltCurve_Q96B97_SH3KBP1.pdf</t>
  </si>
  <si>
    <t>Melting_Curves/meltCurve_Q96BD5_2_PHF21A.pdf</t>
  </si>
  <si>
    <t>Melting_Curves/meltCurve_Q96BF6_NACC2.pdf</t>
  </si>
  <si>
    <t>Melting_Curves/meltCurve_Q96BH1_RNF25.pdf</t>
  </si>
  <si>
    <t>Melting_Curves/meltCurve_Q96BJ3_AIDA.pdf</t>
  </si>
  <si>
    <t>Melting_Curves/meltCurve_Q96BK5_PINX1.pdf</t>
  </si>
  <si>
    <t>Melting_Curves/meltCurve_Q96BN8_FAM105B.pdf</t>
  </si>
  <si>
    <t>Melting_Curves/meltCurve_Q96BP2_CHCHD1.pdf</t>
  </si>
  <si>
    <t>Melting_Curves/meltCurve_Q96BP3_PPWD1.pdf</t>
  </si>
  <si>
    <t>Melting_Curves/meltCurve_Q96BR5_SELRC1.pdf</t>
  </si>
  <si>
    <t>Melting_Curves/meltCurve_Q96BS2_TESC.pdf</t>
  </si>
  <si>
    <t>Melting_Curves/meltCurve_Q96BT7_ALKBH8.pdf</t>
  </si>
  <si>
    <t>Melting_Curves/meltCurve_Q96BW1_UPRT.pdf</t>
  </si>
  <si>
    <t>Melting_Curves/meltCurve_Q96BW5_2_PTER.pdf</t>
  </si>
  <si>
    <t>Melting_Curves/meltCurve_Q96BX8_MOB3A.pdf</t>
  </si>
  <si>
    <t>Melting_Curves/meltCurve_Q96BY6_DOCK10.pdf</t>
  </si>
  <si>
    <t>Melting_Curves/meltCurve_Q96BY7_ATG2B.pdf</t>
  </si>
  <si>
    <t>Melting_Curves/meltCurve_Q96BZ8_LENG1.pdf</t>
  </si>
  <si>
    <t>Melting_Curves/meltCurve_Q96C01_FAM136A.pdf</t>
  </si>
  <si>
    <t>Melting_Curves/meltCurve_Q96C19_EFHD2.pdf</t>
  </si>
  <si>
    <t>Melting_Curves/meltCurve_Q96C23_GALM.pdf</t>
  </si>
  <si>
    <t>Melting_Curves/meltCurve_Q96C24_SYTL4.pdf</t>
  </si>
  <si>
    <t>Melting_Curves/meltCurve_Q96C34_2_RUNDC1.pdf</t>
  </si>
  <si>
    <t>Melting_Curves/meltCurve_Q96C36_PYCR2.pdf</t>
  </si>
  <si>
    <t>Melting_Curves/meltCurve_Q96C57_C12orf43.pdf</t>
  </si>
  <si>
    <t>Melting_Curves/meltCurve_Q96C86_DCPS.pdf</t>
  </si>
  <si>
    <t>Melting_Curves/meltCurve_Q96C90_PPP1R14B.pdf</t>
  </si>
  <si>
    <t>Melting_Curves/meltCurve_Q96CB8_INTS12.pdf</t>
  </si>
  <si>
    <t>Melting_Curves/meltCurve_Q96CD0_FBXL8.pdf</t>
  </si>
  <si>
    <t>Melting_Curves/meltCurve_Q96CD2_PPCDC.pdf</t>
  </si>
  <si>
    <t>Melting_Curves/meltCurve_Q96CF2_CHMP4C.pdf</t>
  </si>
  <si>
    <t>Melting_Curves/meltCurve_Q96CG3_TIFA.pdf</t>
  </si>
  <si>
    <t>Melting_Curves/meltCurve_Q96CN5_LRRC45.pdf</t>
  </si>
  <si>
    <t>Melting_Curves/meltCurve_Q96CN7_ISOC1.pdf</t>
  </si>
  <si>
    <t>Melting_Curves/meltCurve_Q96CN9_GCC1.pdf</t>
  </si>
  <si>
    <t>Melting_Curves/meltCurve_Q96CP2_FLYWCH2.pdf</t>
  </si>
  <si>
    <t>Melting_Curves/meltCurve_Q96CP6_2_GRAMD1A.pdf</t>
  </si>
  <si>
    <t>Melting_Curves/meltCurve_Q96CS2_HAUS1.pdf</t>
  </si>
  <si>
    <t>Melting_Curves/meltCurve_Q96CS3_FAF2.pdf</t>
  </si>
  <si>
    <t>Melting_Curves/meltCurve_Q96CT7_CCDC124.pdf</t>
  </si>
  <si>
    <t>Melting_Curves/meltCurve_Q96CV9_OPTN.pdf</t>
  </si>
  <si>
    <t>Melting_Curves/meltCurve_Q96CW1_2_AP2M1.pdf</t>
  </si>
  <si>
    <t>Melting_Curves/meltCurve_Q96CW5_2_TUBGCP3.pdf</t>
  </si>
  <si>
    <t>Melting_Curves/meltCurve_Q96CW6_SLC7A6OS.pdf</t>
  </si>
  <si>
    <t>Melting_Curves/meltCurve_Q96CX2_KCTD12.pdf</t>
  </si>
  <si>
    <t>Melting_Curves/meltCurve_Q96CX6_LRRC58.pdf</t>
  </si>
  <si>
    <t>Melting_Curves/meltCurve_Q96D09_GPRASP2.pdf</t>
  </si>
  <si>
    <t>Melting_Curves/meltCurve_Q96D46_NMD3.pdf</t>
  </si>
  <si>
    <t>Melting_Curves/meltCurve_Q96D53_ADCK4.pdf</t>
  </si>
  <si>
    <t>Melting_Curves/meltCurve_Q96D71_3_REPS1.pdf</t>
  </si>
  <si>
    <t>Melting_Curves/meltCurve_Q96DB5_RMDN1.pdf</t>
  </si>
  <si>
    <t>Melting_Curves/meltCurve_Q96DC7_TMCO6.pdf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</si>
  <si>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</si>
  <si>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</si>
  <si>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</si>
  <si>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</si>
  <si>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Melting_Curves/meltCurve_Q96DI7_SNRNP40.pdf</t>
  </si>
  <si>
    <t>Melting_Curves/meltCurve_Q96DR7_ARHGEF26.pdf</t>
  </si>
  <si>
    <t>Melting_Curves/meltCurve_Q96DT0_3_LGALS12.pdf</t>
  </si>
  <si>
    <t>Melting_Curves/meltCurve_Q96DT7_2_ZBTB10.pdf</t>
  </si>
  <si>
    <t>Melting_Curves/meltCurve_Q96DU7_ITPKC.pdf</t>
  </si>
  <si>
    <t>Melting_Curves/meltCurve_Q96DV4_MRPL38.pdf</t>
  </si>
  <si>
    <t>Melting_Curves/meltCurve_Q96DX4_RSPRY1.pdf</t>
  </si>
  <si>
    <t>Melting_Curves/meltCurve_Q96DX5_ASB9.pdf</t>
  </si>
  <si>
    <t>Melting_Curves/meltCurve_Q96DX5_2_ASB9.pdf</t>
  </si>
  <si>
    <t>Melting_Curves/meltCurve_Q96DX7_TRIM44.pdf</t>
  </si>
  <si>
    <t>Melting_Curves/meltCurve_Q96DZ1_2_ERLEC1.pdf</t>
  </si>
  <si>
    <t>Melting_Curves/meltCurve_Q96E09_FAM122A.pdf</t>
  </si>
  <si>
    <t>Melting_Curves/meltCurve_Q96E11_3_MRRF.pdf</t>
  </si>
  <si>
    <t>Melting_Curves/meltCurve_Q96E14_RMI2.pdf</t>
  </si>
  <si>
    <t>Melting_Curves/meltCurve_Q96EA4_SPDL1.pdf</t>
  </si>
  <si>
    <t>Melting_Curves/meltCurve_Q96EB1_ELP4.pdf</t>
  </si>
  <si>
    <t>Melting_Curves/meltCurve_Q96EB6_SIRT1.pdf</t>
  </si>
  <si>
    <t>Melting_Curves/meltCurve_Q96ED9_2_HOOK2.pdf</t>
  </si>
  <si>
    <t>Melting_Curves/meltCurve_Q96EE3_SEH1L.pdf</t>
  </si>
  <si>
    <t>Melting_Curves/meltCurve_Q96EF6_FBXO17.pdf</t>
  </si>
  <si>
    <t>Melting_Curves/meltCurve_Q96EH3_MALSU1.pdf</t>
  </si>
  <si>
    <t>Melting_Curves/meltCurve_Q96EI5_TCEAL4.pdf</t>
  </si>
  <si>
    <t>Melting_Curves/meltCurve_Q96EK4_THAP11.pdf</t>
  </si>
  <si>
    <t>Melting_Curves/meltCurve_Q96EK5_KIAA1279.pdf</t>
  </si>
  <si>
    <t>Melting_Curves/meltCurve_Q96EK6_GNPNAT1.pdf</t>
  </si>
  <si>
    <t>Melting_Curves/meltCurve_Q96EK7_FAM120B.pdf</t>
  </si>
  <si>
    <t>Melting_Curves/meltCurve_Q96EK9_KTI12.pdf</t>
  </si>
  <si>
    <t>Melting_Curves/meltCurve_Q96EL3_MRPL53.pdf</t>
  </si>
  <si>
    <t>Melting_Curves/meltCurve_Q96EM0_L3HYPDH.pdf</t>
  </si>
  <si>
    <t>Melting_Curves/meltCurve_Q96EN8_MOCOS.pdf</t>
  </si>
  <si>
    <t>Melting_Curves/meltCurve_Q96EP0_RNF31.pdf</t>
  </si>
  <si>
    <t>Melting_Curves/meltCurve_Q96EP1_2_CHFR.pdf</t>
  </si>
  <si>
    <t>Melting_Curves/meltCurve_Q96EP5_DAZAP1.pdf</t>
  </si>
  <si>
    <t>Melting_Curves/meltCurve_Q96EQ0_SGTB.pdf</t>
  </si>
  <si>
    <t>Melting_Curves/meltCurve_Q96ER3_SAAL1.pdf</t>
  </si>
  <si>
    <t>Melting_Curves/meltCurve_Q96ES7_CCDC101.pdf</t>
  </si>
  <si>
    <t>Melting_Curves/meltCurve_Q96EV2_RBM33.pdf</t>
  </si>
  <si>
    <t>Melting_Curves/meltCurve_Q96EV8_DTNBP1.pdf</t>
  </si>
  <si>
    <t>Melting_Curves/meltCurve_Q96EW2_HSPBAP1.pdf</t>
  </si>
  <si>
    <t>Melting_Curves/meltCurve_Q96EX3_WDR34.pdf</t>
  </si>
  <si>
    <t>Melting_Curves/meltCurve_Q96EY1_2_DNAJA3.pdf</t>
  </si>
  <si>
    <t>Melting_Curves/meltCurve_Q96EY4_TMA16.pdf</t>
  </si>
  <si>
    <t>Melting_Curves/meltCurve_Q96EY5_3_MVB12A.pdf</t>
  </si>
  <si>
    <t>Melting_Curves/meltCurve_Q96EY7_PTCD3.pdf</t>
  </si>
  <si>
    <t>Melting_Curves/meltCurve_Q96EY8_MMAB.pdf</t>
  </si>
  <si>
    <t>Melting_Curves/meltCurve_Q96EY9_ADAT3.pdf</t>
  </si>
  <si>
    <t>Melting_Curves/meltCurve_Q96F24_NRBF2.pdf</t>
  </si>
  <si>
    <t>Melting_Curves/meltCurve_Q96F44_3_TRIM11.pdf</t>
  </si>
  <si>
    <t>Melting_Curves/meltCurve_Q96F46_IL17RA.pdf</t>
  </si>
  <si>
    <t>Melting_Curves/meltCurve_Q96F63_CCDC97.pdf</t>
  </si>
  <si>
    <t>Melting_Curves/meltCurve_Q96F86_EDC3.pdf</t>
  </si>
  <si>
    <t>Melting_Curves/meltCurve_Q96FF9_CDCA5.pdf</t>
  </si>
  <si>
    <t>Melting_Curves/meltCurve_Q96FH0_MEF2BNB.pdf</t>
  </si>
  <si>
    <t>Melting_Curves/meltCurve_Q96FJ0_STAMBPL1.pdf</t>
  </si>
  <si>
    <t>Melting_Curves/meltCurve_Q96FJ2_DYNLL2.pdf</t>
  </si>
  <si>
    <t>Melting_Curves/meltCurve_Q96FK6_WDR89.pdf</t>
  </si>
  <si>
    <t>Melting_Curves/meltCurve_Q96FN9_DTD2.pdf</t>
  </si>
  <si>
    <t>Melting_Curves/meltCurve_Q96FQ6_S100A16.pdf</t>
  </si>
  <si>
    <t>Melting_Curves/meltCurve_Q96FS4_SIPA1.pdf</t>
  </si>
  <si>
    <t>Melting_Curves/meltCurve_Q96FT9_IFT43.pdf</t>
  </si>
  <si>
    <t>Melting_Curves/meltCurve_Q96FV2_SCRN2.pdf</t>
  </si>
  <si>
    <t>Melting_Curves/meltCurve_Q96FV9_THOC1.pdf</t>
  </si>
  <si>
    <t>Melting_Curves/meltCurve_Q96FW1_OTUB1.pdf</t>
  </si>
  <si>
    <t>Melting_Curves/meltCurve_Q96FX2_DPH3.pdf</t>
  </si>
  <si>
    <t>Melting_Curves/meltCurve_Q96FX7_TRMT61A.pdf</t>
  </si>
  <si>
    <t>Melting_Curves/meltCurve_Q96FZ2_C3orf37.pdf</t>
  </si>
  <si>
    <t>Melting_Curves/meltCurve_Q96G03_PGM2.pdf</t>
  </si>
  <si>
    <t>Melting_Curves/meltCurve_Q96G04_FAM86A.pdf</t>
  </si>
  <si>
    <t>Melting_Curves/meltCurve_Q96G25_MED8.pdf</t>
  </si>
  <si>
    <t>Melting_Curves/meltCurve_Q96G28_CCDC104.pdf</t>
  </si>
  <si>
    <t>Melting_Curves/meltCurve_Q96G46_DUS3L.pdf</t>
  </si>
  <si>
    <t>Melting_Curves/meltCurve_Q96G61_NUDT11.pdf</t>
  </si>
  <si>
    <t>Melting_Curves/meltCurve_Q96G74_3_OTUD5.pdf</t>
  </si>
  <si>
    <t>Melting_Curves/meltCurve_Q96GA3_LTV1.pdf</t>
  </si>
  <si>
    <t>Melting_Curves/meltCurve_Q96GA7_SDSL.pdf</t>
  </si>
  <si>
    <t>Melting_Curves/meltCurve_Q96GD0_PDXP.pdf</t>
  </si>
  <si>
    <t>Melting_Curves/meltCurve_Q96GE4_CEP95.pdf</t>
  </si>
  <si>
    <t>Melting_Curves/meltCurve_Q96GG9_DCUN1D1.pdf</t>
  </si>
  <si>
    <t>Melting_Curves/meltCurve_Q96GK7_FAHD2A.pdf</t>
  </si>
  <si>
    <t>Melting_Curves/meltCurve_Q96GM5_SMARCD1.pdf</t>
  </si>
  <si>
    <t>Melting_Curves/meltCurve_Q96GQ7_DDX27.pdf</t>
  </si>
  <si>
    <t>Melting_Curves/meltCurve_Q96GS4_C17orf59.pdf</t>
  </si>
  <si>
    <t>Melting_Curves/meltCurve_Q96GW9_MARS2.pdf</t>
  </si>
  <si>
    <t>Melting_Curves/meltCurve_Q96GX2_ATXN7L3B.pdf</t>
  </si>
  <si>
    <t>Melting_Curves/meltCurve_Q96GX5_MASTL.pdf</t>
  </si>
  <si>
    <t>Melting_Curves/meltCurve_Q96GX9_APIP.pdf</t>
  </si>
  <si>
    <t>Melting_Curves/meltCurve_Q96GY0_ZC2HC1A.pdf</t>
  </si>
  <si>
    <t>Melting_Curves/meltCurve_Q96H20_SNF8.pdf</t>
  </si>
  <si>
    <t>Melting_Curves/meltCurve_Q96H79_ZC3HAV1L.pdf</t>
  </si>
  <si>
    <t>Melting_Curves/meltCurve_Q96HA7_2_TONSL.pdf</t>
  </si>
  <si>
    <t>Melting_Curves/meltCurve_Q96HC4_PDLIM5.pdf</t>
  </si>
  <si>
    <t>Melting_Curves/meltCurve_Q96HD9_ACY3.pdf</t>
  </si>
  <si>
    <t>Melting_Curves/meltCurve_Q96HE7_ERO1L.pdf</t>
  </si>
  <si>
    <t>Melting_Curves/meltCurve_Q96HJ9_C7orf55.pdf</t>
  </si>
  <si>
    <t>Melting_Curves/meltCurve_Q96HJ9_2_C7orf55.pdf</t>
  </si>
  <si>
    <t>Melting_Curves/meltCurve_Q96HN2_2_AHCYL2.pdf</t>
  </si>
  <si>
    <t>Melting_Curves/meltCurve_Q96HP4_OXNAD1.pdf</t>
  </si>
  <si>
    <t>Melting_Curves/meltCurve_Q96HQ2_CDKN2AIPNL.pdf</t>
  </si>
  <si>
    <t>Melting_Curves/meltCurve_Q96HS1_2_PGAM5.pdf</t>
  </si>
  <si>
    <t>Melting_Curves/meltCurve_Q96HW7_INTS4.pdf</t>
  </si>
  <si>
    <t>Melting_Curves/meltCurve_Q96HY6_DDRGK1.pdf</t>
  </si>
  <si>
    <t>Melting_Curves/meltCurve_Q96HY7_DHTKD1.pdf</t>
  </si>
  <si>
    <t>Melting_Curves/meltCurve_Q96I15_SCLY.pdf</t>
  </si>
  <si>
    <t>Melting_Curves/meltCurve_Q96I23_PYURF.pdf</t>
  </si>
  <si>
    <t>Melting_Curves/meltCurve_Q96I24_FUBP3.pdf</t>
  </si>
  <si>
    <t>Melting_Curves/meltCurve_Q96I25_RBM17.pdf</t>
  </si>
  <si>
    <t>Melting_Curves/meltCurve_Q96I51_WBSCR16.pdf</t>
  </si>
  <si>
    <t>Melting_Curves/meltCurve_Q96I59_NARS2.pdf</t>
  </si>
  <si>
    <t>Melting_Curves/meltCurve_Q96I99_SUCLG2.pdf</t>
  </si>
  <si>
    <t>Melting_Curves/meltCurve_Q96IF1_AJUBA.pdf</t>
  </si>
  <si>
    <t>Melting_Curves/meltCurve_Q96IJ6_GMPPA.pdf</t>
  </si>
  <si>
    <t>Melting_Curves/meltCurve_Q96IK1_BOD1.pdf</t>
  </si>
  <si>
    <t>Melting_Curves/meltCurve_Q96IQ9_2_ZNF414.pdf</t>
  </si>
  <si>
    <t>Melting_Curves/meltCurve_Q96IR7_HPDL.pdf</t>
  </si>
  <si>
    <t>Melting_Curves/meltCurve_Q96IU4_ABHD14B.pdf</t>
  </si>
  <si>
    <t>Melting_Curves/meltCurve_Q96IV0_2_NGLY1.pdf</t>
  </si>
  <si>
    <t>Melting_Curves/meltCurve_Q96IY1_NSL1.pdf</t>
  </si>
  <si>
    <t>Melting_Curves/meltCurve_Q96IZ0_PAWR.pdf</t>
  </si>
  <si>
    <t>Melting_Curves/meltCurve_Q96IZ5_2_RBM41.pdf</t>
  </si>
  <si>
    <t>Melting_Curves/meltCurve_Q96IZ6_METTL2A.pdf</t>
  </si>
  <si>
    <t>Melting_Curves/meltCurve_Q96IZ7_2_RSRC1.pdf</t>
  </si>
  <si>
    <t>Melting_Curves/meltCurve_Q96J01_THOC3.pdf</t>
  </si>
  <si>
    <t>Melting_Curves/meltCurve_Q96J02_2_ITCH.pdf</t>
  </si>
  <si>
    <t>Melting_Curves/meltCurve_Q96J84_KIRREL.pdf</t>
  </si>
  <si>
    <t>Melting_Curves/meltCurve_Q96JB2_COG3.pdf</t>
  </si>
  <si>
    <t>Melting_Curves/meltCurve_Q96JB5_CDK5RAP3.pdf</t>
  </si>
  <si>
    <t>Melting_Curves/meltCurve_Q96JC1_2_VPS39.pdf</t>
  </si>
  <si>
    <t>Melting_Curves/meltCurve_Q96JC9_EAF1.pdf</t>
  </si>
  <si>
    <t>Melting_Curves/meltCurve_Q96JE9_MAP6.pdf</t>
  </si>
  <si>
    <t>Melting_Curves/meltCurve_Q96JG6_CCDC132.pdf</t>
  </si>
  <si>
    <t>Melting_Curves/meltCurve_Q96JG9_ZNF469.pdf</t>
  </si>
  <si>
    <t>Melting_Curves/meltCurve_Q96JH7_VCPIP1.pdf</t>
  </si>
  <si>
    <t>Melting_Curves/meltCurve_Q96JI7_2_SPG11.pdf</t>
  </si>
  <si>
    <t>Melting_Curves/meltCurve_Q96JK9_MAML3.pdf</t>
  </si>
  <si>
    <t>Melting_Curves/meltCurve_Q96JM3_CHAMP1.pdf</t>
  </si>
  <si>
    <t>Melting_Curves/meltCurve_Q96JN0_2_LCOR.pdf</t>
  </si>
  <si>
    <t>Melting_Curves/meltCurve_Q96JP2_MYO15B.pdf</t>
  </si>
  <si>
    <t>Melting_Curves/meltCurve_Q96JP5_ZFP91.pdf</t>
  </si>
  <si>
    <t>Melting_Curves/meltCurve_Q96JQ2_CLMN.pdf</t>
  </si>
  <si>
    <t>Melting_Curves/meltCurve_Q96JY6_PDLIM2.pdf</t>
  </si>
  <si>
    <t>Melting_Curves/meltCurve_Q96KB5_PBK.pdf</t>
  </si>
  <si>
    <t>Melting_Curves/meltCurve_Q96KG9_3_SCYL1.pdf</t>
  </si>
  <si>
    <t>Melting_Curves/meltCurve_Q96KP1_EXOC2.pdf</t>
  </si>
  <si>
    <t>Melting_Curves/meltCurve_Q96KP4_CNDP2.pdf</t>
  </si>
  <si>
    <t>Melting_Curves/meltCurve_Q96KQ4_PPP1R13B.pdf</t>
  </si>
  <si>
    <t>Melting_Curves/meltCurve_Q96KR1_ZFR.pdf</t>
  </si>
  <si>
    <t>Melting_Curves/meltCurve_Q96L35_EPHB4.pdf</t>
  </si>
  <si>
    <t>Melting_Curves/meltCurve_Q96L73_2_NSD1.pdf</t>
  </si>
  <si>
    <t>Melting_Curves/meltCurve_Q96L91_5_EP400.pdf</t>
  </si>
  <si>
    <t>Melting_Curves/meltCurve_Q96L92_SNX27.pdf</t>
  </si>
  <si>
    <t>Melting_Curves/meltCurve_Q96L93_6_KIF16B.pdf</t>
  </si>
  <si>
    <t>Melting_Curves/meltCurve_Q96LB3_IFT74.pdf</t>
  </si>
  <si>
    <t>Melting_Curves/meltCurve_Q96LD4_TRIM47.pdf</t>
  </si>
  <si>
    <t>Melting_Curves/meltCurve_Q96LD8_SENP8.pdf</t>
  </si>
  <si>
    <t>Melting_Curves/meltCurve_Q96LR5_UBE2E2.pdf</t>
  </si>
  <si>
    <t>Melting_Curves/meltCurve_Q96LT7_C9orf72.pdf</t>
  </si>
  <si>
    <t>Melting_Curves/meltCurve_Q96M27_PRRC1.pdf</t>
  </si>
  <si>
    <t>Melting_Curves/meltCurve_Q96ME1_4_FBXL18.pdf</t>
  </si>
  <si>
    <t>Melting_Curves/meltCurve_Q96ME7_3_ZNF512.pdf</t>
  </si>
  <si>
    <t>Melting_Curves/meltCurve_Q96MG7_NDNL2.pdf</t>
  </si>
  <si>
    <t>Melting_Curves/meltCurve_Q96MG8_2_PCMTD1.pdf</t>
  </si>
  <si>
    <t>Melting_Curves/meltCurve_Q96MH2_HEXIM2.pdf</t>
  </si>
  <si>
    <t>Melting_Curves/meltCurve_Q96MU7_2_YTHDC1.pdf</t>
  </si>
  <si>
    <t>Melting_Curves/meltCurve_Q96MW1_CCDC43.pdf</t>
  </si>
  <si>
    <t>Melting_Curves/meltCurve_Q96MX6_WDR92.pdf</t>
  </si>
  <si>
    <t>Melting_Curves/meltCurve_Q96MY1_C20orf112.pdf</t>
  </si>
  <si>
    <t>Melting_Curves/meltCurve_Q96N06_C16orf55.pdf</t>
  </si>
  <si>
    <t>Melting_Curves/meltCurve_Q96N21_2_ENTHD2.pdf</t>
  </si>
  <si>
    <t>Melting_Curves/meltCurve_Q96N67_4_DOCK7.pdf</t>
  </si>
  <si>
    <t>Melting_Curves/meltCurve_Q96NB1_FOPNL.pdf</t>
  </si>
  <si>
    <t>Melting_Curves/meltCurve_Q96NB3_ZNF830.pdf</t>
  </si>
  <si>
    <t>Melting_Curves/meltCurve_Q96NC0_ZMAT2.pdf</t>
  </si>
  <si>
    <t>Melting_Curves/meltCurve_Q96NL6_SCLT1.pdf</t>
  </si>
  <si>
    <t>Melting_Curves/meltCurve_Q96NL8_C8orf37.pdf</t>
  </si>
  <si>
    <t>Melting_Curves/meltCurve_Q96NT1_NAP1L5.pdf</t>
  </si>
  <si>
    <t>Melting_Curves/meltCurve_Q96NW4_ANKRD27.pdf</t>
  </si>
  <si>
    <t>Melting_Curves/meltCurve_Q96P11_2_NSUN5.pdf</t>
  </si>
  <si>
    <t>Melting_Curves/meltCurve_Q96P16_RPRD1A.pdf</t>
  </si>
  <si>
    <t>Melting_Curves/meltCurve_Q96P47_AGAP3.pdf</t>
  </si>
  <si>
    <t>Melting_Curves/meltCurve_Q96P48_3_ARAP1.pdf</t>
  </si>
  <si>
    <t>Melting_Curves/meltCurve_Q96P70_IPO9.pdf</t>
  </si>
  <si>
    <t>Melting_Curves/meltCurve_Q96PD2_DCBLD2.pdf</t>
  </si>
  <si>
    <t>Melting_Curves/meltCurve_Q96PE2_ARHGEF17.pdf</t>
  </si>
  <si>
    <t>Melting_Curves/meltCurve_Q96PE7_MCEE.pdf</t>
  </si>
  <si>
    <t>Melting_Curves/meltCurve_Q96PK6_RBM14.pdf</t>
  </si>
  <si>
    <t>Melting_Curves/meltCurve_Q96PM5_RCHY1.pdf</t>
  </si>
  <si>
    <t>Melting_Curves/meltCurve_Q96PN7_4_TRERF1.pdf</t>
  </si>
  <si>
    <t>Melting_Curves/meltCurve_Q96PQ7_5_KLHL5.pdf</t>
  </si>
  <si>
    <t>Melting_Curves/meltCurve_Q96PU4_UHRF2.pdf</t>
  </si>
  <si>
    <t>Melting_Curves/meltCurve_Q96PU5_7_NEDD4L.pdf</t>
  </si>
  <si>
    <t>Melting_Curves/meltCurve_Q96PU8_9_QKI.pdf</t>
  </si>
  <si>
    <t>Melting_Curves/meltCurve_Q96PY5_FMNL2.pdf</t>
  </si>
  <si>
    <t>Melting_Curves/meltCurve_Q96PZ0_PUS7.pdf</t>
  </si>
  <si>
    <t>Melting_Curves/meltCurve_Q96Q05_3_TRAPPC9.pdf</t>
  </si>
  <si>
    <t>Melting_Curves/meltCurve_Q96Q11_2_TRNT1.pdf</t>
  </si>
  <si>
    <t>Melting_Curves/meltCurve_Q96Q15_SMG1.pdf</t>
  </si>
  <si>
    <t>Melting_Curves/meltCurve_Q96Q42_ALS2.pdf</t>
  </si>
  <si>
    <t>Melting_Curves/meltCurve_Q96Q45_2_TMEM237.pdf</t>
  </si>
  <si>
    <t>Melting_Curves/meltCurve_Q96Q83_ALKBH3.pdf</t>
  </si>
  <si>
    <t>Melting_Curves/meltCurve_Q96Q89_4_KIF20B.pdf</t>
  </si>
  <si>
    <t>Melting_Curves/meltCurve_Q96QB1_DLC1.pdf</t>
  </si>
  <si>
    <t>Melting_Curves/meltCurve_Q96QC0_PPP1R10.pdf</t>
  </si>
  <si>
    <t>Melting_Curves/meltCurve_Q96QE3_2_ATAD5.pdf</t>
  </si>
  <si>
    <t>Melting_Curves/meltCurve_Q96QF0_2_RAB3IP.pdf</t>
  </si>
  <si>
    <t>Melting_Curves/meltCurve_Q96QG7_MTMR9.pdf</t>
  </si>
  <si>
    <t>Melting_Curves/meltCurve_Q96QK1_VPS35.pdf</t>
  </si>
  <si>
    <t>Melting_Curves/meltCurve_Q96QR8_PURB.pdf</t>
  </si>
  <si>
    <t>Melting_Curves/meltCurve_Q96QU6_ACCS.pdf</t>
  </si>
  <si>
    <t>Melting_Curves/meltCurve_Q96QU8_XPO6.pdf</t>
  </si>
  <si>
    <t>Melting_Curves/meltCurve_Q96QZ7_7_MAGI1.pdf</t>
  </si>
  <si>
    <t>Melting_Curves/meltCurve_Q96R06_SPAG5.pdf</t>
  </si>
  <si>
    <t>Melting_Curves/meltCurve_Q96RE7_NACC1.pdf</t>
  </si>
  <si>
    <t>Melting_Curves/meltCurve_Q96RF0_3_SNX18.pdf</t>
  </si>
  <si>
    <t>Melting_Curves/meltCurve_Q96RG2_PASK.pdf</t>
  </si>
  <si>
    <t>Melting_Curves/meltCurve_Q96RK0_CIC.pdf</t>
  </si>
  <si>
    <t>Melting_Curves/meltCurve_Q96RL1_UIMC1.pdf</t>
  </si>
  <si>
    <t>Melting_Curves/meltCurve_Q96RL7_4_VPS13A.pdf</t>
  </si>
  <si>
    <t>Melting_Curves/meltCurve_Q96RN5_3_MED15.pdf</t>
  </si>
  <si>
    <t>Melting_Curves/meltCurve_Q96RP9_GFM1.pdf</t>
  </si>
  <si>
    <t>Melting_Curves/meltCurve_Q96RR4_2_CAMKK2.pdf</t>
  </si>
  <si>
    <t>Melting_Curves/meltCurve_Q96RS0_TGS1.pdf</t>
  </si>
  <si>
    <t>Melting_Curves/meltCurve_Q96RS6_NUDCD1.pdf</t>
  </si>
  <si>
    <t>Melting_Curves/meltCurve_Q96RT1_9_ERBB2IP.pdf</t>
  </si>
  <si>
    <t>Melting_Curves/meltCurve_Q96RU2_2_USP28.pdf</t>
  </si>
  <si>
    <t>Melting_Curves/meltCurve_Q96RU3_2_FNBP1.pdf</t>
  </si>
  <si>
    <t>Melting_Curves/meltCurve_Q96RW7_2_HMCN1.pdf</t>
  </si>
  <si>
    <t>Melting_Curves/meltCurve_Q96RY5_CRAMP1L.pdf</t>
  </si>
  <si>
    <t>Melting_Curves/meltCurve_Q96RY7_IFT140.pdf</t>
  </si>
  <si>
    <t>Melting_Curves/meltCurve_Q96S19_C16orf13.pdf</t>
  </si>
  <si>
    <t>Melting_Curves/meltCurve_Q96S38_RPS6KC1.pdf</t>
  </si>
  <si>
    <t>Melting_Curves/meltCurve_Q96S44_TP53RK.pdf</t>
  </si>
  <si>
    <t>Melting_Curves/meltCurve_Q96S55_2_WRNIP1.pdf</t>
  </si>
  <si>
    <t>Melting_Curves/meltCurve_Q96S59_RANBP9.pdf</t>
  </si>
  <si>
    <t>Melting_Curves/meltCurve_Q96S66_4_CLCC1.pdf</t>
  </si>
  <si>
    <t>Melting_Curves/meltCurve_Q96S82_UBL7.pdf</t>
  </si>
  <si>
    <t>Melting_Curves/meltCurve_Q96S90_LYSMD1.pdf</t>
  </si>
  <si>
    <t>Melting_Curves/meltCurve_Q96S99_PLEKHF1.pdf</t>
  </si>
  <si>
    <t>Melting_Curves/meltCurve_Q96SB3_PPP1R9B.pdf</t>
  </si>
  <si>
    <t>Melting_Curves/meltCurve_Q96SB4_SRPK1.pdf</t>
  </si>
  <si>
    <t>Melting_Curves/meltCurve_Q96SB8_SMC6.pdf</t>
  </si>
  <si>
    <t>Melting_Curves/meltCurve_Q96SI1_KCTD15.pdf</t>
  </si>
  <si>
    <t>Melting_Curves/meltCurve_Q96SI9_2_STRBP.pdf</t>
  </si>
  <si>
    <t>Melting_Curves/meltCurve_Q96SK2_2_TMEM209.pdf</t>
  </si>
  <si>
    <t>Melting_Curves/meltCurve_Q96SL8_FIZ1.pdf</t>
  </si>
  <si>
    <t>Melting_Curves/meltCurve_Q96ST2_IWS1.pdf</t>
  </si>
  <si>
    <t>Melting_Curves/meltCurve_Q96ST3_SIN3A.pdf</t>
  </si>
  <si>
    <t>Melting_Curves/meltCurve_Q96SU4_7_OSBPL9.pdf</t>
  </si>
  <si>
    <t>Melting_Curves/meltCurve_Q96SY0_4_VWA9.pdf</t>
  </si>
  <si>
    <t>Melting_Curves/meltCurve_Q96SZ5_ADO.pdf</t>
  </si>
  <si>
    <t>Melting_Curves/meltCurve_Q96SZ6_2_CDK5RAP1.pdf</t>
  </si>
  <si>
    <t>Melting_Curves/meltCurve_Q96T17_MAP7D2.pdf</t>
  </si>
  <si>
    <t>Melting_Curves/meltCurve_Q96T21_SECISBP2.pdf</t>
  </si>
  <si>
    <t>Melting_Curves/meltCurve_Q96T37_2_RBM15.pdf</t>
  </si>
  <si>
    <t>Melting_Curves/meltCurve_Q96T51_RUFY1.pdf</t>
  </si>
  <si>
    <t>Melting_Curves/meltCurve_Q96T58_SPEN.pdf</t>
  </si>
  <si>
    <t>Melting_Curves/meltCurve_Q96T60_PNKP.pdf</t>
  </si>
  <si>
    <t>Melting_Curves/meltCurve_Q96T76_MMS19.pdf</t>
  </si>
  <si>
    <t>Melting_Curves/meltCurve_Q96T88_UHRF1.pdf</t>
  </si>
  <si>
    <t>Melting_Curves/meltCurve_Q96TA1_FAM129B.pdf</t>
  </si>
  <si>
    <t>Melting_Curves/meltCurve_Q99081_TCF12.pdf</t>
  </si>
  <si>
    <t>Melting_Curves/meltCurve_Q99417_MYCBP.pdf</t>
  </si>
  <si>
    <t>Melting_Curves/meltCurve_Q99418_2_CYTH2.pdf</t>
  </si>
  <si>
    <t>Melting_Curves/meltCurve_Q99426_TBCB.pdf</t>
  </si>
  <si>
    <t>Melting_Curves/meltCurve_Q99436_PSMB7.pdf</t>
  </si>
  <si>
    <t>Melting_Curves/meltCurve_Q99447_PCYT2.pdf</t>
  </si>
  <si>
    <t>Melting_Curves/meltCurve_Q99459_CDC5L.pdf</t>
  </si>
  <si>
    <t>Melting_Curves/meltCurve_Q99460_PSMD1.pdf</t>
  </si>
  <si>
    <t>Melting_Curves/meltCurve_Q99470_SDF2.pdf</t>
  </si>
  <si>
    <t>Melting_Curves/meltCurve_Q99471_PFDN5.pdf</t>
  </si>
  <si>
    <t>Melting_Curves/meltCurve_Q99487_PAFAH2.pdf</t>
  </si>
  <si>
    <t>Melting_Curves/meltCurve_Q99496_RNF2.pdf</t>
  </si>
  <si>
    <t>Melting_Curves/meltCurve_Q99497_PARK7.pdf</t>
  </si>
  <si>
    <t>Melting_Curves/meltCurve_Q99501_GAS2L1.pdf</t>
  </si>
  <si>
    <t>Melting_Curves/meltCurve_Q99504_2_EYA3.pdf</t>
  </si>
  <si>
    <t>Melting_Curves/meltCurve_Q99519_NEU1.pdf</t>
  </si>
  <si>
    <t>Melting_Curves/meltCurve_Q99536_VAT1.pdf</t>
  </si>
  <si>
    <t>Melting_Curves/meltCurve_Q99541_PLIN2.pdf</t>
  </si>
  <si>
    <t>Melting_Curves/meltCurve_Q99543_DNAJC2.pdf</t>
  </si>
  <si>
    <t>Melting_Curves/meltCurve_Q99543_2_DNAJC2.pdf</t>
  </si>
  <si>
    <t>Melting_Curves/meltCurve_Q99549_MPHOSPH8.pdf</t>
  </si>
  <si>
    <t>Melting_Curves/meltCurve_Q99567_NUP88.pdf</t>
  </si>
  <si>
    <t>Melting_Curves/meltCurve_Q99569_2_PKP4.pdf</t>
  </si>
  <si>
    <t>Melting_Curves/meltCurve_Q99570_PIK3R4.pdf</t>
  </si>
  <si>
    <t>Melting_Curves/meltCurve_Q99575_POP1.pdf</t>
  </si>
  <si>
    <t>Melting_Curves/meltCurve_Q99583_MNT.pdf</t>
  </si>
  <si>
    <t>Melting_Curves/meltCurve_Q99584_S100A13.pdf</t>
  </si>
  <si>
    <t>Melting_Curves/meltCurve_Q99598_TSNAX.pdf</t>
  </si>
  <si>
    <t>Melting_Curves/meltCurve_Q99611_SEPHS2.pdf</t>
  </si>
  <si>
    <t>Melting_Curves/meltCurve_Q99614_TTC1.pdf</t>
  </si>
  <si>
    <t>Melting_Curves/meltCurve_Q99615_DNAJC7.pdf</t>
  </si>
  <si>
    <t>Melting_Curves/meltCurve_Q99618_CDCA3.pdf</t>
  </si>
  <si>
    <t>Melting_Curves/meltCurve_Q99622_C12orf57.pdf</t>
  </si>
  <si>
    <t>Melting_Curves/meltCurve_Q99627_2_COPS8.pdf</t>
  </si>
  <si>
    <t>Melting_Curves/meltCurve_Q99633_PRPF18.pdf</t>
  </si>
  <si>
    <t>Melting_Curves/meltCurve_Q99638_RAD9A.pdf</t>
  </si>
  <si>
    <t>Melting_Curves/meltCurve_Q99653_CHP1.pdf</t>
  </si>
  <si>
    <t>Melting_Curves/meltCurve_Q99661_KIF2C.pdf</t>
  </si>
  <si>
    <t>Melting_Curves/meltCurve_Q99674_CGREF1.pdf</t>
  </si>
  <si>
    <t>Melting_Curves/meltCurve_Q99685_MGLL.pdf</t>
  </si>
  <si>
    <t>Melting_Curves/meltCurve_Q99700_4_ATXN2.pdf</t>
  </si>
  <si>
    <t>Melting_Curves/meltCurve_Q99707_MTR.pdf</t>
  </si>
  <si>
    <t>Melting_Curves/meltCurve_Q99708_RBBP8.pdf</t>
  </si>
  <si>
    <t>Melting_Curves/meltCurve_Q99714_HSD17B10.pdf</t>
  </si>
  <si>
    <t>Melting_Curves/meltCurve_Q99729_3_HNRNPAB.pdf</t>
  </si>
  <si>
    <t>Melting_Curves/meltCurve_Q99733_NAP1L4.pdf</t>
  </si>
  <si>
    <t>Melting_Curves/meltCurve_Q99747_NAPG.pdf</t>
  </si>
  <si>
    <t>Melting_Curves/meltCurve_Q99757_TXN2.pdf</t>
  </si>
  <si>
    <t>Melting_Curves/meltCurve_Q99766_ATP5S.pdf</t>
  </si>
  <si>
    <t>Melting_Curves/meltCurve_Q99767_2_APBA2.pdf</t>
  </si>
  <si>
    <t>Melting_Curves/meltCurve_Q99797_MIPEP.pdf</t>
  </si>
  <si>
    <t>Melting_Curves/meltCurve_Q99798_ACO2.pdf</t>
  </si>
  <si>
    <t>Melting_Curves/meltCurve_Q99816_TSG101.pdf</t>
  </si>
  <si>
    <t>Melting_Curves/meltCurve_Q99829_CPNE1.pdf</t>
  </si>
  <si>
    <t>Melting_Curves/meltCurve_Q99832_CCT7.pdf</t>
  </si>
  <si>
    <t>Melting_Curves/meltCurve_Q99871_3_HAUS7.pdf</t>
  </si>
  <si>
    <t>Melting_Curves/meltCurve_Q99878_HIST1H2AJ.pdf</t>
  </si>
  <si>
    <t>Melting_Curves/meltCurve_Q99879_HIST1H2BM.pdf</t>
  </si>
  <si>
    <t>Melting_Curves/meltCurve_Q99933_4_BAG1.pdf</t>
  </si>
  <si>
    <t>Melting_Curves/meltCurve_Q99941_2_ATF6B.pdf</t>
  </si>
  <si>
    <t>Melting_Curves/meltCurve_Q99961_SH3GL1.pdf</t>
  </si>
  <si>
    <t>Melting_Curves/meltCurve_Q99986_VRK1.pdf</t>
  </si>
  <si>
    <t>Melting_Curves/meltCurve_Q99996_5_AKAP9.pdf</t>
  </si>
  <si>
    <t>Melting_Curves/meltCurve_Q9BPU6_DPYSL5.pdf</t>
  </si>
  <si>
    <t>Melting_Curves/meltCurve_Q9BPW8_NIPSNAP1.pdf</t>
  </si>
  <si>
    <t>Melting_Curves/meltCurve_Q9BPX3_NCAPG.pdf</t>
  </si>
  <si>
    <t>Melting_Curves/meltCurve_Q9BPX5_ARPC5L.pdf</t>
  </si>
  <si>
    <t>Melting_Curves/meltCurve_Q9BPX6_2_MICU1.pdf</t>
  </si>
  <si>
    <t>Melting_Curves/meltCurve_Q9BPX7_C7orf25.pdf</t>
  </si>
  <si>
    <t>Melting_Curves/meltCurve_Q9BPZ3_PAIP2.pdf</t>
  </si>
  <si>
    <t>Melting_Curves/meltCurve_Q9BQ24_ZFYVE21.pdf</t>
  </si>
  <si>
    <t>Melting_Curves/meltCurve_Q9BQ39_DDX50.pdf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</si>
  <si>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</si>
  <si>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</si>
  <si>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</si>
  <si>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</si>
  <si>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</si>
  <si>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Melting_Curves/meltCurve_Q9BQA1_WDR77.pdf</t>
  </si>
  <si>
    <t>Melting_Curves/meltCurve_Q9BQC3_DPH2.pdf</t>
  </si>
  <si>
    <t>Melting_Curves/meltCurve_Q9BQE3_TUBA1C.pdf</t>
  </si>
  <si>
    <t>Melting_Curves/meltCurve_Q9BQE5_APOL2.pdf</t>
  </si>
  <si>
    <t>Melting_Curves/meltCurve_Q9BQE6_2_C11orf48.pdf</t>
  </si>
  <si>
    <t>Melting_Curves/meltCurve_Q9BQE9_4_BCL7B.pdf</t>
  </si>
  <si>
    <t>Melting_Curves/meltCurve_Q9BQG0_MYBBP1A.pdf</t>
  </si>
  <si>
    <t>Melting_Curves/meltCurve_Q9BQI3_2_EIF2AK1.pdf</t>
  </si>
  <si>
    <t>Melting_Curves/meltCurve_Q9BQK8_2_LPIN3.pdf</t>
  </si>
  <si>
    <t>Melting_Curves/meltCurve_Q9BQL6_FERMT1.pdf</t>
  </si>
  <si>
    <t>Melting_Curves/meltCurve_Q9BQP7_MGME1.pdf</t>
  </si>
  <si>
    <t>Melting_Curves/meltCurve_Q9BQS8_FYCO1.pdf</t>
  </si>
  <si>
    <t>Melting_Curves/meltCurve_Q9BR61_ACBD6.pdf</t>
  </si>
  <si>
    <t>Melting_Curves/meltCurve_Q9BR76_CORO1B.pdf</t>
  </si>
  <si>
    <t>Melting_Curves/meltCurve_Q9BRA0_2_LSMD1.pdf</t>
  </si>
  <si>
    <t>Melting_Curves/meltCurve_Q9BRA2_TXNDC17.pdf</t>
  </si>
  <si>
    <t>Melting_Curves/meltCurve_Q9BRD0_BUD13.pdf</t>
  </si>
  <si>
    <t>Melting_Curves/meltCurve_Q9BRF8_CPPED1.pdf</t>
  </si>
  <si>
    <t>Melting_Curves/meltCurve_Q9BRG1_VPS25.pdf</t>
  </si>
  <si>
    <t>Melting_Curves/meltCurve_Q9BRG2_SH2D3A.pdf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</si>
  <si>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</si>
  <si>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</si>
  <si>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</si>
  <si>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</si>
  <si>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Melting_Curves/meltCurve_Q9BRQ8_AIFM2.pdf</t>
  </si>
  <si>
    <t>Melting_Curves/meltCurve_Q9BRR6_2_ADPGK.pdf</t>
  </si>
  <si>
    <t>Melting_Curves/meltCurve_Q9BRR8_GPATCH1.pdf</t>
  </si>
  <si>
    <t>Melting_Curves/meltCurve_Q9BRS2_RIOK1.pdf</t>
  </si>
  <si>
    <t>Melting_Curves/meltCurve_Q9BRS8_LARP6.pdf</t>
  </si>
  <si>
    <t>Melting_Curves/meltCurve_Q9BRT3_MIEN1.pdf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</si>
  <si>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</si>
  <si>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</si>
  <si>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</si>
  <si>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</si>
  <si>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Melting_Curves/meltCurve_Q9BRX9_WDR83.pdf</t>
  </si>
  <si>
    <t>Melting_Curves/meltCurve_Q9BRZ2_TRIM56.pdf</t>
  </si>
  <si>
    <t>Melting_Curves/meltCurve_Q9BS26_ERP44.pdf</t>
  </si>
  <si>
    <t>Melting_Curves/meltCurve_Q9BS40_LXN.pdf</t>
  </si>
  <si>
    <t>Melting_Curves/meltCurve_Q9BSB4_ATG101.pdf</t>
  </si>
  <si>
    <t>Melting_Curves/meltCurve_Q9BSD7_NTPCR.pdf</t>
  </si>
  <si>
    <t>Melting_Curves/meltCurve_Q9BSE4_HERPUD2.pdf</t>
  </si>
  <si>
    <t>Melting_Curves/meltCurve_Q9BSE5_AGMAT.pdf</t>
  </si>
  <si>
    <t>Melting_Curves/meltCurve_Q9BSH4_TACO1.pdf</t>
  </si>
  <si>
    <t>Melting_Curves/meltCurve_Q9BSH5_HDHD3.pdf</t>
  </si>
  <si>
    <t>Melting_Curves/meltCurve_Q9BSJ2_TUBGCP2.pdf</t>
  </si>
  <si>
    <t>Melting_Curves/meltCurve_Q9BSJ5_3_C17orf80.pdf</t>
  </si>
  <si>
    <t>Melting_Curves/meltCurve_Q9BSJ6_FAM64A.pdf</t>
  </si>
  <si>
    <t>Melting_Curves/meltCurve_Q9BSJ8_ESYT1.pdf</t>
  </si>
  <si>
    <t>Melting_Curves/meltCurve_Q9BSL1_UBAC1.pdf</t>
  </si>
  <si>
    <t>Melting_Curves/meltCurve_Q9BSQ5_CCM2.pdf</t>
  </si>
  <si>
    <t>Melting_Curves/meltCurve_Q9BST9_2_RTKN.pdf</t>
  </si>
  <si>
    <t>Melting_Curves/meltCurve_Q9BSU1_C16orf70.pdf</t>
  </si>
  <si>
    <t>Melting_Curves/meltCurve_Q9BSV6_TSEN34.pdf</t>
  </si>
  <si>
    <t>Melting_Curves/meltCurve_Q9BSY4_CHCHD5.pdf</t>
  </si>
  <si>
    <t>Melting_Curves/meltCurve_Q9BT09_CNPY3.pdf</t>
  </si>
  <si>
    <t>Melting_Curves/meltCurve_Q9BT17_MTG1.pdf</t>
  </si>
  <si>
    <t>Melting_Curves/meltCurve_Q9BT25_3_HAUS8.pdf</t>
  </si>
  <si>
    <t>Melting_Curves/meltCurve_Q9BT30_ALKBH7.pdf</t>
  </si>
  <si>
    <t>Melting_Curves/meltCurve_Q9BT73_PSMG3.pdf</t>
  </si>
  <si>
    <t>Melting_Curves/meltCurve_Q9BT78_COPS4.pdf</t>
  </si>
  <si>
    <t>Melting_Curves/meltCurve_Q9BTA9_WAC.pdf</t>
  </si>
  <si>
    <t>Melting_Curves/meltCurve_Q9BTC0_DIDO1.pdf</t>
  </si>
  <si>
    <t>Melting_Curves/meltCurve_Q9BTD8_4_RBM42.pdf</t>
  </si>
  <si>
    <t>Melting_Curves/meltCurve_Q9BTE1_2_DCTN5.pdf</t>
  </si>
  <si>
    <t>Melting_Curves/meltCurve_Q9BTE3_2_MCMBP.pdf</t>
  </si>
  <si>
    <t>Melting_Curves/meltCurve_Q9BTE6_AARSD1.pdf</t>
  </si>
  <si>
    <t>Melting_Curves/meltCurve_Q9BTE7_DCUN1D5.pdf</t>
  </si>
  <si>
    <t>Melting_Curves/meltCurve_Q9BTF0_THUMPD2.pdf</t>
  </si>
  <si>
    <t>Melting_Curves/meltCurve_Q9BTL3_FAM103A1.pdf</t>
  </si>
  <si>
    <t>Melting_Curves/meltCurve_Q9BTM9_URM1.pdf</t>
  </si>
  <si>
    <t>Melting_Curves/meltCurve_Q9BTP7_FAAP24.pdf</t>
  </si>
  <si>
    <t>Melting_Curves/meltCurve_Q9BTT0_ANP32E.pdf</t>
  </si>
  <si>
    <t>Melting_Curves/meltCurve_Q9BTT4_MED10.pdf</t>
  </si>
  <si>
    <t>Melting_Curves/meltCurve_Q9BTT6_LRRC1.pdf</t>
  </si>
  <si>
    <t>Melting_Curves/meltCurve_Q9BTV5_FSD1.pdf</t>
  </si>
  <si>
    <t>Melting_Curves/meltCurve_Q9BTV6_WDR85.pdf</t>
  </si>
  <si>
    <t>Melting_Curves/meltCurve_Q9BTW9_TBCD.pdf</t>
  </si>
  <si>
    <t>Melting_Curves/meltCurve_Q9BTX7_TTPAL.pdf</t>
  </si>
  <si>
    <t>Melting_Curves/meltCurve_Q9BTY2_FUCA2.pdf</t>
  </si>
  <si>
    <t>Melting_Curves/meltCurve_Q9BTY7_FAM203A.pdf</t>
  </si>
  <si>
    <t>Melting_Curves/meltCurve_Q9BTZ2_DHRS4.pdf</t>
  </si>
  <si>
    <t>Melting_Curves/meltCurve_Q9BU02_THTPA.pdf</t>
  </si>
  <si>
    <t>Melting_Curves/meltCurve_Q9BU64_CENPO.pdf</t>
  </si>
  <si>
    <t>Melting_Curves/meltCurve_Q9BU76_4_MMTAG2.pdf</t>
  </si>
  <si>
    <t>Melting_Curves/meltCurve_Q9BU89_DOHH.pdf</t>
  </si>
  <si>
    <t>Melting_Curves/meltCurve_Q9BUA3_C11orf84.pdf</t>
  </si>
  <si>
    <t>Melting_Curves/meltCurve_Q9BUB4_ADAT1.pdf</t>
  </si>
  <si>
    <t>Melting_Curves/meltCurve_Q9BUB5_2_MKNK1.pdf</t>
  </si>
  <si>
    <t>Melting_Curves/meltCurve_Q9BUE0_MED18.pdf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</si>
  <si>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</si>
  <si>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</si>
  <si>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</si>
  <si>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</si>
  <si>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Melting_Curves/meltCurve_Q9BUK6_3_MSTO1.pdf</t>
  </si>
  <si>
    <t>Melting_Curves/meltCurve_Q9BUL9_RPP25.pdf</t>
  </si>
  <si>
    <t>Melting_Curves/meltCurve_Q9BUP3_HTATIP2.pdf</t>
  </si>
  <si>
    <t>Melting_Curves/meltCurve_Q9BUQ8_DDX23.pdf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</si>
  <si>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</si>
  <si>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</si>
  <si>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</si>
  <si>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</si>
  <si>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Melting_Curves/meltCurve_Q9BV19_C1orf50.pdf</t>
  </si>
  <si>
    <t>Melting_Curves/meltCurve_Q9BV20_MRI1.pdf</t>
  </si>
  <si>
    <t>Melting_Curves/meltCurve_Q9BV36_MLPH.pdf</t>
  </si>
  <si>
    <t>Melting_Curves/meltCurve_Q9BV36_2_MLPH.pdf</t>
  </si>
  <si>
    <t>Melting_Curves/meltCurve_Q9BV44_THUMPD3.pdf</t>
  </si>
  <si>
    <t>Melting_Curves/meltCurve_Q9BV57_ADI1.pdf</t>
  </si>
  <si>
    <t>Melting_Curves/meltCurve_Q9BV68_2_RNF126.pdf</t>
  </si>
  <si>
    <t>Melting_Curves/meltCurve_Q9BV73_2_CEP250.pdf</t>
  </si>
  <si>
    <t>Melting_Curves/meltCurve_Q9BV79_MECR.pdf</t>
  </si>
  <si>
    <t>Melting_Curves/meltCurve_Q9BV86_NTMT1.pdf</t>
  </si>
  <si>
    <t>Melting_Curves/meltCurve_Q9BVA0_KATNB1.pdf</t>
  </si>
  <si>
    <t>Melting_Curves/meltCurve_Q9BVA1_TUBB2B.pdf</t>
  </si>
  <si>
    <t>Melting_Curves/meltCurve_Q9BVC3_DSCC1.pdf</t>
  </si>
  <si>
    <t>Melting_Curves/meltCurve_Q9BVC4_MLST8.pdf</t>
  </si>
  <si>
    <t>Melting_Curves/meltCurve_Q9BVC5_C2orf49.pdf</t>
  </si>
  <si>
    <t>Melting_Curves/meltCurve_Q9BVG4_PBDC1.pdf</t>
  </si>
  <si>
    <t>Melting_Curves/meltCurve_Q9BVG8_2_KIFC3.pdf</t>
  </si>
  <si>
    <t>Melting_Curves/meltCurve_Q9BVI4_NOC4L.pdf</t>
  </si>
  <si>
    <t>Melting_Curves/meltCurve_Q9BVJ6_UTP14A.pdf</t>
  </si>
  <si>
    <t>Melting_Curves/meltCurve_Q9BVJ7_DUSP23.pdf</t>
  </si>
  <si>
    <t>Melting_Curves/meltCurve_Q9BVL4_SELO.pdf</t>
  </si>
  <si>
    <t>Melting_Curves/meltCurve_Q9BVM2_DPCD.pdf</t>
  </si>
  <si>
    <t>Melting_Curves/meltCurve_Q9BVM4_GGACT.pdf</t>
  </si>
  <si>
    <t>Melting_Curves/meltCurve_Q9BVQ7_SPATA5L1.pdf</t>
  </si>
  <si>
    <t>Melting_Curves/meltCurve_Q9BVR6_TUBGCP4.pdf</t>
  </si>
  <si>
    <t>Melting_Curves/meltCurve_Q9BVS4_RIOK2.pdf</t>
  </si>
  <si>
    <t>Melting_Curves/meltCurve_Q9BVS5_TRMT61B.pdf</t>
  </si>
  <si>
    <t>Melting_Curves/meltCurve_Q9BVV6_2_KIAA0586.pdf</t>
  </si>
  <si>
    <t>Melting_Curves/meltCurve_Q9BVW5_TIPIN.pdf</t>
  </si>
  <si>
    <t>Melting_Curves/meltCurve_Q9BW04_SARG.pdf</t>
  </si>
  <si>
    <t>Melting_Curves/meltCurve_Q9BW19_KIFC1.pdf</t>
  </si>
  <si>
    <t>Melting_Curves/meltCurve_Q9BW27_NUP85.pdf</t>
  </si>
  <si>
    <t>Melting_Curves/meltCurve_Q9BW30_TPPP3.pdf</t>
  </si>
  <si>
    <t>Melting_Curves/meltCurve_Q9BW61_DDA1.pdf</t>
  </si>
  <si>
    <t>Melting_Curves/meltCurve_Q9BW62_KATNAL1.pdf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</si>
  <si>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</si>
  <si>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</si>
  <si>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</si>
  <si>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</si>
  <si>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</si>
  <si>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</si>
  <si>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Melting_Curves/meltCurve_Q9BWE0_REPIN1.pdf</t>
  </si>
  <si>
    <t>Melting_Curves/meltCurve_Q9BWF3_RBM4.pdf</t>
  </si>
  <si>
    <t>Melting_Curves/meltCurve_Q9BWH2_FUNDC2.pdf</t>
  </si>
  <si>
    <t>Melting_Curves/meltCurve_Q9BWH6_RPAP1.pdf</t>
  </si>
  <si>
    <t>Melting_Curves/meltCurve_Q9BWJ5_SF3B5.pdf</t>
  </si>
  <si>
    <t>Melting_Curves/meltCurve_Q9BWK5_MRI.pdf</t>
  </si>
  <si>
    <t>Melting_Curves/meltCurve_Q9BWS9_3_CHID1.pdf</t>
  </si>
  <si>
    <t>Melting_Curves/meltCurve_Q9BWT3_PAPOLG.pdf</t>
  </si>
  <si>
    <t>Melting_Curves/meltCurve_Q9BWT6_MND1.pdf</t>
  </si>
  <si>
    <t>Melting_Curves/meltCurve_Q9BWU0_SLC4A1AP.pdf</t>
  </si>
  <si>
    <t>Melting_Curves/meltCurve_Q9BWW5_SSDP4.pdf</t>
  </si>
  <si>
    <t>Melting_Curves/meltCurve_Q9BX40_LSM14B.pdf</t>
  </si>
  <si>
    <t>Melting_Curves/meltCurve_Q9BX63_BRIP1.pdf</t>
  </si>
  <si>
    <t>Melting_Curves/meltCurve_Q9BX66_4_SORBS1.pdf</t>
  </si>
  <si>
    <t>Melting_Curves/meltCurve_Q9BX68_HINT2.pdf</t>
  </si>
  <si>
    <t>Melting_Curves/meltCurve_Q9BX95_SGPP1.pdf</t>
  </si>
  <si>
    <t>Melting_Curves/meltCurve_Q9BXB4_OSBPL11.pdf</t>
  </si>
  <si>
    <t>Melting_Curves/meltCurve_Q9BXB5_2_OSBPL10.pdf</t>
  </si>
  <si>
    <t>Melting_Curves/meltCurve_Q9BXF6_RAB11FIP5.pdf</t>
  </si>
  <si>
    <t>Melting_Curves/meltCurve_Q9BXI6_TBC1D10A.pdf</t>
  </si>
  <si>
    <t>Melting_Curves/meltCurve_Q9BXJ9_NAA15.pdf</t>
  </si>
  <si>
    <t>Melting_Curves/meltCurve_Q9BXK1_KLF16.pdf</t>
  </si>
  <si>
    <t>Melting_Curves/meltCurve_Q9BXL8_CDCA4.pdf</t>
  </si>
  <si>
    <t>Melting_Curves/meltCurve_Q9BXP5_4_SRRT.pdf</t>
  </si>
  <si>
    <t>Melting_Curves/meltCurve_Q9BXR0_QTRT1.pdf</t>
  </si>
  <si>
    <t>Melting_Curves/meltCurve_Q9BXS5_AP1M1.pdf</t>
  </si>
  <si>
    <t>Melting_Curves/meltCurve_Q9BXS6_2_NUSAP1.pdf</t>
  </si>
  <si>
    <t>Melting_Curves/meltCurve_Q9BXV9_C14orf142.pdf</t>
  </si>
  <si>
    <t>Melting_Curves/meltCurve_Q9BXW6_OSBPL1A.pdf</t>
  </si>
  <si>
    <t>Melting_Curves/meltCurve_Q9BXW7_2_CECR5.pdf</t>
  </si>
  <si>
    <t>Melting_Curves/meltCurve_Q9BXW9_2_FANCD2.pdf</t>
  </si>
  <si>
    <t>Melting_Curves/meltCurve_Q9BXY0_MAK16.pdf</t>
  </si>
  <si>
    <t>Melting_Curves/meltCurve_Q9BY32_ITPA.pdf</t>
  </si>
  <si>
    <t>Melting_Curves/meltCurve_Q9BY42_RTFDC1.pdf</t>
  </si>
  <si>
    <t>Melting_Curves/meltCurve_Q9BY43_CHMP4A.pdf</t>
  </si>
  <si>
    <t>Melting_Curves/meltCurve_Q9BY67_2_CADM1.pdf</t>
  </si>
  <si>
    <t>Melting_Curves/meltCurve_Q9BY77_POLDIP3.pdf</t>
  </si>
  <si>
    <t>Melting_Curves/meltCurve_Q9BY89_KIAA1671.pdf</t>
  </si>
  <si>
    <t>Melting_Curves/meltCurve_Q9BYB4_GNB1L.pdf</t>
  </si>
  <si>
    <t>Melting_Curves/meltCurve_Q9BYC8_MRPL32.pdf</t>
  </si>
  <si>
    <t>Melting_Curves/meltCurve_Q9BYD1_MRPL13.pdf</t>
  </si>
  <si>
    <t>Melting_Curves/meltCurve_Q9BYD6_MRPL1.pdf</t>
  </si>
  <si>
    <t>Melting_Curves/meltCurve_Q9BYG5_PARD6B.pdf</t>
  </si>
  <si>
    <t>Melting_Curves/meltCurve_Q9BYJ9_YTHDF1.pdf</t>
  </si>
  <si>
    <t>Melting_Curves/meltCurve_Q9BYM8_RBCK1.pdf</t>
  </si>
  <si>
    <t>Melting_Curves/meltCurve_Q9BYN0_SRXN1.pdf</t>
  </si>
  <si>
    <t>Melting_Curves/meltCurve_Q9BYN8_MRPS26.pdf</t>
  </si>
  <si>
    <t>Melting_Curves/meltCurve_Q9BYT8_NLN.pdf</t>
  </si>
  <si>
    <t>Melting_Curves/meltCurve_Q9BYV8_CEP41.pdf</t>
  </si>
  <si>
    <t>Melting_Curves/meltCurve_Q9BYW2_SETD2.pdf</t>
  </si>
  <si>
    <t>Melting_Curves/meltCurve_Q9BYX2_4_TBC1D2.pdf</t>
  </si>
  <si>
    <t>Melting_Curves/meltCurve_Q9BZ23_3_PANK2.pdf</t>
  </si>
  <si>
    <t>Melting_Curves/meltCurve_Q9BZ29_3_DOCK9.pdf</t>
  </si>
  <si>
    <t>Melting_Curves/meltCurve_Q9BZ67_2_FRMD8.pdf</t>
  </si>
  <si>
    <t>Melting_Curves/meltCurve_Q9BZ95_4_WHSC1L1.pdf</t>
  </si>
  <si>
    <t>Melting_Curves/meltCurve_Q9BZA5_TXLNG2P.pdf</t>
  </si>
  <si>
    <t>Melting_Curves/meltCurve_Q9BZD4_NUF2.pdf</t>
  </si>
  <si>
    <t>Melting_Curves/meltCurve_Q9BZE4_GTPBP4.pdf</t>
  </si>
  <si>
    <t>Melting_Curves/meltCurve_Q9BZE9_ASPSCR1.pdf</t>
  </si>
  <si>
    <t>Melting_Curves/meltCurve_Q9BZG1_RAB34.pdf</t>
  </si>
  <si>
    <t>Melting_Curves/meltCurve_Q9BZH6_WDR11.pdf</t>
  </si>
  <si>
    <t>Melting_Curves/meltCurve_Q9BZI7_2_UPF3B.pdf</t>
  </si>
  <si>
    <t>Melting_Curves/meltCurve_Q9BZJ0_2_CRNKL1.pdf</t>
  </si>
  <si>
    <t>Melting_Curves/meltCurve_Q9BZK7_TBL1XR1.pdf</t>
  </si>
  <si>
    <t>Melting_Curves/meltCurve_Q9BZL1_UBL5.pdf</t>
  </si>
  <si>
    <t>Melting_Curves/meltCurve_Q9BZL4_PPP1R12C.pdf</t>
  </si>
  <si>
    <t>Melting_Curves/meltCurve_Q9BZL4_3_PPP1R12C.pdf</t>
  </si>
  <si>
    <t>Melting_Curves/meltCurve_Q9BZL6_PRKD2.pdf</t>
  </si>
  <si>
    <t>Melting_Curves/meltCurve_Q9BZX2_UCK2.pdf</t>
  </si>
  <si>
    <t>Melting_Curves/meltCurve_Q9BZZ5_2_API5.pdf</t>
  </si>
  <si>
    <t>Melting_Curves/meltCurve_Q9C005_DPY30.pdf</t>
  </si>
  <si>
    <t>Melting_Curves/meltCurve_Q9C026_5_TRIM9.pdf</t>
  </si>
  <si>
    <t>Melting_Curves/meltCurve_Q9C029_1_TRIM7.pdf</t>
  </si>
  <si>
    <t>Melting_Curves/meltCurve_Q9C035_2_TRIM5.pdf</t>
  </si>
  <si>
    <t>Melting_Curves/meltCurve_Q9C073_FAM117A.pdf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</si>
  <si>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</si>
  <si>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</si>
  <si>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</si>
  <si>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</si>
  <si>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</si>
  <si>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Melting_Curves/meltCurve_Q9C0C7_4_AMBRA1.pdf</t>
  </si>
  <si>
    <t>Melting_Curves/meltCurve_Q9C0C9_UBE2O.pdf</t>
  </si>
  <si>
    <t>Melting_Curves/meltCurve_Q9C0D3_ZYG11B.pdf</t>
  </si>
  <si>
    <t>Melting_Curves/meltCurve_Q9C0D5_TANC1.pdf</t>
  </si>
  <si>
    <t>Melting_Curves/meltCurve_Q9C0F1_CEP44.pdf</t>
  </si>
  <si>
    <t>Melting_Curves/meltCurve_Q9C0H5_ARHGAP39.pdf</t>
  </si>
  <si>
    <t>Melting_Curves/meltCurve_Q9C0I1_MTMR12.pdf</t>
  </si>
  <si>
    <t>Melting_Curves/meltCurve_Q9C0J8_WDR33.pdf</t>
  </si>
  <si>
    <t>Melting_Curves/meltCurve_Q9GZL7_WDR12.pdf</t>
  </si>
  <si>
    <t>Melting_Curves/meltCurve_Q9GZN8_C20orf27.pdf</t>
  </si>
  <si>
    <t>Melting_Curves/meltCurve_Q9GZP4_PITHD1.pdf</t>
  </si>
  <si>
    <t>Melting_Curves/meltCurve_Q9GZQ3_COMMD5.pdf</t>
  </si>
  <si>
    <t>Melting_Curves/meltCurve_Q9GZR1_2_SENP6.pdf</t>
  </si>
  <si>
    <t>Melting_Curves/meltCurve_Q9GZS1_2_POLR1E.pdf</t>
  </si>
  <si>
    <t>Melting_Curves/meltCurve_Q9GZS3_WDR61.pdf</t>
  </si>
  <si>
    <t>Melting_Curves/meltCurve_Q9GZT3_2_SLIRP.pdf</t>
  </si>
  <si>
    <t>Melting_Curves/meltCurve_Q9GZT4_SRR.pdf</t>
  </si>
  <si>
    <t>Melting_Curves/meltCurve_Q9GZT8_NIF3L1.pdf</t>
  </si>
  <si>
    <t>Melting_Curves/meltCurve_Q9GZT9_EGLN1.pdf</t>
  </si>
  <si>
    <t>Melting_Curves/meltCurve_Q9GZU8_FAM192A.pdf</t>
  </si>
  <si>
    <t>Melting_Curves/meltCurve_Q9GZV1_ANKRD2.pdf</t>
  </si>
  <si>
    <t>Melting_Curves/meltCurve_Q9GZV5_WWTR1.pdf</t>
  </si>
  <si>
    <t>Melting_Curves/meltCurve_Q9GZY8_2_MFF.pdf</t>
  </si>
  <si>
    <t>Melting_Curves/meltCurve_Q9GZZ9_UBA5.pdf</t>
  </si>
  <si>
    <t>Melting_Curves/meltCurve_Q9H008_LHPP.pdf</t>
  </si>
  <si>
    <t>Melting_Curves/meltCurve_Q9H074_PAIP1.pdf</t>
  </si>
  <si>
    <t>Melting_Curves/meltCurve_Q9H078_2_CLPB.pdf</t>
  </si>
  <si>
    <t>Melting_Curves/meltCurve_Q9H081_MIS12.pdf</t>
  </si>
  <si>
    <t>Melting_Curves/meltCurve_Q9H098_FAM107B.pdf</t>
  </si>
  <si>
    <t>Melting_Curves/meltCurve_Q9H0A8_COMMD4.pdf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</si>
  <si>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</si>
  <si>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</si>
  <si>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</si>
  <si>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</si>
  <si>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Melting_Curves/meltCurve_Q9H0E3_3_SAP130.pdf</t>
  </si>
  <si>
    <t>Melting_Curves/meltCurve_Q9H0E9_2_BRD8.pdf</t>
  </si>
  <si>
    <t>Melting_Curves/meltCurve_Q9H0F6_SHARPIN.pdf</t>
  </si>
  <si>
    <t>Melting_Curves/meltCurve_Q9H0F7_ARL6.pdf</t>
  </si>
  <si>
    <t>Melting_Curves/meltCurve_Q9H0G5_NSRP1.pdf</t>
  </si>
  <si>
    <t>Melting_Curves/meltCurve_Q9H0H3_KLHL25.pdf</t>
  </si>
  <si>
    <t>Melting_Curves/meltCurve_Q9H0H5_RACGAP1.pdf</t>
  </si>
  <si>
    <t>Melting_Curves/meltCurve_Q9H0K1_SIK2.pdf</t>
  </si>
  <si>
    <t>Melting_Curves/meltCurve_Q9H0K6_PUS7L.pdf</t>
  </si>
  <si>
    <t>Melting_Curves/meltCurve_Q9H0L4_CSTF2T.pdf</t>
  </si>
  <si>
    <t>Melting_Curves/meltCurve_Q9H0P0_1_NT5C3A.pdf</t>
  </si>
  <si>
    <t>Melting_Curves/meltCurve_Q9H0R1_AP5M1.pdf</t>
  </si>
  <si>
    <t>Melting_Curves/meltCurve_Q9H0R4_HDHD2.pdf</t>
  </si>
  <si>
    <t>Melting_Curves/meltCurve_Q9H0S4_2_DDX47.pdf</t>
  </si>
  <si>
    <t>Melting_Curves/meltCurve_Q9H0U4_RAB1B.pdf</t>
  </si>
  <si>
    <t>Melting_Curves/meltCurve_Q9H0U9_TSPYL1.pdf</t>
  </si>
  <si>
    <t>Melting_Curves/meltCurve_Q9H0W8_SMG9.pdf</t>
  </si>
  <si>
    <t>Melting_Curves/meltCurve_Q9H0W9_2_C11orf54.pdf</t>
  </si>
  <si>
    <t>Melting_Curves/meltCurve_Q9H147_DNTTIP1.pdf</t>
  </si>
  <si>
    <t>Melting_Curves/meltCurve_Q9H173_SIL1.pdf</t>
  </si>
  <si>
    <t>Melting_Curves/meltCurve_Q9H1A4_ANAPC1.pdf</t>
  </si>
  <si>
    <t>Melting_Curves/meltCurve_Q9H1B7_IRF2BPL.pdf</t>
  </si>
  <si>
    <t>Melting_Curves/meltCurve_Q9H1D9_POLR3F.pdf</t>
  </si>
  <si>
    <t>Melting_Curves/meltCurve_Q9H1E3_NUCKS1.pdf</t>
  </si>
  <si>
    <t>Melting_Curves/meltCurve_Q9H1H9_3_KIF13A.pdf</t>
  </si>
  <si>
    <t>Melting_Curves/meltCurve_Q9H1I8_3_ASCC2.pdf</t>
  </si>
  <si>
    <t>Melting_Curves/meltCurve_Q9H1J1_2_UPF3A.pdf</t>
  </si>
  <si>
    <t>Melting_Curves/meltCurve_Q9H1K0_ZFYVE20.pdf</t>
  </si>
  <si>
    <t>Melting_Curves/meltCurve_Q9H1K1_ISCU.pdf</t>
  </si>
  <si>
    <t>Melting_Curves/meltCurve_Q9H1K6_MESDC1.pdf</t>
  </si>
  <si>
    <t>Melting_Curves/meltCurve_Q9H1P3_2_OSBPL2.pdf</t>
  </si>
  <si>
    <t>Melting_Curves/meltCurve_Q9H1U4_MEGF9.pdf</t>
  </si>
  <si>
    <t>Melting_Curves/meltCurve_Q9H1Y0_ATG5.pdf</t>
  </si>
  <si>
    <t>Melting_Curves/meltCurve_Q9H1Z4_WDR13.pdf</t>
  </si>
  <si>
    <t>Melting_Curves/meltCurve_Q9H204_MED28.pdf</t>
  </si>
  <si>
    <t>Melting_Curves/meltCurve_Q9H211_CDT1.pdf</t>
  </si>
  <si>
    <t>Melting_Curves/meltCurve_Q9H223_EHD4.pdf</t>
  </si>
  <si>
    <t>Melting_Curves/meltCurve_Q9H267_VPS33B.pdf</t>
  </si>
  <si>
    <t>Melting_Curves/meltCurve_Q9H269_VPS16.pdf</t>
  </si>
  <si>
    <t>Melting_Curves/meltCurve_Q9H270_VPS11.pdf</t>
  </si>
  <si>
    <t>Melting_Curves/meltCurve_Q9H2C0_GAN.pdf</t>
  </si>
  <si>
    <t>Melting_Curves/meltCurve_Q9H2D6_3_TRIOBP.pdf</t>
  </si>
  <si>
    <t>Melting_Curves/meltCurve_Q9H2G2_SLK.pdf</t>
  </si>
  <si>
    <t>Melting_Curves/meltCurve_Q9H2H8_PPIL3.pdf</t>
  </si>
  <si>
    <t>Melting_Curves/meltCurve_Q9H2J4_PDCL3.pdf</t>
  </si>
  <si>
    <t>Melting_Curves/meltCurve_Q9H2K8_TAOK3.pdf</t>
  </si>
  <si>
    <t>Melting_Curves/meltCurve_Q9H2M9_RAB3GAP2.pdf</t>
  </si>
  <si>
    <t>Melting_Curves/meltCurve_Q9H2P0_ADNP.pdf</t>
  </si>
  <si>
    <t>Melting_Curves/meltCurve_Q9H2P9_3_DPH5.pdf</t>
  </si>
  <si>
    <t>Melting_Curves/meltCurve_Q9H2U1_3_DHX36.pdf</t>
  </si>
  <si>
    <t>Melting_Curves/meltCurve_Q9H2U2_PPA2.pdf</t>
  </si>
  <si>
    <t>Melting_Curves/meltCurve_Q9H2W6_MRPL46.pdf</t>
  </si>
  <si>
    <t>Melting_Curves/meltCurve_Q9H2Y7_ZNF106.pdf</t>
  </si>
  <si>
    <t>Melting_Curves/meltCurve_Q9H307_PNN.pdf</t>
  </si>
  <si>
    <t>Melting_Curves/meltCurve_Q9H3F6_KCTD10.pdf</t>
  </si>
  <si>
    <t>Melting_Curves/meltCurve_Q9H3H1_4_TRIT1.pdf</t>
  </si>
  <si>
    <t>Melting_Curves/meltCurve_Q9H3H3_2_C11orf68.pdf</t>
  </si>
  <si>
    <t>Melting_Curves/meltCurve_Q9H3K6_BOLA2.pdf</t>
  </si>
  <si>
    <t>Melting_Curves/meltCurve_Q9H3L0_MMADHC.pdf</t>
  </si>
  <si>
    <t>Melting_Curves/meltCurve_Q9H3N1_TMX1.pdf</t>
  </si>
  <si>
    <t>Melting_Curves/meltCurve_Q9H3P2_NELFA.pdf</t>
  </si>
  <si>
    <t>Melting_Curves/meltCurve_Q9H3P7_ACBD3.pdf</t>
  </si>
  <si>
    <t>Melting_Curves/meltCurve_Q9H3Q1_CDC42EP4.pdf</t>
  </si>
  <si>
    <t>Melting_Curves/meltCurve_Q9H3S7_PTPN23.pdf</t>
  </si>
  <si>
    <t>Melting_Curves/meltCurve_Q9H3U1_UNC45A.pdf</t>
  </si>
  <si>
    <t>Melting_Curves/meltCurve_Q9H3Y8_PPDPF.pdf</t>
  </si>
  <si>
    <t>Melting_Curves/meltCurve_Q9H410_DSN1.pdf</t>
  </si>
  <si>
    <t>Melting_Curves/meltCurve_Q9H425_C1orf198.pdf</t>
  </si>
  <si>
    <t>Melting_Curves/meltCurve_Q9H444_CHMP4B.pdf</t>
  </si>
  <si>
    <t>Melting_Curves/meltCurve_Q9H461_FZD8.pdf</t>
  </si>
  <si>
    <t>Melting_Curves/meltCurve_Q9H467_CUEDC2.pdf</t>
  </si>
  <si>
    <t>Melting_Curves/meltCurve_Q9H479_FN3K.pdf</t>
  </si>
  <si>
    <t>Melting_Curves/meltCurve_Q9H488_POFUT1.pdf</t>
  </si>
  <si>
    <t>Melting_Curves/meltCurve_Q9H492_MAP1LC3A.pdf</t>
  </si>
  <si>
    <t>Melting_Curves/meltCurve_Q9H496_IFRG15.pdf</t>
  </si>
  <si>
    <t>Melting_Curves/meltCurve_Q9H497_2_TOR3A.pdf</t>
  </si>
  <si>
    <t>Melting_Curves/meltCurve_Q9H4A4_RNPEP.pdf</t>
  </si>
  <si>
    <t>Melting_Curves/meltCurve_Q9H4A5_GOLPH3L.pdf</t>
  </si>
  <si>
    <t>Melting_Curves/meltCurve_Q9H4A6_GOLPH3.pdf</t>
  </si>
  <si>
    <t>Melting_Curves/meltCurve_Q9H4B0_OSGEPL1.pdf</t>
  </si>
  <si>
    <t>Melting_Curves/meltCurve_Q9H4B6_SAV1.pdf</t>
  </si>
  <si>
    <t>Melting_Curves/meltCurve_Q9H4G0_EPB41L1.pdf</t>
  </si>
  <si>
    <t>Melting_Curves/meltCurve_Q9H4G0_2_EPB41L1.pdf</t>
  </si>
  <si>
    <t>Melting_Curves/meltCurve_Q9H4G0_4_EPB41L1.pdf</t>
  </si>
  <si>
    <t>Melting_Curves/meltCurve_Q9H4H8_FAM83D.pdf</t>
  </si>
  <si>
    <t>Melting_Curves/meltCurve_Q9H4L7_SMARCAD1.pdf</t>
  </si>
  <si>
    <t>Melting_Curves/meltCurve_Q9H4M9_EHD1.pdf</t>
  </si>
  <si>
    <t>Melting_Curves/meltCurve_Q9H4P4_2_RNF41.pdf</t>
  </si>
  <si>
    <t>Melting_Curves/meltCurve_Q9H4Z3_PCIF1.pdf</t>
  </si>
  <si>
    <t>Melting_Curves/meltCurve_Q9H501_ESF1.pdf</t>
  </si>
  <si>
    <t>Melting_Curves/meltCurve_Q9H582_2_ZNF644.pdf</t>
  </si>
  <si>
    <t>Melting_Curves/meltCurve_Q9H5N1_RABEP2.pdf</t>
  </si>
  <si>
    <t>Melting_Curves/meltCurve_Q9H5Q4_TFB2M.pdf</t>
  </si>
  <si>
    <t>Melting_Curves/meltCurve_Q9H5V9_3_CXorf56.pdf</t>
  </si>
  <si>
    <t>Melting_Curves/meltCurve_Q9H5X1_FAM96A.pdf</t>
  </si>
  <si>
    <t>Melting_Curves/meltCurve_Q9H672_ASB7.pdf</t>
  </si>
  <si>
    <t>Melting_Curves/meltCurve_Q9H694_BICC1.pdf</t>
  </si>
  <si>
    <t>Melting_Curves/meltCurve_Q9H6A9_PCNXL3.pdf</t>
  </si>
  <si>
    <t>Melting_Curves/meltCurve_Q9H6D7_HAUS4.pdf</t>
  </si>
  <si>
    <t>Melting_Curves/meltCurve_Q9H6E4_CCDC134.pdf</t>
  </si>
  <si>
    <t>Melting_Curves/meltCurve_Q9H6E5_TUT1.pdf</t>
  </si>
  <si>
    <t>Melting_Curves/meltCurve_Q9H6F5_CCDC86.pdf</t>
  </si>
  <si>
    <t>Melting_Curves/meltCurve_Q9H6K1_C6orf106.pdf</t>
  </si>
  <si>
    <t>Melting_Curves/meltCurve_Q9H6L4_ARMC7.pdf</t>
  </si>
  <si>
    <t>Melting_Curves/meltCurve_Q9H6Q4_NARFL.pdf</t>
  </si>
  <si>
    <t>Melting_Curves/meltCurve_Q9H6R4_2_NOL6.pdf</t>
  </si>
  <si>
    <t>Melting_Curves/meltCurve_Q9H6R7_2_C2orf44.pdf</t>
  </si>
  <si>
    <t>Melting_Curves/meltCurve_Q9H6S0_YTHDC2.pdf</t>
  </si>
  <si>
    <t>Melting_Curves/meltCurve_Q9H6S1_AZI2.pdf</t>
  </si>
  <si>
    <t>Melting_Curves/meltCurve_Q9H6S3_EPS8L2.pdf</t>
  </si>
  <si>
    <t>Melting_Curves/meltCurve_Q9H6T3_2_RPAP3.pdf</t>
  </si>
  <si>
    <t>Melting_Curves/meltCurve_Q9H6U6_2_BCAS3.pdf</t>
  </si>
  <si>
    <t>Melting_Curves/meltCurve_Q9H6W3_NO66.pdf</t>
  </si>
  <si>
    <t>Melting_Curves/meltCurve_Q9H6X2_ANTXR1.pdf</t>
  </si>
  <si>
    <t>Melting_Curves/meltCurve_Q9H6Y2_WDR55.pdf</t>
  </si>
  <si>
    <t>Melting_Curves/meltCurve_Q9H6Z4_2_RANBP3.pdf</t>
  </si>
  <si>
    <t>Melting_Curves/meltCurve_Q9H773_DCTPP1.pdf</t>
  </si>
  <si>
    <t>Melting_Curves/meltCurve_Q9H788_SH2D4A.pdf</t>
  </si>
  <si>
    <t>Melting_Curves/meltCurve_Q9H792_PEAK1.pdf</t>
  </si>
  <si>
    <t>Melting_Curves/meltCurve_Q9H7B4_SMYD3.pdf</t>
  </si>
  <si>
    <t>Melting_Curves/meltCurve_Q9H7C4_2_SYNC.pdf</t>
  </si>
  <si>
    <t>Melting_Curves/meltCurve_Q9H7C9_AAMDC.pdf</t>
  </si>
  <si>
    <t>Melting_Curves/meltCurve_Q9H7D0_DOCK5.pdf</t>
  </si>
  <si>
    <t>Melting_Curves/meltCurve_Q9H7D7_2_WDR26.pdf</t>
  </si>
  <si>
    <t>Melting_Curves/meltCurve_Q9H7E2_3_TDRD3.pdf</t>
  </si>
  <si>
    <t>Melting_Curves/meltCurve_Q9H7E9_C8orf33.pdf</t>
  </si>
  <si>
    <t>Melting_Curves/meltCurve_Q9H7L9_SUDS3.pdf</t>
  </si>
  <si>
    <t>Melting_Curves/meltCurve_Q9H7N4_SCAF1.pdf</t>
  </si>
  <si>
    <t>Melting_Curves/meltCurve_Q9H7P9_PLEKHG2.pdf</t>
  </si>
  <si>
    <t>Melting_Curves/meltCurve_Q9H7R5_2_ZNF665.pdf</t>
  </si>
  <si>
    <t>Melting_Curves/meltCurve_Q9H7S9_ZNF703.pdf</t>
  </si>
  <si>
    <t>Melting_Curves/meltCurve_Q9H7U1_3_CCSER2.pdf</t>
  </si>
  <si>
    <t>Melting_Curves/meltCurve_Q9H7X3_ZNF696.pdf</t>
  </si>
  <si>
    <t>Melting_Curves/meltCurve_Q9H7X7_2_RABL5.pdf</t>
  </si>
  <si>
    <t>Melting_Curves/meltCurve_Q9H7Z6_KAT8.pdf</t>
  </si>
  <si>
    <t>Melting_Curves/meltCurve_Q9H7Z7_PTGES2.pdf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</si>
  <si>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</si>
  <si>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</si>
  <si>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</si>
  <si>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</si>
  <si>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Melting_Curves/meltCurve_Q9H857_2_NT5DC2.pdf</t>
  </si>
  <si>
    <t>Melting_Curves/meltCurve_Q9H869_7_YY1AP1.pdf</t>
  </si>
  <si>
    <t>Melting_Curves/meltCurve_Q9H875_PRKRIP1.pdf</t>
  </si>
  <si>
    <t>Melting_Curves/meltCurve_Q9H8E8_CSRP2BP.pdf</t>
  </si>
  <si>
    <t>Melting_Curves/meltCurve_Q9H8G2_CAAP1.pdf</t>
  </si>
  <si>
    <t>Melting_Curves/meltCurve_Q9H8H0_NOL11.pdf</t>
  </si>
  <si>
    <t>Melting_Curves/meltCurve_Q9H8K7_C10orf88.pdf</t>
  </si>
  <si>
    <t>Melting_Curves/meltCurve_Q9H8M2_BRD9.pdf</t>
  </si>
  <si>
    <t>Melting_Curves/meltCurve_Q9H8M7_FAM188A.pdf</t>
  </si>
  <si>
    <t>Melting_Curves/meltCurve_Q9H8S9_MOB1A.pdf</t>
  </si>
  <si>
    <t>Melting_Curves/meltCurve_Q9H8U3_ZFAND3.pdf</t>
  </si>
  <si>
    <t>Melting_Curves/meltCurve_Q9H8V3_ECT2.pdf</t>
  </si>
  <si>
    <t>Melting_Curves/meltCurve_Q9H8W4_PLEKHF2.pdf</t>
  </si>
  <si>
    <t>Melting_Curves/meltCurve_Q9H8Y5_ANKZF1.pdf</t>
  </si>
  <si>
    <t>Melting_Curves/meltCurve_Q9H8Y8_GORASP2.pdf</t>
  </si>
  <si>
    <t>Melting_Curves/meltCurve_Q9H900_ZWILCH.pdf</t>
  </si>
  <si>
    <t>Melting_Curves/meltCurve_Q9H910_2_HN1L.pdf</t>
  </si>
  <si>
    <t>Melting_Curves/meltCurve_Q9H944_MED20.pdf</t>
  </si>
  <si>
    <t>Melting_Curves/meltCurve_Q9H974_QTRTD1.pdf</t>
  </si>
  <si>
    <t>Melting_Curves/meltCurve_Q9H977_WDR54.pdf</t>
  </si>
  <si>
    <t>Melting_Curves/meltCurve_Q9H981_ACTR8.pdf</t>
  </si>
  <si>
    <t>Melting_Curves/meltCurve_Q9H992_MARCH7.pdf</t>
  </si>
  <si>
    <t>Melting_Curves/meltCurve_Q9H993_C6orf211.pdf</t>
  </si>
  <si>
    <t>Melting_Curves/meltCurve_Q9H999_PANK3.pdf</t>
  </si>
  <si>
    <t>Melting_Curves/meltCurve_Q9H9A5_2_CNOT10.pdf</t>
  </si>
  <si>
    <t>Melting_Curves/meltCurve_Q9H9A6_LRRC40.pdf</t>
  </si>
  <si>
    <t>Melting_Curves/meltCurve_Q9H9A7_RMI1.pdf</t>
  </si>
  <si>
    <t>Melting_Curves/meltCurve_Q9H9B1_EHMT1.pdf</t>
  </si>
  <si>
    <t>Melting_Curves/meltCurve_Q9H9C1_VIPAS39.pdf</t>
  </si>
  <si>
    <t>Melting_Curves/meltCurve_Q9H9D4_ZNF408.pdf</t>
  </si>
  <si>
    <t>Melting_Curves/meltCurve_Q9H9E3_COG4.pdf</t>
  </si>
  <si>
    <t>Melting_Curves/meltCurve_Q9H9F9_ACTR5.pdf</t>
  </si>
  <si>
    <t>Melting_Curves/meltCurve_Q9H9H4_VPS37B.pdf</t>
  </si>
  <si>
    <t>Melting_Curves/meltCurve_Q9H9J2_MRPL44.pdf</t>
  </si>
  <si>
    <t>Melting_Curves/meltCurve_Q9H9R9_DBNDD1.pdf</t>
  </si>
  <si>
    <t>Melting_Curves/meltCurve_Q9H9T3_2_ELP3.pdf</t>
  </si>
  <si>
    <t>Melting_Curves/meltCurve_Q9H9V9_2_JMJD4.pdf</t>
  </si>
  <si>
    <t>Melting_Curves/meltCurve_Q9HA47_3_UCK1.pdf</t>
  </si>
  <si>
    <t>Melting_Curves/meltCurve_Q9HA64_FN3KRP.pdf</t>
  </si>
  <si>
    <t>Melting_Curves/meltCurve_Q9HA65_TBC1D17.pdf</t>
  </si>
  <si>
    <t>Melting_Curves/meltCurve_Q9HA77_CARS2.pdf</t>
  </si>
  <si>
    <t>Melting_Curves/meltCurve_Q9HAB8_PPCS.pdf</t>
  </si>
  <si>
    <t>Melting_Curves/meltCurve_Q9HAD4_WDR41.pdf</t>
  </si>
  <si>
    <t>Melting_Curves/meltCurve_Q9HAF1_2_MEAF6.pdf</t>
  </si>
  <si>
    <t>Melting_Curves/meltCurve_Q9HAJ7_SAP30L.pdf</t>
  </si>
  <si>
    <t>Melting_Curves/meltCurve_Q9HAP2_MLXIP.pdf</t>
  </si>
  <si>
    <t>Melting_Curves/meltCurve_Q9HAT2_2_SIAE.pdf</t>
  </si>
  <si>
    <t>Melting_Curves/meltCurve_Q9HAU0_PLEKHA5.pdf</t>
  </si>
  <si>
    <t>Melting_Curves/meltCurve_Q9HAU5_UPF2.pdf</t>
  </si>
  <si>
    <t>Melting_Curves/meltCurve_Q9HAV4_XPO5.pdf</t>
  </si>
  <si>
    <t>Melting_Curves/meltCurve_Q9HAV7_GRPEL1.pdf</t>
  </si>
  <si>
    <t>Melting_Curves/meltCurve_Q9HAW4_2_CLSPN.pdf</t>
  </si>
  <si>
    <t>Melting_Curves/meltCurve_Q9HAY6_BCMO1.pdf</t>
  </si>
  <si>
    <t>Melting_Curves/meltCurve_Q9HB07_C12orf10.pdf</t>
  </si>
  <si>
    <t>Melting_Curves/meltCurve_Q9HB09_3_BCL2L12.pdf</t>
  </si>
  <si>
    <t>Melting_Curves/meltCurve_Q9HB19_PLEKHA2.pdf</t>
  </si>
  <si>
    <t>Melting_Curves/meltCurve_Q9HB20_PLEKHA3.pdf</t>
  </si>
  <si>
    <t>Melting_Curves/meltCurve_Q9HB21_PLEKHA1.pdf</t>
  </si>
  <si>
    <t>Melting_Curves/meltCurve_Q9HB40_SCPEP1.pdf</t>
  </si>
  <si>
    <t>Melting_Curves/meltCurve_Q9HB71_CACYBP.pdf</t>
  </si>
  <si>
    <t>Melting_Curves/meltCurve_Q9HB90_RRAGC.pdf</t>
  </si>
  <si>
    <t>Melting_Curves/meltCurve_Q9HB96_FANCE.pdf</t>
  </si>
  <si>
    <t>Melting_Curves/meltCurve_Q9HBE1_4_PATZ1.pdf</t>
  </si>
  <si>
    <t>Melting_Curves/meltCurve_Q9HBH0_RHOF.pdf</t>
  </si>
  <si>
    <t>Melting_Curves/meltCurve_Q9HBH1_PDF.pdf</t>
  </si>
  <si>
    <t>Melting_Curves/meltCurve_Q9HBI1_PARVB.pdf</t>
  </si>
  <si>
    <t>Melting_Curves/meltCurve_Q9HBK9_AS3MT.pdf</t>
  </si>
  <si>
    <t>Melting_Curves/meltCurve_Q9HBL8_NMRAL1.pdf</t>
  </si>
  <si>
    <t>Melting_Curves/meltCurve_Q9HBM1_SPC25.pdf</t>
  </si>
  <si>
    <t>Melting_Curves/meltCurve_Q9HBR0_SLC38A10.pdf</t>
  </si>
  <si>
    <t>Melting_Curves/meltCurve_Q9HBU6_ETNK1.pdf</t>
  </si>
  <si>
    <t>Melting_Curves/meltCurve_Q9HBZ2_2_ARNT2.pdf</t>
  </si>
  <si>
    <t>Melting_Curves/meltCurve_Q9HC35_EML4.pdf</t>
  </si>
  <si>
    <t>Melting_Curves/meltCurve_Q9HC38_2_GLOD4.pdf</t>
  </si>
  <si>
    <t>Melting_Curves/meltCurve_Q9HC52_CBX8.pdf</t>
  </si>
  <si>
    <t>Melting_Curves/meltCurve_Q9HCC0_MCCC2.pdf</t>
  </si>
  <si>
    <t>Melting_Curves/meltCurve_Q9HCC9_5_ZFYVE28.pdf</t>
  </si>
  <si>
    <t>Melting_Curves/meltCurve_Q9HCD5_NCOA5.pdf</t>
  </si>
  <si>
    <t>Melting_Curves/meltCurve_Q9HCD6_TANC2.pdf</t>
  </si>
  <si>
    <t>Melting_Curves/meltCurve_Q9HCE0_2_EPG5.pdf</t>
  </si>
  <si>
    <t>Melting_Curves/meltCurve_Q9HCE3_ZNF532.pdf</t>
  </si>
  <si>
    <t>Melting_Curves/meltCurve_Q9HCE5_METTL14.pdf</t>
  </si>
  <si>
    <t>Melting_Curves/meltCurve_Q9HCE6_3_ARHGEF10L.pdf</t>
  </si>
  <si>
    <t>Melting_Curves/meltCurve_Q9HCE7_2_SMURF1.pdf</t>
  </si>
  <si>
    <t>Melting_Curves/meltCurve_Q9HCH0_NCKAP5L.pdf</t>
  </si>
  <si>
    <t>Melting_Curves/meltCurve_Q9HCJ0_TNRC6C.pdf</t>
  </si>
  <si>
    <t>Melting_Curves/meltCurve_Q9HCJ3_2_RAVER2.pdf</t>
  </si>
  <si>
    <t>Melting_Curves/meltCurve_Q9HCK8_CHD8.pdf</t>
  </si>
  <si>
    <t>Melting_Curves/meltCurve_Q9HCN4_3_GPN1.pdf</t>
  </si>
  <si>
    <t>Melting_Curves/meltCurve_Q9HCN8_SDF2L1.pdf</t>
  </si>
  <si>
    <t>Melting_Curves/meltCurve_Q9HCR9_PDE11A.pdf</t>
  </si>
  <si>
    <t>Melting_Curves/meltCurve_Q9HCU8_POLD4.pdf</t>
  </si>
  <si>
    <t>Melting_Curves/meltCurve_Q9HD15_SRA1.pdf</t>
  </si>
  <si>
    <t>Melting_Curves/meltCurve_Q9HD26_2_GOPC.pdf</t>
  </si>
  <si>
    <t>Melting_Curves/meltCurve_Q9HD42_CHMP1A.pdf</t>
  </si>
  <si>
    <t>Melting_Curves/meltCurve_Q9HD47_2_RANGRF.pdf</t>
  </si>
  <si>
    <t>Melting_Curves/meltCurve_Q9HD67_MYO10.pdf</t>
  </si>
  <si>
    <t>Melting_Curves/meltCurve_Q9NNW5_WDR6.pdf</t>
  </si>
  <si>
    <t>Melting_Curves/meltCurve_Q9NNX1_2_TUFT1.pdf</t>
  </si>
  <si>
    <t>Melting_Curves/meltCurve_Q9NP61_ARFGAP3.pdf</t>
  </si>
  <si>
    <t>Melting_Curves/meltCurve_Q9NP66_HMG20A.pdf</t>
  </si>
  <si>
    <t>Melting_Curves/meltCurve_Q9NP72_RAB18.pdf</t>
  </si>
  <si>
    <t>Melting_Curves/meltCurve_Q9NP73_2_ALG13.pdf</t>
  </si>
  <si>
    <t>Melting_Curves/meltCurve_Q9NP74_PALMD.pdf</t>
  </si>
  <si>
    <t>Melting_Curves/meltCurve_Q9NP77_SSU72.pdf</t>
  </si>
  <si>
    <t>Melting_Curves/meltCurve_Q9NP79_VTA1.pdf</t>
  </si>
  <si>
    <t>Melting_Curves/meltCurve_Q9NP97_DYNLRB1.pdf</t>
  </si>
  <si>
    <t>Melting_Curves/meltCurve_Q9NPA3_MID1IP1.pdf</t>
  </si>
  <si>
    <t>Melting_Curves/meltCurve_Q9NPA5_2_ZFP64.pdf</t>
  </si>
  <si>
    <t>Melting_Curves/meltCurve_Q9NPA8_2_ENY2.pdf</t>
  </si>
  <si>
    <t>Melting_Curves/meltCurve_Q9NPB8_GPCPD1.pdf</t>
  </si>
  <si>
    <t>Melting_Curves/meltCurve_Q9NPD3_EXOSC4.pdf</t>
  </si>
  <si>
    <t>Melting_Curves/meltCurve_Q9NPD8_UBE2T.pdf</t>
  </si>
  <si>
    <t>Melting_Curves/meltCurve_Q9NPE3_NOP10.pdf</t>
  </si>
  <si>
    <t>Melting_Curves/meltCurve_Q9NPF0_CD320.pdf</t>
  </si>
  <si>
    <t>Melting_Curves/meltCurve_Q9NPF4_OSGEP.pdf</t>
  </si>
  <si>
    <t>Melting_Curves/meltCurve_Q9NPF5_DMAP1.pdf</t>
  </si>
  <si>
    <t>Melting_Curves/meltCurve_Q9NPG3_2_UBN1.pdf</t>
  </si>
  <si>
    <t>Melting_Curves/meltCurve_Q9NPH0_ACP6.pdf</t>
  </si>
  <si>
    <t>Melting_Curves/meltCurve_Q9NPI6_DCP1A.pdf</t>
  </si>
  <si>
    <t>Melting_Curves/meltCurve_Q9NPJ3_ACOT13.pdf</t>
  </si>
  <si>
    <t>Melting_Curves/meltCurve_Q9NPJ6_MED4.pdf</t>
  </si>
  <si>
    <t>Melting_Curves/meltCurve_Q9NPQ8_4_RIC8A.pdf</t>
  </si>
  <si>
    <t>Melting_Curves/meltCurve_Q9NQ29_LUC7L.pdf</t>
  </si>
  <si>
    <t>Melting_Curves/meltCurve_Q9NQ88_TIGAR.pdf</t>
  </si>
  <si>
    <t>Melting_Curves/meltCurve_Q9NQ89_C12orf4.pdf</t>
  </si>
  <si>
    <t>Melting_Curves/meltCurve_Q9NQ92_COPRS.pdf</t>
  </si>
  <si>
    <t>Melting_Curves/meltCurve_Q9NQA3_WASH6P.pdf</t>
  </si>
  <si>
    <t>Melting_Curves/meltCurve_Q9NQC3_RTN4.pdf</t>
  </si>
  <si>
    <t>Melting_Curves/meltCurve_Q9NQE9_HINT3.pdf</t>
  </si>
  <si>
    <t>Melting_Curves/meltCurve_Q9NQG5_RPRD1B.pdf</t>
  </si>
  <si>
    <t>Melting_Curves/meltCurve_Q9NQH7_2_XPNPEP3.pdf</t>
  </si>
  <si>
    <t>Melting_Curves/meltCurve_Q9NQP4_PFDN4.pdf</t>
  </si>
  <si>
    <t>Melting_Curves/meltCurve_Q9NQR4_NIT2.pdf</t>
  </si>
  <si>
    <t>Melting_Curves/meltCurve_Q9NQS1_AVEN.pdf</t>
  </si>
  <si>
    <t>Melting_Curves/meltCurve_Q9NQS3_PVRL3.pdf</t>
  </si>
  <si>
    <t>Melting_Curves/meltCurve_Q9NQS7_2_INCENP.pdf</t>
  </si>
  <si>
    <t>Melting_Curves/meltCurve_Q9NQT4_EXOSC5.pdf</t>
  </si>
  <si>
    <t>Melting_Curves/meltCurve_Q9NQT5_EXOSC3.pdf</t>
  </si>
  <si>
    <t>Melting_Curves/meltCurve_Q9NQT8_KIF13B.pdf</t>
  </si>
  <si>
    <t>Melting_Curves/meltCurve_Q9NQW6_ANLN.pdf</t>
  </si>
  <si>
    <t>Melting_Curves/meltCurve_Q9NQW7_3_XPNPEP1.pdf</t>
  </si>
  <si>
    <t>Melting_Curves/meltCurve_Q9NQX3_GPHN.pdf</t>
  </si>
  <si>
    <t>Melting_Curves/meltCurve_Q9NQY0_BIN3.pdf</t>
  </si>
  <si>
    <t>Melting_Curves/meltCurve_Q9NQZ5_STARD7.pdf</t>
  </si>
  <si>
    <t>Melting_Curves/meltCurve_Q9NR09_BIRC6.pdf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</si>
  <si>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</si>
  <si>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</si>
  <si>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</si>
  <si>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</si>
  <si>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</si>
  <si>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</si>
  <si>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</si>
  <si>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Melting_Curves/meltCurve_Q9NR46_SH3GLB2.pdf</t>
  </si>
  <si>
    <t>Melting_Curves/meltCurve_Q9NR50_EIF2B3.pdf</t>
  </si>
  <si>
    <t>Melting_Curves/meltCurve_Q9NRF2_3_SH2B1.pdf</t>
  </si>
  <si>
    <t>Melting_Curves/meltCurve_Q9NRF8_CTPS2.pdf</t>
  </si>
  <si>
    <t>Melting_Curves/meltCurve_Q9NRF9_POLE3.pdf</t>
  </si>
  <si>
    <t>Melting_Curves/meltCurve_Q9NRG0_CHRAC1.pdf</t>
  </si>
  <si>
    <t>Melting_Curves/meltCurve_Q9NRG1_PRTFDC1.pdf</t>
  </si>
  <si>
    <t>Melting_Curves/meltCurve_Q9NRG4_SMYD2.pdf</t>
  </si>
  <si>
    <t>Melting_Curves/meltCurve_Q9NRH1_YAE1D1.pdf</t>
  </si>
  <si>
    <t>Melting_Curves/meltCurve_Q9NRJ4_TULP4.pdf</t>
  </si>
  <si>
    <t>Melting_Curves/meltCurve_Q9NRL2_2_BAZ1A.pdf</t>
  </si>
  <si>
    <t>Melting_Curves/meltCurve_Q9NRL3_STRN4.pdf</t>
  </si>
  <si>
    <t>Melting_Curves/meltCurve_Q9NRN7_AASDHPPT.pdf</t>
  </si>
  <si>
    <t>Melting_Curves/meltCurve_Q9NRN9_METTL5.pdf</t>
  </si>
  <si>
    <t>Melting_Curves/meltCurve_Q9NRR5_UBQLN4.pdf</t>
  </si>
  <si>
    <t>Melting_Curves/meltCurve_Q9NRS6_SNX15.pdf</t>
  </si>
  <si>
    <t>Melting_Curves/meltCurve_Q9NRV9_HEBP1.pdf</t>
  </si>
  <si>
    <t>Melting_Curves/meltCurve_Q9NRW7_VPS45.pdf</t>
  </si>
  <si>
    <t>Melting_Curves/meltCurve_Q9NRX1_PNO1.pdf</t>
  </si>
  <si>
    <t>Melting_Curves/meltCurve_Q9NRX4_PHPT1.pdf</t>
  </si>
  <si>
    <t>Melting_Curves/meltCurve_Q9NRY2_INIP.pdf</t>
  </si>
  <si>
    <t>Melting_Curves/meltCurve_Q9NRY4_ARHGAP35.pdf</t>
  </si>
  <si>
    <t>Melting_Curves/meltCurve_Q9NRY5_FAM114A2.pdf</t>
  </si>
  <si>
    <t>Melting_Curves/meltCurve_Q9NRZ9_3_HELLS.pdf</t>
  </si>
  <si>
    <t>Melting_Curves/meltCurve_Q9NS18_GLRX2.pdf</t>
  </si>
  <si>
    <t>Melting_Curves/meltCurve_Q9NS37_CREBZF.pdf</t>
  </si>
  <si>
    <t>Melting_Curves/meltCurve_Q9NS73_3_MBIP.pdf</t>
  </si>
  <si>
    <t>Melting_Curves/meltCurve_Q9NS86_LANCL2.pdf</t>
  </si>
  <si>
    <t>Melting_Curves/meltCurve_Q9NS87_2_KIF15.pdf</t>
  </si>
  <si>
    <t>Melting_Curves/meltCurve_Q9NS91_RAD18.pdf</t>
  </si>
  <si>
    <t>Melting_Curves/meltCurve_Q9NSA3_CTNNBIP1.pdf</t>
  </si>
  <si>
    <t>Melting_Curves/meltCurve_Q9NSB8_2_HOMER2.pdf</t>
  </si>
  <si>
    <t>Melting_Curves/meltCurve_Q9NSC5_5_HOMER3.pdf</t>
  </si>
  <si>
    <t>Melting_Curves/meltCurve_Q9NSD9_FARSB.pdf</t>
  </si>
  <si>
    <t>Melting_Curves/meltCurve_Q9NSE4_IARS2.pdf</t>
  </si>
  <si>
    <t>Melting_Curves/meltCurve_Q9NSI2_2_FAM207A.pdf</t>
  </si>
  <si>
    <t>Melting_Curves/meltCurve_Q9NSK0_KLC4.pdf</t>
  </si>
  <si>
    <t>Melting_Curves/meltCurve_Q9NSY0_NRBP2.pdf</t>
  </si>
  <si>
    <t>Melting_Curves/meltCurve_Q9NSY2_STARD5.pdf</t>
  </si>
  <si>
    <t>Melting_Curves/meltCurve_Q9NT62_ATG3.pdf</t>
  </si>
  <si>
    <t>Melting_Curves/meltCurve_Q9NTG7_SIRT3.pdf</t>
  </si>
  <si>
    <t>Melting_Curves/meltCurve_Q9NTI5_2_PDS5B.pdf</t>
  </si>
  <si>
    <t>Melting_Curves/meltCurve_Q9NTJ3_SMC4.pdf</t>
  </si>
  <si>
    <t>Melting_Curves/meltCurve_Q9NTJ4_3_MAN2C1.pdf</t>
  </si>
  <si>
    <t>Melting_Curves/meltCurve_Q9NTK5_OLA1.pdf</t>
  </si>
  <si>
    <t>Melting_Curves/meltCurve_Q9NTK5_2_OLA1.pdf</t>
  </si>
  <si>
    <t>Melting_Curves/meltCurve_Q9NTM9_CUTC.pdf</t>
  </si>
  <si>
    <t>Melting_Curves/meltCurve_Q9NTX5_6_ECHDC1.pdf</t>
  </si>
  <si>
    <t>Melting_Curves/meltCurve_Q9NTZ6_RBM12.pdf</t>
  </si>
  <si>
    <t>Melting_Curves/meltCurve_Q9NU19_TBC1D22B.pdf</t>
  </si>
  <si>
    <t>Melting_Curves/meltCurve_Q9NU22_MDN1.pdf</t>
  </si>
  <si>
    <t>Melting_Curves/meltCurve_Q9NU23_LYRM2.pdf</t>
  </si>
  <si>
    <t>Melting_Curves/meltCurve_Q9NUG6_PDRG1.pdf</t>
  </si>
  <si>
    <t>Melting_Curves/meltCurve_Q9NUJ1_ABHD10.pdf</t>
  </si>
  <si>
    <t>Melting_Curves/meltCurve_Q9NUJ3_TCP11L1.pdf</t>
  </si>
  <si>
    <t>Melting_Curves/meltCurve_Q9NUL5_2_C19orf66.pdf</t>
  </si>
  <si>
    <t>Melting_Curves/meltCurve_Q9NUM4_TMEM106B.pdf</t>
  </si>
  <si>
    <t>Melting_Curves/meltCurve_Q9NUP1_BLOC1S4.pdf</t>
  </si>
  <si>
    <t>Melting_Curves/meltCurve_Q9NUP7_TRMT13.pdf</t>
  </si>
  <si>
    <t>Melting_Curves/meltCurve_Q9NUP9_LIN7C.pdf</t>
  </si>
  <si>
    <t>Melting_Curves/meltCurve_Q9NUQ3_TXLNG.pdf</t>
  </si>
  <si>
    <t>Melting_Curves/meltCurve_Q9NUQ6_2_SPATS2L.pdf</t>
  </si>
  <si>
    <t>Melting_Curves/meltCurve_Q9NUQ8_ABCF3.pdf</t>
  </si>
  <si>
    <t>Melting_Curves/meltCurve_Q9NUQ9_FAM49B.pdf</t>
  </si>
  <si>
    <t>Melting_Curves/meltCurve_Q9NUS5_AP5S1.pdf</t>
  </si>
  <si>
    <t>Melting_Curves/meltCurve_Q9NUU7_DDX19A.pdf</t>
  </si>
  <si>
    <t>Melting_Curves/meltCurve_Q9NUW8_TDP1.pdf</t>
  </si>
  <si>
    <t>Melting_Curves/meltCurve_Q9NUY8_TBC1D23.pdf</t>
  </si>
  <si>
    <t>Melting_Curves/meltCurve_Q9NV06_DCAF13.pdf</t>
  </si>
  <si>
    <t>Melting_Curves/meltCurve_Q9NV31_IMP3.pdf</t>
  </si>
  <si>
    <t>Melting_Curves/meltCurve_Q9NV35_NUDT15.pdf</t>
  </si>
  <si>
    <t>Melting_Curves/meltCurve_Q9NV56_MRGBP.pdf</t>
  </si>
  <si>
    <t>Melting_Curves/meltCurve_Q9NV70_2_EXOC1.pdf</t>
  </si>
  <si>
    <t>Melting_Curves/meltCurve_Q9NV88_3_INTS9.pdf</t>
  </si>
  <si>
    <t>Melting_Curves/meltCurve_Q9NVC6_MED17.pdf</t>
  </si>
  <si>
    <t>Melting_Curves/meltCurve_Q9NVD7_PARVA.pdf</t>
  </si>
  <si>
    <t>Melting_Curves/meltCurve_Q9NVE5_USP40.pdf</t>
  </si>
  <si>
    <t>Melting_Curves/meltCurve_Q9NVE7_PANK4.pdf</t>
  </si>
  <si>
    <t>Melting_Curves/meltCurve_Q9NVF7_FBXO28.pdf</t>
  </si>
  <si>
    <t>Melting_Curves/meltCurve_Q9NVG8_TBC1D13.pdf</t>
  </si>
  <si>
    <t>Melting_Curves/meltCurve_Q9NVH2_3_INTS7.pdf</t>
  </si>
  <si>
    <t>Melting_Curves/meltCurve_Q9NVH6_7_TMLHE.pdf</t>
  </si>
  <si>
    <t>Melting_Curves/meltCurve_Q9NVI1_FANCI.pdf</t>
  </si>
  <si>
    <t>Melting_Curves/meltCurve_Q9NVJ2_ARL8B.pdf</t>
  </si>
  <si>
    <t>Melting_Curves/meltCurve_Q9NVK5_FGFR1OP2.pdf</t>
  </si>
  <si>
    <t>Melting_Curves/meltCurve_Q9NVM4_3_PRMT7.pdf</t>
  </si>
  <si>
    <t>Melting_Curves/meltCurve_Q9NVM6_DNAJC17.pdf</t>
  </si>
  <si>
    <t>Melting_Curves/meltCurve_Q9NVM9_ASUN.pdf</t>
  </si>
  <si>
    <t>Melting_Curves/meltCurve_Q9NVN3_RIC8B.pdf</t>
  </si>
  <si>
    <t>Melting_Curves/meltCurve_Q9NVN8_GNL3L.pdf</t>
  </si>
  <si>
    <t>Melting_Curves/meltCurve_Q9NVP1_DDX18.pdf</t>
  </si>
  <si>
    <t>Melting_Curves/meltCurve_Q9NVP2_ASF1B.pdf</t>
  </si>
  <si>
    <t>Melting_Curves/meltCurve_Q9NVQ4_FAIM.pdf</t>
  </si>
  <si>
    <t>Melting_Curves/meltCurve_Q9NVR0_KLHL11.pdf</t>
  </si>
  <si>
    <t>Melting_Curves/meltCurve_Q9NVR2_INTS10.pdf</t>
  </si>
  <si>
    <t>Melting_Curves/meltCurve_Q9NVR5_DNAAF2.pdf</t>
  </si>
  <si>
    <t>Melting_Curves/meltCurve_Q9NVS9_PNPO.pdf</t>
  </si>
  <si>
    <t>Melting_Curves/meltCurve_Q9NVT9_ARMC1.pdf</t>
  </si>
  <si>
    <t>Melting_Curves/meltCurve_Q9NVU0_5_POLR3E.pdf</t>
  </si>
  <si>
    <t>Melting_Curves/meltCurve_Q9NVU7_2_SDAD1.pdf</t>
  </si>
  <si>
    <t>Melting_Curves/meltCurve_Q9NVW2_RLIM.pdf</t>
  </si>
  <si>
    <t>Melting_Curves/meltCurve_Q9NVX0_3_HAUS2.pdf</t>
  </si>
  <si>
    <t>Melting_Curves/meltCurve_Q9NVX2_NLE1.pdf</t>
  </si>
  <si>
    <t>Melting_Curves/meltCurve_Q9NVX7_KBTBD4.pdf</t>
  </si>
  <si>
    <t>Melting_Curves/meltCurve_Q9NVZ3_NECAP2.pdf</t>
  </si>
  <si>
    <t>Melting_Curves/meltCurve_Q9NW13_RBM28.pdf</t>
  </si>
  <si>
    <t>Melting_Curves/meltCurve_Q9NW64_RBM22.pdf</t>
  </si>
  <si>
    <t>Melting_Curves/meltCurve_Q9NW75_GPATCH2.pdf</t>
  </si>
  <si>
    <t>Melting_Curves/meltCurve_Q9NW82_WDR70.pdf</t>
  </si>
  <si>
    <t>Melting_Curves/meltCurve_Q9NW97_TMEM51.pdf</t>
  </si>
  <si>
    <t>Melting_Curves/meltCurve_Q9NWA0_MED9.pdf</t>
  </si>
  <si>
    <t>Melting_Curves/meltCurve_Q9NWB6_ARGLU1.pdf</t>
  </si>
  <si>
    <t>Melting_Curves/meltCurve_Q9NWF9_RNF216.pdf</t>
  </si>
  <si>
    <t>Melting_Curves/meltCurve_Q9NWH9_SLTM.pdf</t>
  </si>
  <si>
    <t>Melting_Curves/meltCurve_Q9NWK9_ZNHIT6.pdf</t>
  </si>
  <si>
    <t>Melting_Curves/meltCurve_Q9NWM0_2_SMOX.pdf</t>
  </si>
  <si>
    <t>Melting_Curves/meltCurve_Q9NWM3_CUEDC1.pdf</t>
  </si>
  <si>
    <t>Melting_Curves/meltCurve_Q9NWM8_FKBP14.pdf</t>
  </si>
  <si>
    <t>Melting_Curves/meltCurve_Q9NWQ9_C14orf119.pdf</t>
  </si>
  <si>
    <t>Melting_Curves/meltCurve_Q9NWS0_PIH1D1.pdf</t>
  </si>
  <si>
    <t>Melting_Curves/meltCurve_Q9NWS1_5_PARPBP.pdf</t>
  </si>
  <si>
    <t>Melting_Curves/meltCurve_Q9NWS6_FAM118A.pdf</t>
  </si>
  <si>
    <t>Melting_Curves/meltCurve_Q9NWT1_PAK1IP1.pdf</t>
  </si>
  <si>
    <t>Melting_Curves/meltCurve_Q9NWT6_HIF1AN.pdf</t>
  </si>
  <si>
    <t>Melting_Curves/meltCurve_Q9NWU1_OXSM.pdf</t>
  </si>
  <si>
    <t>Melting_Curves/meltCurve_Q9NWU2_GID8.pdf</t>
  </si>
  <si>
    <t>Melting_Curves/meltCurve_Q9NWV4_C1orf123.pdf</t>
  </si>
  <si>
    <t>Melting_Curves/meltCurve_Q9NWX5_ASB6.pdf</t>
  </si>
  <si>
    <t>Melting_Curves/meltCurve_Q9NWX6_THG1L.pdf</t>
  </si>
  <si>
    <t>Melting_Curves/meltCurve_Q9NWY4_C4orf27.pdf</t>
  </si>
  <si>
    <t>Melting_Curves/meltCurve_Q9NWZ3_IRAK4.pdf</t>
  </si>
  <si>
    <t>Melting_Curves/meltCurve_Q9NWZ5_UCKL1.pdf</t>
  </si>
  <si>
    <t>Melting_Curves/meltCurve_Q9NWZ8_GEMIN8.pdf</t>
  </si>
  <si>
    <t>Melting_Curves/meltCurve_Q9NX01_TXNL4B.pdf</t>
  </si>
  <si>
    <t>Melting_Curves/meltCurve_Q9NX02_5_NLRP2.pdf</t>
  </si>
  <si>
    <t>Melting_Curves/meltCurve_Q9NX07_TRNAU1AP.pdf</t>
  </si>
  <si>
    <t>Melting_Curves/meltCurve_Q9NX08_COMMD8.pdf</t>
  </si>
  <si>
    <t>Melting_Curves/meltCurve_Q9NX24_NHP2.pdf</t>
  </si>
  <si>
    <t>Melting_Curves/meltCurve_Q9NX38_FAM206A.pdf</t>
  </si>
  <si>
    <t>Melting_Curves/meltCurve_Q9NX46_ADPRHL2.pdf</t>
  </si>
  <si>
    <t>Melting_Curves/meltCurve_Q9NX55_HYPK.pdf</t>
  </si>
  <si>
    <t>Melting_Curves/meltCurve_Q9NX58_LYAR.pdf</t>
  </si>
  <si>
    <t>Melting_Curves/meltCurve_Q9NX70_MED29.pdf</t>
  </si>
  <si>
    <t>Melting_Curves/meltCurve_Q9NX74_DUS2L.pdf</t>
  </si>
  <si>
    <t>Melting_Curves/meltCurve_Q9NXA8_SIRT5.pdf</t>
  </si>
  <si>
    <t>Melting_Curves/meltCurve_Q9NXC5_MIOS.pdf</t>
  </si>
  <si>
    <t>Melting_Curves/meltCurve_Q9NXD2_MTMR10.pdf</t>
  </si>
  <si>
    <t>Melting_Curves/meltCurve_Q9NXE8_CWC25.pdf</t>
  </si>
  <si>
    <t>Melting_Curves/meltCurve_Q9NXG2_THUMPD1.pdf</t>
  </si>
  <si>
    <t>Melting_Curves/meltCurve_Q9NXG6_P4HTM.pdf</t>
  </si>
  <si>
    <t>Melting_Curves/meltCurve_Q9NXH9_2_TRMT1.pdf</t>
  </si>
  <si>
    <t>Melting_Curves/meltCurve_Q9NXR1_2_NDE1.pdf</t>
  </si>
  <si>
    <t>Melting_Curves/meltCurve_Q9NXR7_BRE.pdf</t>
  </si>
  <si>
    <t>Melting_Curves/meltCurve_Q9NXV2_KCTD5.pdf</t>
  </si>
  <si>
    <t>Melting_Curves/meltCurve_Q9NXV6_CDKN2AIP.pdf</t>
  </si>
  <si>
    <t>Melting_Curves/meltCurve_Q9NXW2_DNAJB12.pdf</t>
  </si>
  <si>
    <t>Melting_Curves/meltCurve_Q9NXW9_ALKBH4.pdf</t>
  </si>
  <si>
    <t>Melting_Curves/meltCurve_Q9NXX6_NSMCE4A.pdf</t>
  </si>
  <si>
    <t>Melting_Curves/meltCurve_Q9NY12_2_GAR1.pdf</t>
  </si>
  <si>
    <t>Melting_Curves/meltCurve_Q9NY27_PPP4R2.pdf</t>
  </si>
  <si>
    <t>Melting_Curves/meltCurve_Q9NY33_DPP3.pdf</t>
  </si>
  <si>
    <t>Melting_Curves/meltCurve_Q9NY61_AATF.pdf</t>
  </si>
  <si>
    <t>Melting_Curves/meltCurve_Q9NY93_DDX56.pdf</t>
  </si>
  <si>
    <t>Melting_Curves/meltCurve_Q9NYB0_TERF2IP.pdf</t>
  </si>
  <si>
    <t>Melting_Curves/meltCurve_Q9NYB9_2_ABI2.pdf</t>
  </si>
  <si>
    <t>Melting_Curves/meltCurve_Q9NYF8_2_BCLAF1.pdf</t>
  </si>
  <si>
    <t>Melting_Curves/meltCurve_Q9NYF8_3_BCLAF1.pdf</t>
  </si>
  <si>
    <t>Melting_Curves/meltCurve_Q9NYG5_ANAPC11.pdf</t>
  </si>
  <si>
    <t>Melting_Curves/meltCurve_Q9NYJ1_COA4.pdf</t>
  </si>
  <si>
    <t>Melting_Curves/meltCurve_Q9NYJ8_TAB2.pdf</t>
  </si>
  <si>
    <t>Melting_Curves/meltCurve_Q9NYL2_MLTK.pdf</t>
  </si>
  <si>
    <t>Melting_Curves/meltCurve_Q9NYL2_2_MLTK.pdf</t>
  </si>
  <si>
    <t>Melting_Curves/meltCurve_Q9NYL9_TMOD3.pdf</t>
  </si>
  <si>
    <t>Melting_Curves/meltCurve_Q9NYP9_MIS18A.pdf</t>
  </si>
  <si>
    <t>Melting_Curves/meltCurve_Q9NYQ6_CELSR1.pdf</t>
  </si>
  <si>
    <t>Melting_Curves/meltCurve_Q9NYS0_NKIRAS1.pdf</t>
  </si>
  <si>
    <t>Melting_Curves/meltCurve_Q9NYT0_PLEK2.pdf</t>
  </si>
  <si>
    <t>Melting_Curves/meltCurve_Q9NYU2_2_UGGT1.pdf</t>
  </si>
  <si>
    <t>Melting_Curves/meltCurve_Q9NYV4_2_CDK12.pdf</t>
  </si>
  <si>
    <t>Melting_Curves/meltCurve_Q9NYY8_FASTKD2.pdf</t>
  </si>
  <si>
    <t>Melting_Curves/meltCurve_Q9NYZ3_GTSE1.pdf</t>
  </si>
  <si>
    <t>Melting_Curves/meltCurve_Q9NZ08_ERAP1.pdf</t>
  </si>
  <si>
    <t>Melting_Curves/meltCurve_Q9NZ09_UBAP1.pdf</t>
  </si>
  <si>
    <t>Melting_Curves/meltCurve_Q9NZ32_ACTR10.pdf</t>
  </si>
  <si>
    <t>Melting_Curves/meltCurve_Q9NZ45_CISD1.pdf</t>
  </si>
  <si>
    <t>Melting_Curves/meltCurve_Q9NZ52_GGA3.pdf</t>
  </si>
  <si>
    <t>Melting_Curves/meltCurve_Q9NZ63_C9orf78.pdf</t>
  </si>
  <si>
    <t>Melting_Curves/meltCurve_Q9NZB2_FAM120A.pdf</t>
  </si>
  <si>
    <t>Melting_Curves/meltCurve_Q9NZC9_SMARCAL1.pdf</t>
  </si>
  <si>
    <t>Melting_Curves/meltCurve_Q9NZD2_GLTP.pdf</t>
  </si>
  <si>
    <t>Melting_Curves/meltCurve_Q9NZD8_2_SPG21.pdf</t>
  </si>
  <si>
    <t>Melting_Curves/meltCurve_Q9NZI7_4_UBP1.pdf</t>
  </si>
  <si>
    <t>Melting_Curves/meltCurve_Q9NZI8_IGF2BP1.pdf</t>
  </si>
  <si>
    <t>Melting_Curves/meltCurve_Q9NZJ4_SACS.pdf</t>
  </si>
  <si>
    <t>Melting_Curves/meltCurve_Q9NZJ6_COQ3.pdf</t>
  </si>
  <si>
    <t>Melting_Curves/meltCurve_Q9NZJ7_2_MTCH1.pdf</t>
  </si>
  <si>
    <t>Melting_Curves/meltCurve_Q9NZJ9_NUDT4.pdf</t>
  </si>
  <si>
    <t>Melting_Curves/meltCurve_Q9NZJ9_2_NUDT4.pdf</t>
  </si>
  <si>
    <t>Melting_Curves/meltCurve_Q9NZL4_HSPBP1.pdf</t>
  </si>
  <si>
    <t>Melting_Curves/meltCurve_Q9NZL9_MAT2B.pdf</t>
  </si>
  <si>
    <t>Melting_Curves/meltCurve_Q9NZM1_6_MYOF.pdf</t>
  </si>
  <si>
    <t>Melting_Curves/meltCurve_Q9NZM3_2_ITSN2.pdf</t>
  </si>
  <si>
    <t>Melting_Curves/meltCurve_Q9NZM4_2_GLTSCR1.pdf</t>
  </si>
  <si>
    <t>Melting_Curves/meltCurve_Q9NZN3_EHD3.pdf</t>
  </si>
  <si>
    <t>Melting_Curves/meltCurve_Q9NZN4_EHD2.pdf</t>
  </si>
  <si>
    <t>Melting_Curves/meltCurve_Q9NZN5_ARHGEF12.pdf</t>
  </si>
  <si>
    <t>Melting_Curves/meltCurve_Q9NZN8_CNOT2.pdf</t>
  </si>
  <si>
    <t>Melting_Curves/meltCurve_Q9NZQ3_3_NCKIPSD.pdf</t>
  </si>
  <si>
    <t>Melting_Curves/meltCurve_Q9NZT2_2_OGFR.pdf</t>
  </si>
  <si>
    <t>Melting_Curves/meltCurve_Q9NZU0_FLRT3.pdf</t>
  </si>
  <si>
    <t>Melting_Curves/meltCurve_Q9NZU5_LMCD1.pdf</t>
  </si>
  <si>
    <t>Melting_Curves/meltCurve_Q9NZV1_CRIM1.pdf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</si>
  <si>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</si>
  <si>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</si>
  <si>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</si>
  <si>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</si>
  <si>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</si>
  <si>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Melting_Curves/meltCurve_Q9P021_CRIPT.pdf</t>
  </si>
  <si>
    <t>Melting_Curves/meltCurve_Q9P0J7_KCMF1.pdf</t>
  </si>
  <si>
    <t>Melting_Curves/meltCurve_Q9P0K7_RAI14.pdf</t>
  </si>
  <si>
    <t>Melting_Curves/meltCurve_Q9P0L0_VAPA.pdf</t>
  </si>
  <si>
    <t>Melting_Curves/meltCurve_Q9P0M6_H2AFY2.pdf</t>
  </si>
  <si>
    <t>Melting_Curves/meltCurve_Q9P0N9_3_TBC1D7.pdf</t>
  </si>
  <si>
    <t>Melting_Curves/meltCurve_Q9P0P0_RNF181.pdf</t>
  </si>
  <si>
    <t>Melting_Curves/meltCurve_Q9P0P8_C6orf203.pdf</t>
  </si>
  <si>
    <t>Melting_Curves/meltCurve_Q9P0R6_GSKIP.pdf</t>
  </si>
  <si>
    <t>Melting_Curves/meltCurve_Q9P0S2_COX16.pdf</t>
  </si>
  <si>
    <t>Melting_Curves/meltCurve_Q9P0U4_CXXC1.pdf</t>
  </si>
  <si>
    <t>Melting_Curves/meltCurve_Q9P0V3_SH3BP4.pdf</t>
  </si>
  <si>
    <t>Melting_Curves/meltCurve_Q9P1F3_ABRACL.pdf</t>
  </si>
  <si>
    <t>Melting_Curves/meltCurve_Q9P1U0_ZNRD1.pdf</t>
  </si>
  <si>
    <t>Melting_Curves/meltCurve_Q9P1V8_SAMD15.pdf</t>
  </si>
  <si>
    <t>Melting_Curves/meltCurve_Q9P1Y5_CAMSAP3.pdf</t>
  </si>
  <si>
    <t>Melting_Curves/meltCurve_Q9P1Z0_ZBTB4.pdf</t>
  </si>
  <si>
    <t>Melting_Curves/meltCurve_Q9P1Z2_2_CALCOCO1.pdf</t>
  </si>
  <si>
    <t>Melting_Curves/meltCurve_Q9P203_BTBD7.pdf</t>
  </si>
  <si>
    <t>Melting_Curves/meltCurve_Q9P206_2_KIAA1522.pdf</t>
  </si>
  <si>
    <t>Melting_Curves/meltCurve_Q9P219_CCDC88C.pdf</t>
  </si>
  <si>
    <t>Melting_Curves/meltCurve_Q9P253_VPS18.pdf</t>
  </si>
  <si>
    <t>Melting_Curves/meltCurve_Q9P258_RCC2.pdf</t>
  </si>
  <si>
    <t>Melting_Curves/meltCurve_Q9P260_KIAA1468.pdf</t>
  </si>
  <si>
    <t>Melting_Curves/meltCurve_Q9P260_2_KIAA1468.pdf</t>
  </si>
  <si>
    <t>Melting_Curves/meltCurve_Q9P265_DIP2B.pdf</t>
  </si>
  <si>
    <t>Melting_Curves/meltCurve_Q9P266_KIAA1462.pdf</t>
  </si>
  <si>
    <t>Melting_Curves/meltCurve_Q9P270_SLAIN2.pdf</t>
  </si>
  <si>
    <t>Melting_Curves/meltCurve_Q9P275_USP36.pdf</t>
  </si>
  <si>
    <t>Melting_Curves/meltCurve_Q9P287_BCCIP.pdf</t>
  </si>
  <si>
    <t>Melting_Curves/meltCurve_Q9P287_2_BCCIP.pdf</t>
  </si>
  <si>
    <t>Melting_Curves/meltCurve_Q9P289_MST4.pdf</t>
  </si>
  <si>
    <t>Melting_Curves/meltCurve_Q9P299_COPZ2.pdf</t>
  </si>
  <si>
    <t>Melting_Curves/meltCurve_Q9P2B2_PTGFRN.pdf</t>
  </si>
  <si>
    <t>Melting_Curves/meltCurve_Q9P2B4_CTTNBP2NL.pdf</t>
  </si>
  <si>
    <t>Melting_Curves/meltCurve_Q9P2B7_2_KIAA1430.pdf</t>
  </si>
  <si>
    <t>Melting_Curves/meltCurve_Q9P2D3_3_HEATR5B.pdf</t>
  </si>
  <si>
    <t>Melting_Curves/meltCurve_Q9P2D6_3_FAM135A.pdf</t>
  </si>
  <si>
    <t>Melting_Curves/meltCurve_Q9P2D7_5_DNAH1.pdf</t>
  </si>
  <si>
    <t>Melting_Curves/meltCurve_Q9P2E3_ZNFX1.pdf</t>
  </si>
  <si>
    <t>Melting_Curves/meltCurve_Q9P2E9_RRBP1.pdf</t>
  </si>
  <si>
    <t>Melting_Curves/meltCurve_Q9P2G1_ANKIB1.pdf</t>
  </si>
  <si>
    <t>Melting_Curves/meltCurve_Q9P2H5_USP35.pdf</t>
  </si>
  <si>
    <t>Melting_Curves/meltCurve_Q9P2I0_CPSF2.pdf</t>
  </si>
  <si>
    <t>Melting_Curves/meltCurve_Q9P2J5_LARS.pdf</t>
  </si>
  <si>
    <t>Melting_Curves/meltCurve_Q9P2K3_4_RCOR3.pdf</t>
  </si>
  <si>
    <t>Melting_Curves/meltCurve_Q9P2K5_2_MYEF2.pdf</t>
  </si>
  <si>
    <t>Melting_Curves/meltCurve_Q9P2K6_KLHL42.pdf</t>
  </si>
  <si>
    <t>Melting_Curves/meltCurve_Q9P2K8_2_EIF2AK4.pdf</t>
  </si>
  <si>
    <t>Melting_Curves/meltCurve_Q9P2M4_TBC1D14.pdf</t>
  </si>
  <si>
    <t>Melting_Curves/meltCurve_Q9P2M7_CGN.pdf</t>
  </si>
  <si>
    <t>Melting_Curves/meltCurve_Q9P2N5_RBM27.pdf</t>
  </si>
  <si>
    <t>Melting_Curves/meltCurve_Q9P2N6_3_KANSL3.pdf</t>
  </si>
  <si>
    <t>Melting_Curves/meltCurve_Q9P2R3_ANKFY1.pdf</t>
  </si>
  <si>
    <t>Melting_Curves/meltCurve_Q9P2R6_RERE.pdf</t>
  </si>
  <si>
    <t>Melting_Curves/meltCurve_Q9P2W1_PSMC3IP.pdf</t>
  </si>
  <si>
    <t>Melting_Curves/meltCurve_Q9P2X3_IMPACT.pdf</t>
  </si>
  <si>
    <t>Melting_Curves/meltCurve_Q9P2Y5_UVRAG.pdf</t>
  </si>
  <si>
    <t>Melting_Curves/meltCurve_Q9UBB4_ATXN10.pdf</t>
  </si>
  <si>
    <t>Melting_Curves/meltCurve_Q9UBB5_MBD2.pdf</t>
  </si>
  <si>
    <t>Melting_Curves/meltCurve_Q9UBB6_NCDN.pdf</t>
  </si>
  <si>
    <t>Melting_Curves/meltCurve_Q9UBC2_2_EPS15L1.pdf</t>
  </si>
  <si>
    <t>Melting_Curves/meltCurve_Q9UBD5_ORC3.pdf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</si>
  <si>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</si>
  <si>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</si>
  <si>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</si>
  <si>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</si>
  <si>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Melting_Curves/meltCurve_Q9UBG0_MRC2.pdf</t>
  </si>
  <si>
    <t>Melting_Curves/meltCurve_Q9UBI1_COMMD3.pdf</t>
  </si>
  <si>
    <t>Melting_Curves/meltCurve_Q9UBI6_GNG12.pdf</t>
  </si>
  <si>
    <t>Melting_Curves/meltCurve_Q9UBK8_2_MTRR.pdf</t>
  </si>
  <si>
    <t>Melting_Curves/meltCurve_Q9UBK9_UXT.pdf</t>
  </si>
  <si>
    <t>Melting_Curves/meltCurve_Q9UBL3_3_ASH2L.pdf</t>
  </si>
  <si>
    <t>Melting_Curves/meltCurve_Q9UBN6_TNFRSF10D.pdf</t>
  </si>
  <si>
    <t>Melting_Curves/meltCurve_Q9UBP0_3_SPAST.pdf</t>
  </si>
  <si>
    <t>Melting_Curves/meltCurve_Q9UBP6_METTL1.pdf</t>
  </si>
  <si>
    <t>Melting_Curves/meltCurve_Q9UBP9_4_GULP1.pdf</t>
  </si>
  <si>
    <t>Melting_Curves/meltCurve_Q9UBQ0_VPS29.pdf</t>
  </si>
  <si>
    <t>Melting_Curves/meltCurve_Q9UBQ7_GRHPR.pdf</t>
  </si>
  <si>
    <t>Melting_Curves/meltCurve_Q9UBR2_CTSZ.pdf</t>
  </si>
  <si>
    <t>Melting_Curves/meltCurve_Q9UBS0_RPS6KB2.pdf</t>
  </si>
  <si>
    <t>Melting_Curves/meltCurve_Q9UBS4_DNAJB11.pdf</t>
  </si>
  <si>
    <t>Melting_Curves/meltCurve_Q9UBS8_RNF14.pdf</t>
  </si>
  <si>
    <t>Melting_Curves/meltCurve_Q9UBT2_UBA2.pdf</t>
  </si>
  <si>
    <t>Melting_Curves/meltCurve_Q9UBT7_2_CTNNAL1.pdf</t>
  </si>
  <si>
    <t>Melting_Curves/meltCurve_Q9UBU9_NXF1.pdf</t>
  </si>
  <si>
    <t>Melting_Curves/meltCurve_Q9UBV8_PEF1.pdf</t>
  </si>
  <si>
    <t>Melting_Curves/meltCurve_Q9UBW7_ZMYM2.pdf</t>
  </si>
  <si>
    <t>Melting_Curves/meltCurve_Q9UBW8_COPS7A.pdf</t>
  </si>
  <si>
    <t>Melting_Curves/meltCurve_Q9UBZ4_APEX2.pdf</t>
  </si>
  <si>
    <t>Melting_Curves/meltCurve_Q9UDT6_CLIP2.pdf</t>
  </si>
  <si>
    <t>Melting_Curves/meltCurve_Q9UDX3_2_SEC14L4.pdf</t>
  </si>
  <si>
    <t>Melting_Curves/meltCurve_Q9UDY2_3_TJP2.pdf</t>
  </si>
  <si>
    <t>Melting_Curves/meltCurve_Q9UDY4_DNAJB4.pdf</t>
  </si>
  <si>
    <t>Melting_Curves/meltCurve_Q9UDY8_MALT1.pdf</t>
  </si>
  <si>
    <t>Melting_Curves/meltCurve_Q9UEE9_CFDP1.pdf</t>
  </si>
  <si>
    <t>Melting_Curves/meltCurve_Q9UEG4_ZNF629.pdf</t>
  </si>
  <si>
    <t>Melting_Curves/meltCurve_Q9UER7_3_DAXX.pdf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</si>
  <si>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</si>
  <si>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</si>
  <si>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</si>
  <si>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</si>
  <si>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Melting_Curves/meltCurve_Q9UF56_FBXL17.pdf</t>
  </si>
  <si>
    <t>Melting_Curves/meltCurve_Q9UFC0_LRWD1.pdf</t>
  </si>
  <si>
    <t>Melting_Curves/meltCurve_Q9UFG5_C19orf25.pdf</t>
  </si>
  <si>
    <t>Melting_Curves/meltCurve_Q9UFM8_DKFZp566H1924.pdf</t>
  </si>
  <si>
    <t>Melting_Curves/meltCurve_Q9UFN0_NIPSNAP3A.pdf</t>
  </si>
  <si>
    <t>Melting_Curves/meltCurve_Q9UFW8_CGGBP1.pdf</t>
  </si>
  <si>
    <t>Melting_Curves/meltCurve_Q9UG63_ABCF2.pdf</t>
  </si>
  <si>
    <t>Melting_Curves/meltCurve_Q9UGC7_MTRF1L.pdf</t>
  </si>
  <si>
    <t>Melting_Curves/meltCurve_Q9UGI8_TES.pdf</t>
  </si>
  <si>
    <t>Melting_Curves/meltCurve_Q9UGI8_2_TES.pdf</t>
  </si>
  <si>
    <t>Melting_Curves/meltCurve_Q9UGJ0_2_PRKAG2.pdf</t>
  </si>
  <si>
    <t>Melting_Curves/meltCurve_Q9UGK8_SERGEF.pdf</t>
  </si>
  <si>
    <t>Melting_Curves/meltCurve_Q9UGP4_LIMD1.pdf</t>
  </si>
  <si>
    <t>Melting_Curves/meltCurve_Q9UGT4_SUSD2.pdf</t>
  </si>
  <si>
    <t>Melting_Curves/meltCurve_Q9UGU0_2_TCF20.pdf</t>
  </si>
  <si>
    <t>Melting_Curves/meltCurve_Q9UGV2_NDRG3.pdf</t>
  </si>
  <si>
    <t>Melting_Curves/meltCurve_Q9UH62_ARMCX3.pdf</t>
  </si>
  <si>
    <t>Melting_Curves/meltCurve_Q9UH65_SWAP70.pdf</t>
  </si>
  <si>
    <t>Melting_Curves/meltCurve_Q9UH92_2_MLX.pdf</t>
  </si>
  <si>
    <t>Melting_Curves/meltCurve_Q9UHA3_RSL24D1.pdf</t>
  </si>
  <si>
    <t>Melting_Curves/meltCurve_Q9UHA4_2_LAMTOR3.pdf</t>
  </si>
  <si>
    <t>Melting_Curves/meltCurve_Q9UHB6_LIMA1.pdf</t>
  </si>
  <si>
    <t>Melting_Curves/meltCurve_Q9UHB7_AFF4.pdf</t>
  </si>
  <si>
    <t>Melting_Curves/meltCurve_Q9UHB9_SRP68.pdf</t>
  </si>
  <si>
    <t>Melting_Curves/meltCurve_Q9UHD1_CHORDC1.pdf</t>
  </si>
  <si>
    <t>Melting_Curves/meltCurve_Q9UHD2_TBK1.pdf</t>
  </si>
  <si>
    <t>Melting_Curves/meltCurve_Q9UHD8_SEPT9.pdf</t>
  </si>
  <si>
    <t>Melting_Curves/meltCurve_Q9UHD9_UBQLN2.pdf</t>
  </si>
  <si>
    <t>Melting_Curves/meltCurve_Q9UHG0_DCDC2.pdf</t>
  </si>
  <si>
    <t>Melting_Curves/meltCurve_Q9UHI6_DDX20.pdf</t>
  </si>
  <si>
    <t>Melting_Curves/meltCurve_Q9UHJ3_2_SFMBT1.pdf</t>
  </si>
  <si>
    <t>Melting_Curves/meltCurve_Q9UHJ6_SHPK.pdf</t>
  </si>
  <si>
    <t>Melting_Curves/meltCurve_Q9UHL4_DPP7.pdf</t>
  </si>
  <si>
    <t>Melting_Curves/meltCurve_Q9UHN1_POLG2.pdf</t>
  </si>
  <si>
    <t>Melting_Curves/meltCurve_Q9UHN6_2_TMEM2.pdf</t>
  </si>
  <si>
    <t>Melting_Curves/meltCurve_Q9UHP3_USP25.pdf</t>
  </si>
  <si>
    <t>Melting_Curves/meltCurve_Q9UHQ1_4_NARF.pdf</t>
  </si>
  <si>
    <t>Melting_Curves/meltCurve_Q9UHR4_BAIAP2L1.pdf</t>
  </si>
  <si>
    <t>Melting_Curves/meltCurve_Q9UHR6_ZNHIT2.pdf</t>
  </si>
  <si>
    <t>Melting_Curves/meltCurve_Q9UHV9_PFDN2.pdf</t>
  </si>
  <si>
    <t>Melting_Curves/meltCurve_Q9UHW5_GPN3.pdf</t>
  </si>
  <si>
    <t>Melting_Curves/meltCurve_Q9UHX1_4_PUF60.pdf</t>
  </si>
  <si>
    <t>Melting_Curves/meltCurve_Q9UHY1_NRBP1.pdf</t>
  </si>
  <si>
    <t>Melting_Curves/meltCurve_Q9UHY7_ENOPH1.pdf</t>
  </si>
  <si>
    <t>Melting_Curves/meltCurve_Q9UHY8_FEZ2.pdf</t>
  </si>
  <si>
    <t>Melting_Curves/meltCurve_Q9UI08_EVL.pdf</t>
  </si>
  <si>
    <t>Melting_Curves/meltCurve_Q9UI10_EIF2B4.pdf</t>
  </si>
  <si>
    <t>Melting_Curves/meltCurve_Q9UI10_3_EIF2B4.pdf</t>
  </si>
  <si>
    <t>Melting_Curves/meltCurve_Q9UI12_2_ATP6V1H.pdf</t>
  </si>
  <si>
    <t>Melting_Curves/meltCurve_Q9UI26_IPO11.pdf</t>
  </si>
  <si>
    <t>Melting_Curves/meltCurve_Q9UI30_TRMT112.pdf</t>
  </si>
  <si>
    <t>Melting_Curves/meltCurve_Q9UIA9_XPO7.pdf</t>
  </si>
  <si>
    <t>Melting_Curves/meltCurve_Q9UIC8_LCMT1.pdf</t>
  </si>
  <si>
    <t>Melting_Curves/meltCurve_Q9UID3_VPS51.pdf</t>
  </si>
  <si>
    <t>Melting_Curves/meltCurve_Q9UID6_ZNF639.pdf</t>
  </si>
  <si>
    <t>Melting_Curves/meltCurve_Q9UIF8_4_BAZ2B.pdf</t>
  </si>
  <si>
    <t>Melting_Curves/meltCurve_Q9UIG0_2_BAZ1B.pdf</t>
  </si>
  <si>
    <t>Melting_Curves/meltCurve_Q9UII2_ATPIF1.pdf</t>
  </si>
  <si>
    <t>Melting_Curves/meltCurve_Q9UIJ7_AK3.pdf</t>
  </si>
  <si>
    <t>Melting_Curves/meltCurve_Q9UIL1_3_SCOC.pdf</t>
  </si>
  <si>
    <t>Melting_Curves/meltCurve_Q9UIM3_FKBPL.pdf</t>
  </si>
  <si>
    <t>Melting_Curves/meltCurve_Q9UIV1_2_CNOT7.pdf</t>
  </si>
  <si>
    <t>Melting_Curves/meltCurve_Q9UJ41_RABGEF1.pdf</t>
  </si>
  <si>
    <t>Melting_Curves/meltCurve_Q9UJ68_2_MSRA.pdf</t>
  </si>
  <si>
    <t>Melting_Curves/meltCurve_Q9UJ70_2_NAGK.pdf</t>
  </si>
  <si>
    <t>Melting_Curves/meltCurve_Q9UJA5_TRMT6.pdf</t>
  </si>
  <si>
    <t>Melting_Curves/meltCurve_Q9UJJ2_ZNF280C.pdf</t>
  </si>
  <si>
    <t>Melting_Curves/meltCurve_Q9UJK0_TSR3.pdf</t>
  </si>
  <si>
    <t>Melting_Curves/meltCurve_Q9UJM3_ERRFI1.pdf</t>
  </si>
  <si>
    <t>Melting_Curves/meltCurve_Q9UJU6_DBNL.pdf</t>
  </si>
  <si>
    <t>Melting_Curves/meltCurve_Q9UJU6_2_DBNL.pdf</t>
  </si>
  <si>
    <t>Melting_Curves/meltCurve_Q9UJV9_DDX41.pdf</t>
  </si>
  <si>
    <t>Melting_Curves/meltCurve_Q9UJW0_DCTN4.pdf</t>
  </si>
  <si>
    <t>Melting_Curves/meltCurve_Q9UJX0_2_OSGIN1.pdf</t>
  </si>
  <si>
    <t>Melting_Curves/meltCurve_Q9UJX2_3_CDC23.pdf</t>
  </si>
  <si>
    <t>Melting_Curves/meltCurve_Q9UJX3_2_ANAPC7.pdf</t>
  </si>
  <si>
    <t>Melting_Curves/meltCurve_Q9UJX5_ANAPC4.pdf</t>
  </si>
  <si>
    <t>Melting_Curves/meltCurve_Q9UJX6_ANAPC2.pdf</t>
  </si>
  <si>
    <t>Melting_Curves/meltCurve_Q9UJY1_HSPB8.pdf</t>
  </si>
  <si>
    <t>Melting_Curves/meltCurve_Q9UJY4_GGA2.pdf</t>
  </si>
  <si>
    <t>Melting_Curves/meltCurve_Q9UJY5_4_GGA1.pdf</t>
  </si>
  <si>
    <t>Melting_Curves/meltCurve_Q9UK22_FBXO2.pdf</t>
  </si>
  <si>
    <t>Melting_Curves/meltCurve_Q9UK33_ZNF580.pdf</t>
  </si>
  <si>
    <t>Melting_Curves/meltCurve_Q9UK41_VPS28.pdf</t>
  </si>
  <si>
    <t>Melting_Curves/meltCurve_Q9UK59_DBR1.pdf</t>
  </si>
  <si>
    <t>Melting_Curves/meltCurve_Q9UK61_3_FAM208A.pdf</t>
  </si>
  <si>
    <t>Melting_Curves/meltCurve_Q9UK73_FEM1B.pdf</t>
  </si>
  <si>
    <t>Melting_Curves/meltCurve_Q9UK76_HN1.pdf</t>
  </si>
  <si>
    <t>Melting_Curves/meltCurve_Q9UK99_FBXO3.pdf</t>
  </si>
  <si>
    <t>Melting_Curves/meltCurve_Q9UKA4_AKAP11.pdf</t>
  </si>
  <si>
    <t>Melting_Curves/meltCurve_Q9UKA8_RCAN3.pdf</t>
  </si>
  <si>
    <t>Melting_Curves/meltCurve_Q9UKA9_PTBP2.pdf</t>
  </si>
  <si>
    <t>Melting_Curves/meltCurve_Q9UKB1_2_FBXW11.pdf</t>
  </si>
  <si>
    <t>Melting_Curves/meltCurve_Q9UKB3_DNAJC12.pdf</t>
  </si>
  <si>
    <t>Melting_Curves/meltCurve_Q9UKD2_MRTO4.pdf</t>
  </si>
  <si>
    <t>Melting_Curves/meltCurve_Q9UKE5_8_TNIK.pdf</t>
  </si>
  <si>
    <t>Melting_Curves/meltCurve_Q9UKF6_CPSF3.pdf</t>
  </si>
  <si>
    <t>Melting_Curves/meltCurve_Q9UKG1_APPL1.pdf</t>
  </si>
  <si>
    <t>Melting_Curves/meltCurve_Q9UKG9_CROT.pdf</t>
  </si>
  <si>
    <t>Melting_Curves/meltCurve_Q9UKI8_TLK1.pdf</t>
  </si>
  <si>
    <t>Melting_Curves/meltCurve_Q9UKJ3_GPATCH8.pdf</t>
  </si>
  <si>
    <t>Melting_Curves/meltCurve_Q9UKK3_PARP4.pdf</t>
  </si>
  <si>
    <t>Melting_Curves/meltCurve_Q9UKK6_NXT1.pdf</t>
  </si>
  <si>
    <t>Melting_Curves/meltCurve_Q9UKK9_NUDT5.pdf</t>
  </si>
  <si>
    <t>Melting_Curves/meltCurve_Q9UKL3_CASP8AP2.pdf</t>
  </si>
  <si>
    <t>Melting_Curves/meltCurve_Q9UKL6_PCTP.pdf</t>
  </si>
  <si>
    <t>Melting_Curves/meltCurve_Q9UKN8_GTF3C4.pdf</t>
  </si>
  <si>
    <t>Melting_Curves/meltCurve_Q9UKS6_PACSIN3.pdf</t>
  </si>
  <si>
    <t>Melting_Curves/meltCurve_Q9UKT4_2_FBXO5.pdf</t>
  </si>
  <si>
    <t>Melting_Curves/meltCurve_Q9UKT5_FBXO4.pdf</t>
  </si>
  <si>
    <t>Melting_Curves/meltCurve_Q9UKU7_ACAD8.pdf</t>
  </si>
  <si>
    <t>Melting_Curves/meltCurve_Q9UKV8_AGO2.pdf</t>
  </si>
  <si>
    <t>Melting_Curves/meltCurve_Q9UKX7_NUP50.pdf</t>
  </si>
  <si>
    <t>Melting_Curves/meltCurve_Q9UKY7_CDV3.pdf</t>
  </si>
  <si>
    <t>Melting_Curves/meltCurve_Q9UKZ1_CNOT11.pdf</t>
  </si>
  <si>
    <t>Melting_Curves/meltCurve_Q9UL15_BAG5.pdf</t>
  </si>
  <si>
    <t>Melting_Curves/meltCurve_Q9UL25_RAB21.pdf</t>
  </si>
  <si>
    <t>Melting_Curves/meltCurve_Q9UL26_RAB22A.pdf</t>
  </si>
  <si>
    <t>Melting_Curves/meltCurve_Q9UL33_2_TRAPPC2L.pdf</t>
  </si>
  <si>
    <t>Melting_Curves/meltCurve_Q9UL42_PNMA2.pdf</t>
  </si>
  <si>
    <t>Melting_Curves/meltCurve_Q9UL46_PSME2.pdf</t>
  </si>
  <si>
    <t>Melting_Curves/meltCurve_Q9UL51_HCN2.pdf</t>
  </si>
  <si>
    <t>Melting_Curves/meltCurve_Q9UL63_MKLN1.pdf</t>
  </si>
  <si>
    <t>Melting_Curves/meltCurve_Q9ULA0_DNPEP.pdf</t>
  </si>
  <si>
    <t>Melting_Curves/meltCurve_Q9ULC3_RAB23.pdf</t>
  </si>
  <si>
    <t>Melting_Curves/meltCurve_Q9ULC4_MCTS1.pdf</t>
  </si>
  <si>
    <t>Melting_Curves/meltCurve_Q9ULD2_MTUS1.pdf</t>
  </si>
  <si>
    <t>Melting_Curves/meltCurve_Q9ULD5_ZNF777.pdf</t>
  </si>
  <si>
    <t>Melting_Curves/meltCurve_Q9ULE0_WWC3.pdf</t>
  </si>
  <si>
    <t>Melting_Curves/meltCurve_Q9ULE6_PALD1.pdf</t>
  </si>
  <si>
    <t>Melting_Curves/meltCurve_Q9ULF5_SLC39A10.pdf</t>
  </si>
  <si>
    <t>Melting_Curves/meltCurve_Q9ULH0_5_KIDINS220.pdf</t>
  </si>
  <si>
    <t>Melting_Curves/meltCurve_Q9ULH1_ASAP1.pdf</t>
  </si>
  <si>
    <t>Melting_Curves/meltCurve_Q9ULH7_4_MKL2.pdf</t>
  </si>
  <si>
    <t>Melting_Curves/meltCurve_Q9ULJ3_2_ZBTB21.pdf</t>
  </si>
  <si>
    <t>Melting_Curves/meltCurve_Q9ULJ6_ZMIZ1.pdf</t>
  </si>
  <si>
    <t>Melting_Curves/meltCurve_Q9ULJ7_ANKRD50.pdf</t>
  </si>
  <si>
    <t>Melting_Curves/meltCurve_Q9ULJ8_4_PPP1R9A.pdf</t>
  </si>
  <si>
    <t>Melting_Curves/meltCurve_Q9ULK4_4_MED23.pdf</t>
  </si>
  <si>
    <t>Melting_Curves/meltCurve_Q9ULL5_3_PRR12.pdf</t>
  </si>
  <si>
    <t>Melting_Curves/meltCurve_Q9ULM6_CNOT6.pdf</t>
  </si>
  <si>
    <t>Melting_Curves/meltCurve_Q9ULP9_2_TBC1D24.pdf</t>
  </si>
  <si>
    <t>Melting_Curves/meltCurve_Q9ULR0_ISY1.pdf</t>
  </si>
  <si>
    <t>Melting_Curves/meltCurve_Q9ULR3_PPM1H.pdf</t>
  </si>
  <si>
    <t>Melting_Curves/meltCurve_Q9ULT8_HECTD1.pdf</t>
  </si>
  <si>
    <t>Melting_Curves/meltCurve_Q9ULV0_MYO5B.pdf</t>
  </si>
  <si>
    <t>Melting_Curves/meltCurve_Q9ULV3_5_CIZ1.pdf</t>
  </si>
  <si>
    <t>Melting_Curves/meltCurve_Q9ULV4_CORO1C.pdf</t>
  </si>
  <si>
    <t>Melting_Curves/meltCurve_Q9ULW0_TPX2.pdf</t>
  </si>
  <si>
    <t>Melting_Curves/meltCurve_Q9ULX3_NOB1.pdf</t>
  </si>
  <si>
    <t>Melting_Curves/meltCurve_Q9ULX6_AKAP8L.pdf</t>
  </si>
  <si>
    <t>Melting_Curves/meltCurve_Q9ULX9_2_MAFF.pdf</t>
  </si>
  <si>
    <t>Melting_Curves/meltCurve_Q9ULZ3_PYCARD.pdf</t>
  </si>
  <si>
    <t>Melting_Curves/meltCurve_Q9UM11_3_FZR1.pdf</t>
  </si>
  <si>
    <t>Melting_Curves/meltCurve_Q9UM13_ANAPC10.pdf</t>
  </si>
  <si>
    <t>Melting_Curves/meltCurve_Q9UM22_EPDR1.pdf</t>
  </si>
  <si>
    <t>Melting_Curves/meltCurve_Q9UM54_6_MYO6.pdf</t>
  </si>
  <si>
    <t>Melting_Curves/meltCurve_Q9UM82_SPATA2.pdf</t>
  </si>
  <si>
    <t>Melting_Curves/meltCurve_Q9UMN6_WBP7.pdf</t>
  </si>
  <si>
    <t>Melting_Curves/meltCurve_Q9UMR2_DDX19B.pdf</t>
  </si>
  <si>
    <t>Melting_Curves/meltCurve_Q9UMS0_3_NFU1.pdf</t>
  </si>
  <si>
    <t>Melting_Curves/meltCurve_Q9UMS4_PRPF19.pdf</t>
  </si>
  <si>
    <t>Melting_Curves/meltCurve_Q9UMS6_SYNPO2.pdf</t>
  </si>
  <si>
    <t>Melting_Curves/meltCurve_Q9UMX0_UBQLN1.pdf</t>
  </si>
  <si>
    <t>Melting_Curves/meltCurve_Q9UMX1_SUFU.pdf</t>
  </si>
  <si>
    <t>Melting_Curves/meltCurve_Q9UMX5_NENF.pdf</t>
  </si>
  <si>
    <t>Melting_Curves/meltCurve_Q9UMY1_NOL7.pdf</t>
  </si>
  <si>
    <t>Melting_Curves/meltCurve_Q9UMY4_2_SNX12.pdf</t>
  </si>
  <si>
    <t>Melting_Curves/meltCurve_Q9UMZ2_SYNRG.pdf</t>
  </si>
  <si>
    <t>Melting_Curves/meltCurve_Q9UN36_2_NDRG2.pdf</t>
  </si>
  <si>
    <t>Melting_Curves/meltCurve_Q9UN37_VPS4A.pdf</t>
  </si>
  <si>
    <t>Melting_Curves/meltCurve_Q9UN79_SOX13.pdf</t>
  </si>
  <si>
    <t>Melting_Curves/meltCurve_Q9UN86_2_G3BP2.pdf</t>
  </si>
  <si>
    <t>Melting_Curves/meltCurve_Q9UNA1_2_ARHGAP26.pdf</t>
  </si>
  <si>
    <t>Melting_Curves/meltCurve_Q9UNE7_STUB1.pdf</t>
  </si>
  <si>
    <t>Melting_Curves/meltCurve_Q9UNF0_PACSIN2.pdf</t>
  </si>
  <si>
    <t>Melting_Curves/meltCurve_Q9UNF1_MAGED2.pdf</t>
  </si>
  <si>
    <t>Melting_Curves/meltCurve_Q9UNH6_2_SNX7.pdf</t>
  </si>
  <si>
    <t>Melting_Curves/meltCurve_Q9UNH7_SNX6.pdf</t>
  </si>
  <si>
    <t>Melting_Curves/meltCurve_Q9UNI6_DUSP12.pdf</t>
  </si>
  <si>
    <t>Melting_Curves/meltCurve_Q9UNK0_STX8.pdf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</si>
  <si>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</si>
  <si>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</si>
  <si>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</si>
  <si>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</si>
  <si>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Melting_Curves/meltCurve_Q9UNQ2_DIMT1.pdf</t>
  </si>
  <si>
    <t>Melting_Curves/meltCurve_Q9UNS1_2_TIMELESS.pdf</t>
  </si>
  <si>
    <t>Melting_Curves/meltCurve_Q9UNS2_COPS3.pdf</t>
  </si>
  <si>
    <t>Melting_Curves/meltCurve_Q9UNT1_RABL2B.pdf</t>
  </si>
  <si>
    <t>Melting_Curves/meltCurve_Q9UNW1_MINPP1.pdf</t>
  </si>
  <si>
    <t>Melting_Curves/meltCurve_Q9UNY4_TTF2.pdf</t>
  </si>
  <si>
    <t>Melting_Curves/meltCurve_Q9UNZ2_NSFL1C.pdf</t>
  </si>
  <si>
    <t>Melting_Curves/meltCurve_Q9UNZ5_C19orf53.pdf</t>
  </si>
  <si>
    <t>Melting_Curves/meltCurve_Q9UP83_COG5.pdf</t>
  </si>
  <si>
    <t>Melting_Curves/meltCurve_Q9UPM8_AP4E1.pdf</t>
  </si>
  <si>
    <t>Melting_Curves/meltCurve_Q9UPN4_3_AZI1.pdf</t>
  </si>
  <si>
    <t>Melting_Curves/meltCurve_Q9UPN6_SCAF8.pdf</t>
  </si>
  <si>
    <t>Melting_Curves/meltCurve_Q9UPN7_PPP6R1.pdf</t>
  </si>
  <si>
    <t>Melting_Curves/meltCurve_Q9UPN9_TRIM33.pdf</t>
  </si>
  <si>
    <t>Melting_Curves/meltCurve_Q9UPP1_4_PHF8.pdf</t>
  </si>
  <si>
    <t>Melting_Curves/meltCurve_Q9UPP5_2_KIAA1107.pdf</t>
  </si>
  <si>
    <t>Melting_Curves/meltCurve_Q9UPQ0_10_LIMCH1.pdf</t>
  </si>
  <si>
    <t>Melting_Curves/meltCurve_Q9UPQ0_6_LIMCH1.pdf</t>
  </si>
  <si>
    <t>Melting_Curves/meltCurve_Q9UPQ3_AGAP1.pdf</t>
  </si>
  <si>
    <t>Melting_Curves/meltCurve_Q9UPQ9_1_TNRC6B.pdf</t>
  </si>
  <si>
    <t>Melting_Curves/meltCurve_Q9UPR0_PLCL2.pdf</t>
  </si>
  <si>
    <t>Melting_Curves/meltCurve_Q9UPR3_SMG5.pdf</t>
  </si>
  <si>
    <t>Melting_Curves/meltCurve_Q9UPS8_ANKRD26.pdf</t>
  </si>
  <si>
    <t>Melting_Curves/meltCurve_Q9UPT5_6_EXOC7.pdf</t>
  </si>
  <si>
    <t>Melting_Curves/meltCurve_Q9UPT8_ZC3H4.pdf</t>
  </si>
  <si>
    <t>Melting_Curves/meltCurve_Q9UPT9_2_USP22.pdf</t>
  </si>
  <si>
    <t>Melting_Curves/meltCurve_Q9UPU5_USP24.pdf</t>
  </si>
  <si>
    <t>Melting_Curves/meltCurve_Q9UPU7_TBC1D2B.pdf</t>
  </si>
  <si>
    <t>Melting_Curves/meltCurve_Q9UPW5_AGTPBP1.pdf</t>
  </si>
  <si>
    <t>Melting_Curves/meltCurve_Q9UPX8_3_SHANK2.pdf</t>
  </si>
  <si>
    <t>Melting_Curves/meltCurve_Q9UPY3_2_DICER1.pdf</t>
  </si>
  <si>
    <t>Melting_Curves/meltCurve_Q9UPY8_MAPRE3.pdf</t>
  </si>
  <si>
    <t>Melting_Curves/meltCurve_Q9UPZ3_2_HPS5.pdf</t>
  </si>
  <si>
    <t>Melting_Curves/meltCurve_Q9UPZ6_THSD7A.pdf</t>
  </si>
  <si>
    <t>Melting_Curves/meltCurve_Q9UQ13_2_SHOC2.pdf</t>
  </si>
  <si>
    <t>Melting_Curves/meltCurve_Q9UQ35_SRRM2.pdf</t>
  </si>
  <si>
    <t>Melting_Curves/meltCurve_Q9UQ80_PA2G4.pdf</t>
  </si>
  <si>
    <t>Melting_Curves/meltCurve_Q9UQB8_3_BAIAP2.pdf</t>
  </si>
  <si>
    <t>Melting_Curves/meltCurve_Q9UQC2_2_GAB2.pdf</t>
  </si>
  <si>
    <t>Melting_Curves/meltCurve_Q9UQE7_SMC3.pdf</t>
  </si>
  <si>
    <t>Melting_Curves/meltCurve_Q9UQN3_CHMP2B.pdf</t>
  </si>
  <si>
    <t>Melting_Curves/meltCurve_Q9UQR0_SCML2.pdf</t>
  </si>
  <si>
    <t>Melting_Curves/meltCurve_Q9UQR1_ZNF148.pdf</t>
  </si>
  <si>
    <t>Melting_Curves/meltCurve_Q9Y217_MTMR6.pdf</t>
  </si>
  <si>
    <t>Melting_Curves/meltCurve_Q9Y223_GNE.pdf</t>
  </si>
  <si>
    <t>Melting_Curves/meltCurve_Q9Y224_C14orf166.pdf</t>
  </si>
  <si>
    <t>Melting_Curves/meltCurve_Q9Y230_RUVBL2.pdf</t>
  </si>
  <si>
    <t>Melting_Curves/meltCurve_Q9Y232_2_CDYL.pdf</t>
  </si>
  <si>
    <t>Melting_Curves/meltCurve_Q9Y237_PIN4.pdf</t>
  </si>
  <si>
    <t>Melting_Curves/meltCurve_Q9Y243_2_AKT3.pdf</t>
  </si>
  <si>
    <t>Melting_Curves/meltCurve_Q9Y244_POMP.pdf</t>
  </si>
  <si>
    <t>Melting_Curves/meltCurve_Q9Y248_GINS2.pdf</t>
  </si>
  <si>
    <t>Melting_Curves/meltCurve_Q9Y259_CHKB.pdf</t>
  </si>
  <si>
    <t>Melting_Curves/meltCurve_Q9Y262_EIF3L.pdf</t>
  </si>
  <si>
    <t>Melting_Curves/meltCurve_Q9Y263_PLAA.pdf</t>
  </si>
  <si>
    <t>Melting_Curves/meltCurve_Q9Y265_RUVBL1.pdf</t>
  </si>
  <si>
    <t>Melting_Curves/meltCurve_Q9Y266_NUDC.pdf</t>
  </si>
  <si>
    <t>Melting_Curves/meltCurve_Q9Y281_CFL2.pdf</t>
  </si>
  <si>
    <t>Melting_Curves/meltCurve_Q9Y285_FARSA.pdf</t>
  </si>
  <si>
    <t>Melting_Curves/meltCurve_Q9Y294_ASF1A.pdf</t>
  </si>
  <si>
    <t>Melting_Curves/meltCurve_Q9Y295_DRG1.pdf</t>
  </si>
  <si>
    <t>Melting_Curves/meltCurve_Q9Y296_TRAPPC4.pdf</t>
  </si>
  <si>
    <t>Melting_Curves/meltCurve_Q9Y2A7_NCKAP1.pdf</t>
  </si>
  <si>
    <t>Melting_Curves/meltCurve_Q9Y2B0_CNPY2.pdf</t>
  </si>
  <si>
    <t>Melting_Curves/meltCurve_Q9Y2D4_EXOC6B.pdf</t>
  </si>
  <si>
    <t>Melting_Curves/meltCurve_Q9Y2D5_6_AKAP2.pdf</t>
  </si>
  <si>
    <t>Melting_Curves/meltCurve_Q9Y2E4_DIP2C.pdf</t>
  </si>
  <si>
    <t>Melting_Curves/meltCurve_Q9Y2F5_KIAA0947.pdf</t>
  </si>
  <si>
    <t>Melting_Curves/meltCurve_Q9Y2G2_5_CARD8.pdf</t>
  </si>
  <si>
    <t>Melting_Curves/meltCurve_Q9Y2G5_POFUT2.pdf</t>
  </si>
  <si>
    <t>Melting_Curves/meltCurve_Q9Y2H0_3_DLGAP4.pdf</t>
  </si>
  <si>
    <t>Melting_Curves/meltCurve_Q9Y2H1_STK38L.pdf</t>
  </si>
  <si>
    <t>Melting_Curves/meltCurve_Q9Y2H2_INPP5F.pdf</t>
  </si>
  <si>
    <t>Melting_Curves/meltCurve_Q9Y2H5_PLEKHA6.pdf</t>
  </si>
  <si>
    <t>Melting_Curves/meltCurve_Q9Y2I1_NISCH.pdf</t>
  </si>
  <si>
    <t>Melting_Curves/meltCurve_Q9Y2I6_NINL.pdf</t>
  </si>
  <si>
    <t>Melting_Curves/meltCurve_Q9Y2I7_PIKFYVE.pdf</t>
  </si>
  <si>
    <t>Melting_Curves/meltCurve_Q9Y2I8_WDR37.pdf</t>
  </si>
  <si>
    <t>Melting_Curves/meltCurve_Q9Y2J4_2_AMOTL2.pdf</t>
  </si>
  <si>
    <t>Melting_Curves/meltCurve_Q9Y2K1_2_ZBTB1.pdf</t>
  </si>
  <si>
    <t>Melting_Curves/meltCurve_Q9Y2K7_KDM2A.pdf</t>
  </si>
  <si>
    <t>Melting_Curves/meltCurve_Q9Y2L1_DIS3.pdf</t>
  </si>
  <si>
    <t>Melting_Curves/meltCurve_Q9Y2L9_2_LRCH1.pdf</t>
  </si>
  <si>
    <t>Melting_Curves/meltCurve_Q9Y2Q3_GSTK1.pdf</t>
  </si>
  <si>
    <t>Melting_Curves/meltCurve_Q9Y2Q5_LAMTOR2.pdf</t>
  </si>
  <si>
    <t>Melting_Curves/meltCurve_Q9Y2Q9_MRPS28.pdf</t>
  </si>
  <si>
    <t>Melting_Curves/meltCurve_Q9Y2R4_DDX52.pdf</t>
  </si>
  <si>
    <t>Melting_Curves/meltCurve_Q9Y2R9_MRPS7.pdf</t>
  </si>
  <si>
    <t>Melting_Curves/meltCurve_Q9Y2S0_POLR1D.pdf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</si>
  <si>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</si>
  <si>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</si>
  <si>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</si>
  <si>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</si>
  <si>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Melting_Curves/meltCurve_Q9Y2T7_YBX2.pdf</t>
  </si>
  <si>
    <t>Melting_Curves/meltCurve_Q9Y2U5_MAP3K2.pdf</t>
  </si>
  <si>
    <t>Melting_Curves/meltCurve_Q9Y2U8_LEMD3.pdf</t>
  </si>
  <si>
    <t>Melting_Curves/meltCurve_Q9Y2U9_KLHDC2.pdf</t>
  </si>
  <si>
    <t>Melting_Curves/meltCurve_Q9Y2V2_CARHSP1.pdf</t>
  </si>
  <si>
    <t>Melting_Curves/meltCurve_Q9Y2V7_COG6.pdf</t>
  </si>
  <si>
    <t>Melting_Curves/meltCurve_Q9Y2W1_THRAP3.pdf</t>
  </si>
  <si>
    <t>Melting_Curves/meltCurve_Q9Y2X0_2_MED16.pdf</t>
  </si>
  <si>
    <t>Melting_Curves/meltCurve_Q9Y2X3_NOP58.pdf</t>
  </si>
  <si>
    <t>Melting_Curves/meltCurve_Q9Y2X7_GIT1.pdf</t>
  </si>
  <si>
    <t>Melting_Curves/meltCurve_Q9Y2Y1_POLR3K.pdf</t>
  </si>
  <si>
    <t>Melting_Curves/meltCurve_Q9Y2Y9_KLF13.pdf</t>
  </si>
  <si>
    <t>Melting_Curves/meltCurve_Q9Y2Z0_SUGT1.pdf</t>
  </si>
  <si>
    <t>Melting_Curves/meltCurve_Q9Y2Z4_YARS2.pdf</t>
  </si>
  <si>
    <t>Melting_Curves/meltCurve_Q9Y303_AMDHD2.pdf</t>
  </si>
  <si>
    <t>Melting_Curves/meltCurve_Q9Y305_ACOT9.pdf</t>
  </si>
  <si>
    <t>Melting_Curves/meltCurve_Q9Y312_AAR2.pdf</t>
  </si>
  <si>
    <t>Melting_Curves/meltCurve_Q9Y314_NOSIP.pdf</t>
  </si>
  <si>
    <t>Melting_Curves/meltCurve_Q9Y315_DERA.pdf</t>
  </si>
  <si>
    <t>Melting_Curves/meltCurve_Q9Y316_MEMO1.pdf</t>
  </si>
  <si>
    <t>Melting_Curves/meltCurve_Q9Y333_LSM2.pdf</t>
  </si>
  <si>
    <t>Melting_Curves/meltCurve_Q9Y371_SH3GLB1.pdf</t>
  </si>
  <si>
    <t>Melting_Curves/meltCurve_Q9Y376_CAB39.pdf</t>
  </si>
  <si>
    <t>Melting_Curves/meltCurve_Q9Y383_LUC7L2.pdf</t>
  </si>
  <si>
    <t>Melting_Curves/meltCurve_Q9Y399_MRPS2.pdf</t>
  </si>
  <si>
    <t>Melting_Curves/meltCurve_Q9Y3A3_3_MOB4.pdf</t>
  </si>
  <si>
    <t>Melting_Curves/meltCurve_Q9Y3A5_SBDS.pdf</t>
  </si>
  <si>
    <t>Melting_Curves/meltCurve_Q9Y3B4_SF3B14.pdf</t>
  </si>
  <si>
    <t>Melting_Curves/meltCurve_Q9Y3B9_RRP15.pdf</t>
  </si>
  <si>
    <t>Melting_Curves/meltCurve_Q9Y3C1_NOP16.pdf</t>
  </si>
  <si>
    <t>Melting_Curves/meltCurve_Q9Y3C4_TPRKB.pdf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</si>
  <si>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</si>
  <si>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</si>
  <si>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</si>
  <si>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</si>
  <si>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</si>
  <si>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</si>
  <si>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Melting_Curves/meltCurve_Q9Y3D9_MRPS23.pdf</t>
  </si>
  <si>
    <t>Melting_Curves/meltCurve_Q9Y3E1_HDGFRP3.pdf</t>
  </si>
  <si>
    <t>Melting_Curves/meltCurve_Q9Y3E2_BOLA1.pdf</t>
  </si>
  <si>
    <t>Melting_Curves/meltCurve_Q9Y3E7_CHMP3.pdf</t>
  </si>
  <si>
    <t>Melting_Curves/meltCurve_Q9Y3F4_STRAP.pdf</t>
  </si>
  <si>
    <t>Melting_Curves/meltCurve_Q9Y3I0_C22orf28.pdf</t>
  </si>
  <si>
    <t>Melting_Curves/meltCurve_Q9Y3I1_FBXO7.pdf</t>
  </si>
  <si>
    <t>Melting_Curves/meltCurve_Q9Y3L3_SH3BP1.pdf</t>
  </si>
  <si>
    <t>Melting_Curves/meltCurve_Q9Y3L5_RAP2C.pdf</t>
  </si>
  <si>
    <t>Melting_Curves/meltCurve_Q9Y3M8_3_STARD13.pdf</t>
  </si>
  <si>
    <t>Melting_Curves/meltCurve_Q9Y3P9_RABGAP1.pdf</t>
  </si>
  <si>
    <t>Melting_Curves/meltCurve_Q9Y3Q8_TSC22D4.pdf</t>
  </si>
  <si>
    <t>Melting_Curves/meltCurve_Q9Y3R5_2_DOPEY2.pdf</t>
  </si>
  <si>
    <t>Melting_Curves/meltCurve_Q9Y3S2_ZNF330.pdf</t>
  </si>
  <si>
    <t>Melting_Curves/meltCurve_Q9Y3T6_R3HCC1.pdf</t>
  </si>
  <si>
    <t>Melting_Curves/meltCurve_Q9Y3T9_NOC2L.pdf</t>
  </si>
  <si>
    <t>Melting_Curves/meltCurve_Q9Y3U8_RPL36.pdf</t>
  </si>
  <si>
    <t>Melting_Curves/meltCurve_Q9Y3V2_RWDD3.pdf</t>
  </si>
  <si>
    <t>Melting_Curves/meltCurve_Q9Y3X0_CCDC9.pdf</t>
  </si>
  <si>
    <t>Melting_Curves/meltCurve_Q9Y3Y2_4_CHTOP.pdf</t>
  </si>
  <si>
    <t>Melting_Curves/meltCurve_Q9Y3Z3_SAMHD1.pdf</t>
  </si>
  <si>
    <t>Melting_Curves/meltCurve_Q9Y446_PKP3.pdf</t>
  </si>
  <si>
    <t>Melting_Curves/meltCurve_Q9Y448_KNSTRN.pdf</t>
  </si>
  <si>
    <t>Melting_Curves/meltCurve_Q9Y450_2_HBS1L.pdf</t>
  </si>
  <si>
    <t>Melting_Curves/meltCurve_Q9Y450_4_HBS1L.pdf</t>
  </si>
  <si>
    <t>Melting_Curves/meltCurve_Q9Y490_TLN1.pdf</t>
  </si>
  <si>
    <t>Melting_Curves/meltCurve_Q9Y496_KIF3A.pdf</t>
  </si>
  <si>
    <t>Melting_Curves/meltCurve_Q9Y4B4_RAD54L2.pdf</t>
  </si>
  <si>
    <t>Melting_Curves/meltCurve_Q9Y4B5_SOGA2.pdf</t>
  </si>
  <si>
    <t>Melting_Curves/meltCurve_Q9Y4B6_2_VPRBP.pdf</t>
  </si>
  <si>
    <t>Melting_Curves/meltCurve_Q9Y4C1_KDM3A.pdf</t>
  </si>
  <si>
    <t>Melting_Curves/meltCurve_Q9Y4C2_2_FAM115A.pdf</t>
  </si>
  <si>
    <t>Melting_Curves/meltCurve_Q9Y4C4_MFHAS1.pdf</t>
  </si>
  <si>
    <t>Melting_Curves/meltCurve_Q9Y4C8_RBM19.pdf</t>
  </si>
  <si>
    <t>Melting_Curves/meltCurve_Q9Y4E1_2_FAM21C.pdf</t>
  </si>
  <si>
    <t>Melting_Curves/meltCurve_Q9Y4E6_2_WDR7.pdf</t>
  </si>
  <si>
    <t>Melting_Curves/meltCurve_Q9Y4E8_USP15.pdf</t>
  </si>
  <si>
    <t>Melting_Curves/meltCurve_Q9Y4F1_FARP1.pdf</t>
  </si>
  <si>
    <t>Melting_Curves/meltCurve_Q9Y4F5_CEP170B.pdf</t>
  </si>
  <si>
    <t>Melting_Curves/meltCurve_Q9Y4G6_TLN2.pdf</t>
  </si>
  <si>
    <t>Melting_Curves/meltCurve_Q9Y4G8_RAPGEF2.pdf</t>
  </si>
  <si>
    <t>Melting_Curves/meltCurve_Q9Y4H2_IRS2.pdf</t>
  </si>
  <si>
    <t>Melting_Curves/meltCurve_Q9Y4I1_2_MYO5A.pdf</t>
  </si>
  <si>
    <t>Melting_Curves/meltCurve_Q9Y4K1_AIM1.pdf</t>
  </si>
  <si>
    <t>Melting_Curves/meltCurve_Q9Y4K3_TRAF6.pdf</t>
  </si>
  <si>
    <t>Melting_Curves/meltCurve_Q9Y4K4_MAP4K5.pdf</t>
  </si>
  <si>
    <t>Melting_Curves/meltCurve_Q9Y4P1_6_ATG4B.pdf</t>
  </si>
  <si>
    <t>Melting_Curves/meltCurve_Q9Y4P8_4_WIPI2.pdf</t>
  </si>
  <si>
    <t>Melting_Curves/meltCurve_Q9Y4R8_TELO2.pdf</t>
  </si>
  <si>
    <t>Melting_Curves/meltCurve_Q9Y4U1_MMACHC.pdf</t>
  </si>
  <si>
    <t>Melting_Curves/meltCurve_Q9Y4X5_ARIH1.pdf</t>
  </si>
  <si>
    <t>Melting_Curves/meltCurve_Q9Y4Z0_LSM4.pdf</t>
  </si>
  <si>
    <t>Melting_Curves/meltCurve_Q9Y508_RNF114.pdf</t>
  </si>
  <si>
    <t>Melting_Curves/meltCurve_Q9Y520_4_PRRC2C.pdf</t>
  </si>
  <si>
    <t>Melting_Curves/meltCurve_Q9Y546_LRRC42.pdf</t>
  </si>
  <si>
    <t>Melting_Curves/meltCurve_Q9Y547_HSPB11.pdf</t>
  </si>
  <si>
    <t>Melting_Curves/meltCurve_Q9Y570_PPME1.pdf</t>
  </si>
  <si>
    <t>Melting_Curves/meltCurve_Q9Y580_RBM7.pdf</t>
  </si>
  <si>
    <t>Melting_Curves/meltCurve_Q9Y597_2_KCTD3.pdf</t>
  </si>
  <si>
    <t>Melting_Curves/meltCurve_Q9Y5A7_2_NUB1.pdf</t>
  </si>
  <si>
    <t>Melting_Curves/meltCurve_Q9Y5A9_YTHDF2.pdf</t>
  </si>
  <si>
    <t>Melting_Curves/meltCurve_Q9Y5B0_CTDP1.pdf</t>
  </si>
  <si>
    <t>Melting_Curves/meltCurve_Q9Y5B6_PAXBP1.pdf</t>
  </si>
  <si>
    <t>Melting_Curves/meltCurve_Q9Y5B8_2_NME7.pdf</t>
  </si>
  <si>
    <t>Melting_Curves/meltCurve_Q9Y5B9_SUPT16H.pdf</t>
  </si>
  <si>
    <t>Melting_Curves/meltCurve_Q9Y5J1_UTP18.pdf</t>
  </si>
  <si>
    <t>Melting_Curves/meltCurve_Q9Y5J5_PHLDA3.pdf</t>
  </si>
  <si>
    <t>Melting_Curves/meltCurve_Q9Y5J7_TIMM9.pdf</t>
  </si>
  <si>
    <t>Melting_Curves/meltCurve_Q9Y5J9_TIMM8B.pdf</t>
  </si>
  <si>
    <t>Melting_Curves/meltCurve_Q9Y5K5_2_UCHL5.pdf</t>
  </si>
  <si>
    <t>Melting_Curves/meltCurve_Q9Y5K6_CD2AP.pdf</t>
  </si>
  <si>
    <t>Melting_Curves/meltCurve_Q9Y5K8_ATP6V1D.pdf</t>
  </si>
  <si>
    <t>Melting_Curves/meltCurve_Q9Y5L0_TNPO3.pdf</t>
  </si>
  <si>
    <t>Melting_Curves/meltCurve_Q9Y5L4_TIMM13.pdf</t>
  </si>
  <si>
    <t>Melting_Curves/meltCurve_Q9Y5N5_2_N6AMT1.pdf</t>
  </si>
  <si>
    <t>Melting_Curves/meltCurve_Q9Y5P4_2_COL4A3BP.pdf</t>
  </si>
  <si>
    <t>Melting_Curves/meltCurve_Q9Y5P6_GMPPB.pdf</t>
  </si>
  <si>
    <t>Melting_Curves/meltCurve_Q9Y5Q8_GTF3C5.pdf</t>
  </si>
  <si>
    <t>Melting_Curves/meltCurve_Q9Y5Q9_GTF3C3.pdf</t>
  </si>
  <si>
    <t>Melting_Curves/meltCurve_Q9Y5R8_TRAPPC1.pdf</t>
  </si>
  <si>
    <t>Melting_Curves/meltCurve_Q9Y5S2_CDC42BPB.pdf</t>
  </si>
  <si>
    <t>Melting_Curves/meltCurve_Q9Y5S9_RBM8A.pdf</t>
  </si>
  <si>
    <t>Melting_Curves/meltCurve_Q9Y5T5_2_USP16.pdf</t>
  </si>
  <si>
    <t>Melting_Curves/meltCurve_Q9Y5U2_2_TSSC4.pdf</t>
  </si>
  <si>
    <t>Melting_Curves/meltCurve_Q9Y5V0_ZNF706.pdf</t>
  </si>
  <si>
    <t>Melting_Curves/meltCurve_Q9Y5V3_MAGED1.pdf</t>
  </si>
  <si>
    <t>Melting_Curves/meltCurve_Q9Y5X1_SNX9.pdf</t>
  </si>
  <si>
    <t>Melting_Curves/meltCurve_Q9Y5X2_SNX8.pdf</t>
  </si>
  <si>
    <t>Melting_Curves/meltCurve_Q9Y5X3_SNX5.pdf</t>
  </si>
  <si>
    <t>Melting_Curves/meltCurve_Q9Y5Y0_FLVCR1.pdf</t>
  </si>
  <si>
    <t>Melting_Curves/meltCurve_Q9Y5Y2_NUBP2.pdf</t>
  </si>
  <si>
    <t>Melting_Curves/meltCurve_Q9Y5Z4_HEBP2.pdf</t>
  </si>
  <si>
    <t>Melting_Curves/meltCurve_Q9Y5Z7_HCFC2.pdf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</si>
  <si>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</si>
  <si>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</si>
  <si>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</si>
  <si>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</si>
  <si>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Melting_Curves/meltCurve_Q9Y620_RAD54B.pdf</t>
  </si>
  <si>
    <t>Melting_Curves/meltCurve_Q9Y657_SPIN1.pdf</t>
  </si>
  <si>
    <t>Melting_Curves/meltCurve_Q9Y678_COPG1.pdf</t>
  </si>
  <si>
    <t>Melting_Curves/meltCurve_Q9Y680_3_FKBP7.pdf</t>
  </si>
  <si>
    <t>Melting_Curves/meltCurve_Q9Y692_2_GMEB1.pdf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</si>
  <si>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</si>
  <si>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</si>
  <si>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</si>
  <si>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</si>
  <si>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</si>
  <si>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Melting_Curves/meltCurve_Q9Y6B7_AP4B1.pdf</t>
  </si>
  <si>
    <t>Melting_Curves/meltCurve_Q9Y6D5_ARFGEF2.pdf</t>
  </si>
  <si>
    <t>Melting_Curves/meltCurve_Q9Y6D6_ARFGEF1.pdf</t>
  </si>
  <si>
    <t>Melting_Curves/meltCurve_Q9Y6D9_MAD1L1.pdf</t>
  </si>
  <si>
    <t>Melting_Curves/meltCurve_Q9Y6E0_2_STK24.pdf</t>
  </si>
  <si>
    <t>Melting_Curves/meltCurve_Q9Y6G9_DYNC1LI1.pdf</t>
  </si>
  <si>
    <t>Melting_Curves/meltCurve_Q9Y6H1_CHCHD2.pdf</t>
  </si>
  <si>
    <t>Melting_Curves/meltCurve_Q9Y6I3_EPN1.pdf</t>
  </si>
  <si>
    <t>Melting_Curves/meltCurve_Q9Y6I9_TEX264.pdf</t>
  </si>
  <si>
    <t>Melting_Curves/meltCurve_Q9Y6J9_TAF6L.pdf</t>
  </si>
  <si>
    <t>Melting_Curves/meltCurve_Q9Y6K1_3_DNMT3A.pdf</t>
  </si>
  <si>
    <t>Melting_Curves/meltCurve_Q9Y6K5_OAS3.pdf</t>
  </si>
  <si>
    <t>Melting_Curves/meltCurve_Q9Y6K9_IKBKG.pdf</t>
  </si>
  <si>
    <t>Melting_Curves/meltCurve_Q9Y6M5_SLC30A1.pdf</t>
  </si>
  <si>
    <t>Melting_Curves/meltCurve_Q9Y6N5_SQRDL.pdf</t>
  </si>
  <si>
    <t>Melting_Curves/meltCurve_Q9Y6N7_5_ROBO1.pdf</t>
  </si>
  <si>
    <t>Melting_Curves/meltCurve_Q9Y6N9_5_USH1C.pdf</t>
  </si>
  <si>
    <t>Melting_Curves/meltCurve_Q9Y6Q6_TNFRSF11A.pdf</t>
  </si>
  <si>
    <t>Melting_Curves/meltCurve_Q9Y6Q9_5_NCOA3.pdf</t>
  </si>
  <si>
    <t>Melting_Curves/meltCurve_Q9Y6R0_NUMBL.pdf</t>
  </si>
  <si>
    <t>Melting_Curves/meltCurve_Q9Y6V7_DDX49.pdf</t>
  </si>
  <si>
    <t>Melting_Curves/meltCurve_Q9Y6W3_CAPN7.pdf</t>
  </si>
  <si>
    <t>Melting_Curves/meltCurve_Q9Y6W5_WASF2.pdf</t>
  </si>
  <si>
    <t>Melting_Curves/meltCurve_Q9Y6X5_ENPP4.pdf</t>
  </si>
  <si>
    <t>Melting_Curves/meltCurve_Q9Y6X8_ZHX2.pdf</t>
  </si>
  <si>
    <t>Melting_Curves/meltCurve_Q9Y6X9_MORC2.pdf</t>
  </si>
  <si>
    <t>Melting_Curves/meltCurve_Q9Y6Y0_IVNS1ABP.pdf</t>
  </si>
  <si>
    <t>Melting_Curves/meltCurve_R4GMN1_MOSPD2.pdf</t>
  </si>
  <si>
    <t>Melting_Curves/meltCurve_R4GMR5_PSMD8.pdf</t>
  </si>
  <si>
    <t>Melting_Curves/meltCurve_R4GMU8_LAMTOR5.pdf</t>
  </si>
  <si>
    <t>Melting_Curves/meltCurve_R4GMX3_BMI1.pdf</t>
  </si>
  <si>
    <t>Melting_Curves/meltCurve_R4GN55_YTHDF3.pdf</t>
  </si>
  <si>
    <t>Melting_Curves/meltCurve_R4GN62_PARD3B.pdf</t>
  </si>
  <si>
    <t>Melting_Curves/meltCurve_R4GN98_S100A6.pdf</t>
  </si>
  <si>
    <t>Melting_Curves/meltCurve_R4GNB2_DENND4C.pdf</t>
  </si>
  <si>
    <t>Melting_Curves/meltCurve_R4GND3_PHLDA1.pdf</t>
  </si>
  <si>
    <t>Melting_Curves/meltCurve_R4GNH3_PSMC3.pdf</t>
  </si>
  <si>
    <t>Melting_Curves/meltCurve_R4GNH4_FBXO44.pdf</t>
  </si>
  <si>
    <t>Yes</t>
  </si>
  <si>
    <t>No</t>
  </si>
  <si>
    <t>Ubiquitin-like modifier-activating enzyme 6</t>
  </si>
  <si>
    <t>UHRF1-binding protein 1-like</t>
  </si>
  <si>
    <t>Shootin-1</t>
  </si>
  <si>
    <t>Rho GTPase-activating protein 10</t>
  </si>
  <si>
    <t>KIAA0999 protein</t>
  </si>
  <si>
    <t>Uncharacterized protein C17orf89</t>
  </si>
  <si>
    <t>Pleckstrin homology domain-containing family G member 3</t>
  </si>
  <si>
    <t>SH3 and PX domain-containing protein 2B</t>
  </si>
  <si>
    <t>Par6 beta short form</t>
  </si>
  <si>
    <t>Putative PIP5K1A and PSMD4-like protein</t>
  </si>
  <si>
    <t>Isoform 2 of Probable threonine--tRNA ligase 2, cytoplasmic</t>
  </si>
  <si>
    <t>tRNA wybutosine-synthesizing protein 5</t>
  </si>
  <si>
    <t>Isoform 2 of von Willebrand factor A domain-containing protein 8</t>
  </si>
  <si>
    <t>Isoform 2 of Protein strawberry notch homolog 1</t>
  </si>
  <si>
    <t>Isoform 2 of GTP-binding protein 10</t>
  </si>
  <si>
    <t>Isoform 2 of WD repeat-containing protein 91</t>
  </si>
  <si>
    <t>Isoform 2 of Killer cell lectin-like receptor subfamily G member 2</t>
  </si>
  <si>
    <t>Metallo-beta-lactamase domain-containing protein 1</t>
  </si>
  <si>
    <t>Isoform 2 of Trafficking protein particle complex subunit 13</t>
  </si>
  <si>
    <t>CCR4-NOT transcription complex subunit 1</t>
  </si>
  <si>
    <t>Isoform 7 of Transcription factor TFIIIB component B homolog</t>
  </si>
  <si>
    <t>28S ribosomal protein S16, mitochondrial</t>
  </si>
  <si>
    <t>Protein FAM83G</t>
  </si>
  <si>
    <t>Paralemmin-3</t>
  </si>
  <si>
    <t>Phosphoglycolate phosphatase</t>
  </si>
  <si>
    <t>UPF0600 protein C5orf51</t>
  </si>
  <si>
    <t>RCC1 domain-containing protein 1</t>
  </si>
  <si>
    <t>Oral-facial-digital syndrome 1 protein</t>
  </si>
  <si>
    <t>Zinc finger protein 281</t>
  </si>
  <si>
    <t>Zinc finger protein 316</t>
  </si>
  <si>
    <t>Charged multivesicular body protein 1a</t>
  </si>
  <si>
    <t>Leucine-rich repeat-containing protein C10orf11</t>
  </si>
  <si>
    <t>Proline-rich protein PRCC</t>
  </si>
  <si>
    <t>WAS/WASL-interacting protein family member 3</t>
  </si>
  <si>
    <t>Hematological and neurological-expressed 1-like protein</t>
  </si>
  <si>
    <t>Isoform 2 of Tubulin alpha chain-like 3</t>
  </si>
  <si>
    <t>Structural maintenance of chromosomes flexible hinge domain-containing protein 1</t>
  </si>
  <si>
    <t>GATS-like protein 2</t>
  </si>
  <si>
    <t>Protein unc-119 homolog B</t>
  </si>
  <si>
    <t>Wilms tumor protein 1-interacting protein</t>
  </si>
  <si>
    <t>Nuclear distribution protein nudE-like 1</t>
  </si>
  <si>
    <t>Putative Polycomb group protein ASXL1</t>
  </si>
  <si>
    <t>Isoform 2 of Probable methyltransferase-like protein 15</t>
  </si>
  <si>
    <t>Coiled-coil domain-containing protein 85C</t>
  </si>
  <si>
    <t>Diaphanous homolog 2 (Drosophila), isoform CRA_c</t>
  </si>
  <si>
    <t>Protein Shroom1</t>
  </si>
  <si>
    <t>Putative uncharacterized protein C16orf96</t>
  </si>
  <si>
    <t>ZW10 interactor</t>
  </si>
  <si>
    <t>Ankyrin repeat and BTB/POZ domain-containing protein BTBD11</t>
  </si>
  <si>
    <t>Protein FAM127A</t>
  </si>
  <si>
    <t>Rho GTPase-activating protein 32</t>
  </si>
  <si>
    <t>Pygopus homolog 1</t>
  </si>
  <si>
    <t>Isoform 2 of Nuclear envelope pore membrane protein POM 121C</t>
  </si>
  <si>
    <t>Intersectin 1 long form variant 2</t>
  </si>
  <si>
    <t>Fragile X mental retardation protein 1</t>
  </si>
  <si>
    <t>POT1 protection of telomeres 1 homolog (S. pombe), isoform CRA_a</t>
  </si>
  <si>
    <t>S100P-binding protein</t>
  </si>
  <si>
    <t>Tubulin alpha-4A chain</t>
  </si>
  <si>
    <t>BICD1 protein</t>
  </si>
  <si>
    <t>Cadherin-2</t>
  </si>
  <si>
    <t>WAS/WASL-interacting protein family member 2</t>
  </si>
  <si>
    <t>TFIIH basal transcription factor complex helicase XPD subunit (Fragment)</t>
  </si>
  <si>
    <t>Nucleoside diphosphate-linked moiety X motif 19, mitochondrial</t>
  </si>
  <si>
    <t>Serine/arginine repetitive matrix protein 1</t>
  </si>
  <si>
    <t>6-phosphofructo-2-kinase/fructose-2, 6-bisphosphatase 2 transcript variant 3</t>
  </si>
  <si>
    <t>Dynein light chain 4, axonemal</t>
  </si>
  <si>
    <t>MKL/myocardin-like protein 1 (Fragment)</t>
  </si>
  <si>
    <t>TBC1 domain family member 22A</t>
  </si>
  <si>
    <t>Flotillin-1 (Fragment)</t>
  </si>
  <si>
    <t>HLA-B associated transcript 3, isoform CRA_a</t>
  </si>
  <si>
    <t>Histone-lysine N-methyltransferase EHMT2</t>
  </si>
  <si>
    <t>Centromere protein M</t>
  </si>
  <si>
    <t>26S proteasome non-ATPase regulatory subunit 10</t>
  </si>
  <si>
    <t>3-hydroxymethyl-3-methylglutaryl-Coenzyme A lyase (Hydroxymethylglutaricaciduria), isoform CRA_b</t>
  </si>
  <si>
    <t>Ras GTPase-activating protein nGAP</t>
  </si>
  <si>
    <t>Eukaryotic translation initiation factor 4E transporter</t>
  </si>
  <si>
    <t>Nuclear factor 1 A-type</t>
  </si>
  <si>
    <t>Hsp90 co-chaperone Cdc37-like 1</t>
  </si>
  <si>
    <t>Exosome complex component CSL4 (Fragment)</t>
  </si>
  <si>
    <t>Trypsin-3 (Fragment)</t>
  </si>
  <si>
    <t>Guanylate kinase (Fragment)</t>
  </si>
  <si>
    <t>Liprin alpha4</t>
  </si>
  <si>
    <t>Thioredoxin reductase 1, cytoplasmic</t>
  </si>
  <si>
    <t>Isoform 5 of Unconventional myosin-IXa</t>
  </si>
  <si>
    <t>Coiled-coil domain-containing protein 92</t>
  </si>
  <si>
    <t>Coiled-coil domain-containing protein 90B, mitochondrial</t>
  </si>
  <si>
    <t>Histone deacetylase</t>
  </si>
  <si>
    <t>Leucine zipper transcription factor-like 1, isoform CRA_b</t>
  </si>
  <si>
    <t>Superoxide dismutase</t>
  </si>
  <si>
    <t>PHD finger protein 23</t>
  </si>
  <si>
    <t>Centromere protein H</t>
  </si>
  <si>
    <t>Pyridine nucleotide-disulfide oxidoreductase domain-containing protein 1</t>
  </si>
  <si>
    <t>Retinoic acid receptor RXR-alpha</t>
  </si>
  <si>
    <t>Calponin-2</t>
  </si>
  <si>
    <t>Annexin</t>
  </si>
  <si>
    <t>Histidyl-tRNA synthetase-like, isoform CRA_a</t>
  </si>
  <si>
    <t>Vacuolar fusion protein MON1 homolog B</t>
  </si>
  <si>
    <t>Sorting nexin-2</t>
  </si>
  <si>
    <t>Catenin beta-1</t>
  </si>
  <si>
    <t>Phosphatidylinositol 5-phosphate 4-kinase type-2 alpha</t>
  </si>
  <si>
    <t>E3 ubiquitin-protein ligase HECW1</t>
  </si>
  <si>
    <t>MAP1S light chain</t>
  </si>
  <si>
    <t>Nuclear receptor corepressor 1</t>
  </si>
  <si>
    <t>Ras-related protein Rab-5A</t>
  </si>
  <si>
    <t>Small nuclear ribonucleoprotein Sm D3</t>
  </si>
  <si>
    <t>Citrate synthase</t>
  </si>
  <si>
    <t>Periodic tryptophan protein 1 homolog</t>
  </si>
  <si>
    <t>Zinc finger protein 286A</t>
  </si>
  <si>
    <t>Lipolysis-stimulated lipoprotein receptor</t>
  </si>
  <si>
    <t>Protein SHQ1 homolog</t>
  </si>
  <si>
    <t>ATP synthase subunit gamma</t>
  </si>
  <si>
    <t>Protein CHURC1-FNTB</t>
  </si>
  <si>
    <t>Beta/gamma crystallin domain-containing protein 3 (Fragment)</t>
  </si>
  <si>
    <t>Probable ATP-dependent RNA helicase DDX5</t>
  </si>
  <si>
    <t>E3 ubiquitin-protein ligase RNF220</t>
  </si>
  <si>
    <t>Zinc finger protein 460</t>
  </si>
  <si>
    <t>Prostaglandin E synthase 3</t>
  </si>
  <si>
    <t>Makorin, ring finger protein, 2, isoform CRA_b</t>
  </si>
  <si>
    <t>Sorting nexin-11</t>
  </si>
  <si>
    <t>TOX high mobility group box family member 4</t>
  </si>
  <si>
    <t>Eukaryotic translation initiation factor 2 subunit 1</t>
  </si>
  <si>
    <t>Histone deacetylase 8</t>
  </si>
  <si>
    <t>Ran-binding protein 10</t>
  </si>
  <si>
    <t>Transformer-2 protein homolog alpha</t>
  </si>
  <si>
    <t>6-phosphogluconate dehydrogenase, decarboxylating</t>
  </si>
  <si>
    <t>Rab proteins geranylgeranyltransferase component A 1</t>
  </si>
  <si>
    <t>SUMO-interacting motif-containing protein 1</t>
  </si>
  <si>
    <t>DNA ligase</t>
  </si>
  <si>
    <t>Ribokinase</t>
  </si>
  <si>
    <t>Eukaryotic translation initiation factor 3 subunit D</t>
  </si>
  <si>
    <t>ADP-ribosylation factor-like protein 1</t>
  </si>
  <si>
    <t>DNA/RNA-binding protein KIN17</t>
  </si>
  <si>
    <t>Fragile X mental retardation syndrome-related protein 1</t>
  </si>
  <si>
    <t>Nucleoporin NUP53</t>
  </si>
  <si>
    <t>Histone deacetylase 6</t>
  </si>
  <si>
    <t>PHD finger protein 6</t>
  </si>
  <si>
    <t>Leucine-rich repeat and calponin homology domain-containing protein 3</t>
  </si>
  <si>
    <t>Stomatin-like protein 2, mitochondrial</t>
  </si>
  <si>
    <t>Myb/SANT-like DNA-binding domain-containing protein 2</t>
  </si>
  <si>
    <t>RAF proto-oncogene serine/threonine-protein kinase</t>
  </si>
  <si>
    <t>Serine/threonine-protein kinase RIO3</t>
  </si>
  <si>
    <t>Serine/arginine-rich-splicing factor 3</t>
  </si>
  <si>
    <t>Lysosome-associated membrane glycoprotein 2</t>
  </si>
  <si>
    <t>3-ketoacyl-CoA thiolase</t>
  </si>
  <si>
    <t>Methyltransferase-like protein 13</t>
  </si>
  <si>
    <t>Pescadillo homolog</t>
  </si>
  <si>
    <t>Protein phosphatase 1F</t>
  </si>
  <si>
    <t>R3H domain-containing protein 2</t>
  </si>
  <si>
    <t>Calcineurin binding protein 1, isoform CRA_c</t>
  </si>
  <si>
    <t>Pre-mRNA-splicing factor CWC22 homolog</t>
  </si>
  <si>
    <t>Protein disulfide-isomerase A6</t>
  </si>
  <si>
    <t>Kelch-like protein 22</t>
  </si>
  <si>
    <t>Tetratricopeptide repeat protein 26</t>
  </si>
  <si>
    <t>Enolase</t>
  </si>
  <si>
    <t>Conserved oligomeric Golgi complex subunit 2</t>
  </si>
  <si>
    <t>Zinc finger protein 346</t>
  </si>
  <si>
    <t>Delta-aminolevulinic acid dehydratase</t>
  </si>
  <si>
    <t>Tubulin-specific chaperone E</t>
  </si>
  <si>
    <t>Prenylcysteine oxidase 1</t>
  </si>
  <si>
    <t>Deoxyribonuclease-2-alpha</t>
  </si>
  <si>
    <t>ETS domain-containing transcription factor ERF</t>
  </si>
  <si>
    <t>Stathmin</t>
  </si>
  <si>
    <t>60S ribosomal protein L7-like 1</t>
  </si>
  <si>
    <t>2,4-dienoyl-CoA reductase, mitochondrial</t>
  </si>
  <si>
    <t>Probable E3 ubiquitin-protein ligase TRIML2</t>
  </si>
  <si>
    <t>Protein AF-9</t>
  </si>
  <si>
    <t>Protein AMN1 homolog</t>
  </si>
  <si>
    <t>Tyrosine-protein kinase receptor</t>
  </si>
  <si>
    <t>Ubiquitin carboxyl-terminal hydrolase</t>
  </si>
  <si>
    <t>DNA-binding protein RFX5</t>
  </si>
  <si>
    <t>CCR4-NOT transcription complex subunit 8</t>
  </si>
  <si>
    <t>Protein NDRG4</t>
  </si>
  <si>
    <t>N-acetylgalactosamine kinase</t>
  </si>
  <si>
    <t>PPP2R5E protein</t>
  </si>
  <si>
    <t>UBX domain-containing protein 2A</t>
  </si>
  <si>
    <t>SOS2 protein</t>
  </si>
  <si>
    <t>CPEB4 protein</t>
  </si>
  <si>
    <t>Protein Wiz</t>
  </si>
  <si>
    <t>CARMIL2b</t>
  </si>
  <si>
    <t>U6 snRNA-associated Sm-like protein LSm5</t>
  </si>
  <si>
    <t>Eukaryotic translation initiation factor 4E member 2, isoform CRA_b</t>
  </si>
  <si>
    <t>60S ribosomal protein L31</t>
  </si>
  <si>
    <t>Thymosin alpha-1</t>
  </si>
  <si>
    <t>Vesicle-associated membrane protein 8</t>
  </si>
  <si>
    <t>U4/U6.U5 tri-snRNP-associated protein 2</t>
  </si>
  <si>
    <t>Ankyrin repeat and SOCS box protein 1</t>
  </si>
  <si>
    <t>Putative WAS protein family homolog 3</t>
  </si>
  <si>
    <t>26S proteasome non-ATPase regulatory subunit 6</t>
  </si>
  <si>
    <t>Nuclear-interacting partner of ALK</t>
  </si>
  <si>
    <t>Profilin-2</t>
  </si>
  <si>
    <t>Sorcin</t>
  </si>
  <si>
    <t>Zinc finger protein 655</t>
  </si>
  <si>
    <t>Kelch-like protein 22 (Fragment)</t>
  </si>
  <si>
    <t>NEDD8-conjugating enzyme UBE2F</t>
  </si>
  <si>
    <t>G1/S-specific cyclin-E1</t>
  </si>
  <si>
    <t>DNA-directed RNA polymerase</t>
  </si>
  <si>
    <t>Protein IQCJ-SCHIP1</t>
  </si>
  <si>
    <t>Protein CMSS1 (Fragment)</t>
  </si>
  <si>
    <t>Mitochondrial inner membrane protein</t>
  </si>
  <si>
    <t>Eukaryotic translation initiation factor 5A-2 (Fragment)</t>
  </si>
  <si>
    <t>Programmed cell death protein 10 (Fragment)</t>
  </si>
  <si>
    <t>Insulin-like growth factor 1 receptor</t>
  </si>
  <si>
    <t>Fanconi anemia group B protein (Fragment)</t>
  </si>
  <si>
    <t>Centrosomal protein of 70 kDa (Fragment)</t>
  </si>
  <si>
    <t>Krev interaction trapped protein 1 (Fragment)</t>
  </si>
  <si>
    <t>L-lactate dehydrogenase B chain (Fragment)</t>
  </si>
  <si>
    <t>40S ribosomal protein SA (Fragment)</t>
  </si>
  <si>
    <t>HMG box transcription factor BBX</t>
  </si>
  <si>
    <t>Frataxin, mitochondrial</t>
  </si>
  <si>
    <t>BSD domain-containing protein 1</t>
  </si>
  <si>
    <t>Nuclear factor erythroid 2-related factor 2 (Fragment)</t>
  </si>
  <si>
    <t>Fos-related antigen 2 (Fragment)</t>
  </si>
  <si>
    <t>Protein diaphanous homolog 3</t>
  </si>
  <si>
    <t>Nuclear receptor corepressor 2</t>
  </si>
  <si>
    <t>Zinc-alpha-2-glycoprotein</t>
  </si>
  <si>
    <t>Cdc42 effector protein 3 (Fragment)</t>
  </si>
  <si>
    <t>Protein OSCP1</t>
  </si>
  <si>
    <t>COP9 signalosome complex subunit 1</t>
  </si>
  <si>
    <t>BAG family molecular chaperone regulator 3 (Fragment)</t>
  </si>
  <si>
    <t>ATPase family AAA domain-containing protein 2B (Fragment)</t>
  </si>
  <si>
    <t>39S ribosomal protein L39, mitochondrial (Fragment)</t>
  </si>
  <si>
    <t>Angio-associated migratory cell protein</t>
  </si>
  <si>
    <t>Guanine nucleotide-binding protein G(I)/G(S)/G(T) subunit beta-2 (Fragment)</t>
  </si>
  <si>
    <t>3-phosphoinositide-dependent protein kinase 1 (Fragment)</t>
  </si>
  <si>
    <t>DNA-directed RNA polymerases I, II, and III subunit RPABC3 (Fragment)</t>
  </si>
  <si>
    <t>Apoptotic protease-activating factor 1</t>
  </si>
  <si>
    <t>Alpha-2-antiplasmin (Fragment)</t>
  </si>
  <si>
    <t>O-acetyl-ADP-ribose deacetylase 1 (Fragment)</t>
  </si>
  <si>
    <t>Hsp70-binding protein 1</t>
  </si>
  <si>
    <t>Glutathione S-transferase kappa 1 (Fragment)</t>
  </si>
  <si>
    <t>Ubiquitin carboxyl-terminal hydrolase 4</t>
  </si>
  <si>
    <t>Muscleblind-like protein 1</t>
  </si>
  <si>
    <t>Cartilage-associated protein</t>
  </si>
  <si>
    <t>Ubiquitin carboxyl-terminal hydrolase 42 (Fragment)</t>
  </si>
  <si>
    <t>NF-kappa-B inhibitor-interacting Ras-like protein 2</t>
  </si>
  <si>
    <t>Coiled-coil domain-containing protein 58</t>
  </si>
  <si>
    <t>Nucleoside diphosphate kinase</t>
  </si>
  <si>
    <t>Atlastin-2 (Fragment)</t>
  </si>
  <si>
    <t>Uncharacterized protein C7orf50 (Fragment)</t>
  </si>
  <si>
    <t>Serine/threonine-protein kinase 11-interacting protein</t>
  </si>
  <si>
    <t>E3 ubiquitin-protein ligase RNF13 (Fragment)</t>
  </si>
  <si>
    <t>Isoform 2 of Aldo-keto reductase family 1 member B15</t>
  </si>
  <si>
    <t>Regulator of chromosome condensation (Fragment)</t>
  </si>
  <si>
    <t>AP-4 complex subunit mu-1 (Fragment)</t>
  </si>
  <si>
    <t>60S ribosomal protein L24</t>
  </si>
  <si>
    <t>Lamin-B receptor (Fragment)</t>
  </si>
  <si>
    <t>Lipoma-preferred partner (Fragment)</t>
  </si>
  <si>
    <t>Ribonuclease P protein subunit p20 (Fragment)</t>
  </si>
  <si>
    <t>Uncharacterized protein</t>
  </si>
  <si>
    <t>60S ribosomal protein L22-like 1</t>
  </si>
  <si>
    <t>Neuronal cell adhesion molecule</t>
  </si>
  <si>
    <t>Ubiquitin-conjugating enzyme E2 H (Fragment)</t>
  </si>
  <si>
    <t>Eukaryotic translation initiation factor 4 gamma 2 (Fragment)</t>
  </si>
  <si>
    <t>Family with sequence similarity 100, member A, isoform CRA_a</t>
  </si>
  <si>
    <t>Ankyrin repeat and SAM domain-containing protein 3</t>
  </si>
  <si>
    <t>Sodium bicarbonate cotransporter 3</t>
  </si>
  <si>
    <t>CAR4/6</t>
  </si>
  <si>
    <t>60S ribosomal protein L32 (Fragment)</t>
  </si>
  <si>
    <t>Protein KRI1 homolog</t>
  </si>
  <si>
    <t>NADPH-dependent diflavin oxidoreductase 1</t>
  </si>
  <si>
    <t>CXXC-type zinc finger protein 5 (Fragment)</t>
  </si>
  <si>
    <t>Transcription factor RelB</t>
  </si>
  <si>
    <t>RNA-binding protein 47</t>
  </si>
  <si>
    <t>DNA-directed RNA polymerase III subunit RPC7 (Fragment)</t>
  </si>
  <si>
    <t>Coiled-coil and C2 domain-containing protein 2A (Fragment)</t>
  </si>
  <si>
    <t>Soluble lamin-associated protein of 75 kDa</t>
  </si>
  <si>
    <t>Zinc finger and BTB domain-containing protein 38 (Fragment)</t>
  </si>
  <si>
    <t>OCIA domain-containing protein 1</t>
  </si>
  <si>
    <t>Vesicular integral-membrane protein VIP36</t>
  </si>
  <si>
    <t>PACRG-like protein (Fragment)</t>
  </si>
  <si>
    <t>Kynurenine/alpha-aminoadipate aminotransferase, mitochondrial (Fragment)</t>
  </si>
  <si>
    <t>Centrosomal protein POC5</t>
  </si>
  <si>
    <t>Coiled-coil domain-containing protein 111</t>
  </si>
  <si>
    <t>Ubiquitin-like-conjugating enzyme ATG10</t>
  </si>
  <si>
    <t>Glutamyl-tRNA(Gln) amidotransferase subunit B, mitochondrial</t>
  </si>
  <si>
    <t>Protein transport protein Sec31A</t>
  </si>
  <si>
    <t>Septin 11, isoform CRA_b</t>
  </si>
  <si>
    <t>Ankyrin repeat and KH domain-containing protein 1 (Fragment)</t>
  </si>
  <si>
    <t>Centromere protein K</t>
  </si>
  <si>
    <t>Cyclin-H</t>
  </si>
  <si>
    <t>Ribonuclease T2 (Fragment)</t>
  </si>
  <si>
    <t>Immunoglobulin J chain (Fragment)</t>
  </si>
  <si>
    <t>COMM domain containing 10, isoform CRA_b</t>
  </si>
  <si>
    <t>Cyclin D binding myb-like transcription factor 1, isoform CRA_a</t>
  </si>
  <si>
    <t>Protein MMS22-like</t>
  </si>
  <si>
    <t>Protein C15orf38-AP3S2</t>
  </si>
  <si>
    <t>Geminin (Fragment)</t>
  </si>
  <si>
    <t>E3 SUMO-protein ligase NSE2</t>
  </si>
  <si>
    <t>Inositol monophosphatase 1 (Fragment)</t>
  </si>
  <si>
    <t>RWD domain-containing protein 1 (Fragment)</t>
  </si>
  <si>
    <t>Transcription elongation factor B polypeptide 1 (Fragment)</t>
  </si>
  <si>
    <t>TELO2-interacting protein 2</t>
  </si>
  <si>
    <t>PH and SEC7 domain-containing protein 3</t>
  </si>
  <si>
    <t>AP-3 complex subunit mu-2 (Fragment)</t>
  </si>
  <si>
    <t>AN1-type zinc finger protein 1</t>
  </si>
  <si>
    <t>S-phase kinase-associated protein 1</t>
  </si>
  <si>
    <t>Protein LYRIC</t>
  </si>
  <si>
    <t>COP9 signalosome complex subunit 6</t>
  </si>
  <si>
    <t>Tyrosine-protein phosphatase non-receptor type 18 (Fragment)</t>
  </si>
  <si>
    <t>Acid ceramidase</t>
  </si>
  <si>
    <t>E3 ubiquitin-protein ligase UBR5</t>
  </si>
  <si>
    <t>Transforming acidic coiled-coil-containing protein 2</t>
  </si>
  <si>
    <t>Histone-lysine N-methyltransferase</t>
  </si>
  <si>
    <t>Nicastrin</t>
  </si>
  <si>
    <t>Calcium-binding and coiled-coil domain-containing protein 2</t>
  </si>
  <si>
    <t>60S ribosomal protein L14</t>
  </si>
  <si>
    <t>Target of Myb protein 1</t>
  </si>
  <si>
    <t>Inhibitor of Bruton tyrosine kinase</t>
  </si>
  <si>
    <t>Pyridoxal-dependent decarboxylase domain-containing protein 1</t>
  </si>
  <si>
    <t>Receptor-type tyrosine-protein phosphatase mu</t>
  </si>
  <si>
    <t>N-alpha-acetyltransferase 50</t>
  </si>
  <si>
    <t>Apoptotic chromatin condensation inducer in the nucleus</t>
  </si>
  <si>
    <t>Metastasis-associated protein MTA3</t>
  </si>
  <si>
    <t>MKL/myocardin-like protein 1</t>
  </si>
  <si>
    <t>Protein FAM91A1</t>
  </si>
  <si>
    <t>GEM-interacting protein</t>
  </si>
  <si>
    <t>Microtubule-associated serine/threonine-protein kinase 2</t>
  </si>
  <si>
    <t>Kelch domain-containing protein 3</t>
  </si>
  <si>
    <t>High mobility group protein B3 (Fragment)</t>
  </si>
  <si>
    <t>Tetratricopeptide repeat protein 38</t>
  </si>
  <si>
    <t>Eyes absent homolog 4</t>
  </si>
  <si>
    <t>U2 snRNP-associated SURP motif-containing protein</t>
  </si>
  <si>
    <t>Inter-alpha-trypsin inhibitor heavy chain H3</t>
  </si>
  <si>
    <t>Probable E3 ubiquitin-protein ligase DTX2</t>
  </si>
  <si>
    <t>TNFAIP3-interacting protein 1</t>
  </si>
  <si>
    <t>Acyl-coenzyme A synthetase ACSM3, mitochondrial</t>
  </si>
  <si>
    <t>RNA-binding motif, single-stranded-interacting protein 1</t>
  </si>
  <si>
    <t>Procollagen-lysine,2-oxoglutarate 5-dioxygenase 2</t>
  </si>
  <si>
    <t>Basic leucine zipper and W2 domain-containing protein 2 (Fragment)</t>
  </si>
  <si>
    <t>Cytoplasmic phosphatidylinositol transfer protein 1</t>
  </si>
  <si>
    <t>Casein kinase II subunit alpha</t>
  </si>
  <si>
    <t>Neuron navigator 3</t>
  </si>
  <si>
    <t>Glucose-6-phosphate 1-dehydrogenase (Fragment)</t>
  </si>
  <si>
    <t>Nucleoporin p54</t>
  </si>
  <si>
    <t>Eukaryotic translation initiation factor 4 gamma 1</t>
  </si>
  <si>
    <t>Propionyl-CoA carboxylase beta chain, mitochondrial</t>
  </si>
  <si>
    <t>ADP-ribosylation factor GTPase-activating protein 1</t>
  </si>
  <si>
    <t>Microtubule-associated protein</t>
  </si>
  <si>
    <t>Peroxisome proliferator-activated receptor gamma coactivator-related protein 1</t>
  </si>
  <si>
    <t>Pseudouridine-5-monophosphatase (Fragment)</t>
  </si>
  <si>
    <t>Cytoplasmic FMR1-interacting protein 2</t>
  </si>
  <si>
    <t>NADPH--cytochrome P450 reductase</t>
  </si>
  <si>
    <t>Retinoic acid-induced protein 1</t>
  </si>
  <si>
    <t>Septin-10</t>
  </si>
  <si>
    <t>Peptidyl-prolyl cis-trans isomerase-like 2</t>
  </si>
  <si>
    <t>Exocyst complex component 6</t>
  </si>
  <si>
    <t>Ras GTPase-activating-like protein IQGAP2 (Fragment)</t>
  </si>
  <si>
    <t>Caldesmon</t>
  </si>
  <si>
    <t>Serine/threonine-protein kinase Nek4 (Fragment)</t>
  </si>
  <si>
    <t>Serine--tRNA ligase, mitochondrial</t>
  </si>
  <si>
    <t>Ribonucleoprotein PTB-binding 1</t>
  </si>
  <si>
    <t>G patch domain-containing protein 4</t>
  </si>
  <si>
    <t>Periphilin-1</t>
  </si>
  <si>
    <t>Pyruvate dehydrogenase protein X component, mitochondrial</t>
  </si>
  <si>
    <t>THO complex subunit 4</t>
  </si>
  <si>
    <t>Hexokinase-2</t>
  </si>
  <si>
    <t>Phosphoribosylaminoimidazole carboxylase (Fragment)</t>
  </si>
  <si>
    <t>Mitotic checkpoint serine/threonine-protein kinase BUB1</t>
  </si>
  <si>
    <t>Translation initiation factor eIF-2B subunit epsilon</t>
  </si>
  <si>
    <t>Folliculin-interacting protein 1</t>
  </si>
  <si>
    <t>Tensin-3 (Fragment)</t>
  </si>
  <si>
    <t>Cytoskeleton-associated protein 2</t>
  </si>
  <si>
    <t>Putative E3 ubiquitin-protein ligase UNKL</t>
  </si>
  <si>
    <t>Short-chain-specific acyl-CoA dehydrogenase, mitochondrial</t>
  </si>
  <si>
    <t>Androgen receptor</t>
  </si>
  <si>
    <t>HMG domain-containing protein 3</t>
  </si>
  <si>
    <t>3-phosphoinositide-dependent protein kinase 1</t>
  </si>
  <si>
    <t>Protein diaphanous homolog 1</t>
  </si>
  <si>
    <t>Nuclear pore complex protein Nup155</t>
  </si>
  <si>
    <t>Acyl-CoA synthetase family member 2, mitochondrial</t>
  </si>
  <si>
    <t>Centrosomal protein of 192 kDa</t>
  </si>
  <si>
    <t>Serine/threonine-protein phosphatase 2A 56 kDa regulatory subunit delta isoform</t>
  </si>
  <si>
    <t>AN1-type zinc finger protein 2B</t>
  </si>
  <si>
    <t>Centrosomal protein of 97 kDa</t>
  </si>
  <si>
    <t>Gamma-secretase C-terminal fragment 59</t>
  </si>
  <si>
    <t>Tensin-1</t>
  </si>
  <si>
    <t>Translin</t>
  </si>
  <si>
    <t>Mediator of RNA polymerase II transcription subunit 22 (Fragment)</t>
  </si>
  <si>
    <t>Thioredoxin-dependent peroxide reductase, mitochondrial</t>
  </si>
  <si>
    <t>Tetranectin</t>
  </si>
  <si>
    <t>Probable leucine--tRNA ligase, mitochondrial</t>
  </si>
  <si>
    <t>Sperm-specific antigen 2</t>
  </si>
  <si>
    <t>HLA class II histocompatibility antigen, DQ beta 1 chain</t>
  </si>
  <si>
    <t>Splicing factor 3B subunit 2 (Fragment)</t>
  </si>
  <si>
    <t>PHD and RING finger domain-containing protein 1</t>
  </si>
  <si>
    <t>UBX domain-containing protein 1 (Fragment)</t>
  </si>
  <si>
    <t>Cysteine and histidine-rich protein 1</t>
  </si>
  <si>
    <t>Breast cancer metastasis-suppressor 1 (Fragment)</t>
  </si>
  <si>
    <t>Rho GTPase-activating protein 42</t>
  </si>
  <si>
    <t>Ribosomal protein S6 kinase</t>
  </si>
  <si>
    <t>Protein SOGA3</t>
  </si>
  <si>
    <t>RNA pseudouridylate synthase domain-containing protein 4 (Fragment)</t>
  </si>
  <si>
    <t>Torsin-1A-interacting protein 1 (Fragment)</t>
  </si>
  <si>
    <t>Protein arginine N-methyltransferase 1</t>
  </si>
  <si>
    <t>Tetratricopeptide repeat protein 9C (Fragment)</t>
  </si>
  <si>
    <t>Transcription factor BTF3 homolog 4</t>
  </si>
  <si>
    <t>Hypoxia up-regulated protein 1</t>
  </si>
  <si>
    <t>Myomegalin</t>
  </si>
  <si>
    <t>Protein NEDD8-MDP1 (Fragment)</t>
  </si>
  <si>
    <t>Mitochondrial fission regulator 1-like</t>
  </si>
  <si>
    <t>Puromycin-sensitive aminopeptidase</t>
  </si>
  <si>
    <t>60S ribosomal protein L27a</t>
  </si>
  <si>
    <t>RING finger protein 141 (Fragment)</t>
  </si>
  <si>
    <t>Microtubule-actin cross-linking factor 1, isoforms 1/2/3/5 (Fragment)</t>
  </si>
  <si>
    <t>Small acidic protein (Fragment)</t>
  </si>
  <si>
    <t>Malic enzyme (Fragment)</t>
  </si>
  <si>
    <t>Baculoviral IAP repeat-containing protein 2</t>
  </si>
  <si>
    <t>Methylosome subunit pICln</t>
  </si>
  <si>
    <t>Protein FAM118B (Fragment)</t>
  </si>
  <si>
    <t>Heat shock factor protein 1</t>
  </si>
  <si>
    <t>LIM domain only protein 7</t>
  </si>
  <si>
    <t>Zinc finger protein 595</t>
  </si>
  <si>
    <t>Stromal interaction molecule 1</t>
  </si>
  <si>
    <t>CD59 glycoprotein</t>
  </si>
  <si>
    <t>Zinc finger protein-like 1 (Fragment)</t>
  </si>
  <si>
    <t>40S ribosomal protein S30</t>
  </si>
  <si>
    <t>Repressor of RNA polymerase III transcription MAF1 homolog (Fragment)</t>
  </si>
  <si>
    <t>SCL-interrupting locus protein</t>
  </si>
  <si>
    <t>Complement decay-accelerating factor</t>
  </si>
  <si>
    <t>FGGY carbohydrate kinase domain-containing protein</t>
  </si>
  <si>
    <t>Exportin-4</t>
  </si>
  <si>
    <t>Thyroid hormone receptor interacting protein 6 isoform 3</t>
  </si>
  <si>
    <t>Prohibitin-2 (Fragment)</t>
  </si>
  <si>
    <t>General transcription factor IIH subunit 3 (Fragment)</t>
  </si>
  <si>
    <t>Complement C1r subcomponent-like protein</t>
  </si>
  <si>
    <t>WASH complex subunit CCDC53</t>
  </si>
  <si>
    <t>Phosphatidylinositol 4-phosphate 3-kinase C2 domain-containing subunit beta</t>
  </si>
  <si>
    <t>Junction plakoglobin</t>
  </si>
  <si>
    <t>Serine/threonine-protein kinase WNK1</t>
  </si>
  <si>
    <t>Mothers against decapentaplegic homolog 5</t>
  </si>
  <si>
    <t>Protein FAM76B</t>
  </si>
  <si>
    <t>Protein furry homolog-like</t>
  </si>
  <si>
    <t>Succinyl-CoA ligase [ADP-forming] subunit beta, mitochondrial</t>
  </si>
  <si>
    <t>Latent-transforming growth factor beta-binding protein 4</t>
  </si>
  <si>
    <t>Arginyl-tRNA--protein transferase 1</t>
  </si>
  <si>
    <t>Tumor necrosis factor receptor superfamily member 3</t>
  </si>
  <si>
    <t>35 kDa inter-alpha-trypsin inhibitor heavy chain H4</t>
  </si>
  <si>
    <t>C4b-B</t>
  </si>
  <si>
    <t>Spindle assembly abnormal protein 6 homolog</t>
  </si>
  <si>
    <t>SPARC (Fragment)</t>
  </si>
  <si>
    <t>PCTP-like protein</t>
  </si>
  <si>
    <t>Centrosomal protein of 112 kDa</t>
  </si>
  <si>
    <t>Thymidine kinase 2, mitochondrial</t>
  </si>
  <si>
    <t>Paxillin</t>
  </si>
  <si>
    <t>Denticleless protein homolog</t>
  </si>
  <si>
    <t>Amyloid-like protein 2</t>
  </si>
  <si>
    <t>E3 ubiquitin-protein ligase TRIM21</t>
  </si>
  <si>
    <t>Tumor protein D52</t>
  </si>
  <si>
    <t>Proteasomal ATPase-associated factor 1</t>
  </si>
  <si>
    <t>G/T mismatch-specific thymine DNA glycosylase (Fragment)</t>
  </si>
  <si>
    <t>Kinase suppressor of Ras 1</t>
  </si>
  <si>
    <t>SEC23-interacting protein</t>
  </si>
  <si>
    <t>CLK4-associating serine/arginine-rich protein</t>
  </si>
  <si>
    <t>RNA polymerase I-specific transcription initiation factor RRN3</t>
  </si>
  <si>
    <t>Methionine-R-sulfoxide reductase B3 (Fragment)</t>
  </si>
  <si>
    <t>DNA polymerase</t>
  </si>
  <si>
    <t>Thioredoxin reductase 2, mitochondrial</t>
  </si>
  <si>
    <t>Uncharacterized protein KIAA1211</t>
  </si>
  <si>
    <t>Protein FLJ22184</t>
  </si>
  <si>
    <t>Uncharacterized protein C12orf43</t>
  </si>
  <si>
    <t>Oligophrenin-1</t>
  </si>
  <si>
    <t>Ankyrin repeat and LEM domain-containing protein 2</t>
  </si>
  <si>
    <t>Protein lunapark</t>
  </si>
  <si>
    <t>Serine/threonine-protein kinase PRP4 homolog</t>
  </si>
  <si>
    <t>High mobility group protein HMGI-C</t>
  </si>
  <si>
    <t>Tight junction protein ZO-3</t>
  </si>
  <si>
    <t>Pre-mRNA-splicing factor SYF1</t>
  </si>
  <si>
    <t>Protein transport protein Sec23A</t>
  </si>
  <si>
    <t>Protein angel homolog 2</t>
  </si>
  <si>
    <t>Melanoma antigen preferentially-expressed in tumors</t>
  </si>
  <si>
    <t>Importin subunit alpha</t>
  </si>
  <si>
    <t>Peroxisomal membrane protein PEX14</t>
  </si>
  <si>
    <t>Vacuolar protein sorting-associated protein 37C (Fragment)</t>
  </si>
  <si>
    <t>Programmed cell death protein 2</t>
  </si>
  <si>
    <t>Serum paraoxonase/arylesterase 1</t>
  </si>
  <si>
    <t>Cancer susceptibility candidate protein 1</t>
  </si>
  <si>
    <t>Interferon gamma receptor 1</t>
  </si>
  <si>
    <t>C-type lectin domain family 4 member E</t>
  </si>
  <si>
    <t>CLIP-associating protein 2</t>
  </si>
  <si>
    <t>Cyclic AMP-dependent transcription factor ATF-2</t>
  </si>
  <si>
    <t>Intraflagellar transport protein 88 homolog</t>
  </si>
  <si>
    <t>Atlastin-3</t>
  </si>
  <si>
    <t>Lysine-specific demethylase 6A</t>
  </si>
  <si>
    <t>Cyclin-dependent kinase 17</t>
  </si>
  <si>
    <t>39S ribosomal protein L48, mitochondrial</t>
  </si>
  <si>
    <t>WW domain-binding protein 11</t>
  </si>
  <si>
    <t>Ankyrin repeat and SAM domain-containing protein 6</t>
  </si>
  <si>
    <t>2-oxoglutarate dehydrogenase, mitochondrial</t>
  </si>
  <si>
    <t>Type I inositol 3,4-bisphosphate 4-phosphatase</t>
  </si>
  <si>
    <t>Heat shock protein 75 kDa, mitochondrial</t>
  </si>
  <si>
    <t>WD repeat-containing protein 20</t>
  </si>
  <si>
    <t>Mevalonate kinase</t>
  </si>
  <si>
    <t>Pogo transposable element with ZNF domain</t>
  </si>
  <si>
    <t>Probable global transcription activator SNF2L1 (Fragment)</t>
  </si>
  <si>
    <t>Calcineurin subunit B type 1</t>
  </si>
  <si>
    <t>Ribosomal protein S6 kinase beta-1</t>
  </si>
  <si>
    <t>Tumor protein D53</t>
  </si>
  <si>
    <t>DNA fragmentation factor subunit beta</t>
  </si>
  <si>
    <t>Methionine aminopeptidase</t>
  </si>
  <si>
    <t>Poly(rC)-binding protein 2 (Fragment)</t>
  </si>
  <si>
    <t>Serine/threonine-protein kinase Nek3</t>
  </si>
  <si>
    <t>Nuclear transcription factor Y subunit beta (Fragment)</t>
  </si>
  <si>
    <t>Plexin-A1</t>
  </si>
  <si>
    <t>Oxysterol-binding protein (Fragment)</t>
  </si>
  <si>
    <t>Nucleosome assembly protein 1-like 1</t>
  </si>
  <si>
    <t>Tensin-like C1 domain-containing phosphatase</t>
  </si>
  <si>
    <t>Methyl-CpG-binding domain protein 6 (Fragment)</t>
  </si>
  <si>
    <t>Protein MON2 homolog</t>
  </si>
  <si>
    <t>FYVE, RhoGEF and PH domain-containing protein 4</t>
  </si>
  <si>
    <t>Protein SCAF11</t>
  </si>
  <si>
    <t>2-5-oligoadenylate synthase 1</t>
  </si>
  <si>
    <t>Nucleosome assembly protein 1-like 1 (Fragment)</t>
  </si>
  <si>
    <t>Insulin-like growth factor-binding protein 6</t>
  </si>
  <si>
    <t>DnaJ homolog subfamily C member 14 (Fragment)</t>
  </si>
  <si>
    <t>Nascent polypeptide-associated complex subunit alpha</t>
  </si>
  <si>
    <t>Chromatin complexes subunit BAP18</t>
  </si>
  <si>
    <t>Tastin (Fragment)</t>
  </si>
  <si>
    <t>60S ribosomal protein L6 (Fragment)</t>
  </si>
  <si>
    <t>YEATS domain-containing protein 4 (Fragment)</t>
  </si>
  <si>
    <t>Formin-like protein 3</t>
  </si>
  <si>
    <t>RNA-binding motif, single-stranded-interacting protein 2</t>
  </si>
  <si>
    <t>Pleckstrin homology domain-containing family M member 1</t>
  </si>
  <si>
    <t>Protein CBFA2T2</t>
  </si>
  <si>
    <t>Heterogeneous nuclear ribonucleoprotein A1</t>
  </si>
  <si>
    <t>Ras GTPase-activating protein 3</t>
  </si>
  <si>
    <t>Echinoderm microtubule-associated protein-like 1</t>
  </si>
  <si>
    <t>Golgi integral membrane protein 4</t>
  </si>
  <si>
    <t>Double-strand break repair protein MRE11A</t>
  </si>
  <si>
    <t>Vezatin (Fragment)</t>
  </si>
  <si>
    <t>Ras-related protein Rab-24</t>
  </si>
  <si>
    <t>Nucleolysin TIA-1 isoform p40</t>
  </si>
  <si>
    <t>AP-1 complex subunit sigma-3</t>
  </si>
  <si>
    <t>Actin-binding LIM protein 1</t>
  </si>
  <si>
    <t>Acetyl-CoA carboxylase 2</t>
  </si>
  <si>
    <t>Serine/threonine-protein kinase WNK2</t>
  </si>
  <si>
    <t>Leukocyte receptor cluster member 8</t>
  </si>
  <si>
    <t>Coiled-coil domain-containing protein 93</t>
  </si>
  <si>
    <t>Cohesin subunit SA-2</t>
  </si>
  <si>
    <t>FERM domain-containing protein 4A</t>
  </si>
  <si>
    <t>NADH dehydrogenase [ubiquinone] 1 alpha subcomplex subunit 5</t>
  </si>
  <si>
    <t>Ataxin-2</t>
  </si>
  <si>
    <t>39S ribosomal protein L40, mitochondrial</t>
  </si>
  <si>
    <t>SAC3 domain-containing protein 1</t>
  </si>
  <si>
    <t>Protein downstream neighbor of Son</t>
  </si>
  <si>
    <t>COBW domain-containing protein 2</t>
  </si>
  <si>
    <t>Interferon-inducible double stranded RNA-dependent protein kinase activator A</t>
  </si>
  <si>
    <t>Cleavage and polyadenylation-specificity factor subunit 6</t>
  </si>
  <si>
    <t>Poly (ADP-ribose) polymerase family, member 2, isoform CRA_a</t>
  </si>
  <si>
    <t>Tight junction protein 1 (Zona occludens 1), isoform CRA_a</t>
  </si>
  <si>
    <t>Loss of heterozygosity 12 chromosomal region 1 protein</t>
  </si>
  <si>
    <t>Transcription factor 8 (Represses interleukin 2 expression), isoform CRA_b</t>
  </si>
  <si>
    <t>Inositol-3-phosphate synthase 1</t>
  </si>
  <si>
    <t>Myosin light polypeptide 6</t>
  </si>
  <si>
    <t>Alpha-1-antichymotrypsin</t>
  </si>
  <si>
    <t>DDB1- and CUL4-associated factor 8</t>
  </si>
  <si>
    <t>NF-kappa-B inhibitor alpha</t>
  </si>
  <si>
    <t>Ataxin-3 (Fragment)</t>
  </si>
  <si>
    <t>Apoptosis regulatory protein Siva (Fragment)</t>
  </si>
  <si>
    <t>DDB1- and CUL4-associated factor 5</t>
  </si>
  <si>
    <t>Heterogeneous nuclear ribonucleoproteins C1/C2 (Fragment)</t>
  </si>
  <si>
    <t>ATP-dependent RNA helicase DDX24</t>
  </si>
  <si>
    <t>X-linked retinitis pigmentosa GTPase regulator-interacting protein 1 (Fragment)</t>
  </si>
  <si>
    <t>Protein FAM177A1 (Fragment)</t>
  </si>
  <si>
    <t>cTAGE family member 5</t>
  </si>
  <si>
    <t>Maleylacetoacetate isomerase</t>
  </si>
  <si>
    <t>AT rich interactive domain 1B (SWI1-like), isoform CRA_a</t>
  </si>
  <si>
    <t>Mitogen-activated protein kinase kinase kinase kinase 4</t>
  </si>
  <si>
    <t>Breast carcinoma amplified sequence 1, isoform CRA_c</t>
  </si>
  <si>
    <t>HCG2002594, isoform CRA_c</t>
  </si>
  <si>
    <t>Protein FAM133B</t>
  </si>
  <si>
    <t>Raft-linking protein, isoform CRA_c</t>
  </si>
  <si>
    <t>Solute carrier family 12 (Sodium/potassium/chloride transporters), member 2, isoform CRA_a</t>
  </si>
  <si>
    <t>Complement factor I light chain</t>
  </si>
  <si>
    <t>Nuclear receptor coactivator 3</t>
  </si>
  <si>
    <t>ATG4 autophagy related 4 homolog A (S. cerevisiae), isoform CRA_e</t>
  </si>
  <si>
    <t>Dystrophia myotonica WD repeat-containing protein</t>
  </si>
  <si>
    <t>Son of sevenless homolog 1</t>
  </si>
  <si>
    <t>Tight junction protein 1 (Zona occludens 1), isoform CRA_e</t>
  </si>
  <si>
    <t>Microtubule-associated protein RP/EB family member 2</t>
  </si>
  <si>
    <t>Doublecortin and CaM kinase-like 2, isoform CRA_c</t>
  </si>
  <si>
    <t>60S ribosomal protein L37a</t>
  </si>
  <si>
    <t>28S ribosomal protein S22, mitochondrial</t>
  </si>
  <si>
    <t>WD repeat domain phosphoinositide-interacting protein 1</t>
  </si>
  <si>
    <t>Tropomodulin 2 (Neuronal), isoform CRA_a</t>
  </si>
  <si>
    <t>Protein disulfide isomerase family A, member 3, isoform CRA_b</t>
  </si>
  <si>
    <t>Transforming growth factor-beta-induced protein ig-h3</t>
  </si>
  <si>
    <t>tRNA pseudouridine synthase (Fragment)</t>
  </si>
  <si>
    <t>M-phase inducer phosphatase 2</t>
  </si>
  <si>
    <t>WD repeat domain phosphoinositide-interacting protein 4</t>
  </si>
  <si>
    <t>Phosphofurin acidic cluster sorting protein 2</t>
  </si>
  <si>
    <t>UPF0317 protein C14orf159, mitochondrial</t>
  </si>
  <si>
    <t>Myosin phosphatase Rho-interacting protein (Fragment)</t>
  </si>
  <si>
    <t>Eukaryotic translation initiation factor 4 gamma 2</t>
  </si>
  <si>
    <t>Tight junction protein ZO-1 (Fragment)</t>
  </si>
  <si>
    <t>Protein PRRC2B (Fragment)</t>
  </si>
  <si>
    <t>Inosine-5-monophosphate dehydrogenase 2 (Fragment)</t>
  </si>
  <si>
    <t>La-related protein 4B (Fragment)</t>
  </si>
  <si>
    <t>Transformation/transcription domain-associated protein (Fragment)</t>
  </si>
  <si>
    <t>Band 4.1-like protein 2 (Fragment)</t>
  </si>
  <si>
    <t>Protein polybromo-1 (Fragment)</t>
  </si>
  <si>
    <t>Ubiquitin-fold modifier 1 (Fragment)</t>
  </si>
  <si>
    <t>ADP-ribosylation factor GTPase-activating protein 3 (Fragment)</t>
  </si>
  <si>
    <t>Pyrroline-5-carboxylate reductase 3 (Fragment)</t>
  </si>
  <si>
    <t>EF-hand calcium-binding domain-containing protein 2 (Fragment)</t>
  </si>
  <si>
    <t>Uncharacterized protein (Fragment)</t>
  </si>
  <si>
    <t>Inositol hexakisphosphate and diphosphoinositol-pentakisphosphate kinase 2 (Fragment)</t>
  </si>
  <si>
    <t>Ubiquitin-conjugating enzyme E2 B (Fragment)</t>
  </si>
  <si>
    <t>Biorientation of chromosomes in cell division protein 1-like 1 (Fragment)</t>
  </si>
  <si>
    <t>Storkhead-box protein 2 (Fragment)</t>
  </si>
  <si>
    <t>RNA-binding protein 24 (Fragment)</t>
  </si>
  <si>
    <t>Epididymis-specific alpha-mannosidase (Fragment)</t>
  </si>
  <si>
    <t>E3 ubiquitin-protein ligase RNF4 (Fragment)</t>
  </si>
  <si>
    <t>Amyloid beta A4 precursor protein-binding family B member 2 (Fragment)</t>
  </si>
  <si>
    <t>Rho guanine nucleotide exchange factor 10 (Fragment)</t>
  </si>
  <si>
    <t>Glutathione reductase, mitochondrial (Fragment)</t>
  </si>
  <si>
    <t>LETM1 domain-containing protein LETM2, mitochondrial (Fragment)</t>
  </si>
  <si>
    <t>Long-chain fatty acid transport protein 3 (Fragment)</t>
  </si>
  <si>
    <t>39S ribosomal protein L49, mitochondrial (Fragment)</t>
  </si>
  <si>
    <t>LIM domain only protein 7 (Fragment)</t>
  </si>
  <si>
    <t>CREB-regulated transcription coactivator 2 (Fragment)</t>
  </si>
  <si>
    <t>Ubiquilin-1 (Fragment)</t>
  </si>
  <si>
    <t>Serine/threonine-protein phosphatase (Fragment)</t>
  </si>
  <si>
    <t>Sjoegren syndrome/scleroderma autoantigen 1 (Fragment)</t>
  </si>
  <si>
    <t>Ribonuclease H2 subunit C (Fragment)</t>
  </si>
  <si>
    <t>Histone acetyltransferase KAT5 (Fragment)</t>
  </si>
  <si>
    <t>Sphingomyelin phosphodiesterase (Fragment)</t>
  </si>
  <si>
    <t>Ragulator complex protein LAMTOR1 (Fragment)</t>
  </si>
  <si>
    <t>Oligoribonuclease, mitochondrial (Fragment)</t>
  </si>
  <si>
    <t>Kinesin-like protein KIF21A (Fragment)</t>
  </si>
  <si>
    <t>KAT8 regulatory NSL complex subunit 2 (Fragment)</t>
  </si>
  <si>
    <t>Fanconi anemia group M protein (Fragment)</t>
  </si>
  <si>
    <t>Striatin-3 (Fragment)</t>
  </si>
  <si>
    <t>Pre-B-cell leukemia transcription factor 1 (Fragment)</t>
  </si>
  <si>
    <t>Annexin (Fragment)</t>
  </si>
  <si>
    <t>POU domain, class 2, transcription factor 1</t>
  </si>
  <si>
    <t>Homeobox-containing protein 1 (Fragment)</t>
  </si>
  <si>
    <t>DNA-binding protein RFX7</t>
  </si>
  <si>
    <t>Protein CASC4 (Fragment)</t>
  </si>
  <si>
    <t>Brachyury protein (Fragment)</t>
  </si>
  <si>
    <t>GMP reductase 2</t>
  </si>
  <si>
    <t>Mortality factor 4-like protein 1 (Fragment)</t>
  </si>
  <si>
    <t>Interferon-stimulated gene 20 kDa protein (Fragment)</t>
  </si>
  <si>
    <t>Signal peptide peptidase-like 2A (Fragment)</t>
  </si>
  <si>
    <t>ER membrane protein complex subunit 9</t>
  </si>
  <si>
    <t>Uveal autoantigen with coiled-coil domains and ankyrin repeats</t>
  </si>
  <si>
    <t>Bloom syndrome protein</t>
  </si>
  <si>
    <t>GTP cyclohydrolase 1 feedback regulatory protein</t>
  </si>
  <si>
    <t>Aflatoxin B1 aldehyde reductase member 2 (Fragment)</t>
  </si>
  <si>
    <t>Golgi apparatus protein 1</t>
  </si>
  <si>
    <t>Nucleolar protein 3 (Fragment)</t>
  </si>
  <si>
    <t>Uncharacterized protein C15orf39 (Fragment)</t>
  </si>
  <si>
    <t>Cytochrome c oxidase subunit 4 isoform 1, mitochondrial</t>
  </si>
  <si>
    <t>Proline-rich protein 14 (Fragment)</t>
  </si>
  <si>
    <t>LYR motif-containing protein 1</t>
  </si>
  <si>
    <t>INO80 complex subunit E</t>
  </si>
  <si>
    <t>M-phase phosphoprotein 6</t>
  </si>
  <si>
    <t>Calcium-regulated heat stable protein 1 (Fragment)</t>
  </si>
  <si>
    <t>Mannose-6-phosphate isomerase</t>
  </si>
  <si>
    <t>Microtubule-actin cross-linking factor 1, isoforms 1/2/3/5</t>
  </si>
  <si>
    <t>RNA binding protein S1, serine-rich domain, isoform CRA_c</t>
  </si>
  <si>
    <t>Fructose-bisphosphate aldolase A (Fragment)</t>
  </si>
  <si>
    <t>MTSS1-like protein (Fragment)</t>
  </si>
  <si>
    <t>snRNA-activating protein complex subunit 5</t>
  </si>
  <si>
    <t>Conserved oligomeric Golgi complex subunit 8</t>
  </si>
  <si>
    <t>HCG2044799</t>
  </si>
  <si>
    <t>E3 ubiquitin-protein ligase ZNRF1</t>
  </si>
  <si>
    <t>Zinc finger FYVE domain-containing protein 19</t>
  </si>
  <si>
    <t>Ubiquitin domain-containing protein UBFD1</t>
  </si>
  <si>
    <t>Nuclear factor of-activated T-cells, cytoplasmic 3 (Fragment)</t>
  </si>
  <si>
    <t>Eukaryotic translation initiation factor 3 subunit C</t>
  </si>
  <si>
    <t>Ras-related protein Rab-11A</t>
  </si>
  <si>
    <t>Transcription factor E4F1</t>
  </si>
  <si>
    <t>Biogenesis of lysosome-related organelles complex 1 subunit 6</t>
  </si>
  <si>
    <t>Leucine-rich repeat-containing protein 57 (Fragment)</t>
  </si>
  <si>
    <t>Probable glutamate--tRNA ligase, mitochondrial</t>
  </si>
  <si>
    <t>Microtubule-associated protein 1 light chain 3 beta, isoform CRA_f</t>
  </si>
  <si>
    <t>Pyruvate kinase (Fragment)</t>
  </si>
  <si>
    <t>ADP-ribosylation factor-like protein 2-binding protein</t>
  </si>
  <si>
    <t>Ataxin-2-like protein</t>
  </si>
  <si>
    <t>GABARAP-a</t>
  </si>
  <si>
    <t>Nitrogen permease regulator 3-like protein</t>
  </si>
  <si>
    <t>Serine/threonine-protein phosphatase 6 regulatory subunit 3</t>
  </si>
  <si>
    <t>Extended synaptotagmin-2 (Fragment)</t>
  </si>
  <si>
    <t>RNA-binding protein EWS (Fragment)</t>
  </si>
  <si>
    <t>Tropomyosin 1 (Alpha), isoform CRA_m</t>
  </si>
  <si>
    <t>BCL-6 corepressor (Fragment)</t>
  </si>
  <si>
    <t>Thioredoxin (Fragment)</t>
  </si>
  <si>
    <t>MKI67 FHA domain-interacting nucleolar phosphoprotein (Fragment)</t>
  </si>
  <si>
    <t>Protein YIPF4 (Fragment)</t>
  </si>
  <si>
    <t>Non-homologous end-joining factor 1 (Fragment)</t>
  </si>
  <si>
    <t>Chromodomain-helicase-DNA-binding protein 3 (Fragment)</t>
  </si>
  <si>
    <t>Cyclin-dependent kinase inhibitor 3</t>
  </si>
  <si>
    <t>IQ motif and SEC7 domain-containing protein 1 (Fragment)</t>
  </si>
  <si>
    <t>Coiled-coil and C2 domain-containing protein 1B (Fragment)</t>
  </si>
  <si>
    <t>Major facilitator superfamily domain-containing protein 6 (Fragment)</t>
  </si>
  <si>
    <t>Mitotic-spindle organizing protein 2B (Fragment)</t>
  </si>
  <si>
    <t>Ecto-ADP-ribosyltransferase 4 (Fragment)</t>
  </si>
  <si>
    <t>Band 4.1-like protein 1 (Fragment)</t>
  </si>
  <si>
    <t>Grancalcin (Fragment)</t>
  </si>
  <si>
    <t>Serologically defined colon cancer antigen 3 (Fragment)</t>
  </si>
  <si>
    <t>Sterile alpha motif domain-containing protein 11 (Fragment)</t>
  </si>
  <si>
    <t>Glucosamine (N-acetyl)-6-sulfatase (Sanfilippo disease IIID), isoform CRA_b</t>
  </si>
  <si>
    <t>Cold shock domain-containing protein C2 (Fragment)</t>
  </si>
  <si>
    <t>Protein kinase C-binding protein 1 (Fragment)</t>
  </si>
  <si>
    <t>Stromal interaction molecule 2</t>
  </si>
  <si>
    <t>Isoamyl acetate-hydrolyzing esterase 1 homolog (Fragment)</t>
  </si>
  <si>
    <t>GRINL1A combined protein 15</t>
  </si>
  <si>
    <t>PWWP domain-containing protein 2B</t>
  </si>
  <si>
    <t>GA binding protein transcription factor beta subunit 1 transcript variant gamma-2</t>
  </si>
  <si>
    <t>HCG1987119, isoform CRA_a</t>
  </si>
  <si>
    <t>Vesicle-fusing ATPase</t>
  </si>
  <si>
    <t>Clusterin-associated protein 1 (Fragment)</t>
  </si>
  <si>
    <t>Basigin (Fragment)</t>
  </si>
  <si>
    <t>Centrobin (Fragment)</t>
  </si>
  <si>
    <t>Diphthamide biosynthesis protein 1 (Fragment)</t>
  </si>
  <si>
    <t>Elongator complex protein 5 (Fragment)</t>
  </si>
  <si>
    <t>Clustered mitochondria protein homolog</t>
  </si>
  <si>
    <t>Gem-associated protein 4</t>
  </si>
  <si>
    <t>Protein capicua homolog</t>
  </si>
  <si>
    <t>Segment polarity protein dishevelled homolog DVL-2</t>
  </si>
  <si>
    <t>Myc-associated zinc finger protein (Fragment)</t>
  </si>
  <si>
    <t>Monoacylglycerol lipase ABHD12</t>
  </si>
  <si>
    <t>40S ribosomal protein S15a</t>
  </si>
  <si>
    <t>Myosin light chain 4 (Fragment)</t>
  </si>
  <si>
    <t>Sperm-associated antigen 7</t>
  </si>
  <si>
    <t>Engulfment and cell motility protein 3</t>
  </si>
  <si>
    <t>Actin, cytoplasmic 2, N-terminally processed (Fragment)</t>
  </si>
  <si>
    <t>HCG1818442, isoform CRA_a</t>
  </si>
  <si>
    <t>NF-kappa-B inhibitor beta (Fragment)</t>
  </si>
  <si>
    <t>Acyl carrier protein (Fragment)</t>
  </si>
  <si>
    <t>Fatty acid-binding protein, epidermal</t>
  </si>
  <si>
    <t>DNAJC24 protein</t>
  </si>
  <si>
    <t>SWI/SNF-related matrix-associated actin-dependent regulator of chromatin subfamily D member 2</t>
  </si>
  <si>
    <t>Epididymal secretory protein E1</t>
  </si>
  <si>
    <t>Integrator complex subunit 2</t>
  </si>
  <si>
    <t>Phosphatidylinositol 4-kinase alpha</t>
  </si>
  <si>
    <t>REST corepressor 1</t>
  </si>
  <si>
    <t>Centlein</t>
  </si>
  <si>
    <t>Transcription cofactor vestigial-like protein 4</t>
  </si>
  <si>
    <t>TBC1 domain family member 8B</t>
  </si>
  <si>
    <t>Mitogen-activated protein kinase kinase kinase 4</t>
  </si>
  <si>
    <t>Protein SAAL1</t>
  </si>
  <si>
    <t>Copper chaperone for superoxide dismutase</t>
  </si>
  <si>
    <t>Sentrin-specific protease 3</t>
  </si>
  <si>
    <t>AP-4 complex subunit sigma-1</t>
  </si>
  <si>
    <t>Protein transport protein Sec16A</t>
  </si>
  <si>
    <t>Zinc finger FYVE domain-containing protein 1</t>
  </si>
  <si>
    <t>BRCA1-associated protein</t>
  </si>
  <si>
    <t>Methylmalonate-semialdehyde dehydrogenase [acylating], mitochondrial</t>
  </si>
  <si>
    <t>Integrator complex subunit 8</t>
  </si>
  <si>
    <t>Probable fibrosin-1</t>
  </si>
  <si>
    <t>Serine/arginine-rich-splicing factor 2 (Fragment)</t>
  </si>
  <si>
    <t>Receptor-type tyrosine-protein phosphatase alpha</t>
  </si>
  <si>
    <t>Phosphatase and actin regulator 2</t>
  </si>
  <si>
    <t>Protein FAM83H (Fragment)</t>
  </si>
  <si>
    <t>Myeloid differentiation primary response gene (88), isoform CRA_b</t>
  </si>
  <si>
    <t>Sulfurtransferase</t>
  </si>
  <si>
    <t>COP9 signalosome complex subunit 7b</t>
  </si>
  <si>
    <t>F-box only protein 6 (Fragment)</t>
  </si>
  <si>
    <t>Protein phosphatase 1 regulatory subunit 37</t>
  </si>
  <si>
    <t>Glucosylceramidase</t>
  </si>
  <si>
    <t>BRISC and BRCA1-A complex member 1</t>
  </si>
  <si>
    <t>BTB/POZ domain-containing protein KCTD1</t>
  </si>
  <si>
    <t>Period circadian protein homolog 1</t>
  </si>
  <si>
    <t>Protein SSXT</t>
  </si>
  <si>
    <t>Ubiquitin carboxyl-terminal hydrolase CYLD</t>
  </si>
  <si>
    <t>Chromobox protein homolog 1 (Fragment)</t>
  </si>
  <si>
    <t>Peptidyl-tRNA hydrolase ICT1, mitochondrial (Fragment)</t>
  </si>
  <si>
    <t>Aurora kinase B (Fragment)</t>
  </si>
  <si>
    <t>Protein SCO1 homolog, mitochondrial</t>
  </si>
  <si>
    <t>Flotillin-2</t>
  </si>
  <si>
    <t>SAP30-binding protein (Fragment)</t>
  </si>
  <si>
    <t>Trafficking protein particle complex subunit 8</t>
  </si>
  <si>
    <t>LIM domain-containing protein 2 (Fragment)</t>
  </si>
  <si>
    <t>60S ribosomal protein L17 (Fragment)</t>
  </si>
  <si>
    <t>Polycomb protein SUZ12</t>
  </si>
  <si>
    <t>NADPH:adrenodoxin oxidoreductase, mitochondrial</t>
  </si>
  <si>
    <t>Male-specific lethal 1 homolog</t>
  </si>
  <si>
    <t>Ribosomal protein L19</t>
  </si>
  <si>
    <t>N-acetyltransferase 9 (Fragment)</t>
  </si>
  <si>
    <t>Fatty aldehyde dehydrogenase</t>
  </si>
  <si>
    <t>HCG1996301</t>
  </si>
  <si>
    <t>Zinc finger SWIM domain-containing protein 7</t>
  </si>
  <si>
    <t>MIF4G domain-containing protein (Fragment)</t>
  </si>
  <si>
    <t>Zinc finger protein 207 (Fragment)</t>
  </si>
  <si>
    <t>Protein cereblon (Fragment)</t>
  </si>
  <si>
    <t>Protein Njmu-R1</t>
  </si>
  <si>
    <t>G-protein-coupled receptor family C group 5 member C</t>
  </si>
  <si>
    <t>RWD domain containing 4A</t>
  </si>
  <si>
    <t>Cullin 4B, isoform CRA_e</t>
  </si>
  <si>
    <t>Methyl-CpG binding domain protein 3, isoform CRA_b</t>
  </si>
  <si>
    <t>WW domain-binding protein 2 (Fragment)</t>
  </si>
  <si>
    <t>Protein syndesmos (Fragment)</t>
  </si>
  <si>
    <t>WD repeat-containing protein 18</t>
  </si>
  <si>
    <t>Mothers against decapentaplegic homolog 4</t>
  </si>
  <si>
    <t>40S ribosomal protein S15 (Fragment)</t>
  </si>
  <si>
    <t>HCG27535</t>
  </si>
  <si>
    <t>Kinetochore protein Spc24 (Fragment)</t>
  </si>
  <si>
    <t>Histone H3 (Fragment)</t>
  </si>
  <si>
    <t>Signal transducer and activator of transcription 5A</t>
  </si>
  <si>
    <t>Protein lin-37 homolog</t>
  </si>
  <si>
    <t>Lon protease homolog, mitochondrial</t>
  </si>
  <si>
    <t>Ataxin-7-like protein 3 (Fragment)</t>
  </si>
  <si>
    <t>Periplakin</t>
  </si>
  <si>
    <t>Polypyrimidine tract-binding protein 1 (Fragment)</t>
  </si>
  <si>
    <t>Syntaxin-10 (Fragment)</t>
  </si>
  <si>
    <t>Katanin p60 ATPase-containing subunit A-like 2 (Fragment)</t>
  </si>
  <si>
    <t>Zinc finger protein 444 (Fragment)</t>
  </si>
  <si>
    <t>Protein LSM14 homolog A (Fragment)</t>
  </si>
  <si>
    <t>Transcription elongation factor 1 homolog</t>
  </si>
  <si>
    <t>HCG2039718, isoform CRA_g</t>
  </si>
  <si>
    <t>Asparagine--tRNA ligase, cytoplasmic</t>
  </si>
  <si>
    <t>Uncharacterized protein C18orf8</t>
  </si>
  <si>
    <t>Gametogenetin-binding protein 2 (Fragment)</t>
  </si>
  <si>
    <t>UBX domain-containing protein 6 (Fragment)</t>
  </si>
  <si>
    <t>Protein C19orf12 (Fragment)</t>
  </si>
  <si>
    <t>Scaffold attachment factor B2 (Fragment)</t>
  </si>
  <si>
    <t>Tropomyosin alpha-4 chain (Fragment)</t>
  </si>
  <si>
    <t>Lon protease homolog, mitochondrial (Fragment)</t>
  </si>
  <si>
    <t>Uncharacterized protein C19orf55</t>
  </si>
  <si>
    <t>Eukaryotic translation initiation factor 3 subunit K</t>
  </si>
  <si>
    <t>Truncated apolipoprotein C-I (Fragment)</t>
  </si>
  <si>
    <t>Thymidine kinase</t>
  </si>
  <si>
    <t>Ubiquitin-conjugating enzyme E2 O (Fragment)</t>
  </si>
  <si>
    <t>Xaa-Pro dipeptidase (Fragment)</t>
  </si>
  <si>
    <t>Follistatin-related protein 3 (Fragment)</t>
  </si>
  <si>
    <t>UV excision repair protein RAD23 homolog A</t>
  </si>
  <si>
    <t>Paf1, RNA polymerase II associated factor, homolog (S. cerevisiae), isoform CRA_c</t>
  </si>
  <si>
    <t>Kaptin (Fragment)</t>
  </si>
  <si>
    <t>Zinc finger protein 428 (Fragment)</t>
  </si>
  <si>
    <t>Prostate tumor-overexpressed gene 1 protein (Fragment)</t>
  </si>
  <si>
    <t>Glia maturation factor gamma</t>
  </si>
  <si>
    <t>Tubulin beta-4A chain (Fragment)</t>
  </si>
  <si>
    <t>NAD-dependent protein deacetylase sirtuin-6 (Fragment)</t>
  </si>
  <si>
    <t>Protein Smaug homolog 2</t>
  </si>
  <si>
    <t>Heterogeneous nuclear ribonucleoprotein M (Fragment)</t>
  </si>
  <si>
    <t>Rho guanine nucleotide exchange factor 1</t>
  </si>
  <si>
    <t>KxDL motif-containing protein 1 (Fragment)</t>
  </si>
  <si>
    <t>40S ribosomal protein S5 (Fragment)</t>
  </si>
  <si>
    <t>Unconventional myosin-IXb</t>
  </si>
  <si>
    <t>Methyltransferase-like protein 6 (Fragment)</t>
  </si>
  <si>
    <t>SH3KBP1 binding protein 1, isoform CRA_c</t>
  </si>
  <si>
    <t>Prenylated Rab acceptor protein 1</t>
  </si>
  <si>
    <t>Alkyldihydroxyacetonephosphate synthase, peroxisomal</t>
  </si>
  <si>
    <t>Isoform 1 of Kinesin-like protein KIF2A</t>
  </si>
  <si>
    <t>Isoform 2 of Kinesin-like protein KIF2A</t>
  </si>
  <si>
    <t>ATP-dependent RNA helicase DDX39A</t>
  </si>
  <si>
    <t>PDZ and LIM domain protein 1</t>
  </si>
  <si>
    <t>Isoform 4 of Cytosolic acyl coenzyme A thioester hydrolase</t>
  </si>
  <si>
    <t>Unconventional myosin-Ic</t>
  </si>
  <si>
    <t>Synaptosomal-associated protein 23</t>
  </si>
  <si>
    <t>AH receptor-interacting protein</t>
  </si>
  <si>
    <t>GTP-binding protein 1</t>
  </si>
  <si>
    <t>Ras-related protein Rab-27B</t>
  </si>
  <si>
    <t>AP-3 complex subunit beta-1</t>
  </si>
  <si>
    <t>Isoform 2 of Sulfotransferase family cytosolic 2B member 1</t>
  </si>
  <si>
    <t>Isoform 2 of Amyloid beta A4 precursor protein-binding family B member 1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</si>
  <si>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</si>
  <si>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</si>
  <si>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</si>
  <si>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</si>
  <si>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26S proteasome non-ATPase regulatory subunit 9</t>
  </si>
  <si>
    <t>Copper transport protein ATOX1</t>
  </si>
  <si>
    <t>E3 SUMO-protein ligase CBX4</t>
  </si>
  <si>
    <t>Isoform 2 of Transcription elongation factor SPT5</t>
  </si>
  <si>
    <t>Transcription initiation factor TFIID subunit 4</t>
  </si>
  <si>
    <t>DNA fragmentation factor subunit alpha</t>
  </si>
  <si>
    <t>Isoform DFF35 of DNA fragmentation factor subunit alpha</t>
  </si>
  <si>
    <t>Huntingtin-interacting protein 1</t>
  </si>
  <si>
    <t>Chloride intracellular channel protein 1</t>
  </si>
  <si>
    <t>Eukaryotic translation initiation factor 3 subunit F</t>
  </si>
  <si>
    <t>NEDD4-like E3 ubiquitin-protein ligase WWP2</t>
  </si>
  <si>
    <t>Phosphatidylinositol 4,5-bisphosphate 3-kinase catalytic subunit delta isoform</t>
  </si>
  <si>
    <t>Dynactin subunit 6</t>
  </si>
  <si>
    <t>Neural Wiskott-Aldrich syndrome protein</t>
  </si>
  <si>
    <t>Importin-5</t>
  </si>
  <si>
    <t>Eukaryotic elongation factor 2 kinase</t>
  </si>
  <si>
    <t>Histone deacetylase complex subunit SAP18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</si>
  <si>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</si>
  <si>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</si>
  <si>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</si>
  <si>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</si>
  <si>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4-phosphate 3-kinase C2 domain-containing subunit alpha</t>
  </si>
  <si>
    <t>Phosphatidylinositol 3-kinase regulatory subunit beta</t>
  </si>
  <si>
    <t>Isoform 2 of Agrin</t>
  </si>
  <si>
    <t>Exocyst complex component 5</t>
  </si>
  <si>
    <t>High mobility group nucleosome-binding domain-containing protein 4</t>
  </si>
  <si>
    <t>26S proteasome non-ATPase regulatory subunit 14</t>
  </si>
  <si>
    <t>Zinc finger protein 593</t>
  </si>
  <si>
    <t>Isoform II2 of Myc box-dependent-interacting protein 1</t>
  </si>
  <si>
    <t>Importin subunit alpha-3</t>
  </si>
  <si>
    <t>Serine/threonine-protein kinase 25</t>
  </si>
  <si>
    <t>B-cell CLL/lymphoma 9 protein</t>
  </si>
  <si>
    <t>Isoform 3 of Syntenin-1</t>
  </si>
  <si>
    <t>Isoform 2 of Membrane-associated phosphatidylinositol transfer protein 1</t>
  </si>
  <si>
    <t>U3 small nucleolar ribonucleoprotein protein MPP10</t>
  </si>
  <si>
    <t>Nucleolar protein 56</t>
  </si>
  <si>
    <t>ATP-dependent RNA helicase DDX3X</t>
  </si>
  <si>
    <t>Isoform 2 of Podocalyxin</t>
  </si>
  <si>
    <t>Protein CYR61</t>
  </si>
  <si>
    <t>Pirin</t>
  </si>
  <si>
    <t>Importin subunit alpha-4</t>
  </si>
  <si>
    <t>Tripartite motif-containing protein 38</t>
  </si>
  <si>
    <t>Nuclear factor 1 B-type</t>
  </si>
  <si>
    <t>Serine/threonine-protein phosphatase 6 catalytic subunit</t>
  </si>
  <si>
    <t>Nucleoside diphosphate kinase, mitochondrial</t>
  </si>
  <si>
    <t>Isoform 2 of Lysosomal alpha-mannosidase</t>
  </si>
  <si>
    <t>Pyridoxal kinase</t>
  </si>
  <si>
    <t>AT-rich interactive domain-containing protein 1A</t>
  </si>
  <si>
    <t>Isoform 2 of Cyclin-dependent kinase 2-associated protein 1</t>
  </si>
  <si>
    <t>Isoform 3 of FCH domain only protein 1</t>
  </si>
  <si>
    <t>Thioredoxin domain-containing protein 9</t>
  </si>
  <si>
    <t>Dihydropyrimidinase-related protein 4</t>
  </si>
  <si>
    <t>Suppressor of cytokine signaling 6</t>
  </si>
  <si>
    <t>TRAF-type zinc finger domain-containing protein 1</t>
  </si>
  <si>
    <t>Acyl carrier protein, mitochondrial</t>
  </si>
  <si>
    <t>Isoform 4 of Citron Rho-interacting kinase</t>
  </si>
  <si>
    <t>Coatomer subunit epsilon</t>
  </si>
  <si>
    <t>Eukaryotic translation initiation factor 1A, Y-chromosomal</t>
  </si>
  <si>
    <t>Isoform 4 of AP-3 complex subunit delta-1</t>
  </si>
  <si>
    <t>Isoform 2 of Segment polarity protein dishevelled homolog DVL-1</t>
  </si>
  <si>
    <t>Isoform 2 of Chromodomain-helicase-DNA-binding protein 1</t>
  </si>
  <si>
    <t>Isoform 3 of Golgi SNAP receptor complex member 2</t>
  </si>
  <si>
    <t>Torsin-1B</t>
  </si>
  <si>
    <t>Disintegrin and metalloproteinase domain-containing protein 10</t>
  </si>
  <si>
    <t>Histone-lysine N-methyltransferase MLL2</t>
  </si>
  <si>
    <t>Isoform 2 of Inositol monophosphatase 2</t>
  </si>
  <si>
    <t>Dual specificity mitogen-activated protein kinase kinase 7</t>
  </si>
  <si>
    <t>Programmed cell death protein 5</t>
  </si>
  <si>
    <t>Protein arginine N-methyltransferase 5</t>
  </si>
  <si>
    <t>Isoform 2 of 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</si>
  <si>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</si>
  <si>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</si>
  <si>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</si>
  <si>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Fucose-1-phosphate guanylyltransferase</t>
  </si>
  <si>
    <t>Isoform 2 of Transcription elongation regulator 1</t>
  </si>
  <si>
    <t>Kinetochore protein NDC80 homolog</t>
  </si>
  <si>
    <t>Kinesin-like protein KIF3C</t>
  </si>
  <si>
    <t>Isoform 2 of Transportin-2</t>
  </si>
  <si>
    <t>Protein unc-13 homolog B</t>
  </si>
  <si>
    <t>Complexin-1</t>
  </si>
  <si>
    <t>Proteasome subunit alpha type-7</t>
  </si>
  <si>
    <t>Secretory carrier-associated membrane protein 3</t>
  </si>
  <si>
    <t>5-oxoprolinase</t>
  </si>
  <si>
    <t>Transcription regulator protein BACH1</t>
  </si>
  <si>
    <t>Isoform 3 of Gem-associated protein 2</t>
  </si>
  <si>
    <t>Tax1-binding protein 3</t>
  </si>
  <si>
    <t>PDZ domain-containing protein GIPC1</t>
  </si>
  <si>
    <t>Inhibitor of nuclear factor kappa-B kinase subunit beta</t>
  </si>
  <si>
    <t>Isoform 2 of Regulator of G-protein signaling 12</t>
  </si>
  <si>
    <t>Histone acetyltransferase type B catalytic subunit</t>
  </si>
  <si>
    <t>Ubiquitin/ISG15-conjugating enzyme E2 L6</t>
  </si>
  <si>
    <t>Isoform 3 of Peripheral plasma membrane protein CASK</t>
  </si>
  <si>
    <t>Hepatocyte growth factor-regulated tyrosine kinase substrate</t>
  </si>
  <si>
    <t>Aurora kinase A</t>
  </si>
  <si>
    <t>Down syndrome critical region protein 3</t>
  </si>
  <si>
    <t>Protein phosphatase 1 regulatory subunit 12A</t>
  </si>
  <si>
    <t>Cyclin-G-associated kinase</t>
  </si>
  <si>
    <t>Antizyme inhibitor 1</t>
  </si>
  <si>
    <t>Heterogeneous nuclear ribonucleoprotein D-like</t>
  </si>
  <si>
    <t>Exportin-1</t>
  </si>
  <si>
    <t>TATA-binding protein-associated factor 172</t>
  </si>
  <si>
    <t>Zinc finger protein 609</t>
  </si>
  <si>
    <t>Isoform 2 of Microtubule-associated serine/threonine-protein kinase 4</t>
  </si>
  <si>
    <t>Plexin-B2</t>
  </si>
  <si>
    <t>Protein KHNYN</t>
  </si>
  <si>
    <t>Tectonin beta-propeller repeat-containing protein 2</t>
  </si>
  <si>
    <t>Histone-lysine N-methyltransferase SETD1A</t>
  </si>
  <si>
    <t>Lysine-specific demethylase 6B</t>
  </si>
  <si>
    <t>Period circadian protein homolog 2</t>
  </si>
  <si>
    <t>Synaptojanin-2</t>
  </si>
  <si>
    <t>Synemin</t>
  </si>
  <si>
    <t>Kinesin-like protein KIF3B</t>
  </si>
  <si>
    <t>Phosphoribosylformylglycinamidine synthase</t>
  </si>
  <si>
    <t>Serine/threonine-protein phosphatase 6 regulatory ankyrin repeat subunit A</t>
  </si>
  <si>
    <t>Isoform 2 of Rho guanine nucleotide exchange factor 11</t>
  </si>
  <si>
    <t>Inhibitor of nuclear factor kappa-B kinase subunit alpha</t>
  </si>
  <si>
    <t>U6 snRNA-associated Sm-like protein LSm1</t>
  </si>
  <si>
    <t>Niemann-Pick C1 protein</t>
  </si>
  <si>
    <t>Isoform I of T-box transcription factor TBX3</t>
  </si>
  <si>
    <t>Actin-related protein 2/3 complex subunit 1B</t>
  </si>
  <si>
    <t>Actin-related protein 2/3 complex subunit 2</t>
  </si>
  <si>
    <t>Actin-related protein 2/3 complex subunit 3</t>
  </si>
  <si>
    <t>Isoform 2 of DNA-directed RNA polymerases I and III subunit RPAC1</t>
  </si>
  <si>
    <t>Transcription intermediary factor 1-alpha</t>
  </si>
  <si>
    <t>Isoform 2 of Axin-1</t>
  </si>
  <si>
    <t>Prefoldin subunit 6</t>
  </si>
  <si>
    <t>NF-kappa-B-repressing factor</t>
  </si>
  <si>
    <t>Laminin subunit alpha-5</t>
  </si>
  <si>
    <t>Zinc finger protein 185</t>
  </si>
  <si>
    <t>Isoform 3 of Zinc finger protein 185</t>
  </si>
  <si>
    <t>Protein CASC3</t>
  </si>
  <si>
    <t>Fanconi anemia group G protein</t>
  </si>
  <si>
    <t>UDP-N-acetylglucosamine--peptide N-acetylglucosaminyltransferase 110 kDa subunit</t>
  </si>
  <si>
    <t>Phosphomannomutase 2</t>
  </si>
  <si>
    <t>Type II inositol 3,4-bisphosphate 4-phosphatase</t>
  </si>
  <si>
    <t>Midline-1</t>
  </si>
  <si>
    <t>Protein phosphatase 1G</t>
  </si>
  <si>
    <t>Phosphatidylinositol 3,4,5-trisphosphate 5-phosphatase 2</t>
  </si>
  <si>
    <t>Transcription factor SOX-12</t>
  </si>
  <si>
    <t>Eukaryotic translation initiation factor 3 subunit H</t>
  </si>
  <si>
    <t>Histone deacetylase 3</t>
  </si>
  <si>
    <t>Branched-chain-amino-acid aminotransferase, mitochondrial</t>
  </si>
  <si>
    <t>Importin-8</t>
  </si>
  <si>
    <t>Isoform 2 of Syntaxin-7</t>
  </si>
  <si>
    <t>Isoform 2 of Trinucleotide repeat-containing gene 18 protein</t>
  </si>
  <si>
    <t>DNA-directed RNA polymerase I subunit RPA34</t>
  </si>
  <si>
    <t>Isoform IIa of Prolyl 4-hydroxylase subunit alpha-2</t>
  </si>
  <si>
    <t>Synaptobrevin homolog YKT6</t>
  </si>
  <si>
    <t>Actin-related protein 2/3 complex subunit 5</t>
  </si>
  <si>
    <t>DNA-directed RNA polymerase II subunit RPB4</t>
  </si>
  <si>
    <t>ATP-dependent RNA helicase DDX3Y</t>
  </si>
  <si>
    <t>RING finger protein 113A</t>
  </si>
  <si>
    <t>Putative pre-mRNA-splicing factor ATP-dependent RNA helicase DHX15</t>
  </si>
  <si>
    <t>mRNA cap guanine-N7 methyltransferase</t>
  </si>
  <si>
    <t>Zinc finger ZZ-type and EF-hand domain-containing protein 1</t>
  </si>
  <si>
    <t>Arf-GAP with SH3 domain, ANK repeat and PH domain-containing protein 2</t>
  </si>
  <si>
    <t>TELO2-interacting protein 1 homolog</t>
  </si>
  <si>
    <t>Ribosomal RNA-processing protein 8</t>
  </si>
  <si>
    <t>Isoform 2 of E3 ubiquitin-protein ligase Praja-2</t>
  </si>
  <si>
    <t>Isoform 2 of U4/U6 small nuclear ribonucleoprotein Prp4</t>
  </si>
  <si>
    <t>D-3-phosphoglycerate dehydrogenase</t>
  </si>
  <si>
    <t>Cytoplasmic dynein 1 light intermediate chain 2</t>
  </si>
  <si>
    <t>26S proteasome non-ATPase regulatory subunit 3</t>
  </si>
  <si>
    <t>Isoform 6 of RNA binding protein fox-1 homolog 2</t>
  </si>
  <si>
    <t>Bifunctional 3-phosphoadenosine 5-phosphosulfate synthase 1</t>
  </si>
  <si>
    <t>Centromere/kinetochore protein zw10 homolog</t>
  </si>
  <si>
    <t>U4/U6.U5 tri-snRNP-associated protein 1</t>
  </si>
  <si>
    <t>Death-associated protein kinase 3</t>
  </si>
  <si>
    <t>Isoform 2 of Transforming growth factor beta-1-induced transcript 1 protein</t>
  </si>
  <si>
    <t>Zinc finger and BTB domain-containing protein 43</t>
  </si>
  <si>
    <t>Heat shock 70 kDa protein 12A</t>
  </si>
  <si>
    <t>Isoform 2 of Centriolar coiled-coil protein of 110 kDa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</si>
  <si>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</si>
  <si>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</si>
  <si>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</si>
  <si>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Eukaryotic translation elongation factor 1 epsilon-1</t>
  </si>
  <si>
    <t>Receptor-interacting serine/threonine-protein kinase 2</t>
  </si>
  <si>
    <t>WD repeat-containing protein 62</t>
  </si>
  <si>
    <t>Heterogeneous nuclear ribonucleoprotein R</t>
  </si>
  <si>
    <t>U4/U6 small nuclear ribonucleoprotein Prp3</t>
  </si>
  <si>
    <t>Thioredoxin-like protein 1</t>
  </si>
  <si>
    <t>Isoform 4 of Tumor protein D54</t>
  </si>
  <si>
    <t>Isoform 5 of Tumor protein D54</t>
  </si>
  <si>
    <t>ER membrane protein complex subunit 8</t>
  </si>
  <si>
    <t>Isoform 3 of ERI1 exoribonuclease 3</t>
  </si>
  <si>
    <t>Isoform Short of 52 kDa repressor of the inhibitor of the protein kinase</t>
  </si>
  <si>
    <t>Isoform Short of Acidic fibroblast growth factor intracellular-binding protein</t>
  </si>
  <si>
    <t>Eukaryotic translation initiation factor 4 gamma 3</t>
  </si>
  <si>
    <t>Peptidyl-prolyl cis-trans isomerase H</t>
  </si>
  <si>
    <t>Isoform 3 of Serine protease HTRA2, mitochondrial</t>
  </si>
  <si>
    <t>Protein Mis18-beta</t>
  </si>
  <si>
    <t>Band 4.1-like protein 2</t>
  </si>
  <si>
    <t>Isoform 4 of Trans-Golgi network integral membrane protein 2</t>
  </si>
  <si>
    <t>DNA repair protein RAD51 homolog 3</t>
  </si>
  <si>
    <t>Mediator of RNA polymerase II transcription subunit 7</t>
  </si>
  <si>
    <t>WAS/WASL-interacting protein family member 1</t>
  </si>
  <si>
    <t>DNA repair protein XRCC3</t>
  </si>
  <si>
    <t>DNA repair protein XRCC2</t>
  </si>
  <si>
    <t>A-kinase anchor protein 10, mitochondrial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</si>
  <si>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</si>
  <si>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</si>
  <si>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</si>
  <si>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</si>
  <si>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</si>
  <si>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</si>
  <si>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</si>
  <si>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Tetraspanin-6</t>
  </si>
  <si>
    <t>Isoform 2 of Pleiotropic regulator 1</t>
  </si>
  <si>
    <t>Protein regulator of cytokinesis 1</t>
  </si>
  <si>
    <t>Isoform 2 of Regulator of G-protein signaling 10</t>
  </si>
  <si>
    <t>Isoform 2 of Zinc finger protein 207</t>
  </si>
  <si>
    <t>Isoform 2 of NADH dehydrogenase [ubiquinone] 1 beta subcomplex subunit 5, mitochondrial</t>
  </si>
  <si>
    <t>NADH dehydrogenase [ubiquinone] 1 alpha subcomplex subunit 2</t>
  </si>
  <si>
    <t>ATPase ASNA1</t>
  </si>
  <si>
    <t>Isoform 2 of Mitotic checkpoint protein BUB3</t>
  </si>
  <si>
    <t>Alpha-actinin-4</t>
  </si>
  <si>
    <t>Uncharacterized methyltransferase WBSCR22</t>
  </si>
  <si>
    <t>TP53-regulated inhibitor of apoptosis 1</t>
  </si>
  <si>
    <t>Glutamyl-tRNA(Gln) amidotransferase subunit C, mitochondrial</t>
  </si>
  <si>
    <t>HIV Tat-specific factor 1</t>
  </si>
  <si>
    <t>Isoform 2 of Cytohesin-3</t>
  </si>
  <si>
    <t>AP-1 complex subunit gamma-1</t>
  </si>
  <si>
    <t>Syntaxin-6</t>
  </si>
  <si>
    <t>Small glutamine-rich tetratricopeptide repeat-containing protein alpha</t>
  </si>
  <si>
    <t>Isoform 2 of Lipoyl synthase, mitochondrial</t>
  </si>
  <si>
    <t>Isoform 2 of Alpha-endosulfine</t>
  </si>
  <si>
    <t>Isoform 2 of Unconventional myosin-Ib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</si>
  <si>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</si>
  <si>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</si>
  <si>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</si>
  <si>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</si>
  <si>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</si>
  <si>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Isoform 4 of Hyaluronidase-3</t>
  </si>
  <si>
    <t>A-kinase anchor protein 8</t>
  </si>
  <si>
    <t>Zinc finger and BTB domain-containing protein 14</t>
  </si>
  <si>
    <t>Isocitrate dehydrogenase [NAD] subunit beta, mitochondrial</t>
  </si>
  <si>
    <t>Isoform 2 of Nardilysin</t>
  </si>
  <si>
    <t>Calumenin</t>
  </si>
  <si>
    <t>Putative adenosylhomocysteinase 2</t>
  </si>
  <si>
    <t>Kinesin-like protein KIF1C</t>
  </si>
  <si>
    <t>Origin recognition complex subunit 5</t>
  </si>
  <si>
    <t>Retinal rod rhodopsin-sensitive cGMP 3,5-cyclic phosphodiesterase subunit delta</t>
  </si>
  <si>
    <t>Isoform 2 of Origin recognition complex subunit 4</t>
  </si>
  <si>
    <t>Double-strand-break repair protein rad21 homolog</t>
  </si>
  <si>
    <t>Aldo-keto reductase family 1 member B10</t>
  </si>
  <si>
    <t>Mitochondrial import inner membrane translocase subunit Tim8 A</t>
  </si>
  <si>
    <t>Putative pre-mRNA-splicing factor ATP-dependent RNA helicase DHX16</t>
  </si>
  <si>
    <t>SH3 domain-binding protein 5</t>
  </si>
  <si>
    <t>Phosphoribosyl pyrophosphate synthase-associated protein 2</t>
  </si>
  <si>
    <t>SWI/SNF-related matrix-associated actin-dependent regulator of chromatin subfamily A member 5</t>
  </si>
  <si>
    <t>G protein-regulated inducer of neurite outgrowth 2</t>
  </si>
  <si>
    <t>C-Jun-amino-terminal kinase-interacting protein 4</t>
  </si>
  <si>
    <t>Isoform 4 of C-Jun-amino-terminal kinase-interacting protein 4</t>
  </si>
  <si>
    <t>Isoform 6 of C-Jun-amino-terminal kinase-interacting protein 4</t>
  </si>
  <si>
    <t>Isoform 2 of Zinc finger protein 292</t>
  </si>
  <si>
    <t>E3 ubiquitin-protein ligase MGRN1</t>
  </si>
  <si>
    <t>Signal-induced proliferation-associated 1-like protein 3</t>
  </si>
  <si>
    <t>Leucine carboxyl methyltransferase 2</t>
  </si>
  <si>
    <t>Uncharacterized protein KIAA0556</t>
  </si>
  <si>
    <t>Intron-binding protein aquarius</t>
  </si>
  <si>
    <t>80 kDa MCM3-associated protein</t>
  </si>
  <si>
    <t>Isoform 2 of Kinesin-like protein KIF1B</t>
  </si>
  <si>
    <t>Isoform 3 of Kinesin-like protein KIF1B</t>
  </si>
  <si>
    <t>Lysine-specific histone demethylase 1A</t>
  </si>
  <si>
    <t>Isoform 2 of TBC1 domain family member 4</t>
  </si>
  <si>
    <t>Isoform D of Endothelin-converting enzyme 2</t>
  </si>
  <si>
    <t>PH domain leucine-rich repeat-containing protein phosphatase 1</t>
  </si>
  <si>
    <t>TBC1 domain family member 12</t>
  </si>
  <si>
    <t>Isoform 2 of Frizzled-6</t>
  </si>
  <si>
    <t>Putative nucleoside diphosphate kinase</t>
  </si>
  <si>
    <t>Non-syndromic hearing impairment protein 5</t>
  </si>
  <si>
    <t>Ecotropic viral integration site 5 protein homolog</t>
  </si>
  <si>
    <t>Isoform B0 of Neuropilin-2</t>
  </si>
  <si>
    <t>Isoform Short of Long-chain-fatty-acid--CoA ligase 4</t>
  </si>
  <si>
    <t>Sorting nexin-3</t>
  </si>
  <si>
    <t>Bifunctional protein NCOAT</t>
  </si>
  <si>
    <t>Vinexin</t>
  </si>
  <si>
    <t>Isoform 2 of Heterogeneous nuclear ribonucleoprotein Q</t>
  </si>
  <si>
    <t>Ran-binding protein 6</t>
  </si>
  <si>
    <t>Isoform 4 of Nuclear export mediator factor NEMF</t>
  </si>
  <si>
    <t>Isoform 2 of GDP-mannose 4,6 dehydratase</t>
  </si>
  <si>
    <t>Glycylpeptide N-tetradecanoyltransferase 2</t>
  </si>
  <si>
    <t>Cyclin-T1</t>
  </si>
  <si>
    <t>Mitotic checkpoint serine/threonine-protein kinase BUB1 beta</t>
  </si>
  <si>
    <t>Procollagen-lysine,2-oxoglutarate 5-dioxygenase 3</t>
  </si>
  <si>
    <t>15 kDa selenoprotein</t>
  </si>
  <si>
    <t>Isoform 3 of Exocyst complex component 3</t>
  </si>
  <si>
    <t>Perilipin-3</t>
  </si>
  <si>
    <t>Cell cycle checkpoint protein RAD1</t>
  </si>
  <si>
    <t>Protein arginine N-methyltransferase 3</t>
  </si>
  <si>
    <t>UDP-glucose 6-dehydrogenase</t>
  </si>
  <si>
    <t>Isoform 1A of Catenin delta-1</t>
  </si>
  <si>
    <t>General vesicular transport factor p115</t>
  </si>
  <si>
    <t>28S ribosomal protein S14, mitochondrial</t>
  </si>
  <si>
    <t>Coiled-coil domain-containing protein 22</t>
  </si>
  <si>
    <t>Isoform 2 of Polyglutamine-binding protein 1</t>
  </si>
  <si>
    <t>H/ACA ribonucleoprotein complex subunit 4</t>
  </si>
  <si>
    <t>Eukaryotic translation initiation factor 5B</t>
  </si>
  <si>
    <t>Endothelial differentiation-related factor 1</t>
  </si>
  <si>
    <t>DnaJ homolog subfamily A member 2</t>
  </si>
  <si>
    <t>Bromodomain-containing protein 4</t>
  </si>
  <si>
    <t>Isoform C of Protein CutA</t>
  </si>
  <si>
    <t>Isoform 2 of F-box-like/WD repeat-containing protein TBL1X</t>
  </si>
  <si>
    <t>Checkpoint protein HUS1</t>
  </si>
  <si>
    <t>Prefoldin subunit 1</t>
  </si>
  <si>
    <t>Protein phosphatase 1 regulatory subunit 11</t>
  </si>
  <si>
    <t>Nibrin</t>
  </si>
  <si>
    <t>mRNA-capping enzyme</t>
  </si>
  <si>
    <t>Isoform 12 of Microphthalmia-associated transcription factor</t>
  </si>
  <si>
    <t>SLIT-ROBO Rho GTPase-activating protein 2</t>
  </si>
  <si>
    <t>DENN domain-containing protein 4B</t>
  </si>
  <si>
    <t>WD repeat-containing protein 1</t>
  </si>
  <si>
    <t>Slit homolog 3 protein</t>
  </si>
  <si>
    <t>NEDD4-binding protein 1</t>
  </si>
  <si>
    <t>Rho-associated protein kinase 2</t>
  </si>
  <si>
    <t>Copine-3</t>
  </si>
  <si>
    <t>Isoform 3 of Autophagy-related protein 13</t>
  </si>
  <si>
    <t>Huntingtin-interacting protein 1-related protein</t>
  </si>
  <si>
    <t>E3 ubiquitin-protein ligase BRE1B</t>
  </si>
  <si>
    <t>Lysine-specific demethylase PHF2</t>
  </si>
  <si>
    <t>Zinc finger CCCH domain-containing protein 11A</t>
  </si>
  <si>
    <t>Isoform 2 of TSC22 domain family protein 2</t>
  </si>
  <si>
    <t>Lysine-specific demethylase 4A</t>
  </si>
  <si>
    <t>DnaJ homolog subfamily C member 13</t>
  </si>
  <si>
    <t>Isoform 4 of Serine/threonine-protein phosphatase 6 regulatory subunit 2</t>
  </si>
  <si>
    <t>CCR4-NOT transcription complex subunit 3</t>
  </si>
  <si>
    <t>Isoform 2 of Ankyrin repeat domain-containing protein 17</t>
  </si>
  <si>
    <t>DnaJ homolog subfamily B member 6</t>
  </si>
  <si>
    <t>Xylulose kinase</t>
  </si>
  <si>
    <t>Ubiquinone biosynthesis protein COQ9, mitochondrial</t>
  </si>
  <si>
    <t>Gamma-glutamylcyclotransferase</t>
  </si>
  <si>
    <t>Zinc finger protein ZPR1</t>
  </si>
  <si>
    <t>Protein NipSnap homolog 2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</si>
  <si>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</si>
  <si>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</si>
  <si>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</si>
  <si>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</si>
  <si>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</si>
  <si>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Zinc finger protein 217</t>
  </si>
  <si>
    <t>Isoform 1 of Core histone macro-H2A.1</t>
  </si>
  <si>
    <t>SH3 domain-binding glutamic acid-rich-like protein</t>
  </si>
  <si>
    <t>Isoform 8 of Filamin-B</t>
  </si>
  <si>
    <t>NADH dehydrogenase [ubiquinone] iron-sulfur protein 6, mitochondrial</t>
  </si>
  <si>
    <t>Serine/threonine-protein kinase ULK1</t>
  </si>
  <si>
    <t>Vesicle-trafficking protein SEC22b</t>
  </si>
  <si>
    <t>Isoform 2 of Pre-mRNA-processing factor 40 homolog A</t>
  </si>
  <si>
    <t>Isoform 7 of Transforming acidic coiled-coil-containing protein 1</t>
  </si>
  <si>
    <t>Isoform 2 of Cell division control protein 45 homolog</t>
  </si>
  <si>
    <t>PERQ amino acid-rich with GYF domain-containing protein 1</t>
  </si>
  <si>
    <t>Vacuolar protein sorting-associated protein 26A</t>
  </si>
  <si>
    <t>Mitochondrial-processing peptidase subunit beta</t>
  </si>
  <si>
    <t>Katanin p60 ATPase-containing subunit A1</t>
  </si>
  <si>
    <t>PC4 and SFRS1-interacting protein</t>
  </si>
  <si>
    <t>Ceroid-lipofuscinosis neuronal protein 5</t>
  </si>
  <si>
    <t>Heat shock factor-binding protein 1</t>
  </si>
  <si>
    <t>Isoform 2 of Enoyl-CoA delta isomerase 2, mitochondrial</t>
  </si>
  <si>
    <t>Isoform 3 of 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</si>
  <si>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</si>
  <si>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</si>
  <si>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</si>
  <si>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</si>
  <si>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Ribosomal protein S6 kinase alpha-5</t>
  </si>
  <si>
    <t>Nucleoplasmin-3</t>
  </si>
  <si>
    <t>Isoform 2 of Acyl-protein thioesterase 1</t>
  </si>
  <si>
    <t>Protein CREG1</t>
  </si>
  <si>
    <t>U5 small nuclear ribonucleoprotein 200 kDa helicase</t>
  </si>
  <si>
    <t>TIP41-like protein</t>
  </si>
  <si>
    <t>Surfeit locus protein 6</t>
  </si>
  <si>
    <t>Protein phosphatase 1B</t>
  </si>
  <si>
    <t>Small subunit processome component 20 homolog</t>
  </si>
  <si>
    <t>WD repeat and HMG-box DNA-binding protein 1</t>
  </si>
  <si>
    <t>Isoform 5 of DNA repair protein RAD51 homolog 4</t>
  </si>
  <si>
    <t>Paralemmin-1</t>
  </si>
  <si>
    <t>Ribonuclease H2 subunit A</t>
  </si>
  <si>
    <t>Cell division cycle protein 123 homolog</t>
  </si>
  <si>
    <t>Calpain-15</t>
  </si>
  <si>
    <t>Breast cancer anti-estrogen resistance protein 3</t>
  </si>
  <si>
    <t>Isoform 2 of Ribonuclease P protein subunit p40</t>
  </si>
  <si>
    <t>Eukaryotic translation initiation factor 3 subunit G</t>
  </si>
  <si>
    <t>Eukaryotic translation initiation factor 3 subunit J</t>
  </si>
  <si>
    <t>Carbonyl reductase [NADPH] 3</t>
  </si>
  <si>
    <t>AP-1 complex subunit gamma-like 2</t>
  </si>
  <si>
    <t>Trafficking protein particle complex subunit 6A</t>
  </si>
  <si>
    <t>Isocitrate dehydrogenase [NADP] cytoplasmic</t>
  </si>
  <si>
    <t>Isoform 2 of Attractin</t>
  </si>
  <si>
    <t>Putative hydrolase RBBP9</t>
  </si>
  <si>
    <t>Signal transducing adapter molecule 2</t>
  </si>
  <si>
    <t>Tumor suppressor candidate 2</t>
  </si>
  <si>
    <t>Cyclin-K</t>
  </si>
  <si>
    <t>PRA1 family protein 3</t>
  </si>
  <si>
    <t>Isoform 3 of E3 SUMO-protein ligase PIAS2</t>
  </si>
  <si>
    <t>Pre-mRNA-splicing factor SPF27</t>
  </si>
  <si>
    <t>Dynactin subunit 3</t>
  </si>
  <si>
    <t>DnaJ homolog subfamily C member 8</t>
  </si>
  <si>
    <t>Survival of motor neuron-related-splicing factor 30</t>
  </si>
  <si>
    <t>Triple functional domain protein</t>
  </si>
  <si>
    <t>Isoform 3 of Multiple PDZ domain protein</t>
  </si>
  <si>
    <t>Glutaredoxin-3</t>
  </si>
  <si>
    <t>Ribosomal L1 domain-containing protein 1</t>
  </si>
  <si>
    <t>Wolframin</t>
  </si>
  <si>
    <t>ATP-dependent Clp protease ATP-binding subunit clpX-like, mitochondrial</t>
  </si>
  <si>
    <t>Isoform 2 of Nebulette</t>
  </si>
  <si>
    <t>SEC14-like protein 2</t>
  </si>
  <si>
    <t>Gamma-synuclein</t>
  </si>
  <si>
    <t>Probable cytosolic iron-sulfur protein assembly protein CIAO1</t>
  </si>
  <si>
    <t>AN1-type zinc finger protein 5</t>
  </si>
  <si>
    <t>Isoform 5 of Regulator of G-protein signaling 20</t>
  </si>
  <si>
    <t>Signal recognition particle subunit SRP72</t>
  </si>
  <si>
    <t>Decapping and exoribonuclease protein</t>
  </si>
  <si>
    <t>N(G),N(G)-dimethylarginine dimethylaminohydrolase 1</t>
  </si>
  <si>
    <t>ATP-dependent DNA helicase Q4</t>
  </si>
  <si>
    <t>Unconventional prefoldin RPB5 interactor 1</t>
  </si>
  <si>
    <t>Isoform 4 of Unconventional prefoldin RPB5 interactor 1</t>
  </si>
  <si>
    <t>Metastasis-associated protein MTA2</t>
  </si>
  <si>
    <t>Ubiquitin carboxyl-terminal hydrolase 1</t>
  </si>
  <si>
    <t>Isoform 4 of Retinal dehydrogenase 2</t>
  </si>
  <si>
    <t>Serine/threonine-protein kinase 10</t>
  </si>
  <si>
    <t>Serine/threonine-protein kinase D3</t>
  </si>
  <si>
    <t>Glutamine--fructose-6-phosphate aminotransferase [isomerizing] 2</t>
  </si>
  <si>
    <t>Tubulin polymerization-promoting protein</t>
  </si>
  <si>
    <t>Ubiquitin-like protein ATG12</t>
  </si>
  <si>
    <t>Kelch repeat and BTB domain-containing protein 11</t>
  </si>
  <si>
    <t>E3 ubiquitin-protein ligase listerin</t>
  </si>
  <si>
    <t>Mitochondrial import receptor subunit TOM70</t>
  </si>
  <si>
    <t>Importin-13</t>
  </si>
  <si>
    <t>Phospholipase DDHD2</t>
  </si>
  <si>
    <t>Isoform 5 of Protein-methionine sulfoxide oxidase MICAL2</t>
  </si>
  <si>
    <t>Isoform 2 of Uncharacterized protein KIAA0754</t>
  </si>
  <si>
    <t>Protein transport protein Sec24D</t>
  </si>
  <si>
    <t>Isoform 2 of STAGA complex 65 subunit gamma</t>
  </si>
  <si>
    <t>FCH and double SH3 domains protein 2</t>
  </si>
  <si>
    <t>E3 UFM1-protein ligase 1</t>
  </si>
  <si>
    <t>PHD finger protein 14</t>
  </si>
  <si>
    <t>SAM and SH3 domain-containing protein 1</t>
  </si>
  <si>
    <t>FERM, RhoGEF and pleckstrin domain-containing protein 2</t>
  </si>
  <si>
    <t>UBX domain-containing protein 7</t>
  </si>
  <si>
    <t>Kelch-like protein 18</t>
  </si>
  <si>
    <t>Proline synthase co-transcribed bacterial homolog protein</t>
  </si>
  <si>
    <t>Isoform 2 of Pre-mRNA-processing factor 6</t>
  </si>
  <si>
    <t>Dickkopf-related protein 1</t>
  </si>
  <si>
    <t>Pre-mRNA cleavage complex 2 protein Pcf11</t>
  </si>
  <si>
    <t>Nuclear factor of activated T-cells 5</t>
  </si>
  <si>
    <t>Glutaminase kidney isoform, mitochondrial</t>
  </si>
  <si>
    <t>Isoform 3 of Glutaminase kidney isoform, mitochondrial</t>
  </si>
  <si>
    <t>HAUS augmin-like complex subunit 5</t>
  </si>
  <si>
    <t>Isoform 2 of RING finger protein 37</t>
  </si>
  <si>
    <t>Isoform 2 of F-box only protein 21</t>
  </si>
  <si>
    <t>Isoform 2 of Protein SOGA1</t>
  </si>
  <si>
    <t>Isoform 7 of Ubiquitin carboxyl-terminal hydrolase 19</t>
  </si>
  <si>
    <t>Isoform 2 of WD repeat-containing protein 47</t>
  </si>
  <si>
    <t>Isoform 2 of E3 ubiquitin-protein ligase TRIM37</t>
  </si>
  <si>
    <t>AP-2 complex subunit alpha-2</t>
  </si>
  <si>
    <t>Protein HEXIM1</t>
  </si>
  <si>
    <t>Ribonuclease P protein subunit p14</t>
  </si>
  <si>
    <t>G2/mitotic-specific cyclin-B2</t>
  </si>
  <si>
    <t>Arf-GAP domain and FG repeat-containing protein 2</t>
  </si>
  <si>
    <t>Splicing factor, arginine/serine-rich 15</t>
  </si>
  <si>
    <t>Snurportin-1</t>
  </si>
  <si>
    <t>Isoform 2 of Ubiquitin conjugation factor E4 B</t>
  </si>
  <si>
    <t>Elongator complex protein 1</t>
  </si>
  <si>
    <t>Isoform 7 of Reticulon-3</t>
  </si>
  <si>
    <t>LETM1 and EF-hand domain-containing protein 1, mitochondrial</t>
  </si>
  <si>
    <t>Muscleblind-like 2 (Drosophila), isoform CRA_b</t>
  </si>
  <si>
    <t>Isoform 2 of Zinc finger Ran-binding domain-containing protein 2</t>
  </si>
  <si>
    <t>Sorting nexin-4</t>
  </si>
  <si>
    <t>Homeobox protein VENTX</t>
  </si>
  <si>
    <t>Luc7-like protein 3</t>
  </si>
  <si>
    <t>Kinesin-like protein KIF20A</t>
  </si>
  <si>
    <t>Chromosome-associated kinesin KIF4A</t>
  </si>
  <si>
    <t>Isoform 3 of Methyl-CpG-binding domain protein 4</t>
  </si>
  <si>
    <t>Myotubularin-related protein 5</t>
  </si>
  <si>
    <t>Golgi SNAP receptor complex member 1</t>
  </si>
  <si>
    <t>Isoform 4 of Histone acetyltransferase KAT7</t>
  </si>
  <si>
    <t>Cyclin-D1-binding protein 1</t>
  </si>
  <si>
    <t>Vesicle-associated membrane protein-associated protein B/C</t>
  </si>
  <si>
    <t>SNARE-associated protein Snapin</t>
  </si>
  <si>
    <t>Isoform 4 of Myelin protein zero-like protein 1</t>
  </si>
  <si>
    <t>Peptidyl-prolyl cis-trans isomerase FKBP9</t>
  </si>
  <si>
    <t>6-phosphogluconolactonase</t>
  </si>
  <si>
    <t>Bifunctional 3-phosphoadenosine 5-phosphosulfate synthase 2</t>
  </si>
  <si>
    <t>Structural maintenance of chromosomes protein 2</t>
  </si>
  <si>
    <t>Ubiquitin-like modifier-activating enzyme ATG7</t>
  </si>
  <si>
    <t>Tripartite motif-containing protein 16</t>
  </si>
  <si>
    <t>Zinc finger and BTB domain-containing protein 7A</t>
  </si>
  <si>
    <t>Acyl-protein thioesterase 2</t>
  </si>
  <si>
    <t>Importin-7</t>
  </si>
  <si>
    <t>E3 ubiquitin-protein ligase ARIH2</t>
  </si>
  <si>
    <t>Isoform 3 of Tumor necrosis factor alpha-induced protein 8</t>
  </si>
  <si>
    <t>Pre-mRNA-splicing factor SLU7</t>
  </si>
  <si>
    <t>Phosphoacetylglucosamine mutase</t>
  </si>
  <si>
    <t>Adenylyltransferase and sulfurtransferase MOCS3</t>
  </si>
  <si>
    <t>Urotensin-2</t>
  </si>
  <si>
    <t>CD2 antigen cytoplasmic tail-binding protein 2</t>
  </si>
  <si>
    <t>Mediator of RNA polymerase II transcription subunit 26</t>
  </si>
  <si>
    <t>Zinc finger FYVE domain-containing protein 9</t>
  </si>
  <si>
    <t>Supervillin</t>
  </si>
  <si>
    <t>Isoform 2 of BAG family molecular chaperone regulator 4</t>
  </si>
  <si>
    <t>Activator of 90 kDa heat shock protein ATPase homolog 1</t>
  </si>
  <si>
    <t>Isoform 2 of Poly(A)-specific ribonuclease PARN</t>
  </si>
  <si>
    <t>Proteasome assembly chaperone 1</t>
  </si>
  <si>
    <t>Formin-like protein 1</t>
  </si>
  <si>
    <t>GDH/6PGL endoplasmic bifunctional protein</t>
  </si>
  <si>
    <t>Protein transport protein Sec24A</t>
  </si>
  <si>
    <t>Isoform 2 of Protein transport protein Sec24B</t>
  </si>
  <si>
    <t>NAD kinase</t>
  </si>
  <si>
    <t>Tyrosyl-DNA phosphodiesterase 2</t>
  </si>
  <si>
    <t>Histidine protein methyltransferase 1 homolog</t>
  </si>
  <si>
    <t>Protein ETHE1, mitochondrial</t>
  </si>
  <si>
    <t>DNA-directed RNA polymerase I subunit RPA1</t>
  </si>
  <si>
    <t>YEATS domain-containing protein 4</t>
  </si>
  <si>
    <t>tRNA-dihydrouridine(20a/20b) synthase [NAD(P)+]-like</t>
  </si>
  <si>
    <t>Isoform 3 of CCR4-NOT transcription complex subunit 4</t>
  </si>
  <si>
    <t>STAM-binding protein</t>
  </si>
  <si>
    <t>Isoform 2 of N-acetylserotonin O-methyltransferase-like protein</t>
  </si>
  <si>
    <t>FGFR1 oncogene partner</t>
  </si>
  <si>
    <t>Protein phosphatase 1 regulatory subunit 3D</t>
  </si>
  <si>
    <t>Ribonuclease P protein subunit p29</t>
  </si>
  <si>
    <t>E3 ubiquitin-protein ligase HERC2</t>
  </si>
  <si>
    <t>Ras-related protein Rab-3D</t>
  </si>
  <si>
    <t>Synaptosomal-associated protein 29</t>
  </si>
  <si>
    <t>Serine/threonine-protein kinase OSR1</t>
  </si>
  <si>
    <t>Geranylgeranyl pyrophosphate synthase</t>
  </si>
  <si>
    <t>Heat shock 70 kDa protein 4L</t>
  </si>
  <si>
    <t>Isoform 1 of Polypyrimidine tract-binding protein 3</t>
  </si>
  <si>
    <t>TBC1 domain family member 8</t>
  </si>
  <si>
    <t>N-alpha-acetyltransferase 38, NatC auxiliary subunit</t>
  </si>
  <si>
    <t>Isoform B of AP-2 complex subunit alpha-1</t>
  </si>
  <si>
    <t>Isoform 2 of Probable ATP-dependent RNA helicase DDX58</t>
  </si>
  <si>
    <t>Tetratricopeptide repeat protein 4</t>
  </si>
  <si>
    <t>Serum deprivation-response protein</t>
  </si>
  <si>
    <t>BAG family molecular chaperone regulator 2</t>
  </si>
  <si>
    <t>BAG family molecular chaperone regulator 3</t>
  </si>
  <si>
    <t>Quinone oxidoreductase-like protein 1</t>
  </si>
  <si>
    <t>Isoform 3 of Apoptosis-inducing factor 1, mitochondrial</t>
  </si>
  <si>
    <t>Chloride intracellular channel protein 3</t>
  </si>
  <si>
    <t>Isoform 2 of Echinoderm microtubule-associated protein-like 2</t>
  </si>
  <si>
    <t>Serine/threonine-protein kinase LATS1</t>
  </si>
  <si>
    <t>Uridine diphosphate glucose pyrophosphatase</t>
  </si>
  <si>
    <t>3(2),5-bisphosphate nucleotidase 1</t>
  </si>
  <si>
    <t>N(G),N(G)-dimethylarginine dimethylaminohydrolase 2</t>
  </si>
  <si>
    <t>Thioredoxin domain-containing protein 12</t>
  </si>
  <si>
    <t>Protein SGT1</t>
  </si>
  <si>
    <t>Pre-mRNA-splicing factor SYF2</t>
  </si>
  <si>
    <t>DNA topoisomerase 3-beta-1</t>
  </si>
  <si>
    <t>Diphosphoinositol polyphosphate phosphohydrolase 1</t>
  </si>
  <si>
    <t>Anterior gradient protein 2 homolog</t>
  </si>
  <si>
    <t>Securin</t>
  </si>
  <si>
    <t>B-cell lymphoma/leukemia 10</t>
  </si>
  <si>
    <t>Zinc finger BED domain-containing protein 1</t>
  </si>
  <si>
    <t>Molybdopterin synthase catalytic subunit</t>
  </si>
  <si>
    <t>Serine/threonine-protein kinase PAK 4</t>
  </si>
  <si>
    <t>Serine/threonine-protein kinase Chk2</t>
  </si>
  <si>
    <t>Actin-like protein 6A</t>
  </si>
  <si>
    <t>Histone-lysine N-methyltransferase NSD2</t>
  </si>
  <si>
    <t>Molybdopterin synthase sulfur carrier subunit</t>
  </si>
  <si>
    <t>Alcohol dehydrogenase 1B</t>
  </si>
  <si>
    <t>L-lactate dehydrogenase A chain</t>
  </si>
  <si>
    <t>Retinal dehydrogenase 1</t>
  </si>
  <si>
    <t>Dihydrofolate reductase</t>
  </si>
  <si>
    <t>Isoform 2 of NADH-cytochrome b5 reductase 3</t>
  </si>
  <si>
    <t>Isoform Cytoplasmic of Glutathione reductase, mitochondrial</t>
  </si>
  <si>
    <t>Ceruloplasmin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</si>
  <si>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</si>
  <si>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</si>
  <si>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</si>
  <si>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</si>
  <si>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Epidermal growth factor receptor</t>
  </si>
  <si>
    <t>Phosphoglycerate kinase 1</t>
  </si>
  <si>
    <t>Adenylate kinase isoenzyme 1</t>
  </si>
  <si>
    <t>Adenosine deaminase</t>
  </si>
  <si>
    <t>Argininosuccinate synthase</t>
  </si>
  <si>
    <t>Alpha-1-antitrypsin</t>
  </si>
  <si>
    <t>Alpha-2-macroglobulin</t>
  </si>
  <si>
    <t>Complement C3</t>
  </si>
  <si>
    <t>Cystatin-C</t>
  </si>
  <si>
    <t>Isoform 3 of Kininogen-1</t>
  </si>
  <si>
    <t>GTPase NRas</t>
  </si>
  <si>
    <t>Isoform 2B of GTPase KRas</t>
  </si>
  <si>
    <t>Isoform 3 of Low-density lipoprotein receptor</t>
  </si>
  <si>
    <t>Transforming growth factor beta-1</t>
  </si>
  <si>
    <t>Ig gamma-2 chain C region</t>
  </si>
  <si>
    <t>Collagen alpha-1(I) chain</t>
  </si>
  <si>
    <t>Collagen alpha-1(IV) chain</t>
  </si>
  <si>
    <t>Prelamin-A/C</t>
  </si>
  <si>
    <t>Isoform C of Prelamin-A/C</t>
  </si>
  <si>
    <t>Apolipoprotein A-I</t>
  </si>
  <si>
    <t>Apolipoprotein C-III</t>
  </si>
  <si>
    <t>Isoform 12 of Fibronectin</t>
  </si>
  <si>
    <t>Alpha-1-acid glycoprotein 1</t>
  </si>
  <si>
    <t>Alpha-2-HS-glycoprotein</t>
  </si>
  <si>
    <t>Alpha-fetoprotein</t>
  </si>
  <si>
    <t>Vitamin D-binding protein</t>
  </si>
  <si>
    <t>Transferrin receptor protein 1</t>
  </si>
  <si>
    <t>Hemopexin</t>
  </si>
  <si>
    <t>Ferritin heavy chain</t>
  </si>
  <si>
    <t>Metallothionein-2</t>
  </si>
  <si>
    <t>Tissue alpha-L-fucosidase</t>
  </si>
  <si>
    <t>Fructose-bisphosphate aldolase A</t>
  </si>
  <si>
    <t>Cystatin-B</t>
  </si>
  <si>
    <t>Annexin A1</t>
  </si>
  <si>
    <t>Apolipoprotein B-100</t>
  </si>
  <si>
    <t>Isoform Beta of Glucocorticoid receptor</t>
  </si>
  <si>
    <t>Isoform 2 of Major prion protein</t>
  </si>
  <si>
    <t>Ornithine aminotransferase, mitochondrial</t>
  </si>
  <si>
    <t>Thymidine kinase, cytosolic</t>
  </si>
  <si>
    <t>Keratin, type II cytoskeletal 6B</t>
  </si>
  <si>
    <t>Keratin, type II cytoskeletal 1</t>
  </si>
  <si>
    <t>Tubulin beta-4A chain</t>
  </si>
  <si>
    <t>Glyceraldehyde-3-phosphate dehydrogenase</t>
  </si>
  <si>
    <t>Argininosuccinate lyase</t>
  </si>
  <si>
    <t>Isoform 4 of Receptor tyrosine-protein kinase erbB-2</t>
  </si>
  <si>
    <t>Calpain small subunit 1</t>
  </si>
  <si>
    <t>Metallothionein-1A</t>
  </si>
  <si>
    <t>Metallothionein-1F</t>
  </si>
  <si>
    <t>Heat shock protein beta-1</t>
  </si>
  <si>
    <t>Thymidylate synthase</t>
  </si>
  <si>
    <t>Guanine nucleotide-binding protein G(i) subunit alpha-2</t>
  </si>
  <si>
    <t>Isoform B1 of Anion exchange protein 2</t>
  </si>
  <si>
    <t>Aldehyde dehydrogenase, mitochondrial</t>
  </si>
  <si>
    <t>Non-histone chromosomal protein HMG-14</t>
  </si>
  <si>
    <t>Plasminogen activator inhibitor 1</t>
  </si>
  <si>
    <t>Ubiquitin-like protein ISG15</t>
  </si>
  <si>
    <t>Isoform 2 of Propionyl-CoA carboxylase alpha chain, mitochondrial</t>
  </si>
  <si>
    <t>Non-histone chromosomal protein HMG-17</t>
  </si>
  <si>
    <t>60S acidic ribosomal protein P1</t>
  </si>
  <si>
    <t>60S acidic ribosomal protein P2</t>
  </si>
  <si>
    <t>60S acidic ribosomal protein P0</t>
  </si>
  <si>
    <t>Transcription factor AP-1</t>
  </si>
  <si>
    <t>DNA-directed RNA polymerase III subunit RPC4</t>
  </si>
  <si>
    <t>Lupus La protein</t>
  </si>
  <si>
    <t>Integrin beta-1</t>
  </si>
  <si>
    <t>Keratin, type I cytoskeletal 18</t>
  </si>
  <si>
    <t>Keratin, type II cytoskeletal 8</t>
  </si>
  <si>
    <t>Beta-casein</t>
  </si>
  <si>
    <t>Isoform MLC3 of Myosin light chain 1/3, skeletal muscle isoform</t>
  </si>
  <si>
    <t>Collagen alpha-2(V) chain</t>
  </si>
  <si>
    <t>Uroporphyrinogen decarboxylase</t>
  </si>
  <si>
    <t>Alpha-galactosidase A</t>
  </si>
  <si>
    <t>Retinoblastoma-associated protein</t>
  </si>
  <si>
    <t>Cyclin-dependent kinase 1</t>
  </si>
  <si>
    <t>ATP synthase subunit beta, mitochondrial</t>
  </si>
  <si>
    <t>Eukaryotic translation initiation factor 4E</t>
  </si>
  <si>
    <t>Alpha-enolase</t>
  </si>
  <si>
    <t>Isoform 2 of Glycogen phosphorylase, liver form</t>
  </si>
  <si>
    <t>Glucose-6-phosphate isomerase</t>
  </si>
  <si>
    <t>Nucleophosmin</t>
  </si>
  <si>
    <t>Isoform 2 of Tropomyosin alpha-3 chain</t>
  </si>
  <si>
    <t>Isoform 3 of Tropomyosin alpha-3 chain</t>
  </si>
  <si>
    <t>Isoform 3 of Integrin alpha-V</t>
  </si>
  <si>
    <t>Beta-hexosaminidase subunit alpha</t>
  </si>
  <si>
    <t>Isoform 2 of Glia-derived nexin</t>
  </si>
  <si>
    <t>Acyl-CoA-binding protein</t>
  </si>
  <si>
    <t>Fatty acid-binding protein, liver</t>
  </si>
  <si>
    <t>L-lactate dehydrogenase B chain</t>
  </si>
  <si>
    <t>Major centromere autoantigen B</t>
  </si>
  <si>
    <t>Glutathione peroxidase 1</t>
  </si>
  <si>
    <t>Thrombomodulin</t>
  </si>
  <si>
    <t>Phosphoglycerate kinase 2</t>
  </si>
  <si>
    <t>Protein disulfide-isomerase</t>
  </si>
  <si>
    <t>Isoform 2 of Histone H1.0</t>
  </si>
  <si>
    <t>Acylphosphatase-1</t>
  </si>
  <si>
    <t>Annexin A2</t>
  </si>
  <si>
    <t>Calpain-1 catalytic subunit</t>
  </si>
  <si>
    <t>Kappa-casein</t>
  </si>
  <si>
    <t>Proactivator polypeptide</t>
  </si>
  <si>
    <t>Beta-hexosaminidase subunit beta</t>
  </si>
  <si>
    <t>Cathepsin L1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</si>
  <si>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</si>
  <si>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</si>
  <si>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</si>
  <si>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</si>
  <si>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</si>
  <si>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</si>
  <si>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</si>
  <si>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Cytochrome b-c1 complex subunit 6, mitochondrial</t>
  </si>
  <si>
    <t>Laminin subunit beta-1</t>
  </si>
  <si>
    <t>Tyrosine-protein kinase Yes</t>
  </si>
  <si>
    <t>Tropomyosin beta chain</t>
  </si>
  <si>
    <t>Isoform 2 of Tropomyosin beta chain</t>
  </si>
  <si>
    <t>Isoform Cytoplasmic of Fumarate hydratase, mitochondrial</t>
  </si>
  <si>
    <t>DNA excision repair protein ERCC-1</t>
  </si>
  <si>
    <t>Thrombospondin-1</t>
  </si>
  <si>
    <t>Transcription factor Sp1</t>
  </si>
  <si>
    <t>Heat shock 70 kDa protein 1A/1B</t>
  </si>
  <si>
    <t>Annexin A6</t>
  </si>
  <si>
    <t>Isoform 2 of 4F2 cell-surface antigen heavy chain</t>
  </si>
  <si>
    <t>6-phosphofructokinase, muscle type</t>
  </si>
  <si>
    <t>Heat shock protein HSP 90-beta</t>
  </si>
  <si>
    <t>Isoform 2 of Signal recognition particle receptor subunit alpha</t>
  </si>
  <si>
    <t>Isoform 2 of Asparagine synthetase [glutamine-hydrolyzing]</t>
  </si>
  <si>
    <t>Isoform 2 of Porphobilinogen deaminase</t>
  </si>
  <si>
    <t>Isoform 3 of Pyruvate dehydrogenase E1 component subunit alpha, somatic form, mitochondrial</t>
  </si>
  <si>
    <t>Collagen alpha-2(IV) chain</t>
  </si>
  <si>
    <t>U2 small nuclear ribonucleoprotein B</t>
  </si>
  <si>
    <t>Hepatocyte growth factor receptor</t>
  </si>
  <si>
    <t>Melanotransferrin</t>
  </si>
  <si>
    <t>U1 small nuclear ribonucleoprotein 70 kDa</t>
  </si>
  <si>
    <t>Isoform 1 of Nuclear factor 1 C-type</t>
  </si>
  <si>
    <t>Vimentin</t>
  </si>
  <si>
    <t>Keratin, type I cytoskeletal 19</t>
  </si>
  <si>
    <t>Keratin, type II cytoskeletal 7</t>
  </si>
  <si>
    <t>Guanine nucleotide-binding protein G(k) subunit alpha</t>
  </si>
  <si>
    <t>Keratin, type I cytoskeletal 16</t>
  </si>
  <si>
    <t>U1 small nuclear ribonucleoprotein A</t>
  </si>
  <si>
    <t>Isoform 3 of Fibroblast growth factor 2</t>
  </si>
  <si>
    <t>3-ketoacyl-CoA thiolase, peroxisomal</t>
  </si>
  <si>
    <t>Signal recognition particle 19 kDa protein</t>
  </si>
  <si>
    <t>U1 small nuclear ribonucleoprotein C</t>
  </si>
  <si>
    <t>Galectin-1</t>
  </si>
  <si>
    <t>Dihydropteridine reductase</t>
  </si>
  <si>
    <t>High mobility group protein B1</t>
  </si>
  <si>
    <t>Retinol-binding protein 1</t>
  </si>
  <si>
    <t>Isoform 10 of Tropomyosin alpha-1 chain</t>
  </si>
  <si>
    <t>Isoform 3 of Tropomyosin alpha-1 chain</t>
  </si>
  <si>
    <t>Isoform 9 of Tropomyosin alpha-1 chain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</si>
  <si>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</si>
  <si>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</si>
  <si>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</si>
  <si>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</si>
  <si>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Heme oxygenase 1</t>
  </si>
  <si>
    <t>Dihydrolipoyl dehydrogenase, mitochondrial</t>
  </si>
  <si>
    <t>U2 small nuclear ribonucleoprotein A</t>
  </si>
  <si>
    <t>Pro-cathepsin H</t>
  </si>
  <si>
    <t>Poly [ADP-ribose] polymerase 1</t>
  </si>
  <si>
    <t>DNA polymerase alpha catalytic subunit</t>
  </si>
  <si>
    <t>Ubiquitin carboxyl-terminal hydrolase isozyme L1</t>
  </si>
  <si>
    <t>Leukotriene A-4 hydrolase</t>
  </si>
  <si>
    <t>Fructose-bisphosphate aldolase C</t>
  </si>
  <si>
    <t>Ataxin-1-like</t>
  </si>
  <si>
    <t>DNA-directed RNA polymerase II subunit GRINL1A</t>
  </si>
  <si>
    <t>Chromosome transmission fidelity protein 8 homolog isoform 2</t>
  </si>
  <si>
    <t>Thymosin beta-15B</t>
  </si>
  <si>
    <t>40S ribosomal protein S17-like</t>
  </si>
  <si>
    <t>Trafficking protein particle complex subunit 2 protein TRAPPC2P1</t>
  </si>
  <si>
    <t>Ras-related protein Rab-34, isoform NARR</t>
  </si>
  <si>
    <t>Zinc finger protein GLI2</t>
  </si>
  <si>
    <t>Zinc finger protein GLI4</t>
  </si>
  <si>
    <t>Adrenodoxin, mitochondrial</t>
  </si>
  <si>
    <t>60 kDa SS-A/Ro ribonucleoprotein</t>
  </si>
  <si>
    <t>Lysosomal alpha-glucosidase</t>
  </si>
  <si>
    <t>Ras-related protein R-Ras</t>
  </si>
  <si>
    <t>Serine/threonine-protein kinase A-Raf</t>
  </si>
  <si>
    <t>Histone H1.4</t>
  </si>
  <si>
    <t>Isoform 5 of Osteopontin</t>
  </si>
  <si>
    <t>Dihydrolipoyllysine-residue acetyltransferase component of pyruvate dehydrogenase complex, mitochondrial</t>
  </si>
  <si>
    <t>Isoform 2 of Receptor-type tyrosine-protein phosphatase F</t>
  </si>
  <si>
    <t>Cytochrome c oxidase subunit 5B, mitochondrial</t>
  </si>
  <si>
    <t>Lysosomal protective protein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</si>
  <si>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</si>
  <si>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</si>
  <si>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</si>
  <si>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</si>
  <si>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Isoform 4 of Clusterin</t>
  </si>
  <si>
    <t>78 kDa glucose-regulated protein</t>
  </si>
  <si>
    <t>Laminin subunit gamma-1</t>
  </si>
  <si>
    <t>Lysosomal acid phosphatase</t>
  </si>
  <si>
    <t>Isoform 3 of Microtubule-associated protein 2</t>
  </si>
  <si>
    <t>Heat shock cognate 71 kDa protein</t>
  </si>
  <si>
    <t>Isoform 3 of Protein 4.1</t>
  </si>
  <si>
    <t>Uridine 5-monophosphate synthase</t>
  </si>
  <si>
    <t>Isoform 3 of 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</si>
  <si>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</si>
  <si>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</si>
  <si>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Ras-related protein Ral-A</t>
  </si>
  <si>
    <t>Breakpoint cluster region protein</t>
  </si>
  <si>
    <t>Lysosome-associated membrane glycoprotein 1</t>
  </si>
  <si>
    <t>Medium-chain specific acyl-CoA dehydrogenase, mitochondrial</t>
  </si>
  <si>
    <t>DNA topoisomerase 1</t>
  </si>
  <si>
    <t>DNA topoisomerase 2-alpha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</si>
  <si>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</si>
  <si>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</si>
  <si>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</si>
  <si>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</si>
  <si>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</si>
  <si>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</si>
  <si>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</si>
  <si>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Ribose-phosphate pyrophosphokinase 2</t>
  </si>
  <si>
    <t>Ornithine decarboxylase</t>
  </si>
  <si>
    <t>Polyadenylate-binding protein 1</t>
  </si>
  <si>
    <t>Proliferating cell nuclear antigen</t>
  </si>
  <si>
    <t>Collagen alpha-1(VI) chain</t>
  </si>
  <si>
    <t>Nucleoprotein TPR</t>
  </si>
  <si>
    <t>Creatine kinase B-type</t>
  </si>
  <si>
    <t>Annexin A3</t>
  </si>
  <si>
    <t>Creatine kinase U-type, mitochondrial</t>
  </si>
  <si>
    <t>2-oxoisovalerate dehydrogenase subunit alpha, mitochondrial</t>
  </si>
  <si>
    <t>Alpha-actinin-1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</si>
  <si>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</si>
  <si>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</si>
  <si>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</si>
  <si>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</si>
  <si>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Uracil-DNA glycosylase</t>
  </si>
  <si>
    <t>Nuclear receptor subfamily 2 group C member 1</t>
  </si>
  <si>
    <t>Ribonuclease inhibitor</t>
  </si>
  <si>
    <t>Cytochrome b-245 light chain</t>
  </si>
  <si>
    <t>Elongation factor 2</t>
  </si>
  <si>
    <t>Keratin, type II cytoskeletal 5</t>
  </si>
  <si>
    <t>Protein disulfide-isomerase A4</t>
  </si>
  <si>
    <t>Isoform 2 of Prolyl 4-hydroxylase subunit alpha-1</t>
  </si>
  <si>
    <t>Translationally-controlled tumor protein</t>
  </si>
  <si>
    <t>Plastin-3</t>
  </si>
  <si>
    <t>Acylamino-acid-releasing enzyme</t>
  </si>
  <si>
    <t>Electron transfer flavoprotein subunit alpha, mitochondrial</t>
  </si>
  <si>
    <t>Isoform 2 of Glycogen [starch] synthase, muscle</t>
  </si>
  <si>
    <t>cAMP-dependent protein kinase type II-alpha regulatory subunit</t>
  </si>
  <si>
    <t>Annexin A8</t>
  </si>
  <si>
    <t>Beta-enolase</t>
  </si>
  <si>
    <t>General transcription factor IIF subunit 2</t>
  </si>
  <si>
    <t>Bifunctional methylenetetrahydrofolate dehydrogenase/cyclohydrolase, mitochondrial</t>
  </si>
  <si>
    <t>Macrophage migration inhibitory factor</t>
  </si>
  <si>
    <t>Isoform 2 of Glucosidase 2 subunit beta</t>
  </si>
  <si>
    <t>Isoform 2 of Farnesyl pyrophosphate synthase</t>
  </si>
  <si>
    <t>Alcohol dehydrogenase [NADP(+)]</t>
  </si>
  <si>
    <t>Pyruvate kinase isozymes M1/M2</t>
  </si>
  <si>
    <t>Isoform M1 of Pyruvate kinase isozymes M1/M2</t>
  </si>
  <si>
    <t>Acylphosphatase-2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</si>
  <si>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</si>
  <si>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</si>
  <si>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</si>
  <si>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</si>
  <si>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</si>
  <si>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</si>
  <si>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</si>
  <si>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</si>
  <si>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Cytochrome b-c1 complex subunit 7</t>
  </si>
  <si>
    <t>Serine/threonine-protein kinase B-raf</t>
  </si>
  <si>
    <t>Aldose reductase</t>
  </si>
  <si>
    <t>Isoform Gamma of Poliovirus receptor</t>
  </si>
  <si>
    <t>Isoform 2 of Eukaryotic peptide chain release factor GTP-binding subunit ERF3A</t>
  </si>
  <si>
    <t>Interleukin-9</t>
  </si>
  <si>
    <t>Arylsulfatase A</t>
  </si>
  <si>
    <t>Ezrin</t>
  </si>
  <si>
    <t>Ubiquitin carboxyl-terminal hydrolase isozyme L3</t>
  </si>
  <si>
    <t>15-hydroxyprostaglandin dehydrogenase [NAD(+)]</t>
  </si>
  <si>
    <t>Isoform K of Membrane cofactor protein</t>
  </si>
  <si>
    <t>Nucleoside diphosphate kinase A</t>
  </si>
  <si>
    <t>Isoform 2 of Phosphorylase b kinase gamma catalytic chain, liver/testis isoform</t>
  </si>
  <si>
    <t>Zinc finger protein 40</t>
  </si>
  <si>
    <t>Arylsulfatase B</t>
  </si>
  <si>
    <t>40S ribosomal protein S2</t>
  </si>
  <si>
    <t>N-chimaerin</t>
  </si>
  <si>
    <t>Desmoplakin</t>
  </si>
  <si>
    <t>Replication protein A 32 kDa subunit</t>
  </si>
  <si>
    <t>Isoform 18 of CD44 antigen</t>
  </si>
  <si>
    <t>Isoform Beta-4D of Integrin beta-4</t>
  </si>
  <si>
    <t>Carbonyl reductase [NADPH] 1</t>
  </si>
  <si>
    <t>Isoform Er10 of Ankyrin-1</t>
  </si>
  <si>
    <t>Isoform CREB-B of Cyclic AMP-responsive element-binding protein 1</t>
  </si>
  <si>
    <t>Isoform 3 of Beta-galactosidase</t>
  </si>
  <si>
    <t>Serine/threonine-protein phosphatase 2B catalytic subunit beta isoform</t>
  </si>
  <si>
    <t>Cytoplasmic protein NCK1</t>
  </si>
  <si>
    <t>GC-rich sequence DNA-binding factor 2</t>
  </si>
  <si>
    <t>Histone H1.5</t>
  </si>
  <si>
    <t>Histone H1.2</t>
  </si>
  <si>
    <t>Methylated-DNA--protein-cysteine methyltransferase</t>
  </si>
  <si>
    <t>1-phosphatidylinositol 4,5-bisphosphate phosphodiesterase gamma-2</t>
  </si>
  <si>
    <t>Fumarylacetoacetase</t>
  </si>
  <si>
    <t>Y-box-binding protein 3</t>
  </si>
  <si>
    <t>Isoform 2 of Y-box-binding protein 3</t>
  </si>
  <si>
    <t>Zinc finger protein 24</t>
  </si>
  <si>
    <t>Zinc finger protein with KRAB and SCAN domains 1</t>
  </si>
  <si>
    <t>Zinc finger protein 30</t>
  </si>
  <si>
    <t>Alpha-N-acetylgalactosaminidase</t>
  </si>
  <si>
    <t>Heat shock 70 kDa protein 6</t>
  </si>
  <si>
    <t>High mobility group protein HMG-I/HMG-Y</t>
  </si>
  <si>
    <t>Zinc finger protein 8</t>
  </si>
  <si>
    <t>Aspartate aminotransferase, cytoplasmic</t>
  </si>
  <si>
    <t>Protein kinase C alpha type</t>
  </si>
  <si>
    <t>Transcription factor jun-B</t>
  </si>
  <si>
    <t>Gap junction alpha-1 protein</t>
  </si>
  <si>
    <t>Isoform UBF2 of Nucleolar transcription factor 1</t>
  </si>
  <si>
    <t>Aldo-keto reductase family 1 member C4</t>
  </si>
  <si>
    <t>Transcription factor jun-D</t>
  </si>
  <si>
    <t>Isoform 4 of Cyclic AMP-dependent transcription factor ATF-7</t>
  </si>
  <si>
    <t>cAMP-dependent protein kinase catalytic subunit alpha</t>
  </si>
  <si>
    <t>Calpain-2 catalytic subunit</t>
  </si>
  <si>
    <t>Isoform PTPA of Tyrosine-protein phosphatase non-receptor type 2</t>
  </si>
  <si>
    <t>S-adenosylmethionine decarboxylase proenzyme</t>
  </si>
  <si>
    <t>CTP synthase 1</t>
  </si>
  <si>
    <t>6-phosphofructokinase, liver type</t>
  </si>
  <si>
    <t>Ganglioside GM2 activator</t>
  </si>
  <si>
    <t>Galectin-3</t>
  </si>
  <si>
    <t>T-complex protein 1 subunit alpha</t>
  </si>
  <si>
    <t>Tyrosine-protein phosphatase non-receptor type 1</t>
  </si>
  <si>
    <t>Insulin-like growth factor-binding protein 2</t>
  </si>
  <si>
    <t>60S ribosomal protein L35a</t>
  </si>
  <si>
    <t>Integrin beta-5</t>
  </si>
  <si>
    <t>ADP-ribosylation factor 4</t>
  </si>
  <si>
    <t>60S ribosomal protein L7</t>
  </si>
  <si>
    <t>Isoform 1 of Vinculin</t>
  </si>
  <si>
    <t>Glutathione peroxidase 2</t>
  </si>
  <si>
    <t>Arylamine N-acetyltransferase 1</t>
  </si>
  <si>
    <t>Isoform J of Protein SON</t>
  </si>
  <si>
    <t>Negative elongation factor E</t>
  </si>
  <si>
    <t>Phosphoglycerate mutase 1</t>
  </si>
  <si>
    <t>Syndecan-1</t>
  </si>
  <si>
    <t>Cyclic AMP-dependent transcription factor ATF-1</t>
  </si>
  <si>
    <t>DNA ligase 1</t>
  </si>
  <si>
    <t>DNA repair protein XRCC1</t>
  </si>
  <si>
    <t>Myosin regulatory light chain 12A</t>
  </si>
  <si>
    <t>Isoform 2 of 1-phosphatidylinositol 4,5-bisphosphate phosphodiesterase gamma-1</t>
  </si>
  <si>
    <t>Nucleolin</t>
  </si>
  <si>
    <t>Isoform 4 of Hexokinase-1</t>
  </si>
  <si>
    <t>DNA-directed RNA polymerase II subunit RPB3</t>
  </si>
  <si>
    <t>DNA-directed RNA polymerases I, II, and III subunit RPABC1</t>
  </si>
  <si>
    <t>NADH dehydrogenase [ubiquinone] flavoprotein 2, mitochondrial</t>
  </si>
  <si>
    <t>ETS domain-containing protein Elk-1</t>
  </si>
  <si>
    <t>Gamma-glutamyltranspeptidase 1</t>
  </si>
  <si>
    <t>TFIIH basal transcription factor complex helicase XPB subunit</t>
  </si>
  <si>
    <t>Interferon-induced, double-stranded RNA-activated protein kinase</t>
  </si>
  <si>
    <t>Transcription factor E3</t>
  </si>
  <si>
    <t>Spermidine synthase</t>
  </si>
  <si>
    <t>Bile salt-activated lipase</t>
  </si>
  <si>
    <t>Nuclear factor NF-kappa-B p105 subunit</t>
  </si>
  <si>
    <t>Thymidine phosphorylase</t>
  </si>
  <si>
    <t>Eukaryotic translation initiation factor 2 subunit 2</t>
  </si>
  <si>
    <t>Cyclin-A2</t>
  </si>
  <si>
    <t>Transcription factor BTF3</t>
  </si>
  <si>
    <t>Isoform 2 of Transcription factor BTF3</t>
  </si>
  <si>
    <t>Ras-related protein Rab-3B</t>
  </si>
  <si>
    <t>Ras-related protein Rab-4A</t>
  </si>
  <si>
    <t>Isoform 2 of Ras-related protein Rab-6A</t>
  </si>
  <si>
    <t>DNA mismatch repair protein Msh3</t>
  </si>
  <si>
    <t>Proteasome subunit beta type-1</t>
  </si>
  <si>
    <t>Cytochrome c oxidase subunit 5A, mitochondrial</t>
  </si>
  <si>
    <t>Lamin-B1</t>
  </si>
  <si>
    <t>Pregnancy zone protein</t>
  </si>
  <si>
    <t>B-cell lymphoma 3 protein</t>
  </si>
  <si>
    <t>Isoform 5 of Calpastatin</t>
  </si>
  <si>
    <t>Isoform 6 of Calpastatin</t>
  </si>
  <si>
    <t>Isoform 2 of Inosine-5-monophosphate dehydrogenase 1</t>
  </si>
  <si>
    <t>Collagen alpha-1(V) chain</t>
  </si>
  <si>
    <t>Isoform 2 of Ras GTPase-activating protein 1</t>
  </si>
  <si>
    <t>Parathymosin</t>
  </si>
  <si>
    <t>Isoform 8 of Cyclin-dependent kinase 11B</t>
  </si>
  <si>
    <t>Glutathione S-transferase Mu 3</t>
  </si>
  <si>
    <t>V-type proton ATPase subunit B, brain isoform</t>
  </si>
  <si>
    <t>V-type proton ATPase subunit C 1</t>
  </si>
  <si>
    <t>Cysteine and glycine-rich protein 1</t>
  </si>
  <si>
    <t>Isoform 2 of Filamin-A</t>
  </si>
  <si>
    <t>Isoform 1 of Neurofibromin</t>
  </si>
  <si>
    <t>Cytoplasmic aconitate hydratase</t>
  </si>
  <si>
    <t>Serine--pyruvate aminotransferase</t>
  </si>
  <si>
    <t>Tumor necrosis factor alpha-induced protein 3</t>
  </si>
  <si>
    <t>2-oxoisovalerate dehydrogenase subunit beta, mitochondrial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</si>
  <si>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</si>
  <si>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</si>
  <si>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</si>
  <si>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</si>
  <si>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Protein-L-isoaspartate(D-aspartate) O-methyltransferase</t>
  </si>
  <si>
    <t>rRNA 2-O-methyltransferase fibrillarin</t>
  </si>
  <si>
    <t>Trifunctional purine biosynthetic protein adenosine-3</t>
  </si>
  <si>
    <t>Isoform 7 of Non-specific lipid-transfer protein</t>
  </si>
  <si>
    <t>Ubiquitin-like modifier-activating enzyme 1</t>
  </si>
  <si>
    <t>Isoform 3 of Nucleoside diphosphate kinase B</t>
  </si>
  <si>
    <t>Heterogeneous nuclear ribonucleoproteins A2/B1</t>
  </si>
  <si>
    <t>MHC class II regulatory factor RFX1</t>
  </si>
  <si>
    <t>Calretinin</t>
  </si>
  <si>
    <t>E3 ubiquitin-protein ligase CBL</t>
  </si>
  <si>
    <t>Insulin-like growth factor-binding protein 4</t>
  </si>
  <si>
    <t>cAMP-dependent protein kinase catalytic subunit beta</t>
  </si>
  <si>
    <t>Ferrochelatase, mitochondrial</t>
  </si>
  <si>
    <t>Macrophage mannose receptor 1</t>
  </si>
  <si>
    <t>DNA repair protein complementing XP-A cells</t>
  </si>
  <si>
    <t>Isoform 3 of Liver carboxylesterase 1</t>
  </si>
  <si>
    <t>Isoform B of Fibulin-1</t>
  </si>
  <si>
    <t>Transcription elongation factor A protein 1</t>
  </si>
  <si>
    <t>Splicing factor, proline- and glutamine-rich</t>
  </si>
  <si>
    <t>Tubulin gamma-1 chain</t>
  </si>
  <si>
    <t>Peptidyl-prolyl cis-trans isomerase B</t>
  </si>
  <si>
    <t>NAD-dependent malic enzyme, mitochondrial</t>
  </si>
  <si>
    <t>Glycine dehydrogenase [decarboxylating], mitochondrial</t>
  </si>
  <si>
    <t>Tryptophan--tRNA ligase, cytoplasmic</t>
  </si>
  <si>
    <t>40S ribosomal protein S3</t>
  </si>
  <si>
    <t>Myogenic factor 6</t>
  </si>
  <si>
    <t>Glycine cleavage system H protein, mitochondrial</t>
  </si>
  <si>
    <t>Tyrosine-protein kinase JAK1</t>
  </si>
  <si>
    <t>Nuclear autoantigen Sp-100</t>
  </si>
  <si>
    <t>Isoform Short of Nuclear transcription factor Y subunit alpha</t>
  </si>
  <si>
    <t>Adenosylhomocysteinase</t>
  </si>
  <si>
    <t>Cofilin-1</t>
  </si>
  <si>
    <t>Eukaryotic translation initiation factor 4B</t>
  </si>
  <si>
    <t>Factor VIII intron 22 protein</t>
  </si>
  <si>
    <t>Diacylglycerol kinase alpha</t>
  </si>
  <si>
    <t>Thymidylate kinase</t>
  </si>
  <si>
    <t>Ribonucleoside-diphosphate reductase large subunit</t>
  </si>
  <si>
    <t>G1/S-specific cyclin-D1</t>
  </si>
  <si>
    <t>Elongation factor 1-beta</t>
  </si>
  <si>
    <t>A-kinase anchor protein 5</t>
  </si>
  <si>
    <t>Low molecular weight phosphotyrosine protein phosphatase</t>
  </si>
  <si>
    <t>Isoform 2 of Low molecular weight phosphotyrosine protein phosphatase</t>
  </si>
  <si>
    <t>Acetyl-CoA acetyltransferase, mitochondrial</t>
  </si>
  <si>
    <t>Myosin regulatory light polypeptide 9</t>
  </si>
  <si>
    <t>DNA-directed RNA polymerase II subunit RPB1</t>
  </si>
  <si>
    <t>Cyclin-dependent kinase 2</t>
  </si>
  <si>
    <t>Isoform Short of Adenomatous polyposis coli protein</t>
  </si>
  <si>
    <t>Beta-adrenergic receptor kinase 1</t>
  </si>
  <si>
    <t>DNA replication licensing factor MCM3</t>
  </si>
  <si>
    <t>40S ribosomal protein S12</t>
  </si>
  <si>
    <t>Transcriptional repressor protein YY1</t>
  </si>
  <si>
    <t>DnaJ homolog subfamily B member 1</t>
  </si>
  <si>
    <t>DnaJ homolog subfamily B member 2</t>
  </si>
  <si>
    <t>ATP synthase subunit alpha, mitochondrial</t>
  </si>
  <si>
    <t>Isoform 2 of Cathepsin S</t>
  </si>
  <si>
    <t>Proteasome subunit alpha type-1</t>
  </si>
  <si>
    <t>Proteasome subunit alpha type-2</t>
  </si>
  <si>
    <t>Isoform 2 of Proteasome subunit alpha type-3</t>
  </si>
  <si>
    <t>Proteasome subunit alpha type-4</t>
  </si>
  <si>
    <t>Protein S100-P</t>
  </si>
  <si>
    <t>Moesin</t>
  </si>
  <si>
    <t>Tyrosine-protein phosphatase non-receptor type 3</t>
  </si>
  <si>
    <t>Probable ATP-dependent RNA helicase DDX6</t>
  </si>
  <si>
    <t>DNA (cytosine-5)-methyltransferase 1</t>
  </si>
  <si>
    <t>Isoform 2 of DNA (cytosine-5)-methyltransferase 1</t>
  </si>
  <si>
    <t>Isoform 2 of Splicing factor U2AF 65 kDa subunit</t>
  </si>
  <si>
    <t>60S ribosomal protein L13</t>
  </si>
  <si>
    <t>Rab proteins geranylgeranyltransferase component A 2</t>
  </si>
  <si>
    <t>Isovaleryl-CoA dehydrogenase, mitochondrial</t>
  </si>
  <si>
    <t>Protein S100-A4</t>
  </si>
  <si>
    <t>High mobility group protein B2</t>
  </si>
  <si>
    <t>Polypyrimidine tract-binding protein 1</t>
  </si>
  <si>
    <t>Threonine--tRNA ligase, cytoplasmic</t>
  </si>
  <si>
    <t>Valine--tRNA ligase</t>
  </si>
  <si>
    <t>Elongation factor 1-gamma</t>
  </si>
  <si>
    <t>Tristetraprolin</t>
  </si>
  <si>
    <t>Peptidyl-prolyl cis-trans isomerase FKBP2</t>
  </si>
  <si>
    <t>GTP:AMP phosphotransferase AK4, mitochondrial</t>
  </si>
  <si>
    <t>14-3-3 protein theta</t>
  </si>
  <si>
    <t>Mitogen-activated protein kinase 3</t>
  </si>
  <si>
    <t>Isoform 7 of MAP/microtubule affinity-regulating kinase 3</t>
  </si>
  <si>
    <t>Isoform 2 of Aryl hydrocarbon receptor nuclear translocator</t>
  </si>
  <si>
    <t>60S ribosomal protein L10</t>
  </si>
  <si>
    <t>Replication protein A 70 kDa DNA-binding subunit</t>
  </si>
  <si>
    <t>DNA-(apurinic or apyrimidinic site) lyase</t>
  </si>
  <si>
    <t>Deoxycytidine kinase</t>
  </si>
  <si>
    <t>Calreticulin</t>
  </si>
  <si>
    <t>Calnexin</t>
  </si>
  <si>
    <t>Phosphatidylinositol 3-kinase regulatory subunit alpha</t>
  </si>
  <si>
    <t>Inositol-trisphosphate 3-kinase B</t>
  </si>
  <si>
    <t>Isoform 2 of 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</si>
  <si>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</si>
  <si>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</si>
  <si>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</si>
  <si>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</si>
  <si>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</si>
  <si>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Isoform 4 of NADH-ubiquinone oxidoreductase 75 kDa subunit, mitochondrial</t>
  </si>
  <si>
    <t>DNA polymerase delta catalytic subunit</t>
  </si>
  <si>
    <t>Mitogen-activated protein kinase 1</t>
  </si>
  <si>
    <t>Dual specificity protein phosphatase 1</t>
  </si>
  <si>
    <t>Retinoic acid receptor RXR-beta</t>
  </si>
  <si>
    <t>DNA repair protein complementing XP-G cells</t>
  </si>
  <si>
    <t>Retinoblastoma-like protein 1</t>
  </si>
  <si>
    <t>Granulins</t>
  </si>
  <si>
    <t>Isoform 2 of Cytosol aminopeptidase</t>
  </si>
  <si>
    <t>Protein S100-A2</t>
  </si>
  <si>
    <t>General transcription factor IIE subunit 1</t>
  </si>
  <si>
    <t>Transcription initiation factor IIE subunit beta</t>
  </si>
  <si>
    <t>Tripeptidyl-peptidase 2</t>
  </si>
  <si>
    <t>Inositol monophosphatase 1</t>
  </si>
  <si>
    <t>Isoform 2 of Ephrin type-B receptor 2</t>
  </si>
  <si>
    <t>Tyrosine-protein phosphatase non-receptor type 6</t>
  </si>
  <si>
    <t>SHC-transforming protein 1</t>
  </si>
  <si>
    <t>Isoform 6 of SHC-transforming protein 1</t>
  </si>
  <si>
    <t>Isoform 4 of DNA-3-methyladenine glycosylase</t>
  </si>
  <si>
    <t>Cellular retinoic acid-binding protein 2</t>
  </si>
  <si>
    <t>Transketolase</t>
  </si>
  <si>
    <t>Protein PML</t>
  </si>
  <si>
    <t>Elongation factor 1-delta</t>
  </si>
  <si>
    <t>Isoform 2 of Elongation factor 1-delta</t>
  </si>
  <si>
    <t>Myristoylated alanine-rich C-kinase substrate</t>
  </si>
  <si>
    <t>Delta-1-pyrroline-5-carboxylate dehydrogenase, mitochondrial</t>
  </si>
  <si>
    <t>Phenazine biosynthesis-like domain-containing protein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</si>
  <si>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</si>
  <si>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</si>
  <si>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</si>
  <si>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</si>
  <si>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</si>
  <si>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</si>
  <si>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</si>
  <si>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</si>
  <si>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</si>
  <si>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</si>
  <si>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</si>
  <si>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</si>
  <si>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</si>
  <si>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Cell division cycle protein 27 homolog</t>
  </si>
  <si>
    <t>G1/S-specific cyclin-D3</t>
  </si>
  <si>
    <t>Isoform 2 of M-phase inducer phosphatase 3</t>
  </si>
  <si>
    <t>Peptidyl-prolyl cis-trans isomerase F, mitochondrial</t>
  </si>
  <si>
    <t>NK-tumor recognition protein</t>
  </si>
  <si>
    <t>Glycylpeptide N-tetradecanoyltransferase 1</t>
  </si>
  <si>
    <t>Heme oxygenase 2</t>
  </si>
  <si>
    <t>Adenylosuccinate synthetase isozyme 2</t>
  </si>
  <si>
    <t>Isoform Short of Tyrosine-protein kinase receptor UFO</t>
  </si>
  <si>
    <t>Alpha-2-macroglobulin receptor-associated protein</t>
  </si>
  <si>
    <t>Adenylosuccinate lyase</t>
  </si>
  <si>
    <t>Isoform L-type of Pyruvate kinase isozymes R/L</t>
  </si>
  <si>
    <t>CAP-Gly domain-containing linker protein 1</t>
  </si>
  <si>
    <t>Isoform 3 of CAP-Gly domain-containing linker protein 1</t>
  </si>
  <si>
    <t>Leukocyte elastase inhibitor</t>
  </si>
  <si>
    <t>Aldehyde dehydrogenase X, mitochondrial</t>
  </si>
  <si>
    <t>Aldehyde dehydrogenase, dimeric NADP-preferring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</si>
  <si>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</si>
  <si>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</si>
  <si>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</si>
  <si>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</si>
  <si>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</si>
  <si>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Carbamoyl-phosphate synthase [ammonia], mitochondrial</t>
  </si>
  <si>
    <t>Ribonucleoside-diphosphate reductase subunit M2</t>
  </si>
  <si>
    <t>DnaJ homolog subfamily A member 1</t>
  </si>
  <si>
    <t>RAC-alpha serine/threonine-protein kinase</t>
  </si>
  <si>
    <t>RAC-beta serine/threonine-protein kinase</t>
  </si>
  <si>
    <t>3-hydroxyisobutyrate dehydrogenase, mitochondrial</t>
  </si>
  <si>
    <t>Bifunctional purine biosynthesis protein PURH</t>
  </si>
  <si>
    <t>Isoform 2 of Heterogeneous nuclear ribonucleoprotein H3</t>
  </si>
  <si>
    <t>Heterogeneous nuclear ribonucleoprotein H</t>
  </si>
  <si>
    <t>14-3-3 protein beta/alpha</t>
  </si>
  <si>
    <t>Isoform Short of 14-3-3 protein beta/alpha</t>
  </si>
  <si>
    <t>14-3-3 protein sigma</t>
  </si>
  <si>
    <t>Stress-induced-phosphoprotein 1</t>
  </si>
  <si>
    <t>Protein S100-A11</t>
  </si>
  <si>
    <t>Isoform 3 of Type II inositol 1,4,5-trisphosphate 5-phosphatase</t>
  </si>
  <si>
    <t>Isoform 5 of Beta-arrestin-2</t>
  </si>
  <si>
    <t>Cytidine deaminase</t>
  </si>
  <si>
    <t>Isoform 2 of Deoxycytidylate deaminase</t>
  </si>
  <si>
    <t>Pyrroline-5-carboxylate reductase 1, mitochondrial</t>
  </si>
  <si>
    <t>Isoform 2 of ETS-related transcription factor Elf-1</t>
  </si>
  <si>
    <t>General transcription factor IIH subunit 1</t>
  </si>
  <si>
    <t>Cystathionine gamma-lyase</t>
  </si>
  <si>
    <t>60S ribosomal protein L9</t>
  </si>
  <si>
    <t>Kinesin-1 heavy chain</t>
  </si>
  <si>
    <t>Isoform 2 of Cleavage stimulation factor subunit 2</t>
  </si>
  <si>
    <t>Isoform 2 of Lymphocyte-specific protein 1</t>
  </si>
  <si>
    <t>Deoxyuridine 5-triphosphate nucleotidohydrolase, mitochondrial</t>
  </si>
  <si>
    <t>Isoform 2 of Deoxyuridine 5-triphosphate nucleotidohydrolase, mitochondrial</t>
  </si>
  <si>
    <t>Cyclin-dependent kinases regulatory subunit 2</t>
  </si>
  <si>
    <t>Protein S100-A3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</si>
  <si>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</si>
  <si>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</si>
  <si>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</si>
  <si>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</si>
  <si>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</si>
  <si>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Isoform 2 of Serine hydroxymethyltransferase, cytosolic</t>
  </si>
  <si>
    <t>Isoform 3 of Serine hydroxymethyltransferase, mitochondrial</t>
  </si>
  <si>
    <t>Bifunctional epoxide hydrolase 2</t>
  </si>
  <si>
    <t>Heat shock 70 kDa protein 1-like</t>
  </si>
  <si>
    <t>Heat shock 70 kDa protein 4</t>
  </si>
  <si>
    <t>Glypican-1</t>
  </si>
  <si>
    <t>Carbonic anhydrase-related protein</t>
  </si>
  <si>
    <t>Catenin alpha-1</t>
  </si>
  <si>
    <t>Serpin B6</t>
  </si>
  <si>
    <t>Isoform 5 of Merlin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</si>
  <si>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</si>
  <si>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</si>
  <si>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</si>
  <si>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</si>
  <si>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</si>
  <si>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</si>
  <si>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</si>
  <si>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</si>
  <si>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Cystathionine beta-synthase</t>
  </si>
  <si>
    <t>Fibrillin-2</t>
  </si>
  <si>
    <t>Insulin receptor substrate 1</t>
  </si>
  <si>
    <t>Glycogen debranching enzyme</t>
  </si>
  <si>
    <t>Myosin-9</t>
  </si>
  <si>
    <t>Myosin-10</t>
  </si>
  <si>
    <t>Isoform 4 of Myosin-10</t>
  </si>
  <si>
    <t>Coatomer subunit beta</t>
  </si>
  <si>
    <t>Isoform 2 of Alpha-adducin</t>
  </si>
  <si>
    <t>Beta-adducin</t>
  </si>
  <si>
    <t>Isoform Short of RNA-binding protein FUS</t>
  </si>
  <si>
    <t>Isoform 2 of Nuclear pore complex protein Nup214</t>
  </si>
  <si>
    <t>Isoform 4 of Nuclear pore complex protein Nup214</t>
  </si>
  <si>
    <t>Protein DEK</t>
  </si>
  <si>
    <t>Glutaredoxin-1</t>
  </si>
  <si>
    <t>Isoform 2 of Choline kinase alpha</t>
  </si>
  <si>
    <t>Protein phosphatase 1A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</si>
  <si>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</si>
  <si>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</si>
  <si>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</si>
  <si>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</si>
  <si>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</si>
  <si>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</si>
  <si>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</si>
  <si>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</si>
  <si>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Phosphoglucomutase-1</t>
  </si>
  <si>
    <t>Serine/threonine-protein phosphatase PP1-gamma catalytic subunit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</si>
  <si>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</si>
  <si>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</si>
  <si>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</si>
  <si>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</si>
  <si>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</si>
  <si>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</si>
  <si>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</si>
  <si>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Transgelin-2</t>
  </si>
  <si>
    <t>Transaldolase</t>
  </si>
  <si>
    <t>Electron transfer flavoprotein subunit beta</t>
  </si>
  <si>
    <t>RNA-binding motif protein, X chromosome</t>
  </si>
  <si>
    <t>Isoform 4 of Breast cancer type 1 susceptibility protein</t>
  </si>
  <si>
    <t>Coilin</t>
  </si>
  <si>
    <t>Isoform 2 of Lysosomal acid lipase/cholesteryl ester hydrolase</t>
  </si>
  <si>
    <t>V-type proton ATPase catalytic subunit A</t>
  </si>
  <si>
    <t>Stress-70 protein, mitochondrial</t>
  </si>
  <si>
    <t>Eukaryotic initiation factor 4A-III</t>
  </si>
  <si>
    <t>DNA-binding protein SMUBP-2</t>
  </si>
  <si>
    <t>Cyclin-dependent kinase inhibitor 1</t>
  </si>
  <si>
    <t>40S ribosomal protein S19</t>
  </si>
  <si>
    <t>60S ribosomal protein L3</t>
  </si>
  <si>
    <t>Isoform 3 of Collagen alpha-1(XVIII) chain</t>
  </si>
  <si>
    <t>Acidic leucine-rich nuclear phosphoprotein 32 family member A</t>
  </si>
  <si>
    <t>Flap endonuclease 1</t>
  </si>
  <si>
    <t>Isoform 3 of Homeobox protein cut-like 1</t>
  </si>
  <si>
    <t>Isoform 2 of Macrophage-capping protein</t>
  </si>
  <si>
    <t>Adenylyl cyclase-associated protein 2</t>
  </si>
  <si>
    <t>Isoform 3 of Interleukin-6 receptor subunit beta</t>
  </si>
  <si>
    <t>Carcinoembryonic antigen-related cell adhesion molecule 6</t>
  </si>
  <si>
    <t>Alpha-taxilin</t>
  </si>
  <si>
    <t>T-complex protein 1 subunit zeta</t>
  </si>
  <si>
    <t>Nicotinamide N-methyltransferase</t>
  </si>
  <si>
    <t>Proteasome subunit beta type-10</t>
  </si>
  <si>
    <t>Isoform 3 of Von Hippel-Lindau disease tumor suppressor</t>
  </si>
  <si>
    <t>Isoform PBX3d of Pre-B-cell leukemia transcription factor 3</t>
  </si>
  <si>
    <t>60S ribosomal protein L13a</t>
  </si>
  <si>
    <t>DNA mismatch repair protein Mlh1</t>
  </si>
  <si>
    <t>Signal transducer and activator of transcription 3</t>
  </si>
  <si>
    <t>Isoform Del-701 of 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</si>
  <si>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</si>
  <si>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</si>
  <si>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</si>
  <si>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</si>
  <si>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</si>
  <si>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</si>
  <si>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</si>
  <si>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Isoform ID-B of DNA-binding protein inhibitor ID-1</t>
  </si>
  <si>
    <t>ETS translocation variant 3</t>
  </si>
  <si>
    <t>Centrin-2</t>
  </si>
  <si>
    <t>Transcription factor ETV6</t>
  </si>
  <si>
    <t>Eukaryotic translation initiation factor 2D</t>
  </si>
  <si>
    <t>Protein BUD31 homolog</t>
  </si>
  <si>
    <t>Isoform 2 of N-alpha-acetyltransferase 10</t>
  </si>
  <si>
    <t>Isoform 2 of Lysine-specific demethylase 5C</t>
  </si>
  <si>
    <t>Protein phosphatase inhibitor 2</t>
  </si>
  <si>
    <t>Tyrosine-protein kinase CSK</t>
  </si>
  <si>
    <t>Glycine--tRNA ligase</t>
  </si>
  <si>
    <t>Isoleucine--tRNA ligase, cytoplasmic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</si>
  <si>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</si>
  <si>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</si>
  <si>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</si>
  <si>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</si>
  <si>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</si>
  <si>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</si>
  <si>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</si>
  <si>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</si>
  <si>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</si>
  <si>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</si>
  <si>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</si>
  <si>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</si>
  <si>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</si>
  <si>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Epidermal growth factor receptor substrate 15</t>
  </si>
  <si>
    <t>Caspase-3</t>
  </si>
  <si>
    <t>Caspase-2</t>
  </si>
  <si>
    <t>40S ribosomal protein S27</t>
  </si>
  <si>
    <t>Isoform 6 of Abelson tyrosine-protein kinase 2</t>
  </si>
  <si>
    <t>Condensin-2 complex subunit D3</t>
  </si>
  <si>
    <t>Leucine-rich PPR motif-containing protein, mitochondrial</t>
  </si>
  <si>
    <t>3-ketoacyl-CoA thiolase, mitochondrial</t>
  </si>
  <si>
    <t>60S ribosomal protein L35</t>
  </si>
  <si>
    <t>Cyclin-dependent kinase 4 inhibitor C</t>
  </si>
  <si>
    <t>Lysosomal Pro-X carboxypeptidase</t>
  </si>
  <si>
    <t>Huntingtin</t>
  </si>
  <si>
    <t>Platelet-activating factor acetylhydrolase IB subunit alpha</t>
  </si>
  <si>
    <t>Isoform 2 of Carnitine O-acetyltransferase</t>
  </si>
  <si>
    <t>Matrin-3</t>
  </si>
  <si>
    <t>DNA mismatch repair protein Msh2</t>
  </si>
  <si>
    <t>Aldehyde dehydrogenase family 3 member B1</t>
  </si>
  <si>
    <t>Tyrosine-protein phosphatase non-receptor type 9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</si>
  <si>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</si>
  <si>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</si>
  <si>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</si>
  <si>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</si>
  <si>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Peptidyl-prolyl cis-trans isomerase C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</si>
  <si>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</si>
  <si>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</si>
  <si>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</si>
  <si>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</si>
  <si>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Alpha-1 of Mitogen-activated protein kinase 9</t>
  </si>
  <si>
    <t>Dual specificity mitogen-activated protein kinase kinase 4</t>
  </si>
  <si>
    <t>Antigen KI-67</t>
  </si>
  <si>
    <t>Isoform Short of Antigen KI-67</t>
  </si>
  <si>
    <t>Phosphorylase b kinase regulatory subunit alpha, liver isoform</t>
  </si>
  <si>
    <t>Isoform 2 of Phosphorylase b kinase regulatory subunit alpha, skeletal muscle isoform</t>
  </si>
  <si>
    <t>Ran GTPase-activating protein 1</t>
  </si>
  <si>
    <t>ATP-dependent DNA helicase Q1</t>
  </si>
  <si>
    <t>Putative ribosomal RNA methyltransferase NOP2</t>
  </si>
  <si>
    <t>Isoform 3 of Transcriptional regulator ATRX</t>
  </si>
  <si>
    <t>Adapter molecule crk</t>
  </si>
  <si>
    <t>Crk-like protein</t>
  </si>
  <si>
    <t>Translation initiation factor IF-2, mitochondrial</t>
  </si>
  <si>
    <t>Cyclin-dependent kinase inhibitor 1B</t>
  </si>
  <si>
    <t>Dual specificity mitogen-activated protein kinase kinase 3</t>
  </si>
  <si>
    <t>Isoform 1 of Lys-63-specific deubiquitinase BRCC36</t>
  </si>
  <si>
    <t>60S ribosomal protein L5</t>
  </si>
  <si>
    <t>60S ribosomal protein L21</t>
  </si>
  <si>
    <t>60S ribosomal protein L28</t>
  </si>
  <si>
    <t>40S ribosomal protein S9</t>
  </si>
  <si>
    <t>40S ribosomal protein S10</t>
  </si>
  <si>
    <t>Microtubule-associated protein 1B</t>
  </si>
  <si>
    <t>Glucosamine-6-phosphate isomerase 1</t>
  </si>
  <si>
    <t>Isoform 2 of E3 ubiquitin-protein ligase NEDD4</t>
  </si>
  <si>
    <t>Isoform 4 of E3 ubiquitin-protein ligase NEDD4</t>
  </si>
  <si>
    <t>Yorkie homolog</t>
  </si>
  <si>
    <t>Isoform 2 of Yorkie homolog</t>
  </si>
  <si>
    <t>Utrophin</t>
  </si>
  <si>
    <t>Ras GTPase-activating-like protein IQGAP1</t>
  </si>
  <si>
    <t>Isoform GN-1 of Glycogenin-1</t>
  </si>
  <si>
    <t>Guanine nucleotide exchange factor MSS4</t>
  </si>
  <si>
    <t>Isoform 2 of Alpha-S1-casein</t>
  </si>
  <si>
    <t>Cytosolic phospholipase A2</t>
  </si>
  <si>
    <t>Rap1 GTPase-activating protein 1</t>
  </si>
  <si>
    <t>F-actin-capping protein subunit alpha-2</t>
  </si>
  <si>
    <t>Isoform 2 of F-actin-capping protein subunit beta</t>
  </si>
  <si>
    <t>Eukaryotic translation initiation factor 1A, X-chromosomal</t>
  </si>
  <si>
    <t>Aldehyde dehydrogenase family 1 member A3</t>
  </si>
  <si>
    <t>Glutamine--tRNA ligase</t>
  </si>
  <si>
    <t>60S ribosomal protein L29</t>
  </si>
  <si>
    <t>Galectin-7</t>
  </si>
  <si>
    <t>Zinc finger protein 36, C3H1 type-like 2</t>
  </si>
  <si>
    <t>Cytochrome b-c1 complex subunit Rieske, mitochondrial</t>
  </si>
  <si>
    <t>LIM and senescent cell antigen-like-containing domain protein 1</t>
  </si>
  <si>
    <t>Prolyl endopeptidase</t>
  </si>
  <si>
    <t>NADP-dependent malic enzyme</t>
  </si>
  <si>
    <t>Gamma-aminobutyric acid receptor subunit alpha-4</t>
  </si>
  <si>
    <t>Iron-responsive element-binding protein 2</t>
  </si>
  <si>
    <t>Isoform 3 of Transcription factor RFX3</t>
  </si>
  <si>
    <t>Transcription factor SOX-9</t>
  </si>
  <si>
    <t>Coatomer subunit delta</t>
  </si>
  <si>
    <t>Isoform 2 of Serine/threonine-protein phosphatase 2B catalytic subunit gamma isoform</t>
  </si>
  <si>
    <t>Glutamate--cysteine ligase catalytic subunit</t>
  </si>
  <si>
    <t>Glutamate--cysteine ligase regulatory subunit</t>
  </si>
  <si>
    <t>Nuclear receptor-interacting protein 1</t>
  </si>
  <si>
    <t>Trafficking protein particle complex subunit 10</t>
  </si>
  <si>
    <t>Protein PRRC2A</t>
  </si>
  <si>
    <t>Glutathione synthetase</t>
  </si>
  <si>
    <t>T-complex protein 1 subunit epsilon</t>
  </si>
  <si>
    <t>Nestin</t>
  </si>
  <si>
    <t>Heat shock 70 kDa protein 13</t>
  </si>
  <si>
    <t>Casein kinase I isoform alpha</t>
  </si>
  <si>
    <t>Isoform 2 of Casein kinase I isoform delta</t>
  </si>
  <si>
    <t>Isocitrate dehydrogenase [NADP], mitochondrial</t>
  </si>
  <si>
    <t>Phosphatidylinositol transfer protein beta isoform</t>
  </si>
  <si>
    <t>DNA polymerase delta subunit 2</t>
  </si>
  <si>
    <t>MARCKS-related protein</t>
  </si>
  <si>
    <t>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</si>
  <si>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</si>
  <si>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</si>
  <si>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</si>
  <si>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</si>
  <si>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Nuclear autoantigenic sperm protein</t>
  </si>
  <si>
    <t>Fatty acid synthase</t>
  </si>
  <si>
    <t>Protein farnesyltransferase/geranylgeranyltransferase type-1 subunit alpha</t>
  </si>
  <si>
    <t>Deoxyhypusine synthase</t>
  </si>
  <si>
    <t>T-complex protein 1 subunit gamma</t>
  </si>
  <si>
    <t>39S ribosomal protein L19, mitochondrial</t>
  </si>
  <si>
    <t>Isoform 1B of Beta-arrestin-1</t>
  </si>
  <si>
    <t>Elongation factor Tu, mitochondrial</t>
  </si>
  <si>
    <t>Isoform 2 of Alpha-aminoadipic semialdehyde dehydrogenase</t>
  </si>
  <si>
    <t>Ubiquitin-conjugating enzyme E2 R1</t>
  </si>
  <si>
    <t>Inositol polyphosphate 1-phosphatase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</si>
  <si>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</si>
  <si>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</si>
  <si>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</si>
  <si>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</si>
  <si>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</si>
  <si>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</si>
  <si>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</si>
  <si>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DNA primase small subunit</t>
  </si>
  <si>
    <t>DNA primase large subunit</t>
  </si>
  <si>
    <t>Isoform 2 of Caspase-4</t>
  </si>
  <si>
    <t>Casein kinase I isoform epsilon</t>
  </si>
  <si>
    <t>Transcriptional repressor CTCF</t>
  </si>
  <si>
    <t>Proteasome subunit beta type-3</t>
  </si>
  <si>
    <t>Proteasome subunit beta type-2</t>
  </si>
  <si>
    <t>DNA replication licensing factor MCM2</t>
  </si>
  <si>
    <t>Very long-chain specific acyl-CoA dehydrogenase, mitochondrial</t>
  </si>
  <si>
    <t>Isoform 4 of YLP motif-containing protein 1</t>
  </si>
  <si>
    <t>RNA-binding protein 25</t>
  </si>
  <si>
    <t>Isoform 4 of Protein numb homolog</t>
  </si>
  <si>
    <t>Translation initiation factor eIF-2B subunit beta</t>
  </si>
  <si>
    <t>Histidine triad nucleotide-binding protein 1</t>
  </si>
  <si>
    <t>Bis(5-adenosyl)-triphosphatase</t>
  </si>
  <si>
    <t>Nuclear pore complex protein Nup153</t>
  </si>
  <si>
    <t>E3 SUMO-protein ligase RanBP2</t>
  </si>
  <si>
    <t>Isoform 2 of NADH dehydrogenase [ubiquinone] flavoprotein 1, mitochondrial</t>
  </si>
  <si>
    <t>Glycogen synthase kinase-3 alpha</t>
  </si>
  <si>
    <t>Glycogen synthase kinase-3 beta</t>
  </si>
  <si>
    <t>Transcription initiation factor TFIID subunit 6</t>
  </si>
  <si>
    <t>Cytosolic purine 5-nucleotidase</t>
  </si>
  <si>
    <t>Selenide, water dikinase 1</t>
  </si>
  <si>
    <t>5-formyltetrahydrofolate cyclo-ligase</t>
  </si>
  <si>
    <t>GMP synthase [glutamine-hydrolyzing]</t>
  </si>
  <si>
    <t>DNA ligase 3</t>
  </si>
  <si>
    <t>Ketohexokinase</t>
  </si>
  <si>
    <t>Histamine N-methyltransferase</t>
  </si>
  <si>
    <t>Isocitrate dehydrogenase [NAD] subunit alpha, mitochondrial</t>
  </si>
  <si>
    <t>Motor neuron and pancreas homeobox protein 1</t>
  </si>
  <si>
    <t>Sulfotransferase 1A3/1A4</t>
  </si>
  <si>
    <t>Cysteine-rich protein 1</t>
  </si>
  <si>
    <t>Protoporphyrinogen oxidase</t>
  </si>
  <si>
    <t>Rab GDP dissociation inhibitor beta</t>
  </si>
  <si>
    <t>Emerin</t>
  </si>
  <si>
    <t>Isoform 2 of Glycine amidinotransferase, mitochondrial</t>
  </si>
  <si>
    <t>Serpin B8</t>
  </si>
  <si>
    <t>Serpin B9</t>
  </si>
  <si>
    <t>Serpin H1</t>
  </si>
  <si>
    <t>Hsc70-interacting protein</t>
  </si>
  <si>
    <t>Peroxisomal targeting signal 1 receptor</t>
  </si>
  <si>
    <t>Vasodilator-stimulated phosphoprotein</t>
  </si>
  <si>
    <t>Isoform 2 of Dynamin-2</t>
  </si>
  <si>
    <t>Isoform 3 of Dynamin-2</t>
  </si>
  <si>
    <t>Methionine aminopeptidase 2</t>
  </si>
  <si>
    <t>Bis(5-nucleosyl)-tetraphosphatase [asymmetrical]</t>
  </si>
  <si>
    <t>Cyclin-dependent kinase 7</t>
  </si>
  <si>
    <t>Biotin--protein ligase</t>
  </si>
  <si>
    <t>Kinetochore-associated protein 1</t>
  </si>
  <si>
    <t>Ras association domain-containing protein 2</t>
  </si>
  <si>
    <t>Cyclin-dependent kinase 9</t>
  </si>
  <si>
    <t>Lipopolysaccharide-responsive and beige-like anchor protein</t>
  </si>
  <si>
    <t>Basal cell adhesion molecule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</si>
  <si>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</si>
  <si>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</si>
  <si>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</si>
  <si>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</si>
  <si>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</si>
  <si>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</si>
  <si>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</si>
  <si>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</si>
  <si>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Rab-13</t>
  </si>
  <si>
    <t>Isoform 3 of Ras-related protein Rab-28</t>
  </si>
  <si>
    <t>Gastrotropin</t>
  </si>
  <si>
    <t>1-phosphatidylinositol 4,5-bisphosphate phosphodiesterase delta-1</t>
  </si>
  <si>
    <t>Death-associated protein 1</t>
  </si>
  <si>
    <t>Isoform 2 of 28S ribosomal protein S29, mitochondrial</t>
  </si>
  <si>
    <t>Dual specificity protein phosphatase 3</t>
  </si>
  <si>
    <t>Isoform 4 of RNA-binding protein Nova-1</t>
  </si>
  <si>
    <t>Isoform 3 of DNA replication ATP-dependent helicase/nuclease DNA2</t>
  </si>
  <si>
    <t>Isoform Short of Probable global transcription activator SNF2L2</t>
  </si>
  <si>
    <t>Isocitrate dehydrogenase [NAD] subunit gamma, mitochondrial</t>
  </si>
  <si>
    <t>Galactokinase</t>
  </si>
  <si>
    <t>Thiopurine S-methyltransferase</t>
  </si>
  <si>
    <t>Breast cancer type 2 susceptibility protein</t>
  </si>
  <si>
    <t>Cytochrome P450 2J2</t>
  </si>
  <si>
    <t>Methyl-CpG-binding protein 2</t>
  </si>
  <si>
    <t>Host cell factor 1</t>
  </si>
  <si>
    <t>Isoform 4 of Host cell factor 1</t>
  </si>
  <si>
    <t>Interleukin-1 receptor-associated kinase 1</t>
  </si>
  <si>
    <t>Succinate-semialdehyde dehydrogenase, mitochondrial</t>
  </si>
  <si>
    <t>Peroxisomal multifunctional enzyme type 2</t>
  </si>
  <si>
    <t>26S proteasome non-ATPase regulatory subunit 7</t>
  </si>
  <si>
    <t>Ubiquitin-conjugating enzyme E2 D1</t>
  </si>
  <si>
    <t>N-sulphoglucosamine sulphohydrolase</t>
  </si>
  <si>
    <t>Signal transducer and activator of transcription 5B</t>
  </si>
  <si>
    <t>Dynein light chain Tctex-type 3</t>
  </si>
  <si>
    <t>Ribosomal protein S6 kinase alpha-3</t>
  </si>
  <si>
    <t>cAMP-dependent protein kinase catalytic subunit PRKX</t>
  </si>
  <si>
    <t>Isoform 2 of AF4/FMR2 family member 1</t>
  </si>
  <si>
    <t>Isoform 2 of 3-oxo-5-beta-steroid 4-dehydrogenase</t>
  </si>
  <si>
    <t>Hepatoma-derived growth factor</t>
  </si>
  <si>
    <t>CDK-activating kinase assembly factor MAT1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</si>
  <si>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</si>
  <si>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</si>
  <si>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</si>
  <si>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</si>
  <si>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</si>
  <si>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</si>
  <si>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Isoform 4 of Rap1 GTPase-GDP dissociation stimulator 1</t>
  </si>
  <si>
    <t>Dual specificity mitogen-activated protein kinase kinase 6</t>
  </si>
  <si>
    <t>Rho GDP-dissociation inhibitor 1</t>
  </si>
  <si>
    <t>Isoform 2 of Arf-GAP domain and FG repeat-containing protein 1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</si>
  <si>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</si>
  <si>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</si>
  <si>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</si>
  <si>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</si>
  <si>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</si>
  <si>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Kinesin-like protein KIF11</t>
  </si>
  <si>
    <t>Isoform 3 of Guanine nucleotide exchange factor VAV2</t>
  </si>
  <si>
    <t>Isoform 2 of Zinc finger protein 131</t>
  </si>
  <si>
    <t>Isoform 2 of Zinc finger protein 143</t>
  </si>
  <si>
    <t>Ribonuclease UK114</t>
  </si>
  <si>
    <t>Spermine synthase</t>
  </si>
  <si>
    <t>39S ribosomal protein L12, mitochondrial</t>
  </si>
  <si>
    <t>Diacylglycerol kinase theta</t>
  </si>
  <si>
    <t>Thimet oligopeptidase</t>
  </si>
  <si>
    <t>Aldo-keto reductase family 1 member C2</t>
  </si>
  <si>
    <t>F-actin-capping protein subunit alpha-1</t>
  </si>
  <si>
    <t>Cysteine-rich protein 2</t>
  </si>
  <si>
    <t>Isoform 5 of Nuclear pore complex protein Nup98-Nup96</t>
  </si>
  <si>
    <t>Biliverdin reductase A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</si>
  <si>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</si>
  <si>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</si>
  <si>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</si>
  <si>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</si>
  <si>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</si>
  <si>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ATP-citrate synthase</t>
  </si>
  <si>
    <t>Isoform 2 of 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</si>
  <si>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</si>
  <si>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</si>
  <si>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</si>
  <si>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</si>
  <si>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</si>
  <si>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</si>
  <si>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</si>
  <si>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Isoform 2 of Clathrin heavy chain 2</t>
  </si>
  <si>
    <t>AP-2 complex subunit sigma</t>
  </si>
  <si>
    <t>Mitogen-activated protein kinase 12</t>
  </si>
  <si>
    <t>DNA-directed RNA polymerases I, II, and III subunit RPABC4</t>
  </si>
  <si>
    <t>Isoform B2 of Smoothelin</t>
  </si>
  <si>
    <t>Isoform 2 of IST1 homolog</t>
  </si>
  <si>
    <t>Protein transport protein Sec24C</t>
  </si>
  <si>
    <t>Activated RNA polymerase II transcriptional coactivator p15</t>
  </si>
  <si>
    <t>Arginine--tRNA ligase, cytoplasmic</t>
  </si>
  <si>
    <t>Ataxin-1</t>
  </si>
  <si>
    <t>Atrophin-1</t>
  </si>
  <si>
    <t>Isoform 3 of PMS1 protein homolog 1</t>
  </si>
  <si>
    <t>Mismatch repair endonuclease PMS2</t>
  </si>
  <si>
    <t>Tyrosine--tRNA ligase, cytoplasmic</t>
  </si>
  <si>
    <t>Ubiquitin carboxyl-terminal hydrolase 14</t>
  </si>
  <si>
    <t>Isoform 2 of 5-AMP-activated protein kinase subunit gamma-1</t>
  </si>
  <si>
    <t>5-AMP-activated protein kinase catalytic subunit alpha-2</t>
  </si>
  <si>
    <t>Heat shock-related 70 kDa protein 2</t>
  </si>
  <si>
    <t>Branched-chain-amino-acid aminotransferase, cytosolic</t>
  </si>
  <si>
    <t>UV excision repair protein RAD23 homolog B</t>
  </si>
  <si>
    <t>Alpha-N-acetylglucosaminidase</t>
  </si>
  <si>
    <t>Adenylate kinase 2, mitochondrial</t>
  </si>
  <si>
    <t>Isoform Short of Delta-1-pyrroline-5-carboxylate synthase</t>
  </si>
  <si>
    <t>Alpha-soluble NSF attachment protein</t>
  </si>
  <si>
    <t>[Protein ADP-ribosylarginine] hydrolase</t>
  </si>
  <si>
    <t>Eukaryotic translation initiation factor 5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</si>
  <si>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</si>
  <si>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</si>
  <si>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</si>
  <si>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</si>
  <si>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</si>
  <si>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Mesencephalic astrocyte-derived neurotrophic factor</t>
  </si>
  <si>
    <t>Afadin</t>
  </si>
  <si>
    <t>Isoform 3 of Afadin</t>
  </si>
  <si>
    <t>RNA polymerase II elongation factor ELL</t>
  </si>
  <si>
    <t>Caspase-7</t>
  </si>
  <si>
    <t>Isoform 2 of Caspase-9</t>
  </si>
  <si>
    <t>Caspase-6</t>
  </si>
  <si>
    <t>Adenosine kinase</t>
  </si>
  <si>
    <t>Isoform 5 of Double-stranded RNA-specific adenosine deaminase</t>
  </si>
  <si>
    <t>Laminin subunit beta-2</t>
  </si>
  <si>
    <t>Isoform 2 of Tumor protein D52</t>
  </si>
  <si>
    <t>Isoform 2 of Homeobox protein PKNOX1</t>
  </si>
  <si>
    <t>Protein SEC13 homolog</t>
  </si>
  <si>
    <t>NHP2-like protein 1</t>
  </si>
  <si>
    <t>FAD-linked sulfhydryl oxidase ALR</t>
  </si>
  <si>
    <t>Heterogeneous nuclear ribonucleoprotein H2</t>
  </si>
  <si>
    <t>Succinyl-CoA:3-ketoacid coenzyme A transferase 1, mitochondrial</t>
  </si>
  <si>
    <t>Small ubiquitin-related modifier 3</t>
  </si>
  <si>
    <t>Eukaryotic translation initiation factor 3 subunit B</t>
  </si>
  <si>
    <t>Isoform 2 of NADH dehydrogenase [ubiquinone] flavoprotein 3, mitochondrial</t>
  </si>
  <si>
    <t>Methionine--tRNA ligase, cytoplasmic</t>
  </si>
  <si>
    <t>cAMP-regulated phosphoprotein 19</t>
  </si>
  <si>
    <t>Cx9C motif-containing protein 4</t>
  </si>
  <si>
    <t>Isoform 2 of DNA polymerase epsilon subunit 2</t>
  </si>
  <si>
    <t>AP-1 complex subunit sigma-2</t>
  </si>
  <si>
    <t>Histone deacetylase 4</t>
  </si>
  <si>
    <t>Eukaryotic translation initiation factor 6</t>
  </si>
  <si>
    <t>C-terminal-binding protein 2</t>
  </si>
  <si>
    <t>Breast cancer anti-estrogen resistance protein 1</t>
  </si>
  <si>
    <t>Syntaxin-17</t>
  </si>
  <si>
    <t>RWD domain-containing protein 2B</t>
  </si>
  <si>
    <t>Uncharacterized protein C21orf59</t>
  </si>
  <si>
    <t>tRNA (guanine-N(7)-)-methyltransferase subunit WDR4</t>
  </si>
  <si>
    <t>Synaptojanin-2-binding protein</t>
  </si>
  <si>
    <t>Isoform 3 of Coronin-7</t>
  </si>
  <si>
    <t>Nuclear pore complex protein Nup107</t>
  </si>
  <si>
    <t>Gasdermin-D</t>
  </si>
  <si>
    <t>Sorting nexin-16</t>
  </si>
  <si>
    <t>Selenocysteine-specific elongation factor</t>
  </si>
  <si>
    <t>Myotrophin</t>
  </si>
  <si>
    <t>AP-3 complex subunit sigma-2</t>
  </si>
  <si>
    <t>Actin-related protein 2/3 complex subunit 4</t>
  </si>
  <si>
    <t>Isoform 2 of 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</si>
  <si>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</si>
  <si>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</si>
  <si>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</si>
  <si>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Gamma-aminobutyric acid receptor-associated protein-like 2</t>
  </si>
  <si>
    <t>Isoform Smooth muscle of Myosin light polypeptide 6</t>
  </si>
  <si>
    <t>Actin, cytoplasmic 1</t>
  </si>
  <si>
    <t>Ras-related C3 botulinum toxin substrate 3</t>
  </si>
  <si>
    <t>Eukaryotic initiation factor 4A-I</t>
  </si>
  <si>
    <t>40S ribosomal protein S20</t>
  </si>
  <si>
    <t>Isoform 2 of Synaptosomal-associated protein 25</t>
  </si>
  <si>
    <t>Ribose-phosphate pyrophosphokinase 1</t>
  </si>
  <si>
    <t>Proteasome subunit alpha type-6</t>
  </si>
  <si>
    <t>Protein S100-A10</t>
  </si>
  <si>
    <t>Cell division control protein 42 homolog</t>
  </si>
  <si>
    <t>Destrin</t>
  </si>
  <si>
    <t>Glia maturation factor beta</t>
  </si>
  <si>
    <t>Ras-related protein Rab-8A</t>
  </si>
  <si>
    <t>Signal recognition particle 54 kDa protein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</si>
  <si>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</si>
  <si>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</si>
  <si>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</si>
  <si>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</si>
  <si>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</si>
  <si>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</si>
  <si>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</si>
  <si>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</si>
  <si>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</si>
  <si>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</si>
  <si>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</si>
  <si>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</si>
  <si>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COP9 signalosome complex subunit 2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</si>
  <si>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</si>
  <si>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</si>
  <si>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</si>
  <si>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</si>
  <si>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</si>
  <si>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60S ribosomal protein L26</t>
  </si>
  <si>
    <t>Proteasome activator complex subunit 3</t>
  </si>
  <si>
    <t>60S ribosomal protein L15</t>
  </si>
  <si>
    <t>60S ribosomal protein L27</t>
  </si>
  <si>
    <t>Pterin-4-alpha-carbinolamine dehydratase</t>
  </si>
  <si>
    <t>Transforming protein RhoA</t>
  </si>
  <si>
    <t>Rho-related GTP-binding protein RhoE</t>
  </si>
  <si>
    <t>N-alpha-acetyltransferase 20</t>
  </si>
  <si>
    <t>10 kDa heat shock protein, mitochondrial</t>
  </si>
  <si>
    <t>Prefoldin subunit 3</t>
  </si>
  <si>
    <t>Syntaxin-binding protein 1</t>
  </si>
  <si>
    <t>Coatomer subunit zeta-1</t>
  </si>
  <si>
    <t>60S ribosomal protein L37</t>
  </si>
  <si>
    <t>Guanine nucleotide-binding protein G(I)/G(S)/G(O) subunit gamma-11</t>
  </si>
  <si>
    <t>Small ubiquitin-related modifier 2</t>
  </si>
  <si>
    <t>DDB1- and CUL4-associated factor 7</t>
  </si>
  <si>
    <t>WD repeat-containing protein 5</t>
  </si>
  <si>
    <t>AP-1 complex subunit sigma-1A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</si>
  <si>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</si>
  <si>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</si>
  <si>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</si>
  <si>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</si>
  <si>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</si>
  <si>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</si>
  <si>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</si>
  <si>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</si>
  <si>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Calmodulin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</si>
  <si>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</si>
  <si>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</si>
  <si>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</si>
  <si>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</si>
  <si>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</si>
  <si>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</si>
  <si>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</si>
  <si>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</si>
  <si>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</si>
  <si>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</si>
  <si>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</si>
  <si>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</si>
  <si>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</si>
  <si>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</si>
  <si>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</si>
  <si>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</si>
  <si>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</si>
  <si>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</si>
  <si>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</si>
  <si>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</si>
  <si>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</si>
  <si>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</si>
  <si>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</si>
  <si>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</si>
  <si>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</si>
  <si>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</si>
  <si>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</si>
  <si>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</si>
  <si>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3 of Cellular nucleic acid-binding protein</t>
  </si>
  <si>
    <t>Protein yippee-like 5</t>
  </si>
  <si>
    <t>40S ribosomal protein S4, X isoform</t>
  </si>
  <si>
    <t>Serine/threonine-protein phosphatase 2A catalytic subunit beta isoform</t>
  </si>
  <si>
    <t>60S ribosomal protein L23a</t>
  </si>
  <si>
    <t>40S ribosomal protein S6</t>
  </si>
  <si>
    <t>Histone H4</t>
  </si>
  <si>
    <t>Ras-related protein Rab-1A</t>
  </si>
  <si>
    <t>GTP-binding nuclear protein Ran</t>
  </si>
  <si>
    <t>60S ribosomal protein L23</t>
  </si>
  <si>
    <t>Ubiquitin-conjugating enzyme E2 D2</t>
  </si>
  <si>
    <t>Isoform 2 of 40S ribosomal protein S24</t>
  </si>
  <si>
    <t>40S ribosomal protein S25</t>
  </si>
  <si>
    <t>40S ribosomal protein S26</t>
  </si>
  <si>
    <t>40S ribosomal protein S28</t>
  </si>
  <si>
    <t>Guanine nucleotide-binding protein G(I)/G(S)/G(T) subunit beta-1</t>
  </si>
  <si>
    <t>DNA-directed RNA polymerases I, II, and III subunit RPABC5</t>
  </si>
  <si>
    <t>E3 ubiquitin-protein ligase RBX1</t>
  </si>
  <si>
    <t>60S ribosomal protein L30</t>
  </si>
  <si>
    <t>60S ribosomal protein L10a</t>
  </si>
  <si>
    <t>60S ribosomal protein L8</t>
  </si>
  <si>
    <t>Peptidyl-prolyl cis-trans isomerase FKBP1A</t>
  </si>
  <si>
    <t>Growth factor receptor-bound protein 2</t>
  </si>
  <si>
    <t>Transformer-2 protein homolog beta</t>
  </si>
  <si>
    <t>Ras-related C3 botulinum toxin substrate 1</t>
  </si>
  <si>
    <t>AP-2 complex subunit beta</t>
  </si>
  <si>
    <t>Guanine nucleotide-binding protein G(i) subunit alpha-1</t>
  </si>
  <si>
    <t>14-3-3 protein zeta/delta</t>
  </si>
  <si>
    <t>Serine/threonine-protein phosphatase 2A 55 kDa regulatory subunit B alpha isoform</t>
  </si>
  <si>
    <t>Dynein light chain 1, cytoplasmic</t>
  </si>
  <si>
    <t>Eukaryotic translation initiation factor 5A-1</t>
  </si>
  <si>
    <t>Guanine nucleotide-binding protein subunit beta-2-like 1</t>
  </si>
  <si>
    <t>Actin, cytoplasmic 2</t>
  </si>
  <si>
    <t>Transcription elongation factor SPT4</t>
  </si>
  <si>
    <t>Thymosin beta-10</t>
  </si>
  <si>
    <t>Serine/threonine-protein phosphatase 2A catalytic subunit alpha isoform</t>
  </si>
  <si>
    <t>Nuclease-sensitive element-binding protein 1</t>
  </si>
  <si>
    <t>Casein kinase II subunit beta</t>
  </si>
  <si>
    <t>Tropomyosin alpha-4 chain</t>
  </si>
  <si>
    <t>Ubiquitin-conjugating enzyme E2 L3</t>
  </si>
  <si>
    <t>Elongation factor 1-alpha 1</t>
  </si>
  <si>
    <t>Peptidyl-prolyl cis-trans isomerase FKBP1B</t>
  </si>
  <si>
    <t>Actin, alpha skeletal muscle</t>
  </si>
  <si>
    <t>Tubulin alpha-1B chain</t>
  </si>
  <si>
    <t>Tubulin beta-4B chain</t>
  </si>
  <si>
    <t>Platelet-activating factor acetylhydrolase IB subunit beta</t>
  </si>
  <si>
    <t>SH3 domain-binding protein 2</t>
  </si>
  <si>
    <t>Nucleolar protein 14</t>
  </si>
  <si>
    <t>Immunoglobulin-binding protein 1</t>
  </si>
  <si>
    <t>Tyrosine-protein phosphatase non-receptor type substrate 1</t>
  </si>
  <si>
    <t>Phosphoserine phosphatase</t>
  </si>
  <si>
    <t>RNA-binding protein 6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</si>
  <si>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</si>
  <si>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</si>
  <si>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</si>
  <si>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</si>
  <si>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Polyhomeotic-like protein 1</t>
  </si>
  <si>
    <t>T-complex protein 1 subunit beta</t>
  </si>
  <si>
    <t>mRNA export factor</t>
  </si>
  <si>
    <t>Glutathione S-transferase omega-1</t>
  </si>
  <si>
    <t>Protein jagged-1</t>
  </si>
  <si>
    <t>DNA-dependent protein kinase catalytic subunit</t>
  </si>
  <si>
    <t>Biogenesis of lysosome-related organelles complex 1 subunit 1</t>
  </si>
  <si>
    <t>Isoform 2 of ETS-related transcription factor Elf-3</t>
  </si>
  <si>
    <t>Microtubule-associated protein 1A</t>
  </si>
  <si>
    <t>Death domain-containing protein CRADD</t>
  </si>
  <si>
    <t>Interferon-induced 35 kDa protein</t>
  </si>
  <si>
    <t>Metallothionein-1X</t>
  </si>
  <si>
    <t>Nucleobindin-2</t>
  </si>
  <si>
    <t>Brain acid soluble protein 1</t>
  </si>
  <si>
    <t>Dermcidin</t>
  </si>
  <si>
    <t>TATA element modulatory factor</t>
  </si>
  <si>
    <t>28S ribosomal protein S35, mitochondrial</t>
  </si>
  <si>
    <t>28S ribosomal protein S36, mitochondrial</t>
  </si>
  <si>
    <t>Isoform 2 of 28S ribosomal protein S11, mitochondrial</t>
  </si>
  <si>
    <t>28S ribosomal protein S34, mitochondrial</t>
  </si>
  <si>
    <t>28S ribosomal protein S6, mitochondrial</t>
  </si>
  <si>
    <t>SAP domain-containing ribonucleoprotein</t>
  </si>
  <si>
    <t>U7 snRNA-associated Sm-like protein LSm11</t>
  </si>
  <si>
    <t>Conserved oligomeric Golgi complex subunit 7</t>
  </si>
  <si>
    <t>60S ribosomal protein L36a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</si>
  <si>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</si>
  <si>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</si>
  <si>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</si>
  <si>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</si>
  <si>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</si>
  <si>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Isoform 4 of Small EDRK-rich factor 2</t>
  </si>
  <si>
    <t>Forkhead box protein K1</t>
  </si>
  <si>
    <t>Isoform 2 of Proline-rich protein 5</t>
  </si>
  <si>
    <t>Vacuolar fusion protein CCZ1 homolog</t>
  </si>
  <si>
    <t>Isoform 3 of Disabled homolog 2</t>
  </si>
  <si>
    <t>Isoform Short of Very low-density lipoprotein receptor</t>
  </si>
  <si>
    <t>E3 ubiquitin-protein ligase XIAP</t>
  </si>
  <si>
    <t>FYVE, RhoGEF and PH domain-containing protein 1</t>
  </si>
  <si>
    <t>Isoform 4 of RNA-binding protein 10</t>
  </si>
  <si>
    <t>Putative RNA-binding protein 3</t>
  </si>
  <si>
    <t>Isoform 2 of 55 kDa erythrocyte membrane protein</t>
  </si>
  <si>
    <t>Transcription factor A, mitochondrial</t>
  </si>
  <si>
    <t>Phosphatidylinositol transfer protein alpha isoform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</si>
  <si>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</si>
  <si>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</si>
  <si>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</si>
  <si>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</si>
  <si>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</si>
  <si>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</si>
  <si>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</si>
  <si>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</si>
  <si>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</si>
  <si>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</si>
  <si>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Sorbitol dehydrogenase</t>
  </si>
  <si>
    <t>Heterogeneous nuclear ribonucleoprotein U</t>
  </si>
  <si>
    <t>Interferon regulatory factor 9</t>
  </si>
  <si>
    <t>Splicing factor U2AF 35 kDa subunit</t>
  </si>
  <si>
    <t>Spectrin beta chain, non-erythrocytic 1</t>
  </si>
  <si>
    <t>Isoform 2 of Spectrin beta chain, non-erythrocytic 1</t>
  </si>
  <si>
    <t>Isoform 2 of Nucleolysin TIAR</t>
  </si>
  <si>
    <t>Protein SET</t>
  </si>
  <si>
    <t>Isoform 2 of Protein SET</t>
  </si>
  <si>
    <t>Forkhead box protein K2</t>
  </si>
  <si>
    <t>AMP deaminase 3</t>
  </si>
  <si>
    <t>AMP deaminase 2</t>
  </si>
  <si>
    <t>Di-N-acetylchitobiase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</si>
  <si>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</si>
  <si>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</si>
  <si>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</si>
  <si>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</si>
  <si>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Transcription factor AP-4</t>
  </si>
  <si>
    <t>Isoform 2 of Exosome component 10</t>
  </si>
  <si>
    <t>OTU domain-containing protein 4</t>
  </si>
  <si>
    <t>6-phosphofructokinase type C</t>
  </si>
  <si>
    <t>Isoform 6 of RNA-binding protein EWS</t>
  </si>
  <si>
    <t>Cerebellar degeneration-related protein 2</t>
  </si>
  <si>
    <t>Isoform B of Inositol polyphosphate 5-phosphatase OCRL-1</t>
  </si>
  <si>
    <t>1-phosphatidylinositol 4,5-bisphosphate phosphodiesterase beta-3</t>
  </si>
  <si>
    <t>Tyrosine-protein kinase transmembrane receptor ROR1</t>
  </si>
  <si>
    <t>Transgelin</t>
  </si>
  <si>
    <t>A-kinase anchor protein 17A</t>
  </si>
  <si>
    <t>Isoform RSRFC9 of Myocyte-specific enhancer factor 2A</t>
  </si>
  <si>
    <t>Isoform 2 of N-acylethanolamine-hydrolyzing acid amidase</t>
  </si>
  <si>
    <t>Isoform 2 of Transcription factor Sp2</t>
  </si>
  <si>
    <t>Protein kinase C epsilon type</t>
  </si>
  <si>
    <t>Isoform 3 of Centromere-associated protein E</t>
  </si>
  <si>
    <t>Kinesin-like protein KIF23</t>
  </si>
  <si>
    <t>Isoform 2 of Kinesin-like protein KIF23</t>
  </si>
  <si>
    <t>Pro-neuregulin-1, membrane-bound isoform</t>
  </si>
  <si>
    <t>Isoform 2 of Collagen alpha-1(VII) chain</t>
  </si>
  <si>
    <t>Amyloid beta A4 precursor protein-binding family A member 1</t>
  </si>
  <si>
    <t>Transcription factor Sp4</t>
  </si>
  <si>
    <t>Isoform 3 of Transcription factor Sp3</t>
  </si>
  <si>
    <t>DNA-binding protein inhibitor ID-3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</si>
  <si>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</si>
  <si>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</si>
  <si>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</si>
  <si>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</si>
  <si>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</si>
  <si>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</si>
  <si>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Isoform Beta-1 of DNA topoisomerase 2-beta</t>
  </si>
  <si>
    <t>Isoform 3 of A-kinase anchor protein 12</t>
  </si>
  <si>
    <t>Dystonin</t>
  </si>
  <si>
    <t>Protein ENL</t>
  </si>
  <si>
    <t>Caveolin-1</t>
  </si>
  <si>
    <t>Aminoacylase-1</t>
  </si>
  <si>
    <t>Isoform 2 of Histone-lysine N-methyltransferase MLL</t>
  </si>
  <si>
    <t>Tumor necrosis factor alpha-induced protein 2</t>
  </si>
  <si>
    <t>Lamin-B2</t>
  </si>
  <si>
    <t>6-pyruvoyl tetrahydrobiopterin synthase</t>
  </si>
  <si>
    <t>DNA excision repair protein ERCC-6</t>
  </si>
  <si>
    <t>CCAAT/enhancer-binding protein zeta</t>
  </si>
  <si>
    <t>Isoform 2 of Heat shock factor protein 2</t>
  </si>
  <si>
    <t>1,4-alpha-glucan-branching enzyme</t>
  </si>
  <si>
    <t>Isoform 5 of Copper-transporting ATPase 1</t>
  </si>
  <si>
    <t>Keratin, type I cytoskeletal 17</t>
  </si>
  <si>
    <t>Transducin-like enhancer protein 1</t>
  </si>
  <si>
    <t>Isoform 3 of Transducin-like enhancer protein 3</t>
  </si>
  <si>
    <t>Isoform 3 of Transducin-like enhancer protein 4</t>
  </si>
  <si>
    <t>Hepatocyte growth factor activator</t>
  </si>
  <si>
    <t>Lactoylglutathione lyase</t>
  </si>
  <si>
    <t>Aldo-keto reductase family 1 member C1</t>
  </si>
  <si>
    <t>Single-stranded DNA-binding protein, mitochondrial</t>
  </si>
  <si>
    <t>14-3-3 protein eta</t>
  </si>
  <si>
    <t>Cleavage stimulation factor subunit 1</t>
  </si>
  <si>
    <t>Isoform III of Ubiquitin-protein ligase E3A</t>
  </si>
  <si>
    <t>Dynamin-1</t>
  </si>
  <si>
    <t>Tyrosine-protein phosphatase non-receptor type 12</t>
  </si>
  <si>
    <t>Isoform 6 of Focal adhesion kinase 1</t>
  </si>
  <si>
    <t>Protein kinase C zeta type</t>
  </si>
  <si>
    <t>Isoform 2 of Serine/arginine-rich splicing factor 11</t>
  </si>
  <si>
    <t>Elongation factor 1-alpha 2</t>
  </si>
  <si>
    <t>Protein kinase C delta type</t>
  </si>
  <si>
    <t>Isoform 4 of Caldesmon</t>
  </si>
  <si>
    <t>Isoform 3 of Folylpolyglutamate synthase, mitochondrial</t>
  </si>
  <si>
    <t>Tyrosine-protein phosphatase non-receptor type 11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</si>
  <si>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</si>
  <si>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</si>
  <si>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</si>
  <si>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</si>
  <si>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5 of Recombining binding protein suppressor of hairless</t>
  </si>
  <si>
    <t>GA-binding protein alpha chain</t>
  </si>
  <si>
    <t>Isoform 2 of GA-binding protein subunit beta-1</t>
  </si>
  <si>
    <t>E3 ubiquitin-protein ligase RING1</t>
  </si>
  <si>
    <t>Isoform 3 of DNA repair protein RAD51 homolog 1</t>
  </si>
  <si>
    <t>Isoform 8 of Fragile X mental retardation protein 1</t>
  </si>
  <si>
    <t>Transcription factor SOX-4</t>
  </si>
  <si>
    <t>60S ribosomal protein L18</t>
  </si>
  <si>
    <t>Complement component 1 Q subcomponent-binding protein, mitochondrial</t>
  </si>
  <si>
    <t>Cytoskeleton-associated protein 4</t>
  </si>
  <si>
    <t>Trichohyalin</t>
  </si>
  <si>
    <t>Sperm-associated antigen 1</t>
  </si>
  <si>
    <t>KH domain-containing, RNA-binding, signal transduction-associated protein 1</t>
  </si>
  <si>
    <t>Isoform Sigma of Apoptosis regulator BAX</t>
  </si>
  <si>
    <t>Isoform N of Kinesin light chain 1</t>
  </si>
  <si>
    <t>Prolow-density lipoprotein receptor-related protein 1</t>
  </si>
  <si>
    <t>Serine/arginine-rich splicing factor 1</t>
  </si>
  <si>
    <t>Rho GTPase-activating protein 1</t>
  </si>
  <si>
    <t>Amino-terminal enhancer of split</t>
  </si>
  <si>
    <t>Serine/arginine-rich splicing factor 4</t>
  </si>
  <si>
    <t>Protein-glutamine gamma-glutamyltransferase E</t>
  </si>
  <si>
    <t>Isoform 2 of Serine/threonine-protein phosphatase 2B catalytic subunit alpha isoform</t>
  </si>
  <si>
    <t>ATP-dependent RNA helicase A</t>
  </si>
  <si>
    <t>Quinone oxidoreductase</t>
  </si>
  <si>
    <t>Golgin subfamily A member 3</t>
  </si>
  <si>
    <t>Golgin subfamily A member 2</t>
  </si>
  <si>
    <t>Galectin-3-binding protein</t>
  </si>
  <si>
    <t>Isoform 2 of Lactadherin</t>
  </si>
  <si>
    <t>Dematin</t>
  </si>
  <si>
    <t>Isoform 5 of cAMP-specific 3,5-cyclic phosphodiesterase 4D</t>
  </si>
  <si>
    <t>Isoform 1B of Desmocollin-1</t>
  </si>
  <si>
    <t>Peptidyl-prolyl cis-trans isomerase D</t>
  </si>
  <si>
    <t>FACT complex subunit SSRP1</t>
  </si>
  <si>
    <t>Retinoblastoma-like protein 2</t>
  </si>
  <si>
    <t>Isoform 2 of Calmodulin-regulated spectrin-associated protein 2</t>
  </si>
  <si>
    <t>Isoform 2 of Protein spire homolog 1</t>
  </si>
  <si>
    <t>Mitotic-spindle organizing protein 1</t>
  </si>
  <si>
    <t>Protein VAC14 homolog</t>
  </si>
  <si>
    <t>tRNA (cytosine(34)-C(5))-methyltransferase</t>
  </si>
  <si>
    <t>Isoform 3 of Histone-binding protein RBBP4</t>
  </si>
  <si>
    <t>Nuclear cap-binding protein subunit 1</t>
  </si>
  <si>
    <t>Histone acetyltransferase p300</t>
  </si>
  <si>
    <t>Neuroblast differentiation-associated protein AHNAK</t>
  </si>
  <si>
    <t>Isoform 2 of Neuroblast differentiation-associated protein AHNAK</t>
  </si>
  <si>
    <t>FCH domain only protein 2</t>
  </si>
  <si>
    <t>Elongator complex protein 6</t>
  </si>
  <si>
    <t>Heat shock 70 kDa protein 14</t>
  </si>
  <si>
    <t>Secernin-3</t>
  </si>
  <si>
    <t>Cingulin-like protein 1</t>
  </si>
  <si>
    <t>Fanconi anemia-associated protein of 100 kDa</t>
  </si>
  <si>
    <t>Ragulator complex protein LAMTOR4</t>
  </si>
  <si>
    <t>Isoform B of AP-1 complex subunit beta-1</t>
  </si>
  <si>
    <t>Isoform C of AP-1 complex subunit beta-1</t>
  </si>
  <si>
    <t>Cleavage and polyadenylation specificity factor subunit 1</t>
  </si>
  <si>
    <t>Mitochondrial-processing peptidase subunit alpha</t>
  </si>
  <si>
    <t>Secernin-1</t>
  </si>
  <si>
    <t>WASH complex subunit strumpellin</t>
  </si>
  <si>
    <t>Nuclear pore complex protein Nup160</t>
  </si>
  <si>
    <t>General transcription factor 3C polypeptide 1</t>
  </si>
  <si>
    <t>Twinfilin-1</t>
  </si>
  <si>
    <t>Aspartyl/asparaginyl beta-hydroxylase</t>
  </si>
  <si>
    <t>Isoform 2 of Alpha-globin transcription factor CP2</t>
  </si>
  <si>
    <t>A-kinase anchor protein 13</t>
  </si>
  <si>
    <t>Isoform B of SWI/SNF-related matrix-associated actin-dependent regulator of chromatin subfamily B member 1</t>
  </si>
  <si>
    <t>Isoform 4 of Nucleosome-remodeling factor subunit BPTF</t>
  </si>
  <si>
    <t>Cell division cycle protein 20 homolog</t>
  </si>
  <si>
    <t>Follistatin-related protein 1</t>
  </si>
  <si>
    <t>Syntaxin-4</t>
  </si>
  <si>
    <t>Isoform 2 of G-rich sequence factor 1</t>
  </si>
  <si>
    <t>Isoform 2 of Contactin-1</t>
  </si>
  <si>
    <t>Splicing factor, suppressor of white-apricot homolog</t>
  </si>
  <si>
    <t>Chromodomain-helicase-DNA-binding protein 3</t>
  </si>
  <si>
    <t>Splicing factor 3A subunit 3</t>
  </si>
  <si>
    <t>Dihydropyrimidine dehydrogenase [NADP(+)]</t>
  </si>
  <si>
    <t>Tumor suppressor p53-binding protein 1</t>
  </si>
  <si>
    <t>Interferon-related developmental regulator 2</t>
  </si>
  <si>
    <t>Aminoacyl tRNA synthase complex-interacting multifunctional protein 1</t>
  </si>
  <si>
    <t>Interleukin enhancer-binding factor 2</t>
  </si>
  <si>
    <t>Isoform 7 of Interleukin enhancer-binding factor 3</t>
  </si>
  <si>
    <t>Receptor-type tyrosine-protein phosphatase eta</t>
  </si>
  <si>
    <t>Isoform 2 of Tyrosine-protein phosphatase non-receptor type 13</t>
  </si>
  <si>
    <t>Epidermal growth factor receptor kinase substrate 8</t>
  </si>
  <si>
    <t>Isoform 3 of TNF receptor-associated factor 2</t>
  </si>
  <si>
    <t>Ankyrin-3</t>
  </si>
  <si>
    <t>Isoform 5 of Disks large homolog 1</t>
  </si>
  <si>
    <t>Transcription initiation factor TFIID subunit 10</t>
  </si>
  <si>
    <t>Unconventional myosin-Ie</t>
  </si>
  <si>
    <t>Nuclear inhibitor of protein phosphatase 1</t>
  </si>
  <si>
    <t>Protein tyrosine phosphatase type IVA 2</t>
  </si>
  <si>
    <t>Isoform 4 of Active breakpoint cluster region-related protein</t>
  </si>
  <si>
    <t>Vesicle transport protein SEC20</t>
  </si>
  <si>
    <t>BCL2/adenovirus E1B 19 kDa protein-interacting protein 2</t>
  </si>
  <si>
    <t>Transcriptional repressor NF-X1</t>
  </si>
  <si>
    <t>Cleavage stimulation factor subunit 3</t>
  </si>
  <si>
    <t>Delta(3,5)-Delta(2,4)-dienoyl-CoA isomerase, mitochondrial</t>
  </si>
  <si>
    <t>Isoform 2 of Rho GTPase-activating protein 5</t>
  </si>
  <si>
    <t>Isoform Alpha of Striatin-3</t>
  </si>
  <si>
    <t>Isoform 3 of Cell division cycle protein 16 homolog</t>
  </si>
  <si>
    <t>Serine/threonine-protein kinase 4</t>
  </si>
  <si>
    <t>Protein flightless-1 homolog</t>
  </si>
  <si>
    <t>Isoform 2 of Protein flightless-1 homolog</t>
  </si>
  <si>
    <t>E3 ubiquitin-protein ligase TRIM32</t>
  </si>
  <si>
    <t>Bifunctional coenzyme A synthase</t>
  </si>
  <si>
    <t>TNF receptor-associated factor 1</t>
  </si>
  <si>
    <t>Acetyl-CoA carboxylase 1</t>
  </si>
  <si>
    <t>Isoform 2 of Ubiquitin carboxyl-terminal hydrolase 4</t>
  </si>
  <si>
    <t>Chromatin assembly factor 1 subunit A</t>
  </si>
  <si>
    <t>Chromatin assembly factor 1 subunit B</t>
  </si>
  <si>
    <t>Isoform 2 of TNF receptor-associated factor 3</t>
  </si>
  <si>
    <t>Dual specificity protein phosphatase 4</t>
  </si>
  <si>
    <t>Protein Red</t>
  </si>
  <si>
    <t>5-AMP-activated protein kinase catalytic subunit alpha-1</t>
  </si>
  <si>
    <t>Liprin-alpha-1</t>
  </si>
  <si>
    <t>TAR DNA-binding protein 43</t>
  </si>
  <si>
    <t>Heterogeneous nuclear ribonucleoprotein A0</t>
  </si>
  <si>
    <t>Serine/threonine-protein kinase PAK 1</t>
  </si>
  <si>
    <t>Aminoacyl tRNA synthase complex-interacting multifunctional protein 2</t>
  </si>
  <si>
    <t>Protein FADD</t>
  </si>
  <si>
    <t>Peroxiredoxin-4</t>
  </si>
  <si>
    <t>Isoform 4 of Dual specificity mitogen-activated protein kinase kinase 5</t>
  </si>
  <si>
    <t>Mitogen-activated protein kinase 7</t>
  </si>
  <si>
    <t>Serine/threonine-protein kinase PAK 2</t>
  </si>
  <si>
    <t>Chromobox protein homolog 3</t>
  </si>
  <si>
    <t>Serine/threonine-protein kinase 3</t>
  </si>
  <si>
    <t>Syntaxin-5</t>
  </si>
  <si>
    <t>E3 ubiquitin-protein ligase CBL-B</t>
  </si>
  <si>
    <t>26S proteasome non-ATPase regulatory subunit 2</t>
  </si>
  <si>
    <t>Probable ATP-dependent RNA helicase DDX10</t>
  </si>
  <si>
    <t>Isoform 2 of DNA excision repair protein ERCC-8</t>
  </si>
  <si>
    <t>DnaJ homolog subfamily C member 3</t>
  </si>
  <si>
    <t>Selenium-binding protein 1</t>
  </si>
  <si>
    <t>Nucleoside diphosphate kinase 3</t>
  </si>
  <si>
    <t>Mitogen-activated protein kinase kinase kinase 1</t>
  </si>
  <si>
    <t>Serine/arginine-rich splicing factor 9</t>
  </si>
  <si>
    <t>Isoform SRP40-4 of Serine/arginine-rich splicing factor 5</t>
  </si>
  <si>
    <t>Isoform SRP55-3 of Serine/arginine-rich splicing factor 6</t>
  </si>
  <si>
    <t>Metabotropic glutamate receptor 1</t>
  </si>
  <si>
    <t>Mitotic spindle assembly checkpoint protein MAD2A</t>
  </si>
  <si>
    <t>Transcription intermediary factor 1-beta</t>
  </si>
  <si>
    <t>Ras GTPase-activating protein-binding protein 1</t>
  </si>
  <si>
    <t>N-myc-interactor</t>
  </si>
  <si>
    <t>Isoform 2 of Voltage-gated potassium channel subunit beta-2</t>
  </si>
  <si>
    <t>Isoform 3 of Inactive tyrosine-protein kinase 7</t>
  </si>
  <si>
    <t>Isoform 3 of Polyadenylate-binding protein 4</t>
  </si>
  <si>
    <t>Serine-protein kinase ATM</t>
  </si>
  <si>
    <t>Isoform 1 of Growth factor receptor-bound protein 10</t>
  </si>
  <si>
    <t>Interferon-induced protein with tetratricopeptide repeats 5</t>
  </si>
  <si>
    <t>Isoform 3 of Metastasis-associated protein MTA1</t>
  </si>
  <si>
    <t>Isoform 2 of Receptor-type tyrosine-protein phosphatase S</t>
  </si>
  <si>
    <t>Eukaryotic translation initiation factor 3 subunit I</t>
  </si>
  <si>
    <t>Isoform 4 of Serine/threonine-protein phosphatase 2A 56 kDa regulatory subunit gamma isoform</t>
  </si>
  <si>
    <t>Isoform 2 of C-terminal-binding protein 1</t>
  </si>
  <si>
    <t>Phosducin-like protein</t>
  </si>
  <si>
    <t>Probable methyltransferase TARBP1</t>
  </si>
  <si>
    <t>Ubiquitin-conjugating enzyme E2 variant 1</t>
  </si>
  <si>
    <t>Isoform 2F of Cytoplasmic dynein 1 intermediate chain 2</t>
  </si>
  <si>
    <t>Origin recognition complex subunit 2</t>
  </si>
  <si>
    <t>Integrin-linked protein kinase</t>
  </si>
  <si>
    <t>Beta-2-syntrophin</t>
  </si>
  <si>
    <t>DNA repair protein XRCC4</t>
  </si>
  <si>
    <t>Peptidyl-prolyl cis-trans isomerase G</t>
  </si>
  <si>
    <t>Isoform 3 of Treacle protein</t>
  </si>
  <si>
    <t>Isoform 4 of Treacle protein</t>
  </si>
  <si>
    <t>Protein unc-119 homolog A</t>
  </si>
  <si>
    <t>Splicing factor 3B subunit 2</t>
  </si>
  <si>
    <t>Isoform 3 of Golgin subfamily A member 4</t>
  </si>
  <si>
    <t>28 kDa heat- and acid-stable phosphoprotein</t>
  </si>
  <si>
    <t>Disintegrin and metalloproteinase domain-containing protein 9</t>
  </si>
  <si>
    <t>Peptidyl-prolyl cis-trans isomerase FKBP5</t>
  </si>
  <si>
    <t>Rho-associated protein kinase 1</t>
  </si>
  <si>
    <t>Frizzled-5</t>
  </si>
  <si>
    <t>Isoform Short of DNA topoisomerase 3-alpha</t>
  </si>
  <si>
    <t>Isoform 2 of GRB2-associated-binding protein 1</t>
  </si>
  <si>
    <t>Isoform 3 of Phosphatidylinositol-binding clathrin assembly protein</t>
  </si>
  <si>
    <t>Myotubularin</t>
  </si>
  <si>
    <t>Sequestosome-1</t>
  </si>
  <si>
    <t>Mediator of RNA polymerase II transcription subunit 21</t>
  </si>
  <si>
    <t>NGFI-A-binding protein 1</t>
  </si>
  <si>
    <t>Tubulin beta-3 chain</t>
  </si>
  <si>
    <t>Oligodendrocyte transcription factor 2</t>
  </si>
  <si>
    <t>Peptidyl-prolyl cis-trans isomerase NIMA-interacting 1</t>
  </si>
  <si>
    <t>Isoform 2 of Serine/threonine-protein kinase ATR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</si>
  <si>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</si>
  <si>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</si>
  <si>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</si>
  <si>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Histone deacetylase 1</t>
  </si>
  <si>
    <t>Isoform Delta 6 of Calcium/calmodulin-dependent protein kinase type II subunit delta</t>
  </si>
  <si>
    <t>Dynactin subunit 2</t>
  </si>
  <si>
    <t>Isoform 2 of Polycystin-2</t>
  </si>
  <si>
    <t>Isoform 2 of NEDD8-activating enzyme E1 regulatory subunit</t>
  </si>
  <si>
    <t>Inositol-tetrakisphosphate 1-kinase</t>
  </si>
  <si>
    <t>SNW domain-containing protein 1</t>
  </si>
  <si>
    <t>Isoform 2 of Diacylglycerol kinase zeta</t>
  </si>
  <si>
    <t>Sorting nexin-1</t>
  </si>
  <si>
    <t>Peroxisome assembly factor 2</t>
  </si>
  <si>
    <t>Myotubularin-related protein 1</t>
  </si>
  <si>
    <t>Myotubularin-related protein 2</t>
  </si>
  <si>
    <t>Isoform C of Myotubularin-related protein 3</t>
  </si>
  <si>
    <t>Cullin-1</t>
  </si>
  <si>
    <t>Cullin-2</t>
  </si>
  <si>
    <t>Cullin-3</t>
  </si>
  <si>
    <t>Cullin-4A</t>
  </si>
  <si>
    <t>Apoptosis-stimulating of p53 protein 2</t>
  </si>
  <si>
    <t>Isoform 2 of Dual specificity tyrosine-phosphorylation-regulated kinase 1A</t>
  </si>
  <si>
    <t>GDP-L-fucose synthase</t>
  </si>
  <si>
    <t>Ras-related protein Rab-32</t>
  </si>
  <si>
    <t>Trophoblast glycoprotein</t>
  </si>
  <si>
    <t>Isoform 1 of Four and a half LIM domains protein 1</t>
  </si>
  <si>
    <t>Four and a half LIM domains protein 3</t>
  </si>
  <si>
    <t>Ras and Rab interactor 1</t>
  </si>
  <si>
    <t>Alkylated DNA repair protein alkB homolog 1</t>
  </si>
  <si>
    <t>Isoform 2 of CD166 antigen</t>
  </si>
  <si>
    <t>THO complex subunit 5 homolog</t>
  </si>
  <si>
    <t>Protein Shroom2</t>
  </si>
  <si>
    <t>Spectrin alpha chain, non-erythrocytic 1</t>
  </si>
  <si>
    <t>Isoform 3 of Spectrin alpha chain, non-erythrocytic 1</t>
  </si>
  <si>
    <t>Methylglutaconyl-CoA hydratase, mitochondrial</t>
  </si>
  <si>
    <t>Spliceosome RNA helicase DDX39B</t>
  </si>
  <si>
    <t>Bleomycin hydrolase</t>
  </si>
  <si>
    <t>Exosome complex component RRP4</t>
  </si>
  <si>
    <t>Tubulin beta-2A chain</t>
  </si>
  <si>
    <t>Krueppel-like factor 5</t>
  </si>
  <si>
    <t>Bystin</t>
  </si>
  <si>
    <t>Isopentenyl-diphosphate Delta-isomerase 1</t>
  </si>
  <si>
    <t>Core-binding factor subunit beta</t>
  </si>
  <si>
    <t>Isoform 2 of Core-binding factor subunit beta</t>
  </si>
  <si>
    <t>Isoform 2 of Nuclear transcription factor Y subunit gamma</t>
  </si>
  <si>
    <t>Cyclin-dependent kinase 13</t>
  </si>
  <si>
    <t>Cytoskeleton-associated protein 5</t>
  </si>
  <si>
    <t>Cold-inducible RNA-binding protein</t>
  </si>
  <si>
    <t>Calcium/calmodulin-dependent protein kinase type 1</t>
  </si>
  <si>
    <t>Coactosin-like protein</t>
  </si>
  <si>
    <t>Bile acid-CoA:amino acid N-acyltransferase</t>
  </si>
  <si>
    <t>Cytochrome c oxidase copper chaperone</t>
  </si>
  <si>
    <t>Isoform 3 of Heterogeneous nuclear ribonucleoprotein D0</t>
  </si>
  <si>
    <t>Isoform 2 of Interleukin-18</t>
  </si>
  <si>
    <t>Dystroglycan</t>
  </si>
  <si>
    <t>Calcium/calmodulin-dependent 3,5-cyclic nucleotide phosphodiesterase 1C</t>
  </si>
  <si>
    <t>Desmoglein-2</t>
  </si>
  <si>
    <t>Ribosome biogenesis protein BOP1</t>
  </si>
  <si>
    <t>Ubiquitin conjugation factor E4 A</t>
  </si>
  <si>
    <t>Isoform I of Septin-6</t>
  </si>
  <si>
    <t>Unhealthy ribosome biogenesis protein 2 homolog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</si>
  <si>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</si>
  <si>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</si>
  <si>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</si>
  <si>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</si>
  <si>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Protein FAM53B</t>
  </si>
  <si>
    <t>Isoform 1 of Rho guanine nucleotide exchange factor 7</t>
  </si>
  <si>
    <t>Ubiquitin-associated protein 2-like</t>
  </si>
  <si>
    <t>Isoform 2 of Ubiquitin-associated protein 2-like</t>
  </si>
  <si>
    <t>Isoform 3 of Protein scribble homolog</t>
  </si>
  <si>
    <t>ARF GTPase-activating protein GIT2</t>
  </si>
  <si>
    <t>Tubulin--tyrosine ligase-like protein 12</t>
  </si>
  <si>
    <t>DNA polymerase alpha subunit B</t>
  </si>
  <si>
    <t>Dedicator of cytokinesis protein 1</t>
  </si>
  <si>
    <t>Werner syndrome ATP-dependent helicase</t>
  </si>
  <si>
    <t>Four and a half LIM domains protein 2</t>
  </si>
  <si>
    <t>Isoform LCRMP-4 of Dihydropyrimidinase-related protein 3</t>
  </si>
  <si>
    <t>Isoform 2 of Zinc finger MYM-type protein 3</t>
  </si>
  <si>
    <t>Isoform 3 of Dynactin subunit 1</t>
  </si>
  <si>
    <t>Cytoplasmic dynein 1 heavy chain 1</t>
  </si>
  <si>
    <t>Protein NPAT</t>
  </si>
  <si>
    <t>Translation initiation factor eIF-2B subunit alpha</t>
  </si>
  <si>
    <t>Eukaryotic initiation factor 4A-II</t>
  </si>
  <si>
    <t>Transcription elongation factor B polypeptide 3</t>
  </si>
  <si>
    <t>Ensconsin</t>
  </si>
  <si>
    <t>Src substrate cortactin</t>
  </si>
  <si>
    <t>Isoform 3 of Src substrate cortactin</t>
  </si>
  <si>
    <t>Endonuclease G, mitochondrial</t>
  </si>
  <si>
    <t>Reticulocalbin-2</t>
  </si>
  <si>
    <t>E3 ubiquitin/ISG15 ligase TRIM25</t>
  </si>
  <si>
    <t>Isoform 2 of Protein-tyrosine kinase 2-beta</t>
  </si>
  <si>
    <t>Isoform 2 of Filamin-C</t>
  </si>
  <si>
    <t>Peptidyl-prolyl cis-trans isomerase FKBP8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</si>
  <si>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</si>
  <si>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</si>
  <si>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</si>
  <si>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</si>
  <si>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</si>
  <si>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cGMP-inhibited 3,5-cyclic phosphodiesterase A</t>
  </si>
  <si>
    <t>Isoform 2 of Caprin-1</t>
  </si>
  <si>
    <t>Growth factor receptor-bound protein 14</t>
  </si>
  <si>
    <t>Growth factor receptor-bound protein 7</t>
  </si>
  <si>
    <t>Beclin-1</t>
  </si>
  <si>
    <t>Transcription factor HES-1</t>
  </si>
  <si>
    <t>Histone RNA hairpin-binding protein</t>
  </si>
  <si>
    <t>Isoform 2 of Histone RNA hairpin-binding protein</t>
  </si>
  <si>
    <t>Isoform 2 of RNA-binding protein 39</t>
  </si>
  <si>
    <t>Isoform 3 of Enhancer of filamentation 1</t>
  </si>
  <si>
    <t>Protocadherin Fat 1</t>
  </si>
  <si>
    <t>Isoform 2 of Hyaluronan-binding protein 2</t>
  </si>
  <si>
    <t>Helicase-like transcription factor</t>
  </si>
  <si>
    <t>Protein disulfide-isomerase A5</t>
  </si>
  <si>
    <t>Isoform 2 of Phosphoribosyl pyrophosphate synthase-associated protein 1</t>
  </si>
  <si>
    <t>ATP-dependent RNA helicase DHX8</t>
  </si>
  <si>
    <t>DNA replication licensing factor MCM6</t>
  </si>
  <si>
    <t>Plastin-1</t>
  </si>
  <si>
    <t>Interferon regulatory factor 3</t>
  </si>
  <si>
    <t>L antigen family member 3</t>
  </si>
  <si>
    <t>Isoform 3 of E3 ubiquitin-protein ligase TRIP12</t>
  </si>
  <si>
    <t>Isoform 2 of Pumilio homolog 1</t>
  </si>
  <si>
    <t>Mediator of DNA damage checkpoint protein 1</t>
  </si>
  <si>
    <t>Clathrin interactor 1</t>
  </si>
  <si>
    <t>KN motif and ankyrin repeat domain-containing protein 1</t>
  </si>
  <si>
    <t>Structural maintenance of chromosomes protein 1A</t>
  </si>
  <si>
    <t>Isoform 2 of Ribosomal RNA processing protein 1 homolog B</t>
  </si>
  <si>
    <t>Nuclear receptor coactivator 6</t>
  </si>
  <si>
    <t>Isoform 2 of Genetic suppressor element 1</t>
  </si>
  <si>
    <t>Isoform 6 of Disco-interacting protein 2 homolog A</t>
  </si>
  <si>
    <t>Protein RRP5 homolog</t>
  </si>
  <si>
    <t>DNA replication complex GINS protein PSF1</t>
  </si>
  <si>
    <t>Ubiquitin carboxyl-terminal hydrolase 10</t>
  </si>
  <si>
    <t>LDLR chaperone MESD</t>
  </si>
  <si>
    <t>Neutral alpha-glucosidase AB</t>
  </si>
  <si>
    <t>Major vault protein</t>
  </si>
  <si>
    <t>Chromobox protein homolog 2</t>
  </si>
  <si>
    <t>Golgin subfamily B member 1</t>
  </si>
  <si>
    <t>Isoform 3 of Caspase-8</t>
  </si>
  <si>
    <t>Isoform 9 of Caspase-8</t>
  </si>
  <si>
    <t>N-alpha-acetyltransferase 30</t>
  </si>
  <si>
    <t>Isoform 2 of Kinesin-like protein KIF22</t>
  </si>
  <si>
    <t>Isoform MEF2DA0 of Myocyte-specific enhancer factor 2D</t>
  </si>
  <si>
    <t>Isoform 2 of Chromodomain-helicase-DNA-binding protein 4</t>
  </si>
  <si>
    <t>LIM and SH3 domain protein 1</t>
  </si>
  <si>
    <t>Metal regulatory transcription factor 1</t>
  </si>
  <si>
    <t>Isoform 2 of Prostaglandin reductase 1</t>
  </si>
  <si>
    <t>Isoform 2 of Dr1-associated corepressor</t>
  </si>
  <si>
    <t>Zinc finger protein 638</t>
  </si>
  <si>
    <t>Importin subunit beta-1</t>
  </si>
  <si>
    <t>Isoform Beta of Nucleolar and coiled-body phosphoprotein 1</t>
  </si>
  <si>
    <t>Nuclear mitotic apparatus protein 1</t>
  </si>
  <si>
    <t>Isoform 2 of Nuclear mitotic apparatus protein 1</t>
  </si>
  <si>
    <t>Proteasome activator complex subunit 4</t>
  </si>
  <si>
    <t>Isoform 5 of GTPase-activating protein and VPS9 domain-containing protein 1</t>
  </si>
  <si>
    <t>Isoform 4 of Rho GTPase-activating protein 19</t>
  </si>
  <si>
    <t>UBX domain-containing protein 2B</t>
  </si>
  <si>
    <t>N-alpha-acetyltransferase 25, NatB auxiliary subunit</t>
  </si>
  <si>
    <t>Condensin complex subunit 2</t>
  </si>
  <si>
    <t>PCNA-associated factor</t>
  </si>
  <si>
    <t>Pre-mRNA-splicing regulator WTAP</t>
  </si>
  <si>
    <t>MAD2L1-binding protein</t>
  </si>
  <si>
    <t>Mortality factor 4-like protein 2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</si>
  <si>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</si>
  <si>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</si>
  <si>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</si>
  <si>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</si>
  <si>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</si>
  <si>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Isoform 2 of 116 kDa U5 small nuclear ribonucleoprotein component</t>
  </si>
  <si>
    <t>Isoform 2 of R3H domain-containing protein 1</t>
  </si>
  <si>
    <t>Isoform 2 of Sorting nexin-17</t>
  </si>
  <si>
    <t>Rab3 GTPase-activating protein catalytic subunit</t>
  </si>
  <si>
    <t>Isoform 2 of Zinc transporter ZIP14</t>
  </si>
  <si>
    <t>Lysine--tRNA ligase</t>
  </si>
  <si>
    <t>Isoform 3 of Histone-lysine N-methyltransferase SETDB1</t>
  </si>
  <si>
    <t>Leucine-rich repeat-containing protein 14</t>
  </si>
  <si>
    <t>Ribosome biogenesis regulatory protein homolog</t>
  </si>
  <si>
    <t>DNA polymerase delta subunit 3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</si>
  <si>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</si>
  <si>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</si>
  <si>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</si>
  <si>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</si>
  <si>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</si>
  <si>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</si>
  <si>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Isoform 2 of Peroxisomal acyl-coenzyme A oxidase 1</t>
  </si>
  <si>
    <t>Zinc finger protein OZF</t>
  </si>
  <si>
    <t>Early endosome antigen 1</t>
  </si>
  <si>
    <t>Platelet-activating factor acetylhydrolase IB subunit gamma</t>
  </si>
  <si>
    <t>Astrocytic phosphoprotein PEA-15</t>
  </si>
  <si>
    <t>Phosphomevalonate kinase</t>
  </si>
  <si>
    <t>Serine/threonine-protein kinase D1</t>
  </si>
  <si>
    <t>Isoform 3 of 1-phosphatidylinositol 4,5-bisphosphate phosphodiesterase beta-4</t>
  </si>
  <si>
    <t>Plectin</t>
  </si>
  <si>
    <t>Isoform 2 of Plectin</t>
  </si>
  <si>
    <t>Isoform 3 of Plectin</t>
  </si>
  <si>
    <t>Isoform 4 of Plectin</t>
  </si>
  <si>
    <t>Isoform 8 of Plectin</t>
  </si>
  <si>
    <t>Pericentriolar material 1 protein</t>
  </si>
  <si>
    <t>Isoform 2 of Transcription elongation factor A protein-like 1</t>
  </si>
  <si>
    <t>Serine/threonine-protein phosphatase 2A 56 kDa regulatory subunit alpha isoform</t>
  </si>
  <si>
    <t>Inorganic pyrophosphatase</t>
  </si>
  <si>
    <t>Serine/threonine-protein kinase 38</t>
  </si>
  <si>
    <t>Non-POU domain-containing octamer-binding protein</t>
  </si>
  <si>
    <t>Serine/threonine-protein phosphatase 2A activator</t>
  </si>
  <si>
    <t>Isoform 2 of Receptor-type tyrosine-protein phosphatase kappa</t>
  </si>
  <si>
    <t>Rab GTPase-binding effector protein 1</t>
  </si>
  <si>
    <t>Isoform 2 of Ras GTPase-activating protein 2</t>
  </si>
  <si>
    <t>Ras-related protein Rab-35</t>
  </si>
  <si>
    <t>Retinoblastoma-binding protein 5</t>
  </si>
  <si>
    <t>Isoform 2 of Retinoblastoma-binding protein 5</t>
  </si>
  <si>
    <t>Reticulocalbin-1</t>
  </si>
  <si>
    <t>RalA-binding protein 1</t>
  </si>
  <si>
    <t>Isoform 2 of Transcription factor E2F5</t>
  </si>
  <si>
    <t>Lethal(2) giant larvae protein homolog 1</t>
  </si>
  <si>
    <t>Leucine-rich repeat-containing protein 41</t>
  </si>
  <si>
    <t>Poly(rC)-binding protein 1</t>
  </si>
  <si>
    <t>Poly(rC)-binding protein 2</t>
  </si>
  <si>
    <t>Isoform 6 of Poly(rC)-binding protein 2</t>
  </si>
  <si>
    <t>Isoform 2 of Transcription elongation factor B polypeptide 2</t>
  </si>
  <si>
    <t>GTP-binding protein Rheb</t>
  </si>
  <si>
    <t>Ubiquitin-protein ligase E3C</t>
  </si>
  <si>
    <t>Splicing factor 3B subunit 3</t>
  </si>
  <si>
    <t>Isoform 3 of Disks large-associated protein 5</t>
  </si>
  <si>
    <t>Ras suppressor protein 1</t>
  </si>
  <si>
    <t>Calponin-3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</si>
  <si>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</si>
  <si>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</si>
  <si>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</si>
  <si>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</si>
  <si>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</si>
  <si>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Isoform 2 of Cytohesin-1</t>
  </si>
  <si>
    <t>Splicing factor 3A subunit 1</t>
  </si>
  <si>
    <t>SH2 domain-containing adapter protein B</t>
  </si>
  <si>
    <t>Helicase SKI2W</t>
  </si>
  <si>
    <t>Sperm surface protein Sp17</t>
  </si>
  <si>
    <t>Isoform 2 of Surfeit locus protein 1</t>
  </si>
  <si>
    <t>Surfeit locus protein 2</t>
  </si>
  <si>
    <t>Isoform Short of Transcription initiation factor TFIID subunit 5</t>
  </si>
  <si>
    <t>Transcription initiation factor TFIID subunit 7</t>
  </si>
  <si>
    <t>Isoform 3 of Telomeric repeat-binding factor 2</t>
  </si>
  <si>
    <t>Isoform 4 of Homeobox protein TGIF1</t>
  </si>
  <si>
    <t>Nuclear receptor coactivator 2</t>
  </si>
  <si>
    <t>Na(+)/H(+) exchange regulatory cofactor NHE-RF2</t>
  </si>
  <si>
    <t>Tumor necrosis factor receptor type 1-associated DEATH domain protein</t>
  </si>
  <si>
    <t>Isoform 2 of RISC-loading complex subunit TARBP2</t>
  </si>
  <si>
    <t>Isoform 5 of Splicing factor 1</t>
  </si>
  <si>
    <t>Cdc42-interacting protein 4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</si>
  <si>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</si>
  <si>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</si>
  <si>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</si>
  <si>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</si>
  <si>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</si>
  <si>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</si>
  <si>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High mobility group nucleosome-binding domain-containing protein 3</t>
  </si>
  <si>
    <t>Probable JmjC domain-containing histone demethylation protein 2C</t>
  </si>
  <si>
    <t>Thyroid receptor-interacting protein 6</t>
  </si>
  <si>
    <t>Microtubule-associated protein RP/EB family member 1</t>
  </si>
  <si>
    <t>TSC22 domain family protein 1</t>
  </si>
  <si>
    <t>ELAV-like protein 1</t>
  </si>
  <si>
    <t>Isoform 3B of Myosin light chain kinase, smooth muscle</t>
  </si>
  <si>
    <t>Isoform 2 of TGF-beta-activated kinase 1 and MAP3K7-binding protein 1</t>
  </si>
  <si>
    <t>Probable E3 ubiquitin-protein ligase HERC1</t>
  </si>
  <si>
    <t>Isoform 3 of Neutral amino acid transporter B(0)</t>
  </si>
  <si>
    <t>Myeloid leukemia factor 2</t>
  </si>
  <si>
    <t>Mitochondrial import receptor subunit TOM34</t>
  </si>
  <si>
    <t>Isoform 2 of Nuclear receptor coactivator 1</t>
  </si>
  <si>
    <t>Isoform Short of Mothers against decapentaplegic homolog 2</t>
  </si>
  <si>
    <t>Tubulin-specific chaperone C</t>
  </si>
  <si>
    <t>Neuronal pentraxin-1</t>
  </si>
  <si>
    <t>Ubiquitin-conjugating enzyme E2 variant 2</t>
  </si>
  <si>
    <t>Syntaxin-binding protein 2</t>
  </si>
  <si>
    <t>Vesicle-associated membrane protein 3</t>
  </si>
  <si>
    <t>Isoform USF2A-delta-H of Upstream stimulatory factor 2</t>
  </si>
  <si>
    <t>Vacuolar protein sorting-associated protein 72 homolog</t>
  </si>
  <si>
    <t>Ras-related protein Rab-11B</t>
  </si>
  <si>
    <t>Histone-lysine N-methyltransferase EZH2</t>
  </si>
  <si>
    <t>Zyxin</t>
  </si>
  <si>
    <t>Beta-synuclein</t>
  </si>
  <si>
    <t>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</si>
  <si>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</si>
  <si>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</si>
  <si>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</si>
  <si>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</si>
  <si>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Isoform 2 of Insulin-like growth factor-binding protein 7</t>
  </si>
  <si>
    <t>Isoform 2 of 26S proteasome non-ATPase regulatory subunit 5</t>
  </si>
  <si>
    <t>Serine/threonine-protein kinase N1</t>
  </si>
  <si>
    <t>Serine/threonine-protein kinase N2</t>
  </si>
  <si>
    <t>Cryptochrome-1</t>
  </si>
  <si>
    <t>Cysteine and glycine-rich protein 2</t>
  </si>
  <si>
    <t>DNA damage-binding protein 1</t>
  </si>
  <si>
    <t>Mitogen-activated protein kinase 14</t>
  </si>
  <si>
    <t>Hsp90 co-chaperone Cdc37</t>
  </si>
  <si>
    <t>Dihydropyrimidinase-related protein 2</t>
  </si>
  <si>
    <t>Histone-binding protein RBBP7</t>
  </si>
  <si>
    <t>Isoform 5 of Zinc finger protein 74</t>
  </si>
  <si>
    <t>Isoform 3 of Syntaxin-1A</t>
  </si>
  <si>
    <t>Isoform 5 of Occludin</t>
  </si>
  <si>
    <t>Male-enhanced antigen 1</t>
  </si>
  <si>
    <t>Isoform 3 of Serine/arginine-rich splicing factor 7</t>
  </si>
  <si>
    <t>Isoform SMN-delta7 of Survival motor neuron protein</t>
  </si>
  <si>
    <t>Drebrin</t>
  </si>
  <si>
    <t>MAP kinase-activated protein kinase 3</t>
  </si>
  <si>
    <t>Nuclear respiratory factor 1</t>
  </si>
  <si>
    <t>Fascin</t>
  </si>
  <si>
    <t>Zinc finger and SCAN domain-containing protein 26</t>
  </si>
  <si>
    <t>Kynureninase</t>
  </si>
  <si>
    <t>Putative ATP-dependent Clp protease proteolytic subunit, mitochondrial</t>
  </si>
  <si>
    <t>Isoform 1 of Diacylglycerol kinase delta</t>
  </si>
  <si>
    <t>Thiosulfate sulfurtransferase</t>
  </si>
  <si>
    <t>Ubiquitin-conjugating enzyme E2 S</t>
  </si>
  <si>
    <t>Kynurenine--oxoglutarate transaminase 1</t>
  </si>
  <si>
    <t>Hydroxyacylglutathione hydrolase, mitochondrial</t>
  </si>
  <si>
    <t>Histone H2B type 2-E</t>
  </si>
  <si>
    <t>Phosphoenolpyruvate carboxykinase [GTP], mitochondrial</t>
  </si>
  <si>
    <t>Tyrosine-protein phosphatase non-receptor type 21</t>
  </si>
  <si>
    <t>Uridine phosphorylase 1</t>
  </si>
  <si>
    <t>Hydroxyacyl-coenzyme A dehydrogenase, mitochondrial</t>
  </si>
  <si>
    <t>UTP--glucose-1-phosphate uridylyltransferase</t>
  </si>
  <si>
    <t>Deoxyguanosine kinase, mitochondrial</t>
  </si>
  <si>
    <t>V-type proton ATPase subunit F</t>
  </si>
  <si>
    <t>Isoform 2 of Putative deoxyribonuclease TATDN3</t>
  </si>
  <si>
    <t>Protein FAM98C</t>
  </si>
  <si>
    <t>Flap endonuclease GEN homolog 1</t>
  </si>
  <si>
    <t>Proto-oncogene c-Rel</t>
  </si>
  <si>
    <t>Isoform 1 of Centrosome and spindle pole-associated protein 1</t>
  </si>
  <si>
    <t>Isoform 4 of Transmembrane protein 132A</t>
  </si>
  <si>
    <t>Inverted formin-2</t>
  </si>
  <si>
    <t>Sister chromatid cohesion protein PDS5 homolog A</t>
  </si>
  <si>
    <t>Glutamine and serine-rich protein 1</t>
  </si>
  <si>
    <t>Protein CLEC16A</t>
  </si>
  <si>
    <t>AP2-associated protein kinase 1</t>
  </si>
  <si>
    <t>Isoform 5 of Centrosomal protein kizuna</t>
  </si>
  <si>
    <t>WASH complex subunit 7</t>
  </si>
  <si>
    <t>DNA excision repair protein ERCC-6-like</t>
  </si>
  <si>
    <t>Isoform 2 of UPF0561 protein C2orf68</t>
  </si>
  <si>
    <t>Pre-rRNA-processing protein TSR1 homolog</t>
  </si>
  <si>
    <t>Glutamine-rich protein 1</t>
  </si>
  <si>
    <t>RELA protein</t>
  </si>
  <si>
    <t>WD40 repeat-containing protein SMU1</t>
  </si>
  <si>
    <t>Autophagy-related protein 2 homolog A</t>
  </si>
  <si>
    <t>TCF3 protein</t>
  </si>
  <si>
    <t>CWF19-like protein 2</t>
  </si>
  <si>
    <t>Cytoplasmic tRNA 2-thiolation protein 2</t>
  </si>
  <si>
    <t>PDE4C protein</t>
  </si>
  <si>
    <t>Leucine-rich repeat flightless-interacting protein 1</t>
  </si>
  <si>
    <t>Isoform 2 of Leucine-rich repeat flightless-interacting protein 1</t>
  </si>
  <si>
    <t>Isoform 3 of Leucine-rich repeat flightless-interacting protein 1</t>
  </si>
  <si>
    <t>Isoform 4 of Leucine-rich repeat flightless-interacting protein 1</t>
  </si>
  <si>
    <t>Prolyl 3-hydroxylase 1</t>
  </si>
  <si>
    <t>tRNA (guanine(37)-N1)-methyltransferase</t>
  </si>
  <si>
    <t>Echinoderm microtubule-associated protein-like 3</t>
  </si>
  <si>
    <t>DNA-directed RNA polymerase I subunit RPA43</t>
  </si>
  <si>
    <t>Isoform 4 of Erythroid differentiation-related factor 1</t>
  </si>
  <si>
    <t>Protein FAM161A</t>
  </si>
  <si>
    <t>Isoform 2 of MAP7 domain-containing protein 1</t>
  </si>
  <si>
    <t>UDP-N-acetylhexosamine pyrophosphorylase-like protein 1</t>
  </si>
  <si>
    <t>UPF0538 protein C2orf76</t>
  </si>
  <si>
    <t>Alpha-ketoglutarate-dependent dioxygenase alkB homolog 6</t>
  </si>
  <si>
    <t>Isoform 2 of Chromodomain-helicase-DNA-binding protein 9</t>
  </si>
  <si>
    <t>Bifunctional ATP-dependent dihydroxyacetone kinase/FAD-AMP lyase (cyclizing)</t>
  </si>
  <si>
    <t>Protein LSM12 homolog</t>
  </si>
  <si>
    <t>TBC1 domain family member 25</t>
  </si>
  <si>
    <t>Putative tRNA pseudouridine synthase Pus10</t>
  </si>
  <si>
    <t>Transcription factor Sp6</t>
  </si>
  <si>
    <t>Isoform 3 of GON-4-like protein</t>
  </si>
  <si>
    <t>Isoform 2 of Girdin</t>
  </si>
  <si>
    <t>Isoform 4 of Girdin</t>
  </si>
  <si>
    <t>Isoform 5 of Girdin</t>
  </si>
  <si>
    <t>Rab-like protein 6</t>
  </si>
  <si>
    <t>Tubulin beta-8 chain</t>
  </si>
  <si>
    <t>Galectin-related protein</t>
  </si>
  <si>
    <t>Isoform 4 of Poly [ADP-ribose] polymerase 14</t>
  </si>
  <si>
    <t>Isoform 3 of Pleckstrin homology domain-containing family N member 1</t>
  </si>
  <si>
    <t>Isoform 2 of Alpha-(1,3)-fucosyltransferase 11</t>
  </si>
  <si>
    <t>Zinc finger protein 672</t>
  </si>
  <si>
    <t>Isoform 2 of Coiled-coil domain-containing protein 14</t>
  </si>
  <si>
    <t>UPF0489 protein C5orf22</t>
  </si>
  <si>
    <t>Cytochrome c oxidase assembly protein COX19</t>
  </si>
  <si>
    <t>Isoform 2 of Microtubule-associated protein 9</t>
  </si>
  <si>
    <t>Vacuolar protein sorting-associated protein 26B</t>
  </si>
  <si>
    <t>La-related protein 7</t>
  </si>
  <si>
    <t>NAD kinase domain-containing protein 1, mitochondrial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</si>
  <si>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</si>
  <si>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</si>
  <si>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</si>
  <si>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</si>
  <si>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Taperin</t>
  </si>
  <si>
    <t>Isoform 2 of 1-phosphatidylinositol 4,5-bisphosphate phosphodiesterase eta-1</t>
  </si>
  <si>
    <t>Dynein light chain 1, axonemal</t>
  </si>
  <si>
    <t>Isoform 2 of AT-rich interactive domain-containing protein 4B</t>
  </si>
  <si>
    <t>GRIP1-associated protein 1</t>
  </si>
  <si>
    <t>Isoform 2 of B-cell CLL/lymphoma 7 protein family member A</t>
  </si>
  <si>
    <t>Isoform 2 of FLYWCH-type zinc finger-containing protein 1</t>
  </si>
  <si>
    <t>Peroxisomal 2,4-dienoyl-CoA reductase</t>
  </si>
  <si>
    <t>Isoform 2 of PAB-dependent poly(A)-specific ribonuclease subunit 2</t>
  </si>
  <si>
    <t>Uncharacterized protein C4orf46</t>
  </si>
  <si>
    <t>Isoform 2 of Protein FAM98B</t>
  </si>
  <si>
    <t>Enhancer of polycomb homolog 2</t>
  </si>
  <si>
    <t>Rho GTPase-activating protein 29</t>
  </si>
  <si>
    <t>Isoform 2 of Programmed cell death protein 4</t>
  </si>
  <si>
    <t>Centrosomal protein of 55 kDa</t>
  </si>
  <si>
    <t>Uncharacterized protein C17orf85</t>
  </si>
  <si>
    <t>Quinone oxidoreductase PIG3</t>
  </si>
  <si>
    <t>Protein Hikeshi</t>
  </si>
  <si>
    <t>Kelch-like protein 12</t>
  </si>
  <si>
    <t>Pleckstrin homology-like domain family A member 2</t>
  </si>
  <si>
    <t>tRNA wybutosine-synthesizing protein 2 homolog</t>
  </si>
  <si>
    <t>Beta-lactamase-like protein 2</t>
  </si>
  <si>
    <t>Protein TSSC1</t>
  </si>
  <si>
    <t>Single-strand selective monofunctional uracil DNA glycosylase</t>
  </si>
  <si>
    <t>Ankyrin repeat domain-containing protein SOWAHC</t>
  </si>
  <si>
    <t>Protein LBH</t>
  </si>
  <si>
    <t>Ankyrin repeat domain-containing protein 39</t>
  </si>
  <si>
    <t>BolA-like protein 3</t>
  </si>
  <si>
    <t>Isoform 4 of Cordon-bleu protein-like 1</t>
  </si>
  <si>
    <t>HCLS1-binding protein 3</t>
  </si>
  <si>
    <t>WD repeat-containing protein 81</t>
  </si>
  <si>
    <t>Isoform 2 of Shugoshin-like 2</t>
  </si>
  <si>
    <t>Peptidyl-prolyl cis-trans isomerase A</t>
  </si>
  <si>
    <t>Isoform 4 of PAB-dependent poly(A)-specific ribonuclease subunit 3</t>
  </si>
  <si>
    <t>Putative heat shock protein HSP 90-beta 2</t>
  </si>
  <si>
    <t>Putative heat shock protein HSP 90-alpha A4</t>
  </si>
  <si>
    <t>DDB1- and CUL4-associated factor 6</t>
  </si>
  <si>
    <t>Putative 60S ribosomal protein L39-like 5</t>
  </si>
  <si>
    <t>Oxidoreductase-like domain-containing protein 1</t>
  </si>
  <si>
    <t>UPF0692 protein C19orf54</t>
  </si>
  <si>
    <t>DBIRD complex subunit ZNF326</t>
  </si>
  <si>
    <t>Ribonuclease ZC3H12A</t>
  </si>
  <si>
    <t>Filaggrin-2</t>
  </si>
  <si>
    <t>RILP-like protein 1</t>
  </si>
  <si>
    <t>PDZ domain-containing protein 11</t>
  </si>
  <si>
    <t>DnaJ homolog subfamily C member 21</t>
  </si>
  <si>
    <t>Isoform 2 of N-acetyltransferase ESCO1</t>
  </si>
  <si>
    <t>Isoform 2 of Probable E3 ubiquitin-protein ligase HERC4</t>
  </si>
  <si>
    <t>cAMP-dependent protein kinase inhibitor gamma</t>
  </si>
  <si>
    <t>Metalloproteinase inhibitor 1</t>
  </si>
  <si>
    <t>Isoform 2 of BCL-6 corepressor-like protein 1</t>
  </si>
  <si>
    <t>Fidgetin</t>
  </si>
  <si>
    <t>Isoform 2 of SH3 domain-containing protein 19</t>
  </si>
  <si>
    <t>Tetratricopeptide repeat protein 32</t>
  </si>
  <si>
    <t>1,25-dihydroxyvitamin D(3) 24-hydroxylase, mitochondrial</t>
  </si>
  <si>
    <t>Tubulin beta chain</t>
  </si>
  <si>
    <t>Ankyrin repeat domain-containing protein 36C</t>
  </si>
  <si>
    <t>Isoform 2 of Uncharacterized protein C3orf38</t>
  </si>
  <si>
    <t>Elongation factor 1-alpha 1 (Fragment)</t>
  </si>
  <si>
    <t>Mov10, Moloney leukemia virus 10, homolog (Mouse), isoform CRA_a</t>
  </si>
  <si>
    <t>Rho-related GTP-binding protein RhoC (Fragment)</t>
  </si>
  <si>
    <t>Isoform 2 of Melanoma inhibitory activity protein 3</t>
  </si>
  <si>
    <t>Nucleoporin p58/p45 (Fragment)</t>
  </si>
  <si>
    <t>Presequence protease, mitochondrial</t>
  </si>
  <si>
    <t>Isoform 2 of NHL repeat-containing protein 3</t>
  </si>
  <si>
    <t>Proteasome assembly chaperone 4</t>
  </si>
  <si>
    <t>Transcription factor Dp-1 (Fragment)</t>
  </si>
  <si>
    <t>Isoform 2 of WD repeat-containing protein 44</t>
  </si>
  <si>
    <t>Protein PRRC2B</t>
  </si>
  <si>
    <t>Isoform 2 of Tight junction-associated protein 1</t>
  </si>
  <si>
    <t>RRP12-like protein</t>
  </si>
  <si>
    <t>Isoform 3 of Cytochrome c oxidase assembly factor 6 homolog</t>
  </si>
  <si>
    <t>Glucocorticoid modulatory element binding protein 2, isoform CRA_a</t>
  </si>
  <si>
    <t>Torsin-1A-interacting protein 1</t>
  </si>
  <si>
    <t>Centrosomal protein of 78 kDa</t>
  </si>
  <si>
    <t>Alanine--tRNA ligase, mitochondrial</t>
  </si>
  <si>
    <t>IQ motif and SEC7 domain-containing protein 2</t>
  </si>
  <si>
    <t>Rap guanine nucleotide exchange factor 1 (Fragment)</t>
  </si>
  <si>
    <t>Testis-expressed sequence 30 protein</t>
  </si>
  <si>
    <t>FERM and PDZ domain-containing protein 3</t>
  </si>
  <si>
    <t>Isoform 3 of PCI domain-containing protein 2</t>
  </si>
  <si>
    <t>Intracellular hyaluronan-binding protein 4</t>
  </si>
  <si>
    <t>Engulfment and cell motility protein 2</t>
  </si>
  <si>
    <t>Double-stranded RNA-binding protein Staufen homolog 1</t>
  </si>
  <si>
    <t>DBL-transforming protein (Fragment)</t>
  </si>
  <si>
    <t>Sorting nexin-21</t>
  </si>
  <si>
    <t>Sterile alpha motif domain-containing protein 9</t>
  </si>
  <si>
    <t>Diacylglycerol kinase kappa</t>
  </si>
  <si>
    <t>Cytospin-B</t>
  </si>
  <si>
    <t>Isoform 2 of Serine/threonine-protein phosphatase 4 regulatory subunit 3B</t>
  </si>
  <si>
    <t>WD repeat domain phosphoinositide-interacting protein 3</t>
  </si>
  <si>
    <t>EGF domain-specific O-linked N-acetylglucosamine transferase</t>
  </si>
  <si>
    <t>Tubulin-specific chaperone cofactor E-like protein</t>
  </si>
  <si>
    <t>Deoxynucleotidyltransferase terminal-interacting protein 2</t>
  </si>
  <si>
    <t>Peroxisomal biogenesis factor 19 (Fragment)</t>
  </si>
  <si>
    <t>Bcl-2-like protein 1 (Fragment)</t>
  </si>
  <si>
    <t>DDB1- and CUL4-associated factor 10</t>
  </si>
  <si>
    <t>RNA-binding protein Raly (Fragment)</t>
  </si>
  <si>
    <t>Proteasome inhibitor PI31 subunit</t>
  </si>
  <si>
    <t>Isoform 4 of Rab GTPase-activating protein 1-like</t>
  </si>
  <si>
    <t>Pleckstrin homology domain-containing family A member 1</t>
  </si>
  <si>
    <t>COBW domain-containing protein 5</t>
  </si>
  <si>
    <t>Exosome complex component MTR3</t>
  </si>
  <si>
    <t>WASH complex subunit FAM21B</t>
  </si>
  <si>
    <t>Nucleoporin NUP188 homolog</t>
  </si>
  <si>
    <t>HLA class I histocompatibility antigen, A-68 alpha chain</t>
  </si>
  <si>
    <t>Heterochromatin protein 1-binding protein 3</t>
  </si>
  <si>
    <t>Zinc finger MYM-type protein 1</t>
  </si>
  <si>
    <t>Centrosomal protein of 170 kDa</t>
  </si>
  <si>
    <t>Isoform 3 of Centrosomal protein of 170 kDa</t>
  </si>
  <si>
    <t>Low density lipoprotein receptor adapter protein 1</t>
  </si>
  <si>
    <t>Rab GDP dissociation inhibitor beta (Fragment)</t>
  </si>
  <si>
    <t>DNL-type zinc finger protein</t>
  </si>
  <si>
    <t>Isoform 2 of NHS-like protein 1</t>
  </si>
  <si>
    <t>Isoform 3 of Formin-binding protein 1-like</t>
  </si>
  <si>
    <t>SH3 domain-binding glutamic acid-rich-like protein 3</t>
  </si>
  <si>
    <t>Probable arginine--tRNA ligase, mitochondrial</t>
  </si>
  <si>
    <t>Pygopus homolog 2</t>
  </si>
  <si>
    <t>Acyl-coenzyme A thioesterase THEM4</t>
  </si>
  <si>
    <t>FK506-binding protein 15</t>
  </si>
  <si>
    <t>Probable ATP-dependent RNA helicase DDX59</t>
  </si>
  <si>
    <t>Zinc finger CCCH domain-containing protein 13</t>
  </si>
  <si>
    <t>UPF0668 protein C10orf76</t>
  </si>
  <si>
    <t>Isoform 3 of Decaprenyl-diphosphate synthase subunit 1</t>
  </si>
  <si>
    <t>Na(+)/H(+) exchange regulatory cofactor NHE-RF3</t>
  </si>
  <si>
    <t>Neurobeachin</t>
  </si>
  <si>
    <t>Arrestin domain-containing protein 1 (Fragment)</t>
  </si>
  <si>
    <t>Ligand-dependent nuclear receptor-interacting factor 1</t>
  </si>
  <si>
    <t>Zinc finger protein 438</t>
  </si>
  <si>
    <t>Putative transferase CAF17, mitochondrial</t>
  </si>
  <si>
    <t>E3 ubiquitin-protein ligase HECTD3</t>
  </si>
  <si>
    <t>Isoform 3 of E3 ubiquitin-protein ligase UBR4</t>
  </si>
  <si>
    <t>Golgin-45 (Fragment)</t>
  </si>
  <si>
    <t>Isoform 3 of Syntaxin-binding protein 5</t>
  </si>
  <si>
    <t>Isoform 3 of Sickle tail protein homolog</t>
  </si>
  <si>
    <t>Rho GTPase-activating protein 21</t>
  </si>
  <si>
    <t>BEN domain-containing protein 3</t>
  </si>
  <si>
    <t>Calmodulin-regulated spectrin-associated protein 1</t>
  </si>
  <si>
    <t>Ubiquitin-associated protein 2</t>
  </si>
  <si>
    <t>Isoform 2 of PHD finger protein 19</t>
  </si>
  <si>
    <t>UPF0553 protein C9orf64</t>
  </si>
  <si>
    <t>Chaperone activity of bc1 complex-like, mitochondrial</t>
  </si>
  <si>
    <t>RAB6-interacting golgin</t>
  </si>
  <si>
    <t>Zinc finger protein 618</t>
  </si>
  <si>
    <t>Isoform 2 of Zinc finger protein 618</t>
  </si>
  <si>
    <t>Protein phosphatase 1 regulatory subunit 26</t>
  </si>
  <si>
    <t>Isoform 2 of Acyl-CoA-binding domain-containing protein 5</t>
  </si>
  <si>
    <t>Isoform 2 of RNA-binding protein 26</t>
  </si>
  <si>
    <t>Inter-alpha-trypsin inhibitor heavy chain H2</t>
  </si>
  <si>
    <t>Isoform 2 of Protein FAM102A</t>
  </si>
  <si>
    <t>Glutathione S-transferase omega-1 (Fragment)</t>
  </si>
  <si>
    <t>WD repeat-containing protein 96</t>
  </si>
  <si>
    <t>E3 ubiquitin-protein ligase RNF187</t>
  </si>
  <si>
    <t>Protein argonaute-1</t>
  </si>
  <si>
    <t>Mitochondrial nucleoid factor 1</t>
  </si>
  <si>
    <t>Calcium-binding protein 39-like (Fragment)</t>
  </si>
  <si>
    <t>Terminal uridylyltransferase 4</t>
  </si>
  <si>
    <t>Ribonuclease H2 subunit B</t>
  </si>
  <si>
    <t>Uncharacterized protein C1orf131 (Fragment)</t>
  </si>
  <si>
    <t>Protein LSM14 homolog B (Fragment)</t>
  </si>
  <si>
    <t>ATP synthase mitochondrial F1 complex assembly factor 1</t>
  </si>
  <si>
    <t>Probable E3 ubiquitin-protein ligase Roquin</t>
  </si>
  <si>
    <t>Opioid growth factor receptor-like protein 1</t>
  </si>
  <si>
    <t>Isoform 4 of Membrane-associated guanylate kinase, WW and PDZ domain-containing protein 3</t>
  </si>
  <si>
    <t>Mitogen-activated protein kinase kinase kinase MLK4</t>
  </si>
  <si>
    <t>Protein DDI1 homolog 2</t>
  </si>
  <si>
    <t>NADH dehydrogenase [ubiquinone] 1 alpha subcomplex assembly factor 5</t>
  </si>
  <si>
    <t>5-nucleotidase domain-containing protein 1</t>
  </si>
  <si>
    <t>Transmembrane and coiled-coil domain-containing protein 4</t>
  </si>
  <si>
    <t>Brefeldin A-inhibited guanine nucleotide-exchange protein 3</t>
  </si>
  <si>
    <t>Protein PRR14L</t>
  </si>
  <si>
    <t>Protein lin-9 homolog</t>
  </si>
  <si>
    <t>Rootletin</t>
  </si>
  <si>
    <t>RNA-binding E3 ubiquitin-protein ligase MEX3C</t>
  </si>
  <si>
    <t>Complex III assembly factor LYRM7</t>
  </si>
  <si>
    <t>Uncharacterized protein C12orf60</t>
  </si>
  <si>
    <t>Telomere-associated protein RIF1</t>
  </si>
  <si>
    <t>Isoform 4 of Vacuolar protein sorting-associated protein 53 homolog</t>
  </si>
  <si>
    <t>Striatin-interacting protein 1</t>
  </si>
  <si>
    <t>6-phosphofructokinase type C (Fragment)</t>
  </si>
  <si>
    <t>Isoform 2 of G kinase-anchoring protein 1</t>
  </si>
  <si>
    <t>Centrosome-associated protein 350</t>
  </si>
  <si>
    <t>Isoform 4 of Serine/threonine-protein kinase MRCK alpha</t>
  </si>
  <si>
    <t>Regulation of nuclear pre-mRNA domain-containing protein 2</t>
  </si>
  <si>
    <t>Annexin A8-like protein 2</t>
  </si>
  <si>
    <t>Pre-mRNA-splicing factor 38B</t>
  </si>
  <si>
    <t>E3 ubiquitin-protein ligase BRE1A</t>
  </si>
  <si>
    <t>Dynein light chain Tctex-type 1</t>
  </si>
  <si>
    <t>ATP synthase subunit epsilon-like protein, mitochondrial</t>
  </si>
  <si>
    <t>Isoform 6 of Myomegalin</t>
  </si>
  <si>
    <t>Tropomyosin 3, isoform CRA_b</t>
  </si>
  <si>
    <t>Zinc finger protein 318</t>
  </si>
  <si>
    <t>Protein FAM171A1</t>
  </si>
  <si>
    <t>Uncharacterized protein C1orf53</t>
  </si>
  <si>
    <t>Rho guanine nucleotide exchange factor 16</t>
  </si>
  <si>
    <t>Threonylcarbamoyladenosine tRNA methylthiotransferase</t>
  </si>
  <si>
    <t>Isoform 2 of Zinc finger protein 691</t>
  </si>
  <si>
    <t>60S ribosomal protein L11 (Fragment)</t>
  </si>
  <si>
    <t>Pleckstrin homology domain-containing family M member 2</t>
  </si>
  <si>
    <t>Isoform 2 of Ubiquitin thioesterase OTU1</t>
  </si>
  <si>
    <t>BRO1 domain-containing protein BROX</t>
  </si>
  <si>
    <t>Focadhesin</t>
  </si>
  <si>
    <t>Transcription initiation factor TFIID subunit 3</t>
  </si>
  <si>
    <t>Protein FAM208B</t>
  </si>
  <si>
    <t>Round spermatid basic protein 1</t>
  </si>
  <si>
    <t>Isoform 2 of Disabled homolog 2-interacting protein</t>
  </si>
  <si>
    <t>Lysophospholipase-like protein 1</t>
  </si>
  <si>
    <t>Spermatogenesis-associated protein 1</t>
  </si>
  <si>
    <t>Low-density lipoprotein receptor-related protein 11</t>
  </si>
  <si>
    <t>Proteasome-associated protein ECM29 homolog</t>
  </si>
  <si>
    <t>Isoform 6 of Terminal uridylyltransferase 7</t>
  </si>
  <si>
    <t>Protein SLX4IP</t>
  </si>
  <si>
    <t>Isoform 2 of Renalase</t>
  </si>
  <si>
    <t>N-alpha-acetyltransferase 35, NatC auxiliary subunit</t>
  </si>
  <si>
    <t>Leucine-rich repeat-containing protein 16A</t>
  </si>
  <si>
    <t>Isoform 4 of Zinc finger MYM-type protein 4</t>
  </si>
  <si>
    <t>6-phosphofructo-2-kinase</t>
  </si>
  <si>
    <t>RING finger protein 219</t>
  </si>
  <si>
    <t>Isoform 2 of SUMO-specific isopeptidase USPL1</t>
  </si>
  <si>
    <t>Protein FAM160B1</t>
  </si>
  <si>
    <t>Isoform 2 of SPRY domain-containing protein 7</t>
  </si>
  <si>
    <t>E3 ubiquitin-protein ligase RNF123</t>
  </si>
  <si>
    <t>Isoform 3 of F-box/WD repeat-containing protein 9</t>
  </si>
  <si>
    <t>E3 ubiquitin-protein ligase RNF213</t>
  </si>
  <si>
    <t>Isoform 2 of E3 ubiquitin-protein ligase RNF213</t>
  </si>
  <si>
    <t>Isoform 2 of AP-1 complex-associated regulatory protein</t>
  </si>
  <si>
    <t>Isoform 3 of KN motif and ankyrin repeat domain-containing protein 2</t>
  </si>
  <si>
    <t>WASH complex subunit FAM21A</t>
  </si>
  <si>
    <t>NMDA receptor-regulated protein 2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</si>
  <si>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</si>
  <si>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</si>
  <si>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</si>
  <si>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</si>
  <si>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ADP-ribosylation factor-like protein 6-interacting protein 4</t>
  </si>
  <si>
    <t>Isoform 2 of Autophagy-related protein 16-1</t>
  </si>
  <si>
    <t>Isoform 3 of Rap1 GTPase-activating protein 2</t>
  </si>
  <si>
    <t>AT-rich interactive domain-containing protein 2</t>
  </si>
  <si>
    <t>Digestive organ expansion factor homolog</t>
  </si>
  <si>
    <t>Isoform 2 of Protein fantom</t>
  </si>
  <si>
    <t>Tensin-3</t>
  </si>
  <si>
    <t>HAUS augmin-like complex subunit 3</t>
  </si>
  <si>
    <t>Isoform 2 of Protein SPT2 homolog</t>
  </si>
  <si>
    <t>Protein PMS2CL</t>
  </si>
  <si>
    <t>Beta/gamma crystallin domain-containing protein 3</t>
  </si>
  <si>
    <t>Cohesin subunit SA-1</t>
  </si>
  <si>
    <t>Isoform 2 of Integrator complex subunit 3</t>
  </si>
  <si>
    <t>Isoform 6 of Rho GTPase-activating protein 17</t>
  </si>
  <si>
    <t>Cell division cycle-associated protein 2</t>
  </si>
  <si>
    <t>CWF19-like protein 1</t>
  </si>
  <si>
    <t>Protein virilizer homolog</t>
  </si>
  <si>
    <t>Isoform 2 of Cytospin-A</t>
  </si>
  <si>
    <t>HEAT repeat-containing protein 6</t>
  </si>
  <si>
    <t>Ankyrin repeat domain-containing protein 40</t>
  </si>
  <si>
    <t>Isoform 4 of Protein WWC2</t>
  </si>
  <si>
    <t>E3 ubiquitin-protein ligase TRIM68</t>
  </si>
  <si>
    <t>NADH-cytochrome b5 reductase 2</t>
  </si>
  <si>
    <t>UHRF1-binding protein 1</t>
  </si>
  <si>
    <t>AMMECR1-like protein</t>
  </si>
  <si>
    <t>Zinc finger protein 787</t>
  </si>
  <si>
    <t>Isoform 3 of Adenosine deaminase-like protein</t>
  </si>
  <si>
    <t>Nucleoredoxin</t>
  </si>
  <si>
    <t>Tetratricopeptide repeat protein 19, mitochondrial</t>
  </si>
  <si>
    <t>Isoform 5 of DNA-directed RNA polymerase II subunit GRINL1A, isoforms 4/5</t>
  </si>
  <si>
    <t>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</si>
  <si>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</si>
  <si>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</si>
  <si>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</si>
  <si>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</si>
  <si>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Ral GTPase-activating protein subunit alpha-1</t>
  </si>
  <si>
    <t>THO complex subunit 7 homolog</t>
  </si>
  <si>
    <t>Glutamine-dependent NAD(+) synthetase</t>
  </si>
  <si>
    <t>Isoform 3 of Elongator complex protein 2</t>
  </si>
  <si>
    <t>Twinfilin-2</t>
  </si>
  <si>
    <t>Condensin-2 complex subunit H2</t>
  </si>
  <si>
    <t>Uncharacterized protein KIAA0930</t>
  </si>
  <si>
    <t>Isoform 2 of Protein Jade-1</t>
  </si>
  <si>
    <t>rRNA methyltransferase 1, mitochondrial</t>
  </si>
  <si>
    <t>Serine/threonine-protein phosphatase 4 regulatory subunit 3A</t>
  </si>
  <si>
    <t>Ras-related protein Rab-12</t>
  </si>
  <si>
    <t>Isoform 2 of Pleckstrin homology domain-containing family A member 7</t>
  </si>
  <si>
    <t>ADNP homeobox protein 2</t>
  </si>
  <si>
    <t>Isoform 2 of Protein SDE2 homolog</t>
  </si>
  <si>
    <t>Eukaryotic translation initiation factor 5A-1-like</t>
  </si>
  <si>
    <t>Keratin, type II cytoskeletal 80</t>
  </si>
  <si>
    <t>Isoform 2 of Nipped-B-like protein</t>
  </si>
  <si>
    <t>Isoform 2 of 2,5-phosphodiesterase 12</t>
  </si>
  <si>
    <t>Protein lin-54 homolog</t>
  </si>
  <si>
    <t>Isoform 2 of Zinc finger protein 280D</t>
  </si>
  <si>
    <t>2-oxoglutarate and iron-dependent oxygenase domain-containing protein 2</t>
  </si>
  <si>
    <t>N-alpha-acetyltransferase 16, NatA auxiliary subunit</t>
  </si>
  <si>
    <t>Alpha-ketoglutarate-dependent dioxygenase alkB homolog 2</t>
  </si>
  <si>
    <t>Pleckstrin homology-like domain family B member 3</t>
  </si>
  <si>
    <t>TMF-regulated nuclear protein 1</t>
  </si>
  <si>
    <t>UPF0544 protein C5orf45</t>
  </si>
  <si>
    <t>Inactive Ufm1-specific protease 1</t>
  </si>
  <si>
    <t>3-hydroxyisobutyryl-CoA hydrolase, mitochondrial</t>
  </si>
  <si>
    <t>Isoform 2 of Armadillo repeat-containing protein 6</t>
  </si>
  <si>
    <t>Ankyrin repeat domain-containing protein 54</t>
  </si>
  <si>
    <t>Isoform 2 of KN motif and ankyrin repeat domain-containing protein 3</t>
  </si>
  <si>
    <t>Bifunctional arginine demethylase and lysyl-hydroxylase JMJD6</t>
  </si>
  <si>
    <t>Phostensin</t>
  </si>
  <si>
    <t>Isoform 5 of Fanconi anemia-associated protein of 20 kDa</t>
  </si>
  <si>
    <t>Polymerase I and transcript release factor</t>
  </si>
  <si>
    <t>Zinc finger CCHC domain-containing protein 8</t>
  </si>
  <si>
    <t>Isoform 2 of Mis18-binding protein 1</t>
  </si>
  <si>
    <t>Putative ATP-dependent RNA helicase DHX57</t>
  </si>
  <si>
    <t>Parafibromin</t>
  </si>
  <si>
    <t>Polyamine-modulated factor 1</t>
  </si>
  <si>
    <t>Protein FAM117B</t>
  </si>
  <si>
    <t>Isoform A of Lethal(2) giant larvae protein homolog 2</t>
  </si>
  <si>
    <t>Armadillo repeat-containing X-linked protein 5</t>
  </si>
  <si>
    <t>Coiled-coil and C2 domain-containing protein 1A</t>
  </si>
  <si>
    <t>Putative deoxyribonuclease TATDN1</t>
  </si>
  <si>
    <t>Methyltransferase-like protein 2B</t>
  </si>
  <si>
    <t>tRNA-dihydrouridine(16/17) synthase [NAD(P)(+)]-like</t>
  </si>
  <si>
    <t>Transcription initiation factor TFIID subunit 2</t>
  </si>
  <si>
    <t>UPF0598 protein C8orf82</t>
  </si>
  <si>
    <t>Isoform 2 of Zinc finger protein 1 homolog</t>
  </si>
  <si>
    <t>Enhancer of mRNA-decapping protein 4</t>
  </si>
  <si>
    <t>Isoform 2 of Centrosomal protein of 85 kDa</t>
  </si>
  <si>
    <t>Putative protein arginine N-methyltransferase 10</t>
  </si>
  <si>
    <t>Pre-mRNA-processing-splicing factor 8</t>
  </si>
  <si>
    <t>F-box only protein 42</t>
  </si>
  <si>
    <t>SCY1-like protein 2</t>
  </si>
  <si>
    <t>Tetratricopeptide repeat protein 27</t>
  </si>
  <si>
    <t>Adrenodoxin-like protein, mitochondrial</t>
  </si>
  <si>
    <t>ATP-dependent DNA helicase Q5</t>
  </si>
  <si>
    <t>WD repeat-containing protein 73</t>
  </si>
  <si>
    <t>Isoform 3 of Nuclear factor related to kappa-B-binding protein</t>
  </si>
  <si>
    <t>Mitotic-spindle organizing protein 2A</t>
  </si>
  <si>
    <t>Acylpyruvase FAHD1, mitochondrial</t>
  </si>
  <si>
    <t>Uncharacterized protein C8orf47</t>
  </si>
  <si>
    <t>RNA demethylase ALKBH5</t>
  </si>
  <si>
    <t>TLD domain-containing protein KIAA1609</t>
  </si>
  <si>
    <t>Integrator complex subunit 5</t>
  </si>
  <si>
    <t>Round spermatid basic protein 1-like protein</t>
  </si>
  <si>
    <t>Glucose 1,6-bisphosphate synthase</t>
  </si>
  <si>
    <t>Isoform 2 of F-box/LRR-repeat protein 19</t>
  </si>
  <si>
    <t>RNA polymerase-associated protein CTR9 homolog</t>
  </si>
  <si>
    <t>Alpha- and gamma-adaptin-binding protein p34</t>
  </si>
  <si>
    <t>Isoform A of Proline/serine-rich coiled-coil protein 1</t>
  </si>
  <si>
    <t>Tetratricopeptide repeat protein 37</t>
  </si>
  <si>
    <t>UPF0547 protein C16orf87</t>
  </si>
  <si>
    <t>Isoform 3 of Serine/threonine-protein kinase ULK3</t>
  </si>
  <si>
    <t>Aspartate--tRNA ligase, mitochondrial</t>
  </si>
  <si>
    <t>Tetratricopeptide repeat protein 33</t>
  </si>
  <si>
    <t>Coiled-coil domain-containing protein 174</t>
  </si>
  <si>
    <t>F-box only protein 38</t>
  </si>
  <si>
    <t>CENPC1 protein</t>
  </si>
  <si>
    <t>Isoform 2 of Fidgetin-like protein 1</t>
  </si>
  <si>
    <t>Tripartite motif-containing protein 65</t>
  </si>
  <si>
    <t>ELM2 and SANT domain-containing protein 1</t>
  </si>
  <si>
    <t>BRCA1-associated ATM activator 1</t>
  </si>
  <si>
    <t>Isoform 5 of Zinc finger CCCH domain-containing protein 14</t>
  </si>
  <si>
    <t>Isoform 2 of Zinc finger protein 773</t>
  </si>
  <si>
    <t>La-related protein 1</t>
  </si>
  <si>
    <t>Protein TMED8</t>
  </si>
  <si>
    <t>Complexin-2</t>
  </si>
  <si>
    <t>E3 ubiquitin-protein ligase TRAF7</t>
  </si>
  <si>
    <t>Biogenesis of lysosome-related organelles complex 1 subunit 3</t>
  </si>
  <si>
    <t>Rapamycin-insensitive companion of mTOR</t>
  </si>
  <si>
    <t>Protein FAM111B</t>
  </si>
  <si>
    <t>Atherin</t>
  </si>
  <si>
    <t>Sterile alpha and TIR motif-containing protein 1</t>
  </si>
  <si>
    <t>Isoform 4 of Nance-Horan syndrome protein</t>
  </si>
  <si>
    <t>Monofunctional C1-tetrahydrofolate synthase, mitochondrial</t>
  </si>
  <si>
    <t>Ankyrin repeat domain-containing protein 11</t>
  </si>
  <si>
    <t>Isoform 5 of Aftiphilin</t>
  </si>
  <si>
    <t>Pre-mRNA 3-end-processing factor FIP1</t>
  </si>
  <si>
    <t>Isoform 3 of CREB-regulated transcription coactivator 1</t>
  </si>
  <si>
    <t>KDEL motif-containing protein 1</t>
  </si>
  <si>
    <t>E3 ubiquitin-protein ligase LRSAM1</t>
  </si>
  <si>
    <t>Dehydrogenase/reductase SDR family member 11</t>
  </si>
  <si>
    <t>Suprabasin</t>
  </si>
  <si>
    <t>Isoform 2 of Carboxylesterase 3</t>
  </si>
  <si>
    <t>Peptidyl-prolyl cis-trans isomerase CWC27 homolog</t>
  </si>
  <si>
    <t>Isoform 4 of Cysteine-rich with EGF-like domain protein 2</t>
  </si>
  <si>
    <t>WD repeat-containing protein 82</t>
  </si>
  <si>
    <t>Isoform 2 of Brain-specific angiogenesis inhibitor 1-associated protein 2-like protein 2</t>
  </si>
  <si>
    <t>Isoform 2 of Transmembrane channel-like protein 5</t>
  </si>
  <si>
    <t>Isoform 4 of Dipeptidyl peptidase 8</t>
  </si>
  <si>
    <t>Isoform 2 of Activating transcription factor 7-interacting protein 1</t>
  </si>
  <si>
    <t>Phosphofurin acidic cluster sorting protein 1</t>
  </si>
  <si>
    <t>Isoform 2 of Myosin phosphatase Rho-interacting protein</t>
  </si>
  <si>
    <t>Rab11 family-interacting protein 1</t>
  </si>
  <si>
    <t>Chordin-like protein 2</t>
  </si>
  <si>
    <t>Nicotinate phosphoribosyltransferase</t>
  </si>
  <si>
    <t>Isoform 2 of Dual serine/threonine and tyrosine protein kinase</t>
  </si>
  <si>
    <t>Dynamin-binding protein</t>
  </si>
  <si>
    <t>PERQ amino acid-rich with GYF domain-containing protein 2</t>
  </si>
  <si>
    <t>CD109 antigen</t>
  </si>
  <si>
    <t>Isoform 3 of Thyroid adenoma-associated protein</t>
  </si>
  <si>
    <t>Hydroxysteroid dehydrogenase-like protein 2</t>
  </si>
  <si>
    <t>Isoform 3 of Kynurenine--oxoglutarate transaminase 3</t>
  </si>
  <si>
    <t>Protein phosphatase 1 regulatory subunit 21</t>
  </si>
  <si>
    <t>RNA-binding protein MEX3B</t>
  </si>
  <si>
    <t>Isoform 2 of Protein lin-28 homolog B</t>
  </si>
  <si>
    <t>Isoform 2 of Zinc finger protein AEBP2</t>
  </si>
  <si>
    <t>Tropomyosin 1 (Alpha), isoform CRA_f</t>
  </si>
  <si>
    <t>Isoform 6 of Differentially expressed in FDCP 8 homolog</t>
  </si>
  <si>
    <t>Isoform 2 of E3 ubiquitin-protein ligase Arkadia</t>
  </si>
  <si>
    <t>Isoform 2 of NF-X1-type zinc finger protein NFXL1</t>
  </si>
  <si>
    <t>Beclin 1-associated autophagy-related key regulator</t>
  </si>
  <si>
    <t>Isoform 3 of Neurobeachin-like protein 2</t>
  </si>
  <si>
    <t>GDP-D-glucose phosphorylase 1</t>
  </si>
  <si>
    <t>Isoform 4 of Uncharacterized protein C17orf97</t>
  </si>
  <si>
    <t>Isoform 3 of Helicase SRCAP</t>
  </si>
  <si>
    <t>Isoform 2 of Protein FAM65A</t>
  </si>
  <si>
    <t>Neurobeachin-like protein 1</t>
  </si>
  <si>
    <t>Uncharacterized protein C1orf122</t>
  </si>
  <si>
    <t>Isoform 2 of Rho guanine nucleotide exchange factor 18</t>
  </si>
  <si>
    <t>E3 ubiquitin-protein ligase UBR3</t>
  </si>
  <si>
    <t>SH3 domain-binding protein 1</t>
  </si>
  <si>
    <t>Ubinuclein-2</t>
  </si>
  <si>
    <t>Isoform 2 of Rho GTPase-activating protein 27</t>
  </si>
  <si>
    <t>Isoform 4 of Uncharacterized protein C15orf52</t>
  </si>
  <si>
    <t>DENN domain-containing protein 5B</t>
  </si>
  <si>
    <t>FYVE, RhoGEF and PH domain-containing protein 6</t>
  </si>
  <si>
    <t>G protein-regulated inducer of neurite outgrowth 3</t>
  </si>
  <si>
    <t>8-oxo-dGDP phosphatase NUDT18</t>
  </si>
  <si>
    <t>TOM1-like protein 2</t>
  </si>
  <si>
    <t>Isoform 5 of PAX-interacting protein 1</t>
  </si>
  <si>
    <t>Syntaxin-binding protein 4</t>
  </si>
  <si>
    <t>General transcription factor IIH subunit 5</t>
  </si>
  <si>
    <t>Isoform 3 of Vacuolar protein sorting-associated protein 13C</t>
  </si>
  <si>
    <t>Ubiquitin carboxyl-terminal hydrolase 34</t>
  </si>
  <si>
    <t>Ubiquitin carboxyl-terminal hydrolase 31</t>
  </si>
  <si>
    <t>Ras-associated and pleckstrin homology domains-containing protein 1</t>
  </si>
  <si>
    <t>Inactive ubiquitin carboxyl-terminal hydrolase 53</t>
  </si>
  <si>
    <t>Isoform 4 of Inactive ubiquitin carboxyl-terminal hydrolase 54</t>
  </si>
  <si>
    <t>MOB kinase activator 2</t>
  </si>
  <si>
    <t>Protein unc-13 homolog D</t>
  </si>
  <si>
    <t>Isoform 2 of Protein FRA10AC1</t>
  </si>
  <si>
    <t>Ubiquitin-conjugating enzyme E2 R2</t>
  </si>
  <si>
    <t>Isoform 3 of La-related protein 4</t>
  </si>
  <si>
    <t>Isoform 5 of Mediator of RNA polymerase II transcription subunit 25</t>
  </si>
  <si>
    <t>Isoform 2 of Tubulin alpha-1A chain</t>
  </si>
  <si>
    <t>Histone H2A.V</t>
  </si>
  <si>
    <t>40S ribosomal protein S27-like</t>
  </si>
  <si>
    <t>E3 ubiquitin-protein ligase Hakai</t>
  </si>
  <si>
    <t>MTSS1-like protein</t>
  </si>
  <si>
    <t>Isoform 4 of Nucleolar protein 8</t>
  </si>
  <si>
    <t>Isoform 2 of Centrosomal protein of 68 kDa</t>
  </si>
  <si>
    <t>Transcription elongation factor SPT6</t>
  </si>
  <si>
    <t>Isoform 2 of Transcription elongation factor SPT6</t>
  </si>
  <si>
    <t>Staphylococcal nuclease domain-containing protein 1</t>
  </si>
  <si>
    <t>Isoform 14 of Serine/threonine-protein kinase MARK2</t>
  </si>
  <si>
    <t>Probable ATP-dependent RNA helicase DDX46</t>
  </si>
  <si>
    <t>Isoform 2 of Protein RUFY3</t>
  </si>
  <si>
    <t>Mitochondrial ribonuclease P protein 1</t>
  </si>
  <si>
    <t>Basic leucine zipper and W2 domain-containing protein 1</t>
  </si>
  <si>
    <t>Cytochrome b5 reductase 4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</si>
  <si>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</si>
  <si>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</si>
  <si>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</si>
  <si>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</si>
  <si>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Zinc finger protein 771</t>
  </si>
  <si>
    <t>Arginine/serine-rich coiled-coil protein 2</t>
  </si>
  <si>
    <t>Ras-related GTP-binding protein A</t>
  </si>
  <si>
    <t>Cytoplasmic FMR1-interacting protein 1</t>
  </si>
  <si>
    <t>Isoform 2 of Protein MCM10 homolog</t>
  </si>
  <si>
    <t>NADH dehydrogenase [ubiquinone] complex I, assembly factor 7</t>
  </si>
  <si>
    <t>Golgi to ER traffic protein 4 homolog</t>
  </si>
  <si>
    <t>Mitochondrial enolase superfamily member 1</t>
  </si>
  <si>
    <t>Macrophage erythroblast attacher</t>
  </si>
  <si>
    <t>EPM2A-interacting protein 1</t>
  </si>
  <si>
    <t>Putative pre-mRNA-splicing factor ATP-dependent RNA helicase DHX32</t>
  </si>
  <si>
    <t>Serine/threonine-protein kinase TAO1</t>
  </si>
  <si>
    <t>SH3 domain-binding protein 5-like</t>
  </si>
  <si>
    <t>FAST kinase domain-containing protein 5</t>
  </si>
  <si>
    <t>Diphthine--ammonia ligase</t>
  </si>
  <si>
    <t>Lysine-specific demethylase 3B</t>
  </si>
  <si>
    <t>Charged multivesicular body protein 1b</t>
  </si>
  <si>
    <t>Ribonucleoside-diphosphate reductase subunit M2 B</t>
  </si>
  <si>
    <t>Protein-methionine sulfoxide oxidase MICAL3</t>
  </si>
  <si>
    <t>PHD finger-like domain-containing protein 5A</t>
  </si>
  <si>
    <t>Isoform 3 of Aprataxin</t>
  </si>
  <si>
    <t>G protein-regulated inducer of neurite outgrowth 1</t>
  </si>
  <si>
    <t>TRMT1-like protein</t>
  </si>
  <si>
    <t>Zinc finger CCCH-type antiviral protein 1</t>
  </si>
  <si>
    <t>Interferon-induced very large GTPase 1</t>
  </si>
  <si>
    <t>Isoform 2 of Treslin</t>
  </si>
  <si>
    <t>Elongation factor Tu GTP-binding domain-containing protein 1</t>
  </si>
  <si>
    <t>Protein FAM122B</t>
  </si>
  <si>
    <t>Isoform 3 of Probable helicase senataxin</t>
  </si>
  <si>
    <t>Kelch-like protein 9</t>
  </si>
  <si>
    <t>Trafficking protein particle complex subunit 11</t>
  </si>
  <si>
    <t>KAT8 regulatory NSL complex subunit 1</t>
  </si>
  <si>
    <t>Isoform 2 of Autophagy-related protein 9A</t>
  </si>
  <si>
    <t>LysM and putative peptidoglycan-binding domain-containing protein 3</t>
  </si>
  <si>
    <t>Uncharacterized protein C10orf118</t>
  </si>
  <si>
    <t>LisH domain-containing protein ARMC9</t>
  </si>
  <si>
    <t>Prickle-like protein 2</t>
  </si>
  <si>
    <t>UPF0505 protein C16orf62</t>
  </si>
  <si>
    <t>Isoform 4 of Mesoderm induction early response protein 3</t>
  </si>
  <si>
    <t>Zinc finger FYVE domain-containing protein 16</t>
  </si>
  <si>
    <t>Ubiquitin-protein ligase E3B</t>
  </si>
  <si>
    <t>Isoform 6 of Myosin-14</t>
  </si>
  <si>
    <t>Nuclear fragile X mental retardation-interacting protein 2</t>
  </si>
  <si>
    <t>Isoform 2 of SUZ domain-containing protein 1</t>
  </si>
  <si>
    <t>Mitochondrial antiviral-signaling protein</t>
  </si>
  <si>
    <t>CLIP-associating protein 1</t>
  </si>
  <si>
    <t>ATP-dependent RNA helicase DHX29</t>
  </si>
  <si>
    <t>COMM domain-containing protein 6</t>
  </si>
  <si>
    <t>Isoform 2 of tRNA (guanine(10)-N2)-methyltransferase homolog</t>
  </si>
  <si>
    <t>HD domain-containing protein 2</t>
  </si>
  <si>
    <t>HAUS augmin-like complex subunit 6</t>
  </si>
  <si>
    <t>KDEL motif-containing protein 2</t>
  </si>
  <si>
    <t>Isoform 3 of LIM and senescent cell antigen-like-containing domain protein 2</t>
  </si>
  <si>
    <t>HEAT repeat-containing protein 3</t>
  </si>
  <si>
    <t>Isoform 5 of Kinesin-like protein KIF21A</t>
  </si>
  <si>
    <t>Hepatoma-derived growth factor-related protein 2</t>
  </si>
  <si>
    <t>L-xylulose reductase</t>
  </si>
  <si>
    <t>Protein EMSY</t>
  </si>
  <si>
    <t>Wings apart-like protein homolog</t>
  </si>
  <si>
    <t>Isoform 2 of R3H and coiled-coil domain-containing protein 1-like</t>
  </si>
  <si>
    <t>Interferon regulatory factor 2-binding protein 2</t>
  </si>
  <si>
    <t>Isoform 4 of Cytoplasmic polyadenylation element-binding protein 2</t>
  </si>
  <si>
    <t>Amyloid beta A4 precursor protein-binding family B member 1-interacting protein</t>
  </si>
  <si>
    <t>Calmodulin-lysine N-methyltransferase</t>
  </si>
  <si>
    <t>Isoform 2 of Coiled-coil domain-containing protein 91</t>
  </si>
  <si>
    <t>SLIT-ROBO Rho GTPase-activating protein 1</t>
  </si>
  <si>
    <t>Isoform 2 of E3 ubiquitin-protein ligase RBBP6</t>
  </si>
  <si>
    <t>UPF0461 protein C5orf24</t>
  </si>
  <si>
    <t>E3 ubiquitin-protein ligase SH3RF1</t>
  </si>
  <si>
    <t>E3 ubiquitin-protein ligase E3D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</si>
  <si>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</si>
  <si>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</si>
  <si>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</si>
  <si>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</si>
  <si>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Isoform 2 of E3 ubiquitin-protein ligase HUWE1</t>
  </si>
  <si>
    <t>Isoform 2 of Centriolin</t>
  </si>
  <si>
    <t>Cytoplasmic tRNA 2-thiolation protein 1</t>
  </si>
  <si>
    <t>Filamin-A-interacting protein 1</t>
  </si>
  <si>
    <t>Transcription initiation factor TFIID subunit 8</t>
  </si>
  <si>
    <t>Ubiquitin-conjugating enzyme E2 Q1</t>
  </si>
  <si>
    <t>UPF0469 protein KIAA0907</t>
  </si>
  <si>
    <t>Isoform 2 of Vacuolar protein sorting-associated protein 13B</t>
  </si>
  <si>
    <t>Calcium/calmodulin-dependent protein kinase II inhibitor 1</t>
  </si>
  <si>
    <t>COX assembly mitochondrial protein homolog</t>
  </si>
  <si>
    <t>Schlafen family member 11</t>
  </si>
  <si>
    <t>Protein zer-1 homolog</t>
  </si>
  <si>
    <t>Zinc finger and SCAN domain-containing protein 2</t>
  </si>
  <si>
    <t>Amphoterin-induced protein 2</t>
  </si>
  <si>
    <t>Pleckstrin homology-like domain family B member 2</t>
  </si>
  <si>
    <t>Isoform 2 of Pleckstrin homology-like domain family B member 2</t>
  </si>
  <si>
    <t>G-protein coupled receptor 126</t>
  </si>
  <si>
    <t>Serologically defined colon cancer antigen 8</t>
  </si>
  <si>
    <t>Glutaredoxin-related protein 5, mitochondrial</t>
  </si>
  <si>
    <t>Trafficking protein particle complex subunit 6B</t>
  </si>
  <si>
    <t>Transcriptional regulator Kaiso</t>
  </si>
  <si>
    <t>MOB kinase activator 3B</t>
  </si>
  <si>
    <t>Alpha-protein kinase 2</t>
  </si>
  <si>
    <t>Isoform 4 of Protein PAT1 homolog 1</t>
  </si>
  <si>
    <t>Isoform RF1 of Retrotransposon-derived protein PEG10</t>
  </si>
  <si>
    <t>Isoform 2 of TBC1 domain family member 1</t>
  </si>
  <si>
    <t>Isoform 2 of Dipeptidyl peptidase 9</t>
  </si>
  <si>
    <t>tRNA 2-phosphotransferase 1</t>
  </si>
  <si>
    <t>Protein prune homolog</t>
  </si>
  <si>
    <t>Histone-lysine N-methyltransferase setd3</t>
  </si>
  <si>
    <t>Full-length cDNA clone CS0DI002YH20 of Placenta of Homo sapiens (human)</t>
  </si>
  <si>
    <t>Acyl-coenzyme A thioesterase 1</t>
  </si>
  <si>
    <t>Full-length cDNA clone CS0DI083YG01 of Placenta of Homo sapiens (human)</t>
  </si>
  <si>
    <t>Iron-sulfur cluster assembly 2 homolog, mitochondrial</t>
  </si>
  <si>
    <t>N6-adenosine-methyltransferase 70 kDa subunit</t>
  </si>
  <si>
    <t>Isoform 2 of LIM domain-binding protein 1</t>
  </si>
  <si>
    <t>YrdC domain-containing protein, mitochondrial</t>
  </si>
  <si>
    <t>Pre-mRNA-processing factor 39</t>
  </si>
  <si>
    <t>Isoform 3 of RPA-interacting protein</t>
  </si>
  <si>
    <t>Suppressor APC domain-containing protein 2</t>
  </si>
  <si>
    <t>Isoform 2 of Serine/threonine-protein kinase tousled-like 2</t>
  </si>
  <si>
    <t>Isoform 2 of Limbin</t>
  </si>
  <si>
    <t>Isoform 3 of Zinc finger protein 598</t>
  </si>
  <si>
    <t>Kinectin</t>
  </si>
  <si>
    <t>Telomerase-binding protein EST1A</t>
  </si>
  <si>
    <t>Isoform 4 of B-cell CLL/lymphoma 9-like protein</t>
  </si>
  <si>
    <t>Isoform 2 of Pleckstrin homology-like domain family B member 1</t>
  </si>
  <si>
    <t>Ubiquitin carboxyl-terminal hydrolase 48</t>
  </si>
  <si>
    <t>Serine/threonine-protein kinase 32C</t>
  </si>
  <si>
    <t>TXNDC5 protein</t>
  </si>
  <si>
    <t>Isoform 2 of 5-nucleotidase domain-containing protein 3</t>
  </si>
  <si>
    <t>Acetoacetyl-CoA synthetase</t>
  </si>
  <si>
    <t>Leucine zipper protein 1</t>
  </si>
  <si>
    <t>Protein FAM160B2</t>
  </si>
  <si>
    <t>Uncharacterized protein C11orf74</t>
  </si>
  <si>
    <t>Isoform 3 of Zinc finger protein 410</t>
  </si>
  <si>
    <t>Zinc finger CCCH domain-containing protein 18</t>
  </si>
  <si>
    <t>Vacuolar protein-sorting-associated protein 36</t>
  </si>
  <si>
    <t>Isoform 2 of Tax1-binding protein 1</t>
  </si>
  <si>
    <t>Cullin-associated NEDD8-dissociated protein 1</t>
  </si>
  <si>
    <t>Glucocorticoid-induced transcript 1 protein</t>
  </si>
  <si>
    <t>Thioredoxin reductase 3</t>
  </si>
  <si>
    <t>Protein FAM134C</t>
  </si>
  <si>
    <t>Protein Hook homolog 3</t>
  </si>
  <si>
    <t>Isoform 3 of Rotatin</t>
  </si>
  <si>
    <t>SEC14 domain and spectrin repeat-containing protein 1</t>
  </si>
  <si>
    <t>Isoform 2 of COMM domain-containing protein 7</t>
  </si>
  <si>
    <t>Testis-specific Y-encoded-like protein 5</t>
  </si>
  <si>
    <t>Archaemetzincin-2</t>
  </si>
  <si>
    <t>THO complex subunit 6 homolog</t>
  </si>
  <si>
    <t>Methyltransferase-like protein 16</t>
  </si>
  <si>
    <t>Poly(ADP-ribose) glycohydrolase</t>
  </si>
  <si>
    <t>Isoform 2 of Liprin-beta-1</t>
  </si>
  <si>
    <t>Isoform 4 of Liprin-beta-1</t>
  </si>
  <si>
    <t>Isoform 2 of Valacyclovir hydrolase</t>
  </si>
  <si>
    <t>Ras association domain-containing protein 3</t>
  </si>
  <si>
    <t>Isoform 2 of Chromodomain-helicase-DNA-binding protein 1-like</t>
  </si>
  <si>
    <t>Vasculin</t>
  </si>
  <si>
    <t>Nuclear receptor 2C2-associated protein</t>
  </si>
  <si>
    <t>Coiled-coil domain-containing protein 25</t>
  </si>
  <si>
    <t>Proline and serine-rich protein 2</t>
  </si>
  <si>
    <t>Tetratricopeptide repeat protein 30A</t>
  </si>
  <si>
    <t>Cerebellar degeneration-related protein 2-like</t>
  </si>
  <si>
    <t>Ral GTPase-activating protein subunit beta</t>
  </si>
  <si>
    <t>Ras-specific guanine nucleotide-releasing factor RalGPS2</t>
  </si>
  <si>
    <t>Isoform 3 of Leucine-rich repeat-containing protein 28</t>
  </si>
  <si>
    <t>Glutamate-rich protein 1</t>
  </si>
  <si>
    <t>Isoform 1 of Histone-arginine methyltransferase CARM1</t>
  </si>
  <si>
    <t>Isoform 1 of Nitrilase homolog 1</t>
  </si>
  <si>
    <t>COMM domain-containing protein 2</t>
  </si>
  <si>
    <t>Isoform 2 of Corepressor interacting with RBPJ 1</t>
  </si>
  <si>
    <t>HEAT repeat-containing protein 5A</t>
  </si>
  <si>
    <t>Condensin-2 complex subunit G2</t>
  </si>
  <si>
    <t>Isoform 3 of Swi5-dependent recombination DNA repair protein 1 homolog</t>
  </si>
  <si>
    <t>RNA-binding protein MEX3D</t>
  </si>
  <si>
    <t>ATP-dependent RNA helicase DDX42</t>
  </si>
  <si>
    <t>Spermatogenesis-associated serine-rich protein 2</t>
  </si>
  <si>
    <t>Isoform 4 of Serine/threonine-protein kinase VRK2</t>
  </si>
  <si>
    <t>CDK2-associated and cullin domain-containing protein 1</t>
  </si>
  <si>
    <t>HEAT repeat-containing protein 2</t>
  </si>
  <si>
    <t>Probable peptidyl-tRNA hydrolase</t>
  </si>
  <si>
    <t>Syntaxin-12</t>
  </si>
  <si>
    <t>Isoform 2 of Kinesin-like protein KIF18B</t>
  </si>
  <si>
    <t>Decaprenyl-diphosphate synthase subunit 2</t>
  </si>
  <si>
    <t>Testis development-related protein</t>
  </si>
  <si>
    <t>Homer protein homolog 1</t>
  </si>
  <si>
    <t>Isoform 2 of Transcriptional repressor p66-alpha</t>
  </si>
  <si>
    <t>Isoform 4 of G-protein-signaling modulator 1</t>
  </si>
  <si>
    <t>C2 domain-containing protein 5</t>
  </si>
  <si>
    <t>Tyrosine-protein kinase SgK223</t>
  </si>
  <si>
    <t>Hermansky-Pudlak syndrome 6 protein</t>
  </si>
  <si>
    <t>Hornerin</t>
  </si>
  <si>
    <t>Interferon regulatory factor 2-binding protein 1</t>
  </si>
  <si>
    <t>Isoform 2 of Calcium/calmodulin-dependent protein kinase type 1D</t>
  </si>
  <si>
    <t>Rhophilin-2</t>
  </si>
  <si>
    <t>ELKS/Rab6-interacting/CAST family member 1</t>
  </si>
  <si>
    <t>E3 ubiquitin-protein ligase RNF135</t>
  </si>
  <si>
    <t>Isoform 4 of Bifunctional lysine-specific demethylase and histidyl-hydroxylase MINA</t>
  </si>
  <si>
    <t>Cytokine receptor-like factor 3</t>
  </si>
  <si>
    <t>E3 ubiquitin-protein ligase SIAH1</t>
  </si>
  <si>
    <t>Trafficking protein particle complex subunit 5</t>
  </si>
  <si>
    <t>Isoform 7 of Armadillo repeat-containing protein 8</t>
  </si>
  <si>
    <t>ANKRD10 protein</t>
  </si>
  <si>
    <t>Phospholipase D3</t>
  </si>
  <si>
    <t>Laccase domain-containing protein 1</t>
  </si>
  <si>
    <t>Isoform 3 of Protein HID1</t>
  </si>
  <si>
    <t>Ankyrin repeat and MYND domain-containing protein 2</t>
  </si>
  <si>
    <t>3-5 exoribonuclease 1</t>
  </si>
  <si>
    <t>LysM and putative peptidoglycan-binding domain-containing protein 2</t>
  </si>
  <si>
    <t>Isoform 3 of Inactive serine/threonine-protein kinase VRK3</t>
  </si>
  <si>
    <t>LIX1-like protein</t>
  </si>
  <si>
    <t>NudC domain-containing protein 3</t>
  </si>
  <si>
    <t>Isoform 3 of Protein AHNAK2</t>
  </si>
  <si>
    <t>Ankyrin repeat domain-containing protein 18A</t>
  </si>
  <si>
    <t>Isoform 3 of Forkhead box protein P4</t>
  </si>
  <si>
    <t>Isoform 3 of Mitogen-activated protein kinase kinase kinase kinase 3</t>
  </si>
  <si>
    <t>Isoform 4 of Neuron navigator 2</t>
  </si>
  <si>
    <t>Prolyl 3-hydroxylase 2</t>
  </si>
  <si>
    <t>Coiled-coil domain-containing protein 50</t>
  </si>
  <si>
    <t>Malonyl-CoA-acyl carrier protein transacylase, mitochondrial</t>
  </si>
  <si>
    <t>Uncharacterized protein C19orf21</t>
  </si>
  <si>
    <t>Lipoxygenase homology domain-containing protein 1</t>
  </si>
  <si>
    <t>Aprataxin and PNK-like factor</t>
  </si>
  <si>
    <t>Isoform 2 of MAP kinase-activated protein kinase 5</t>
  </si>
  <si>
    <t>ATP-dependent (S)-NAD(P)H-hydrate dehydratase</t>
  </si>
  <si>
    <t>Isoform 7 of Protein FAM219A</t>
  </si>
  <si>
    <t>WD repeat and FYVE domain-containing protein 1</t>
  </si>
  <si>
    <t>Testis-expressed sequence 2 protein</t>
  </si>
  <si>
    <t>Isoform 2 of MAP7 domain-containing protein 3</t>
  </si>
  <si>
    <t>Coiled-coil domain-containing protein 117</t>
  </si>
  <si>
    <t>Protein NOXP20</t>
  </si>
  <si>
    <t>MAX gene-associated protein</t>
  </si>
  <si>
    <t>GRIP and coiled-coil domain-containing protein 2</t>
  </si>
  <si>
    <t>Iron-sulfur cluster co-chaperone protein HscB, mitochondrial</t>
  </si>
  <si>
    <t>Coiled-coil domain-containing protein 28A</t>
  </si>
  <si>
    <t>Isoform 3 of Serine/threonine-protein kinase BRSK2</t>
  </si>
  <si>
    <t>Zinc finger CCCH domain-containing protein 7A</t>
  </si>
  <si>
    <t>Protein archease</t>
  </si>
  <si>
    <t>Serine/threonine-protein kinase LMTK2</t>
  </si>
  <si>
    <t>E3 ubiquitin-protein ligase UBR1</t>
  </si>
  <si>
    <t>Isoform 4 of E3 ubiquitin-protein ligase UBR2</t>
  </si>
  <si>
    <t>Isoform 2 of Rho GTPase-activating protein 12</t>
  </si>
  <si>
    <t>Calcium homeostasis endoplasmic reticulum protein</t>
  </si>
  <si>
    <t>Isoform 1 of Codanin-1</t>
  </si>
  <si>
    <t>Isoform 6 of Ankyrin repeat and KH domain-containing protein 1</t>
  </si>
  <si>
    <t>SURP and G-patch domain-containing protein 1</t>
  </si>
  <si>
    <t>Isoform 4 of SURP and G-patch domain-containing protein 2</t>
  </si>
  <si>
    <t>Isoform 2 of Protein KIBRA</t>
  </si>
  <si>
    <t>Isoform 6 of Ubiquitin-conjugating enzyme E2 variant 3</t>
  </si>
  <si>
    <t>Zinc finger protein ZFPM1</t>
  </si>
  <si>
    <t>Isoform 2 of Cell division cycle and apoptosis regulator protein 1</t>
  </si>
  <si>
    <t>Isoform 3 of Probable ATP-dependent RNA helicase DHX40</t>
  </si>
  <si>
    <t>Spindle and kinetochore-associated protein 3</t>
  </si>
  <si>
    <t>DnaJ homolog subfamily C member 10</t>
  </si>
  <si>
    <t>Isoform NELF-D of Negative elongation factor C/D</t>
  </si>
  <si>
    <t>Isoform 2 of NAD-dependent protein deacetylase sirtuin-2</t>
  </si>
  <si>
    <t>Isoform 2 of Polyhomeotic-like protein 2</t>
  </si>
  <si>
    <t>Isoform 2 of Chromatin complexes subunit BAP18</t>
  </si>
  <si>
    <t>39S ribosomal protein L41, mitochondrial</t>
  </si>
  <si>
    <t>N-acetylaspartyl-glutamate synthetase A</t>
  </si>
  <si>
    <t>Uncharacterized protein C9orf40</t>
  </si>
  <si>
    <t>Uncharacterized protein KIAA1704</t>
  </si>
  <si>
    <t>Isoform 2 of Putative RNA polymerase II subunit B1 CTD phosphatase RPAP2</t>
  </si>
  <si>
    <t>Zinc finger CCCH domain-containing protein 3</t>
  </si>
  <si>
    <t>Structural maintenance of chromosomes protein 5</t>
  </si>
  <si>
    <t>C-Maf-inducing protein</t>
  </si>
  <si>
    <t>Intraflagellar transport protein 20 homolog</t>
  </si>
  <si>
    <t>MICAL-like protein 2</t>
  </si>
  <si>
    <t>Probable ATP-dependent RNA helicase DHX37</t>
  </si>
  <si>
    <t>Kelch repeat and BTB domain-containing protein 2</t>
  </si>
  <si>
    <t>pre-rRNA processing protein FTSJ3</t>
  </si>
  <si>
    <t>EF-hand calcium-binding domain-containing protein 13</t>
  </si>
  <si>
    <t>Structure-specific endonuclease subunit SLX4</t>
  </si>
  <si>
    <t>Cytoskeleton-associated protein 2-like</t>
  </si>
  <si>
    <t>Protein MB21D2</t>
  </si>
  <si>
    <t>Isoform 3 of 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</si>
  <si>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</si>
  <si>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</si>
  <si>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</si>
  <si>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Isoform 2 of Coiled-coil domain-containing protein 146</t>
  </si>
  <si>
    <t>Isoform 4 of ZZ-type zinc finger-containing protein 3</t>
  </si>
  <si>
    <t>Exocyst complex component 8</t>
  </si>
  <si>
    <t>UPF0688 protein C1orf174</t>
  </si>
  <si>
    <t>Transcription elongation factor A protein-like 8</t>
  </si>
  <si>
    <t>Focal adhesion kinase 1</t>
  </si>
  <si>
    <t>Threonine synthase-like 1</t>
  </si>
  <si>
    <t>SET and MYND domain-containing protein 4</t>
  </si>
  <si>
    <t>Isoform 2 of GRAM domain-containing protein 1C</t>
  </si>
  <si>
    <t>Peptidase M20 domain-containing protein 2</t>
  </si>
  <si>
    <t>FtsJ methyltransferase domain-containing protein 1</t>
  </si>
  <si>
    <t>Calcium uptake protein 2, mitochondrial</t>
  </si>
  <si>
    <t>E3 ubiquitin-protein ligase RNF168</t>
  </si>
  <si>
    <t>Ankyrin repeat domain-containing protein 13A</t>
  </si>
  <si>
    <t>Isoform 3 of Phosphatase and actin regulator 4</t>
  </si>
  <si>
    <t>tRNA (uracil-5-)-methyltransferase homolog A</t>
  </si>
  <si>
    <t>RNA pseudouridylate synthase domain-containing protein 2</t>
  </si>
  <si>
    <t>Aldehyde dehydrogenase family 16 member A1</t>
  </si>
  <si>
    <t>Isoform 6 of Histone-lysine N-methyltransferase MLL5</t>
  </si>
  <si>
    <t>mRNA-decapping enzyme 1B</t>
  </si>
  <si>
    <t>Isoform 2 of Protein-associating with the carboxyl-terminal domain of ezrin</t>
  </si>
  <si>
    <t>Isoform 2 of 5-3 exoribonuclease 1</t>
  </si>
  <si>
    <t>Mastermind-like protein 2</t>
  </si>
  <si>
    <t>Proline-, glutamic acid- and leucine-rich protein 1</t>
  </si>
  <si>
    <t>Isoform 10 of Abl interactor 1</t>
  </si>
  <si>
    <t>Isoform 2 of WD repeat and FYVE domain-containing protein 3</t>
  </si>
  <si>
    <t>Tensin-4</t>
  </si>
  <si>
    <t>Uncharacterized protein C8orf59</t>
  </si>
  <si>
    <t>Isoform 3 of Protein FAM185A</t>
  </si>
  <si>
    <t>L-fucose kinase</t>
  </si>
  <si>
    <t>Spartin</t>
  </si>
  <si>
    <t>Spindle and centriole-associated protein 1</t>
  </si>
  <si>
    <t>Tetratricopeptide repeat protein 5</t>
  </si>
  <si>
    <t>Isoform 7 of Mesoderm induction early response protein 1</t>
  </si>
  <si>
    <t>Regulatory-associated protein of mTOR</t>
  </si>
  <si>
    <t>Protein canopy homolog 4</t>
  </si>
  <si>
    <t>Adenylosuccinate synthetase isozyme 1</t>
  </si>
  <si>
    <t>DBIRD complex subunit KIAA1967</t>
  </si>
  <si>
    <t>Vacuolar protein sorting-associated protein 52 homolog</t>
  </si>
  <si>
    <t>Nuclear pore complex protein Nup93</t>
  </si>
  <si>
    <t>Cap-specific mRNA (nucleoside-2-O-)-methyltransferase 1</t>
  </si>
  <si>
    <t>Leucine-rich repeat-containing protein 47</t>
  </si>
  <si>
    <t>Keratin, type II cytoskeletal 78</t>
  </si>
  <si>
    <t>Isoform 4 of Rho guanine nucleotide exchange factor 28</t>
  </si>
  <si>
    <t>Integrator complex subunit 1</t>
  </si>
  <si>
    <t>Isoform 4 of Armadillo repeat-containing protein 10</t>
  </si>
  <si>
    <t>E3 SUMO-protein ligase PIAS4</t>
  </si>
  <si>
    <t>Iporin</t>
  </si>
  <si>
    <t>Centromere protein S</t>
  </si>
  <si>
    <t>Coiled-coil domain-containing protein 23</t>
  </si>
  <si>
    <t>Angiogenic factor with G patch and FHA domains 1</t>
  </si>
  <si>
    <t>Glycerol-3-phosphate dehydrogenase 1-like protein</t>
  </si>
  <si>
    <t>Lysine-specific demethylase 8</t>
  </si>
  <si>
    <t>Rho GTPase-activating protein 18</t>
  </si>
  <si>
    <t>Activating signal cointegrator 1 complex subunit 3</t>
  </si>
  <si>
    <t>CAP-Gly domain-containing linker protein 4</t>
  </si>
  <si>
    <t>EH domain-binding protein 1-like protein 1</t>
  </si>
  <si>
    <t>MICAL-like protein 1</t>
  </si>
  <si>
    <t>Isoform 3 of Uncharacterized protein C17orf53</t>
  </si>
  <si>
    <t>Isoform 3 of Vacuolar protein sorting-associated protein 8 homolog</t>
  </si>
  <si>
    <t>MAGUK p55 subfamily member 5</t>
  </si>
  <si>
    <t>Isoform 2 of Synaptopodin</t>
  </si>
  <si>
    <t>Formin-binding protein 4</t>
  </si>
  <si>
    <t>D-2-hydroxyglutarate dehydrogenase, mitochondrial</t>
  </si>
  <si>
    <t>RING1 and YY1-binding protein</t>
  </si>
  <si>
    <t>Misshapen-like kinase 1</t>
  </si>
  <si>
    <t>UPF0586 protein C9orf41</t>
  </si>
  <si>
    <t>Kelch-like protein 36</t>
  </si>
  <si>
    <t>Guanosine-3,5-bis(diphosphate) 3-pyrophosphohydrolase MESH1</t>
  </si>
  <si>
    <t>Zinc-binding alcohol dehydrogenase domain-containing protein 2</t>
  </si>
  <si>
    <t>Carbonyl reductase family member 4</t>
  </si>
  <si>
    <t>Actin filament-associated protein 1-like 2</t>
  </si>
  <si>
    <t>Isoform 2 of Actin filament-associated protein 1-like 2</t>
  </si>
  <si>
    <t>2-oxoglutarate and iron-dependent oxygenase domain-containing protein 1</t>
  </si>
  <si>
    <t>Actin filament-associated protein 1</t>
  </si>
  <si>
    <t>Zinc finger CCHC domain-containing protein 9</t>
  </si>
  <si>
    <t>Isoform 2 of Oxidation resistance protein 1</t>
  </si>
  <si>
    <t>Isoform 2 of Tetratricopeptide repeat protein 39C</t>
  </si>
  <si>
    <t>Isoform 3 of Zinc finger CCCH-type with G patch domain-containing protein</t>
  </si>
  <si>
    <t>DTW domain-containing protein 1</t>
  </si>
  <si>
    <t>Isoform 2 of TGF-beta-activated kinase 1 and MAP3K7-binding protein 3</t>
  </si>
  <si>
    <t>NF-kappa-B-activating protein</t>
  </si>
  <si>
    <t>Macoilin</t>
  </si>
  <si>
    <t>Uncharacterized protein C12orf45</t>
  </si>
  <si>
    <t>Ribonuclease P protein subunit p25-like protein</t>
  </si>
  <si>
    <t>ATP synthase mitochondrial F1 complex assembly factor 2</t>
  </si>
  <si>
    <t>39S ribosomal protein L50, mitochondrial</t>
  </si>
  <si>
    <t>Zinc finger CCCH domain-containing protein 8</t>
  </si>
  <si>
    <t>Calcium/calmodulin-dependent protein kinase kinase 1</t>
  </si>
  <si>
    <t>Isoform 3 of Ephexin-1</t>
  </si>
  <si>
    <t>Protein FAM101B</t>
  </si>
  <si>
    <t>FTS and Hook-interacting protein</t>
  </si>
  <si>
    <t>Leucine-zipper-like transcriptional regulator 1</t>
  </si>
  <si>
    <t>Uncharacterized protein C10orf12</t>
  </si>
  <si>
    <t>COMM domain-containing protein 1</t>
  </si>
  <si>
    <t>Cleavage and polyadenylation specificity factor subunit 7</t>
  </si>
  <si>
    <t>ADP-ribosylation factor GTPase-activating protein 2</t>
  </si>
  <si>
    <t>EP300-interacting inhibitor of differentiation 2</t>
  </si>
  <si>
    <t>OTU domain-containing protein 6B</t>
  </si>
  <si>
    <t>Isoform 2 of UPF0690 protein C1orf52</t>
  </si>
  <si>
    <t>Acyl-CoA-binding domain-containing protein 7</t>
  </si>
  <si>
    <t>Methyltransferase-like protein 25</t>
  </si>
  <si>
    <t>TOM1-like protein 1</t>
  </si>
  <si>
    <t>Putative E3 ubiquitin-protein ligase UBR7</t>
  </si>
  <si>
    <t>Isoform 2 of Probable protein phosphatase 1N</t>
  </si>
  <si>
    <t>Zinc finger protein 614</t>
  </si>
  <si>
    <t>Serine/threonine-protein phosphatase 6 regulatory ankyrin repeat subunit B</t>
  </si>
  <si>
    <t>ATP-dependent RNA helicase DDX51</t>
  </si>
  <si>
    <t>Prostaglandin reductase 2</t>
  </si>
  <si>
    <t>UPF0565 protein C2orf69</t>
  </si>
  <si>
    <t>ARL14 effector protein</t>
  </si>
  <si>
    <t>Protein enabled homolog</t>
  </si>
  <si>
    <t>Isoform 2 of Protein enabled homolog</t>
  </si>
  <si>
    <t>G patch domain-containing protein 11</t>
  </si>
  <si>
    <t>Isoform 2 of Ankyrin repeat and BTB/POZ domain-containing protein 2</t>
  </si>
  <si>
    <t>Uncharacterized protein C12orf29</t>
  </si>
  <si>
    <t>Isoform 2 of Junction-mediating and -regulatory protein</t>
  </si>
  <si>
    <t>Isoform 2 of Uncharacterized protein C19orf47</t>
  </si>
  <si>
    <t>Transmembrane protein 102</t>
  </si>
  <si>
    <t>Isoform 2 of Activating signal cointegrator 1 complex subunit 1</t>
  </si>
  <si>
    <t>Isoform 7 of Protein BANP</t>
  </si>
  <si>
    <t>Probable RNA-binding protein EIF1AD</t>
  </si>
  <si>
    <t>WD repeat, SAM and U-box domain-containing protein 1</t>
  </si>
  <si>
    <t>Zinc finger protein 579</t>
  </si>
  <si>
    <t>Isoform 2 of Zinc finger protein 511</t>
  </si>
  <si>
    <t>Mixed lineage kinase domain-like protein</t>
  </si>
  <si>
    <t>Parkinson disease 7 domain-containing protein 1</t>
  </si>
  <si>
    <t>Serine/threonine-protein phosphatase 6 regulatory ankyrin repeat subunit C</t>
  </si>
  <si>
    <t>Lysine-specific histone demethylase 1B</t>
  </si>
  <si>
    <t>Spermatogenesis-associated protein 5</t>
  </si>
  <si>
    <t>DTW domain-containing protein 2</t>
  </si>
  <si>
    <t>NHL repeat-containing protein 2</t>
  </si>
  <si>
    <t>Late secretory pathway protein AVL9 homolog</t>
  </si>
  <si>
    <t>Isoform 2 of Golgi membrane protein 1</t>
  </si>
  <si>
    <t>Procollagen galactosyltransferase 1</t>
  </si>
  <si>
    <t>Sulfatase-modifying factor 2</t>
  </si>
  <si>
    <t>Isoform 4 of Sulfatase-modifying factor 1</t>
  </si>
  <si>
    <t>Protein O-glucosyltransferase 1</t>
  </si>
  <si>
    <t>Isoform 4 of Ubiquitin-associated domain-containing protein 2</t>
  </si>
  <si>
    <t>Isoform 2 of Zinc finger protein 114</t>
  </si>
  <si>
    <t>Isoform 2 of Plasminogen activator inhibitor 1 RNA-binding protein</t>
  </si>
  <si>
    <t>LEM domain-containing protein 2</t>
  </si>
  <si>
    <t>Nitric oxide-associated protein 1</t>
  </si>
  <si>
    <t>Adaptin ear-binding coat-associated protein 1</t>
  </si>
  <si>
    <t>Isoform 2 of Protein FAM98A</t>
  </si>
  <si>
    <t>Group XV phospholipase A2</t>
  </si>
  <si>
    <t>Isoform 3 of Holliday junction recognition protein</t>
  </si>
  <si>
    <t>Isoform 4 of tRNA-splicing endonuclease subunit Sen2</t>
  </si>
  <si>
    <t>Isoform 2 of Myotubularin-related protein 14</t>
  </si>
  <si>
    <t>NFATC2-interacting protein</t>
  </si>
  <si>
    <t>Cytoplasmic dynein 2 heavy chain 1</t>
  </si>
  <si>
    <t>E3 ubiquitin-protein ligase RNF169</t>
  </si>
  <si>
    <t>Pyruvate dehydrogenase phosphatase regulatory subunit, mitochondrial</t>
  </si>
  <si>
    <t>Isoform 3 of Zinc finger and BTB domain-containing protein 44</t>
  </si>
  <si>
    <t>NAD(P)H-hydrate epimerase</t>
  </si>
  <si>
    <t>Protein SMG8</t>
  </si>
  <si>
    <t>RING finger protein 214</t>
  </si>
  <si>
    <t>Liprin-beta-2</t>
  </si>
  <si>
    <t>Isoform 2 of Protein LSM14 homolog A</t>
  </si>
  <si>
    <t>Isoform 3 of Cyclin-Y</t>
  </si>
  <si>
    <t>MAPK-interacting and spindle-stabilizing protein-like</t>
  </si>
  <si>
    <t>PAP-associated domain-containing protein 5</t>
  </si>
  <si>
    <t>Probable aminopeptidase NPEPL1</t>
  </si>
  <si>
    <t>Isoform 3 of EH domain-binding protein 1</t>
  </si>
  <si>
    <t>Isoform 6 of Trinucleotide repeat-containing gene 6A protein</t>
  </si>
  <si>
    <t>Isoform 2 of Polyhomeotic-like protein 3</t>
  </si>
  <si>
    <t>ATP-binding cassette sub-family F member 1</t>
  </si>
  <si>
    <t>Phosphatidylinositol 3-kinase catalytic subunit type 3</t>
  </si>
  <si>
    <t>Glutathione S-transferase C-terminal domain-containing protein</t>
  </si>
  <si>
    <t>Serum response factor-binding protein 1</t>
  </si>
  <si>
    <t>Meiosis-specific nuclear structural protein 1</t>
  </si>
  <si>
    <t>Isoform 2 of Phospholipase DDHD1</t>
  </si>
  <si>
    <t>Microcephalin</t>
  </si>
  <si>
    <t>SHC SH2 domain-binding protein 1</t>
  </si>
  <si>
    <t>PDZ domain-containing protein 8</t>
  </si>
  <si>
    <t>DCC-interacting protein 13-beta</t>
  </si>
  <si>
    <t>Isoform 2 of Neuron navigator 1</t>
  </si>
  <si>
    <t>Vacuolar protein sorting-associated protein 37A</t>
  </si>
  <si>
    <t>Histone-lysine N-methyltransferase MLL3</t>
  </si>
  <si>
    <t>F-box only protein 22</t>
  </si>
  <si>
    <t>Isoform 3 of Zinc finger MIZ domain-containing protein 2</t>
  </si>
  <si>
    <t>Putative uncharacterized protein FLJ00310</t>
  </si>
  <si>
    <t>Nesprin-1</t>
  </si>
  <si>
    <t>Ubiquitin carboxyl-terminal hydrolase 32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</si>
  <si>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</si>
  <si>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</si>
  <si>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</si>
  <si>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</si>
  <si>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</si>
  <si>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Cytosolic endo-beta-N-acetylglucosaminidase</t>
  </si>
  <si>
    <t>Torsin-1A-interacting protein 2</t>
  </si>
  <si>
    <t>Alpha/beta hydrolase domain-containing protein 11</t>
  </si>
  <si>
    <t>N-acylneuraminate cytidylyltransferase</t>
  </si>
  <si>
    <t>F-box only protein 18</t>
  </si>
  <si>
    <t>TNFAIP3-interacting protein 2</t>
  </si>
  <si>
    <t>Cell adhesion molecule 4</t>
  </si>
  <si>
    <t>DNA helicase B</t>
  </si>
  <si>
    <t>Isoform 3 of E3 ubiquitin-protein ligase Praja-1</t>
  </si>
  <si>
    <t>Isoform 2 of Protein CASC5</t>
  </si>
  <si>
    <t>Tubulin--tyrosine ligase</t>
  </si>
  <si>
    <t>Small VCP/p97-interacting protein</t>
  </si>
  <si>
    <t>E3 ubiquitin-protein ligase ZNRF2</t>
  </si>
  <si>
    <t>Putative trypsin-6</t>
  </si>
  <si>
    <t>Isoform 2 of Lysine-specific demethylase 2B</t>
  </si>
  <si>
    <t>Putative phospholipase B-like 2</t>
  </si>
  <si>
    <t>Tudor domain-containing protein 7</t>
  </si>
  <si>
    <t>Protein NEDD1</t>
  </si>
  <si>
    <t>Anaphase-promoting complex subunit CDC26</t>
  </si>
  <si>
    <t>Isoform 2 of Nuclear receptor coactivator 7</t>
  </si>
  <si>
    <t>THO complex subunit 2</t>
  </si>
  <si>
    <t>InaD-like protein</t>
  </si>
  <si>
    <t>WD repeat-containing protein 36</t>
  </si>
  <si>
    <t>Retinitis pigmentosa 9 protein</t>
  </si>
  <si>
    <t>Smad nuclear-interacting protein 1</t>
  </si>
  <si>
    <t>Growth arrest and DNA damage-inducible proteins-interacting protein 1</t>
  </si>
  <si>
    <t>WD repeat-containing protein 48</t>
  </si>
  <si>
    <t>Centrosomal protein of 76 kDa</t>
  </si>
  <si>
    <t>Protein phosphatase 1 regulatory subunit 35</t>
  </si>
  <si>
    <t>M-phase-specific PLK1-interacting protein</t>
  </si>
  <si>
    <t>SWI/SNF complex subunit SMARCC2</t>
  </si>
  <si>
    <t>Nuclear protein localization protein 4 homolog</t>
  </si>
  <si>
    <t>Protein FAM76A</t>
  </si>
  <si>
    <t>Uncharacterized protein CXorf38</t>
  </si>
  <si>
    <t>Spermatogenesis-associated protein 20</t>
  </si>
  <si>
    <t>Ras and Rab interactor 3</t>
  </si>
  <si>
    <t>Iron-sulfur protein NUBPL</t>
  </si>
  <si>
    <t>Abhydrolase domain-containing protein 4</t>
  </si>
  <si>
    <t>F-box only protein 30</t>
  </si>
  <si>
    <t>Isoform 3 of Pumilio homolog 2</t>
  </si>
  <si>
    <t>Isoform 2 of Golgin subfamily A member 5</t>
  </si>
  <si>
    <t>Isoform 3 of Kelch domain-containing protein 4</t>
  </si>
  <si>
    <t>NEDD8-activating enzyme E1 catalytic subunit</t>
  </si>
  <si>
    <t>N-acylneuraminate-9-phosphatase</t>
  </si>
  <si>
    <t>Isoform 4 of Prostamide/prostaglandin F synthase</t>
  </si>
  <si>
    <t>DnaJ homolog subfamily B member 14</t>
  </si>
  <si>
    <t>Guanine nucleotide exchange factor for Rab-3A</t>
  </si>
  <si>
    <t>Phosphatidylinositol 5-phosphate 4-kinase type-2 gamma</t>
  </si>
  <si>
    <t>tRNA methyltransferase 10 homolog A</t>
  </si>
  <si>
    <t>Isoform 2 of TBC1 domain family member 15</t>
  </si>
  <si>
    <t>Leucine-rich repeat-containing protein 20</t>
  </si>
  <si>
    <t>5(3)-deoxyribonucleotidase, cytosolic type</t>
  </si>
  <si>
    <t>Isoform 2 of Protein FAM45A</t>
  </si>
  <si>
    <t>Protein CIP2A</t>
  </si>
  <si>
    <t>Zinc finger protein 507</t>
  </si>
  <si>
    <t>Polyribonucleotide nucleotidyltransferase 1, mitochondrial</t>
  </si>
  <si>
    <t>Isoform 3 of Alstrom syndrome protein 1</t>
  </si>
  <si>
    <t>Phosphatidylinositol 3,4,5-trisphosphate-dependent Rac exchanger 1 protein</t>
  </si>
  <si>
    <t>Cytoplasmic dynein 2 light intermediate chain 1</t>
  </si>
  <si>
    <t>Up-regulator of cell proliferation</t>
  </si>
  <si>
    <t>Isoform 2 of Mitogen-activated protein kinase 15</t>
  </si>
  <si>
    <t>Protein bicaudal D homolog 2</t>
  </si>
  <si>
    <t>Serine/threonine-protein kinase Nek9</t>
  </si>
  <si>
    <t>Alanine aminotransferase 2</t>
  </si>
  <si>
    <t>Isoform 2 of Pleckstrin homology domain-containing family O member 2</t>
  </si>
  <si>
    <t>ATP-dependent RNA helicase DDX54</t>
  </si>
  <si>
    <t>Isoform 2 of ATP-dependent RNA helicase DDX54</t>
  </si>
  <si>
    <t>Biogenesis of lysosome-related organelles complex 1 subunit 5</t>
  </si>
  <si>
    <t>DmX-like protein 2</t>
  </si>
  <si>
    <t>Isoform 3 of Breast carcinoma-amplified sequence 4</t>
  </si>
  <si>
    <t>Disks large homolog 5</t>
  </si>
  <si>
    <t>Glucosamine-6-phosphate isomerase 2</t>
  </si>
  <si>
    <t>Isoform 2 of TRAF3-interacting protein 1</t>
  </si>
  <si>
    <t>Serine/threonine-protein kinase Nek7</t>
  </si>
  <si>
    <t>Isoform 2 of RB1-inducible coiled-coil protein 1</t>
  </si>
  <si>
    <t>Protein-methionine sulfoxide oxidase MICAL1</t>
  </si>
  <si>
    <t>Pantothenate kinase 1</t>
  </si>
  <si>
    <t>Isoform 3 of MORC family CW-type zinc finger protein 4</t>
  </si>
  <si>
    <t>Protein phosphatase Slingshot homolog 3</t>
  </si>
  <si>
    <t>Putative methyltransferase NSUN6</t>
  </si>
  <si>
    <t>Isoform 3 of TBC domain-containing protein kinase-like protein</t>
  </si>
  <si>
    <t>D-tyrosyl-tRNA(Tyr) deacylase 1</t>
  </si>
  <si>
    <t>Isoform 2 of DDB1- and CUL4-associated factor 11</t>
  </si>
  <si>
    <t>DENN domain-containing protein 1A</t>
  </si>
  <si>
    <t>Isoform 1 of Histone-lysine N-methyltransferase, H3 lysine-79 specific</t>
  </si>
  <si>
    <t>Gem-associated protein 5</t>
  </si>
  <si>
    <t>Rho guanine nucleotide exchange factor 40</t>
  </si>
  <si>
    <t>Isoform 5 of Fas-binding factor 1</t>
  </si>
  <si>
    <t>Smith-Magenis syndrome chromosomal region candidate gene 8 protein</t>
  </si>
  <si>
    <t>Isoform 2 of Partitioning defective 3 homolog</t>
  </si>
  <si>
    <t>Importin-4</t>
  </si>
  <si>
    <t>Arginine/serine-rich protein PNISR</t>
  </si>
  <si>
    <t>Isoform 2 of Serine/threonine-protein phosphatase 4 regulatory subunit 1</t>
  </si>
  <si>
    <t>Ubiquitin-associated and SH3 domain-containing protein B</t>
  </si>
  <si>
    <t>Monocarboxylate transporter 10</t>
  </si>
  <si>
    <t>Protein Shroom3</t>
  </si>
  <si>
    <t>Histone-lysine N-methyltransferase SETD7</t>
  </si>
  <si>
    <t>Conserved oligomeric Golgi complex subunit 1</t>
  </si>
  <si>
    <t>Fibroblast growth factor receptor substrate 2</t>
  </si>
  <si>
    <t>Protein FAM222B</t>
  </si>
  <si>
    <t>Isoform 2 of Stromal membrane-associated protein 2</t>
  </si>
  <si>
    <t>Zinc finger CCCH domain-containing protein 15</t>
  </si>
  <si>
    <t>Peptidyl-prolyl cis-trans isomerase-like 4</t>
  </si>
  <si>
    <t>General transcription factor 3C polypeptide 2</t>
  </si>
  <si>
    <t>Tsukushin</t>
  </si>
  <si>
    <t>Isoform 3 of PHD finger protein 10</t>
  </si>
  <si>
    <t>Ras-related protein Rab-2B</t>
  </si>
  <si>
    <t>Coiled-coil domain-containing protein 12</t>
  </si>
  <si>
    <t>RelA-associated inhibitor</t>
  </si>
  <si>
    <t>Protein FAM172A</t>
  </si>
  <si>
    <t>Protein Churchill</t>
  </si>
  <si>
    <t>Transforming growth factor-beta receptor-associated protein 1</t>
  </si>
  <si>
    <t>UPF0444 transmembrane protein C12orf23</t>
  </si>
  <si>
    <t>Isoform 3 of Histone deacetylase 7</t>
  </si>
  <si>
    <t>Serine/threonine/tyrosine-interacting protein</t>
  </si>
  <si>
    <t>Nuclear pore complex protein Nup133</t>
  </si>
  <si>
    <t>Programmed cell death 6-interacting protein</t>
  </si>
  <si>
    <t>Ubiquitin domain-containing protein 2</t>
  </si>
  <si>
    <t>Filamin-binding LIM protein 1</t>
  </si>
  <si>
    <t>UPF0235 protein C15orf40</t>
  </si>
  <si>
    <t>Protein BRICK1</t>
  </si>
  <si>
    <t>Cation transport regulator-like protein 2</t>
  </si>
  <si>
    <t>Charged multivesicular body protein 7</t>
  </si>
  <si>
    <t>B-cell CLL/lymphoma 7 protein family member C</t>
  </si>
  <si>
    <t>Non-structural maintenance of chromosomes element 1 homolog</t>
  </si>
  <si>
    <t>Sorting nexin-33</t>
  </si>
  <si>
    <t>Nucleoside diphosphate-linked moiety X motif 8, mitochondrial</t>
  </si>
  <si>
    <t>MIT domain-containing protein 1</t>
  </si>
  <si>
    <t>Hexosaminidase D</t>
  </si>
  <si>
    <t>Chromosome transmission fidelity protein 18 homolog</t>
  </si>
  <si>
    <t>RNA polymerase-associated protein LEO1</t>
  </si>
  <si>
    <t>40S ribosomal protein S21</t>
  </si>
  <si>
    <t>E3 ubiquitin-protein ligase RNF138</t>
  </si>
  <si>
    <t>NudC domain-containing protein 2</t>
  </si>
  <si>
    <t>U4/U6.U5 small nuclear ribonucleoprotein 27 kDa protein</t>
  </si>
  <si>
    <t>Dimethyladenosine transferase 1, mitochondrial</t>
  </si>
  <si>
    <t>Sec1 family domain-containing protein 1</t>
  </si>
  <si>
    <t>Tumor necrosis factor alpha-induced protein 8-like protein 1</t>
  </si>
  <si>
    <t>WD repeat-containing protein 60</t>
  </si>
  <si>
    <t>Trafficking protein particle complex subunit 12</t>
  </si>
  <si>
    <t>Protein POF1B</t>
  </si>
  <si>
    <t>Isoform 4 of Heterogeneous nuclear ribonucleoprotein L-like</t>
  </si>
  <si>
    <t>Ubiquitin-like domain-containing CTD phosphatase 1</t>
  </si>
  <si>
    <t>tRNA-splicing endonuclease subunit Sen15</t>
  </si>
  <si>
    <t>PEST proteolytic signal-containing nuclear protein</t>
  </si>
  <si>
    <t>Tctex1 domain-containing protein 2</t>
  </si>
  <si>
    <t>SPRY domain-containing protein 4</t>
  </si>
  <si>
    <t>Probable tRNA pseudouridine synthase 1</t>
  </si>
  <si>
    <t>Arf-GAP with Rho-GAP domain, ANK repeat and PH domain-containing protein 3</t>
  </si>
  <si>
    <t>Reticulon-4-interacting protein 1, mitochondrial</t>
  </si>
  <si>
    <t>Selenoprotein M</t>
  </si>
  <si>
    <t>U4/U6 small nuclear ribonucleoprotein Prp31</t>
  </si>
  <si>
    <t>Isoform B of Ectodysplasin-A receptor-associated adapter protein</t>
  </si>
  <si>
    <t>Negative elongation factor B</t>
  </si>
  <si>
    <t>Isoform 3 of Palladin</t>
  </si>
  <si>
    <t>Isoform 2 of RUN and FYVE domain-containing protein 2</t>
  </si>
  <si>
    <t>Isoform 2 of Splicing regulatory glutamine/lysine-rich protein 1</t>
  </si>
  <si>
    <t>Protein-lysine methyltransferase METTL21A</t>
  </si>
  <si>
    <t>Gem-associated protein 6</t>
  </si>
  <si>
    <t>Caskin-2</t>
  </si>
  <si>
    <t>Isoform 2 of ATR-interacting protein</t>
  </si>
  <si>
    <t>Paraspeckle component 1</t>
  </si>
  <si>
    <t>Isoform 4 of Connector enhancer of kinase suppressor of ras 2</t>
  </si>
  <si>
    <t>Isoform 2 of Acyl-coenzyme A thioesterase 11</t>
  </si>
  <si>
    <t>Transcriptional repressor p66-beta</t>
  </si>
  <si>
    <t>Progesterone-induced-blocking factor 1</t>
  </si>
  <si>
    <t>DnaJ homolog subfamily C member 9</t>
  </si>
  <si>
    <t>Intraflagellar transport protein 81 homolog</t>
  </si>
  <si>
    <t>Beta-catenin-like protein 1</t>
  </si>
  <si>
    <t>Protein phosphatase Slingshot homolog 1</t>
  </si>
  <si>
    <t>Ras and Rab interactor 2</t>
  </si>
  <si>
    <t>Protein ELYS</t>
  </si>
  <si>
    <t>Isoform 3 of E3 ubiquitin-protein ligase rififylin</t>
  </si>
  <si>
    <t>Ovarian cancer-associated gene 2 protein</t>
  </si>
  <si>
    <t>Protein LZIC</t>
  </si>
  <si>
    <t>Immunity-related GTPase family Q protein</t>
  </si>
  <si>
    <t>DNA damage-binding protein 2</t>
  </si>
  <si>
    <t>ATP-dependent RNA helicase DDX1</t>
  </si>
  <si>
    <t>Isoform 3 of SEC14-like protein 1</t>
  </si>
  <si>
    <t>Estradiol 17-beta-dehydrogenase 8</t>
  </si>
  <si>
    <t>Histone H1x</t>
  </si>
  <si>
    <t>T-complex protein 1 subunit zeta-2</t>
  </si>
  <si>
    <t>Golgi-specific brefeldin A-resistance guanine nucleotide exchange factor 1</t>
  </si>
  <si>
    <t>Isoform 2 of Protein SMG7</t>
  </si>
  <si>
    <t>RNA polymerase-associated protein RTF1 homolog</t>
  </si>
  <si>
    <t>Transmembrane protein 131</t>
  </si>
  <si>
    <t>DNA topoisomerase 2-binding protein 1</t>
  </si>
  <si>
    <t>28S ribosomal protein S27, mitochondrial</t>
  </si>
  <si>
    <t>Wiskott-Aldrich syndrome protein family member 1</t>
  </si>
  <si>
    <t>Isoform 2 of Protein FAM168A</t>
  </si>
  <si>
    <t>AP-3 complex subunit sigma-1</t>
  </si>
  <si>
    <t>UBX domain-containing protein 4</t>
  </si>
  <si>
    <t>Isoform 2 of PHD finger protein 3</t>
  </si>
  <si>
    <t>Mastermind-like protein 1</t>
  </si>
  <si>
    <t>Protein NDRG1</t>
  </si>
  <si>
    <t>Isoform Beta of Heat shock protein 105 kDa</t>
  </si>
  <si>
    <t>Isoform 2 of Septin-8</t>
  </si>
  <si>
    <t>Cell differentiation protein RCD1 homolog</t>
  </si>
  <si>
    <t>TBC1 domain family member 5</t>
  </si>
  <si>
    <t>Zinc finger protein 592</t>
  </si>
  <si>
    <t>Isoform 3 of Unconventional myosin-XVIIIa</t>
  </si>
  <si>
    <t>La-related protein 4B</t>
  </si>
  <si>
    <t>Translational activator GCN1</t>
  </si>
  <si>
    <t>Pre-mRNA-splicing factor ATP-dependent RNA helicase PRP16</t>
  </si>
  <si>
    <t>Nuclear pore complex protein Nup205</t>
  </si>
  <si>
    <t>Tetratricopeptide repeat protein 9A</t>
  </si>
  <si>
    <t>Amyloid protein-binding protein 2</t>
  </si>
  <si>
    <t>Ankyrin repeat and SAM domain-containing protein 1A</t>
  </si>
  <si>
    <t>Isoform 3 of Delta-sarcoglycan</t>
  </si>
  <si>
    <t>Protein FAN</t>
  </si>
  <si>
    <t>Isoform 2 of Transcription factor IIIA</t>
  </si>
  <si>
    <t>28S ribosomal protein S31, mitochondrial</t>
  </si>
  <si>
    <t>A-kinase anchor protein 1, mitochondrial</t>
  </si>
  <si>
    <t>Neurogranin</t>
  </si>
  <si>
    <t>Isoform 2 of Acidic leucine-rich nuclear phosphoprotein 32 family member B</t>
  </si>
  <si>
    <t>Poliovirus receptor-related protein 2</t>
  </si>
  <si>
    <t>Geranylgeranyl transferase type-2 subunit alpha</t>
  </si>
  <si>
    <t>Isoform 2 of Protein TFG</t>
  </si>
  <si>
    <t>USP6 N-terminal-like protein</t>
  </si>
  <si>
    <t>Actin-related protein 2/3 complex subunit 1A</t>
  </si>
  <si>
    <t>Isoform 2 of Signal transducing adapter molecule 1</t>
  </si>
  <si>
    <t>Zinc finger protein ubi-d4</t>
  </si>
  <si>
    <t>CREB-binding protein</t>
  </si>
  <si>
    <t>Symplekin</t>
  </si>
  <si>
    <t>Isoform Short of TATA-binding protein-associated factor 2N</t>
  </si>
  <si>
    <t>Golgin subfamily A member 1</t>
  </si>
  <si>
    <t>Envoplakin</t>
  </si>
  <si>
    <t>Gamma-glutamyl hydrolase</t>
  </si>
  <si>
    <t>Isoform 4 of X-linked retinitis pigmentosa GTPase regulator</t>
  </si>
  <si>
    <t>Probable ATP-dependent RNA helicase DDX17</t>
  </si>
  <si>
    <t>Isoform 3 of Bcl-2-like protein 2</t>
  </si>
  <si>
    <t>TRAF family member-associated NF-kappa-B activator</t>
  </si>
  <si>
    <t>Isoform 2 of Kinesin-associated protein 3</t>
  </si>
  <si>
    <t>Isoform D of Caspase-10</t>
  </si>
  <si>
    <t>Isoform 3 of Neogenin</t>
  </si>
  <si>
    <t>Phosphomannomutase 1</t>
  </si>
  <si>
    <t>DNA repair protein RAD50</t>
  </si>
  <si>
    <t>Isoform 2 of CUGBP Elav-like family member 1</t>
  </si>
  <si>
    <t>Osteoclast-stimulating factor 1</t>
  </si>
  <si>
    <t>DNA repair endonuclease XPF</t>
  </si>
  <si>
    <t>Ubiquitin fusion degradation protein 1 homolog</t>
  </si>
  <si>
    <t>Regulator of nonsense transcripts 1</t>
  </si>
  <si>
    <t>Isoform II of Hermansky-Pudlak syndrome 1 protein</t>
  </si>
  <si>
    <t>COP9 signalosome complex subunit 5</t>
  </si>
  <si>
    <t>G patch domain and KOW motifs-containing protein</t>
  </si>
  <si>
    <t>SWI/SNF complex subunit SMARCC1</t>
  </si>
  <si>
    <t>Ras-related protein Rab-8B</t>
  </si>
  <si>
    <t>Bcl2 antagonist of cell death</t>
  </si>
  <si>
    <t>Far upstream element-binding protein 2</t>
  </si>
  <si>
    <t>Glutaryl-CoA dehydrogenase, mitochondrial</t>
  </si>
  <si>
    <t>Isoform 2 of GTP-binding protein Rit1</t>
  </si>
  <si>
    <t>Isoform 2 of Transportin-1</t>
  </si>
  <si>
    <t>Isoform 3 of Rho guanine nucleotide exchange factor 2</t>
  </si>
  <si>
    <t>Ribosomal RNA small subunit methyltransferase NEP1</t>
  </si>
  <si>
    <t>Isoform 2 of Polyribonucleotide 5-hydroxyl-kinase Clp1</t>
  </si>
  <si>
    <t>Glomulin</t>
  </si>
  <si>
    <t>Isoform 5 of Transcription factor IIIB 90 kDa subunit</t>
  </si>
  <si>
    <t>Isoform 2 of Ubiquitin carboxyl-terminal hydrolase 13</t>
  </si>
  <si>
    <t>Probable ubiquitin carboxyl-terminal hydrolase FAF-X</t>
  </si>
  <si>
    <t>Cullin-5</t>
  </si>
  <si>
    <t>Lipoma-preferred partner</t>
  </si>
  <si>
    <t>Isoform D of RNA-binding protein with multiple splicing</t>
  </si>
  <si>
    <t>Isoform 2 of Selenocysteine insertion sequence-binding protein 2-like</t>
  </si>
  <si>
    <t>Isoform 3 of Mediator of RNA polymerase II transcription subunit 12</t>
  </si>
  <si>
    <t>Histone H2A type 1-C</t>
  </si>
  <si>
    <t>Protein tyrosine phosphatase type IVA 1</t>
  </si>
  <si>
    <t>Homogentisate 1,2-dioxygenase</t>
  </si>
  <si>
    <t>Isoform 4 of Phosphorylase b kinase regulatory subunit beta</t>
  </si>
  <si>
    <t>Transcription elongation factor A protein-like 3</t>
  </si>
  <si>
    <t>Pre-rRNA-processing protein TSR2 homolog</t>
  </si>
  <si>
    <t>Hermansky-Pudlak syndrome 3 protein</t>
  </si>
  <si>
    <t>Isoform 2 of SWI/SNF-related matrix-associated actin-dependent regulator of chromatin subfamily E member 1</t>
  </si>
  <si>
    <t>Riboflavin kinase</t>
  </si>
  <si>
    <t>Isoform 2 of Ribonuclease P/MRP protein subunit POP5</t>
  </si>
  <si>
    <t>UPF0556 protein C19orf10</t>
  </si>
  <si>
    <t>E3 ubiquitin-protein ligase RNF34</t>
  </si>
  <si>
    <t>Protein YIPF5</t>
  </si>
  <si>
    <t>60S ribosomal protein L36a-like</t>
  </si>
  <si>
    <t>Integrin-alpha FG-GAP repeat-containing protein 2</t>
  </si>
  <si>
    <t>Zinc finger protein 622</t>
  </si>
  <si>
    <t>Isoform 3 of Ribosome-releasing factor 2, mitochondrial</t>
  </si>
  <si>
    <t>Isoform 2 of 7-methylguanosine phosphate-specific 5-nucleotidase</t>
  </si>
  <si>
    <t>F-box/WD repeat-containing protein 5</t>
  </si>
  <si>
    <t>Proteasome assembly chaperone 2</t>
  </si>
  <si>
    <t>Mitochondrial ubiquitin ligase activator of NFKB 1</t>
  </si>
  <si>
    <t>Isoform 2 of Protein FAM104A</t>
  </si>
  <si>
    <t>Cirhin</t>
  </si>
  <si>
    <t>Isoform 3 of tRNA modification GTPase GTPBP3, mitochondrial</t>
  </si>
  <si>
    <t>Protein TBRG4</t>
  </si>
  <si>
    <t>Protein phosphatase 1 regulatory subunit 14A</t>
  </si>
  <si>
    <t>Coiled-coil domain-containing protein 102A</t>
  </si>
  <si>
    <t>Isoform 3 of RING finger protein 166</t>
  </si>
  <si>
    <t>Mitoferrin-2</t>
  </si>
  <si>
    <t>Synapse-associated protein 1</t>
  </si>
  <si>
    <t>Exocyst complex component 4</t>
  </si>
  <si>
    <t>Protein mago nashi homolog 2</t>
  </si>
  <si>
    <t>Putative monooxygenase p33MONOX</t>
  </si>
  <si>
    <t>Isochorismatase domain-containing protein 2, mitochondrial</t>
  </si>
  <si>
    <t>Protein N-terminal asparagine amidohydrolase</t>
  </si>
  <si>
    <t>Fermitin family homolog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</si>
  <si>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</si>
  <si>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</si>
  <si>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</si>
  <si>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</si>
  <si>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Isoform 2 of Adrenocortical dysplasia protein homolog</t>
  </si>
  <si>
    <t>Uncharacterized protein KIAA1143</t>
  </si>
  <si>
    <t>Ribulose-phosphate 3-epimerase</t>
  </si>
  <si>
    <t>Vacuolar protein sorting-associated protein 33A</t>
  </si>
  <si>
    <t>Crossover junction endonuclease EME1</t>
  </si>
  <si>
    <t>Peptidyl-prolyl cis-trans isomerase FKBP10</t>
  </si>
  <si>
    <t>Tetratricopeptide repeat protein 28</t>
  </si>
  <si>
    <t>Isoform 2 of RAD51-associated protein 1</t>
  </si>
  <si>
    <t>Isoform 2 of Ubiquitin-conjugating enzyme E2 W</t>
  </si>
  <si>
    <t>Isoform 2 of Uncharacterized protein C18orf25</t>
  </si>
  <si>
    <t>Exosome complex component RRP43</t>
  </si>
  <si>
    <t>Proline-rich AKT1 substrate 1</t>
  </si>
  <si>
    <t>UPF0693 protein C10orf32</t>
  </si>
  <si>
    <t>SH3 domain-containing kinase-binding protein 1</t>
  </si>
  <si>
    <t>Isoform 2 of PHD finger protein 21A</t>
  </si>
  <si>
    <t>Nucleus accumbens-associated protein 2</t>
  </si>
  <si>
    <t>E3 ubiquitin-protein ligase RNF25</t>
  </si>
  <si>
    <t>Axin interactor, dorsalization-associated protein</t>
  </si>
  <si>
    <t>PIN2/TERF1-interacting telomerase inhibitor 1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</si>
  <si>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</si>
  <si>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</si>
  <si>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</si>
  <si>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</si>
  <si>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Calcineurin B homologous protein 3</t>
  </si>
  <si>
    <t>Alkylated DNA repair protein alkB homolog 8</t>
  </si>
  <si>
    <t>Uracil phosphoribosyltransferase homolog</t>
  </si>
  <si>
    <t>Isoform 2 of Phosphotriesterase-related protein</t>
  </si>
  <si>
    <t>MOB kinase activator 3A</t>
  </si>
  <si>
    <t>Dedicator of cytokinesis protein 10</t>
  </si>
  <si>
    <t>Autophagy-related protein 2 homolog B</t>
  </si>
  <si>
    <t>Leukocyte receptor cluster member 1</t>
  </si>
  <si>
    <t>Protein FAM136A</t>
  </si>
  <si>
    <t>EF-hand domain-containing protein D2</t>
  </si>
  <si>
    <t>Aldose 1-epimerase</t>
  </si>
  <si>
    <t>Synaptotagmin-like protein 4</t>
  </si>
  <si>
    <t>Isoform 2 of RUN domain-containing protein 1</t>
  </si>
  <si>
    <t>Pyrroline-5-carboxylate reductase 2</t>
  </si>
  <si>
    <t>m7GpppX diphosphatase</t>
  </si>
  <si>
    <t>Protein phosphatase 1 regulatory subunit 14B</t>
  </si>
  <si>
    <t>Integrator complex subunit 12</t>
  </si>
  <si>
    <t>F-box/LRR-repeat protein 8</t>
  </si>
  <si>
    <t>Phosphopantothenoylcysteine decarboxylase</t>
  </si>
  <si>
    <t>Charged multivesicular body protein 4c</t>
  </si>
  <si>
    <t>TRAF-interacting protein with FHA domain-containing protein A</t>
  </si>
  <si>
    <t>Leucine-rich repeat-containing protein 45</t>
  </si>
  <si>
    <t>Isochorismatase domain-containing protein 1</t>
  </si>
  <si>
    <t>GRIP and coiled-coil domain-containing protein 1</t>
  </si>
  <si>
    <t>FLYWCH family member 2</t>
  </si>
  <si>
    <t>Isoform 2 of GRAM domain-containing protein 1A</t>
  </si>
  <si>
    <t>HAUS augmin-like complex subunit 1</t>
  </si>
  <si>
    <t>FAS-associated factor 2</t>
  </si>
  <si>
    <t>Coiled-coil domain-containing protein 124</t>
  </si>
  <si>
    <t>Optineurin</t>
  </si>
  <si>
    <t>Isoform 2 of AP-2 complex subunit mu</t>
  </si>
  <si>
    <t>Isoform 2 of Gamma-tubulin complex component 3</t>
  </si>
  <si>
    <t>Probable RNA polymerase II nuclear localization protein SLC7A6OS</t>
  </si>
  <si>
    <t>BTB/POZ domain-containing protein KCTD12</t>
  </si>
  <si>
    <t>Leucine-rich repeat-containing protein 58</t>
  </si>
  <si>
    <t>G-protein coupled receptor-associated sorting protein 2</t>
  </si>
  <si>
    <t>60S ribosomal export protein NMD3</t>
  </si>
  <si>
    <t>Uncharacterized aarF domain-containing protein kinase 4</t>
  </si>
  <si>
    <t>Isoform 3 of RalBP1-associated Eps domain-containing protein 1</t>
  </si>
  <si>
    <t>Regulator of microtubule dynamics protein 1</t>
  </si>
  <si>
    <t>Transmembrane and coiled-coil domain-containing protein 6</t>
  </si>
  <si>
    <t>U8 snoRNA-decapping enzyme</t>
  </si>
  <si>
    <t>Anaphase-promoting complex subunit 16</t>
  </si>
  <si>
    <t>Protein DGCR14</t>
  </si>
  <si>
    <t>Carboxymethylenebutenolidase homolog</t>
  </si>
  <si>
    <t>U5 small nuclear ribonucleoprotein 40 kDa protein</t>
  </si>
  <si>
    <t>Rho guanine nucleotide exchange factor 26</t>
  </si>
  <si>
    <t>Isoform C of Galectin-12</t>
  </si>
  <si>
    <t>Isoform 2 of Zinc finger and BTB domain-containing protein 10</t>
  </si>
  <si>
    <t>Inositol-trisphosphate 3-kinase C</t>
  </si>
  <si>
    <t>39S ribosomal protein L38, mitochondrial</t>
  </si>
  <si>
    <t>RING finger and SPRY domain-containing protein 1</t>
  </si>
  <si>
    <t>Ankyrin repeat and SOCS box protein 9</t>
  </si>
  <si>
    <t>Isoform 2 of Ankyrin repeat and SOCS box protein 9</t>
  </si>
  <si>
    <t>Tripartite motif-containing protein 44</t>
  </si>
  <si>
    <t>Isoform 2 of Endoplasmic reticulum lectin 1</t>
  </si>
  <si>
    <t>Protein FAM122A</t>
  </si>
  <si>
    <t>Isoform 3 of Ribosome-recycling factor, mitochondrial</t>
  </si>
  <si>
    <t>RecQ-mediated genome instability protein 2</t>
  </si>
  <si>
    <t>Protein Spindly</t>
  </si>
  <si>
    <t>Elongator complex protein 4</t>
  </si>
  <si>
    <t>NAD-dependent protein deacetylase sirtuin-1</t>
  </si>
  <si>
    <t>Isoform 2 of Protein Hook homolog 2</t>
  </si>
  <si>
    <t>Nucleoporin SEH1</t>
  </si>
  <si>
    <t>F-box only protein 17</t>
  </si>
  <si>
    <t>Mitochondrial assembly of ribosomal large subunit protein 1</t>
  </si>
  <si>
    <t>Transcription elongation factor A protein-like 4</t>
  </si>
  <si>
    <t>THAP domain-containing protein 11</t>
  </si>
  <si>
    <t>KIF1-binding protein</t>
  </si>
  <si>
    <t>Glucosamine 6-phosphate N-acetyltransferase</t>
  </si>
  <si>
    <t>Constitutive coactivator of peroxisome proliferator-activated receptor gamma</t>
  </si>
  <si>
    <t>Protein KTI12 homolog</t>
  </si>
  <si>
    <t>39S ribosomal protein L53, mitochondrial</t>
  </si>
  <si>
    <t>Trans-L-3-hydroxyproline dehydratase</t>
  </si>
  <si>
    <t>Molybdenum cofactor sulfurase</t>
  </si>
  <si>
    <t>E3 ubiquitin-protein ligase RNF31</t>
  </si>
  <si>
    <t>Isoform 2 of E3 ubiquitin-protein ligase CHFR</t>
  </si>
  <si>
    <t>DAZ-associated protein 1</t>
  </si>
  <si>
    <t>Small glutamine-rich tetratricopeptide repeat-containing protein beta</t>
  </si>
  <si>
    <t>SAGA-associated factor 29 homolog</t>
  </si>
  <si>
    <t>RNA-binding protein 33</t>
  </si>
  <si>
    <t>Dysbindin</t>
  </si>
  <si>
    <t>HSPB1-associated protein 1</t>
  </si>
  <si>
    <t>WD repeat-containing protein 34</t>
  </si>
  <si>
    <t>Isoform 2 of DnaJ homolog subfamily A member 3, mitochondrial</t>
  </si>
  <si>
    <t>Translation machinery-associated protein 16</t>
  </si>
  <si>
    <t>Isoform 3 of 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</si>
  <si>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</si>
  <si>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</si>
  <si>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</si>
  <si>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Nuclear receptor-binding factor 2</t>
  </si>
  <si>
    <t>Isoform 3 of E3 ubiquitin-protein ligase TRIM11</t>
  </si>
  <si>
    <t>Interleukin-17 receptor A</t>
  </si>
  <si>
    <t>Coiled-coil domain-containing protein 97</t>
  </si>
  <si>
    <t>Enhancer of mRNA-decapping protein 3</t>
  </si>
  <si>
    <t>Sororin</t>
  </si>
  <si>
    <t>Protein MEF2BNB</t>
  </si>
  <si>
    <t>AMSH-like protease</t>
  </si>
  <si>
    <t>Dynein light chain 2, cytoplasmic</t>
  </si>
  <si>
    <t>WD repeat-containing protein 89</t>
  </si>
  <si>
    <t>Probable D-tyrosyl-tRNA(Tyr) deacylase 2</t>
  </si>
  <si>
    <t>Protein S100-A16</t>
  </si>
  <si>
    <t>Signal-induced proliferation-associated protein 1</t>
  </si>
  <si>
    <t>Intraflagellar transport protein 43 homolog</t>
  </si>
  <si>
    <t>Secernin-2</t>
  </si>
  <si>
    <t>THO complex subunit 1</t>
  </si>
  <si>
    <t>Ubiquitin thioesterase OTUB1</t>
  </si>
  <si>
    <t>DPH3 homolog</t>
  </si>
  <si>
    <t>tRNA (adenine(58)-N(1))-methyltransferase catalytic subunit TRMT61A</t>
  </si>
  <si>
    <t>UPF0361 protein C3orf37</t>
  </si>
  <si>
    <t>Phosphoglucomutase-2</t>
  </si>
  <si>
    <t>Protein FAM86A</t>
  </si>
  <si>
    <t>Mediator of RNA polymerase II transcription subunit 8</t>
  </si>
  <si>
    <t>Coiled-coil domain-containing protein 104</t>
  </si>
  <si>
    <t>tRNA-dihydrouridine(47) synthase [NAD(P)(+)]-like</t>
  </si>
  <si>
    <t>Diphosphoinositol polyphosphate phosphohydrolase 3-beta</t>
  </si>
  <si>
    <t>Isoform 3 of OTU domain-containing protein 5</t>
  </si>
  <si>
    <t>Protein LTV1 homolog</t>
  </si>
  <si>
    <t>Serine dehydratase-like</t>
  </si>
  <si>
    <t>Pyridoxal phosphate phosphatase</t>
  </si>
  <si>
    <t>Centrosomal protein of 95 kDa</t>
  </si>
  <si>
    <t>DCN1-like protein 1</t>
  </si>
  <si>
    <t>Fumarylacetoacetate hydrolase domain-containing protein 2A</t>
  </si>
  <si>
    <t>SWI/SNF-related matrix-associated actin-dependent regulator of chromatin subfamily D member 1</t>
  </si>
  <si>
    <t>Probable ATP-dependent RNA helicase DDX27</t>
  </si>
  <si>
    <t>Uncharacterized protein C17orf59</t>
  </si>
  <si>
    <t>Methionine--tRNA ligase, mitochondrial</t>
  </si>
  <si>
    <t>Putative ataxin-7-like protein 3B</t>
  </si>
  <si>
    <t>Serine/threonine-protein kinase greatwall</t>
  </si>
  <si>
    <t>Methylthioribulose-1-phosphate dehydratase</t>
  </si>
  <si>
    <t>Zinc finger C2HC domain-containing protein 1A</t>
  </si>
  <si>
    <t>Vacuolar-sorting protein SNF8</t>
  </si>
  <si>
    <t>Zinc finger CCCH-type antiviral protein 1-like</t>
  </si>
  <si>
    <t>Isoform 2 of Tonsoku-like protein</t>
  </si>
  <si>
    <t>PDZ and LIM domain protein 5</t>
  </si>
  <si>
    <t>Aspartoacylase-2</t>
  </si>
  <si>
    <t>ERO1-like protein alpha</t>
  </si>
  <si>
    <t>UPF0562 protein C7orf55</t>
  </si>
  <si>
    <t>Isoform 2 of UPF0562 protein C7orf55</t>
  </si>
  <si>
    <t>Isoform 2 of Putative adenosylhomocysteinase 3</t>
  </si>
  <si>
    <t>Oxidoreductase NAD-binding domain-containing protein 1</t>
  </si>
  <si>
    <t>CDKN2AIP N-terminal-like protein</t>
  </si>
  <si>
    <t>Isoform 2 of Serine/threonine-protein phosphatase PGAM5, mitochondrial</t>
  </si>
  <si>
    <t>Integrator complex subunit 4</t>
  </si>
  <si>
    <t>DDRGK domain-containing protein 1</t>
  </si>
  <si>
    <t>Probable 2-oxoglutarate dehydrogenase E1 component DHKTD1, mitochondrial</t>
  </si>
  <si>
    <t>Selenocysteine lyase</t>
  </si>
  <si>
    <t>Protein preY, mitochondrial</t>
  </si>
  <si>
    <t>Far upstream element-binding protein 3</t>
  </si>
  <si>
    <t>Splicing factor 45</t>
  </si>
  <si>
    <t>Williams-Beuren syndrome chromosomal region 16 protein</t>
  </si>
  <si>
    <t>Probable asparagine--tRNA ligase, mitochondrial</t>
  </si>
  <si>
    <t>Succinyl-CoA ligase [GDP-forming] subunit beta, mitochondrial</t>
  </si>
  <si>
    <t>LIM domain-containing protein ajuba</t>
  </si>
  <si>
    <t>Mannose-1-phosphate guanyltransferase alpha</t>
  </si>
  <si>
    <t>Biorientation of chromosomes in cell division protein 1</t>
  </si>
  <si>
    <t>Isoform 2 of Zinc finger protein 414</t>
  </si>
  <si>
    <t>4-hydroxyphenylpyruvate dioxygenase-like protein</t>
  </si>
  <si>
    <t>Alpha/beta hydrolase domain-containing protein 14B</t>
  </si>
  <si>
    <t>Isoform 2 of Peptide-N(4)-(N-acetyl-beta-glucosaminyl)asparagine amidase</t>
  </si>
  <si>
    <t>Kinetochore-associated protein NSL1 homolog</t>
  </si>
  <si>
    <t>PRKC apoptosis WT1 regulator protein</t>
  </si>
  <si>
    <t>Isoform 2 of RNA-binding protein 41</t>
  </si>
  <si>
    <t>Methyltransferase-like protein 2A</t>
  </si>
  <si>
    <t>Isoform 2 of Serine/Arginine-related protein 53</t>
  </si>
  <si>
    <t>THO complex subunit 3</t>
  </si>
  <si>
    <t>Isoform 2 of E3 ubiquitin-protein ligase Itchy homolog</t>
  </si>
  <si>
    <t>Kin of IRRE-like protein 1</t>
  </si>
  <si>
    <t>Conserved oligomeric Golgi complex subunit 3</t>
  </si>
  <si>
    <t>CDK5 regulatory subunit-associated protein 3</t>
  </si>
  <si>
    <t>Isoform 2 of Vam6/Vps39-like protein</t>
  </si>
  <si>
    <t>ELL-associated factor 1</t>
  </si>
  <si>
    <t>Microtubule-associated protein 6</t>
  </si>
  <si>
    <t>Coiled-coil domain-containing protein 132</t>
  </si>
  <si>
    <t>Zinc finger protein 469</t>
  </si>
  <si>
    <t>Deubiquitinating protein VCIP135</t>
  </si>
  <si>
    <t>Isoform 2 of Spatacsin</t>
  </si>
  <si>
    <t>Mastermind-like protein 3</t>
  </si>
  <si>
    <t>Chromosome alignment-maintaining phosphoprotein 1</t>
  </si>
  <si>
    <t>Isoform 2 of Ligand-dependent corepressor</t>
  </si>
  <si>
    <t>Putative unconventional myosin-XVB</t>
  </si>
  <si>
    <t>E3 ubiquitin-protein ligase ZFP91</t>
  </si>
  <si>
    <t>Calmin</t>
  </si>
  <si>
    <t>PDZ and LIM domain protein 2</t>
  </si>
  <si>
    <t>Lymphokine-activated killer T-cell-originated protein kinase</t>
  </si>
  <si>
    <t>Isoform 3 of N-terminal kinase-like protein</t>
  </si>
  <si>
    <t>Exocyst complex component 2</t>
  </si>
  <si>
    <t>Cytosolic non-specific dipeptidase</t>
  </si>
  <si>
    <t>Apoptosis-stimulating of p53 protein 1</t>
  </si>
  <si>
    <t>Zinc finger RNA-binding protein</t>
  </si>
  <si>
    <t>EPH receptor B4, isoform CRA_b</t>
  </si>
  <si>
    <t>Isoform 2 of Histone-lysine N-methyltransferase, H3 lysine-36 and H4 lysine-20 specific</t>
  </si>
  <si>
    <t>Isoform 5 of E1A-binding protein p400</t>
  </si>
  <si>
    <t>Sorting nexin-27</t>
  </si>
  <si>
    <t>Isoform 5 of Kinesin-like protein KIF16B</t>
  </si>
  <si>
    <t>Intraflagellar transport protein 74 homolog</t>
  </si>
  <si>
    <t>Tripartite motif-containing protein 47</t>
  </si>
  <si>
    <t>Sentrin-specific protease 8</t>
  </si>
  <si>
    <t>Ubiquitin-conjugating enzyme E2 E2</t>
  </si>
  <si>
    <t>Protein C9orf72</t>
  </si>
  <si>
    <t>Protein PRRC1</t>
  </si>
  <si>
    <t>Isoform 4 of F-box/LRR-repeat protein 18</t>
  </si>
  <si>
    <t>Isoform 3 of Zinc finger protein 512</t>
  </si>
  <si>
    <t>Melanoma-associated antigen G1</t>
  </si>
  <si>
    <t>Isoform 2 of Protein-L-isoaspartate O-methyltransferase domain-containing protein 1</t>
  </si>
  <si>
    <t>Protein HEXIM2</t>
  </si>
  <si>
    <t>Isoform 2 of YTH domain-containing protein 1</t>
  </si>
  <si>
    <t>Coiled-coil domain-containing protein 43</t>
  </si>
  <si>
    <t>WD repeat-containing protein 92</t>
  </si>
  <si>
    <t>Uncharacterized protein C20orf112</t>
  </si>
  <si>
    <t>Uncharacterized protein C16orf55</t>
  </si>
  <si>
    <t>Isoform 2 of AP-4 complex accessory subunit tepsin</t>
  </si>
  <si>
    <t>Isoform 4 of Dedicator of cytokinesis protein 7</t>
  </si>
  <si>
    <t>LisH domain-containing protein FOPNL</t>
  </si>
  <si>
    <t>Zinc finger protein 830</t>
  </si>
  <si>
    <t>Zinc finger matrin-type protein 2</t>
  </si>
  <si>
    <t>Sodium channel and clathrin linker 1</t>
  </si>
  <si>
    <t>Protein C8orf37</t>
  </si>
  <si>
    <t>Nucleosome assembly protein 1-like 5</t>
  </si>
  <si>
    <t>Ankyrin repeat domain-containing protein 27</t>
  </si>
  <si>
    <t>Isoform 2 of Putative methyltransferase NSUN5</t>
  </si>
  <si>
    <t>Regulation of nuclear pre-mRNA domain-containing protein 1A</t>
  </si>
  <si>
    <t>Arf-GAP with GTPase, ANK repeat and PH domain-containing protein 3</t>
  </si>
  <si>
    <t>Isoform 3 of Arf-GAP with Rho-GAP domain, ANK repeat and PH domain-containing protein 1</t>
  </si>
  <si>
    <t>Importin-9</t>
  </si>
  <si>
    <t>Discoidin, CUB and LCCL domain-containing protein 2</t>
  </si>
  <si>
    <t>Rho guanine nucleotide exchange factor 17</t>
  </si>
  <si>
    <t>Methylmalonyl-CoA epimerase, mitochondrial</t>
  </si>
  <si>
    <t>RNA-binding protein 14</t>
  </si>
  <si>
    <t>RING finger and CHY zinc finger domain-containing protein 1</t>
  </si>
  <si>
    <t>Isoform 4 of Transcriptional-regulating factor 1</t>
  </si>
  <si>
    <t>Isoform 5 of Kelch-like protein 5</t>
  </si>
  <si>
    <t>E3 ubiquitin-protein ligase UHRF2</t>
  </si>
  <si>
    <t>Isoform 7 of E3 ubiquitin-protein ligase NEDD4-like</t>
  </si>
  <si>
    <t>Isoform 6 of Protein quaking</t>
  </si>
  <si>
    <t>Formin-like protein 2</t>
  </si>
  <si>
    <t>Pseudouridylate synthase 7 homolog</t>
  </si>
  <si>
    <t>Isoform 3 of Trafficking protein particle complex subunit 9</t>
  </si>
  <si>
    <t>Isoform 2 of CCA tRNA nucleotidyltransferase 1, mitochondrial</t>
  </si>
  <si>
    <t>Serine/threonine-protein kinase SMG1</t>
  </si>
  <si>
    <t>Alsin</t>
  </si>
  <si>
    <t>Isoform 2 of Transmembrane protein 237</t>
  </si>
  <si>
    <t>Alpha-ketoglutarate-dependent dioxygenase alkB homolog 3</t>
  </si>
  <si>
    <t>Isoform 4 of Kinesin-like protein KIF20B</t>
  </si>
  <si>
    <t>Rho GTPase-activating protein 7</t>
  </si>
  <si>
    <t>Serine/threonine-protein phosphatase 1 regulatory subunit 10</t>
  </si>
  <si>
    <t>Isoform 2 of ATPase family AAA domain-containing protein 5</t>
  </si>
  <si>
    <t>Isoform 1 of Rab-3A-interacting protein</t>
  </si>
  <si>
    <t>Myotubularin-related protein 9</t>
  </si>
  <si>
    <t>Vacuolar protein sorting-associated protein 35</t>
  </si>
  <si>
    <t>Transcriptional activator protein Pur-beta</t>
  </si>
  <si>
    <t>1-aminocyclopropane-1-carboxylate synthase-like protein 1</t>
  </si>
  <si>
    <t>Exportin-6</t>
  </si>
  <si>
    <t>Isoform 7 of Membrane-associated guanylate kinase, WW and PDZ domain-containing protein 1</t>
  </si>
  <si>
    <t>Sperm-associated antigen 5</t>
  </si>
  <si>
    <t>Nucleus accumbens-associated protein 1</t>
  </si>
  <si>
    <t>Isoform 3 of Sorting nexin-18</t>
  </si>
  <si>
    <t>PAS domain-containing serine/threonine-protein kinase</t>
  </si>
  <si>
    <t>BRCA1-A complex subunit RAP80</t>
  </si>
  <si>
    <t>Isoform 4 of Vacuolar protein sorting-associated protein 13A</t>
  </si>
  <si>
    <t>Isoform 3 of Mediator of RNA polymerase II transcription subunit 15</t>
  </si>
  <si>
    <t>Elongation factor G, mitochondrial</t>
  </si>
  <si>
    <t>Isoform 2 of Calcium/calmodulin-dependent protein kinase kinase 2</t>
  </si>
  <si>
    <t>Trimethylguanosine synthase</t>
  </si>
  <si>
    <t>NudC domain-containing protein 1</t>
  </si>
  <si>
    <t>Isoform 9 of Protein LAP2</t>
  </si>
  <si>
    <t>Isoform 2 of Ubiquitin carboxyl-terminal hydrolase 28</t>
  </si>
  <si>
    <t>Isoform 2 of Formin-binding protein 1</t>
  </si>
  <si>
    <t>Isoform 2 of Hemicentin-1</t>
  </si>
  <si>
    <t>Protein cramped-like</t>
  </si>
  <si>
    <t>Intraflagellar transport protein 140 homolog</t>
  </si>
  <si>
    <t>UPF0585 protein C16orf13</t>
  </si>
  <si>
    <t>Ribosomal protein S6 kinase delta-1</t>
  </si>
  <si>
    <t>TP53-regulating kinase</t>
  </si>
  <si>
    <t>Isoform 2 of ATPase WRNIP1</t>
  </si>
  <si>
    <t>Ran-binding protein 9</t>
  </si>
  <si>
    <t>Isoform 4 of Chloride channel CLIC-like protein 1</t>
  </si>
  <si>
    <t>Ubiquitin-like protein 7</t>
  </si>
  <si>
    <t>LysM and putative peptidoglycan-binding domain-containing protein 1</t>
  </si>
  <si>
    <t>Pleckstrin homology domain-containing family F member 1</t>
  </si>
  <si>
    <t>Neurabin-2</t>
  </si>
  <si>
    <t>SRSF protein kinase 1</t>
  </si>
  <si>
    <t>Structural maintenance of chromosomes protein 6</t>
  </si>
  <si>
    <t>BTB/POZ domain-containing protein KCTD15</t>
  </si>
  <si>
    <t>Isoform 2 of Spermatid perinuclear RNA-binding protein</t>
  </si>
  <si>
    <t>Isoform 2 of Transmembrane protein 209</t>
  </si>
  <si>
    <t>Flt3-interacting zinc finger protein 1</t>
  </si>
  <si>
    <t>Protein IWS1 homolog</t>
  </si>
  <si>
    <t>Paired amphipathic helix protein Sin3a</t>
  </si>
  <si>
    <t>Isoform 7 of Oxysterol-binding protein-related protein 9</t>
  </si>
  <si>
    <t>Isoform 4 of von Willebrand factor A domain-containing protein 9</t>
  </si>
  <si>
    <t>2-aminoethanethiol dioxygenase</t>
  </si>
  <si>
    <t>Isoform 2 of CDK5 regulatory subunit-associated protein 1</t>
  </si>
  <si>
    <t>MAP7 domain-containing protein 2</t>
  </si>
  <si>
    <t>Selenocysteine insertion sequence-binding protein 2</t>
  </si>
  <si>
    <t>Isoform 2 of Putative RNA-binding protein 15</t>
  </si>
  <si>
    <t>RUN and FYVE domain-containing protein 1</t>
  </si>
  <si>
    <t>Msx2-interacting protein</t>
  </si>
  <si>
    <t>Bifunctional polynucleotide phosphatase/kinase</t>
  </si>
  <si>
    <t>MMS19 nucleotide excision repair protein homolog</t>
  </si>
  <si>
    <t>E3 ubiquitin-protein ligase UHRF1</t>
  </si>
  <si>
    <t>Niban-like protein 1</t>
  </si>
  <si>
    <t>Transcription factor 12</t>
  </si>
  <si>
    <t>C-Myc-binding protein</t>
  </si>
  <si>
    <t>Isoform 2 of Cytohesin-2</t>
  </si>
  <si>
    <t>Tubulin-folding cofactor B</t>
  </si>
  <si>
    <t>Proteasome subunit beta type-7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</si>
  <si>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</si>
  <si>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</si>
  <si>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</si>
  <si>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</si>
  <si>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</si>
  <si>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</si>
  <si>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E3 ubiquitin-protein ligase RING2</t>
  </si>
  <si>
    <t>Protein DJ-1</t>
  </si>
  <si>
    <t>GAS2-like protein 1</t>
  </si>
  <si>
    <t>Isoform 2 of Eyes absent homolog 3</t>
  </si>
  <si>
    <t>Sialidase-1</t>
  </si>
  <si>
    <t>Synaptic vesicle membrane protein VAT-1 homolog</t>
  </si>
  <si>
    <t>Perilipin-2</t>
  </si>
  <si>
    <t>DnaJ homolog subfamily C member 2</t>
  </si>
  <si>
    <t>Isoform 2 of DnaJ homolog subfamily C member 2</t>
  </si>
  <si>
    <t>M-phase phosphoprotein 8</t>
  </si>
  <si>
    <t>Nuclear pore complex protein Nup88</t>
  </si>
  <si>
    <t>Isoform 2 of Plakophilin-4</t>
  </si>
  <si>
    <t>Phosphoinositide 3-kinase regulatory subunit 4</t>
  </si>
  <si>
    <t>Ribonucleases P/MRP protein subunit POP1</t>
  </si>
  <si>
    <t>Max-binding protein MNT</t>
  </si>
  <si>
    <t>Protein S100-A13</t>
  </si>
  <si>
    <t>Translin-associated protein X</t>
  </si>
  <si>
    <t>Selenide, water dikinase 2</t>
  </si>
  <si>
    <t>Tetratricopeptide repeat protein 1</t>
  </si>
  <si>
    <t>DnaJ homolog subfamily C member 7</t>
  </si>
  <si>
    <t>Cell division cycle-associated protein 3</t>
  </si>
  <si>
    <t>Protein C10</t>
  </si>
  <si>
    <t>Isoform 2 of COP9 signalosome complex subunit 8</t>
  </si>
  <si>
    <t>Pre-mRNA-splicing factor 18</t>
  </si>
  <si>
    <t>Cell cycle checkpoint control protein RAD9A</t>
  </si>
  <si>
    <t>Calcineurin B homologous protein 1</t>
  </si>
  <si>
    <t>Kinesin-like protein KIF2C</t>
  </si>
  <si>
    <t>Cell growth regulator with EF hand domain protein 1</t>
  </si>
  <si>
    <t>Monoglyceride lipase</t>
  </si>
  <si>
    <t>Isoform 4 of Ataxin-2</t>
  </si>
  <si>
    <t>Methionine synthase</t>
  </si>
  <si>
    <t>DNA endonuclease RBBP8</t>
  </si>
  <si>
    <t>3-hydroxyacyl-CoA dehydrogenase type-2</t>
  </si>
  <si>
    <t>Isoform 3 of Heterogeneous nuclear ribonucleoprotein A/B</t>
  </si>
  <si>
    <t>Nucleosome assembly protein 1-like 4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</si>
  <si>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</si>
  <si>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</si>
  <si>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</si>
  <si>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</si>
  <si>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</si>
  <si>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Aconitate hydratase, mitochondrial</t>
  </si>
  <si>
    <t>Tumor susceptibility gene 101 protein</t>
  </si>
  <si>
    <t>Copine-1</t>
  </si>
  <si>
    <t>T-complex protein 1 subunit eta</t>
  </si>
  <si>
    <t>Isoform 3 of HAUS augmin-like complex subunit 7</t>
  </si>
  <si>
    <t>Histone H2A type 1-J</t>
  </si>
  <si>
    <t>Histone H2B type 1-M</t>
  </si>
  <si>
    <t>Isoform 4 of BAG family molecular chaperone regulator 1</t>
  </si>
  <si>
    <t>Isoform 1 of Cyclic AMP-dependent transcription factor ATF-6 beta</t>
  </si>
  <si>
    <t>Endophilin-A2</t>
  </si>
  <si>
    <t>Serine/threonine-protein kinase VRK1</t>
  </si>
  <si>
    <t>Isoform 5 of A-kinase anchor protein 9</t>
  </si>
  <si>
    <t>Dihydropyrimidinase-related protein 5</t>
  </si>
  <si>
    <t>Protein NipSnap homolog 1</t>
  </si>
  <si>
    <t>Condensin complex subunit 3</t>
  </si>
  <si>
    <t>Actin-related protein 2/3 complex subunit 5-like protein</t>
  </si>
  <si>
    <t>Isoform 2 of Calcium uptake protein 1, mitochondrial</t>
  </si>
  <si>
    <t>UPF0415 protein C7orf25</t>
  </si>
  <si>
    <t>Polyadenylate-binding protein-interacting protein 2</t>
  </si>
  <si>
    <t>Zinc finger FYVE domain-containing protein 21</t>
  </si>
  <si>
    <t>ATP-dependent RNA helicase DDX50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</si>
  <si>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</si>
  <si>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</si>
  <si>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</si>
  <si>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</si>
  <si>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Transcription factor 25</t>
  </si>
  <si>
    <t>Methylosome protein 50</t>
  </si>
  <si>
    <t>Diphthamide biosynthesis protein 2</t>
  </si>
  <si>
    <t>Tubulin alpha-1C chain</t>
  </si>
  <si>
    <t>Apolipoprotein L2</t>
  </si>
  <si>
    <t>Isoform 2 of Uncharacterized protein C11orf48</t>
  </si>
  <si>
    <t>Isoform 4 of B-cell CLL/lymphoma 7 protein family member B</t>
  </si>
  <si>
    <t>Myb-binding protein 1A</t>
  </si>
  <si>
    <t>Isoform 2 of Eukaryotic translation initiation factor 2-alpha kinase 1</t>
  </si>
  <si>
    <t>Isoform 2 of Phosphatidate phosphatase LPIN3</t>
  </si>
  <si>
    <t>Fermitin family homolog 1</t>
  </si>
  <si>
    <t>Mitochondrial genome maintenance exonuclease 1</t>
  </si>
  <si>
    <t>FYVE and coiled-coil domain-containing protein 1</t>
  </si>
  <si>
    <t>Acyl-CoA-binding domain-containing protein 6</t>
  </si>
  <si>
    <t>Coronin-1B</t>
  </si>
  <si>
    <t>Isoform 2 of LSM domain-containing protein 1</t>
  </si>
  <si>
    <t>Thioredoxin domain-containing protein 17</t>
  </si>
  <si>
    <t>BUD13 homolog</t>
  </si>
  <si>
    <t>Calcineurin-like phosphoesterase domain-containing protein 1</t>
  </si>
  <si>
    <t>Vacuolar protein-sorting-associated protein 25</t>
  </si>
  <si>
    <t>SH2 domain-containing protein 3A</t>
  </si>
  <si>
    <t>45 kDa calcium-binding protein</t>
  </si>
  <si>
    <t>Programmed cell death protein 2-like</t>
  </si>
  <si>
    <t>Isoform 2 of Partner of Y14 and mago</t>
  </si>
  <si>
    <t>Apoptosis-inducing factor 2</t>
  </si>
  <si>
    <t>Isoform 2 of ADP-dependent glucokinase</t>
  </si>
  <si>
    <t>G patch domain-containing protein 1</t>
  </si>
  <si>
    <t>Serine/threonine-protein kinase RIO1</t>
  </si>
  <si>
    <t>La-related protein 6</t>
  </si>
  <si>
    <t>Migration and invasion enhancer 1</t>
  </si>
  <si>
    <t>DNA replication complex GINS protein SLD5</t>
  </si>
  <si>
    <t>Suppressor of IKBKE 1</t>
  </si>
  <si>
    <t>Protein pelota homolog</t>
  </si>
  <si>
    <t>DNA replication complex GINS protein PSF3</t>
  </si>
  <si>
    <t>WD repeat domain-containing protein 83</t>
  </si>
  <si>
    <t>E3 ubiquitin-protein ligase TRIM56</t>
  </si>
  <si>
    <t>Endoplasmic reticulum resident protein 44</t>
  </si>
  <si>
    <t>Latexin</t>
  </si>
  <si>
    <t>Autophagy-related protein 101</t>
  </si>
  <si>
    <t>Cancer-related nucleoside-triphosphatase</t>
  </si>
  <si>
    <t>Homocysteine-responsive endoplasmic reticulum-resident ubiquitin-like domain member 2 protein</t>
  </si>
  <si>
    <t>Agmatinase, mitochondrial</t>
  </si>
  <si>
    <t>Translational activator of cytochrome c oxidase 1</t>
  </si>
  <si>
    <t>Haloacid dehalogenase-like hydrolase domain-containing protein 3</t>
  </si>
  <si>
    <t>Gamma-tubulin complex component 2</t>
  </si>
  <si>
    <t>Isoform 3 of Uncharacterized protein C17orf80</t>
  </si>
  <si>
    <t>Protein FAM64A</t>
  </si>
  <si>
    <t>Extended synaptotagmin-1</t>
  </si>
  <si>
    <t>Ubiquitin-associated domain-containing protein 1</t>
  </si>
  <si>
    <t>Malcavernin</t>
  </si>
  <si>
    <t>Isoform 2 of Rhotekin</t>
  </si>
  <si>
    <t>UPF0183 protein C16orf70</t>
  </si>
  <si>
    <t>tRNA-splicing endonuclease subunit Sen34</t>
  </si>
  <si>
    <t>Coiled-coil-helix-coiled-coil-helix domain-containing protein 5</t>
  </si>
  <si>
    <t>Protein canopy homolog 3</t>
  </si>
  <si>
    <t>Mitochondrial GTPase 1</t>
  </si>
  <si>
    <t>Isoform 3 of HAUS augmin-like complex subunit 8</t>
  </si>
  <si>
    <t>Alpha-ketoglutarate-dependent dioxygenase alkB homolog 7</t>
  </si>
  <si>
    <t>Proteasome assembly chaperone 3</t>
  </si>
  <si>
    <t>COP9 signalosome complex subunit 4</t>
  </si>
  <si>
    <t>WW domain-containing adapter protein with coiled-coil</t>
  </si>
  <si>
    <t>Death-inducer obliterator 1</t>
  </si>
  <si>
    <t>Isoform 4 of RNA-binding protein 42</t>
  </si>
  <si>
    <t>Isoform 2 of Dynactin subunit 5</t>
  </si>
  <si>
    <t>Isoform 2 of Mini-chromosome maintenance complex-binding protein</t>
  </si>
  <si>
    <t>Alanyl-tRNA editing protein Aarsd1</t>
  </si>
  <si>
    <t>DCN1-like protein 5</t>
  </si>
  <si>
    <t>THUMP domain-containing protein 2</t>
  </si>
  <si>
    <t>RNMT-activating mini protein</t>
  </si>
  <si>
    <t>Ubiquitin-related modifier 1 homolog</t>
  </si>
  <si>
    <t>Fanconi anemia-associated protein of 24 kDa</t>
  </si>
  <si>
    <t>Acidic leucine-rich nuclear phosphoprotein 32 family member E</t>
  </si>
  <si>
    <t>Mediator of RNA polymerase II transcription subunit 10</t>
  </si>
  <si>
    <t>Leucine-rich repeat-containing protein 1</t>
  </si>
  <si>
    <t>Fibronectin type III and SPRY domain-containing protein 1</t>
  </si>
  <si>
    <t>WD repeat-containing protein 85</t>
  </si>
  <si>
    <t>Tubulin-specific chaperone D</t>
  </si>
  <si>
    <t>Alpha-tocopherol transfer protein-like</t>
  </si>
  <si>
    <t>Plasma alpha-L-fucosidase</t>
  </si>
  <si>
    <t>Protein FAM203A</t>
  </si>
  <si>
    <t>Dehydrogenase/reductase SDR family member 4</t>
  </si>
  <si>
    <t>Thiamine-triphosphatase</t>
  </si>
  <si>
    <t>Centromere protein O</t>
  </si>
  <si>
    <t>Isoform 4 of Multiple myeloma tumor-associated protein 2</t>
  </si>
  <si>
    <t>Deoxyhypusine hydroxylase</t>
  </si>
  <si>
    <t>Uncharacterized protein C11orf84</t>
  </si>
  <si>
    <t>tRNA-specific adenosine deaminase 1</t>
  </si>
  <si>
    <t>Isoform 2 of MAP kinase-interacting serine/threonine-protein kinase 1</t>
  </si>
  <si>
    <t>Mediator of RNA polymerase II transcription subunit 18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</si>
  <si>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</si>
  <si>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</si>
  <si>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</si>
  <si>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</si>
  <si>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Isoform 3 of Protein misato homolog 1</t>
  </si>
  <si>
    <t>Ribonuclease P protein subunit p25</t>
  </si>
  <si>
    <t>Oxidoreductase HTATIP2</t>
  </si>
  <si>
    <t>Probable ATP-dependent RNA helicase DDX23</t>
  </si>
  <si>
    <t>Telomerase Cajal body protein 1</t>
  </si>
  <si>
    <t>3-hydroxybutyrate dehydrogenase type 2</t>
  </si>
  <si>
    <t>Protein FAM195A</t>
  </si>
  <si>
    <t>UPF0184 protein C9orf16</t>
  </si>
  <si>
    <t>Uncharacterized protein C1orf50</t>
  </si>
  <si>
    <t>Methylthioribose-1-phosphate isomerase</t>
  </si>
  <si>
    <t>Melanophilin</t>
  </si>
  <si>
    <t>Isoform 2 of Melanophilin</t>
  </si>
  <si>
    <t>THUMP domain-containing protein 3</t>
  </si>
  <si>
    <t>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</si>
  <si>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</si>
  <si>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</si>
  <si>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</si>
  <si>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N-terminal Xaa-Pro-Lys N-methyltransferase 1</t>
  </si>
  <si>
    <t>Katanin p80 WD40 repeat-containing subunit B1</t>
  </si>
  <si>
    <t>Tubulin beta-2B chain</t>
  </si>
  <si>
    <t>Sister chromatid cohesion protein DCC1</t>
  </si>
  <si>
    <t>Target of rapamycin complex subunit LST8</t>
  </si>
  <si>
    <t>Ashwin</t>
  </si>
  <si>
    <t>Protein PBDC1</t>
  </si>
  <si>
    <t>Isoform 2 of Kinesin-like protein KIFC3</t>
  </si>
  <si>
    <t>Nucleolar complex protein 4 homolog</t>
  </si>
  <si>
    <t>U3 small nucleolar RNA-associated protein 14 homolog A</t>
  </si>
  <si>
    <t>Dual specificity protein phosphatase 23</t>
  </si>
  <si>
    <t>Selenoprotein O</t>
  </si>
  <si>
    <t>Protein DPCD</t>
  </si>
  <si>
    <t>Gamma-glutamylaminecyclotransferase</t>
  </si>
  <si>
    <t>Spermatogenesis-associated protein 5-like protein 1</t>
  </si>
  <si>
    <t>Gamma-tubulin complex component 4</t>
  </si>
  <si>
    <t>Serine/threonine-protein kinase RIO2</t>
  </si>
  <si>
    <t>tRNA (adenine(58)-N(1))-methyltransferase, mitochondrial</t>
  </si>
  <si>
    <t>Isoform 2 of Protein TALPID3</t>
  </si>
  <si>
    <t>TIMELESS-interacting protein</t>
  </si>
  <si>
    <t>Specifically androgen-regulated gene protein</t>
  </si>
  <si>
    <t>Kinesin-like protein KIFC1</t>
  </si>
  <si>
    <t>Nuclear pore complex protein Nup85</t>
  </si>
  <si>
    <t>Tubulin polymerization-promoting protein family member 3</t>
  </si>
  <si>
    <t>DET1- and DDB1-associated protein 1</t>
  </si>
  <si>
    <t>Katanin p60 ATPase-containing subunit A-like 1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</si>
  <si>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</si>
  <si>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</si>
  <si>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</si>
  <si>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</si>
  <si>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</si>
  <si>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</si>
  <si>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Replication initiator 1</t>
  </si>
  <si>
    <t>RNA-binding protein 4</t>
  </si>
  <si>
    <t>FUN14 domain-containing protein 2</t>
  </si>
  <si>
    <t>RNA polymerase II-associated protein 1</t>
  </si>
  <si>
    <t>Splicing factor 3B subunit 5</t>
  </si>
  <si>
    <t>Modulator of retrovirus infection homolog</t>
  </si>
  <si>
    <t>Isoform 3 of Chitinase domain-containing protein 1</t>
  </si>
  <si>
    <t>Poly(A) polymerase gamma</t>
  </si>
  <si>
    <t>Meiotic nuclear division protein 1 homolog</t>
  </si>
  <si>
    <t>Kanadaptin</t>
  </si>
  <si>
    <t>Single stranded DNA binding protein-4</t>
  </si>
  <si>
    <t>Protein LSM14 homolog B</t>
  </si>
  <si>
    <t>Fanconi anemia group J protein</t>
  </si>
  <si>
    <t>Isoform 4 of Sorbin and SH3 domain-containing protein 1</t>
  </si>
  <si>
    <t>Histidine triad nucleotide-binding protein 2, mitochondrial</t>
  </si>
  <si>
    <t>Sphingosine-1-phosphate phosphatase 1</t>
  </si>
  <si>
    <t>Oxysterol-binding protein-related protein 11</t>
  </si>
  <si>
    <t>Isoform 2 of Oxysterol-binding protein-related protein 10</t>
  </si>
  <si>
    <t>Rab11 family-interacting protein 5</t>
  </si>
  <si>
    <t>TBC1 domain family member 10A</t>
  </si>
  <si>
    <t>N-alpha-acetyltransferase 15, NatA auxiliary subunit</t>
  </si>
  <si>
    <t>Krueppel-like factor 16</t>
  </si>
  <si>
    <t>Cell division cycle-associated protein 4</t>
  </si>
  <si>
    <t>Isoform 4 of Serrate RNA effector molecule homolog</t>
  </si>
  <si>
    <t>Queuine tRNA-ribosyltransferase</t>
  </si>
  <si>
    <t>AP-1 complex subunit mu-1</t>
  </si>
  <si>
    <t>Isoform 2 of Nucleolar and spindle-associated protein 1</t>
  </si>
  <si>
    <t>Uncharacterized protein C14orf142</t>
  </si>
  <si>
    <t>Oxysterol-binding protein-related protein 1</t>
  </si>
  <si>
    <t>Isoform 1 of Cat eye syndrome critical region protein 5</t>
  </si>
  <si>
    <t>Isoform 2 of Fanconi anemia group D2 protein</t>
  </si>
  <si>
    <t>Protein MAK16 homolog</t>
  </si>
  <si>
    <t>Inosine triphosphate pyrophosphatase</t>
  </si>
  <si>
    <t>Protein RTF2 homolog</t>
  </si>
  <si>
    <t>Charged multivesicular body protein 4a</t>
  </si>
  <si>
    <t>Isoform 2 of Cell adhesion molecule 1</t>
  </si>
  <si>
    <t>Polymerase delta-interacting protein 3</t>
  </si>
  <si>
    <t>Uncharacterized protein KIAA1671</t>
  </si>
  <si>
    <t>Guanine nucleotide-binding protein subunit beta-like protein 1</t>
  </si>
  <si>
    <t>39S ribosomal protein L32, mitochondrial</t>
  </si>
  <si>
    <t>39S ribosomal protein L13, mitochondrial</t>
  </si>
  <si>
    <t>39S ribosomal protein L1, mitochondrial</t>
  </si>
  <si>
    <t>Partitioning defective 6 homolog beta</t>
  </si>
  <si>
    <t>YTH domain family protein 1</t>
  </si>
  <si>
    <t>RanBP-type and C3HC4-type zinc finger-containing protein 1</t>
  </si>
  <si>
    <t>Sulfiredoxin-1</t>
  </si>
  <si>
    <t>28S ribosomal protein S26, mitochondrial</t>
  </si>
  <si>
    <t>Neurolysin, mitochondrial</t>
  </si>
  <si>
    <t>Centrosomal protein of 41 kDa</t>
  </si>
  <si>
    <t>Histone-lysine N-methyltransferase SETD2</t>
  </si>
  <si>
    <t>Isoform 4 of TBC1 domain family member 2A</t>
  </si>
  <si>
    <t>Isoform 2 of Pantothenate kinase 2, mitochondrial</t>
  </si>
  <si>
    <t>Isoform 3 of Dedicator of cytokinesis protein 9</t>
  </si>
  <si>
    <t>Isoform 2 of FERM domain-containing protein 8</t>
  </si>
  <si>
    <t>Isoform 4 of Histone-lysine N-methyltransferase NSD3</t>
  </si>
  <si>
    <t>Putative gamma-taxilin 2</t>
  </si>
  <si>
    <t>Kinetochore protein Nuf2</t>
  </si>
  <si>
    <t>Nucleolar GTP-binding protein 1</t>
  </si>
  <si>
    <t>Tether containing UBX domain for GLUT4</t>
  </si>
  <si>
    <t>Ras-related protein Rab-34</t>
  </si>
  <si>
    <t>WD repeat-containing protein 11</t>
  </si>
  <si>
    <t>Isoform 2 of Regulator of nonsense transcripts 3B</t>
  </si>
  <si>
    <t>Isoform 2 of Crooked neck-like protein 1</t>
  </si>
  <si>
    <t>F-box-like/WD repeat-containing protein TBL1XR1</t>
  </si>
  <si>
    <t>Ubiquitin-like protein 5</t>
  </si>
  <si>
    <t>Protein phosphatase 1 regulatory subunit 12C</t>
  </si>
  <si>
    <t>Isoform 3 of Protein phosphatase 1 regulatory subunit 12C</t>
  </si>
  <si>
    <t>Serine/threonine-protein kinase D2</t>
  </si>
  <si>
    <t>Uridine-cytidine kinase 2</t>
  </si>
  <si>
    <t>Isoform 2 of Apoptosis inhibitor 5</t>
  </si>
  <si>
    <t>Protein dpy-30 homolog</t>
  </si>
  <si>
    <t>Isoform 5 of E3 ubiquitin-protein ligase TRIM9</t>
  </si>
  <si>
    <t>Isoform 4 of Tripartite motif-containing protein 7</t>
  </si>
  <si>
    <t>Isoform Beta of Tripartite motif-containing protein 5</t>
  </si>
  <si>
    <t>Protein FAM117A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</si>
  <si>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</si>
  <si>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</si>
  <si>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</si>
  <si>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</si>
  <si>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</si>
  <si>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Isoform 4 of Activating molecule in BECN1-regulated autophagy protein 1</t>
  </si>
  <si>
    <t>Ubiquitin-conjugating enzyme E2 O</t>
  </si>
  <si>
    <t>Protein zyg-11 homolog B</t>
  </si>
  <si>
    <t>Protein TANC1</t>
  </si>
  <si>
    <t>Centrosomal protein of 44 kDa</t>
  </si>
  <si>
    <t>Rho GTPase-activating protein 39</t>
  </si>
  <si>
    <t>Myotubularin-related protein 12</t>
  </si>
  <si>
    <t>pre-mRNA 3 end processing protein WDR33</t>
  </si>
  <si>
    <t>Ribosome biogenesis protein WDR12</t>
  </si>
  <si>
    <t>UPF0687 protein C20orf27</t>
  </si>
  <si>
    <t>PITH domain-containing protein 1</t>
  </si>
  <si>
    <t>COMM domain-containing protein 5</t>
  </si>
  <si>
    <t>Isoform 2 of Sentrin-specific protease 6</t>
  </si>
  <si>
    <t>Isoform 2 of DNA-directed RNA polymerase I subunit RPA49</t>
  </si>
  <si>
    <t>WD repeat-containing protein 61</t>
  </si>
  <si>
    <t>Isoform 2 of SRA stem-loop-interacting RNA-binding protein, mitochondrial</t>
  </si>
  <si>
    <t>Serine racemase</t>
  </si>
  <si>
    <t>NIF3-like protein 1</t>
  </si>
  <si>
    <t>Egl nine homolog 1</t>
  </si>
  <si>
    <t>Protein FAM192A</t>
  </si>
  <si>
    <t>Ankyrin repeat domain-containing protein 2</t>
  </si>
  <si>
    <t>WW domain-containing transcription regulator protein 1</t>
  </si>
  <si>
    <t>Isoform 2 of Mitochondrial fission factor</t>
  </si>
  <si>
    <t>Ubiquitin-like modifier-activating enzyme 5</t>
  </si>
  <si>
    <t>Phospholysine phosphohistidine inorganic pyrophosphate phosphatase</t>
  </si>
  <si>
    <t>Polyadenylate-binding protein-interacting protein 1</t>
  </si>
  <si>
    <t>Isoform 2 of Caseinolytic peptidase B protein homolog</t>
  </si>
  <si>
    <t>Protein MIS12 homolog</t>
  </si>
  <si>
    <t>Protein FAM107B</t>
  </si>
  <si>
    <t>COMM domain-containing protein 4</t>
  </si>
  <si>
    <t>Kinesin light chain 2</t>
  </si>
  <si>
    <t>Integrin-linked kinase-associated serine/threonine phosphatase 2C</t>
  </si>
  <si>
    <t>5-3 exoribonuclease 2</t>
  </si>
  <si>
    <t>Toll-interacting protein</t>
  </si>
  <si>
    <t>Isoform 3 of Histone deacetylase complex subunit SAP130</t>
  </si>
  <si>
    <t>Isoform 2 of Bromodomain-containing protein 8</t>
  </si>
  <si>
    <t>Sharpin</t>
  </si>
  <si>
    <t>ADP-ribosylation factor-like protein 6</t>
  </si>
  <si>
    <t>Nuclear speckle splicing regulatory protein 1</t>
  </si>
  <si>
    <t>Ectoderm-neural cortex protein 2</t>
  </si>
  <si>
    <t>Rac GTPase-activating protein 1</t>
  </si>
  <si>
    <t>Serine/threonine-protein kinase SIK2</t>
  </si>
  <si>
    <t>Pseudouridylate synthase 7 homolog-like protein</t>
  </si>
  <si>
    <t>Cleavage stimulation factor subunit 2 tau variant</t>
  </si>
  <si>
    <t>Isoform 1 of Cytosolic 5-nucleotidase 3A</t>
  </si>
  <si>
    <t>AP-5 complex subunit mu-1</t>
  </si>
  <si>
    <t>Haloacid dehalogenase-like hydrolase domain-containing protein 2</t>
  </si>
  <si>
    <t>Isoform 2 of Probable ATP-dependent RNA helicase DDX47</t>
  </si>
  <si>
    <t>Ras-related protein Rab-1B</t>
  </si>
  <si>
    <t>Testis-specific Y-encoded-like protein 1</t>
  </si>
  <si>
    <t>Protein SMG9</t>
  </si>
  <si>
    <t>Isoform 2 of Ester hydrolase C11orf54</t>
  </si>
  <si>
    <t>Deoxynucleotidyltransferase terminal-interacting protein 1</t>
  </si>
  <si>
    <t>Nucleotide exchange factor SIL1</t>
  </si>
  <si>
    <t>Anaphase-promoting complex subunit 1</t>
  </si>
  <si>
    <t>Interferon regulatory factor 2-binding protein-like</t>
  </si>
  <si>
    <t>DNA-directed RNA polymerase III subunit RPC6</t>
  </si>
  <si>
    <t>Nuclear ubiquitous casein and cyclin-dependent kinase substrate 1</t>
  </si>
  <si>
    <t>Isoform 3 of Kinesin-like protein KIF13A</t>
  </si>
  <si>
    <t>Isoform 3 of Activating signal cointegrator 1 complex subunit 2</t>
  </si>
  <si>
    <t>Isoform 2 of Regulator of nonsense transcripts 3A</t>
  </si>
  <si>
    <t>Rabenosyn-5</t>
  </si>
  <si>
    <t>Iron-sulfur cluster assembly enzyme ISCU, mitochondrial</t>
  </si>
  <si>
    <t>Mesoderm development candidate 1</t>
  </si>
  <si>
    <t>Isoform 2 of Oxysterol-binding protein-related protein 2</t>
  </si>
  <si>
    <t>Multiple epidermal growth factor-like domains protein 9</t>
  </si>
  <si>
    <t>Autophagy protein 5</t>
  </si>
  <si>
    <t>WD repeat-containing protein 13</t>
  </si>
  <si>
    <t>Mediator of RNA polymerase II transcription subunit 28</t>
  </si>
  <si>
    <t>DNA replication factor Cdt1</t>
  </si>
  <si>
    <t>EH domain-containing protein 4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</si>
  <si>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</si>
  <si>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</si>
  <si>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</si>
  <si>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</si>
  <si>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Isoform 4 of TRIO and F-actin-binding protein</t>
  </si>
  <si>
    <t>STE20-like serine/threonine-protein kinase</t>
  </si>
  <si>
    <t>Peptidyl-prolyl cis-trans isomerase-like 3</t>
  </si>
  <si>
    <t>Phosducin-like protein 3</t>
  </si>
  <si>
    <t>Serine/threonine-protein kinase TAO3</t>
  </si>
  <si>
    <t>Rab3 GTPase-activating protein non-catalytic subunit</t>
  </si>
  <si>
    <t>Activity-dependent neuroprotector homeobox protein</t>
  </si>
  <si>
    <t>Isoform 3 of Diphthine synthase</t>
  </si>
  <si>
    <t>Isoform 3 of Probable ATP-dependent RNA helicase DHX36</t>
  </si>
  <si>
    <t>Inorganic pyrophosphatase 2, mitochondrial</t>
  </si>
  <si>
    <t>39S ribosomal protein L46, mitochondrial</t>
  </si>
  <si>
    <t>Zinc finger protein 106</t>
  </si>
  <si>
    <t>Pinin</t>
  </si>
  <si>
    <t>BTB/POZ domain-containing adapter for CUL3-mediated RhoA degradation protein 3</t>
  </si>
  <si>
    <t>Isoform 4 of tRNA dimethylallyltransferase, mitochondrial</t>
  </si>
  <si>
    <t>Isoform 2 of UPF0696 protein C11orf68</t>
  </si>
  <si>
    <t>BolA-like protein 2</t>
  </si>
  <si>
    <t>Methylmalonic aciduria and homocystinuria type D protein, mitochondrial</t>
  </si>
  <si>
    <t>Thioredoxin-related transmembrane protein 1</t>
  </si>
  <si>
    <t>Negative elongation factor A</t>
  </si>
  <si>
    <t>Golgi resident protein GCP60</t>
  </si>
  <si>
    <t>Cdc42 effector protein 4</t>
  </si>
  <si>
    <t>Tyrosine-protein phosphatase non-receptor type 23</t>
  </si>
  <si>
    <t>Protein unc-45 homolog A</t>
  </si>
  <si>
    <t>Pancreatic progenitor cell differentiation and proliferation factor</t>
  </si>
  <si>
    <t>Kinetochore-associated protein DSN1 homolog</t>
  </si>
  <si>
    <t>Uncharacterized protein C1orf198</t>
  </si>
  <si>
    <t>Charged multivesicular body protein 4b</t>
  </si>
  <si>
    <t>Frizzled-8</t>
  </si>
  <si>
    <t>CUE domain-containing protein 2</t>
  </si>
  <si>
    <t>Fructosamine-3-kinase</t>
  </si>
  <si>
    <t>GDP-fucose protein O-fucosyltransferase 1</t>
  </si>
  <si>
    <t>Microtubule-associated proteins 1A/1B light chain 3A</t>
  </si>
  <si>
    <t>15 kDa interferon-responsive protein</t>
  </si>
  <si>
    <t>Isoform 2 of Torsin-3A</t>
  </si>
  <si>
    <t>Aminopeptidase B</t>
  </si>
  <si>
    <t>Golgi phosphoprotein 3-like</t>
  </si>
  <si>
    <t>Golgi phosphoprotein 3</t>
  </si>
  <si>
    <t>Probable tRNA threonylcarbamoyladenosine biosynthesis protein OSGEPL1</t>
  </si>
  <si>
    <t>Protein salvador homolog 1</t>
  </si>
  <si>
    <t>Band 4.1-like protein 1</t>
  </si>
  <si>
    <t>Isoform 2 of Band 4.1-like protein 1</t>
  </si>
  <si>
    <t>Isoform 4 of Band 4.1-like protein 1</t>
  </si>
  <si>
    <t>Protein FAM83D</t>
  </si>
  <si>
    <t>SWI/SNF-related matrix-associated actin-dependent regulator of chromatin subfamily A containing DEAD/H box 1</t>
  </si>
  <si>
    <t>EH domain-containing protein 1</t>
  </si>
  <si>
    <t>Isoform 2 of E3 ubiquitin-protein ligase NRDP1</t>
  </si>
  <si>
    <t>Phosphorylated CTD-interacting factor 1</t>
  </si>
  <si>
    <t>ESF1 homolog</t>
  </si>
  <si>
    <t>Isoform 2 of Zinc finger protein 644</t>
  </si>
  <si>
    <t>Rab GTPase-binding effector protein 2</t>
  </si>
  <si>
    <t>Dimethyladenosine transferase 2, mitochondrial</t>
  </si>
  <si>
    <t>Isoform 3 of UPF0428 protein CXorf56</t>
  </si>
  <si>
    <t>MIP18 family protein FAM96A</t>
  </si>
  <si>
    <t>Ankyrin repeat and SOCS box protein 7</t>
  </si>
  <si>
    <t>Protein bicaudal C homolog 1</t>
  </si>
  <si>
    <t>Pecanex-like protein 3</t>
  </si>
  <si>
    <t>HAUS augmin-like complex subunit 4</t>
  </si>
  <si>
    <t>Coiled-coil domain-containing protein 134</t>
  </si>
  <si>
    <t>Speckle targeted PIP5K1A-regulated poly(A) polymerase</t>
  </si>
  <si>
    <t>Coiled-coil domain-containing protein 86</t>
  </si>
  <si>
    <t>Uncharacterized protein C6orf106</t>
  </si>
  <si>
    <t>Armadillo repeat-containing protein 7</t>
  </si>
  <si>
    <t>Cytosolic Fe-S cluster assembly factor NARFL</t>
  </si>
  <si>
    <t>Isoform 2 of Nucleolar protein 6</t>
  </si>
  <si>
    <t>Isoform 2 of WD repeat-containing protein C2orf44</t>
  </si>
  <si>
    <t>Probable ATP-dependent RNA helicase YTHDC2</t>
  </si>
  <si>
    <t>5-azacytidine-induced protein 2</t>
  </si>
  <si>
    <t>Epidermal growth factor receptor kinase substrate 8-like protein 2</t>
  </si>
  <si>
    <t>Isoform 2 of RNA polymerase II-associated protein 3</t>
  </si>
  <si>
    <t>Isoform 1 of Breast carcinoma-amplified sequence 3</t>
  </si>
  <si>
    <t>Bifunctional lysine-specific demethylase and histidyl-hydroxylase NO66</t>
  </si>
  <si>
    <t>Anthrax toxin receptor 1</t>
  </si>
  <si>
    <t>WD repeat-containing protein 55</t>
  </si>
  <si>
    <t>Isoform 2 of Ran-binding protein 3</t>
  </si>
  <si>
    <t>dCTP pyrophosphatase 1</t>
  </si>
  <si>
    <t>SH2 domain-containing protein 4A</t>
  </si>
  <si>
    <t>Pseudopodium-enriched atypical kinase 1</t>
  </si>
  <si>
    <t>Histone-lysine N-methyltransferase SMYD3</t>
  </si>
  <si>
    <t>Isoform 2 of Syncoilin</t>
  </si>
  <si>
    <t>Mth938 domain-containing protein</t>
  </si>
  <si>
    <t>Dedicator of cytokinesis protein 5</t>
  </si>
  <si>
    <t>Isoform 2 of WD repeat-containing protein 26</t>
  </si>
  <si>
    <t>Isoform 3 of Tudor domain-containing protein 3</t>
  </si>
  <si>
    <t>UPF0488 protein C8orf33</t>
  </si>
  <si>
    <t>Sin3 histone deacetylase corepressor complex component SDS3</t>
  </si>
  <si>
    <t>Splicing factor, arginine/serine-rich 19</t>
  </si>
  <si>
    <t>Pleckstrin homology domain-containing family G member 2</t>
  </si>
  <si>
    <t>Isoform 2 of Zinc finger protein 665</t>
  </si>
  <si>
    <t>Zinc finger protein 703</t>
  </si>
  <si>
    <t>Isoform 3 of Serine-rich coiled-coil domain-containing protein 2</t>
  </si>
  <si>
    <t>Zinc finger protein 696</t>
  </si>
  <si>
    <t>Isoform 2 of Rab-like protein 5</t>
  </si>
  <si>
    <t>Histone acetyltransferase KAT8</t>
  </si>
  <si>
    <t>Prostaglandin E synthase 2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</si>
  <si>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</si>
  <si>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</si>
  <si>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</si>
  <si>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</si>
  <si>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2 of 5-nucleotidase domain-containing protein 2</t>
  </si>
  <si>
    <t>Isoform 7 of YY1-associated protein 1</t>
  </si>
  <si>
    <t>PRKR-interacting protein 1</t>
  </si>
  <si>
    <t>Cysteine-rich protein 2-binding protein</t>
  </si>
  <si>
    <t>Caspase activity and apoptosis inhibitor 1</t>
  </si>
  <si>
    <t>Nucleolar protein 11</t>
  </si>
  <si>
    <t>Uncharacterized protein C10orf88</t>
  </si>
  <si>
    <t>Bromodomain-containing protein 9</t>
  </si>
  <si>
    <t>Protein FAM188A</t>
  </si>
  <si>
    <t>MOB kinase activator 1A</t>
  </si>
  <si>
    <t>AN1-type zinc finger protein 3</t>
  </si>
  <si>
    <t>Protein ECT2</t>
  </si>
  <si>
    <t>Pleckstrin homology domain-containing family F member 2</t>
  </si>
  <si>
    <t>Ankyrin repeat and zinc finger domain-containing protein 1</t>
  </si>
  <si>
    <t>Golgi reassembly-stacking protein 2</t>
  </si>
  <si>
    <t>Protein zwilch homolog</t>
  </si>
  <si>
    <t>Isoform 2 of Hematological and neurological expressed 1-like protein</t>
  </si>
  <si>
    <t>Mediator of RNA polymerase II transcription subunit 20</t>
  </si>
  <si>
    <t>Queuine tRNA-ribosyltransferase subunit QTRTD1</t>
  </si>
  <si>
    <t>WD repeat-containing protein 54</t>
  </si>
  <si>
    <t>Actin-related protein 8</t>
  </si>
  <si>
    <t>E3 ubiquitin-protein ligase MARCH7</t>
  </si>
  <si>
    <t>UPF0364 protein C6orf211</t>
  </si>
  <si>
    <t>Pantothenate kinase 3</t>
  </si>
  <si>
    <t>Isoform 2 of CCR4-NOT transcription complex subunit 10</t>
  </si>
  <si>
    <t>Leucine-rich repeat-containing protein 40</t>
  </si>
  <si>
    <t>RecQ-mediated genome instability protein 1</t>
  </si>
  <si>
    <t>Histone-lysine N-methyltransferase EHMT1</t>
  </si>
  <si>
    <t>Spermatogenesis-defective protein 39 homolog</t>
  </si>
  <si>
    <t>Zinc finger protein 408</t>
  </si>
  <si>
    <t>Conserved oligomeric Golgi complex subunit 4</t>
  </si>
  <si>
    <t>Actin-related protein 5</t>
  </si>
  <si>
    <t>Vacuolar protein sorting-associated protein 37B</t>
  </si>
  <si>
    <t>39S ribosomal protein L44, mitochondrial</t>
  </si>
  <si>
    <t>Dysbindin domain-containing protein 1</t>
  </si>
  <si>
    <t>Isoform 2 of Elongator complex protein 3</t>
  </si>
  <si>
    <t>Isoform 2 of JmjC domain-containing protein 4</t>
  </si>
  <si>
    <t>Isoform 3 of Uridine-cytidine kinase 1</t>
  </si>
  <si>
    <t>Ketosamine-3-kinase</t>
  </si>
  <si>
    <t>TBC1 domain family member 17</t>
  </si>
  <si>
    <t>Probable cysteine--tRNA ligase, mitochondrial</t>
  </si>
  <si>
    <t>Phosphopantothenate--cysteine ligase</t>
  </si>
  <si>
    <t>WD repeat-containing protein 41</t>
  </si>
  <si>
    <t>Isoform 2 of Chromatin modification-related protein MEAF6</t>
  </si>
  <si>
    <t>Histone deacetylase complex subunit SAP30L</t>
  </si>
  <si>
    <t>MLX-interacting protein</t>
  </si>
  <si>
    <t>Isoform 2 of Sialate O-acetylesterase</t>
  </si>
  <si>
    <t>Pleckstrin homology domain-containing family A member 5</t>
  </si>
  <si>
    <t>Regulator of nonsense transcripts 2</t>
  </si>
  <si>
    <t>Exportin-5</t>
  </si>
  <si>
    <t>GrpE protein homolog 1, mitochondrial</t>
  </si>
  <si>
    <t>Isoform 2 of Claspin</t>
  </si>
  <si>
    <t>Beta,beta-carotene 15,15-monooxygenase</t>
  </si>
  <si>
    <t>UPF0160 protein MYG1, mitochondrial</t>
  </si>
  <si>
    <t>Isoform 3 of Bcl-2-like protein 12</t>
  </si>
  <si>
    <t>Pleckstrin homology domain-containing family A member 2</t>
  </si>
  <si>
    <t>Pleckstrin homology domain-containing family A member 3</t>
  </si>
  <si>
    <t>Retinoid-inducible serine carboxypeptidase</t>
  </si>
  <si>
    <t>Calcyclin-binding protein</t>
  </si>
  <si>
    <t>Ras-related GTP-binding protein C</t>
  </si>
  <si>
    <t>Fanconi anemia group E protein</t>
  </si>
  <si>
    <t>Isoform 4 of POZ-, AT hook-, and zinc finger-containing protein 1</t>
  </si>
  <si>
    <t>Rho-related GTP-binding protein RhoF</t>
  </si>
  <si>
    <t>Peptide deformylase, mitochondrial</t>
  </si>
  <si>
    <t>Beta-parvin</t>
  </si>
  <si>
    <t>Arsenite methyltransferase</t>
  </si>
  <si>
    <t>NmrA-like family domain-containing protein 1</t>
  </si>
  <si>
    <t>Kinetochore protein Spc25</t>
  </si>
  <si>
    <t>Putative sodium-coupled neutral amino acid transporter 10</t>
  </si>
  <si>
    <t>Ethanolamine kinase 1</t>
  </si>
  <si>
    <t>Isoform 2 of Aryl hydrocarbon receptor nuclear translocator 2</t>
  </si>
  <si>
    <t>Echinoderm microtubule-associated protein-like 4</t>
  </si>
  <si>
    <t>Isoform 2 of Glyoxalase domain-containing protein 4</t>
  </si>
  <si>
    <t>Chromobox protein homolog 8</t>
  </si>
  <si>
    <t>Methylcrotonoyl-CoA carboxylase beta chain, mitochondrial</t>
  </si>
  <si>
    <t>Isoform 5 of Lateral signaling target protein 2 homolog</t>
  </si>
  <si>
    <t>Nuclear receptor coactivator 5</t>
  </si>
  <si>
    <t>Protein TANC2</t>
  </si>
  <si>
    <t>Isoform 2 of Ectopic P granules protein 5 homolog</t>
  </si>
  <si>
    <t>Zinc finger protein 532</t>
  </si>
  <si>
    <t>Methyltransferase-like protein 14</t>
  </si>
  <si>
    <t>Isoform 3 of Rho guanine nucleotide exchange factor 10-like protein</t>
  </si>
  <si>
    <t>Isoform Short of E3 ubiquitin-protein ligase SMURF1</t>
  </si>
  <si>
    <t>Nck-associated protein 5-like</t>
  </si>
  <si>
    <t>Trinucleotide repeat-containing gene 6C protein</t>
  </si>
  <si>
    <t>Isoform 2 of Ribonucleoprotein PTB-binding 2</t>
  </si>
  <si>
    <t>Chromodomain-helicase-DNA-binding protein 8</t>
  </si>
  <si>
    <t>Isoform 3 of GPN-loop GTPase 1</t>
  </si>
  <si>
    <t>Stromal cell-derived factor 2-like protein 1</t>
  </si>
  <si>
    <t>Dual 3,5-cyclic-AMP and -GMP phosphodiesterase 11A</t>
  </si>
  <si>
    <t>DNA polymerase delta subunit 4</t>
  </si>
  <si>
    <t>Steroid receptor RNA activator 1</t>
  </si>
  <si>
    <t>Isoform 2 of Golgi-associated PDZ and coiled-coil motif-containing protein</t>
  </si>
  <si>
    <t>Isoform 2 of Ran guanine nucleotide release factor</t>
  </si>
  <si>
    <t>Unconventional myosin-X</t>
  </si>
  <si>
    <t>WD repeat-containing protein 6</t>
  </si>
  <si>
    <t>Isoform 2 of Tuftelin</t>
  </si>
  <si>
    <t>ADP-ribosylation factor GTPase-activating protein 3</t>
  </si>
  <si>
    <t>High mobility group protein 20A</t>
  </si>
  <si>
    <t>Ras-related protein Rab-18</t>
  </si>
  <si>
    <t>Isoform 2 of UDP-N-acetylglucosamine transferase subunit ALG13 homolog</t>
  </si>
  <si>
    <t>Palmdelphin</t>
  </si>
  <si>
    <t>RNA polymerase II subunit A C-terminal domain phosphatase SSU72</t>
  </si>
  <si>
    <t>Vacuolar protein sorting-associated protein VTA1 homolog</t>
  </si>
  <si>
    <t>Dynein light chain roadblock-type 1</t>
  </si>
  <si>
    <t>Mid1-interacting protein 1</t>
  </si>
  <si>
    <t>Isoform 2 of Zinc finger protein 64 homolog, isoforms 1 and 2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</si>
  <si>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</si>
  <si>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</si>
  <si>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</si>
  <si>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</si>
  <si>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H/ACA ribonucleoprotein complex subunit 3</t>
  </si>
  <si>
    <t>CD320 antigen</t>
  </si>
  <si>
    <t>Probable tRNA threonylcarbamoyladenosine biosynthesis protein OSGEP</t>
  </si>
  <si>
    <t>DNA methyltransferase 1-associated protein 1</t>
  </si>
  <si>
    <t>Isoform 2 of Ubinuclein-1</t>
  </si>
  <si>
    <t>Lysophosphatidic acid phosphatase type 6</t>
  </si>
  <si>
    <t>mRNA-decapping enzyme 1A</t>
  </si>
  <si>
    <t>Acyl-coenzyme A thioesterase 13</t>
  </si>
  <si>
    <t>Mediator of RNA polymerase II transcription subunit 4</t>
  </si>
  <si>
    <t>Isoform 4 of Synembryn-A</t>
  </si>
  <si>
    <t>Putative RNA-binding protein Luc7-like 1</t>
  </si>
  <si>
    <t>Fructose-2,6-bisphosphatase TIGAR</t>
  </si>
  <si>
    <t>Uncharacterized protein C12orf4</t>
  </si>
  <si>
    <t>Coordinator of PRMT5 and differentiation stimulator</t>
  </si>
  <si>
    <t>WAS protein family homolog 6</t>
  </si>
  <si>
    <t>Reticulon-4</t>
  </si>
  <si>
    <t>Histidine triad nucleotide-binding protein 3</t>
  </si>
  <si>
    <t>Regulation of nuclear pre-mRNA domain-containing protein 1B</t>
  </si>
  <si>
    <t>Isoform 2 of Probable Xaa-Pro aminopeptidase 3</t>
  </si>
  <si>
    <t>Prefoldin subunit 4</t>
  </si>
  <si>
    <t>Omega-amidase NIT2</t>
  </si>
  <si>
    <t>Cell death regulator Aven</t>
  </si>
  <si>
    <t>Poliovirus receptor-related protein 3</t>
  </si>
  <si>
    <t>Isoform 2 of Inner centromere protein</t>
  </si>
  <si>
    <t>Exosome complex component RRP46</t>
  </si>
  <si>
    <t>Exosome complex component RRP40</t>
  </si>
  <si>
    <t>Kinesin-like protein KIF13B</t>
  </si>
  <si>
    <t>Actin-binding protein anillin</t>
  </si>
  <si>
    <t>Isoform 3 of Xaa-Pro aminopeptidase 1</t>
  </si>
  <si>
    <t>Gephyrin</t>
  </si>
  <si>
    <t>Bridging integrator 3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</si>
  <si>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</si>
  <si>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</si>
  <si>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</si>
  <si>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</si>
  <si>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</si>
  <si>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</si>
  <si>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</si>
  <si>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</si>
  <si>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</si>
  <si>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Endophilin-B2</t>
  </si>
  <si>
    <t>Translation initiation factor eIF-2B subunit gamma</t>
  </si>
  <si>
    <t>Isoform 3 of SH2B adapter protein 1</t>
  </si>
  <si>
    <t>CTP synthase 2</t>
  </si>
  <si>
    <t>DNA polymerase epsilon subunit 3</t>
  </si>
  <si>
    <t>Chromatin accessibility complex protein 1</t>
  </si>
  <si>
    <t>Phosphoribosyltransferase domain-containing protein 1</t>
  </si>
  <si>
    <t>N-lysine methyltransferase SMYD2</t>
  </si>
  <si>
    <t>Yae1 domain-containing protein 1</t>
  </si>
  <si>
    <t>Tubby-related protein 4</t>
  </si>
  <si>
    <t>Isoform 2 of Bromodomain adjacent to zinc finger domain protein 1A</t>
  </si>
  <si>
    <t>Striatin-4</t>
  </si>
  <si>
    <t>L-aminoadipate-semialdehyde dehydrogenase-phosphopantetheinyl transferase</t>
  </si>
  <si>
    <t>Methyltransferase-like protein 5</t>
  </si>
  <si>
    <t>Ubiquilin-4</t>
  </si>
  <si>
    <t>Sorting nexin-15</t>
  </si>
  <si>
    <t>Heme-binding protein 1</t>
  </si>
  <si>
    <t>Vacuolar protein sorting-associated protein 45</t>
  </si>
  <si>
    <t>RNA-binding protein PNO1</t>
  </si>
  <si>
    <t>14 kDa phosphohistidine phosphatase</t>
  </si>
  <si>
    <t>SOSS complex subunit C</t>
  </si>
  <si>
    <t>Rho GTPase-activating protein 35</t>
  </si>
  <si>
    <t>Protein FAM114A2</t>
  </si>
  <si>
    <t>Isoform 3 of Lymphoid-specific helicase</t>
  </si>
  <si>
    <t>Glutaredoxin-2, mitochondrial</t>
  </si>
  <si>
    <t>CREB/ATF bZIP transcription factor</t>
  </si>
  <si>
    <t>Isoform 3 of MAP3K12-binding inhibitory protein 1</t>
  </si>
  <si>
    <t>LanC-like protein 2</t>
  </si>
  <si>
    <t>Isoform 2 of Kinesin-like protein KIF15</t>
  </si>
  <si>
    <t>E3 ubiquitin-protein ligase RAD18</t>
  </si>
  <si>
    <t>Beta-catenin-interacting protein 1</t>
  </si>
  <si>
    <t>Isoform 2 of Homer protein homolog 2</t>
  </si>
  <si>
    <t>Isoform 5 of Homer protein homolog 3</t>
  </si>
  <si>
    <t>Phenylalanine--tRNA ligase beta subunit</t>
  </si>
  <si>
    <t>Isoleucine--tRNA ligase, mitochondrial</t>
  </si>
  <si>
    <t>Isoform B of Protein FAM207A</t>
  </si>
  <si>
    <t>Kinesin light chain 4</t>
  </si>
  <si>
    <t>Nuclear receptor-binding protein 2</t>
  </si>
  <si>
    <t>StAR-related lipid transfer protein 5</t>
  </si>
  <si>
    <t>Ubiquitin-like-conjugating enzyme ATG3</t>
  </si>
  <si>
    <t>NAD-dependent protein deacetylase sirtuin-3, mitochondrial</t>
  </si>
  <si>
    <t>Isoform 2 of Sister chromatid cohesion protein PDS5 homolog B</t>
  </si>
  <si>
    <t>Structural maintenance of chromosomes protein 4</t>
  </si>
  <si>
    <t>Isoform 3 of Alpha-mannosidase 2C1</t>
  </si>
  <si>
    <t>Obg-like ATPase 1</t>
  </si>
  <si>
    <t>Isoform 2 of Obg-like ATPase 1</t>
  </si>
  <si>
    <t>Copper homeostasis protein cutC homolog</t>
  </si>
  <si>
    <t>Isoform 6 of Ethylmalonyl-CoA decarboxylase</t>
  </si>
  <si>
    <t>RNA-binding protein 12</t>
  </si>
  <si>
    <t>TBC1 domain family member 22B</t>
  </si>
  <si>
    <t>Midasin</t>
  </si>
  <si>
    <t>LYR motif-containing protein 2</t>
  </si>
  <si>
    <t>p53 and DNA damage-regulated protein 1</t>
  </si>
  <si>
    <t>Mycophenolic acid acyl-glucuronide esterase, mitochondrial</t>
  </si>
  <si>
    <t>T-complex protein 11-like protein 1</t>
  </si>
  <si>
    <t>Isoform 2 of UPF0515 protein C19orf66</t>
  </si>
  <si>
    <t>Transmembrane protein 106B</t>
  </si>
  <si>
    <t>Biogenesis of lysosome-related organelles complex 1 subunit 4</t>
  </si>
  <si>
    <t>tRNA:m(4)X modification enzyme TRM13 homolog</t>
  </si>
  <si>
    <t>Protein lin-7 homolog C</t>
  </si>
  <si>
    <t>Gamma-taxilin</t>
  </si>
  <si>
    <t>Isoform 2 of SPATS2-like protein</t>
  </si>
  <si>
    <t>ATP-binding cassette sub-family F member 3</t>
  </si>
  <si>
    <t>Protein FAM49B</t>
  </si>
  <si>
    <t>AP-5 complex subunit sigma-1</t>
  </si>
  <si>
    <t>ATP-dependent RNA helicase DDX19A</t>
  </si>
  <si>
    <t>Tyrosyl-DNA phosphodiesterase 1</t>
  </si>
  <si>
    <t>TBC1 domain family member 23</t>
  </si>
  <si>
    <t>DDB1- and CUL4-associated factor 13</t>
  </si>
  <si>
    <t>U3 small nucleolar ribonucleoprotein protein IMP3</t>
  </si>
  <si>
    <t>Probable 8-oxo-dGTP diphosphatase NUDT15</t>
  </si>
  <si>
    <t>MRG/MORF4L-binding protein</t>
  </si>
  <si>
    <t>Isoform 2 of Exocyst complex component 1</t>
  </si>
  <si>
    <t>Isoform 3 of Integrator complex subunit 9</t>
  </si>
  <si>
    <t>Mediator of RNA polymerase II transcription subunit 17</t>
  </si>
  <si>
    <t>Alpha-parvin</t>
  </si>
  <si>
    <t>Ubiquitin carboxyl-terminal hydrolase 40</t>
  </si>
  <si>
    <t>Pantothenate kinase 4</t>
  </si>
  <si>
    <t>F-box only protein 28</t>
  </si>
  <si>
    <t>TBC1 domain family member 13</t>
  </si>
  <si>
    <t>Isoform 3 of Integrator complex subunit 7</t>
  </si>
  <si>
    <t>Isoform 7 of Trimethyllysine dioxygenase, mitochondrial</t>
  </si>
  <si>
    <t>Fanconi anemia group I protein</t>
  </si>
  <si>
    <t>ADP-ribosylation factor-like protein 8B</t>
  </si>
  <si>
    <t>FGFR1 oncogene partner 2</t>
  </si>
  <si>
    <t>Isoform 3 of Protein arginine N-methyltransferase 7</t>
  </si>
  <si>
    <t>DnaJ homolog subfamily C member 17</t>
  </si>
  <si>
    <t>Protein asunder homolog</t>
  </si>
  <si>
    <t>Synembryn-B</t>
  </si>
  <si>
    <t>Guanine nucleotide-binding protein-like 3-like protein</t>
  </si>
  <si>
    <t>ATP-dependent RNA helicase DDX18</t>
  </si>
  <si>
    <t>Histone chaperone ASF1B</t>
  </si>
  <si>
    <t>Fas apoptotic inhibitory molecule 1</t>
  </si>
  <si>
    <t>Kelch-like protein 11</t>
  </si>
  <si>
    <t>Integrator complex subunit 10</t>
  </si>
  <si>
    <t>Protein kintoun</t>
  </si>
  <si>
    <t>Pyridoxine-5-phosphate oxidase</t>
  </si>
  <si>
    <t>Armadillo repeat-containing protein 1</t>
  </si>
  <si>
    <t>Isoform 5 of DNA-directed RNA polymerase III subunit RPC5</t>
  </si>
  <si>
    <t>Isoform 2 of Protein SDA1 homolog</t>
  </si>
  <si>
    <t>E3 ubiquitin-protein ligase RLIM</t>
  </si>
  <si>
    <t>Isoform 3 of HAUS augmin-like complex subunit 2</t>
  </si>
  <si>
    <t>Notchless protein homolog 1</t>
  </si>
  <si>
    <t>Kelch repeat and BTB domain-containing protein 4</t>
  </si>
  <si>
    <t>Adaptin ear-binding coat-associated protein 2</t>
  </si>
  <si>
    <t>RNA-binding protein 28</t>
  </si>
  <si>
    <t>Pre-mRNA-splicing factor RBM22</t>
  </si>
  <si>
    <t>G patch domain-containing protein 2</t>
  </si>
  <si>
    <t>WD repeat-containing protein 70</t>
  </si>
  <si>
    <t>Transmembrane protein 51</t>
  </si>
  <si>
    <t>Mediator of RNA polymerase II transcription subunit 9</t>
  </si>
  <si>
    <t>Arginine and glutamate-rich protein 1</t>
  </si>
  <si>
    <t>E3 ubiquitin-protein ligase RNF216</t>
  </si>
  <si>
    <t>SAFB-like transcription modulator</t>
  </si>
  <si>
    <t>Box C/D snoRNA protein 1</t>
  </si>
  <si>
    <t>Isoform 2 of Spermine oxidase</t>
  </si>
  <si>
    <t>CUE domain-containing protein 1</t>
  </si>
  <si>
    <t>Peptidyl-prolyl cis-trans isomerase FKBP14</t>
  </si>
  <si>
    <t>Uncharacterized protein C14orf119</t>
  </si>
  <si>
    <t>PIH1 domain-containing protein 1</t>
  </si>
  <si>
    <t>Isoform 5 of PCNA-interacting partner</t>
  </si>
  <si>
    <t>Protein FAM118A</t>
  </si>
  <si>
    <t>p21-activated protein kinase-interacting protein 1</t>
  </si>
  <si>
    <t>Hypoxia-inducible factor 1-alpha inhibitor</t>
  </si>
  <si>
    <t>3-oxoacyl-[acyl-carrier-protein] synthase, mitochondrial</t>
  </si>
  <si>
    <t>Glucose-induced degradation protein 8 homolog</t>
  </si>
  <si>
    <t>UPF0587 protein C1orf123</t>
  </si>
  <si>
    <t>Ankyrin repeat and SOCS box protein 6</t>
  </si>
  <si>
    <t>Probable tRNA(His) guanylyltransferase</t>
  </si>
  <si>
    <t>UPF0609 protein C4orf27</t>
  </si>
  <si>
    <t>Interleukin-1 receptor-associated kinase 4</t>
  </si>
  <si>
    <t>Uridine-cytidine kinase-like 1</t>
  </si>
  <si>
    <t>Gem-associated protein 8</t>
  </si>
  <si>
    <t>Thioredoxin-like protein 4B</t>
  </si>
  <si>
    <t>Isoform 5 of NACHT, LRR and PYD domains-containing protein 2</t>
  </si>
  <si>
    <t>tRNA selenocysteine 1-associated protein 1</t>
  </si>
  <si>
    <t>COMM domain-containing protein 8</t>
  </si>
  <si>
    <t>H/ACA ribonucleoprotein complex subunit 2</t>
  </si>
  <si>
    <t>Protein FAM206A</t>
  </si>
  <si>
    <t>Poly(ADP-ribose) glycohydrolase ARH3</t>
  </si>
  <si>
    <t>Huntingtin-interacting protein K</t>
  </si>
  <si>
    <t>Cell growth-regulating nucleolar protein</t>
  </si>
  <si>
    <t>Mediator of RNA polymerase II transcription subunit 29</t>
  </si>
  <si>
    <t>tRNA-dihydrouridine(20) synthase [NAD(P)+]-like</t>
  </si>
  <si>
    <t>NAD-dependent protein deacylase sirtuin-5, mitochondrial</t>
  </si>
  <si>
    <t>WD repeat-containing protein mio</t>
  </si>
  <si>
    <t>Myotubularin-related protein 10</t>
  </si>
  <si>
    <t>Pre-mRNA-splicing factor CWC25 homolog</t>
  </si>
  <si>
    <t>THUMP domain-containing protein 1</t>
  </si>
  <si>
    <t>Transmembrane prolyl 4-hydroxylase</t>
  </si>
  <si>
    <t>Isoform 2 of tRNA (guanine(26)-N(2))-dimethyltransferase</t>
  </si>
  <si>
    <t>Isoform 2 of Nuclear distribution protein nudE homolog 1</t>
  </si>
  <si>
    <t>BRCA1-A complex subunit BRE</t>
  </si>
  <si>
    <t>BTB/POZ domain-containing protein KCTD5</t>
  </si>
  <si>
    <t>CDKN2A-interacting protein</t>
  </si>
  <si>
    <t>DnaJ homolog subfamily B member 12</t>
  </si>
  <si>
    <t>Alpha-ketoglutarate-dependent dioxygenase alkB homolog 4</t>
  </si>
  <si>
    <t>Non-structural maintenance of chromosomes element 4 homolog A</t>
  </si>
  <si>
    <t>Isoform 2 of H/ACA ribonucleoprotein complex subunit 1</t>
  </si>
  <si>
    <t>Serine/threonine-protein phosphatase 4 regulatory subunit 2</t>
  </si>
  <si>
    <t>Dipeptidyl peptidase 3</t>
  </si>
  <si>
    <t>Protein AATF</t>
  </si>
  <si>
    <t>Probable ATP-dependent RNA helicase DDX56</t>
  </si>
  <si>
    <t>Telomeric repeat-binding factor 2-interacting protein 1</t>
  </si>
  <si>
    <t>Isoform 2 of Abl interactor 2</t>
  </si>
  <si>
    <t>Isoform 2 of Bcl-2-associated transcription factor 1</t>
  </si>
  <si>
    <t>Isoform 3 of Bcl-2-associated transcription factor 1</t>
  </si>
  <si>
    <t>Anaphase-promoting complex subunit 11</t>
  </si>
  <si>
    <t>Cytochrome c oxidase assembly factor 4 homolog, mitochondrial</t>
  </si>
  <si>
    <t>TGF-beta-activated kinase 1 and MAP3K7-binding protein 2</t>
  </si>
  <si>
    <t>Mitogen-activated protein kinase kinase kinase MLT</t>
  </si>
  <si>
    <t>Isoform 2 of Mitogen-activated protein kinase kinase kinase MLT</t>
  </si>
  <si>
    <t>Tropomodulin-3</t>
  </si>
  <si>
    <t>Protein Mis18-alpha</t>
  </si>
  <si>
    <t>Cadherin EGF LAG seven-pass G-type receptor 1</t>
  </si>
  <si>
    <t>NF-kappa-B inhibitor-interacting Ras-like protein 1</t>
  </si>
  <si>
    <t>Pleckstrin-2</t>
  </si>
  <si>
    <t>Isoform 2 of UDP-glucose:glycoprotein glucosyltransferase 1</t>
  </si>
  <si>
    <t>Isoform 2 of Cyclin-dependent kinase 12</t>
  </si>
  <si>
    <t>FAST kinase domain-containing protein 2</t>
  </si>
  <si>
    <t>G2 and S phase-expressed protein 1</t>
  </si>
  <si>
    <t>Endoplasmic reticulum aminopeptidase 1</t>
  </si>
  <si>
    <t>Ubiquitin-associated protein 1</t>
  </si>
  <si>
    <t>Actin-related protein 10</t>
  </si>
  <si>
    <t>CDGSH iron-sulfur domain-containing protein 1</t>
  </si>
  <si>
    <t>ADP-ribosylation factor-binding protein GGA3</t>
  </si>
  <si>
    <t>Uncharacterized protein C9orf78</t>
  </si>
  <si>
    <t>Constitutive coactivator of PPAR-gamma-like protein 1</t>
  </si>
  <si>
    <t>SWI/SNF-related matrix-associated actin-dependent regulator of chromatin subfamily A-like protein 1</t>
  </si>
  <si>
    <t>Glycolipid transfer protein</t>
  </si>
  <si>
    <t>Isoform 2 of Maspardin</t>
  </si>
  <si>
    <t>Isoform 2 of Upstream-binding protein 1</t>
  </si>
  <si>
    <t>Insulin-like growth factor 2 mRNA-binding protein 1</t>
  </si>
  <si>
    <t>Sacsin</t>
  </si>
  <si>
    <t>Hexaprenyldihydroxybenzoate methyltransferase, mitochondrial</t>
  </si>
  <si>
    <t>Isoform 2 of Mitochondrial carrier homolog 1</t>
  </si>
  <si>
    <t>Diphosphoinositol polyphosphate phosphohydrolase 2</t>
  </si>
  <si>
    <t>Isoform 2 of Diphosphoinositol polyphosphate phosphohydrolase 2</t>
  </si>
  <si>
    <t>Methionine adenosyltransferase 2 subunit beta</t>
  </si>
  <si>
    <t>Isoform 6 of Myoferlin</t>
  </si>
  <si>
    <t>Isoform 2 of Intersectin-2</t>
  </si>
  <si>
    <t>Isoform 2 of Glioma tumor suppressor candidate region gene 1 protein</t>
  </si>
  <si>
    <t>EH domain-containing protein 3</t>
  </si>
  <si>
    <t>EH domain-containing protein 2</t>
  </si>
  <si>
    <t>Rho guanine nucleotide exchange factor 12</t>
  </si>
  <si>
    <t>CCR4-NOT transcription complex subunit 2</t>
  </si>
  <si>
    <t>Isoform 3 of NCK-interacting protein with SH3 domain</t>
  </si>
  <si>
    <t>Isoform 2 of Opioid growth factor receptor</t>
  </si>
  <si>
    <t>Leucine-rich repeat transmembrane protein FLRT3</t>
  </si>
  <si>
    <t>LIM and cysteine-rich domains protein 1</t>
  </si>
  <si>
    <t>Cysteine-rich motor neuron 1 protein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</si>
  <si>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</si>
  <si>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</si>
  <si>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</si>
  <si>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</si>
  <si>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</si>
  <si>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Cysteine-rich PDZ-binding protein</t>
  </si>
  <si>
    <t>E3 ubiquitin-protein ligase KCMF1</t>
  </si>
  <si>
    <t>Ankycorbin</t>
  </si>
  <si>
    <t>Vesicle-associated membrane protein-associated protein A</t>
  </si>
  <si>
    <t>Core histone macro-H2A.2</t>
  </si>
  <si>
    <t>Isoform 3 of TBC1 domain family member 7</t>
  </si>
  <si>
    <t>E3 ubiquitin-protein ligase RNF181</t>
  </si>
  <si>
    <t>Uncharacterized protein C6orf203</t>
  </si>
  <si>
    <t>GSK3-beta interaction protein</t>
  </si>
  <si>
    <t>Cytochrome c oxidase assembly protein COX16 homolog, mitochondrial</t>
  </si>
  <si>
    <t>CpG-binding protein</t>
  </si>
  <si>
    <t>SH3 domain-binding protein 4</t>
  </si>
  <si>
    <t>Costars family protein ABRACL</t>
  </si>
  <si>
    <t>DNA-directed RNA polymerase I subunit RPA12</t>
  </si>
  <si>
    <t>Sterile alpha motif domain-containing protein 15</t>
  </si>
  <si>
    <t>Calmodulin-regulated spectrin-associated protein 3</t>
  </si>
  <si>
    <t>Zinc finger and BTB domain-containing protein 4</t>
  </si>
  <si>
    <t>Isoform 2 of Calcium-binding and coiled-coil domain-containing protein 1</t>
  </si>
  <si>
    <t>BTB/POZ domain-containing protein 7</t>
  </si>
  <si>
    <t>Isoform 2 of Uncharacterized protein KIAA1522</t>
  </si>
  <si>
    <t>Protein Daple</t>
  </si>
  <si>
    <t>Vacuolar protein sorting-associated protein 18 homolog</t>
  </si>
  <si>
    <t>Protein RCC2</t>
  </si>
  <si>
    <t>LisH domain and HEAT repeat-containing protein KIAA1468</t>
  </si>
  <si>
    <t>Isoform 2 of LisH domain and HEAT repeat-containing protein KIAA1468</t>
  </si>
  <si>
    <t>Disco-interacting protein 2 homolog B</t>
  </si>
  <si>
    <t>Junctional protein associated with coronary artery disease</t>
  </si>
  <si>
    <t>SLAIN motif-containing protein 2</t>
  </si>
  <si>
    <t>Ubiquitin carboxyl-terminal hydrolase 36</t>
  </si>
  <si>
    <t>BRCA2 and CDKN1A-interacting protein</t>
  </si>
  <si>
    <t>Isoform 2 of BRCA2 and CDKN1A-interacting protein</t>
  </si>
  <si>
    <t>Serine/threonine-protein kinase MST4</t>
  </si>
  <si>
    <t>Coatomer subunit zeta-2</t>
  </si>
  <si>
    <t>Prostaglandin F2 receptor negative regulator</t>
  </si>
  <si>
    <t>CTTNBP2 N-terminal-like protein</t>
  </si>
  <si>
    <t>Isoform 2 of UPF0501 protein KIAA1430</t>
  </si>
  <si>
    <t>Isoform 3 of HEAT repeat-containing protein 5B</t>
  </si>
  <si>
    <t>Isoform 3 of Protein FAM135A</t>
  </si>
  <si>
    <t>Isoform 5 of Dynein heavy chain 1, axonemal</t>
  </si>
  <si>
    <t>NFX1-type zinc finger-containing protein 1</t>
  </si>
  <si>
    <t>Ribosome-binding protein 1</t>
  </si>
  <si>
    <t>Ankyrin repeat and IBR domain-containing protein 1</t>
  </si>
  <si>
    <t>Ubiquitin carboxyl-terminal hydrolase 35</t>
  </si>
  <si>
    <t>Cleavage and polyadenylation specificity factor subunit 2</t>
  </si>
  <si>
    <t>Leucine--tRNA ligase, cytoplasmic</t>
  </si>
  <si>
    <t>Isoform 4 of REST corepressor 3</t>
  </si>
  <si>
    <t>Isoform 2 of Myelin expression factor 2</t>
  </si>
  <si>
    <t>Kelch-like protein 42</t>
  </si>
  <si>
    <t>Isoform 2 of Eukaryotic translation initiation factor 2-alpha kinase 4</t>
  </si>
  <si>
    <t>TBC1 domain family member 14</t>
  </si>
  <si>
    <t>Cingulin</t>
  </si>
  <si>
    <t>RNA-binding protein 27</t>
  </si>
  <si>
    <t>Isoform 3 of KAT8 regulatory NSL complex subunit 3</t>
  </si>
  <si>
    <t>Ankyrin repeat and FYVE domain-containing protein 1</t>
  </si>
  <si>
    <t>Arginine-glutamic acid dipeptide repeats protein</t>
  </si>
  <si>
    <t>Homologous-pairing protein 2 homolog</t>
  </si>
  <si>
    <t>Protein IMPACT</t>
  </si>
  <si>
    <t>UV radiation resistance-associated gene protein</t>
  </si>
  <si>
    <t>Ataxin-10</t>
  </si>
  <si>
    <t>Methyl-CpG-binding domain protein 2</t>
  </si>
  <si>
    <t>Neurochondrin</t>
  </si>
  <si>
    <t>Isoform 2 of Epidermal growth factor receptor substrate 15-like 1</t>
  </si>
  <si>
    <t>Origin recognition complex subunit 3</t>
  </si>
  <si>
    <t>SUMO-activating enzyme subunit 1</t>
  </si>
  <si>
    <t>Coatomer subunit gamma-2</t>
  </si>
  <si>
    <t>RING-box protein 2</t>
  </si>
  <si>
    <t>Isoform 2 of Phosphatidylinositol 4-kinase beta</t>
  </si>
  <si>
    <t>C-type mannose receptor 2</t>
  </si>
  <si>
    <t>COMM domain-containing protein 3</t>
  </si>
  <si>
    <t>Guanine nucleotide-binding protein G(I)/G(S)/G(O) subunit gamma-12</t>
  </si>
  <si>
    <t>Isoform B of Methionine synthase reductase</t>
  </si>
  <si>
    <t>Protein UXT</t>
  </si>
  <si>
    <t>Isoform 3 of Set1/Ash2 histone methyltransferase complex subunit ASH2</t>
  </si>
  <si>
    <t>Tumor necrosis factor receptor superfamily member 10D</t>
  </si>
  <si>
    <t>Isoform 3 of Spastin</t>
  </si>
  <si>
    <t>tRNA (guanine-N(7)-)-methyltransferase</t>
  </si>
  <si>
    <t>Isoform 4 of PTB domain-containing engulfment adapter protein 1</t>
  </si>
  <si>
    <t>Vacuolar protein sorting-associated protein 29</t>
  </si>
  <si>
    <t>Glyoxylate reductase/hydroxypyruvate reductase</t>
  </si>
  <si>
    <t>Cathepsin Z</t>
  </si>
  <si>
    <t>Ribosomal protein S6 kinase beta-2</t>
  </si>
  <si>
    <t>DnaJ homolog subfamily B member 11</t>
  </si>
  <si>
    <t>E3 ubiquitin-protein ligase RNF14</t>
  </si>
  <si>
    <t>SUMO-activating enzyme subunit 2</t>
  </si>
  <si>
    <t>Isoform 2 of Alpha-catulin</t>
  </si>
  <si>
    <t>Nuclear RNA export factor 1</t>
  </si>
  <si>
    <t>Peflin</t>
  </si>
  <si>
    <t>Zinc finger MYM-type protein 2</t>
  </si>
  <si>
    <t>COP9 signalosome complex subunit 7a</t>
  </si>
  <si>
    <t>DNA-(apurinic or apyrimidinic site) lyase 2</t>
  </si>
  <si>
    <t>CAP-Gly domain-containing linker protein 2</t>
  </si>
  <si>
    <t>Isoform 2 of SEC14-like protein 4</t>
  </si>
  <si>
    <t>Isoform C1 of Tight junction protein ZO-2</t>
  </si>
  <si>
    <t>DnaJ homolog subfamily B member 4</t>
  </si>
  <si>
    <t>Mucosa-associated lymphoid tissue lymphoma translocation protein 1</t>
  </si>
  <si>
    <t>Craniofacial development protein 1</t>
  </si>
  <si>
    <t>Zinc finger protein 629</t>
  </si>
  <si>
    <t>Isoform 3 of Death domain-associated protein 6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</si>
  <si>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</si>
  <si>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</si>
  <si>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</si>
  <si>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</si>
  <si>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F-box/LRR-repeat protein 17</t>
  </si>
  <si>
    <t>Leucine-rich repeat and WD repeat-containing protein 1</t>
  </si>
  <si>
    <t>UPF0449 protein C19orf25</t>
  </si>
  <si>
    <t>Neuroplastin (Fragment)</t>
  </si>
  <si>
    <t>Protein NipSnap homolog 3A</t>
  </si>
  <si>
    <t>CGG triplet repeat-binding protein 1</t>
  </si>
  <si>
    <t>ATP-binding cassette sub-family F member 2</t>
  </si>
  <si>
    <t>Peptide chain release factor 1-like, mitochondrial</t>
  </si>
  <si>
    <t>Testin</t>
  </si>
  <si>
    <t>Isoform 2 of Testin</t>
  </si>
  <si>
    <t>Isoform B of 5-AMP-activated protein kinase subunit gamma-2</t>
  </si>
  <si>
    <t>Secretion-regulating guanine nucleotide exchange factor</t>
  </si>
  <si>
    <t>LIM domain-containing protein 1</t>
  </si>
  <si>
    <t>Sushi domain-containing protein 2</t>
  </si>
  <si>
    <t>Isoform 2 of Transcription factor 20</t>
  </si>
  <si>
    <t>Protein NDRG3</t>
  </si>
  <si>
    <t>Armadillo repeat-containing X-linked protein 3</t>
  </si>
  <si>
    <t>Switch-associated protein 70</t>
  </si>
  <si>
    <t>Isoform Alpha of Max-like protein X</t>
  </si>
  <si>
    <t>Probable ribosome biogenesis protein RLP24</t>
  </si>
  <si>
    <t>Isoform 2 of Ragulator complex protein LAMTOR3</t>
  </si>
  <si>
    <t>LIM domain and actin-binding protein 1</t>
  </si>
  <si>
    <t>AF4/FMR2 family member 4</t>
  </si>
  <si>
    <t>Signal recognition particle subunit SRP68</t>
  </si>
  <si>
    <t>Cysteine and histidine-rich domain-containing protein 1</t>
  </si>
  <si>
    <t>Serine/threonine-protein kinase TBK1</t>
  </si>
  <si>
    <t>Septin-9</t>
  </si>
  <si>
    <t>Ubiquilin-2</t>
  </si>
  <si>
    <t>Doublecortin domain-containing protein 2</t>
  </si>
  <si>
    <t>Probable ATP-dependent RNA helicase DDX20</t>
  </si>
  <si>
    <t>Isoform 2 of Scm-like with four MBT domains protein 1</t>
  </si>
  <si>
    <t>Sedoheptulokinase</t>
  </si>
  <si>
    <t>Dipeptidyl peptidase 2</t>
  </si>
  <si>
    <t>DNA polymerase subunit gamma-2, mitochondrial</t>
  </si>
  <si>
    <t>Isoform 2 of Transmembrane protein 2</t>
  </si>
  <si>
    <t>Ubiquitin carboxyl-terminal hydrolase 25</t>
  </si>
  <si>
    <t>Isoform 4 of Nuclear prelamin A recognition factor</t>
  </si>
  <si>
    <t>Brain-specific angiogenesis inhibitor 1-associated protein 2-like protein 1</t>
  </si>
  <si>
    <t>Zinc finger HIT domain-containing protein 2</t>
  </si>
  <si>
    <t>Prefoldin subunit 2</t>
  </si>
  <si>
    <t>GPN-loop GTPase 3</t>
  </si>
  <si>
    <t>Isoform 4 of Poly(U)-binding-splicing factor PUF60</t>
  </si>
  <si>
    <t>Nuclear receptor-binding protein</t>
  </si>
  <si>
    <t>Enolase-phosphatase E1</t>
  </si>
  <si>
    <t>Fasciculation and elongation protein zeta-2</t>
  </si>
  <si>
    <t>Ena/VASP-like protein</t>
  </si>
  <si>
    <t>Translation initiation factor eIF-2B subunit delta</t>
  </si>
  <si>
    <t>Isoform 3 of Translation initiation factor eIF-2B subunit delta</t>
  </si>
  <si>
    <t>Isoform 2 of V-type proton ATPase subunit H</t>
  </si>
  <si>
    <t>Importin-11</t>
  </si>
  <si>
    <t>tRNA methyltransferase 112 homolog</t>
  </si>
  <si>
    <t>Exportin-7</t>
  </si>
  <si>
    <t>Leucine carboxyl methyltransferase 1</t>
  </si>
  <si>
    <t>Vacuolar protein sorting-associated protein 51 homolog</t>
  </si>
  <si>
    <t>Zinc finger protein 639</t>
  </si>
  <si>
    <t>Isoform 4 of Bromodomain adjacent to zinc finger domain protein 2B</t>
  </si>
  <si>
    <t>Isoform 2 of Tyrosine-protein kinase BAZ1B</t>
  </si>
  <si>
    <t>ATPase inhibitor, mitochondrial</t>
  </si>
  <si>
    <t>GTP:AMP phosphotransferase AK3, mitochondrial</t>
  </si>
  <si>
    <t>Isoform 3 of Short coiled-coil protein</t>
  </si>
  <si>
    <t>FK506-binding protein-like</t>
  </si>
  <si>
    <t>Isoform 2 of CCR4-NOT transcription complex subunit 7</t>
  </si>
  <si>
    <t>Rab5 GDP/GTP exchange factor</t>
  </si>
  <si>
    <t>Isoform 2 of Mitochondrial peptide methionine sulfoxide reductase</t>
  </si>
  <si>
    <t>Isoform 2 of N-acetyl-D-glucosamine kinase</t>
  </si>
  <si>
    <t>tRNA (adenine(58)-N(1))-methyltransferase non-catalytic subunit TRM6</t>
  </si>
  <si>
    <t>Zinc finger protein 280C (Fragment)</t>
  </si>
  <si>
    <t>Ribosome biogenesis protein TSR3 homolog</t>
  </si>
  <si>
    <t>ERBB receptor feedback inhibitor 1</t>
  </si>
  <si>
    <t>Drebrin-like protein</t>
  </si>
  <si>
    <t>Isoform 2 of Drebrin-like protein</t>
  </si>
  <si>
    <t>Probable ATP-dependent RNA helicase DDX41</t>
  </si>
  <si>
    <t>Dynactin subunit 4</t>
  </si>
  <si>
    <t>Isoform 1 of Oxidative stress-induced growth inhibitor 1</t>
  </si>
  <si>
    <t>Isoform 3 of Cell division cycle protein 23 homolog</t>
  </si>
  <si>
    <t>Isoform 2 of Anaphase-promoting complex subunit 7</t>
  </si>
  <si>
    <t>Anaphase-promoting complex subunit 4</t>
  </si>
  <si>
    <t>Anaphase-promoting complex subunit 2</t>
  </si>
  <si>
    <t>Heat shock protein beta-8</t>
  </si>
  <si>
    <t>ADP-ribosylation factor-binding protein GGA2</t>
  </si>
  <si>
    <t>Isoform 4 of ADP-ribosylation factor-binding protein GGA1</t>
  </si>
  <si>
    <t>F-box only protein 2</t>
  </si>
  <si>
    <t>Zinc finger protein 580</t>
  </si>
  <si>
    <t>Vacuolar protein sorting-associated protein 28 homolog</t>
  </si>
  <si>
    <t>Lariat debranching enzyme</t>
  </si>
  <si>
    <t>Isoform 3 of Protein FAM208A</t>
  </si>
  <si>
    <t>Protein fem-1 homolog B</t>
  </si>
  <si>
    <t>Hematological and neurological expressed 1 protein</t>
  </si>
  <si>
    <t>F-box only protein 3</t>
  </si>
  <si>
    <t>A-kinase anchor protein 11</t>
  </si>
  <si>
    <t>Calcipressin-3</t>
  </si>
  <si>
    <t>Polypyrimidine tract-binding protein 2</t>
  </si>
  <si>
    <t>Isoform A of F-box/WD repeat-containing protein 11</t>
  </si>
  <si>
    <t>DnaJ homolog subfamily C member 12</t>
  </si>
  <si>
    <t>mRNA turnover protein 4 homolog</t>
  </si>
  <si>
    <t>Isoform 8 of TRAF2 and NCK-interacting protein kinase</t>
  </si>
  <si>
    <t>Cleavage and polyadenylation specificity factor subunit 3</t>
  </si>
  <si>
    <t>DCC-interacting protein 13-alpha</t>
  </si>
  <si>
    <t>Peroxisomal carnitine O-octanoyltransferase</t>
  </si>
  <si>
    <t>Serine/threonine-protein kinase tousled-like 1</t>
  </si>
  <si>
    <t>G patch domain-containing protein 8</t>
  </si>
  <si>
    <t>Poly [ADP-ribose] polymerase 4</t>
  </si>
  <si>
    <t>NTF2-related export protein 1</t>
  </si>
  <si>
    <t>ADP-sugar pyrophosphatase</t>
  </si>
  <si>
    <t>CASP8-associated protein 2</t>
  </si>
  <si>
    <t>Phosphatidylcholine transfer protein</t>
  </si>
  <si>
    <t>General transcription factor 3C polypeptide 4</t>
  </si>
  <si>
    <t>Protein kinase C and casein kinase substrate in neurons protein 3</t>
  </si>
  <si>
    <t>Isoform 2 of F-box only protein 5</t>
  </si>
  <si>
    <t>F-box only protein 4</t>
  </si>
  <si>
    <t>Isobutyryl-CoA dehydrogenase, mitochondrial</t>
  </si>
  <si>
    <t>Protein argonaute-2</t>
  </si>
  <si>
    <t>Nuclear pore complex protein Nup50</t>
  </si>
  <si>
    <t>Protein CDV3 homolog</t>
  </si>
  <si>
    <t>CCR4-NOT transcription complex subunit 11</t>
  </si>
  <si>
    <t>BAG family molecular chaperone regulator 5</t>
  </si>
  <si>
    <t>Ras-related protein Rab-21</t>
  </si>
  <si>
    <t>Ras-related protein Rab-22A</t>
  </si>
  <si>
    <t>Isoform 2 of Trafficking protein particle complex subunit 2-like protein</t>
  </si>
  <si>
    <t>Paraneoplastic antigen Ma2</t>
  </si>
  <si>
    <t>Proteasome activator complex subunit 2</t>
  </si>
  <si>
    <t>Potassium/sodium hyperpolarization-activated cyclic nucleotide-gated channel 2</t>
  </si>
  <si>
    <t>Muskelin</t>
  </si>
  <si>
    <t>Aspartyl aminopeptidase</t>
  </si>
  <si>
    <t>Ras-related protein Rab-23</t>
  </si>
  <si>
    <t>Malignant T-cell-amplified sequence 1</t>
  </si>
  <si>
    <t>Microtubule-associated tumor suppressor 1</t>
  </si>
  <si>
    <t>Zinc finger protein 777</t>
  </si>
  <si>
    <t>Protein WWC3</t>
  </si>
  <si>
    <t>Paladin</t>
  </si>
  <si>
    <t>Zinc transporter ZIP10</t>
  </si>
  <si>
    <t>Isoform 5 of Kinase D-interacting substrate of 220 kDa</t>
  </si>
  <si>
    <t>Arf-GAP with SH3 domain, ANK repeat and PH domain-containing protein 1</t>
  </si>
  <si>
    <t>Isoform 4 of MKL/myocardin-like protein 2</t>
  </si>
  <si>
    <t>Isoform 2 of Zinc finger and BTB domain-containing protein 21</t>
  </si>
  <si>
    <t>Zinc finger MIZ domain-containing protein 1</t>
  </si>
  <si>
    <t>Ankyrin repeat domain-containing protein 50</t>
  </si>
  <si>
    <t>Isoform 4 of Neurabin-1</t>
  </si>
  <si>
    <t>Isoform 4 of Mediator of RNA polymerase II transcription subunit 23</t>
  </si>
  <si>
    <t>Isoform 3 of Proline-rich protein 12</t>
  </si>
  <si>
    <t>CCR4-NOT transcription complex subunit 6</t>
  </si>
  <si>
    <t>Isoform 2 of TBC1 domain family member 24</t>
  </si>
  <si>
    <t>Pre-mRNA-splicing factor ISY1 homolog</t>
  </si>
  <si>
    <t>Protein phosphatase 1H</t>
  </si>
  <si>
    <t>E3 ubiquitin-protein ligase HECTD1</t>
  </si>
  <si>
    <t>Unconventional myosin-Vb</t>
  </si>
  <si>
    <t>Isoform 5 of Cip1-interacting zinc finger protein</t>
  </si>
  <si>
    <t>Coronin-1C</t>
  </si>
  <si>
    <t>Targeting protein for Xklp2</t>
  </si>
  <si>
    <t>RNA-binding protein NOB1</t>
  </si>
  <si>
    <t>A-kinase anchor protein 8-like</t>
  </si>
  <si>
    <t>Isoform 2 of Transcription factor MafF</t>
  </si>
  <si>
    <t>Apoptosis-associated speck-like protein containing a CARD</t>
  </si>
  <si>
    <t>Isoform 3 of Fizzy-related protein homolog</t>
  </si>
  <si>
    <t>Anaphase-promoting complex subunit 10</t>
  </si>
  <si>
    <t>Mammalian ependymin-related protein 1</t>
  </si>
  <si>
    <t>Isoform 6 of Unconventional myosin-VI</t>
  </si>
  <si>
    <t>Spermatogenesis-associated protein 2</t>
  </si>
  <si>
    <t>Histone-lysine N-methyltransferase MLL4</t>
  </si>
  <si>
    <t>ATP-dependent RNA helicase DDX19B</t>
  </si>
  <si>
    <t>Isoform 3 of NFU1 iron-sulfur cluster scaffold homolog, mitochondrial</t>
  </si>
  <si>
    <t>Pre-mRNA-processing factor 19</t>
  </si>
  <si>
    <t>Synaptopodin-2</t>
  </si>
  <si>
    <t>Ubiquilin-1</t>
  </si>
  <si>
    <t>Suppressor of fused homolog</t>
  </si>
  <si>
    <t>Neudesin</t>
  </si>
  <si>
    <t>Nucleolar protein 7</t>
  </si>
  <si>
    <t>Isoform 2 of Sorting nexin-12</t>
  </si>
  <si>
    <t>Synergin gamma</t>
  </si>
  <si>
    <t>Isoform 2 of Protein NDRG2</t>
  </si>
  <si>
    <t>Vacuolar protein sorting-associated protein 4A</t>
  </si>
  <si>
    <t>Transcription factor SOX-13</t>
  </si>
  <si>
    <t>Isoform B of Ras GTPase-activating protein-binding protein 2</t>
  </si>
  <si>
    <t>Isoform 2 of Rho GTPase-activating protein 26</t>
  </si>
  <si>
    <t>E3 ubiquitin-protein ligase CHIP</t>
  </si>
  <si>
    <t>Protein kinase C and casein kinase substrate in neurons protein 2</t>
  </si>
  <si>
    <t>Melanoma-associated antigen D2</t>
  </si>
  <si>
    <t>Isoform 2 of Sorting nexin-7</t>
  </si>
  <si>
    <t>Sorting nexin-6</t>
  </si>
  <si>
    <t>Dual specificity protein phosphatase 12</t>
  </si>
  <si>
    <t>Syntaxin-8</t>
  </si>
  <si>
    <t>26S proteasome non-ATPase regulatory subunit 13</t>
  </si>
  <si>
    <t>FAS-associated factor 1</t>
  </si>
  <si>
    <t>Endothelial protein C receptor</t>
  </si>
  <si>
    <t>Peptidyl-prolyl cis-trans isomerase E</t>
  </si>
  <si>
    <t>Probable dimethyladenosine transferase</t>
  </si>
  <si>
    <t>Isoform 2 of Protein timeless homolog</t>
  </si>
  <si>
    <t>COP9 signalosome complex subunit 3</t>
  </si>
  <si>
    <t>Rab-like protein 2B</t>
  </si>
  <si>
    <t>Multiple inositol polyphosphate phosphatase 1</t>
  </si>
  <si>
    <t>Transcription termination factor 2</t>
  </si>
  <si>
    <t>NSFL1 cofactor p47</t>
  </si>
  <si>
    <t>Leydig cell tumor 10 kDa protein homolog</t>
  </si>
  <si>
    <t>Conserved oligomeric Golgi complex subunit 5</t>
  </si>
  <si>
    <t>AP-4 complex subunit epsilon-1</t>
  </si>
  <si>
    <t>Isoform 3 of 5-azacytidine-induced protein 1</t>
  </si>
  <si>
    <t>Protein SCAF8</t>
  </si>
  <si>
    <t>Serine/threonine-protein phosphatase 6 regulatory subunit 1</t>
  </si>
  <si>
    <t>E3 ubiquitin-protein ligase TRIM33</t>
  </si>
  <si>
    <t>Isoform 4 of Histone lysine demethylase PHF8</t>
  </si>
  <si>
    <t>Isoform 2 of Uncharacterized protein KIAA1107</t>
  </si>
  <si>
    <t>Isoform 10 of LIM and calponin homology domains-containing protein 1</t>
  </si>
  <si>
    <t>Isoform 6 of LIM and calponin homology domains-containing protein 1</t>
  </si>
  <si>
    <t>Arf-GAP with GTPase, ANK repeat and PH domain-containing protein 1</t>
  </si>
  <si>
    <t>Isoform 2 of Trinucleotide repeat-containing gene 6B protein</t>
  </si>
  <si>
    <t>Inactive phospholipase C-like protein 2</t>
  </si>
  <si>
    <t>Protein SMG5</t>
  </si>
  <si>
    <t>Ankyrin repeat domain-containing protein 26</t>
  </si>
  <si>
    <t>Isoform 6 of Exocyst complex component 7</t>
  </si>
  <si>
    <t>Zinc finger CCCH domain-containing protein 4</t>
  </si>
  <si>
    <t>Isoform 2 of Ubiquitin carboxyl-terminal hydrolase 22</t>
  </si>
  <si>
    <t>Ubiquitin carboxyl-terminal hydrolase 24</t>
  </si>
  <si>
    <t>TBC1 domain family member 2B</t>
  </si>
  <si>
    <t>Cytosolic carboxypeptidase 1</t>
  </si>
  <si>
    <t>Isoform 3 of SH3 and multiple ankyrin repeat domains protein 2</t>
  </si>
  <si>
    <t>Isoform 2 of Endoribonuclease Dicer</t>
  </si>
  <si>
    <t>Microtubule-associated protein RP/EB family member 3</t>
  </si>
  <si>
    <t>Isoform 2 of Hermansky-Pudlak syndrome 5 protein</t>
  </si>
  <si>
    <t>Thrombospondin type-1 domain-containing protein 7A</t>
  </si>
  <si>
    <t>Isoform 2 of Leucine-rich repeat protein SHOC-2</t>
  </si>
  <si>
    <t>Serine/arginine repetitive matrix protein 2</t>
  </si>
  <si>
    <t>Proliferation-associated protein 2G4</t>
  </si>
  <si>
    <t>Isoform 3 of Brain-specific angiogenesis inhibitor 1-associated protein 2</t>
  </si>
  <si>
    <t>Isoform 2 of GRB2-associated-binding protein 2</t>
  </si>
  <si>
    <t>Structural maintenance of chromosomes protein 3</t>
  </si>
  <si>
    <t>Charged multivesicular body protein 2b</t>
  </si>
  <si>
    <t>Sex comb on midleg-like protein 2</t>
  </si>
  <si>
    <t>Zinc finger protein 148</t>
  </si>
  <si>
    <t>Myotubularin-related protein 6</t>
  </si>
  <si>
    <t>Bifunctional UDP-N-acetylglucosamine 2-epimerase/N-acetylmannosamine kinase</t>
  </si>
  <si>
    <t>UPF0568 protein C14orf166</t>
  </si>
  <si>
    <t>RuvB-like 2</t>
  </si>
  <si>
    <t>Isoform 2 of Chromodomain Y-like protein</t>
  </si>
  <si>
    <t>Peptidyl-prolyl cis-trans isomerase NIMA-interacting 4</t>
  </si>
  <si>
    <t>Isoform 2 of RAC-gamma serine/threonine-protein kinase</t>
  </si>
  <si>
    <t>Proteasome maturation protein</t>
  </si>
  <si>
    <t>DNA replication complex GINS protein PSF2</t>
  </si>
  <si>
    <t>Choline/ethanolamine kinase</t>
  </si>
  <si>
    <t>Eukaryotic translation initiation factor 3 subunit L</t>
  </si>
  <si>
    <t>Phospholipase A-2-activating protein</t>
  </si>
  <si>
    <t>RuvB-like 1</t>
  </si>
  <si>
    <t>Nuclear migration protein nudC</t>
  </si>
  <si>
    <t>Cofilin-2</t>
  </si>
  <si>
    <t>Phenylalanine--tRNA ligase alpha subunit</t>
  </si>
  <si>
    <t>Histone chaperone ASF1A</t>
  </si>
  <si>
    <t>Developmentally-regulated GTP-binding protein 1</t>
  </si>
  <si>
    <t>Trafficking protein particle complex subunit 4</t>
  </si>
  <si>
    <t>Nck-associated protein 1</t>
  </si>
  <si>
    <t>Protein canopy homolog 2</t>
  </si>
  <si>
    <t>Exocyst complex component 6B</t>
  </si>
  <si>
    <t>Isoform 4 of A-kinase anchor protein 2</t>
  </si>
  <si>
    <t>Disco-interacting protein 2 homolog C</t>
  </si>
  <si>
    <t>Uncharacterized protein KIAA0947</t>
  </si>
  <si>
    <t>Isoform 5 of Caspase recruitment domain-containing protein 8</t>
  </si>
  <si>
    <t>GDP-fucose protein O-fucosyltransferase 2</t>
  </si>
  <si>
    <t>Isoform 3 of Disks large-associated protein 4</t>
  </si>
  <si>
    <t>Serine/threonine-protein kinase 38-like</t>
  </si>
  <si>
    <t>Phosphatidylinositide phosphatase SAC2</t>
  </si>
  <si>
    <t>Pleckstrin homology domain-containing family A member 6</t>
  </si>
  <si>
    <t>Nischarin</t>
  </si>
  <si>
    <t>Ninein-like protein</t>
  </si>
  <si>
    <t>1-phosphatidylinositol 3-phosphate 5-kinase</t>
  </si>
  <si>
    <t>WD repeat-containing protein 37</t>
  </si>
  <si>
    <t>Isoform 2 of Angiomotin-like protein 2</t>
  </si>
  <si>
    <t>Isoform 2 of Zinc finger and BTB domain-containing protein 1</t>
  </si>
  <si>
    <t>Lysine-specific demethylase 2A</t>
  </si>
  <si>
    <t>Exosome complex exonuclease RRP44</t>
  </si>
  <si>
    <t>Isoform 2 of Leucine-rich repeat and calponin homology domain-containing protein 1</t>
  </si>
  <si>
    <t>Glutathione S-transferase kappa 1</t>
  </si>
  <si>
    <t>Ragulator complex protein LAMTOR2</t>
  </si>
  <si>
    <t>28S ribosomal protein S28, mitochondrial</t>
  </si>
  <si>
    <t>Probable ATP-dependent RNA helicase DDX52</t>
  </si>
  <si>
    <t>28S ribosomal protein S7, mitochondrial</t>
  </si>
  <si>
    <t>DNA-directed RNA polymerases I and III subunit RPAC2</t>
  </si>
  <si>
    <t>Isoform 2 of Lambda-crystallin homolog</t>
  </si>
  <si>
    <t>Translation machinery-associated protein 7</t>
  </si>
  <si>
    <t>Polymerase delta-interacting protein 2</t>
  </si>
  <si>
    <t>AP-3 complex subunit mu-1</t>
  </si>
  <si>
    <t>Y-box-binding protein 2</t>
  </si>
  <si>
    <t>Mitogen-activated protein kinase kinase kinase 2</t>
  </si>
  <si>
    <t>Inner nuclear membrane protein Man1</t>
  </si>
  <si>
    <t>Kelch domain-containing protein 2</t>
  </si>
  <si>
    <t>Calcium-regulated heat stable protein 1</t>
  </si>
  <si>
    <t>Conserved oligomeric Golgi complex subunit 6</t>
  </si>
  <si>
    <t>Thyroid hormone receptor-associated protein 3</t>
  </si>
  <si>
    <t>Isoform 2 of Mediator of RNA polymerase II transcription subunit 16</t>
  </si>
  <si>
    <t>Nucleolar protein 58</t>
  </si>
  <si>
    <t>ARF GTPase-activating protein GIT1</t>
  </si>
  <si>
    <t>DNA-directed RNA polymerase III subunit RPC10</t>
  </si>
  <si>
    <t>Krueppel-like factor 13</t>
  </si>
  <si>
    <t>Suppressor of G2 allele of SKP1 homolog</t>
  </si>
  <si>
    <t>Tyrosine--tRNA ligase, mitochondrial</t>
  </si>
  <si>
    <t>Putative N-acetylglucosamine-6-phosphate deacetylase</t>
  </si>
  <si>
    <t>Acyl-coenzyme A thioesterase 9, mitochondrial</t>
  </si>
  <si>
    <t>Protein AAR2 homolog</t>
  </si>
  <si>
    <t>Nitric oxide synthase-interacting protein</t>
  </si>
  <si>
    <t>Putative deoxyribose-phosphate aldolase</t>
  </si>
  <si>
    <t>Protein MEMO1</t>
  </si>
  <si>
    <t>U6 snRNA-associated Sm-like protein LSm2</t>
  </si>
  <si>
    <t>Endophilin-B1</t>
  </si>
  <si>
    <t>Calcium-binding protein 39</t>
  </si>
  <si>
    <t>Putative RNA-binding protein Luc7-like 2</t>
  </si>
  <si>
    <t>28S ribosomal protein S2, mitochondrial</t>
  </si>
  <si>
    <t>Isoform 3 of MOB-like protein phocein</t>
  </si>
  <si>
    <t>Ribosome maturation protein SBDS</t>
  </si>
  <si>
    <t>Pre-mRNA branch site protein p14</t>
  </si>
  <si>
    <t>RRP15-like protein</t>
  </si>
  <si>
    <t>Nucleolar protein 16</t>
  </si>
  <si>
    <t>TP53RK-binding protein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</si>
  <si>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</si>
  <si>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</si>
  <si>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</si>
  <si>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</si>
  <si>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</si>
  <si>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</si>
  <si>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28S ribosomal protein S23, mitochondrial</t>
  </si>
  <si>
    <t>Hepatoma-derived growth factor-related protein 3</t>
  </si>
  <si>
    <t>BolA-like protein 1</t>
  </si>
  <si>
    <t>Charged multivesicular body protein 3</t>
  </si>
  <si>
    <t>Serine-threonine kinase receptor-associated protein</t>
  </si>
  <si>
    <t>tRNA-splicing ligase RtcB homolog</t>
  </si>
  <si>
    <t>F-box only protein 7</t>
  </si>
  <si>
    <t>Ras-related protein Rap-2c</t>
  </si>
  <si>
    <t>Isoform 3 of StAR-related lipid transfer protein 13</t>
  </si>
  <si>
    <t>Rab GTPase-activating protein 1</t>
  </si>
  <si>
    <t>TSC22 domain family protein 4</t>
  </si>
  <si>
    <t>Isoform 2 of Protein dopey-2</t>
  </si>
  <si>
    <t>Zinc finger protein 330</t>
  </si>
  <si>
    <t>R3H and coiled-coil domain-containing protein 1</t>
  </si>
  <si>
    <t>Nucleolar complex protein 2 homolog</t>
  </si>
  <si>
    <t>60S ribosomal protein L36</t>
  </si>
  <si>
    <t>RWD domain-containing protein 3</t>
  </si>
  <si>
    <t>Coiled-coil domain-containing protein 9</t>
  </si>
  <si>
    <t>Isoform 3 of Chromatin target of PRMT1 protein</t>
  </si>
  <si>
    <t>Deoxynucleoside triphosphate triphosphohydrolase SAMHD1</t>
  </si>
  <si>
    <t>Plakophilin-3</t>
  </si>
  <si>
    <t>Small kinetochore-associated protein</t>
  </si>
  <si>
    <t>Isoform 2 of HBS1-like protein</t>
  </si>
  <si>
    <t>Isoform 3 of HBS1-like protein</t>
  </si>
  <si>
    <t>Talin-1</t>
  </si>
  <si>
    <t>Kinesin-like protein KIF3A</t>
  </si>
  <si>
    <t>Helicase ARIP4</t>
  </si>
  <si>
    <t>Protein SOGA2</t>
  </si>
  <si>
    <t>Isoform 2 of Protein VPRBP</t>
  </si>
  <si>
    <t>Lysine-specific demethylase 3A</t>
  </si>
  <si>
    <t>Isoform 2 of Protein FAM115A</t>
  </si>
  <si>
    <t>Malignant fibrous histiocytoma-amplified sequence 1</t>
  </si>
  <si>
    <t>Probable RNA-binding protein 19</t>
  </si>
  <si>
    <t>Isoform 2 of WASH complex subunit FAM21C</t>
  </si>
  <si>
    <t>Isoform 2 of WD repeat-containing protein 7</t>
  </si>
  <si>
    <t>Ubiquitin carboxyl-terminal hydrolase 15</t>
  </si>
  <si>
    <t>FERM, RhoGEF and pleckstrin domain-containing protein 1</t>
  </si>
  <si>
    <t>Centrosomal protein of 170 kDa protein B</t>
  </si>
  <si>
    <t>Talin-2</t>
  </si>
  <si>
    <t>Rap guanine nucleotide exchange factor 2</t>
  </si>
  <si>
    <t>Insulin receptor substrate 2</t>
  </si>
  <si>
    <t>Isoform 2 of Unconventional myosin-Va</t>
  </si>
  <si>
    <t>Absent in melanoma 1 protein</t>
  </si>
  <si>
    <t>TNF receptor-associated factor 6</t>
  </si>
  <si>
    <t>Mitogen-activated protein kinase kinase kinase kinase 5</t>
  </si>
  <si>
    <t>Isoform 6 of Cysteine protease ATG4B</t>
  </si>
  <si>
    <t>Isoform 4 of WD repeat domain phosphoinositide-interacting protein 2</t>
  </si>
  <si>
    <t>Telomere length regulation protein TEL2 homolog</t>
  </si>
  <si>
    <t>Methylmalonic aciduria and homocystinuria type C protein</t>
  </si>
  <si>
    <t>E3 ubiquitin-protein ligase ARIH1</t>
  </si>
  <si>
    <t>U6 snRNA-associated Sm-like protein LSm4</t>
  </si>
  <si>
    <t>RING finger protein 114</t>
  </si>
  <si>
    <t>Isoform 4 of Protein PRRC2C</t>
  </si>
  <si>
    <t>Leucine-rich repeat-containing protein 42</t>
  </si>
  <si>
    <t>Heat shock protein beta-11</t>
  </si>
  <si>
    <t>Protein phosphatase methylesterase 1</t>
  </si>
  <si>
    <t>RNA-binding protein 7</t>
  </si>
  <si>
    <t>Isoform 2 of BTB/POZ domain-containing protein KCTD3</t>
  </si>
  <si>
    <t>Isoform 2 of NEDD8 ultimate buster 1</t>
  </si>
  <si>
    <t>YTH domain family protein 2</t>
  </si>
  <si>
    <t>RNA polymerase II subunit A C-terminal domain phosphatase</t>
  </si>
  <si>
    <t>PAX3- and PAX7-binding protein 1</t>
  </si>
  <si>
    <t>Isoform 2 of Nucleoside diphosphate kinase 7</t>
  </si>
  <si>
    <t>FACT complex subunit SPT16</t>
  </si>
  <si>
    <t>U3 small nucleolar RNA-associated protein 18 homolog</t>
  </si>
  <si>
    <t>Pleckstrin homology-like domain family A member 3</t>
  </si>
  <si>
    <t>Mitochondrial import inner membrane translocase subunit Tim9</t>
  </si>
  <si>
    <t>Mitochondrial import inner membrane translocase subunit Tim8 B</t>
  </si>
  <si>
    <t>Isoform 2 of Ubiquitin carboxyl-terminal hydrolase isozyme L5</t>
  </si>
  <si>
    <t>CD2-associated protein</t>
  </si>
  <si>
    <t>V-type proton ATPase subunit D</t>
  </si>
  <si>
    <t>Transportin-3</t>
  </si>
  <si>
    <t>Mitochondrial import inner membrane translocase subunit Tim13</t>
  </si>
  <si>
    <t>Isoform 2 of HemK methyltransferase family member 2</t>
  </si>
  <si>
    <t>Isoform 2 of 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</si>
  <si>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</si>
  <si>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</si>
  <si>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</si>
  <si>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Trafficking protein particle complex subunit 1</t>
  </si>
  <si>
    <t>Serine/threonine-protein kinase MRCK beta</t>
  </si>
  <si>
    <t>RNA-binding protein 8A</t>
  </si>
  <si>
    <t>Isoform 2 of Ubiquitin carboxyl-terminal hydrolase 16</t>
  </si>
  <si>
    <t>Isoform 2 of Protein TSSC4</t>
  </si>
  <si>
    <t>Zinc finger protein 706</t>
  </si>
  <si>
    <t>Melanoma-associated antigen D1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</si>
  <si>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</si>
  <si>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</si>
  <si>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</si>
  <si>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</si>
  <si>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</si>
  <si>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Heme-binding protein 2</t>
  </si>
  <si>
    <t>Host cell factor 2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</si>
  <si>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</si>
  <si>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</si>
  <si>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</si>
  <si>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</si>
  <si>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DNA repair and recombination protein RAD54B</t>
  </si>
  <si>
    <t>Spindlin-1</t>
  </si>
  <si>
    <t>Coatomer subunit gamma-1</t>
  </si>
  <si>
    <t>Isoform 3 of Peptidyl-prolyl cis-trans isomerase FKBP7</t>
  </si>
  <si>
    <t>Isoform 2 of Glucocorticoid modulatory element-binding protein 1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</si>
  <si>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</si>
  <si>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</si>
  <si>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</si>
  <si>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</si>
  <si>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</si>
  <si>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AP-4 complex subunit beta-1</t>
  </si>
  <si>
    <t>Brefeldin A-inhibited guanine nucleotide-exchange protein 2</t>
  </si>
  <si>
    <t>Brefeldin A-inhibited guanine nucleotide-exchange protein 1</t>
  </si>
  <si>
    <t>Mitotic spindle assembly checkpoint protein MAD1</t>
  </si>
  <si>
    <t>Isoform A of Serine/threonine-protein kinase 24</t>
  </si>
  <si>
    <t>Cytoplasmic dynein 1 light intermediate chain 1</t>
  </si>
  <si>
    <t>Coiled-coil-helix-coiled-coil-helix domain-containing protein 2, mitochondrial</t>
  </si>
  <si>
    <t>Epsin-1</t>
  </si>
  <si>
    <t>Testis-expressed sequence 264 protein</t>
  </si>
  <si>
    <t>TAF6-like RNA polymerase II p300/CBP-associated factor-associated factor 65 kDa subunit 6L</t>
  </si>
  <si>
    <t>Isoform 3 of DNA (cytosine-5)-methyltransferase 3A</t>
  </si>
  <si>
    <t>2-5-oligoadenylate synthase 3</t>
  </si>
  <si>
    <t>NF-kappa-B essential modulator</t>
  </si>
  <si>
    <t>Zinc transporter 1</t>
  </si>
  <si>
    <t>Sulfide:quinone oxidoreductase, mitochondrial</t>
  </si>
  <si>
    <t>Isoform 5 of Roundabout homolog 1</t>
  </si>
  <si>
    <t>Isoform 5 of Harmonin</t>
  </si>
  <si>
    <t>Tumor necrosis factor receptor superfamily member 11A</t>
  </si>
  <si>
    <t>Isoform 5 of Nuclear receptor coactivator 3</t>
  </si>
  <si>
    <t>Numb-like protein</t>
  </si>
  <si>
    <t>Probable ATP-dependent RNA helicase DDX49</t>
  </si>
  <si>
    <t>Calpain-7</t>
  </si>
  <si>
    <t>Wiskott-Aldrich syndrome protein family member 2</t>
  </si>
  <si>
    <t>Bis(5-adenosyl)-triphosphatase ENPP4</t>
  </si>
  <si>
    <t>Zinc fingers and homeoboxes protein 2</t>
  </si>
  <si>
    <t>MORC family CW-type zinc finger protein 2</t>
  </si>
  <si>
    <t>Influenza virus NS1A-binding protein</t>
  </si>
  <si>
    <t>Motile sperm domain-containing protein 2</t>
  </si>
  <si>
    <t>26S proteasome non-ATPase regulatory subunit 8</t>
  </si>
  <si>
    <t>Ragulator complex protein LAMTOR5</t>
  </si>
  <si>
    <t>Polycomb complex protein BMI-1</t>
  </si>
  <si>
    <t>YTH domain family protein 3</t>
  </si>
  <si>
    <t>Partitioning defective 3 homolog B</t>
  </si>
  <si>
    <t>Protein S100-A6 (Fragment)</t>
  </si>
  <si>
    <t>DENN domain-containing protein 4C</t>
  </si>
  <si>
    <t>Pleckstrin homology-like domain family A member 1</t>
  </si>
  <si>
    <t>26S protease regulatory subunit 6A</t>
  </si>
  <si>
    <t>F-box only protein 44 (Fragment)</t>
  </si>
  <si>
    <t>UBA6</t>
  </si>
  <si>
    <t>UHRF1BP1L</t>
  </si>
  <si>
    <t>KIAA1598</t>
  </si>
  <si>
    <t>ARHGAP10</t>
  </si>
  <si>
    <t>KIAA0999</t>
  </si>
  <si>
    <t>C17orf89</t>
  </si>
  <si>
    <t>PLEKHG3</t>
  </si>
  <si>
    <t>SH3PXD2B</t>
  </si>
  <si>
    <t>PARD6B</t>
  </si>
  <si>
    <t>PIPSL</t>
  </si>
  <si>
    <t>TARSL2</t>
  </si>
  <si>
    <t>TYW5</t>
  </si>
  <si>
    <t>VWA8</t>
  </si>
  <si>
    <t>SBNO1</t>
  </si>
  <si>
    <t>GTPBP10</t>
  </si>
  <si>
    <t>WDR91</t>
  </si>
  <si>
    <t>KLRG2</t>
  </si>
  <si>
    <t>MBLAC1</t>
  </si>
  <si>
    <t>TRAPPC13</t>
  </si>
  <si>
    <t>CNOT1</t>
  </si>
  <si>
    <t>BDP1</t>
  </si>
  <si>
    <t>MRPS16</t>
  </si>
  <si>
    <t>FAM83G</t>
  </si>
  <si>
    <t>PALM3</t>
  </si>
  <si>
    <t>PGP</t>
  </si>
  <si>
    <t>C5orf51</t>
  </si>
  <si>
    <t>RCCD1</t>
  </si>
  <si>
    <t>OFD1</t>
  </si>
  <si>
    <t>ZNF281</t>
  </si>
  <si>
    <t>ZNF316</t>
  </si>
  <si>
    <t>CHMP1A</t>
  </si>
  <si>
    <t>C10orf11</t>
  </si>
  <si>
    <t>PRCC</t>
  </si>
  <si>
    <t>WIPF3</t>
  </si>
  <si>
    <t>HN1L</t>
  </si>
  <si>
    <t>TUBAL3</t>
  </si>
  <si>
    <t>SMCHD1</t>
  </si>
  <si>
    <t>GATSL2</t>
  </si>
  <si>
    <t>UNC119B</t>
  </si>
  <si>
    <t>WTIP</t>
  </si>
  <si>
    <t>NDEL1</t>
  </si>
  <si>
    <t>ASXL1</t>
  </si>
  <si>
    <t>METTL15</t>
  </si>
  <si>
    <t>CCDC85C</t>
  </si>
  <si>
    <t>DIAPH2</t>
  </si>
  <si>
    <t>SHROOM1</t>
  </si>
  <si>
    <t>C16orf96</t>
  </si>
  <si>
    <t>ZWINT</t>
  </si>
  <si>
    <t>BTBD11</t>
  </si>
  <si>
    <t>FAM127A</t>
  </si>
  <si>
    <t>ARHGAP32</t>
  </si>
  <si>
    <t>PYGO1</t>
  </si>
  <si>
    <t>POM121C</t>
  </si>
  <si>
    <t>ITSN1</t>
  </si>
  <si>
    <t>FMR1</t>
  </si>
  <si>
    <t>POT1</t>
  </si>
  <si>
    <t>S100PBP</t>
  </si>
  <si>
    <t>TUBA4A</t>
  </si>
  <si>
    <t>BICD1</t>
  </si>
  <si>
    <t>CDH2</t>
  </si>
  <si>
    <t>WIPF2</t>
  </si>
  <si>
    <t>ERCC2</t>
  </si>
  <si>
    <t>NUDT19</t>
  </si>
  <si>
    <t>SRRM1</t>
  </si>
  <si>
    <t>PFKFB2</t>
  </si>
  <si>
    <t>DNAL4</t>
  </si>
  <si>
    <t>MKL1</t>
  </si>
  <si>
    <t>TBC1D22A</t>
  </si>
  <si>
    <t>FLOT1</t>
  </si>
  <si>
    <t>BAG6</t>
  </si>
  <si>
    <t>EHMT2</t>
  </si>
  <si>
    <t>CENPM</t>
  </si>
  <si>
    <t>PSMD10</t>
  </si>
  <si>
    <t>HMGCL</t>
  </si>
  <si>
    <t>RASAL2</t>
  </si>
  <si>
    <t>EIF4ENIF1</t>
  </si>
  <si>
    <t>NFIA</t>
  </si>
  <si>
    <t>CDC37L1</t>
  </si>
  <si>
    <t>EXOSC1</t>
  </si>
  <si>
    <t>PRSS3</t>
  </si>
  <si>
    <t>GUK1</t>
  </si>
  <si>
    <t>PPFIA4</t>
  </si>
  <si>
    <t>TXNRD1</t>
  </si>
  <si>
    <t>MYO9A</t>
  </si>
  <si>
    <t>CCDC92</t>
  </si>
  <si>
    <t>MDS025</t>
  </si>
  <si>
    <t>HDAC2</t>
  </si>
  <si>
    <t>LZTFL1</t>
  </si>
  <si>
    <t>SOD2</t>
  </si>
  <si>
    <t>PHF23</t>
  </si>
  <si>
    <t>CENPH</t>
  </si>
  <si>
    <t>PYROXD1</t>
  </si>
  <si>
    <t>RXRA</t>
  </si>
  <si>
    <t>CNN2</t>
  </si>
  <si>
    <t>ANXA4</t>
  </si>
  <si>
    <t>HARS2</t>
  </si>
  <si>
    <t>MON1B</t>
  </si>
  <si>
    <t>SNX2</t>
  </si>
  <si>
    <t>CTNNB1</t>
  </si>
  <si>
    <t>PIP4K2A</t>
  </si>
  <si>
    <t>HECW1</t>
  </si>
  <si>
    <t>MAP1S</t>
  </si>
  <si>
    <t>NCOR1</t>
  </si>
  <si>
    <t>RAB5A</t>
  </si>
  <si>
    <t>SNRPD3</t>
  </si>
  <si>
    <t>CS</t>
  </si>
  <si>
    <t>PWP1</t>
  </si>
  <si>
    <t>ZNF286A</t>
  </si>
  <si>
    <t>LSR</t>
  </si>
  <si>
    <t>SHQ1</t>
  </si>
  <si>
    <t>ATP5C1</t>
  </si>
  <si>
    <t>CHURC1-FNTB</t>
  </si>
  <si>
    <t>CRYBG3</t>
  </si>
  <si>
    <t>DDX5</t>
  </si>
  <si>
    <t>RNF220</t>
  </si>
  <si>
    <t>ZNF460</t>
  </si>
  <si>
    <t>PTGES3</t>
  </si>
  <si>
    <t>MKRN2</t>
  </si>
  <si>
    <t>SNX11</t>
  </si>
  <si>
    <t>TOX4</t>
  </si>
  <si>
    <t>EIF2A</t>
  </si>
  <si>
    <t>HDAC8</t>
  </si>
  <si>
    <t>RANBP10</t>
  </si>
  <si>
    <t>TRA2A</t>
  </si>
  <si>
    <t>PGD</t>
  </si>
  <si>
    <t>CHM</t>
  </si>
  <si>
    <t>SIMC1</t>
  </si>
  <si>
    <t>ANXA7</t>
  </si>
  <si>
    <t>LIG1</t>
  </si>
  <si>
    <t>RBKS</t>
  </si>
  <si>
    <t>ANXA11</t>
  </si>
  <si>
    <t>EIF3D</t>
  </si>
  <si>
    <t>ARL1</t>
  </si>
  <si>
    <t>KIN</t>
  </si>
  <si>
    <t>FXR1</t>
  </si>
  <si>
    <t>NUP35</t>
  </si>
  <si>
    <t>HDAC6</t>
  </si>
  <si>
    <t>PHF6</t>
  </si>
  <si>
    <t>LRCH3</t>
  </si>
  <si>
    <t>STOML2</t>
  </si>
  <si>
    <t>MSANTD2</t>
  </si>
  <si>
    <t>RAF1</t>
  </si>
  <si>
    <t>RIOK3</t>
  </si>
  <si>
    <t>SFRS3</t>
  </si>
  <si>
    <t>LAMP2</t>
  </si>
  <si>
    <t>HADHB</t>
  </si>
  <si>
    <t>METTL13</t>
  </si>
  <si>
    <t>PES1</t>
  </si>
  <si>
    <t>PPM1F</t>
  </si>
  <si>
    <t>R3HDM2</t>
  </si>
  <si>
    <t>CABIN1</t>
  </si>
  <si>
    <t>CWC22</t>
  </si>
  <si>
    <t>PDIA6</t>
  </si>
  <si>
    <t>KLHL22</t>
  </si>
  <si>
    <t>TTC26</t>
  </si>
  <si>
    <t>ENO2</t>
  </si>
  <si>
    <t>COG2</t>
  </si>
  <si>
    <t>ZNF346</t>
  </si>
  <si>
    <t>ALAD</t>
  </si>
  <si>
    <t>TBCE</t>
  </si>
  <si>
    <t>PCYOX1</t>
  </si>
  <si>
    <t>DNASE2</t>
  </si>
  <si>
    <t>ERF</t>
  </si>
  <si>
    <t>STMN3</t>
  </si>
  <si>
    <t>RPL7L1</t>
  </si>
  <si>
    <t>DECR1</t>
  </si>
  <si>
    <t>TRIML2</t>
  </si>
  <si>
    <t>MLLT3</t>
  </si>
  <si>
    <t>AMN1</t>
  </si>
  <si>
    <t>NTRK3</t>
  </si>
  <si>
    <t>USP7</t>
  </si>
  <si>
    <t>RFX5</t>
  </si>
  <si>
    <t>CNOT8</t>
  </si>
  <si>
    <t>NDRG4</t>
  </si>
  <si>
    <t>GALK2</t>
  </si>
  <si>
    <t>PPP2R5E</t>
  </si>
  <si>
    <t>UBXN2A</t>
  </si>
  <si>
    <t>SOS2</t>
  </si>
  <si>
    <t>CPEB4</t>
  </si>
  <si>
    <t>WIZ</t>
  </si>
  <si>
    <t>RLTPR</t>
  </si>
  <si>
    <t>LSM5</t>
  </si>
  <si>
    <t>EIF4E2</t>
  </si>
  <si>
    <t>RPL31</t>
  </si>
  <si>
    <t>PTMA</t>
  </si>
  <si>
    <t>VAMP8</t>
  </si>
  <si>
    <t>USP39</t>
  </si>
  <si>
    <t>ASB1</t>
  </si>
  <si>
    <t>WASH3P</t>
  </si>
  <si>
    <t>PSMD6</t>
  </si>
  <si>
    <t>ZC3HC1</t>
  </si>
  <si>
    <t>PFN2</t>
  </si>
  <si>
    <t>SRI</t>
  </si>
  <si>
    <t>ZNF655</t>
  </si>
  <si>
    <t>UBE2F</t>
  </si>
  <si>
    <t>CCNE1</t>
  </si>
  <si>
    <t>POLR2B</t>
  </si>
  <si>
    <t>IQCJ-SCHIP1</t>
  </si>
  <si>
    <t>CMSS1</t>
  </si>
  <si>
    <t>IMMT</t>
  </si>
  <si>
    <t>EIF5A2</t>
  </si>
  <si>
    <t>PDCD10</t>
  </si>
  <si>
    <t>IGF1R</t>
  </si>
  <si>
    <t>FANCB</t>
  </si>
  <si>
    <t>CEP70</t>
  </si>
  <si>
    <t>KRIT1</t>
  </si>
  <si>
    <t>LDHB</t>
  </si>
  <si>
    <t>RPSA</t>
  </si>
  <si>
    <t>BBX</t>
  </si>
  <si>
    <t>FXN</t>
  </si>
  <si>
    <t>BSDC1</t>
  </si>
  <si>
    <t>NFE2L2</t>
  </si>
  <si>
    <t>FOSL2</t>
  </si>
  <si>
    <t>DIAPH3</t>
  </si>
  <si>
    <t>NCOR2</t>
  </si>
  <si>
    <t>AZGP1</t>
  </si>
  <si>
    <t>CDC42EP3</t>
  </si>
  <si>
    <t>OSCP1</t>
  </si>
  <si>
    <t>GPS1</t>
  </si>
  <si>
    <t>BAG3</t>
  </si>
  <si>
    <t>ATAD2B</t>
  </si>
  <si>
    <t>MRPL39</t>
  </si>
  <si>
    <t>AAMP</t>
  </si>
  <si>
    <t>GNB2</t>
  </si>
  <si>
    <t>PDK1</t>
  </si>
  <si>
    <t>POLR2H</t>
  </si>
  <si>
    <t>APAF1</t>
  </si>
  <si>
    <t>SERPINF2</t>
  </si>
  <si>
    <t>OARD1</t>
  </si>
  <si>
    <t>HSPBP1</t>
  </si>
  <si>
    <t>GSTK1</t>
  </si>
  <si>
    <t>USP4</t>
  </si>
  <si>
    <t>MBNL1</t>
  </si>
  <si>
    <t>CRTAP</t>
  </si>
  <si>
    <t>USP42</t>
  </si>
  <si>
    <t>NKIRAS2</t>
  </si>
  <si>
    <t>CCDC58</t>
  </si>
  <si>
    <t>NME6</t>
  </si>
  <si>
    <t>ATL2</t>
  </si>
  <si>
    <t>C7orf50</t>
  </si>
  <si>
    <t>STK11IP</t>
  </si>
  <si>
    <t>RNF13</t>
  </si>
  <si>
    <t>AKR1B15</t>
  </si>
  <si>
    <t>RCC1</t>
  </si>
  <si>
    <t>AP4M1</t>
  </si>
  <si>
    <t>RPL24</t>
  </si>
  <si>
    <t>LBR</t>
  </si>
  <si>
    <t>LPP</t>
  </si>
  <si>
    <t>POP7</t>
  </si>
  <si>
    <t>RPL22L1</t>
  </si>
  <si>
    <t>NRCAM</t>
  </si>
  <si>
    <t>UBE2H</t>
  </si>
  <si>
    <t>EIF4G2</t>
  </si>
  <si>
    <t>FAM100A</t>
  </si>
  <si>
    <t>ANKS3</t>
  </si>
  <si>
    <t>SLC4A7</t>
  </si>
  <si>
    <t>CXADR</t>
  </si>
  <si>
    <t>RPL32</t>
  </si>
  <si>
    <t>KRI1</t>
  </si>
  <si>
    <t>NDOR1</t>
  </si>
  <si>
    <t>CXXC5</t>
  </si>
  <si>
    <t>RELB</t>
  </si>
  <si>
    <t>RBM47</t>
  </si>
  <si>
    <t>POLR3G</t>
  </si>
  <si>
    <t>CC2D2A</t>
  </si>
  <si>
    <t>FAM169A</t>
  </si>
  <si>
    <t>ZBTB38</t>
  </si>
  <si>
    <t>OCIAD1</t>
  </si>
  <si>
    <t>LMAN2</t>
  </si>
  <si>
    <t>PACRGL</t>
  </si>
  <si>
    <t>AADAT</t>
  </si>
  <si>
    <t>POC5</t>
  </si>
  <si>
    <t>CCDC111</t>
  </si>
  <si>
    <t>ATG10</t>
  </si>
  <si>
    <t>PET112</t>
  </si>
  <si>
    <t>SEC31A</t>
  </si>
  <si>
    <t>SEPT11</t>
  </si>
  <si>
    <t>ANKHD1</t>
  </si>
  <si>
    <t>CENPK</t>
  </si>
  <si>
    <t>CCNH</t>
  </si>
  <si>
    <t>RNASET2</t>
  </si>
  <si>
    <t>IGJ</t>
  </si>
  <si>
    <t>COMMD10</t>
  </si>
  <si>
    <t>DMTF1</t>
  </si>
  <si>
    <t>MMS22L</t>
  </si>
  <si>
    <t>C15orf38-AP3S2</t>
  </si>
  <si>
    <t>GMNN</t>
  </si>
  <si>
    <t>NSMCE2</t>
  </si>
  <si>
    <t>IMPA1</t>
  </si>
  <si>
    <t>RWDD1</t>
  </si>
  <si>
    <t>STMN2</t>
  </si>
  <si>
    <t>TCEB1</t>
  </si>
  <si>
    <t>TTI2</t>
  </si>
  <si>
    <t>PSD3</t>
  </si>
  <si>
    <t>AP3M2</t>
  </si>
  <si>
    <t>ZFAND1</t>
  </si>
  <si>
    <t>SKP1</t>
  </si>
  <si>
    <t>MTDH</t>
  </si>
  <si>
    <t>COPS6</t>
  </si>
  <si>
    <t>PTPN18</t>
  </si>
  <si>
    <t>EPN2</t>
  </si>
  <si>
    <t>ASAH1</t>
  </si>
  <si>
    <t>UBR5</t>
  </si>
  <si>
    <t>TACC2</t>
  </si>
  <si>
    <t>SETMAR</t>
  </si>
  <si>
    <t>NCSTN</t>
  </si>
  <si>
    <t>CALCOCO2</t>
  </si>
  <si>
    <t>RPL14</t>
  </si>
  <si>
    <t>TOM1</t>
  </si>
  <si>
    <t>IBTK</t>
  </si>
  <si>
    <t>PDXDC1</t>
  </si>
  <si>
    <t>PTPRM</t>
  </si>
  <si>
    <t>NAA50</t>
  </si>
  <si>
    <t>ACIN1</t>
  </si>
  <si>
    <t>MTA3</t>
  </si>
  <si>
    <t>FAM91A1</t>
  </si>
  <si>
    <t>GMIP</t>
  </si>
  <si>
    <t>MAST2</t>
  </si>
  <si>
    <t>KLHDC3</t>
  </si>
  <si>
    <t>HMGB3</t>
  </si>
  <si>
    <t>TTC38</t>
  </si>
  <si>
    <t>EYA4</t>
  </si>
  <si>
    <t>U2SURP</t>
  </si>
  <si>
    <t>ITIH3</t>
  </si>
  <si>
    <t>DTX2</t>
  </si>
  <si>
    <t>TNIP1</t>
  </si>
  <si>
    <t>ACSM3</t>
  </si>
  <si>
    <t>RBMS1</t>
  </si>
  <si>
    <t>PLOD2</t>
  </si>
  <si>
    <t>BZW2</t>
  </si>
  <si>
    <t>PITPNC1</t>
  </si>
  <si>
    <t>CSNK2A1</t>
  </si>
  <si>
    <t>NAV3</t>
  </si>
  <si>
    <t>G6PD</t>
  </si>
  <si>
    <t>NUP54</t>
  </si>
  <si>
    <t>EIF4G1</t>
  </si>
  <si>
    <t>PCCB</t>
  </si>
  <si>
    <t>ARFGAP1</t>
  </si>
  <si>
    <t>MAP4</t>
  </si>
  <si>
    <t>PPRC1</t>
  </si>
  <si>
    <t>HDHD1</t>
  </si>
  <si>
    <t>CYFIP2</t>
  </si>
  <si>
    <t>POR</t>
  </si>
  <si>
    <t>RAI1</t>
  </si>
  <si>
    <t>SEPT10</t>
  </si>
  <si>
    <t>PPIL2</t>
  </si>
  <si>
    <t>EXOC6</t>
  </si>
  <si>
    <t>IQGAP2</t>
  </si>
  <si>
    <t>CALD1</t>
  </si>
  <si>
    <t>NEK4</t>
  </si>
  <si>
    <t>SARS2</t>
  </si>
  <si>
    <t>RAVER1</t>
  </si>
  <si>
    <t>GPATCH4</t>
  </si>
  <si>
    <t>PPHLN1</t>
  </si>
  <si>
    <t>PDHX</t>
  </si>
  <si>
    <t>ALYREF</t>
  </si>
  <si>
    <t>HK2</t>
  </si>
  <si>
    <t>PAICS</t>
  </si>
  <si>
    <t>BUB1</t>
  </si>
  <si>
    <t>EIF2B5</t>
  </si>
  <si>
    <t>FNIP1</t>
  </si>
  <si>
    <t>TNS3</t>
  </si>
  <si>
    <t>CKAP2</t>
  </si>
  <si>
    <t>UNKL</t>
  </si>
  <si>
    <t>ACADS</t>
  </si>
  <si>
    <t>AR</t>
  </si>
  <si>
    <t>HMGXB3</t>
  </si>
  <si>
    <t>PDPK1</t>
  </si>
  <si>
    <t>DIAPH1</t>
  </si>
  <si>
    <t>NUP155</t>
  </si>
  <si>
    <t>ACSF2</t>
  </si>
  <si>
    <t>CEP192</t>
  </si>
  <si>
    <t>PPP2R5D</t>
  </si>
  <si>
    <t>ZFAND2B</t>
  </si>
  <si>
    <t>CEP97</t>
  </si>
  <si>
    <t>APP</t>
  </si>
  <si>
    <t>TNS1</t>
  </si>
  <si>
    <t>TSN</t>
  </si>
  <si>
    <t>MED22</t>
  </si>
  <si>
    <t>PRDX3</t>
  </si>
  <si>
    <t>CLEC3B</t>
  </si>
  <si>
    <t>LARS2</t>
  </si>
  <si>
    <t>SSFA2</t>
  </si>
  <si>
    <t>HLA-DQB1</t>
  </si>
  <si>
    <t>SF3B2</t>
  </si>
  <si>
    <t>PHRF1</t>
  </si>
  <si>
    <t>UBXN1</t>
  </si>
  <si>
    <t>CYHR1</t>
  </si>
  <si>
    <t>BRMS1</t>
  </si>
  <si>
    <t>ARHGAP42</t>
  </si>
  <si>
    <t>RPS6KA4</t>
  </si>
  <si>
    <t>SOGA3</t>
  </si>
  <si>
    <t>RPUSD4</t>
  </si>
  <si>
    <t>TOR1AIP1</t>
  </si>
  <si>
    <t>PRMT1</t>
  </si>
  <si>
    <t>TTC9C</t>
  </si>
  <si>
    <t>BTF3L4</t>
  </si>
  <si>
    <t>HYOU1</t>
  </si>
  <si>
    <t>PDE4DIP</t>
  </si>
  <si>
    <t>NEDD8-MDP1</t>
  </si>
  <si>
    <t>MTFR1L</t>
  </si>
  <si>
    <t>NPEPPS</t>
  </si>
  <si>
    <t>RPL27A</t>
  </si>
  <si>
    <t>RNF141</t>
  </si>
  <si>
    <t>MACF1</t>
  </si>
  <si>
    <t>USP47</t>
  </si>
  <si>
    <t>C11orf58</t>
  </si>
  <si>
    <t>ME3</t>
  </si>
  <si>
    <t>BIRC2</t>
  </si>
  <si>
    <t>CLNS1A</t>
  </si>
  <si>
    <t>FAM118B</t>
  </si>
  <si>
    <t>HSF1</t>
  </si>
  <si>
    <t>LMO7</t>
  </si>
  <si>
    <t>ZNF595</t>
  </si>
  <si>
    <t>STIM1</t>
  </si>
  <si>
    <t>CD59</t>
  </si>
  <si>
    <t>ZFPL1</t>
  </si>
  <si>
    <t>FAU</t>
  </si>
  <si>
    <t>MAF1</t>
  </si>
  <si>
    <t>RPS6KA1</t>
  </si>
  <si>
    <t>STIL</t>
  </si>
  <si>
    <t>CD55</t>
  </si>
  <si>
    <t>FGGY</t>
  </si>
  <si>
    <t>XPO4</t>
  </si>
  <si>
    <t>TRIP6i3</t>
  </si>
  <si>
    <t>PHB2</t>
  </si>
  <si>
    <t>GTF2H3</t>
  </si>
  <si>
    <t>C1RL</t>
  </si>
  <si>
    <t>CCDC53</t>
  </si>
  <si>
    <t>PIK3C2B</t>
  </si>
  <si>
    <t>JUP</t>
  </si>
  <si>
    <t>WNK1</t>
  </si>
  <si>
    <t>SMAD5</t>
  </si>
  <si>
    <t>FAM76B</t>
  </si>
  <si>
    <t>FRYL</t>
  </si>
  <si>
    <t>SUCLA2</t>
  </si>
  <si>
    <t>LTBP4</t>
  </si>
  <si>
    <t>ATE1</t>
  </si>
  <si>
    <t>LTBR</t>
  </si>
  <si>
    <t>ITIH4</t>
  </si>
  <si>
    <t>C4B</t>
  </si>
  <si>
    <t>SASS6</t>
  </si>
  <si>
    <t>SPARC</t>
  </si>
  <si>
    <t>STARD10</t>
  </si>
  <si>
    <t>CEP112</t>
  </si>
  <si>
    <t>TK2</t>
  </si>
  <si>
    <t>PXN</t>
  </si>
  <si>
    <t>DTL</t>
  </si>
  <si>
    <t>APLP2</t>
  </si>
  <si>
    <t>TRIM21</t>
  </si>
  <si>
    <t>TPD52</t>
  </si>
  <si>
    <t>PAAF1</t>
  </si>
  <si>
    <t>TDG</t>
  </si>
  <si>
    <t>KSR1</t>
  </si>
  <si>
    <t>SEC23IP</t>
  </si>
  <si>
    <t>CLASRP</t>
  </si>
  <si>
    <t>RRN3</t>
  </si>
  <si>
    <t>MSRB3</t>
  </si>
  <si>
    <t>POLE</t>
  </si>
  <si>
    <t>TXNRD2</t>
  </si>
  <si>
    <t>KIAA1211</t>
  </si>
  <si>
    <t>FLJ22184</t>
  </si>
  <si>
    <t>C12orf43</t>
  </si>
  <si>
    <t>OPHN1</t>
  </si>
  <si>
    <t>ANKLE2</t>
  </si>
  <si>
    <t>KIAA1715</t>
  </si>
  <si>
    <t>PRPF4B</t>
  </si>
  <si>
    <t>HMGA2</t>
  </si>
  <si>
    <t>TJP3</t>
  </si>
  <si>
    <t>XAB2</t>
  </si>
  <si>
    <t>SEC23A</t>
  </si>
  <si>
    <t>ANGEL2</t>
  </si>
  <si>
    <t>PRAME</t>
  </si>
  <si>
    <t>KPNA6</t>
  </si>
  <si>
    <t>PEX14</t>
  </si>
  <si>
    <t>VPS37C</t>
  </si>
  <si>
    <t>PDCD2</t>
  </si>
  <si>
    <t>PON1</t>
  </si>
  <si>
    <t>CASC1</t>
  </si>
  <si>
    <t>IFNGR1</t>
  </si>
  <si>
    <t>CLEC4E</t>
  </si>
  <si>
    <t>CLASP2</t>
  </si>
  <si>
    <t>ATF2</t>
  </si>
  <si>
    <t>IFT88</t>
  </si>
  <si>
    <t>ATL3</t>
  </si>
  <si>
    <t>KDM6A</t>
  </si>
  <si>
    <t>CDK17</t>
  </si>
  <si>
    <t>MRPL48</t>
  </si>
  <si>
    <t>WBP11</t>
  </si>
  <si>
    <t>ANKS6</t>
  </si>
  <si>
    <t>OGDH</t>
  </si>
  <si>
    <t>INPP4A</t>
  </si>
  <si>
    <t>TRAP1</t>
  </si>
  <si>
    <t>WDR20</t>
  </si>
  <si>
    <t>MVK</t>
  </si>
  <si>
    <t>POGZ</t>
  </si>
  <si>
    <t>SMARCA1</t>
  </si>
  <si>
    <t>PPP3R1</t>
  </si>
  <si>
    <t>RPS6KB1</t>
  </si>
  <si>
    <t>TPD52L1</t>
  </si>
  <si>
    <t>NME2</t>
  </si>
  <si>
    <t>CAD</t>
  </si>
  <si>
    <t>METAP2</t>
  </si>
  <si>
    <t>PCBP2</t>
  </si>
  <si>
    <t>NEK3</t>
  </si>
  <si>
    <t>NFYB</t>
  </si>
  <si>
    <t>PLXNA1</t>
  </si>
  <si>
    <t>OSBPL8</t>
  </si>
  <si>
    <t>NAP1L1</t>
  </si>
  <si>
    <t>TENC1</t>
  </si>
  <si>
    <t>MBD6</t>
  </si>
  <si>
    <t>MON2</t>
  </si>
  <si>
    <t>FGD4</t>
  </si>
  <si>
    <t>SCAF11</t>
  </si>
  <si>
    <t>OAS1</t>
  </si>
  <si>
    <t>IGFBP6</t>
  </si>
  <si>
    <t>DNAJC14</t>
  </si>
  <si>
    <t>NACA</t>
  </si>
  <si>
    <t>C17orf49</t>
  </si>
  <si>
    <t>TROAP</t>
  </si>
  <si>
    <t>RPL6</t>
  </si>
  <si>
    <t>YEATS4</t>
  </si>
  <si>
    <t>FMNL3</t>
  </si>
  <si>
    <t>RBMS2</t>
  </si>
  <si>
    <t>PLEKHM1</t>
  </si>
  <si>
    <t>CBFA2T2</t>
  </si>
  <si>
    <t>HNRNPA1</t>
  </si>
  <si>
    <t>RASA3</t>
  </si>
  <si>
    <t>EML1</t>
  </si>
  <si>
    <t>GOLIM4</t>
  </si>
  <si>
    <t>MRE11A</t>
  </si>
  <si>
    <t>VEZT</t>
  </si>
  <si>
    <t>RAB24</t>
  </si>
  <si>
    <t>TIA1</t>
  </si>
  <si>
    <t>AP1S3</t>
  </si>
  <si>
    <t>ABLIM1</t>
  </si>
  <si>
    <t>ACACB</t>
  </si>
  <si>
    <t>WNK2</t>
  </si>
  <si>
    <t>LENG8</t>
  </si>
  <si>
    <t>CCDC93</t>
  </si>
  <si>
    <t>STAG2</t>
  </si>
  <si>
    <t>FRMD4A</t>
  </si>
  <si>
    <t>NDUFA5</t>
  </si>
  <si>
    <t>ATXN2</t>
  </si>
  <si>
    <t>MRPL40</t>
  </si>
  <si>
    <t>SAC3D1</t>
  </si>
  <si>
    <t>DONSON</t>
  </si>
  <si>
    <t>CBWD2</t>
  </si>
  <si>
    <t>PRKRA</t>
  </si>
  <si>
    <t>CPSF6</t>
  </si>
  <si>
    <t>PARP2</t>
  </si>
  <si>
    <t>TJP1</t>
  </si>
  <si>
    <t>LOH12CR1</t>
  </si>
  <si>
    <t>ZEB1</t>
  </si>
  <si>
    <t>ISYNA1</t>
  </si>
  <si>
    <t>MYL6</t>
  </si>
  <si>
    <t>SERPINA3</t>
  </si>
  <si>
    <t>DCAF8</t>
  </si>
  <si>
    <t>NFKBIA</t>
  </si>
  <si>
    <t>ATXN3</t>
  </si>
  <si>
    <t>SIVA1</t>
  </si>
  <si>
    <t>DCAF5</t>
  </si>
  <si>
    <t>HNRNPC</t>
  </si>
  <si>
    <t>DDX24</t>
  </si>
  <si>
    <t>RPGRIP1</t>
  </si>
  <si>
    <t>FAM177A1</t>
  </si>
  <si>
    <t>CTAGE5</t>
  </si>
  <si>
    <t>GSTZ1</t>
  </si>
  <si>
    <t>ARID1B</t>
  </si>
  <si>
    <t>MAP4K4</t>
  </si>
  <si>
    <t>BCAS1</t>
  </si>
  <si>
    <t>SEPT5</t>
  </si>
  <si>
    <t>FAM133B</t>
  </si>
  <si>
    <t>RFTN1</t>
  </si>
  <si>
    <t>SLC12A2</t>
  </si>
  <si>
    <t>CFI</t>
  </si>
  <si>
    <t>TRAM1</t>
  </si>
  <si>
    <t>ATG4A</t>
  </si>
  <si>
    <t>USP11</t>
  </si>
  <si>
    <t>DMWD</t>
  </si>
  <si>
    <t>SOS1</t>
  </si>
  <si>
    <t>MAPRE2</t>
  </si>
  <si>
    <t>DCLK2</t>
  </si>
  <si>
    <t>RPL37A</t>
  </si>
  <si>
    <t>MRPS22</t>
  </si>
  <si>
    <t>WIPI1</t>
  </si>
  <si>
    <t>TMOD2</t>
  </si>
  <si>
    <t>PDIA3</t>
  </si>
  <si>
    <t>TGFBI</t>
  </si>
  <si>
    <t>PUS1</t>
  </si>
  <si>
    <t>CDC25B</t>
  </si>
  <si>
    <t>WDR45</t>
  </si>
  <si>
    <t>PACS2</t>
  </si>
  <si>
    <t>C14orf159</t>
  </si>
  <si>
    <t>MPRIP</t>
  </si>
  <si>
    <t>PRRC2B</t>
  </si>
  <si>
    <t>IMPDH2</t>
  </si>
  <si>
    <t>LARP4B</t>
  </si>
  <si>
    <t>TRRAP</t>
  </si>
  <si>
    <t>EPB41L2</t>
  </si>
  <si>
    <t>PBRM1</t>
  </si>
  <si>
    <t>UFM1</t>
  </si>
  <si>
    <t>ARFGAP3</t>
  </si>
  <si>
    <t>PYCRL</t>
  </si>
  <si>
    <t>EFCAB2</t>
  </si>
  <si>
    <t>PPIP5K2</t>
  </si>
  <si>
    <t>UBE2B</t>
  </si>
  <si>
    <t>BOD1L1</t>
  </si>
  <si>
    <t>STOX2</t>
  </si>
  <si>
    <t>RBM24</t>
  </si>
  <si>
    <t>MAN2B2</t>
  </si>
  <si>
    <t>RNF4</t>
  </si>
  <si>
    <t>APBB2</t>
  </si>
  <si>
    <t>ARHGEF10</t>
  </si>
  <si>
    <t>GSR</t>
  </si>
  <si>
    <t>LETM2</t>
  </si>
  <si>
    <t>SLC27A3</t>
  </si>
  <si>
    <t>MRPL49</t>
  </si>
  <si>
    <t>CRTC2</t>
  </si>
  <si>
    <t>UBQLN1</t>
  </si>
  <si>
    <t>PPP5C</t>
  </si>
  <si>
    <t>SSSCA1</t>
  </si>
  <si>
    <t>RNASEH2C</t>
  </si>
  <si>
    <t>KAT5</t>
  </si>
  <si>
    <t>SMPD1</t>
  </si>
  <si>
    <t>LAMTOR1</t>
  </si>
  <si>
    <t>REXO2</t>
  </si>
  <si>
    <t>KIF21A</t>
  </si>
  <si>
    <t>KANSL2</t>
  </si>
  <si>
    <t>FANCM</t>
  </si>
  <si>
    <t>STRN3</t>
  </si>
  <si>
    <t>PBX1</t>
  </si>
  <si>
    <t>ANXA2</t>
  </si>
  <si>
    <t>POU2F1</t>
  </si>
  <si>
    <t>HMBOX1</t>
  </si>
  <si>
    <t>RFX7</t>
  </si>
  <si>
    <t>CASC4</t>
  </si>
  <si>
    <t>T</t>
  </si>
  <si>
    <t>GMPR2</t>
  </si>
  <si>
    <t>MORF4L1</t>
  </si>
  <si>
    <t>ISG20</t>
  </si>
  <si>
    <t>SPPL2A</t>
  </si>
  <si>
    <t>EMC9</t>
  </si>
  <si>
    <t>UACA</t>
  </si>
  <si>
    <t>BLM</t>
  </si>
  <si>
    <t>GCHFR</t>
  </si>
  <si>
    <t>AKR7A2</t>
  </si>
  <si>
    <t>GLG1</t>
  </si>
  <si>
    <t>NOL3</t>
  </si>
  <si>
    <t>C15orf39</t>
  </si>
  <si>
    <t>COX4I1</t>
  </si>
  <si>
    <t>PRR14</t>
  </si>
  <si>
    <t>LYRM1</t>
  </si>
  <si>
    <t>INO80E</t>
  </si>
  <si>
    <t>MPHOSPH6</t>
  </si>
  <si>
    <t>CARHSP1</t>
  </si>
  <si>
    <t>MPI</t>
  </si>
  <si>
    <t>RNPS1</t>
  </si>
  <si>
    <t>ALDOA</t>
  </si>
  <si>
    <t>MTSS1L</t>
  </si>
  <si>
    <t>SNAPC5</t>
  </si>
  <si>
    <t>COG8</t>
  </si>
  <si>
    <t>hCG_2044799</t>
  </si>
  <si>
    <t>ZNRF1</t>
  </si>
  <si>
    <t>ZFYVE19</t>
  </si>
  <si>
    <t>UBFD1</t>
  </si>
  <si>
    <t>NFATC3</t>
  </si>
  <si>
    <t>EIF3C</t>
  </si>
  <si>
    <t>RAB11A</t>
  </si>
  <si>
    <t>E4F1</t>
  </si>
  <si>
    <t>BLOC1S6</t>
  </si>
  <si>
    <t>LRRC57</t>
  </si>
  <si>
    <t>EARS2</t>
  </si>
  <si>
    <t>MAP1LC3B</t>
  </si>
  <si>
    <t>PKM</t>
  </si>
  <si>
    <t>ARL2BP</t>
  </si>
  <si>
    <t>ATXN2L</t>
  </si>
  <si>
    <t>GABARAP</t>
  </si>
  <si>
    <t>NPRL3</t>
  </si>
  <si>
    <t>PPP6R3</t>
  </si>
  <si>
    <t>ESYT2</t>
  </si>
  <si>
    <t>EWSR1</t>
  </si>
  <si>
    <t>TPM1</t>
  </si>
  <si>
    <t>BCOR</t>
  </si>
  <si>
    <t>MKI67IP</t>
  </si>
  <si>
    <t>YIPF4</t>
  </si>
  <si>
    <t>NHEJ1</t>
  </si>
  <si>
    <t>CHD3</t>
  </si>
  <si>
    <t>CDKN3</t>
  </si>
  <si>
    <t>IQSEC1</t>
  </si>
  <si>
    <t>CC2D1B</t>
  </si>
  <si>
    <t>MFSD6</t>
  </si>
  <si>
    <t>MZT2B</t>
  </si>
  <si>
    <t>ART4</t>
  </si>
  <si>
    <t>EPB41L1</t>
  </si>
  <si>
    <t>GCA</t>
  </si>
  <si>
    <t>SDCCAG3</t>
  </si>
  <si>
    <t>SAMD11</t>
  </si>
  <si>
    <t>GNS</t>
  </si>
  <si>
    <t>CSDC2</t>
  </si>
  <si>
    <t>ZMYND8</t>
  </si>
  <si>
    <t>STIM2</t>
  </si>
  <si>
    <t>IAH1</t>
  </si>
  <si>
    <t>GCOM1</t>
  </si>
  <si>
    <t>PWWP2B</t>
  </si>
  <si>
    <t>GABPB1</t>
  </si>
  <si>
    <t>MYO15B</t>
  </si>
  <si>
    <t>NSF</t>
  </si>
  <si>
    <t>CLUAP1</t>
  </si>
  <si>
    <t>BSG</t>
  </si>
  <si>
    <t>CNTROB</t>
  </si>
  <si>
    <t>DPH1</t>
  </si>
  <si>
    <t>ELP5</t>
  </si>
  <si>
    <t>CLUH</t>
  </si>
  <si>
    <t>GEMIN4</t>
  </si>
  <si>
    <t>CIC</t>
  </si>
  <si>
    <t>DVL2</t>
  </si>
  <si>
    <t>MAZ</t>
  </si>
  <si>
    <t>ABHD12</t>
  </si>
  <si>
    <t>RPS15A</t>
  </si>
  <si>
    <t>MYL4</t>
  </si>
  <si>
    <t>SPAG7</t>
  </si>
  <si>
    <t>ELMO3</t>
  </si>
  <si>
    <t>ACTG1</t>
  </si>
  <si>
    <t>FAM195B</t>
  </si>
  <si>
    <t>NFKBIB</t>
  </si>
  <si>
    <t>NDUFAB1</t>
  </si>
  <si>
    <t>FABP5</t>
  </si>
  <si>
    <t>DNAJC24</t>
  </si>
  <si>
    <t>SMARCD2</t>
  </si>
  <si>
    <t>NPC2</t>
  </si>
  <si>
    <t>INTS2</t>
  </si>
  <si>
    <t>PI4KA</t>
  </si>
  <si>
    <t>RCOR1</t>
  </si>
  <si>
    <t>CNTLN</t>
  </si>
  <si>
    <t>VGLL4</t>
  </si>
  <si>
    <t>TBC1D8B</t>
  </si>
  <si>
    <t>MAP3K4</t>
  </si>
  <si>
    <t>SAAL1</t>
  </si>
  <si>
    <t>CCS</t>
  </si>
  <si>
    <t>SENP3</t>
  </si>
  <si>
    <t>AP4S1</t>
  </si>
  <si>
    <t>SEC16A</t>
  </si>
  <si>
    <t>ZFYVE1</t>
  </si>
  <si>
    <t>BRAP</t>
  </si>
  <si>
    <t>ALDH6A1</t>
  </si>
  <si>
    <t>INTS8</t>
  </si>
  <si>
    <t>FBRS</t>
  </si>
  <si>
    <t>SRSF2</t>
  </si>
  <si>
    <t>PTPRA</t>
  </si>
  <si>
    <t>PHACTR2</t>
  </si>
  <si>
    <t>FAM83H</t>
  </si>
  <si>
    <t>MYD88</t>
  </si>
  <si>
    <t>MPST</t>
  </si>
  <si>
    <t>COPS7B</t>
  </si>
  <si>
    <t>FBXO6</t>
  </si>
  <si>
    <t>PPP1R37</t>
  </si>
  <si>
    <t>GBA</t>
  </si>
  <si>
    <t>BABAM1</t>
  </si>
  <si>
    <t>KCTD1</t>
  </si>
  <si>
    <t>PER1</t>
  </si>
  <si>
    <t>SS18</t>
  </si>
  <si>
    <t>CYLD</t>
  </si>
  <si>
    <t>CBX1</t>
  </si>
  <si>
    <t>ICT1</t>
  </si>
  <si>
    <t>AURKB</t>
  </si>
  <si>
    <t>SCO1</t>
  </si>
  <si>
    <t>FLOT2</t>
  </si>
  <si>
    <t>SAP30BP</t>
  </si>
  <si>
    <t>TRAPPC8</t>
  </si>
  <si>
    <t>LIMD2</t>
  </si>
  <si>
    <t>RPL17</t>
  </si>
  <si>
    <t>SUZ12</t>
  </si>
  <si>
    <t>FDXR</t>
  </si>
  <si>
    <t>MSL1</t>
  </si>
  <si>
    <t>RPL19</t>
  </si>
  <si>
    <t>NAT9</t>
  </si>
  <si>
    <t>ALDH3A2</t>
  </si>
  <si>
    <t>hCG_1996301</t>
  </si>
  <si>
    <t>ZSWIM7</t>
  </si>
  <si>
    <t>MIF4GD</t>
  </si>
  <si>
    <t>ZNF207</t>
  </si>
  <si>
    <t>CRBN</t>
  </si>
  <si>
    <t>C17orf75</t>
  </si>
  <si>
    <t>GPRC5C</t>
  </si>
  <si>
    <t>RWDD4</t>
  </si>
  <si>
    <t>CUL4B</t>
  </si>
  <si>
    <t>MBD3</t>
  </si>
  <si>
    <t>WBP2</t>
  </si>
  <si>
    <t>NUDT16L1</t>
  </si>
  <si>
    <t>WDR18</t>
  </si>
  <si>
    <t>SMAD4</t>
  </si>
  <si>
    <t>RPS15</t>
  </si>
  <si>
    <t>hCG_27535</t>
  </si>
  <si>
    <t>SPC24</t>
  </si>
  <si>
    <t>H3F3B</t>
  </si>
  <si>
    <t>STAT5A</t>
  </si>
  <si>
    <t>LIN37</t>
  </si>
  <si>
    <t>LONP1</t>
  </si>
  <si>
    <t>ATXN7L3</t>
  </si>
  <si>
    <t>PPL</t>
  </si>
  <si>
    <t>PTBP1</t>
  </si>
  <si>
    <t>STX10</t>
  </si>
  <si>
    <t>KATNAL2</t>
  </si>
  <si>
    <t>ZNF444</t>
  </si>
  <si>
    <t>LSM14A</t>
  </si>
  <si>
    <t>ELOF1</t>
  </si>
  <si>
    <t>hCG_2039718</t>
  </si>
  <si>
    <t>NARS</t>
  </si>
  <si>
    <t>C18orf8</t>
  </si>
  <si>
    <t>GGNBP2</t>
  </si>
  <si>
    <t>UBXN6</t>
  </si>
  <si>
    <t>C19orf12</t>
  </si>
  <si>
    <t>SAFB2</t>
  </si>
  <si>
    <t>TPM4</t>
  </si>
  <si>
    <t>C19orf55</t>
  </si>
  <si>
    <t>EIF3K</t>
  </si>
  <si>
    <t>APOC1</t>
  </si>
  <si>
    <t>TK1</t>
  </si>
  <si>
    <t>UBE2O</t>
  </si>
  <si>
    <t>PEPD</t>
  </si>
  <si>
    <t>FSTL3</t>
  </si>
  <si>
    <t>RAD23A</t>
  </si>
  <si>
    <t>PAF1</t>
  </si>
  <si>
    <t>KPTN</t>
  </si>
  <si>
    <t>ZNF428</t>
  </si>
  <si>
    <t>PTOV1</t>
  </si>
  <si>
    <t>GMFG</t>
  </si>
  <si>
    <t>TUBB4A</t>
  </si>
  <si>
    <t>SIRT6</t>
  </si>
  <si>
    <t>SAMD4B</t>
  </si>
  <si>
    <t>HNRNPM</t>
  </si>
  <si>
    <t>ARHGEF1</t>
  </si>
  <si>
    <t>KXD1</t>
  </si>
  <si>
    <t>RPS5</t>
  </si>
  <si>
    <t>MYO9B</t>
  </si>
  <si>
    <t>METTL6</t>
  </si>
  <si>
    <t>SHKBP1</t>
  </si>
  <si>
    <t>RABAC1</t>
  </si>
  <si>
    <t>AGPS</t>
  </si>
  <si>
    <t>KIF2A</t>
  </si>
  <si>
    <t>DDX39A</t>
  </si>
  <si>
    <t>PDLIM1</t>
  </si>
  <si>
    <t>ACOT7</t>
  </si>
  <si>
    <t>MYO1C</t>
  </si>
  <si>
    <t>SNAP23</t>
  </si>
  <si>
    <t>AIP</t>
  </si>
  <si>
    <t>GTPBP1</t>
  </si>
  <si>
    <t>RAB27B</t>
  </si>
  <si>
    <t>AP3B1</t>
  </si>
  <si>
    <t>SULT2B1</t>
  </si>
  <si>
    <t>APBB1</t>
  </si>
  <si>
    <t>TNFRSF10A</t>
  </si>
  <si>
    <t>NFKBIE</t>
  </si>
  <si>
    <t>PSMD11</t>
  </si>
  <si>
    <t>PSMD12</t>
  </si>
  <si>
    <t>PSMD9</t>
  </si>
  <si>
    <t>ATOX1</t>
  </si>
  <si>
    <t>CBX4</t>
  </si>
  <si>
    <t>SUPT5H</t>
  </si>
  <si>
    <t>TAF4</t>
  </si>
  <si>
    <t>DFFA</t>
  </si>
  <si>
    <t>HIP1</t>
  </si>
  <si>
    <t>CLIC1</t>
  </si>
  <si>
    <t>EIF3F</t>
  </si>
  <si>
    <t>WWP2</t>
  </si>
  <si>
    <t>PIK3CD</t>
  </si>
  <si>
    <t>DCTN6</t>
  </si>
  <si>
    <t>WASL</t>
  </si>
  <si>
    <t>IPO5</t>
  </si>
  <si>
    <t>EEF2K</t>
  </si>
  <si>
    <t>SAP18</t>
  </si>
  <si>
    <t>IGF2BP3</t>
  </si>
  <si>
    <t>DNM1L</t>
  </si>
  <si>
    <t>RTCA</t>
  </si>
  <si>
    <t>PIK3C2A</t>
  </si>
  <si>
    <t>PIK3R2</t>
  </si>
  <si>
    <t>AGRN</t>
  </si>
  <si>
    <t>EXOC5</t>
  </si>
  <si>
    <t>HMGN4</t>
  </si>
  <si>
    <t>PSMD14</t>
  </si>
  <si>
    <t>ZNF593</t>
  </si>
  <si>
    <t>BIN1</t>
  </si>
  <si>
    <t>KPNA3</t>
  </si>
  <si>
    <t>STK25</t>
  </si>
  <si>
    <t>BCL9</t>
  </si>
  <si>
    <t>SDCBP</t>
  </si>
  <si>
    <t>PITPNM1</t>
  </si>
  <si>
    <t>MPHOSPH10</t>
  </si>
  <si>
    <t>NOP56</t>
  </si>
  <si>
    <t>DDX3X</t>
  </si>
  <si>
    <t>PODXL</t>
  </si>
  <si>
    <t>CYR61</t>
  </si>
  <si>
    <t>PIR</t>
  </si>
  <si>
    <t>KPNA4</t>
  </si>
  <si>
    <t>TRIM38</t>
  </si>
  <si>
    <t>NFIB</t>
  </si>
  <si>
    <t>PPP6C</t>
  </si>
  <si>
    <t>NME4</t>
  </si>
  <si>
    <t>MAN2B1</t>
  </si>
  <si>
    <t>PDXK</t>
  </si>
  <si>
    <t>ARID1A</t>
  </si>
  <si>
    <t>CDK2AP1</t>
  </si>
  <si>
    <t>FCHO1</t>
  </si>
  <si>
    <t>TXNDC9</t>
  </si>
  <si>
    <t>DPYSL4</t>
  </si>
  <si>
    <t>SOCS6</t>
  </si>
  <si>
    <t>TRAFD1</t>
  </si>
  <si>
    <t>CIT</t>
  </si>
  <si>
    <t>COPE</t>
  </si>
  <si>
    <t>EIF1AY</t>
  </si>
  <si>
    <t>AP3D1</t>
  </si>
  <si>
    <t>DVL1</t>
  </si>
  <si>
    <t>CHD1</t>
  </si>
  <si>
    <t>GOSR2</t>
  </si>
  <si>
    <t>TOR1B</t>
  </si>
  <si>
    <t>ADAM10</t>
  </si>
  <si>
    <t>MLL2</t>
  </si>
  <si>
    <t>IMPA2</t>
  </si>
  <si>
    <t>MAP2K7</t>
  </si>
  <si>
    <t>PDCD5</t>
  </si>
  <si>
    <t>PRMT5</t>
  </si>
  <si>
    <t>SLC9A3R1</t>
  </si>
  <si>
    <t>CHEK1</t>
  </si>
  <si>
    <t>TNFRSF10B</t>
  </si>
  <si>
    <t>FPGT</t>
  </si>
  <si>
    <t>TCERG1</t>
  </si>
  <si>
    <t>NDC80</t>
  </si>
  <si>
    <t>KIF3C</t>
  </si>
  <si>
    <t>TNPO2</t>
  </si>
  <si>
    <t>UNC13B</t>
  </si>
  <si>
    <t>CPLX1</t>
  </si>
  <si>
    <t>PSMA7</t>
  </si>
  <si>
    <t>SCAMP3</t>
  </si>
  <si>
    <t>OPLAH</t>
  </si>
  <si>
    <t>BACH1</t>
  </si>
  <si>
    <t>GEMIN2</t>
  </si>
  <si>
    <t>TAX1BP3</t>
  </si>
  <si>
    <t>GIPC1</t>
  </si>
  <si>
    <t>IKBKB</t>
  </si>
  <si>
    <t>RGS12</t>
  </si>
  <si>
    <t>HAT1</t>
  </si>
  <si>
    <t>UBE2L6</t>
  </si>
  <si>
    <t>CASK</t>
  </si>
  <si>
    <t>HGS</t>
  </si>
  <si>
    <t>AURKA</t>
  </si>
  <si>
    <t>DSCR3</t>
  </si>
  <si>
    <t>PPP1R12A</t>
  </si>
  <si>
    <t>GAK</t>
  </si>
  <si>
    <t>AZIN1</t>
  </si>
  <si>
    <t>HNRPDL</t>
  </si>
  <si>
    <t>XPO1</t>
  </si>
  <si>
    <t>BTAF1</t>
  </si>
  <si>
    <t>ZNF609</t>
  </si>
  <si>
    <t>MAST4</t>
  </si>
  <si>
    <t>PLXNB2</t>
  </si>
  <si>
    <t>KHNYN</t>
  </si>
  <si>
    <t>TECPR2</t>
  </si>
  <si>
    <t>SETD1A</t>
  </si>
  <si>
    <t>KDM6B</t>
  </si>
  <si>
    <t>PER2</t>
  </si>
  <si>
    <t>SYNJ2</t>
  </si>
  <si>
    <t>SYNM</t>
  </si>
  <si>
    <t>KIF3B</t>
  </si>
  <si>
    <t>PFAS</t>
  </si>
  <si>
    <t>ANKRD28</t>
  </si>
  <si>
    <t>ARHGEF11</t>
  </si>
  <si>
    <t>CHUK</t>
  </si>
  <si>
    <t>LSM1</t>
  </si>
  <si>
    <t>NPC1</t>
  </si>
  <si>
    <t>TBX3</t>
  </si>
  <si>
    <t>ARPC1B</t>
  </si>
  <si>
    <t>ARPC2</t>
  </si>
  <si>
    <t>ARPC3</t>
  </si>
  <si>
    <t>POLR1C</t>
  </si>
  <si>
    <t>TRIM24</t>
  </si>
  <si>
    <t>AXIN1</t>
  </si>
  <si>
    <t>PFDN6</t>
  </si>
  <si>
    <t>NKRF</t>
  </si>
  <si>
    <t>LAMA5</t>
  </si>
  <si>
    <t>ZNF185</t>
  </si>
  <si>
    <t>CASC3</t>
  </si>
  <si>
    <t>FANCG</t>
  </si>
  <si>
    <t>OGT</t>
  </si>
  <si>
    <t>PMM2</t>
  </si>
  <si>
    <t>INPP4B</t>
  </si>
  <si>
    <t>MID1</t>
  </si>
  <si>
    <t>PPM1G</t>
  </si>
  <si>
    <t>INPPL1</t>
  </si>
  <si>
    <t>SOX12</t>
  </si>
  <si>
    <t>EIF3H</t>
  </si>
  <si>
    <t>HDAC3</t>
  </si>
  <si>
    <t>BCAT2</t>
  </si>
  <si>
    <t>IPO8</t>
  </si>
  <si>
    <t>STX7</t>
  </si>
  <si>
    <t>TNRC18</t>
  </si>
  <si>
    <t>CD3EAP</t>
  </si>
  <si>
    <t>P4HA2</t>
  </si>
  <si>
    <t>YKT6</t>
  </si>
  <si>
    <t>ARPC5</t>
  </si>
  <si>
    <t>POLR2D</t>
  </si>
  <si>
    <t>DDX3Y</t>
  </si>
  <si>
    <t>RNF113A</t>
  </si>
  <si>
    <t>DHX15</t>
  </si>
  <si>
    <t>RNMT</t>
  </si>
  <si>
    <t>ZZEF1</t>
  </si>
  <si>
    <t>ASAP2</t>
  </si>
  <si>
    <t>TTI1</t>
  </si>
  <si>
    <t>RRP8</t>
  </si>
  <si>
    <t>PJA2</t>
  </si>
  <si>
    <t>PRPF4</t>
  </si>
  <si>
    <t>PHGDH</t>
  </si>
  <si>
    <t>DYNC1LI2</t>
  </si>
  <si>
    <t>PSMD3</t>
  </si>
  <si>
    <t>RBFOX2</t>
  </si>
  <si>
    <t>PAPSS1</t>
  </si>
  <si>
    <t>ZW10</t>
  </si>
  <si>
    <t>SART1</t>
  </si>
  <si>
    <t>DAPK3</t>
  </si>
  <si>
    <t>TGFB1I1</t>
  </si>
  <si>
    <t>ZBTB43</t>
  </si>
  <si>
    <t>HSPA12A</t>
  </si>
  <si>
    <t>CCP110</t>
  </si>
  <si>
    <t>CTIF</t>
  </si>
  <si>
    <t>MAP3K7</t>
  </si>
  <si>
    <t>EEF1E1</t>
  </si>
  <si>
    <t>RIPK2</t>
  </si>
  <si>
    <t>WDR62</t>
  </si>
  <si>
    <t>HNRNPR</t>
  </si>
  <si>
    <t>PRPF3</t>
  </si>
  <si>
    <t>TXNL1</t>
  </si>
  <si>
    <t>TPD52L2</t>
  </si>
  <si>
    <t>EMC8</t>
  </si>
  <si>
    <t>ERI3</t>
  </si>
  <si>
    <t>PRKRIR</t>
  </si>
  <si>
    <t>FIBP</t>
  </si>
  <si>
    <t>EIF4G3</t>
  </si>
  <si>
    <t>PPIH</t>
  </si>
  <si>
    <t>HTRA2</t>
  </si>
  <si>
    <t>OIP5</t>
  </si>
  <si>
    <t>TGOLN2</t>
  </si>
  <si>
    <t>RAD51C</t>
  </si>
  <si>
    <t>MED7</t>
  </si>
  <si>
    <t>WIPF1</t>
  </si>
  <si>
    <t>XRCC3</t>
  </si>
  <si>
    <t>XRCC2</t>
  </si>
  <si>
    <t>AKAP10</t>
  </si>
  <si>
    <t>DENR</t>
  </si>
  <si>
    <t>XPOT</t>
  </si>
  <si>
    <t>DNPH1</t>
  </si>
  <si>
    <t>TIMM44</t>
  </si>
  <si>
    <t>TRAPPC3</t>
  </si>
  <si>
    <t>CHMP2A</t>
  </si>
  <si>
    <t>NCK2</t>
  </si>
  <si>
    <t>TSPAN6</t>
  </si>
  <si>
    <t>PLRG1</t>
  </si>
  <si>
    <t>PRC1</t>
  </si>
  <si>
    <t>RGS10</t>
  </si>
  <si>
    <t>NDUFB5</t>
  </si>
  <si>
    <t>NDUFA2</t>
  </si>
  <si>
    <t>ASNA1</t>
  </si>
  <si>
    <t>BUB3</t>
  </si>
  <si>
    <t>ACTN4</t>
  </si>
  <si>
    <t>WBSCR22</t>
  </si>
  <si>
    <t>TRIAP1</t>
  </si>
  <si>
    <t>GATC</t>
  </si>
  <si>
    <t>HTATSF1</t>
  </si>
  <si>
    <t>CYTH3</t>
  </si>
  <si>
    <t>AP1G1</t>
  </si>
  <si>
    <t>STX6</t>
  </si>
  <si>
    <t>SGTA</t>
  </si>
  <si>
    <t>LIAS</t>
  </si>
  <si>
    <t>ENSA</t>
  </si>
  <si>
    <t>MYO1B</t>
  </si>
  <si>
    <t>SSNA1</t>
  </si>
  <si>
    <t>NUDT21</t>
  </si>
  <si>
    <t>LANCL1</t>
  </si>
  <si>
    <t>STRN</t>
  </si>
  <si>
    <t>RRP9</t>
  </si>
  <si>
    <t>HYAL3</t>
  </si>
  <si>
    <t>AKAP8</t>
  </si>
  <si>
    <t>ZBTB14</t>
  </si>
  <si>
    <t>IDH3B</t>
  </si>
  <si>
    <t>NRD1</t>
  </si>
  <si>
    <t>CALU</t>
  </si>
  <si>
    <t>AHCYL1</t>
  </si>
  <si>
    <t>KIF1C</t>
  </si>
  <si>
    <t>ORC5</t>
  </si>
  <si>
    <t>PDE6D</t>
  </si>
  <si>
    <t>ORC4</t>
  </si>
  <si>
    <t>RAD21</t>
  </si>
  <si>
    <t>AKR1B10</t>
  </si>
  <si>
    <t>TIMM8A</t>
  </si>
  <si>
    <t>DHX16</t>
  </si>
  <si>
    <t>SH3BP5</t>
  </si>
  <si>
    <t>PRPSAP2</t>
  </si>
  <si>
    <t>SMARCA5</t>
  </si>
  <si>
    <t>GPRIN2</t>
  </si>
  <si>
    <t>SPAG9</t>
  </si>
  <si>
    <t>ZNF292</t>
  </si>
  <si>
    <t>MGRN1</t>
  </si>
  <si>
    <t>SIPA1L3</t>
  </si>
  <si>
    <t>LCMT2</t>
  </si>
  <si>
    <t>KIAA0556</t>
  </si>
  <si>
    <t>AQR</t>
  </si>
  <si>
    <t>MCM3AP</t>
  </si>
  <si>
    <t>KIF1B</t>
  </si>
  <si>
    <t>KDM1A</t>
  </si>
  <si>
    <t>TBC1D4</t>
  </si>
  <si>
    <t>ECE2</t>
  </si>
  <si>
    <t>PHLPP1</t>
  </si>
  <si>
    <t>TBC1D12</t>
  </si>
  <si>
    <t>FZD6</t>
  </si>
  <si>
    <t>NME2P1</t>
  </si>
  <si>
    <t>DFNA5</t>
  </si>
  <si>
    <t>EVI5</t>
  </si>
  <si>
    <t>NRP2</t>
  </si>
  <si>
    <t>ACSL4</t>
  </si>
  <si>
    <t>SNX3</t>
  </si>
  <si>
    <t>MGEA5</t>
  </si>
  <si>
    <t>SORBS3</t>
  </si>
  <si>
    <t>SYNCRIP</t>
  </si>
  <si>
    <t>RANBP6</t>
  </si>
  <si>
    <t>NEMF</t>
  </si>
  <si>
    <t>GMDS</t>
  </si>
  <si>
    <t>NMT2</t>
  </si>
  <si>
    <t>CCNT1</t>
  </si>
  <si>
    <t>BUB1B</t>
  </si>
  <si>
    <t>PLOD3</t>
  </si>
  <si>
    <t>SEP15</t>
  </si>
  <si>
    <t>EXOC3</t>
  </si>
  <si>
    <t>PLIN3</t>
  </si>
  <si>
    <t>RAD1</t>
  </si>
  <si>
    <t>PRMT3</t>
  </si>
  <si>
    <t>UGDH</t>
  </si>
  <si>
    <t>CTNND1</t>
  </si>
  <si>
    <t>USO1</t>
  </si>
  <si>
    <t>MRPS14</t>
  </si>
  <si>
    <t>CCDC22</t>
  </si>
  <si>
    <t>PQBP1</t>
  </si>
  <si>
    <t>DKC1</t>
  </si>
  <si>
    <t>EIF5B</t>
  </si>
  <si>
    <t>EDF1</t>
  </si>
  <si>
    <t>DNAJA2</t>
  </si>
  <si>
    <t>BRD4</t>
  </si>
  <si>
    <t>CUTA</t>
  </si>
  <si>
    <t>TBL1X</t>
  </si>
  <si>
    <t>HUS1</t>
  </si>
  <si>
    <t>PFDN1</t>
  </si>
  <si>
    <t>PPP1R11</t>
  </si>
  <si>
    <t>NBN</t>
  </si>
  <si>
    <t>RNGTT</t>
  </si>
  <si>
    <t>MITF</t>
  </si>
  <si>
    <t>SRGAP2</t>
  </si>
  <si>
    <t>DENND4B</t>
  </si>
  <si>
    <t>WDR1</t>
  </si>
  <si>
    <t>SLIT3</t>
  </si>
  <si>
    <t>N4BP1</t>
  </si>
  <si>
    <t>ROCK2</t>
  </si>
  <si>
    <t>CPNE3</t>
  </si>
  <si>
    <t>ATG13</t>
  </si>
  <si>
    <t>HIP1R</t>
  </si>
  <si>
    <t>RNF40</t>
  </si>
  <si>
    <t>PHF2</t>
  </si>
  <si>
    <t>ZC3H11A</t>
  </si>
  <si>
    <t>TSC22D2</t>
  </si>
  <si>
    <t>KDM4A</t>
  </si>
  <si>
    <t>DNAJC13</t>
  </si>
  <si>
    <t>PPP6R2</t>
  </si>
  <si>
    <t>CNOT3</t>
  </si>
  <si>
    <t>ANKRD17</t>
  </si>
  <si>
    <t>DNAJB6</t>
  </si>
  <si>
    <t>XYLB</t>
  </si>
  <si>
    <t>COQ9</t>
  </si>
  <si>
    <t>GGCT</t>
  </si>
  <si>
    <t>ZNF259</t>
  </si>
  <si>
    <t>GBAS</t>
  </si>
  <si>
    <t>HMMR</t>
  </si>
  <si>
    <t>PDCD6</t>
  </si>
  <si>
    <t>TBCA</t>
  </si>
  <si>
    <t>ATP6V1G1</t>
  </si>
  <si>
    <t>VPS4B</t>
  </si>
  <si>
    <t>ZNF217</t>
  </si>
  <si>
    <t>H2AFY</t>
  </si>
  <si>
    <t>SH3BGRL</t>
  </si>
  <si>
    <t>FLNB</t>
  </si>
  <si>
    <t>NDUFS6</t>
  </si>
  <si>
    <t>ULK1</t>
  </si>
  <si>
    <t>SEC22B</t>
  </si>
  <si>
    <t>PRPF40A</t>
  </si>
  <si>
    <t>TACC1</t>
  </si>
  <si>
    <t>CDC45</t>
  </si>
  <si>
    <t>GIGYF1</t>
  </si>
  <si>
    <t>VPS26A</t>
  </si>
  <si>
    <t>PMPCB</t>
  </si>
  <si>
    <t>KATNA1</t>
  </si>
  <si>
    <t>PSIP1</t>
  </si>
  <si>
    <t>CLN5</t>
  </si>
  <si>
    <t>HSBP1</t>
  </si>
  <si>
    <t>ECI2</t>
  </si>
  <si>
    <t>EED</t>
  </si>
  <si>
    <t>BANF1</t>
  </si>
  <si>
    <t>SF3B1</t>
  </si>
  <si>
    <t>CSDE1</t>
  </si>
  <si>
    <t>WBP4</t>
  </si>
  <si>
    <t>RPS6KA5</t>
  </si>
  <si>
    <t>NPM3</t>
  </si>
  <si>
    <t>LYPLA1</t>
  </si>
  <si>
    <t>CREG1</t>
  </si>
  <si>
    <t>SNRNP200</t>
  </si>
  <si>
    <t>TIPRL</t>
  </si>
  <si>
    <t>SURF6</t>
  </si>
  <si>
    <t>PPM1B</t>
  </si>
  <si>
    <t>UTP20</t>
  </si>
  <si>
    <t>WDHD1</t>
  </si>
  <si>
    <t>RAD51D</t>
  </si>
  <si>
    <t>PALM</t>
  </si>
  <si>
    <t>RNASEH2A</t>
  </si>
  <si>
    <t>CDC123</t>
  </si>
  <si>
    <t>SOLH</t>
  </si>
  <si>
    <t>BCAR3</t>
  </si>
  <si>
    <t>RPP40</t>
  </si>
  <si>
    <t>EIF3G</t>
  </si>
  <si>
    <t>EIF3J</t>
  </si>
  <si>
    <t>CBR3</t>
  </si>
  <si>
    <t>AP1G2</t>
  </si>
  <si>
    <t>TRAPPC6A</t>
  </si>
  <si>
    <t>IDH1</t>
  </si>
  <si>
    <t>ATRN</t>
  </si>
  <si>
    <t>RBBP9</t>
  </si>
  <si>
    <t>STAM2</t>
  </si>
  <si>
    <t>TUSC2</t>
  </si>
  <si>
    <t>CCNK</t>
  </si>
  <si>
    <t>ARL6IP5</t>
  </si>
  <si>
    <t>PIAS2</t>
  </si>
  <si>
    <t>BCAS2</t>
  </si>
  <si>
    <t>DCTN3</t>
  </si>
  <si>
    <t>DNAJC8</t>
  </si>
  <si>
    <t>SMNDC1</t>
  </si>
  <si>
    <t>TRIO</t>
  </si>
  <si>
    <t>MPDZ</t>
  </si>
  <si>
    <t>GLRX3</t>
  </si>
  <si>
    <t>RSL1D1</t>
  </si>
  <si>
    <t>WFS1</t>
  </si>
  <si>
    <t>CLPX</t>
  </si>
  <si>
    <t>NEBL</t>
  </si>
  <si>
    <t>SEC14L2</t>
  </si>
  <si>
    <t>SNCG</t>
  </si>
  <si>
    <t>CIAO1</t>
  </si>
  <si>
    <t>DFFB</t>
  </si>
  <si>
    <t>ZFAND5</t>
  </si>
  <si>
    <t>RGS20</t>
  </si>
  <si>
    <t>SRP72</t>
  </si>
  <si>
    <t>DOM3Z</t>
  </si>
  <si>
    <t>DDAH1</t>
  </si>
  <si>
    <t>RECQL4</t>
  </si>
  <si>
    <t>URI1</t>
  </si>
  <si>
    <t>MTA2</t>
  </si>
  <si>
    <t>USP1</t>
  </si>
  <si>
    <t>ALDH1A2</t>
  </si>
  <si>
    <t>STK10</t>
  </si>
  <si>
    <t>PRKD3</t>
  </si>
  <si>
    <t>GFPT2</t>
  </si>
  <si>
    <t>TPPP</t>
  </si>
  <si>
    <t>ATG12</t>
  </si>
  <si>
    <t>KBTBD11</t>
  </si>
  <si>
    <t>LTN1</t>
  </si>
  <si>
    <t>TOMM70A</t>
  </si>
  <si>
    <t>IPO13</t>
  </si>
  <si>
    <t>DDHD2</t>
  </si>
  <si>
    <t>MICAL2</t>
  </si>
  <si>
    <t>KIAA0754</t>
  </si>
  <si>
    <t>SEC24D</t>
  </si>
  <si>
    <t>SUPT7L</t>
  </si>
  <si>
    <t>FCHSD2</t>
  </si>
  <si>
    <t>UFL1</t>
  </si>
  <si>
    <t>PHF14</t>
  </si>
  <si>
    <t>SASH1</t>
  </si>
  <si>
    <t>FARP2</t>
  </si>
  <si>
    <t>UBXN7</t>
  </si>
  <si>
    <t>KLHL18</t>
  </si>
  <si>
    <t>PROSC</t>
  </si>
  <si>
    <t>PRPF6</t>
  </si>
  <si>
    <t>DKK1</t>
  </si>
  <si>
    <t>PCF11</t>
  </si>
  <si>
    <t>NFAT5</t>
  </si>
  <si>
    <t>GLS</t>
  </si>
  <si>
    <t>HAUS5</t>
  </si>
  <si>
    <t>UBOX5</t>
  </si>
  <si>
    <t>FBXO21</t>
  </si>
  <si>
    <t>SOGA1</t>
  </si>
  <si>
    <t>USP19</t>
  </si>
  <si>
    <t>WDR47</t>
  </si>
  <si>
    <t>TRIM37</t>
  </si>
  <si>
    <t>AP2A2</t>
  </si>
  <si>
    <t>HEXIM1</t>
  </si>
  <si>
    <t>RPP14</t>
  </si>
  <si>
    <t>CCNB2</t>
  </si>
  <si>
    <t>AGFG2</t>
  </si>
  <si>
    <t>SCAF4</t>
  </si>
  <si>
    <t>SNUPN</t>
  </si>
  <si>
    <t>UBE4B</t>
  </si>
  <si>
    <t>IKBKAP</t>
  </si>
  <si>
    <t>RTN3</t>
  </si>
  <si>
    <t>LETM1</t>
  </si>
  <si>
    <t>MBLL</t>
  </si>
  <si>
    <t>ZRANB2</t>
  </si>
  <si>
    <t>SNX4</t>
  </si>
  <si>
    <t>VENTX</t>
  </si>
  <si>
    <t>LUC7L3</t>
  </si>
  <si>
    <t>KIF20A</t>
  </si>
  <si>
    <t>KIF4A</t>
  </si>
  <si>
    <t>MBD4</t>
  </si>
  <si>
    <t>SBF1</t>
  </si>
  <si>
    <t>GOSR1</t>
  </si>
  <si>
    <t>KAT7</t>
  </si>
  <si>
    <t>CCNDBP1</t>
  </si>
  <si>
    <t>VAPB</t>
  </si>
  <si>
    <t>SNAPIN</t>
  </si>
  <si>
    <t>MPZL1</t>
  </si>
  <si>
    <t>FKBP9</t>
  </si>
  <si>
    <t>PGLS</t>
  </si>
  <si>
    <t>PAPSS2</t>
  </si>
  <si>
    <t>SMC2</t>
  </si>
  <si>
    <t>ATG7</t>
  </si>
  <si>
    <t>TRIM16</t>
  </si>
  <si>
    <t>ZBTB7A</t>
  </si>
  <si>
    <t>LYPLA2</t>
  </si>
  <si>
    <t>IPO7</t>
  </si>
  <si>
    <t>ARIH2</t>
  </si>
  <si>
    <t>TNFAIP8</t>
  </si>
  <si>
    <t>SLU7</t>
  </si>
  <si>
    <t>PGM3</t>
  </si>
  <si>
    <t>MOCS3</t>
  </si>
  <si>
    <t>UTS2</t>
  </si>
  <si>
    <t>CD2BP2</t>
  </si>
  <si>
    <t>MED26</t>
  </si>
  <si>
    <t>ZFYVE9</t>
  </si>
  <si>
    <t>SVIL</t>
  </si>
  <si>
    <t>BAG4</t>
  </si>
  <si>
    <t>AHSA1</t>
  </si>
  <si>
    <t>PARN</t>
  </si>
  <si>
    <t>PSMG1</t>
  </si>
  <si>
    <t>FMNL1</t>
  </si>
  <si>
    <t>H6PD</t>
  </si>
  <si>
    <t>SEC24A</t>
  </si>
  <si>
    <t>SEC24B</t>
  </si>
  <si>
    <t>NADK</t>
  </si>
  <si>
    <t>TDP2</t>
  </si>
  <si>
    <t>METTL18</t>
  </si>
  <si>
    <t>ETHE1</t>
  </si>
  <si>
    <t>POLR1A</t>
  </si>
  <si>
    <t>DUS4L</t>
  </si>
  <si>
    <t>CNOT4</t>
  </si>
  <si>
    <t>STAMBP</t>
  </si>
  <si>
    <t>ASMTL</t>
  </si>
  <si>
    <t>FGFR1OP</t>
  </si>
  <si>
    <t>PPP1R3D</t>
  </si>
  <si>
    <t>POP4</t>
  </si>
  <si>
    <t>HERC2</t>
  </si>
  <si>
    <t>RAB3D</t>
  </si>
  <si>
    <t>SNAP29</t>
  </si>
  <si>
    <t>OXSR1</t>
  </si>
  <si>
    <t>GGPS1</t>
  </si>
  <si>
    <t>HSPA4L</t>
  </si>
  <si>
    <t>PTBP3</t>
  </si>
  <si>
    <t>TBC1D8</t>
  </si>
  <si>
    <t>NAA38</t>
  </si>
  <si>
    <t>AP2A1</t>
  </si>
  <si>
    <t>DDX58</t>
  </si>
  <si>
    <t>TTC4</t>
  </si>
  <si>
    <t>SDPR</t>
  </si>
  <si>
    <t>BAG2</t>
  </si>
  <si>
    <t>CRYZL1</t>
  </si>
  <si>
    <t>AIFM1</t>
  </si>
  <si>
    <t>CLIC3</t>
  </si>
  <si>
    <t>EML2</t>
  </si>
  <si>
    <t>LATS1</t>
  </si>
  <si>
    <t>NUDT14</t>
  </si>
  <si>
    <t>BPNT1</t>
  </si>
  <si>
    <t>DDAH2</t>
  </si>
  <si>
    <t>TXNDC12</t>
  </si>
  <si>
    <t>ECD</t>
  </si>
  <si>
    <t>SYF2</t>
  </si>
  <si>
    <t>TOP3B</t>
  </si>
  <si>
    <t>NUDT3</t>
  </si>
  <si>
    <t>AGR2</t>
  </si>
  <si>
    <t>PTTG1</t>
  </si>
  <si>
    <t>BCL10</t>
  </si>
  <si>
    <t>ZBED1</t>
  </si>
  <si>
    <t>MOCS2</t>
  </si>
  <si>
    <t>PAK4</t>
  </si>
  <si>
    <t>CHEK2</t>
  </si>
  <si>
    <t>ACTL6A</t>
  </si>
  <si>
    <t>WHSC1</t>
  </si>
  <si>
    <t>ADH1B</t>
  </si>
  <si>
    <t>LDHA</t>
  </si>
  <si>
    <t>ALDH1A1</t>
  </si>
  <si>
    <t>DHFR</t>
  </si>
  <si>
    <t>CYB5R3</t>
  </si>
  <si>
    <t>CP</t>
  </si>
  <si>
    <t>PNP</t>
  </si>
  <si>
    <t>HPRT1</t>
  </si>
  <si>
    <t>GOT2</t>
  </si>
  <si>
    <t>ABL1</t>
  </si>
  <si>
    <t>EGFR</t>
  </si>
  <si>
    <t>PGK1</t>
  </si>
  <si>
    <t>AK1</t>
  </si>
  <si>
    <t>ADA</t>
  </si>
  <si>
    <t>ASS1</t>
  </si>
  <si>
    <t>SERPINA1</t>
  </si>
  <si>
    <t>A2M</t>
  </si>
  <si>
    <t>C3</t>
  </si>
  <si>
    <t>CST3</t>
  </si>
  <si>
    <t>KNG1</t>
  </si>
  <si>
    <t>NRAS</t>
  </si>
  <si>
    <t>KRAS</t>
  </si>
  <si>
    <t>LDLR</t>
  </si>
  <si>
    <t>TGFB1</t>
  </si>
  <si>
    <t>IGHG2</t>
  </si>
  <si>
    <t>COL1A1</t>
  </si>
  <si>
    <t>COL4A1</t>
  </si>
  <si>
    <t>LMNA</t>
  </si>
  <si>
    <t>APOA1</t>
  </si>
  <si>
    <t>APOC3</t>
  </si>
  <si>
    <t>FN1</t>
  </si>
  <si>
    <t>ORM1</t>
  </si>
  <si>
    <t>AHSG</t>
  </si>
  <si>
    <t>AFP</t>
  </si>
  <si>
    <t>GC</t>
  </si>
  <si>
    <t>TFRC</t>
  </si>
  <si>
    <t>HPX</t>
  </si>
  <si>
    <t>FTH1</t>
  </si>
  <si>
    <t>MT2A</t>
  </si>
  <si>
    <t>FUCA1</t>
  </si>
  <si>
    <t>CSTB</t>
  </si>
  <si>
    <t>ANXA1</t>
  </si>
  <si>
    <t>APOB</t>
  </si>
  <si>
    <t>NR3C1</t>
  </si>
  <si>
    <t>PRNP</t>
  </si>
  <si>
    <t>OAT</t>
  </si>
  <si>
    <t>KRT6B</t>
  </si>
  <si>
    <t>KRT1</t>
  </si>
  <si>
    <t>GAPDH</t>
  </si>
  <si>
    <t>ASL</t>
  </si>
  <si>
    <t>ERBB2</t>
  </si>
  <si>
    <t>CAPNS1</t>
  </si>
  <si>
    <t>MT1A</t>
  </si>
  <si>
    <t>MT1F</t>
  </si>
  <si>
    <t>HSPB1</t>
  </si>
  <si>
    <t>TYMS</t>
  </si>
  <si>
    <t>GNAI2</t>
  </si>
  <si>
    <t>SLC4A2</t>
  </si>
  <si>
    <t>ALDH2</t>
  </si>
  <si>
    <t>HMGN1</t>
  </si>
  <si>
    <t>SERPINE1</t>
  </si>
  <si>
    <t>ISG15</t>
  </si>
  <si>
    <t>PCCA</t>
  </si>
  <si>
    <t>EIF2S1</t>
  </si>
  <si>
    <t>HMGN2</t>
  </si>
  <si>
    <t>RPLP1</t>
  </si>
  <si>
    <t>RPLP2</t>
  </si>
  <si>
    <t>RPLP0</t>
  </si>
  <si>
    <t>JUN</t>
  </si>
  <si>
    <t>POLR3D</t>
  </si>
  <si>
    <t>SSB</t>
  </si>
  <si>
    <t>ITGB1</t>
  </si>
  <si>
    <t>KRT18</t>
  </si>
  <si>
    <t>KRT8</t>
  </si>
  <si>
    <t>CSN2</t>
  </si>
  <si>
    <t>MYL1</t>
  </si>
  <si>
    <t>COL5A2</t>
  </si>
  <si>
    <t>UROD</t>
  </si>
  <si>
    <t>GLA</t>
  </si>
  <si>
    <t>RB1</t>
  </si>
  <si>
    <t>CDK1</t>
  </si>
  <si>
    <t>ATP5B</t>
  </si>
  <si>
    <t>EIF4E</t>
  </si>
  <si>
    <t>ENO1</t>
  </si>
  <si>
    <t>PYGL</t>
  </si>
  <si>
    <t>GPI</t>
  </si>
  <si>
    <t>NPM1</t>
  </si>
  <si>
    <t>TPM3</t>
  </si>
  <si>
    <t>ITGAV</t>
  </si>
  <si>
    <t>HEXA</t>
  </si>
  <si>
    <t>SERPINE2</t>
  </si>
  <si>
    <t>DBI</t>
  </si>
  <si>
    <t>FABP1</t>
  </si>
  <si>
    <t>CENPB</t>
  </si>
  <si>
    <t>GPX1</t>
  </si>
  <si>
    <t>THBD</t>
  </si>
  <si>
    <t>PGK2</t>
  </si>
  <si>
    <t>P4HB</t>
  </si>
  <si>
    <t>H1F0</t>
  </si>
  <si>
    <t>ACYP1</t>
  </si>
  <si>
    <t>CAPN1</t>
  </si>
  <si>
    <t>CSN3</t>
  </si>
  <si>
    <t>PSAP</t>
  </si>
  <si>
    <t>HEXB</t>
  </si>
  <si>
    <t>CTSL1</t>
  </si>
  <si>
    <t>PFN1</t>
  </si>
  <si>
    <t>BPGM</t>
  </si>
  <si>
    <t>APRT</t>
  </si>
  <si>
    <t>EPRS</t>
  </si>
  <si>
    <t>CTSB</t>
  </si>
  <si>
    <t>HSP90AA1</t>
  </si>
  <si>
    <t>GALT</t>
  </si>
  <si>
    <t>UQCRH</t>
  </si>
  <si>
    <t>LAMB1</t>
  </si>
  <si>
    <t>YES1</t>
  </si>
  <si>
    <t>TPM2</t>
  </si>
  <si>
    <t>FH</t>
  </si>
  <si>
    <t>ERCC1</t>
  </si>
  <si>
    <t>THBS1</t>
  </si>
  <si>
    <t>SP1</t>
  </si>
  <si>
    <t>HSPA1A</t>
  </si>
  <si>
    <t>ANXA6</t>
  </si>
  <si>
    <t>SLC3A2</t>
  </si>
  <si>
    <t>PFKM</t>
  </si>
  <si>
    <t>HSP90AB1</t>
  </si>
  <si>
    <t>SRPR</t>
  </si>
  <si>
    <t>ASNS</t>
  </si>
  <si>
    <t>HMBS</t>
  </si>
  <si>
    <t>PDHA1</t>
  </si>
  <si>
    <t>COL4A2</t>
  </si>
  <si>
    <t>SNRPB2</t>
  </si>
  <si>
    <t>MET</t>
  </si>
  <si>
    <t>MFI2</t>
  </si>
  <si>
    <t>SNRNP70</t>
  </si>
  <si>
    <t>NFIC</t>
  </si>
  <si>
    <t>VIM</t>
  </si>
  <si>
    <t>KRT19</t>
  </si>
  <si>
    <t>KRT7</t>
  </si>
  <si>
    <t>GNAI3</t>
  </si>
  <si>
    <t>KRT16</t>
  </si>
  <si>
    <t>SNRPA</t>
  </si>
  <si>
    <t>FGF2</t>
  </si>
  <si>
    <t>ACAA1</t>
  </si>
  <si>
    <t>SRP19</t>
  </si>
  <si>
    <t>SNRPC</t>
  </si>
  <si>
    <t>LGALS1</t>
  </si>
  <si>
    <t>QDPR</t>
  </si>
  <si>
    <t>HMGB1</t>
  </si>
  <si>
    <t>RBP1</t>
  </si>
  <si>
    <t>CLTA</t>
  </si>
  <si>
    <t>CLTB</t>
  </si>
  <si>
    <t>CNP</t>
  </si>
  <si>
    <t>HMOX1</t>
  </si>
  <si>
    <t>DLD</t>
  </si>
  <si>
    <t>SNRPA1</t>
  </si>
  <si>
    <t>CTSH</t>
  </si>
  <si>
    <t>PARP1</t>
  </si>
  <si>
    <t>POLA1</t>
  </si>
  <si>
    <t>UCHL1</t>
  </si>
  <si>
    <t>LTA4H</t>
  </si>
  <si>
    <t>ALDOC</t>
  </si>
  <si>
    <t>ATXN1L</t>
  </si>
  <si>
    <t>POLR2M</t>
  </si>
  <si>
    <t>CHTF8</t>
  </si>
  <si>
    <t>TMSB15B</t>
  </si>
  <si>
    <t>RPS17L</t>
  </si>
  <si>
    <t>TRAPPC2P1</t>
  </si>
  <si>
    <t>RAB34</t>
  </si>
  <si>
    <t>GLI2</t>
  </si>
  <si>
    <t>GLI4</t>
  </si>
  <si>
    <t>FDX1</t>
  </si>
  <si>
    <t>TROVE2</t>
  </si>
  <si>
    <t>GAA</t>
  </si>
  <si>
    <t>RRAS</t>
  </si>
  <si>
    <t>ARAF</t>
  </si>
  <si>
    <t>HIST1H1E</t>
  </si>
  <si>
    <t>SPP1</t>
  </si>
  <si>
    <t>DLAT</t>
  </si>
  <si>
    <t>PTPRF</t>
  </si>
  <si>
    <t>COX5B</t>
  </si>
  <si>
    <t>CTSA</t>
  </si>
  <si>
    <t>PRKAR1A</t>
  </si>
  <si>
    <t>UROS</t>
  </si>
  <si>
    <t>ESD</t>
  </si>
  <si>
    <t>HSPD1</t>
  </si>
  <si>
    <t>CLU</t>
  </si>
  <si>
    <t>HSPA5</t>
  </si>
  <si>
    <t>LAMC1</t>
  </si>
  <si>
    <t>ACP2</t>
  </si>
  <si>
    <t>MAP2</t>
  </si>
  <si>
    <t>HSPA8</t>
  </si>
  <si>
    <t>EPB41</t>
  </si>
  <si>
    <t>UMPS</t>
  </si>
  <si>
    <t>PDHB</t>
  </si>
  <si>
    <t>DBT</t>
  </si>
  <si>
    <t>PYGB</t>
  </si>
  <si>
    <t>RALA</t>
  </si>
  <si>
    <t>BCR</t>
  </si>
  <si>
    <t>LAMP1</t>
  </si>
  <si>
    <t>ACADM</t>
  </si>
  <si>
    <t>TOP1</t>
  </si>
  <si>
    <t>TOP2A</t>
  </si>
  <si>
    <t>UBL4A</t>
  </si>
  <si>
    <t>PC</t>
  </si>
  <si>
    <t>MTHFD1</t>
  </si>
  <si>
    <t>IGF2R</t>
  </si>
  <si>
    <t>ADH5</t>
  </si>
  <si>
    <t>CDK4</t>
  </si>
  <si>
    <t>PRPS2</t>
  </si>
  <si>
    <t>ODC1</t>
  </si>
  <si>
    <t>PABPC1</t>
  </si>
  <si>
    <t>PCNA</t>
  </si>
  <si>
    <t>COL6A1</t>
  </si>
  <si>
    <t>TPR</t>
  </si>
  <si>
    <t>CKB</t>
  </si>
  <si>
    <t>ANXA3</t>
  </si>
  <si>
    <t>CKMT1A</t>
  </si>
  <si>
    <t>BCKDHA</t>
  </si>
  <si>
    <t>ACTN1</t>
  </si>
  <si>
    <t>SRC</t>
  </si>
  <si>
    <t>XRCC6</t>
  </si>
  <si>
    <t>XRCC5</t>
  </si>
  <si>
    <t>UNG</t>
  </si>
  <si>
    <t>NR2C1</t>
  </si>
  <si>
    <t>RNH1</t>
  </si>
  <si>
    <t>CYBA</t>
  </si>
  <si>
    <t>EEF2</t>
  </si>
  <si>
    <t>KRT5</t>
  </si>
  <si>
    <t>PDIA4</t>
  </si>
  <si>
    <t>P4HA1</t>
  </si>
  <si>
    <t>TPT1</t>
  </si>
  <si>
    <t>PLS3</t>
  </si>
  <si>
    <t>APEH</t>
  </si>
  <si>
    <t>ETFA</t>
  </si>
  <si>
    <t>GYS1</t>
  </si>
  <si>
    <t>PRKAR2A</t>
  </si>
  <si>
    <t>ANXA8</t>
  </si>
  <si>
    <t>ENO3</t>
  </si>
  <si>
    <t>GTF2F2</t>
  </si>
  <si>
    <t>MTHFD2</t>
  </si>
  <si>
    <t>MIF</t>
  </si>
  <si>
    <t>PRKCSH</t>
  </si>
  <si>
    <t>FDPS</t>
  </si>
  <si>
    <t>AKR1A1</t>
  </si>
  <si>
    <t>ACYP2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</si>
  <si>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</si>
  <si>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</si>
  <si>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</si>
  <si>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</si>
  <si>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</si>
  <si>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</si>
  <si>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</si>
  <si>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</si>
  <si>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UQCRB</t>
  </si>
  <si>
    <t>BRAF</t>
  </si>
  <si>
    <t>AKR1B1</t>
  </si>
  <si>
    <t>PVR</t>
  </si>
  <si>
    <t>GSPT1</t>
  </si>
  <si>
    <t>IL9</t>
  </si>
  <si>
    <t>ARSA</t>
  </si>
  <si>
    <t>EZR</t>
  </si>
  <si>
    <t>UCHL3</t>
  </si>
  <si>
    <t>HPGD</t>
  </si>
  <si>
    <t>CD46</t>
  </si>
  <si>
    <t>NME1</t>
  </si>
  <si>
    <t>PHKG2</t>
  </si>
  <si>
    <t>HIVEP1</t>
  </si>
  <si>
    <t>ARSB</t>
  </si>
  <si>
    <t>RPS2</t>
  </si>
  <si>
    <t>CHN1</t>
  </si>
  <si>
    <t>DSP</t>
  </si>
  <si>
    <t>RPA2</t>
  </si>
  <si>
    <t>CD44</t>
  </si>
  <si>
    <t>ITGB4</t>
  </si>
  <si>
    <t>CBR1</t>
  </si>
  <si>
    <t>ANK1</t>
  </si>
  <si>
    <t>CREB1</t>
  </si>
  <si>
    <t>GLB1</t>
  </si>
  <si>
    <t>PPP3CB</t>
  </si>
  <si>
    <t>NCK1</t>
  </si>
  <si>
    <t>GCFC2</t>
  </si>
  <si>
    <t>HIST1H1B</t>
  </si>
  <si>
    <t>HIST1H1C</t>
  </si>
  <si>
    <t>MGMT</t>
  </si>
  <si>
    <t>PLCG2</t>
  </si>
  <si>
    <t>FAH</t>
  </si>
  <si>
    <t>STMN1</t>
  </si>
  <si>
    <t>YBX3</t>
  </si>
  <si>
    <t>ZNF24</t>
  </si>
  <si>
    <t>ZKSCAN1</t>
  </si>
  <si>
    <t>ZNF30</t>
  </si>
  <si>
    <t>NAGA</t>
  </si>
  <si>
    <t>HSPA6</t>
  </si>
  <si>
    <t>HMGA1</t>
  </si>
  <si>
    <t>ZNF8</t>
  </si>
  <si>
    <t>GOT1</t>
  </si>
  <si>
    <t>PRKCA</t>
  </si>
  <si>
    <t>JUNB</t>
  </si>
  <si>
    <t>GJA1</t>
  </si>
  <si>
    <t>UBTF</t>
  </si>
  <si>
    <t>AKR1C4</t>
  </si>
  <si>
    <t>JUND</t>
  </si>
  <si>
    <t>ATF7</t>
  </si>
  <si>
    <t>PRKACA</t>
  </si>
  <si>
    <t>CAPN2</t>
  </si>
  <si>
    <t>PTPN2</t>
  </si>
  <si>
    <t>AMD1</t>
  </si>
  <si>
    <t>CTPS1</t>
  </si>
  <si>
    <t>PFKL</t>
  </si>
  <si>
    <t>GM2A</t>
  </si>
  <si>
    <t>LGALS3</t>
  </si>
  <si>
    <t>TCP1</t>
  </si>
  <si>
    <t>PTPN1</t>
  </si>
  <si>
    <t>IGFBP2</t>
  </si>
  <si>
    <t>RPL35A</t>
  </si>
  <si>
    <t>ITGB5</t>
  </si>
  <si>
    <t>ARF4</t>
  </si>
  <si>
    <t>RPL7</t>
  </si>
  <si>
    <t>VCL</t>
  </si>
  <si>
    <t>GPX2</t>
  </si>
  <si>
    <t>NAT1</t>
  </si>
  <si>
    <t>SON</t>
  </si>
  <si>
    <t>NELFE</t>
  </si>
  <si>
    <t>PGAM1</t>
  </si>
  <si>
    <t>SDC1</t>
  </si>
  <si>
    <t>ATF1</t>
  </si>
  <si>
    <t>XRCC1</t>
  </si>
  <si>
    <t>MYL12A</t>
  </si>
  <si>
    <t>PLCG1</t>
  </si>
  <si>
    <t>NCL</t>
  </si>
  <si>
    <t>HK1</t>
  </si>
  <si>
    <t>POLR2C</t>
  </si>
  <si>
    <t>POLR2E</t>
  </si>
  <si>
    <t>NDUFV2</t>
  </si>
  <si>
    <t>ELK1</t>
  </si>
  <si>
    <t>GGT1</t>
  </si>
  <si>
    <t>ERCC3</t>
  </si>
  <si>
    <t>EIF2AK2</t>
  </si>
  <si>
    <t>TFE3</t>
  </si>
  <si>
    <t>SRM</t>
  </si>
  <si>
    <t>CSNK2A2</t>
  </si>
  <si>
    <t>CEL</t>
  </si>
  <si>
    <t>NFKB1</t>
  </si>
  <si>
    <t>TYMP</t>
  </si>
  <si>
    <t>EIF2S2</t>
  </si>
  <si>
    <t>CCNA2</t>
  </si>
  <si>
    <t>BTF3</t>
  </si>
  <si>
    <t>RAB3B</t>
  </si>
  <si>
    <t>RAB4A</t>
  </si>
  <si>
    <t>RAB6A</t>
  </si>
  <si>
    <t>MSH3</t>
  </si>
  <si>
    <t>PSMB1</t>
  </si>
  <si>
    <t>COX5A</t>
  </si>
  <si>
    <t>LMNB1</t>
  </si>
  <si>
    <t>PZP</t>
  </si>
  <si>
    <t>BCL3</t>
  </si>
  <si>
    <t>CAST</t>
  </si>
  <si>
    <t>IMPDH1</t>
  </si>
  <si>
    <t>COL5A1</t>
  </si>
  <si>
    <t>RASA1</t>
  </si>
  <si>
    <t>PTMS</t>
  </si>
  <si>
    <t>CDK11B</t>
  </si>
  <si>
    <t>GSTM3</t>
  </si>
  <si>
    <t>ATP6V1B2</t>
  </si>
  <si>
    <t>ATP6V1C1</t>
  </si>
  <si>
    <t>CSRP1</t>
  </si>
  <si>
    <t>FLNA</t>
  </si>
  <si>
    <t>NF1</t>
  </si>
  <si>
    <t>ACO1</t>
  </si>
  <si>
    <t>AGXT</t>
  </si>
  <si>
    <t>TNFAIP3</t>
  </si>
  <si>
    <t>BCKDHB</t>
  </si>
  <si>
    <t>COMT</t>
  </si>
  <si>
    <t>TGM2</t>
  </si>
  <si>
    <t>MUT</t>
  </si>
  <si>
    <t>OSBP</t>
  </si>
  <si>
    <t>PCMT1</t>
  </si>
  <si>
    <t>FBL</t>
  </si>
  <si>
    <t>GART</t>
  </si>
  <si>
    <t>SCP2</t>
  </si>
  <si>
    <t>UBA1</t>
  </si>
  <si>
    <t>HNRNPA2B1</t>
  </si>
  <si>
    <t>RFX1</t>
  </si>
  <si>
    <t>CALB2</t>
  </si>
  <si>
    <t>CBL</t>
  </si>
  <si>
    <t>IGFBP4</t>
  </si>
  <si>
    <t>PRKACB</t>
  </si>
  <si>
    <t>FECH</t>
  </si>
  <si>
    <t>MRC1</t>
  </si>
  <si>
    <t>XPA</t>
  </si>
  <si>
    <t>CES1</t>
  </si>
  <si>
    <t>FBLN1</t>
  </si>
  <si>
    <t>TCEA1</t>
  </si>
  <si>
    <t>SFPQ</t>
  </si>
  <si>
    <t>TUBG1</t>
  </si>
  <si>
    <t>PPIB</t>
  </si>
  <si>
    <t>ME2</t>
  </si>
  <si>
    <t>GLDC</t>
  </si>
  <si>
    <t>WARS</t>
  </si>
  <si>
    <t>RPS3</t>
  </si>
  <si>
    <t>MYF6</t>
  </si>
  <si>
    <t>GCSH</t>
  </si>
  <si>
    <t>JAK1</t>
  </si>
  <si>
    <t>SP100</t>
  </si>
  <si>
    <t>NFYA</t>
  </si>
  <si>
    <t>AHCY</t>
  </si>
  <si>
    <t>CFL1</t>
  </si>
  <si>
    <t>EIF4B</t>
  </si>
  <si>
    <t>F8A1</t>
  </si>
  <si>
    <t>DGKA</t>
  </si>
  <si>
    <t>DTYMK</t>
  </si>
  <si>
    <t>RRM1</t>
  </si>
  <si>
    <t>CCND1</t>
  </si>
  <si>
    <t>EEF1B2</t>
  </si>
  <si>
    <t>AKAP5</t>
  </si>
  <si>
    <t>ACP1</t>
  </si>
  <si>
    <t>ACAT1</t>
  </si>
  <si>
    <t>MYL9</t>
  </si>
  <si>
    <t>POLR2A</t>
  </si>
  <si>
    <t>CDK2</t>
  </si>
  <si>
    <t>APC</t>
  </si>
  <si>
    <t>ADRBK1</t>
  </si>
  <si>
    <t>MCM3</t>
  </si>
  <si>
    <t>RPS12</t>
  </si>
  <si>
    <t>YY1</t>
  </si>
  <si>
    <t>DNAJB1</t>
  </si>
  <si>
    <t>DNAJB2</t>
  </si>
  <si>
    <t>ATP5A1</t>
  </si>
  <si>
    <t>CTSS</t>
  </si>
  <si>
    <t>PSMA1</t>
  </si>
  <si>
    <t>PSMA2</t>
  </si>
  <si>
    <t>PSMA3</t>
  </si>
  <si>
    <t>PSMA4</t>
  </si>
  <si>
    <t>S100P</t>
  </si>
  <si>
    <t>MSN</t>
  </si>
  <si>
    <t>PTPN3</t>
  </si>
  <si>
    <t>DDX6</t>
  </si>
  <si>
    <t>DNMT1</t>
  </si>
  <si>
    <t>U2AF2</t>
  </si>
  <si>
    <t>RPL13</t>
  </si>
  <si>
    <t>CHML</t>
  </si>
  <si>
    <t>IVD</t>
  </si>
  <si>
    <t>S100A4</t>
  </si>
  <si>
    <t>HMGB2</t>
  </si>
  <si>
    <t>TARS</t>
  </si>
  <si>
    <t>VARS</t>
  </si>
  <si>
    <t>EEF1G</t>
  </si>
  <si>
    <t>ZFP36</t>
  </si>
  <si>
    <t>FKBP2</t>
  </si>
  <si>
    <t>AK4</t>
  </si>
  <si>
    <t>YWHAQ</t>
  </si>
  <si>
    <t>MAPK3</t>
  </si>
  <si>
    <t>MARK3</t>
  </si>
  <si>
    <t>ARNT</t>
  </si>
  <si>
    <t>RPL10</t>
  </si>
  <si>
    <t>RPA1</t>
  </si>
  <si>
    <t>APEX1</t>
  </si>
  <si>
    <t>DCK</t>
  </si>
  <si>
    <t>CALR</t>
  </si>
  <si>
    <t>CANX</t>
  </si>
  <si>
    <t>PIK3R1</t>
  </si>
  <si>
    <t>ITPKB</t>
  </si>
  <si>
    <t>PSMB8</t>
  </si>
  <si>
    <t>PSMB9</t>
  </si>
  <si>
    <t>PSMA5</t>
  </si>
  <si>
    <t>PSMB4</t>
  </si>
  <si>
    <t>PSMB6</t>
  </si>
  <si>
    <t>PSMB5</t>
  </si>
  <si>
    <t>NDUFS1</t>
  </si>
  <si>
    <t>POLD1</t>
  </si>
  <si>
    <t>MAPK1</t>
  </si>
  <si>
    <t>DUSP1</t>
  </si>
  <si>
    <t>RXRB</t>
  </si>
  <si>
    <t>ERCC5</t>
  </si>
  <si>
    <t>RBL1</t>
  </si>
  <si>
    <t>GRN</t>
  </si>
  <si>
    <t>LAP3</t>
  </si>
  <si>
    <t>S100A2</t>
  </si>
  <si>
    <t>GTF2E1</t>
  </si>
  <si>
    <t>GTF2E2</t>
  </si>
  <si>
    <t>TPP2</t>
  </si>
  <si>
    <t>EPHB2</t>
  </si>
  <si>
    <t>PTPN6</t>
  </si>
  <si>
    <t>SHC1</t>
  </si>
  <si>
    <t>MPG</t>
  </si>
  <si>
    <t>CRABP2</t>
  </si>
  <si>
    <t>TKT</t>
  </si>
  <si>
    <t>PML</t>
  </si>
  <si>
    <t>EEF1D</t>
  </si>
  <si>
    <t>MARCKS</t>
  </si>
  <si>
    <t>ALDH4A1</t>
  </si>
  <si>
    <t>PBLD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</si>
  <si>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</si>
  <si>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</si>
  <si>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</si>
  <si>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</si>
  <si>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</si>
  <si>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</si>
  <si>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</si>
  <si>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</si>
  <si>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</si>
  <si>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</si>
  <si>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</si>
  <si>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</si>
  <si>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</si>
  <si>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CDC27</t>
  </si>
  <si>
    <t>CCND3</t>
  </si>
  <si>
    <t>CDC25C</t>
  </si>
  <si>
    <t>PPIF</t>
  </si>
  <si>
    <t>NKTR</t>
  </si>
  <si>
    <t>NMT1</t>
  </si>
  <si>
    <t>HMOX2</t>
  </si>
  <si>
    <t>ADSS</t>
  </si>
  <si>
    <t>AXL</t>
  </si>
  <si>
    <t>LRPAP1</t>
  </si>
  <si>
    <t>ADSL</t>
  </si>
  <si>
    <t>PKLR</t>
  </si>
  <si>
    <t>CLIP1</t>
  </si>
  <si>
    <t>SERPINB1</t>
  </si>
  <si>
    <t>ALDH1B1</t>
  </si>
  <si>
    <t>ALDH3A1</t>
  </si>
  <si>
    <t>SDHA</t>
  </si>
  <si>
    <t>CORO1A</t>
  </si>
  <si>
    <t>GDI1</t>
  </si>
  <si>
    <t>MAT2A</t>
  </si>
  <si>
    <t>PRKAR1B</t>
  </si>
  <si>
    <t>CPS1</t>
  </si>
  <si>
    <t>RRM2</t>
  </si>
  <si>
    <t>DNAJA1</t>
  </si>
  <si>
    <t>AKT1</t>
  </si>
  <si>
    <t>AKT2</t>
  </si>
  <si>
    <t>HIBADH</t>
  </si>
  <si>
    <t>ATIC</t>
  </si>
  <si>
    <t>HNRNPH3</t>
  </si>
  <si>
    <t>HNRNPH1</t>
  </si>
  <si>
    <t>YWHAB</t>
  </si>
  <si>
    <t>SFN</t>
  </si>
  <si>
    <t>STIP1</t>
  </si>
  <si>
    <t>S100A11</t>
  </si>
  <si>
    <t>INPP5B</t>
  </si>
  <si>
    <t>ARRB2</t>
  </si>
  <si>
    <t>CDA</t>
  </si>
  <si>
    <t>DCTD</t>
  </si>
  <si>
    <t>PYCR1</t>
  </si>
  <si>
    <t>ELF1</t>
  </si>
  <si>
    <t>GTF2H1</t>
  </si>
  <si>
    <t>CTH</t>
  </si>
  <si>
    <t>RPL9</t>
  </si>
  <si>
    <t>KIF5B</t>
  </si>
  <si>
    <t>CSTF2</t>
  </si>
  <si>
    <t>LSP1</t>
  </si>
  <si>
    <t>DUT</t>
  </si>
  <si>
    <t>CKS2</t>
  </si>
  <si>
    <t>S100A3</t>
  </si>
  <si>
    <t>TTK</t>
  </si>
  <si>
    <t>MCM4</t>
  </si>
  <si>
    <t>MCM5</t>
  </si>
  <si>
    <t>MCM7</t>
  </si>
  <si>
    <t>GALNS</t>
  </si>
  <si>
    <t>SHMT1</t>
  </si>
  <si>
    <t>SHMT2</t>
  </si>
  <si>
    <t>EPHX2</t>
  </si>
  <si>
    <t>HSPA1L</t>
  </si>
  <si>
    <t>HSPA4</t>
  </si>
  <si>
    <t>GPC1</t>
  </si>
  <si>
    <t>CA8</t>
  </si>
  <si>
    <t>CTNNA1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</si>
  <si>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</si>
  <si>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</si>
  <si>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</si>
  <si>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</si>
  <si>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</si>
  <si>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</si>
  <si>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</si>
  <si>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</si>
  <si>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</si>
  <si>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</si>
  <si>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CBS</t>
  </si>
  <si>
    <t>FBN2</t>
  </si>
  <si>
    <t>IRS1</t>
  </si>
  <si>
    <t>AGL</t>
  </si>
  <si>
    <t>MYH9</t>
  </si>
  <si>
    <t>MYH10</t>
  </si>
  <si>
    <t>COPB2</t>
  </si>
  <si>
    <t>ADD1</t>
  </si>
  <si>
    <t>ADD2</t>
  </si>
  <si>
    <t>FUS</t>
  </si>
  <si>
    <t>NUP214</t>
  </si>
  <si>
    <t>DEK</t>
  </si>
  <si>
    <t>GLRX</t>
  </si>
  <si>
    <t>CHKA</t>
  </si>
  <si>
    <t>PPM1A</t>
  </si>
  <si>
    <t>PSMC2</t>
  </si>
  <si>
    <t>ARL2</t>
  </si>
  <si>
    <t>ARL3</t>
  </si>
  <si>
    <t>MAP2K2</t>
  </si>
  <si>
    <t>ATP6V1E1</t>
  </si>
  <si>
    <t>CPOX</t>
  </si>
  <si>
    <t>RPL4</t>
  </si>
  <si>
    <t>NUDT1</t>
  </si>
  <si>
    <t>PGM1</t>
  </si>
  <si>
    <t>PPP1CC</t>
  </si>
  <si>
    <t>GNL1</t>
  </si>
  <si>
    <t>POLR2I</t>
  </si>
  <si>
    <t>DLST</t>
  </si>
  <si>
    <t>GPX4</t>
  </si>
  <si>
    <t>SRP14</t>
  </si>
  <si>
    <t>NUP62</t>
  </si>
  <si>
    <t>HPCAL1</t>
  </si>
  <si>
    <t>TAGLN2</t>
  </si>
  <si>
    <t>TALDO1</t>
  </si>
  <si>
    <t>ETFB</t>
  </si>
  <si>
    <t>RBMX</t>
  </si>
  <si>
    <t>BRCA1</t>
  </si>
  <si>
    <t>COIL</t>
  </si>
  <si>
    <t>LIPA</t>
  </si>
  <si>
    <t>ATP6V1A</t>
  </si>
  <si>
    <t>HSPA9</t>
  </si>
  <si>
    <t>EIF4A3</t>
  </si>
  <si>
    <t>IGHMBP2</t>
  </si>
  <si>
    <t>CDKN1A</t>
  </si>
  <si>
    <t>RPS19</t>
  </si>
  <si>
    <t>RPL3</t>
  </si>
  <si>
    <t>COL18A1</t>
  </si>
  <si>
    <t>ANP32A</t>
  </si>
  <si>
    <t>FEN1</t>
  </si>
  <si>
    <t>CUX1</t>
  </si>
  <si>
    <t>CAPG</t>
  </si>
  <si>
    <t>CAP2</t>
  </si>
  <si>
    <t>IL6ST</t>
  </si>
  <si>
    <t>CEACAM6</t>
  </si>
  <si>
    <t>TXLNA</t>
  </si>
  <si>
    <t>CCT6A</t>
  </si>
  <si>
    <t>NNMT</t>
  </si>
  <si>
    <t>PSMB10</t>
  </si>
  <si>
    <t>VHL</t>
  </si>
  <si>
    <t>PBX3</t>
  </si>
  <si>
    <t>RPL13A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</si>
  <si>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</si>
  <si>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</si>
  <si>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</si>
  <si>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</si>
  <si>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</si>
  <si>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</si>
  <si>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</si>
  <si>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</si>
  <si>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</si>
  <si>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ID1</t>
  </si>
  <si>
    <t>ETV3</t>
  </si>
  <si>
    <t>CETN2</t>
  </si>
  <si>
    <t>ETV6</t>
  </si>
  <si>
    <t>EIF2D</t>
  </si>
  <si>
    <t>BUD31</t>
  </si>
  <si>
    <t>NAA10</t>
  </si>
  <si>
    <t>KDM5C</t>
  </si>
  <si>
    <t>PPP1R2</t>
  </si>
  <si>
    <t>CSK</t>
  </si>
  <si>
    <t>GARS</t>
  </si>
  <si>
    <t>IARS</t>
  </si>
  <si>
    <t>EIF1</t>
  </si>
  <si>
    <t>PRKCI</t>
  </si>
  <si>
    <t>ACTR1B</t>
  </si>
  <si>
    <t>ECI1</t>
  </si>
  <si>
    <t>TMPO</t>
  </si>
  <si>
    <t>STAT1</t>
  </si>
  <si>
    <t>STAT6</t>
  </si>
  <si>
    <t>SKIV2L2</t>
  </si>
  <si>
    <t>AKR1C3</t>
  </si>
  <si>
    <t>PIK3CA</t>
  </si>
  <si>
    <t>PIK3CB</t>
  </si>
  <si>
    <t>MTOR</t>
  </si>
  <si>
    <t>EPS15</t>
  </si>
  <si>
    <t>CASP3</t>
  </si>
  <si>
    <t>CASP2</t>
  </si>
  <si>
    <t>RPS27</t>
  </si>
  <si>
    <t>ABL2</t>
  </si>
  <si>
    <t>NCAPD3</t>
  </si>
  <si>
    <t>LRPPRC</t>
  </si>
  <si>
    <t>ACAA2</t>
  </si>
  <si>
    <t>RPL35</t>
  </si>
  <si>
    <t>CDKN2C</t>
  </si>
  <si>
    <t>PRCP</t>
  </si>
  <si>
    <t>HTT</t>
  </si>
  <si>
    <t>PAFAH1B1</t>
  </si>
  <si>
    <t>CRAT</t>
  </si>
  <si>
    <t>MATR3</t>
  </si>
  <si>
    <t>MSH2</t>
  </si>
  <si>
    <t>ALDH3B1</t>
  </si>
  <si>
    <t>PTPN9</t>
  </si>
  <si>
    <t>RANBP1</t>
  </si>
  <si>
    <t>NAMPT</t>
  </si>
  <si>
    <t>PSMC4</t>
  </si>
  <si>
    <t>TSFM</t>
  </si>
  <si>
    <t>PPIC</t>
  </si>
  <si>
    <t>ACADSB</t>
  </si>
  <si>
    <t>CBX5</t>
  </si>
  <si>
    <t>USP5</t>
  </si>
  <si>
    <t>MAPK8</t>
  </si>
  <si>
    <t>MAPK9</t>
  </si>
  <si>
    <t>MAP2K4</t>
  </si>
  <si>
    <t>MKI67</t>
  </si>
  <si>
    <t>PHKA2</t>
  </si>
  <si>
    <t>PHKA1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</si>
  <si>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</si>
  <si>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</si>
  <si>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</si>
  <si>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</si>
  <si>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</si>
  <si>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</si>
  <si>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</si>
  <si>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</si>
  <si>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MAP2K3</t>
  </si>
  <si>
    <t>BRCC3</t>
  </si>
  <si>
    <t>RPL5</t>
  </si>
  <si>
    <t>RPL21</t>
  </si>
  <si>
    <t>RPL28</t>
  </si>
  <si>
    <t>RPS9</t>
  </si>
  <si>
    <t>RPS10</t>
  </si>
  <si>
    <t>MAP1B</t>
  </si>
  <si>
    <t>GNPDA1</t>
  </si>
  <si>
    <t>NEDD4</t>
  </si>
  <si>
    <t>YAP1</t>
  </si>
  <si>
    <t>UTRN</t>
  </si>
  <si>
    <t>IQGAP1</t>
  </si>
  <si>
    <t>GYG1</t>
  </si>
  <si>
    <t>RABIF</t>
  </si>
  <si>
    <t>CSN1S1</t>
  </si>
  <si>
    <t>PLA2G4A</t>
  </si>
  <si>
    <t>RAP1GAP</t>
  </si>
  <si>
    <t>CAPZA2</t>
  </si>
  <si>
    <t>CAPZB</t>
  </si>
  <si>
    <t>EIF1AX</t>
  </si>
  <si>
    <t>ALDH1A3</t>
  </si>
  <si>
    <t>QARS</t>
  </si>
  <si>
    <t>RPL29</t>
  </si>
  <si>
    <t>LGALS7</t>
  </si>
  <si>
    <t>ZFP36L2</t>
  </si>
  <si>
    <t>UQCRFS1</t>
  </si>
  <si>
    <t>LIMS1</t>
  </si>
  <si>
    <t>PREP</t>
  </si>
  <si>
    <t>ME1</t>
  </si>
  <si>
    <t>GABRA4</t>
  </si>
  <si>
    <t>IREB2</t>
  </si>
  <si>
    <t>RFX3</t>
  </si>
  <si>
    <t>SOX9</t>
  </si>
  <si>
    <t>ARCN1</t>
  </si>
  <si>
    <t>PPP3CC</t>
  </si>
  <si>
    <t>GCLC</t>
  </si>
  <si>
    <t>GCLM</t>
  </si>
  <si>
    <t>NRIP1</t>
  </si>
  <si>
    <t>TRAPPC10</t>
  </si>
  <si>
    <t>PRRC2A</t>
  </si>
  <si>
    <t>GSS</t>
  </si>
  <si>
    <t>CCT5</t>
  </si>
  <si>
    <t>NES</t>
  </si>
  <si>
    <t>HSPA13</t>
  </si>
  <si>
    <t>CSNK1A1</t>
  </si>
  <si>
    <t>CSNK1D</t>
  </si>
  <si>
    <t>IDH2</t>
  </si>
  <si>
    <t>PITPNB</t>
  </si>
  <si>
    <t>POLD2</t>
  </si>
  <si>
    <t>MARCKSL1</t>
  </si>
  <si>
    <t>NR2C2</t>
  </si>
  <si>
    <t>MAPKAPK2</t>
  </si>
  <si>
    <t>ALDH9A1</t>
  </si>
  <si>
    <t>RPL34</t>
  </si>
  <si>
    <t>RPIA</t>
  </si>
  <si>
    <t>NASP</t>
  </si>
  <si>
    <t>FASN</t>
  </si>
  <si>
    <t>FNTA</t>
  </si>
  <si>
    <t>DHPS</t>
  </si>
  <si>
    <t>CCT3</t>
  </si>
  <si>
    <t>MRPL19</t>
  </si>
  <si>
    <t>ARRB1</t>
  </si>
  <si>
    <t>TUFM</t>
  </si>
  <si>
    <t>ALDH7A1</t>
  </si>
  <si>
    <t>CDC34</t>
  </si>
  <si>
    <t>INPP1</t>
  </si>
  <si>
    <t>CENPF</t>
  </si>
  <si>
    <t>SRP9</t>
  </si>
  <si>
    <t>UBE2A</t>
  </si>
  <si>
    <t>PCYT1A</t>
  </si>
  <si>
    <t>AARS</t>
  </si>
  <si>
    <t>CARS</t>
  </si>
  <si>
    <t>SARS</t>
  </si>
  <si>
    <t>PRIM1</t>
  </si>
  <si>
    <t>PRIM2</t>
  </si>
  <si>
    <t>CASP4</t>
  </si>
  <si>
    <t>CSNK1E</t>
  </si>
  <si>
    <t>CTCF</t>
  </si>
  <si>
    <t>PSMB3</t>
  </si>
  <si>
    <t>PSMB2</t>
  </si>
  <si>
    <t>MCM2</t>
  </si>
  <si>
    <t>ACADVL</t>
  </si>
  <si>
    <t>YLPM1</t>
  </si>
  <si>
    <t>RBM25</t>
  </si>
  <si>
    <t>NUMB</t>
  </si>
  <si>
    <t>EIF2B2</t>
  </si>
  <si>
    <t>HINT1</t>
  </si>
  <si>
    <t>FHIT</t>
  </si>
  <si>
    <t>NUP153</t>
  </si>
  <si>
    <t>RANBP2</t>
  </si>
  <si>
    <t>NDUFV1</t>
  </si>
  <si>
    <t>GSK3A</t>
  </si>
  <si>
    <t>GSK3B</t>
  </si>
  <si>
    <t>TAF6</t>
  </si>
  <si>
    <t>NT5C2</t>
  </si>
  <si>
    <t>SEPHS1</t>
  </si>
  <si>
    <t>MTHFS</t>
  </si>
  <si>
    <t>GMPS</t>
  </si>
  <si>
    <t>LIG3</t>
  </si>
  <si>
    <t>KHK</t>
  </si>
  <si>
    <t>HNMT</t>
  </si>
  <si>
    <t>IDH3A</t>
  </si>
  <si>
    <t>MNX1</t>
  </si>
  <si>
    <t>SULT1A3</t>
  </si>
  <si>
    <t>CRIP1</t>
  </si>
  <si>
    <t>PPOX</t>
  </si>
  <si>
    <t>GDI2</t>
  </si>
  <si>
    <t>EMD</t>
  </si>
  <si>
    <t>GATM</t>
  </si>
  <si>
    <t>SERPINB8</t>
  </si>
  <si>
    <t>SERPINB9</t>
  </si>
  <si>
    <t>SERPINH1</t>
  </si>
  <si>
    <t>ST13</t>
  </si>
  <si>
    <t>PEX5</t>
  </si>
  <si>
    <t>VASP</t>
  </si>
  <si>
    <t>DNM2</t>
  </si>
  <si>
    <t>NUDT2</t>
  </si>
  <si>
    <t>CDK7</t>
  </si>
  <si>
    <t>HLCS</t>
  </si>
  <si>
    <t>KNTC1</t>
  </si>
  <si>
    <t>RASSF2</t>
  </si>
  <si>
    <t>CDK9</t>
  </si>
  <si>
    <t>LRBA</t>
  </si>
  <si>
    <t>BCAM</t>
  </si>
  <si>
    <t>PPT1</t>
  </si>
  <si>
    <t>CCT8</t>
  </si>
  <si>
    <t>CCT4</t>
  </si>
  <si>
    <t>PAPOLA</t>
  </si>
  <si>
    <t>FXR2</t>
  </si>
  <si>
    <t>RAB5C</t>
  </si>
  <si>
    <t>RAB7A</t>
  </si>
  <si>
    <t>RAB9A</t>
  </si>
  <si>
    <t>RAB13</t>
  </si>
  <si>
    <t>RAB28</t>
  </si>
  <si>
    <t>FABP6</t>
  </si>
  <si>
    <t>PLCD1</t>
  </si>
  <si>
    <t>DAP</t>
  </si>
  <si>
    <t>DAP3</t>
  </si>
  <si>
    <t>DUSP3</t>
  </si>
  <si>
    <t>NOVA1</t>
  </si>
  <si>
    <t>DNA2</t>
  </si>
  <si>
    <t>SMARCA2</t>
  </si>
  <si>
    <t>IDH3G</t>
  </si>
  <si>
    <t>GALK1</t>
  </si>
  <si>
    <t>TPMT</t>
  </si>
  <si>
    <t>BRCA2</t>
  </si>
  <si>
    <t>CYP2J2</t>
  </si>
  <si>
    <t>MECP2</t>
  </si>
  <si>
    <t>HCFC1</t>
  </si>
  <si>
    <t>IRAK1</t>
  </si>
  <si>
    <t>ALDH5A1</t>
  </si>
  <si>
    <t>HSD17B4</t>
  </si>
  <si>
    <t>PSMD7</t>
  </si>
  <si>
    <t>UBE2D1</t>
  </si>
  <si>
    <t>SGSH</t>
  </si>
  <si>
    <t>STAT5B</t>
  </si>
  <si>
    <t>DYNLT3</t>
  </si>
  <si>
    <t>RPS6KA3</t>
  </si>
  <si>
    <t>PRKX</t>
  </si>
  <si>
    <t>AFF1</t>
  </si>
  <si>
    <t>AKR1D1</t>
  </si>
  <si>
    <t>HDGF</t>
  </si>
  <si>
    <t>MNAT1</t>
  </si>
  <si>
    <t>HNRNPA3</t>
  </si>
  <si>
    <t>KPNA2</t>
  </si>
  <si>
    <t>KPNA1</t>
  </si>
  <si>
    <t>NCBP2</t>
  </si>
  <si>
    <t>RAP1GDS1</t>
  </si>
  <si>
    <t>MAP2K6</t>
  </si>
  <si>
    <t>ARHGDIA</t>
  </si>
  <si>
    <t>AGFG1</t>
  </si>
  <si>
    <t>HNRNPF</t>
  </si>
  <si>
    <t>STAT2</t>
  </si>
  <si>
    <t>GTF2A1</t>
  </si>
  <si>
    <t>GTF2A2</t>
  </si>
  <si>
    <t>MSH6</t>
  </si>
  <si>
    <t>KIF11</t>
  </si>
  <si>
    <t>VAV2</t>
  </si>
  <si>
    <t>ZNF131</t>
  </si>
  <si>
    <t>ZNF143</t>
  </si>
  <si>
    <t>HRSP12</t>
  </si>
  <si>
    <t>SMS</t>
  </si>
  <si>
    <t>MRPL12</t>
  </si>
  <si>
    <t>DGKQ</t>
  </si>
  <si>
    <t>THOP1</t>
  </si>
  <si>
    <t>AKR1C2</t>
  </si>
  <si>
    <t>CAPZA1</t>
  </si>
  <si>
    <t>CRIP2</t>
  </si>
  <si>
    <t>NUP98</t>
  </si>
  <si>
    <t>BLVRA</t>
  </si>
  <si>
    <t>PLK1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</si>
  <si>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</si>
  <si>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</si>
  <si>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</si>
  <si>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</si>
  <si>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</si>
  <si>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</si>
  <si>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</si>
  <si>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</si>
  <si>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</si>
  <si>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</si>
  <si>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</si>
  <si>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</si>
  <si>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CLTCL1</t>
  </si>
  <si>
    <t>AP2S1</t>
  </si>
  <si>
    <t>MAPK12</t>
  </si>
  <si>
    <t>POLR2K</t>
  </si>
  <si>
    <t>SMTN</t>
  </si>
  <si>
    <t>IST1</t>
  </si>
  <si>
    <t>SEC24C</t>
  </si>
  <si>
    <t>SUB1</t>
  </si>
  <si>
    <t>RARS</t>
  </si>
  <si>
    <t>ATXN1</t>
  </si>
  <si>
    <t>ATN1</t>
  </si>
  <si>
    <t>PMS1</t>
  </si>
  <si>
    <t>PMS2</t>
  </si>
  <si>
    <t>YARS</t>
  </si>
  <si>
    <t>USP14</t>
  </si>
  <si>
    <t>PRKAG1</t>
  </si>
  <si>
    <t>PRKAA2</t>
  </si>
  <si>
    <t>HSPA2</t>
  </si>
  <si>
    <t>BCAT1</t>
  </si>
  <si>
    <t>RAD23B</t>
  </si>
  <si>
    <t>NAGLU</t>
  </si>
  <si>
    <t>AK2</t>
  </si>
  <si>
    <t>ALDH18A1</t>
  </si>
  <si>
    <t>NAPA</t>
  </si>
  <si>
    <t>ADPRH</t>
  </si>
  <si>
    <t>EIF5</t>
  </si>
  <si>
    <t>PSMD4</t>
  </si>
  <si>
    <t>DRG2</t>
  </si>
  <si>
    <t>CSE1L</t>
  </si>
  <si>
    <t>VCP</t>
  </si>
  <si>
    <t>MFAP1</t>
  </si>
  <si>
    <t>MANF</t>
  </si>
  <si>
    <t>MLLT4</t>
  </si>
  <si>
    <t>ELL</t>
  </si>
  <si>
    <t>CASP7</t>
  </si>
  <si>
    <t>CASP9</t>
  </si>
  <si>
    <t>CASP6</t>
  </si>
  <si>
    <t>ADK</t>
  </si>
  <si>
    <t>ADAR</t>
  </si>
  <si>
    <t>LAMB2</t>
  </si>
  <si>
    <t>PKNOX1</t>
  </si>
  <si>
    <t>SEC13</t>
  </si>
  <si>
    <t>NHP2L1</t>
  </si>
  <si>
    <t>GFER</t>
  </si>
  <si>
    <t>HNRNPH2</t>
  </si>
  <si>
    <t>OXCT1</t>
  </si>
  <si>
    <t>SUMO3</t>
  </si>
  <si>
    <t>EIF3B</t>
  </si>
  <si>
    <t>NDUFV3</t>
  </si>
  <si>
    <t>MARS</t>
  </si>
  <si>
    <t>ARPP19</t>
  </si>
  <si>
    <t>CMC4</t>
  </si>
  <si>
    <t>POLE2</t>
  </si>
  <si>
    <t>AP1S2</t>
  </si>
  <si>
    <t>HDAC4</t>
  </si>
  <si>
    <t>EIF6</t>
  </si>
  <si>
    <t>CTBP2</t>
  </si>
  <si>
    <t>BCAR1</t>
  </si>
  <si>
    <t>STX17</t>
  </si>
  <si>
    <t>RWDD2B</t>
  </si>
  <si>
    <t>C21orf59</t>
  </si>
  <si>
    <t>WDR4</t>
  </si>
  <si>
    <t>SYNJ2BP</t>
  </si>
  <si>
    <t>CORO7</t>
  </si>
  <si>
    <t>NUP107</t>
  </si>
  <si>
    <t>GSDMD</t>
  </si>
  <si>
    <t>SNX16</t>
  </si>
  <si>
    <t>EEFSEC</t>
  </si>
  <si>
    <t>MTPN</t>
  </si>
  <si>
    <t>AP3S2</t>
  </si>
  <si>
    <t>ARPC4</t>
  </si>
  <si>
    <t>TPI1</t>
  </si>
  <si>
    <t>EIF3E</t>
  </si>
  <si>
    <t>SEC61B</t>
  </si>
  <si>
    <t>PPP4C</t>
  </si>
  <si>
    <t>GABARAPL2</t>
  </si>
  <si>
    <t>ACTB</t>
  </si>
  <si>
    <t>RAC3</t>
  </si>
  <si>
    <t>EIF4A1</t>
  </si>
  <si>
    <t>RPS20</t>
  </si>
  <si>
    <t>SNAP25</t>
  </si>
  <si>
    <t>PRPS1</t>
  </si>
  <si>
    <t>PSMA6</t>
  </si>
  <si>
    <t>S100A10</t>
  </si>
  <si>
    <t>CDC42</t>
  </si>
  <si>
    <t>DSTN</t>
  </si>
  <si>
    <t>GMFB</t>
  </si>
  <si>
    <t>RAB8A</t>
  </si>
  <si>
    <t>SRP54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</si>
  <si>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</si>
  <si>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</si>
  <si>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</si>
  <si>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</si>
  <si>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</si>
  <si>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</si>
  <si>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</si>
  <si>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</si>
  <si>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</si>
  <si>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</si>
  <si>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</si>
  <si>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</si>
  <si>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COPS2</t>
  </si>
  <si>
    <t>ABCE1</t>
  </si>
  <si>
    <t>RAP1B</t>
  </si>
  <si>
    <t>RAP2B</t>
  </si>
  <si>
    <t>MAX</t>
  </si>
  <si>
    <t>RPS3A</t>
  </si>
  <si>
    <t>RPL26</t>
  </si>
  <si>
    <t>PSME3</t>
  </si>
  <si>
    <t>RPL15</t>
  </si>
  <si>
    <t>RPL27</t>
  </si>
  <si>
    <t>PCBD1</t>
  </si>
  <si>
    <t>RHOA</t>
  </si>
  <si>
    <t>RND3</t>
  </si>
  <si>
    <t>NAA20</t>
  </si>
  <si>
    <t>HSPE1</t>
  </si>
  <si>
    <t>VBP1</t>
  </si>
  <si>
    <t>STXBP1</t>
  </si>
  <si>
    <t>COPZ1</t>
  </si>
  <si>
    <t>RPL37</t>
  </si>
  <si>
    <t>GNG11</t>
  </si>
  <si>
    <t>SUMO2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</si>
  <si>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</si>
  <si>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</si>
  <si>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</si>
  <si>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</si>
  <si>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</si>
  <si>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</si>
  <si>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</si>
  <si>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</si>
  <si>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</si>
  <si>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</si>
  <si>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</si>
  <si>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CALM1</t>
  </si>
  <si>
    <t>NCS1</t>
  </si>
  <si>
    <t>PSMC1</t>
  </si>
  <si>
    <t>PSMC5</t>
  </si>
  <si>
    <t>RPS8</t>
  </si>
  <si>
    <t>RPS16</t>
  </si>
  <si>
    <t>UBE2G1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</si>
  <si>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</si>
  <si>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</si>
  <si>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</si>
  <si>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</si>
  <si>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</si>
  <si>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</si>
  <si>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</si>
  <si>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</si>
  <si>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</si>
  <si>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</si>
  <si>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</si>
  <si>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</si>
  <si>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</si>
  <si>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</si>
  <si>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</si>
  <si>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</si>
  <si>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</si>
  <si>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</si>
  <si>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</si>
  <si>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</si>
  <si>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</si>
  <si>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</si>
  <si>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YPEL5</t>
  </si>
  <si>
    <t>RPS4X</t>
  </si>
  <si>
    <t>PPP2CB</t>
  </si>
  <si>
    <t>RPL23A</t>
  </si>
  <si>
    <t>RPS6</t>
  </si>
  <si>
    <t>HIST1H4A</t>
  </si>
  <si>
    <t>RAB1A</t>
  </si>
  <si>
    <t>RAN</t>
  </si>
  <si>
    <t>RPL23</t>
  </si>
  <si>
    <t>UBE2D2</t>
  </si>
  <si>
    <t>RPS24</t>
  </si>
  <si>
    <t>RPS25</t>
  </si>
  <si>
    <t>RPS26</t>
  </si>
  <si>
    <t>RPS28</t>
  </si>
  <si>
    <t>GNB1</t>
  </si>
  <si>
    <t>POLR2L</t>
  </si>
  <si>
    <t>RBX1</t>
  </si>
  <si>
    <t>RPL30</t>
  </si>
  <si>
    <t>RPL10A</t>
  </si>
  <si>
    <t>RPL8</t>
  </si>
  <si>
    <t>FKBP1A</t>
  </si>
  <si>
    <t>GRB2</t>
  </si>
  <si>
    <t>TRA2B</t>
  </si>
  <si>
    <t>RAC1</t>
  </si>
  <si>
    <t>AP2B1</t>
  </si>
  <si>
    <t>GNAI1</t>
  </si>
  <si>
    <t>YWHAZ</t>
  </si>
  <si>
    <t>PPP2R2A</t>
  </si>
  <si>
    <t>DYNLL1</t>
  </si>
  <si>
    <t>EIF5A</t>
  </si>
  <si>
    <t>GNB2L1</t>
  </si>
  <si>
    <t>SUPT4H1</t>
  </si>
  <si>
    <t>TMSB10</t>
  </si>
  <si>
    <t>PPP2CA</t>
  </si>
  <si>
    <t>YBX1</t>
  </si>
  <si>
    <t>CSNK2B</t>
  </si>
  <si>
    <t>UBE2L3</t>
  </si>
  <si>
    <t>EEF1A1</t>
  </si>
  <si>
    <t>FKBP1B</t>
  </si>
  <si>
    <t>ACTA1</t>
  </si>
  <si>
    <t>TUBA1B</t>
  </si>
  <si>
    <t>TUBB4B</t>
  </si>
  <si>
    <t>PAFAH1B2</t>
  </si>
  <si>
    <t>SH3BP2</t>
  </si>
  <si>
    <t>NOP14</t>
  </si>
  <si>
    <t>IGBP1</t>
  </si>
  <si>
    <t>SIRPA</t>
  </si>
  <si>
    <t>PSPH</t>
  </si>
  <si>
    <t>RBM6</t>
  </si>
  <si>
    <t>RPP38</t>
  </si>
  <si>
    <t>RPP30</t>
  </si>
  <si>
    <t>GTF2I</t>
  </si>
  <si>
    <t>PIP4K2B</t>
  </si>
  <si>
    <t>PHC1</t>
  </si>
  <si>
    <t>CCT2</t>
  </si>
  <si>
    <t>RAE1</t>
  </si>
  <si>
    <t>GSTO1</t>
  </si>
  <si>
    <t>JAG1</t>
  </si>
  <si>
    <t>PRKDC</t>
  </si>
  <si>
    <t>BLOC1S1</t>
  </si>
  <si>
    <t>ELF3</t>
  </si>
  <si>
    <t>MAP1A</t>
  </si>
  <si>
    <t>CRADD</t>
  </si>
  <si>
    <t>IFI35</t>
  </si>
  <si>
    <t>MT1X</t>
  </si>
  <si>
    <t>NUCB2</t>
  </si>
  <si>
    <t>BASP1</t>
  </si>
  <si>
    <t>DCD</t>
  </si>
  <si>
    <t>TMF1</t>
  </si>
  <si>
    <t>MRPS35</t>
  </si>
  <si>
    <t>MRPS36</t>
  </si>
  <si>
    <t>MRPS11</t>
  </si>
  <si>
    <t>MRPS34</t>
  </si>
  <si>
    <t>MRPS6</t>
  </si>
  <si>
    <t>SARNP</t>
  </si>
  <si>
    <t>LSM11</t>
  </si>
  <si>
    <t>COG7</t>
  </si>
  <si>
    <t>RPL36A</t>
  </si>
  <si>
    <t>SMAD3</t>
  </si>
  <si>
    <t>ARF1</t>
  </si>
  <si>
    <t>ARF5</t>
  </si>
  <si>
    <t>ERH</t>
  </si>
  <si>
    <t>RHOG</t>
  </si>
  <si>
    <t>SERF2</t>
  </si>
  <si>
    <t>FOXK1</t>
  </si>
  <si>
    <t>PRR5</t>
  </si>
  <si>
    <t>CCZ1</t>
  </si>
  <si>
    <t>DAB2</t>
  </si>
  <si>
    <t>VLDLR</t>
  </si>
  <si>
    <t>XIAP</t>
  </si>
  <si>
    <t>FGD1</t>
  </si>
  <si>
    <t>RBM10</t>
  </si>
  <si>
    <t>RBM3</t>
  </si>
  <si>
    <t>MPP1</t>
  </si>
  <si>
    <t>TFAM</t>
  </si>
  <si>
    <t>PITPNA</t>
  </si>
  <si>
    <t>HDLBP</t>
  </si>
  <si>
    <t>GTF2B</t>
  </si>
  <si>
    <t>CDK6</t>
  </si>
  <si>
    <t>CDK5</t>
  </si>
  <si>
    <t>CDK16</t>
  </si>
  <si>
    <t>PURA</t>
  </si>
  <si>
    <t>CDC42EP1</t>
  </si>
  <si>
    <t>CLTC</t>
  </si>
  <si>
    <t>NFKB2</t>
  </si>
  <si>
    <t>FKBP3</t>
  </si>
  <si>
    <t>SORD</t>
  </si>
  <si>
    <t>HNRNPU</t>
  </si>
  <si>
    <t>IRF9</t>
  </si>
  <si>
    <t>U2AF1</t>
  </si>
  <si>
    <t>SPTBN1</t>
  </si>
  <si>
    <t>TIAL1</t>
  </si>
  <si>
    <t>SET</t>
  </si>
  <si>
    <t>FOXK2</t>
  </si>
  <si>
    <t>AMPD3</t>
  </si>
  <si>
    <t>AMPD2</t>
  </si>
  <si>
    <t>CTBS</t>
  </si>
  <si>
    <t>CAP1</t>
  </si>
  <si>
    <t>HMGCS1</t>
  </si>
  <si>
    <t>SLC7A5</t>
  </si>
  <si>
    <t>DR1</t>
  </si>
  <si>
    <t>TFAP4</t>
  </si>
  <si>
    <t>EXOSC10</t>
  </si>
  <si>
    <t>OTUD4</t>
  </si>
  <si>
    <t>PFKP</t>
  </si>
  <si>
    <t>CDR2</t>
  </si>
  <si>
    <t>OCRL</t>
  </si>
  <si>
    <t>PLCB3</t>
  </si>
  <si>
    <t>ROR1</t>
  </si>
  <si>
    <t>TAGLN</t>
  </si>
  <si>
    <t>AKAP17A</t>
  </si>
  <si>
    <t>MEF2A</t>
  </si>
  <si>
    <t>NAAA</t>
  </si>
  <si>
    <t>SP2</t>
  </si>
  <si>
    <t>PRKCE</t>
  </si>
  <si>
    <t>CENPE</t>
  </si>
  <si>
    <t>KIF23</t>
  </si>
  <si>
    <t>NRG1</t>
  </si>
  <si>
    <t>COL7A1</t>
  </si>
  <si>
    <t>APBA1</t>
  </si>
  <si>
    <t>SP4</t>
  </si>
  <si>
    <t>SP3</t>
  </si>
  <si>
    <t>ID3</t>
  </si>
  <si>
    <t>RPL18A</t>
  </si>
  <si>
    <t>MAP2K1</t>
  </si>
  <si>
    <t>FKBP4</t>
  </si>
  <si>
    <t>PLOD1</t>
  </si>
  <si>
    <t>NUCB1</t>
  </si>
  <si>
    <t>RASSF7</t>
  </si>
  <si>
    <t>TOP2B</t>
  </si>
  <si>
    <t>AKAP12</t>
  </si>
  <si>
    <t>DST</t>
  </si>
  <si>
    <t>MLLT1</t>
  </si>
  <si>
    <t>CAV1</t>
  </si>
  <si>
    <t>ACY1</t>
  </si>
  <si>
    <t>MLL</t>
  </si>
  <si>
    <t>TNFAIP2</t>
  </si>
  <si>
    <t>LMNB2</t>
  </si>
  <si>
    <t>PTS</t>
  </si>
  <si>
    <t>ERCC6</t>
  </si>
  <si>
    <t>CEBPZ</t>
  </si>
  <si>
    <t>HSF2</t>
  </si>
  <si>
    <t>GBE1</t>
  </si>
  <si>
    <t>ATP7A</t>
  </si>
  <si>
    <t>KRT17</t>
  </si>
  <si>
    <t>TLE1</t>
  </si>
  <si>
    <t>TLE3</t>
  </si>
  <si>
    <t>TLE4</t>
  </si>
  <si>
    <t>HGFAC</t>
  </si>
  <si>
    <t>GLO1</t>
  </si>
  <si>
    <t>AKR1C1</t>
  </si>
  <si>
    <t>SSBP1</t>
  </si>
  <si>
    <t>YWHAH</t>
  </si>
  <si>
    <t>CSTF1</t>
  </si>
  <si>
    <t>UBE3A</t>
  </si>
  <si>
    <t>DNM1</t>
  </si>
  <si>
    <t>PTPN12</t>
  </si>
  <si>
    <t>PTK2</t>
  </si>
  <si>
    <t>PRKCZ</t>
  </si>
  <si>
    <t>SRSF11</t>
  </si>
  <si>
    <t>EEF1A2</t>
  </si>
  <si>
    <t>PRKCD</t>
  </si>
  <si>
    <t>FPGS</t>
  </si>
  <si>
    <t>PTPN11</t>
  </si>
  <si>
    <t>PPAT</t>
  </si>
  <si>
    <t>GFPT1</t>
  </si>
  <si>
    <t>EXOSC9</t>
  </si>
  <si>
    <t>PSME1</t>
  </si>
  <si>
    <t>RBPJ</t>
  </si>
  <si>
    <t>GABPA</t>
  </si>
  <si>
    <t>RING1</t>
  </si>
  <si>
    <t>RAD51</t>
  </si>
  <si>
    <t>SOX4</t>
  </si>
  <si>
    <t>RPL18</t>
  </si>
  <si>
    <t>C1QBP</t>
  </si>
  <si>
    <t>CKAP4</t>
  </si>
  <si>
    <t>TCHH</t>
  </si>
  <si>
    <t>SPAG1</t>
  </si>
  <si>
    <t>KHDRBS1</t>
  </si>
  <si>
    <t>BAX</t>
  </si>
  <si>
    <t>KLC1</t>
  </si>
  <si>
    <t>LRP1</t>
  </si>
  <si>
    <t>SRSF1</t>
  </si>
  <si>
    <t>ARHGAP1</t>
  </si>
  <si>
    <t>AES</t>
  </si>
  <si>
    <t>SRSF4</t>
  </si>
  <si>
    <t>TGM3</t>
  </si>
  <si>
    <t>PPP3CA</t>
  </si>
  <si>
    <t>DHX9</t>
  </si>
  <si>
    <t>CRYZ</t>
  </si>
  <si>
    <t>GOLGA3</t>
  </si>
  <si>
    <t>GOLGA2</t>
  </si>
  <si>
    <t>LGALS3BP</t>
  </si>
  <si>
    <t>MFGE8</t>
  </si>
  <si>
    <t>EPB49</t>
  </si>
  <si>
    <t>PDE4D</t>
  </si>
  <si>
    <t>DSC1</t>
  </si>
  <si>
    <t>PPID</t>
  </si>
  <si>
    <t>SSRP1</t>
  </si>
  <si>
    <t>RBL2</t>
  </si>
  <si>
    <t>CAMSAP2</t>
  </si>
  <si>
    <t>SPIRE1</t>
  </si>
  <si>
    <t>MZT1</t>
  </si>
  <si>
    <t>VAC14</t>
  </si>
  <si>
    <t>NSUN2</t>
  </si>
  <si>
    <t>RBBP4</t>
  </si>
  <si>
    <t>NCBP1</t>
  </si>
  <si>
    <t>EP300</t>
  </si>
  <si>
    <t>AHNAK</t>
  </si>
  <si>
    <t>FCHO2</t>
  </si>
  <si>
    <t>ELP6</t>
  </si>
  <si>
    <t>HSPA14</t>
  </si>
  <si>
    <t>SCRN3</t>
  </si>
  <si>
    <t>CGNL1</t>
  </si>
  <si>
    <t>FAAP100</t>
  </si>
  <si>
    <t>LAMTOR4</t>
  </si>
  <si>
    <t>AP1B1</t>
  </si>
  <si>
    <t>CPSF1</t>
  </si>
  <si>
    <t>PMPCA</t>
  </si>
  <si>
    <t>SCRN1</t>
  </si>
  <si>
    <t>KIAA0196</t>
  </si>
  <si>
    <t>NUP160</t>
  </si>
  <si>
    <t>GTF3C1</t>
  </si>
  <si>
    <t>TWF1</t>
  </si>
  <si>
    <t>ASPH</t>
  </si>
  <si>
    <t>TFCP2</t>
  </si>
  <si>
    <t>AKAP13</t>
  </si>
  <si>
    <t>SMARCB1</t>
  </si>
  <si>
    <t>BPTF</t>
  </si>
  <si>
    <t>CDC20</t>
  </si>
  <si>
    <t>FSTL1</t>
  </si>
  <si>
    <t>STX4</t>
  </si>
  <si>
    <t>GRSF1</t>
  </si>
  <si>
    <t>CNTN1</t>
  </si>
  <si>
    <t>SFSWAP</t>
  </si>
  <si>
    <t>SF3A3</t>
  </si>
  <si>
    <t>DPYD</t>
  </si>
  <si>
    <t>TP53BP1</t>
  </si>
  <si>
    <t>IFRD2</t>
  </si>
  <si>
    <t>AIMP1</t>
  </si>
  <si>
    <t>ILF2</t>
  </si>
  <si>
    <t>ILF3</t>
  </si>
  <si>
    <t>PTPRJ</t>
  </si>
  <si>
    <t>PTPN13</t>
  </si>
  <si>
    <t>EPS8</t>
  </si>
  <si>
    <t>TRAF2</t>
  </si>
  <si>
    <t>ANK3</t>
  </si>
  <si>
    <t>DLG1</t>
  </si>
  <si>
    <t>TAF10</t>
  </si>
  <si>
    <t>MYO1E</t>
  </si>
  <si>
    <t>PPP1R8</t>
  </si>
  <si>
    <t>PTP4A2</t>
  </si>
  <si>
    <t>ABR</t>
  </si>
  <si>
    <t>BNIP1</t>
  </si>
  <si>
    <t>BNIP2</t>
  </si>
  <si>
    <t>NFX1</t>
  </si>
  <si>
    <t>CSTF3</t>
  </si>
  <si>
    <t>ECH1</t>
  </si>
  <si>
    <t>ARHGAP5</t>
  </si>
  <si>
    <t>CDC16</t>
  </si>
  <si>
    <t>STK4</t>
  </si>
  <si>
    <t>FLII</t>
  </si>
  <si>
    <t>TRIM32</t>
  </si>
  <si>
    <t>COASY</t>
  </si>
  <si>
    <t>TRAF1</t>
  </si>
  <si>
    <t>ACACA</t>
  </si>
  <si>
    <t>CHAF1A</t>
  </si>
  <si>
    <t>CHAF1B</t>
  </si>
  <si>
    <t>TRAF3</t>
  </si>
  <si>
    <t>DUSP4</t>
  </si>
  <si>
    <t>IK</t>
  </si>
  <si>
    <t>PRKAA1</t>
  </si>
  <si>
    <t>PPFIA1</t>
  </si>
  <si>
    <t>TARDBP</t>
  </si>
  <si>
    <t>HNRNPA0</t>
  </si>
  <si>
    <t>PAK1</t>
  </si>
  <si>
    <t>AIMP2</t>
  </si>
  <si>
    <t>FADD</t>
  </si>
  <si>
    <t>PRDX4</t>
  </si>
  <si>
    <t>MAP2K5</t>
  </si>
  <si>
    <t>MAPK7</t>
  </si>
  <si>
    <t>PAK2</t>
  </si>
  <si>
    <t>CBX3</t>
  </si>
  <si>
    <t>STK3</t>
  </si>
  <si>
    <t>STX5</t>
  </si>
  <si>
    <t>CBLB</t>
  </si>
  <si>
    <t>PSMD2</t>
  </si>
  <si>
    <t>DDX10</t>
  </si>
  <si>
    <t>ERCC8</t>
  </si>
  <si>
    <t>DNAJC3</t>
  </si>
  <si>
    <t>SELENBP1</t>
  </si>
  <si>
    <t>NME3</t>
  </si>
  <si>
    <t>MAP3K1</t>
  </si>
  <si>
    <t>SRSF9</t>
  </si>
  <si>
    <t>SRSF5</t>
  </si>
  <si>
    <t>SRSF6</t>
  </si>
  <si>
    <t>GRM1</t>
  </si>
  <si>
    <t>MAD2L1</t>
  </si>
  <si>
    <t>TRIM28</t>
  </si>
  <si>
    <t>G3BP1</t>
  </si>
  <si>
    <t>NMI</t>
  </si>
  <si>
    <t>KCNAB2</t>
  </si>
  <si>
    <t>PTK7</t>
  </si>
  <si>
    <t>PABPC4</t>
  </si>
  <si>
    <t>ATM</t>
  </si>
  <si>
    <t>GRB10</t>
  </si>
  <si>
    <t>IFIT5</t>
  </si>
  <si>
    <t>MTA1</t>
  </si>
  <si>
    <t>PTPRS</t>
  </si>
  <si>
    <t>EIF3I</t>
  </si>
  <si>
    <t>PPP2R5C</t>
  </si>
  <si>
    <t>CTBP1</t>
  </si>
  <si>
    <t>PDCL</t>
  </si>
  <si>
    <t>TARBP1</t>
  </si>
  <si>
    <t>UBE2V1</t>
  </si>
  <si>
    <t>DYNC1I2</t>
  </si>
  <si>
    <t>ORC2</t>
  </si>
  <si>
    <t>ILK</t>
  </si>
  <si>
    <t>SNTB2</t>
  </si>
  <si>
    <t>XRCC4</t>
  </si>
  <si>
    <t>PPIG</t>
  </si>
  <si>
    <t>TCOF1</t>
  </si>
  <si>
    <t>UNC119</t>
  </si>
  <si>
    <t>GOLGA4</t>
  </si>
  <si>
    <t>PDAP1</t>
  </si>
  <si>
    <t>ADAM9</t>
  </si>
  <si>
    <t>FKBP5</t>
  </si>
  <si>
    <t>ROCK1</t>
  </si>
  <si>
    <t>FZD5</t>
  </si>
  <si>
    <t>TOP3A</t>
  </si>
  <si>
    <t>GAB1</t>
  </si>
  <si>
    <t>PICALM</t>
  </si>
  <si>
    <t>MTM1</t>
  </si>
  <si>
    <t>SQSTM1</t>
  </si>
  <si>
    <t>MED21</t>
  </si>
  <si>
    <t>NAB1</t>
  </si>
  <si>
    <t>TUBB3</t>
  </si>
  <si>
    <t>OLIG2</t>
  </si>
  <si>
    <t>PIN1</t>
  </si>
  <si>
    <t>ATR</t>
  </si>
  <si>
    <t>EIF4EBP1</t>
  </si>
  <si>
    <t>EIF4EBP2</t>
  </si>
  <si>
    <t>RIPK1</t>
  </si>
  <si>
    <t>HDAC1</t>
  </si>
  <si>
    <t>CAMK2D</t>
  </si>
  <si>
    <t>DCTN2</t>
  </si>
  <si>
    <t>PKD2</t>
  </si>
  <si>
    <t>NAE1</t>
  </si>
  <si>
    <t>ITPK1</t>
  </si>
  <si>
    <t>SNW1</t>
  </si>
  <si>
    <t>DGKZ</t>
  </si>
  <si>
    <t>SNX1</t>
  </si>
  <si>
    <t>PEX6</t>
  </si>
  <si>
    <t>MTMR1</t>
  </si>
  <si>
    <t>MTMR2</t>
  </si>
  <si>
    <t>MTMR3</t>
  </si>
  <si>
    <t>CUL1</t>
  </si>
  <si>
    <t>CUL2</t>
  </si>
  <si>
    <t>CUL3</t>
  </si>
  <si>
    <t>CUL4A</t>
  </si>
  <si>
    <t>TP53BP2</t>
  </si>
  <si>
    <t>DYRK1A</t>
  </si>
  <si>
    <t>TSTA3</t>
  </si>
  <si>
    <t>RAB32</t>
  </si>
  <si>
    <t>TPBG</t>
  </si>
  <si>
    <t>FHL1</t>
  </si>
  <si>
    <t>FHL3</t>
  </si>
  <si>
    <t>RIN1</t>
  </si>
  <si>
    <t>ALKBH1</t>
  </si>
  <si>
    <t>ALCAM</t>
  </si>
  <si>
    <t>THOC5</t>
  </si>
  <si>
    <t>SHROOM2</t>
  </si>
  <si>
    <t>SPTAN1</t>
  </si>
  <si>
    <t>AUH</t>
  </si>
  <si>
    <t>DDX39B</t>
  </si>
  <si>
    <t>BLMH</t>
  </si>
  <si>
    <t>EXOSC2</t>
  </si>
  <si>
    <t>TUBB2A</t>
  </si>
  <si>
    <t>KLF5</t>
  </si>
  <si>
    <t>BYSL</t>
  </si>
  <si>
    <t>IDI1</t>
  </si>
  <si>
    <t>CBFB</t>
  </si>
  <si>
    <t>NFYC</t>
  </si>
  <si>
    <t>CDK13</t>
  </si>
  <si>
    <t>CKAP5</t>
  </si>
  <si>
    <t>CIRBP</t>
  </si>
  <si>
    <t>CAMK1</t>
  </si>
  <si>
    <t>COTL1</t>
  </si>
  <si>
    <t>BAAT</t>
  </si>
  <si>
    <t>COX17</t>
  </si>
  <si>
    <t>HNRNPD</t>
  </si>
  <si>
    <t>IL18</t>
  </si>
  <si>
    <t>DAG1</t>
  </si>
  <si>
    <t>PDE1C</t>
  </si>
  <si>
    <t>DSG2</t>
  </si>
  <si>
    <t>BOP1</t>
  </si>
  <si>
    <t>UBE4A</t>
  </si>
  <si>
    <t>SEPT6</t>
  </si>
  <si>
    <t>URB2</t>
  </si>
  <si>
    <t>DHX34</t>
  </si>
  <si>
    <t>MORC3</t>
  </si>
  <si>
    <t>EIF3A</t>
  </si>
  <si>
    <t>FAM53B</t>
  </si>
  <si>
    <t>ARHGEF7</t>
  </si>
  <si>
    <t>UBAP2L</t>
  </si>
  <si>
    <t>SCRIB</t>
  </si>
  <si>
    <t>GIT2</t>
  </si>
  <si>
    <t>TTLL12</t>
  </si>
  <si>
    <t>POLA2</t>
  </si>
  <si>
    <t>DOCK1</t>
  </si>
  <si>
    <t>WRN</t>
  </si>
  <si>
    <t>FHL2</t>
  </si>
  <si>
    <t>DPYSL3</t>
  </si>
  <si>
    <t>ZMYM3</t>
  </si>
  <si>
    <t>DCTN1</t>
  </si>
  <si>
    <t>DYNC1H1</t>
  </si>
  <si>
    <t>NPAT</t>
  </si>
  <si>
    <t>EIF2B1</t>
  </si>
  <si>
    <t>EIF4A2</t>
  </si>
  <si>
    <t>TCEB3</t>
  </si>
  <si>
    <t>MAP7</t>
  </si>
  <si>
    <t>CTTN</t>
  </si>
  <si>
    <t>ENDOG</t>
  </si>
  <si>
    <t>RCN2</t>
  </si>
  <si>
    <t>TRIM25</t>
  </si>
  <si>
    <t>PTK2B</t>
  </si>
  <si>
    <t>FLNC</t>
  </si>
  <si>
    <t>FKBP8</t>
  </si>
  <si>
    <t>FAM50A</t>
  </si>
  <si>
    <t>FRG1</t>
  </si>
  <si>
    <t>GNA13</t>
  </si>
  <si>
    <t>GAMT</t>
  </si>
  <si>
    <t>GALE</t>
  </si>
  <si>
    <t>PDE3A</t>
  </si>
  <si>
    <t>CAPRIN1</t>
  </si>
  <si>
    <t>GRB14</t>
  </si>
  <si>
    <t>GRB7</t>
  </si>
  <si>
    <t>BECN1</t>
  </si>
  <si>
    <t>HES1</t>
  </si>
  <si>
    <t>SLBP</t>
  </si>
  <si>
    <t>RBM39</t>
  </si>
  <si>
    <t>NEDD9</t>
  </si>
  <si>
    <t>FAT1</t>
  </si>
  <si>
    <t>HABP2</t>
  </si>
  <si>
    <t>HLTF</t>
  </si>
  <si>
    <t>PDIA5</t>
  </si>
  <si>
    <t>PRPSAP1</t>
  </si>
  <si>
    <t>DHX8</t>
  </si>
  <si>
    <t>MCM6</t>
  </si>
  <si>
    <t>PLS1</t>
  </si>
  <si>
    <t>IRF3</t>
  </si>
  <si>
    <t>LAGE3</t>
  </si>
  <si>
    <t>TRIP12</t>
  </si>
  <si>
    <t>PUM1</t>
  </si>
  <si>
    <t>MDC1</t>
  </si>
  <si>
    <t>CLINT1</t>
  </si>
  <si>
    <t>KANK1</t>
  </si>
  <si>
    <t>SMC1A</t>
  </si>
  <si>
    <t>RRP1B</t>
  </si>
  <si>
    <t>NCOA6</t>
  </si>
  <si>
    <t>GSE1</t>
  </si>
  <si>
    <t>DIP2A</t>
  </si>
  <si>
    <t>PDCD11</t>
  </si>
  <si>
    <t>GINS1</t>
  </si>
  <si>
    <t>USP10</t>
  </si>
  <si>
    <t>MESDC2</t>
  </si>
  <si>
    <t>GANAB</t>
  </si>
  <si>
    <t>MVP</t>
  </si>
  <si>
    <t>CBX2</t>
  </si>
  <si>
    <t>GOLGB1</t>
  </si>
  <si>
    <t>CASP8</t>
  </si>
  <si>
    <t>NAA30</t>
  </si>
  <si>
    <t>KIF22</t>
  </si>
  <si>
    <t>MEF2D</t>
  </si>
  <si>
    <t>CHD4</t>
  </si>
  <si>
    <t>LASP1</t>
  </si>
  <si>
    <t>MTF1</t>
  </si>
  <si>
    <t>PTGR1</t>
  </si>
  <si>
    <t>DRAP1</t>
  </si>
  <si>
    <t>ZNF638</t>
  </si>
  <si>
    <t>KPNB1</t>
  </si>
  <si>
    <t>NOLC1</t>
  </si>
  <si>
    <t>NUMA1</t>
  </si>
  <si>
    <t>PSME4</t>
  </si>
  <si>
    <t>GAPVD1</t>
  </si>
  <si>
    <t>ARHGAP19</t>
  </si>
  <si>
    <t>UBXN2B</t>
  </si>
  <si>
    <t>NAA25</t>
  </si>
  <si>
    <t>NCAPH</t>
  </si>
  <si>
    <t>KIAA0101</t>
  </si>
  <si>
    <t>WTAP</t>
  </si>
  <si>
    <t>MAD2L1BP</t>
  </si>
  <si>
    <t>MORF4L2</t>
  </si>
  <si>
    <t>FAM175B</t>
  </si>
  <si>
    <t>SEPT2</t>
  </si>
  <si>
    <t>SART3</t>
  </si>
  <si>
    <t>NCAPD2</t>
  </si>
  <si>
    <t>EXOSC7</t>
  </si>
  <si>
    <t>EFTUD2</t>
  </si>
  <si>
    <t>R3HDM1</t>
  </si>
  <si>
    <t>SNX17</t>
  </si>
  <si>
    <t>RAB3GAP1</t>
  </si>
  <si>
    <t>SLC39A14</t>
  </si>
  <si>
    <t>KARS</t>
  </si>
  <si>
    <t>SETDB1</t>
  </si>
  <si>
    <t>LRRC14</t>
  </si>
  <si>
    <t>RRS1</t>
  </si>
  <si>
    <t>POLD3</t>
  </si>
  <si>
    <t>EIF4H</t>
  </si>
  <si>
    <t>ACAP2</t>
  </si>
  <si>
    <t>KIF14</t>
  </si>
  <si>
    <t>BRD3</t>
  </si>
  <si>
    <t>WDR43</t>
  </si>
  <si>
    <t>ACOX1</t>
  </si>
  <si>
    <t>ZNF146</t>
  </si>
  <si>
    <t>EEA1</t>
  </si>
  <si>
    <t>PAFAH1B3</t>
  </si>
  <si>
    <t>PEA15</t>
  </si>
  <si>
    <t>PMVK</t>
  </si>
  <si>
    <t>PRKD1</t>
  </si>
  <si>
    <t>PLCB4</t>
  </si>
  <si>
    <t>PLEC</t>
  </si>
  <si>
    <t>PCM1</t>
  </si>
  <si>
    <t>TCEAL1</t>
  </si>
  <si>
    <t>PPP2R5A</t>
  </si>
  <si>
    <t>PPA1</t>
  </si>
  <si>
    <t>STK38</t>
  </si>
  <si>
    <t>NONO</t>
  </si>
  <si>
    <t>PPP2R4</t>
  </si>
  <si>
    <t>PTPRK</t>
  </si>
  <si>
    <t>RABEP1</t>
  </si>
  <si>
    <t>RASA2</t>
  </si>
  <si>
    <t>RAB35</t>
  </si>
  <si>
    <t>RBBP5</t>
  </si>
  <si>
    <t>RCN1</t>
  </si>
  <si>
    <t>RALBP1</t>
  </si>
  <si>
    <t>E2F5</t>
  </si>
  <si>
    <t>LLGL1</t>
  </si>
  <si>
    <t>LRRC41</t>
  </si>
  <si>
    <t>PCBP1</t>
  </si>
  <si>
    <t>TCEB2</t>
  </si>
  <si>
    <t>RHEB</t>
  </si>
  <si>
    <t>UBE3C</t>
  </si>
  <si>
    <t>SF3B3</t>
  </si>
  <si>
    <t>DLGAP5</t>
  </si>
  <si>
    <t>RSU1</t>
  </si>
  <si>
    <t>CNN3</t>
  </si>
  <si>
    <t>SAFB</t>
  </si>
  <si>
    <t>SF3B4</t>
  </si>
  <si>
    <t>SF3A2</t>
  </si>
  <si>
    <t>PPP1R7</t>
  </si>
  <si>
    <t>SEC23B</t>
  </si>
  <si>
    <t>CYTH1</t>
  </si>
  <si>
    <t>SF3A1</t>
  </si>
  <si>
    <t>SHB</t>
  </si>
  <si>
    <t>SKIV2L</t>
  </si>
  <si>
    <t>SPA17</t>
  </si>
  <si>
    <t>SURF1</t>
  </si>
  <si>
    <t>SURF2</t>
  </si>
  <si>
    <t>TAF5</t>
  </si>
  <si>
    <t>TAF7</t>
  </si>
  <si>
    <t>TERF2</t>
  </si>
  <si>
    <t>TGIF1</t>
  </si>
  <si>
    <t>NCOA2</t>
  </si>
  <si>
    <t>SLC9A3R2</t>
  </si>
  <si>
    <t>TRADD</t>
  </si>
  <si>
    <t>TARBP2</t>
  </si>
  <si>
    <t>SF1</t>
  </si>
  <si>
    <t>TRIP10</t>
  </si>
  <si>
    <t>TRIP11</t>
  </si>
  <si>
    <t>TRIP13</t>
  </si>
  <si>
    <t>MED1</t>
  </si>
  <si>
    <t>ZNHIT3</t>
  </si>
  <si>
    <t>TRIP4</t>
  </si>
  <si>
    <t>HMGN3</t>
  </si>
  <si>
    <t>JMJD1C</t>
  </si>
  <si>
    <t>TRIP6</t>
  </si>
  <si>
    <t>MAPRE1</t>
  </si>
  <si>
    <t>TSC22D1</t>
  </si>
  <si>
    <t>ELAVL1</t>
  </si>
  <si>
    <t>MYLK</t>
  </si>
  <si>
    <t>TAB1</t>
  </si>
  <si>
    <t>HERC1</t>
  </si>
  <si>
    <t>SLC1A5</t>
  </si>
  <si>
    <t>MLF2</t>
  </si>
  <si>
    <t>TOMM34</t>
  </si>
  <si>
    <t>NCOA1</t>
  </si>
  <si>
    <t>SMAD2</t>
  </si>
  <si>
    <t>TBCC</t>
  </si>
  <si>
    <t>NPTX1</t>
  </si>
  <si>
    <t>UBE2V2</t>
  </si>
  <si>
    <t>STXBP2</t>
  </si>
  <si>
    <t>VAMP3</t>
  </si>
  <si>
    <t>USF2</t>
  </si>
  <si>
    <t>VPS72</t>
  </si>
  <si>
    <t>RAB11B</t>
  </si>
  <si>
    <t>EZH2</t>
  </si>
  <si>
    <t>ZYX</t>
  </si>
  <si>
    <t>SNCB</t>
  </si>
  <si>
    <t>SEPT7</t>
  </si>
  <si>
    <t>ADRM1</t>
  </si>
  <si>
    <t>CCDC6</t>
  </si>
  <si>
    <t>UAP1</t>
  </si>
  <si>
    <t>E2F4</t>
  </si>
  <si>
    <t>IGFBP7</t>
  </si>
  <si>
    <t>PSMD5</t>
  </si>
  <si>
    <t>PKN1</t>
  </si>
  <si>
    <t>PKN2</t>
  </si>
  <si>
    <t>CRY1</t>
  </si>
  <si>
    <t>CSRP2</t>
  </si>
  <si>
    <t>DDB1</t>
  </si>
  <si>
    <t>MAPK14</t>
  </si>
  <si>
    <t>CDC37</t>
  </si>
  <si>
    <t>DPYSL2</t>
  </si>
  <si>
    <t>RBBP7</t>
  </si>
  <si>
    <t>ZNF74</t>
  </si>
  <si>
    <t>STX1A</t>
  </si>
  <si>
    <t>OCLN</t>
  </si>
  <si>
    <t>MEA1</t>
  </si>
  <si>
    <t>SRSF7</t>
  </si>
  <si>
    <t>SMN1</t>
  </si>
  <si>
    <t>DBN1</t>
  </si>
  <si>
    <t>MAPKAPK3</t>
  </si>
  <si>
    <t>NRF1</t>
  </si>
  <si>
    <t>FSCN1</t>
  </si>
  <si>
    <t>ZSCAN26</t>
  </si>
  <si>
    <t>KYNU</t>
  </si>
  <si>
    <t>CLPP</t>
  </si>
  <si>
    <t>DGKD</t>
  </si>
  <si>
    <t>TST</t>
  </si>
  <si>
    <t>UBE2S</t>
  </si>
  <si>
    <t>CCBL1</t>
  </si>
  <si>
    <t>HAGH</t>
  </si>
  <si>
    <t>HIST2H2BE</t>
  </si>
  <si>
    <t>PCK2</t>
  </si>
  <si>
    <t>PTPN21</t>
  </si>
  <si>
    <t>UPP1</t>
  </si>
  <si>
    <t>HADH</t>
  </si>
  <si>
    <t>UGP2</t>
  </si>
  <si>
    <t>DGUOK</t>
  </si>
  <si>
    <t>ATP6V1F</t>
  </si>
  <si>
    <t>TATDN3</t>
  </si>
  <si>
    <t>FAM98C</t>
  </si>
  <si>
    <t>GEN1</t>
  </si>
  <si>
    <t>REL</t>
  </si>
  <si>
    <t>CSPP1</t>
  </si>
  <si>
    <t>TMEM132A</t>
  </si>
  <si>
    <t>INF2</t>
  </si>
  <si>
    <t>PDS5A</t>
  </si>
  <si>
    <t>QSER1</t>
  </si>
  <si>
    <t>CLEC16A</t>
  </si>
  <si>
    <t>AAK1</t>
  </si>
  <si>
    <t>PLK1S1</t>
  </si>
  <si>
    <t>KIAA1033</t>
  </si>
  <si>
    <t>ERCC6L</t>
  </si>
  <si>
    <t>C2orf68</t>
  </si>
  <si>
    <t>TSR1</t>
  </si>
  <si>
    <t>QRICH1</t>
  </si>
  <si>
    <t>RELA</t>
  </si>
  <si>
    <t>SMU1</t>
  </si>
  <si>
    <t>ATG2A</t>
  </si>
  <si>
    <t>TCF3</t>
  </si>
  <si>
    <t>CWF19L2</t>
  </si>
  <si>
    <t>CTU2</t>
  </si>
  <si>
    <t>PDE4C</t>
  </si>
  <si>
    <t>LRRFIP1</t>
  </si>
  <si>
    <t>LEPRE1</t>
  </si>
  <si>
    <t>TRMT5</t>
  </si>
  <si>
    <t>EML3</t>
  </si>
  <si>
    <t>TWISTNB</t>
  </si>
  <si>
    <t>EDRF1</t>
  </si>
  <si>
    <t>FAM161A</t>
  </si>
  <si>
    <t>MAP7D1</t>
  </si>
  <si>
    <t>UAP1L1</t>
  </si>
  <si>
    <t>C2orf76</t>
  </si>
  <si>
    <t>ALKBH6</t>
  </si>
  <si>
    <t>CHD9</t>
  </si>
  <si>
    <t>DAK</t>
  </si>
  <si>
    <t>LSM12</t>
  </si>
  <si>
    <t>TBC1D25</t>
  </si>
  <si>
    <t>PUS10</t>
  </si>
  <si>
    <t>SP6</t>
  </si>
  <si>
    <t>GON4L</t>
  </si>
  <si>
    <t>CCDC88A</t>
  </si>
  <si>
    <t>RABL6</t>
  </si>
  <si>
    <t>TUBB8</t>
  </si>
  <si>
    <t>USP38</t>
  </si>
  <si>
    <t>LGALSL</t>
  </si>
  <si>
    <t>PARP14</t>
  </si>
  <si>
    <t>PLEKHN1</t>
  </si>
  <si>
    <t>FUT11</t>
  </si>
  <si>
    <t>ZNF672</t>
  </si>
  <si>
    <t>CCDC14</t>
  </si>
  <si>
    <t>C5orf22</t>
  </si>
  <si>
    <t>COX19</t>
  </si>
  <si>
    <t>MAP9</t>
  </si>
  <si>
    <t>VPS26B</t>
  </si>
  <si>
    <t>LARP7</t>
  </si>
  <si>
    <t>NADKD1</t>
  </si>
  <si>
    <t>GXYLT1</t>
  </si>
  <si>
    <t>ACSF3</t>
  </si>
  <si>
    <t>PREPL</t>
  </si>
  <si>
    <t>TBC1D10B</t>
  </si>
  <si>
    <t>TPRN</t>
  </si>
  <si>
    <t>PLCH1</t>
  </si>
  <si>
    <t>DNAL1</t>
  </si>
  <si>
    <t>ARID4B</t>
  </si>
  <si>
    <t>GRIPAP1</t>
  </si>
  <si>
    <t>BCL7A</t>
  </si>
  <si>
    <t>FLYWCH1</t>
  </si>
  <si>
    <t>DECR2</t>
  </si>
  <si>
    <t>PAN2</t>
  </si>
  <si>
    <t>C4orf46</t>
  </si>
  <si>
    <t>FAM98B</t>
  </si>
  <si>
    <t>EPC2</t>
  </si>
  <si>
    <t>ARHGAP29</t>
  </si>
  <si>
    <t>PDCD4</t>
  </si>
  <si>
    <t>CEP55</t>
  </si>
  <si>
    <t>C17orf85</t>
  </si>
  <si>
    <t>TP53I3</t>
  </si>
  <si>
    <t>C11orf73</t>
  </si>
  <si>
    <t>KLHL12</t>
  </si>
  <si>
    <t>PHLDA2</t>
  </si>
  <si>
    <t>TRMT12</t>
  </si>
  <si>
    <t>LACTB2</t>
  </si>
  <si>
    <t>TSSC1</t>
  </si>
  <si>
    <t>SMUG1</t>
  </si>
  <si>
    <t>SOWAHC</t>
  </si>
  <si>
    <t>LBH</t>
  </si>
  <si>
    <t>ANKRD39</t>
  </si>
  <si>
    <t>BOLA3</t>
  </si>
  <si>
    <t>COBLL1</t>
  </si>
  <si>
    <t>HS1BP3</t>
  </si>
  <si>
    <t>WDR81</t>
  </si>
  <si>
    <t>SGOL2</t>
  </si>
  <si>
    <t>PPIA</t>
  </si>
  <si>
    <t>PAN3</t>
  </si>
  <si>
    <t>HSP90AB2P</t>
  </si>
  <si>
    <t>HSP90AA4P</t>
  </si>
  <si>
    <t>DCAF6</t>
  </si>
  <si>
    <t>RPL39P5</t>
  </si>
  <si>
    <t>OXLD1</t>
  </si>
  <si>
    <t>C19orf54</t>
  </si>
  <si>
    <t>ZNF326</t>
  </si>
  <si>
    <t>ZC3H12A</t>
  </si>
  <si>
    <t>FLG2</t>
  </si>
  <si>
    <t>RILPL1</t>
  </si>
  <si>
    <t>PDZD11</t>
  </si>
  <si>
    <t>DNAJC21</t>
  </si>
  <si>
    <t>ESCO1</t>
  </si>
  <si>
    <t>HERC4</t>
  </si>
  <si>
    <t>PKIG</t>
  </si>
  <si>
    <t>TIMP1</t>
  </si>
  <si>
    <t>BCORL1</t>
  </si>
  <si>
    <t>FIGN</t>
  </si>
  <si>
    <t>SH3D19</t>
  </si>
  <si>
    <t>TTC32</t>
  </si>
  <si>
    <t>CYP24</t>
  </si>
  <si>
    <t>TUBB</t>
  </si>
  <si>
    <t>ANKRD36C</t>
  </si>
  <si>
    <t>C3orf38</t>
  </si>
  <si>
    <t>MOV10</t>
  </si>
  <si>
    <t>RHOC</t>
  </si>
  <si>
    <t>MIA3</t>
  </si>
  <si>
    <t>NUPL1</t>
  </si>
  <si>
    <t>PITRM1</t>
  </si>
  <si>
    <t>NHLRC3</t>
  </si>
  <si>
    <t>PSMG4</t>
  </si>
  <si>
    <t>TFDP1</t>
  </si>
  <si>
    <t>WDR44</t>
  </si>
  <si>
    <t>TJAP1</t>
  </si>
  <si>
    <t>RRP12</t>
  </si>
  <si>
    <t>COA6</t>
  </si>
  <si>
    <t>GMEB2</t>
  </si>
  <si>
    <t>CEP78</t>
  </si>
  <si>
    <t>AARS2</t>
  </si>
  <si>
    <t>IQSEC2</t>
  </si>
  <si>
    <t>RAPGEF1</t>
  </si>
  <si>
    <t>TEX30</t>
  </si>
  <si>
    <t>FRMPD3</t>
  </si>
  <si>
    <t>PCID2</t>
  </si>
  <si>
    <t>HABP4</t>
  </si>
  <si>
    <t>ELMO2</t>
  </si>
  <si>
    <t>STAU1</t>
  </si>
  <si>
    <t>MCF2</t>
  </si>
  <si>
    <t>SNX21</t>
  </si>
  <si>
    <t>SAMD9</t>
  </si>
  <si>
    <t>DGKK</t>
  </si>
  <si>
    <t>SPECC1</t>
  </si>
  <si>
    <t>SMEK2</t>
  </si>
  <si>
    <t>WDR45B</t>
  </si>
  <si>
    <t>EOGT</t>
  </si>
  <si>
    <t>TBCEL</t>
  </si>
  <si>
    <t>DNTTIP2</t>
  </si>
  <si>
    <t>PEX19</t>
  </si>
  <si>
    <t>BCL2L1</t>
  </si>
  <si>
    <t>DCAF10</t>
  </si>
  <si>
    <t>RALY</t>
  </si>
  <si>
    <t>PSMF1</t>
  </si>
  <si>
    <t>RABGAP1L</t>
  </si>
  <si>
    <t>PLEKHA1</t>
  </si>
  <si>
    <t>CBWD5</t>
  </si>
  <si>
    <t>EXOSC6</t>
  </si>
  <si>
    <t>FAM21B</t>
  </si>
  <si>
    <t>NUP188</t>
  </si>
  <si>
    <t>HLA-A</t>
  </si>
  <si>
    <t>HP1BP3</t>
  </si>
  <si>
    <t>ZMYM1</t>
  </si>
  <si>
    <t>CEP170</t>
  </si>
  <si>
    <t>LDLRAP1</t>
  </si>
  <si>
    <t>DNLZ</t>
  </si>
  <si>
    <t>NHSL1</t>
  </si>
  <si>
    <t>FNBP1L</t>
  </si>
  <si>
    <t>SH3BGRL3</t>
  </si>
  <si>
    <t>RARS2</t>
  </si>
  <si>
    <t>PYGO2</t>
  </si>
  <si>
    <t>THEM4</t>
  </si>
  <si>
    <t>FKBP15</t>
  </si>
  <si>
    <t>DDX59</t>
  </si>
  <si>
    <t>ZC3H13</t>
  </si>
  <si>
    <t>C10orf76</t>
  </si>
  <si>
    <t>PDSS1</t>
  </si>
  <si>
    <t>PDZK1</t>
  </si>
  <si>
    <t>NBEA</t>
  </si>
  <si>
    <t>ARRDC1</t>
  </si>
  <si>
    <t>LRIF1</t>
  </si>
  <si>
    <t>ZNF438</t>
  </si>
  <si>
    <t>IBA57</t>
  </si>
  <si>
    <t>HECTD3</t>
  </si>
  <si>
    <t>UBR4</t>
  </si>
  <si>
    <t>BLZF1</t>
  </si>
  <si>
    <t>STXBP5</t>
  </si>
  <si>
    <t>KIAA1217</t>
  </si>
  <si>
    <t>ARHGAP21</t>
  </si>
  <si>
    <t>BEND3</t>
  </si>
  <si>
    <t>CAMSAP1</t>
  </si>
  <si>
    <t>UBAP2</t>
  </si>
  <si>
    <t>PHF19</t>
  </si>
  <si>
    <t>C9orf64</t>
  </si>
  <si>
    <t>ADCK3</t>
  </si>
  <si>
    <t>GORAB</t>
  </si>
  <si>
    <t>ZNF618</t>
  </si>
  <si>
    <t>PPP1R26</t>
  </si>
  <si>
    <t>ACBD5</t>
  </si>
  <si>
    <t>RBM26</t>
  </si>
  <si>
    <t>ITIH2</t>
  </si>
  <si>
    <t>FAM102A</t>
  </si>
  <si>
    <t>WDR96</t>
  </si>
  <si>
    <t>RNF187</t>
  </si>
  <si>
    <t>AGO1</t>
  </si>
  <si>
    <t>MNF1</t>
  </si>
  <si>
    <t>CAB39L</t>
  </si>
  <si>
    <t>ZCCHC11</t>
  </si>
  <si>
    <t>RNASEH2B</t>
  </si>
  <si>
    <t>C1orf131</t>
  </si>
  <si>
    <t>LSM14B</t>
  </si>
  <si>
    <t>ATPAF1</t>
  </si>
  <si>
    <t>RC3H1</t>
  </si>
  <si>
    <t>OGFRL1</t>
  </si>
  <si>
    <t>MAGI3</t>
  </si>
  <si>
    <t>MLK4</t>
  </si>
  <si>
    <t>DDI2</t>
  </si>
  <si>
    <t>NDUFAF5</t>
  </si>
  <si>
    <t>NT5DC1</t>
  </si>
  <si>
    <t>TMCO4</t>
  </si>
  <si>
    <t>ARFGEF3</t>
  </si>
  <si>
    <t>PRR14L</t>
  </si>
  <si>
    <t>LIN9</t>
  </si>
  <si>
    <t>CROCC</t>
  </si>
  <si>
    <t>MEX3C</t>
  </si>
  <si>
    <t>LYRM7</t>
  </si>
  <si>
    <t>C12orf60</t>
  </si>
  <si>
    <t>RIF1</t>
  </si>
  <si>
    <t>VPS53</t>
  </si>
  <si>
    <t>STRIP1</t>
  </si>
  <si>
    <t>GKAP1</t>
  </si>
  <si>
    <t>CEP350</t>
  </si>
  <si>
    <t>CDC42BPA</t>
  </si>
  <si>
    <t>RPRD2</t>
  </si>
  <si>
    <t>ANXA8L2</t>
  </si>
  <si>
    <t>PRPF38B</t>
  </si>
  <si>
    <t>RNF20</t>
  </si>
  <si>
    <t>DYNLT1</t>
  </si>
  <si>
    <t>ATP5EP2</t>
  </si>
  <si>
    <t>ZNF318</t>
  </si>
  <si>
    <t>FAM171A1</t>
  </si>
  <si>
    <t>C1orf53</t>
  </si>
  <si>
    <t>ARHGEF16</t>
  </si>
  <si>
    <t>CDKAL1</t>
  </si>
  <si>
    <t>ZNF691</t>
  </si>
  <si>
    <t>RPL11</t>
  </si>
  <si>
    <t>PLEKHM2</t>
  </si>
  <si>
    <t>YOD1</t>
  </si>
  <si>
    <t>BROX</t>
  </si>
  <si>
    <t>FOCAD</t>
  </si>
  <si>
    <t>TAF3</t>
  </si>
  <si>
    <t>FAM208B</t>
  </si>
  <si>
    <t>RSBN1</t>
  </si>
  <si>
    <t>DAB2IP</t>
  </si>
  <si>
    <t>LYPLAL1</t>
  </si>
  <si>
    <t>SPATA1</t>
  </si>
  <si>
    <t>LRP11</t>
  </si>
  <si>
    <t>ECM29</t>
  </si>
  <si>
    <t>ZCCHC6</t>
  </si>
  <si>
    <t>SLX4IP</t>
  </si>
  <si>
    <t>RNLS</t>
  </si>
  <si>
    <t>NAA35</t>
  </si>
  <si>
    <t>LRRC16A</t>
  </si>
  <si>
    <t>ZMYM4</t>
  </si>
  <si>
    <t>PFKFB3</t>
  </si>
  <si>
    <t>RNF219</t>
  </si>
  <si>
    <t>USPL1</t>
  </si>
  <si>
    <t>FAM160B1</t>
  </si>
  <si>
    <t>SPRYD7</t>
  </si>
  <si>
    <t>RNF123</t>
  </si>
  <si>
    <t>FBXW9</t>
  </si>
  <si>
    <t>RNF213</t>
  </si>
  <si>
    <t>AP1AR</t>
  </si>
  <si>
    <t>KANK2</t>
  </si>
  <si>
    <t>FAM21A</t>
  </si>
  <si>
    <t>NARG2</t>
  </si>
  <si>
    <t>CEP135</t>
  </si>
  <si>
    <t>TBC1D9B</t>
  </si>
  <si>
    <t>DCAF15</t>
  </si>
  <si>
    <t>PPP2R2D</t>
  </si>
  <si>
    <t>ARL6IP4</t>
  </si>
  <si>
    <t>ATG16L1</t>
  </si>
  <si>
    <t>RAP1GAP2</t>
  </si>
  <si>
    <t>ARID2</t>
  </si>
  <si>
    <t>DIEXF</t>
  </si>
  <si>
    <t>RPGRIP1L</t>
  </si>
  <si>
    <t>HAUS3</t>
  </si>
  <si>
    <t>SPTY2D1</t>
  </si>
  <si>
    <t>PMS2CL</t>
  </si>
  <si>
    <t>DKFZp781D1416</t>
  </si>
  <si>
    <t>INTS3</t>
  </si>
  <si>
    <t>ARHGAP17</t>
  </si>
  <si>
    <t>CDCA2</t>
  </si>
  <si>
    <t>CWF19L1</t>
  </si>
  <si>
    <t>KIAA1429</t>
  </si>
  <si>
    <t>SPECC1L</t>
  </si>
  <si>
    <t>HEATR6</t>
  </si>
  <si>
    <t>ANKRD40</t>
  </si>
  <si>
    <t>WWC2</t>
  </si>
  <si>
    <t>TRIM68</t>
  </si>
  <si>
    <t>CYB5R2</t>
  </si>
  <si>
    <t>UHRF1BP1</t>
  </si>
  <si>
    <t>AMMECR1L</t>
  </si>
  <si>
    <t>ZNF787</t>
  </si>
  <si>
    <t>ADAL</t>
  </si>
  <si>
    <t>NXN</t>
  </si>
  <si>
    <t>TTC19</t>
  </si>
  <si>
    <t>CIAPIN1</t>
  </si>
  <si>
    <t>ZFAND6</t>
  </si>
  <si>
    <t>SMYD5</t>
  </si>
  <si>
    <t>PTRHD1</t>
  </si>
  <si>
    <t>OTUD7B</t>
  </si>
  <si>
    <t>RALGAPA1</t>
  </si>
  <si>
    <t>THOC7</t>
  </si>
  <si>
    <t>NADSYN1</t>
  </si>
  <si>
    <t>ELP2</t>
  </si>
  <si>
    <t>TWF2</t>
  </si>
  <si>
    <t>NCAPH2</t>
  </si>
  <si>
    <t>KIAA0930</t>
  </si>
  <si>
    <t>PHF17</t>
  </si>
  <si>
    <t>MRM1</t>
  </si>
  <si>
    <t>SMEK1</t>
  </si>
  <si>
    <t>RAB12</t>
  </si>
  <si>
    <t>PLEKHA7</t>
  </si>
  <si>
    <t>ADNP2</t>
  </si>
  <si>
    <t>SDE2</t>
  </si>
  <si>
    <t>EIF5AL1</t>
  </si>
  <si>
    <t>USP3</t>
  </si>
  <si>
    <t>KRT80</t>
  </si>
  <si>
    <t>NIPBL</t>
  </si>
  <si>
    <t>PDE12</t>
  </si>
  <si>
    <t>LIN54</t>
  </si>
  <si>
    <t>ZNF280D</t>
  </si>
  <si>
    <t>OGFOD2</t>
  </si>
  <si>
    <t>NAA16</t>
  </si>
  <si>
    <t>ALKBH2</t>
  </si>
  <si>
    <t>PHLDB3</t>
  </si>
  <si>
    <t>TRNP1</t>
  </si>
  <si>
    <t>C5orf45</t>
  </si>
  <si>
    <t>UFSP1</t>
  </si>
  <si>
    <t>HIBCH</t>
  </si>
  <si>
    <t>ARMC6</t>
  </si>
  <si>
    <t>ANKRD54</t>
  </si>
  <si>
    <t>KANK3</t>
  </si>
  <si>
    <t>JMJD6</t>
  </si>
  <si>
    <t>PPP1R18</t>
  </si>
  <si>
    <t>FAAP20</t>
  </si>
  <si>
    <t>PTRF</t>
  </si>
  <si>
    <t>ZCCHC8</t>
  </si>
  <si>
    <t>MIS18BP1</t>
  </si>
  <si>
    <t>DHX57</t>
  </si>
  <si>
    <t>CDC73</t>
  </si>
  <si>
    <t>PMF1</t>
  </si>
  <si>
    <t>FAM117B</t>
  </si>
  <si>
    <t>LLGL2</t>
  </si>
  <si>
    <t>ARMCX5</t>
  </si>
  <si>
    <t>CC2D1A</t>
  </si>
  <si>
    <t>TATDN1</t>
  </si>
  <si>
    <t>METTL2B</t>
  </si>
  <si>
    <t>DUS1L</t>
  </si>
  <si>
    <t>TAF2</t>
  </si>
  <si>
    <t>C8orf82</t>
  </si>
  <si>
    <t>ZFP1</t>
  </si>
  <si>
    <t>EDC4</t>
  </si>
  <si>
    <t>CEP85</t>
  </si>
  <si>
    <t>PRMT10</t>
  </si>
  <si>
    <t>PRPF8</t>
  </si>
  <si>
    <t>FBXO42</t>
  </si>
  <si>
    <t>SCYL2</t>
  </si>
  <si>
    <t>TTC27</t>
  </si>
  <si>
    <t>FDX1L</t>
  </si>
  <si>
    <t>RECQL5</t>
  </si>
  <si>
    <t>WDR73</t>
  </si>
  <si>
    <t>NFRKB</t>
  </si>
  <si>
    <t>MZT2A</t>
  </si>
  <si>
    <t>FAHD1</t>
  </si>
  <si>
    <t>C8orf47</t>
  </si>
  <si>
    <t>ALKBH5</t>
  </si>
  <si>
    <t>KIAA1609</t>
  </si>
  <si>
    <t>INTS5</t>
  </si>
  <si>
    <t>RSBN1L</t>
  </si>
  <si>
    <t>PGM2L1</t>
  </si>
  <si>
    <t>FBXL19</t>
  </si>
  <si>
    <t>CTR9</t>
  </si>
  <si>
    <t>AAGAB</t>
  </si>
  <si>
    <t>PSRC1</t>
  </si>
  <si>
    <t>TTC37</t>
  </si>
  <si>
    <t>C16orf87</t>
  </si>
  <si>
    <t>ULK3</t>
  </si>
  <si>
    <t>DARS2</t>
  </si>
  <si>
    <t>TTC33</t>
  </si>
  <si>
    <t>CCDC174</t>
  </si>
  <si>
    <t>FBXO38</t>
  </si>
  <si>
    <t>CENPC1</t>
  </si>
  <si>
    <t>FIGNL1</t>
  </si>
  <si>
    <t>TRIM65</t>
  </si>
  <si>
    <t>ELMSAN1</t>
  </si>
  <si>
    <t>BRAT1</t>
  </si>
  <si>
    <t>ZC3H14</t>
  </si>
  <si>
    <t>ZNF773</t>
  </si>
  <si>
    <t>LARP1</t>
  </si>
  <si>
    <t>TMED8</t>
  </si>
  <si>
    <t>CPLX2</t>
  </si>
  <si>
    <t>TRAF7</t>
  </si>
  <si>
    <t>BLOC1S3</t>
  </si>
  <si>
    <t>RICTOR</t>
  </si>
  <si>
    <t>FAM111B</t>
  </si>
  <si>
    <t>SAMD1</t>
  </si>
  <si>
    <t>SARM1</t>
  </si>
  <si>
    <t>NHS</t>
  </si>
  <si>
    <t>MTHFD1L</t>
  </si>
  <si>
    <t>ANKRD11</t>
  </si>
  <si>
    <t>AFTPH</t>
  </si>
  <si>
    <t>FIP1L1</t>
  </si>
  <si>
    <t>CRTC1</t>
  </si>
  <si>
    <t>KDELC1</t>
  </si>
  <si>
    <t>LRSAM1</t>
  </si>
  <si>
    <t>DHRS11</t>
  </si>
  <si>
    <t>SBSN</t>
  </si>
  <si>
    <t>CES3</t>
  </si>
  <si>
    <t>CWC27</t>
  </si>
  <si>
    <t>CRELD2</t>
  </si>
  <si>
    <t>WDR82</t>
  </si>
  <si>
    <t>BAIAP2L2</t>
  </si>
  <si>
    <t>TMC5</t>
  </si>
  <si>
    <t>DPP8</t>
  </si>
  <si>
    <t>ATF7IP</t>
  </si>
  <si>
    <t>PACS1</t>
  </si>
  <si>
    <t>RAB11FIP1</t>
  </si>
  <si>
    <t>CHRDL2</t>
  </si>
  <si>
    <t>NAPRT1</t>
  </si>
  <si>
    <t>DSTYK</t>
  </si>
  <si>
    <t>DNMBP</t>
  </si>
  <si>
    <t>GIGYF2</t>
  </si>
  <si>
    <t>CD109</t>
  </si>
  <si>
    <t>THADA</t>
  </si>
  <si>
    <t>HSDL2</t>
  </si>
  <si>
    <t>CCBL2</t>
  </si>
  <si>
    <t>PPP1R21</t>
  </si>
  <si>
    <t>MEX3B</t>
  </si>
  <si>
    <t>LIN28B</t>
  </si>
  <si>
    <t>AEBP2</t>
  </si>
  <si>
    <t>DEF8</t>
  </si>
  <si>
    <t>RNF111</t>
  </si>
  <si>
    <t>NFXL1</t>
  </si>
  <si>
    <t>ATG14</t>
  </si>
  <si>
    <t>NBEAL2</t>
  </si>
  <si>
    <t>GDPGP1</t>
  </si>
  <si>
    <t>C17orf97</t>
  </si>
  <si>
    <t>SRCAP</t>
  </si>
  <si>
    <t>FAM65A</t>
  </si>
  <si>
    <t>NBEAL1</t>
  </si>
  <si>
    <t>C1orf122</t>
  </si>
  <si>
    <t>ARHGEF18</t>
  </si>
  <si>
    <t>UBR3</t>
  </si>
  <si>
    <t>SH3BP1</t>
  </si>
  <si>
    <t>UBN2</t>
  </si>
  <si>
    <t>ARHGAP27</t>
  </si>
  <si>
    <t>C15orf52</t>
  </si>
  <si>
    <t>DENND5B</t>
  </si>
  <si>
    <t>FGD6</t>
  </si>
  <si>
    <t>GPRIN3</t>
  </si>
  <si>
    <t>NUDT18</t>
  </si>
  <si>
    <t>TOM1L2</t>
  </si>
  <si>
    <t>PAXIP1</t>
  </si>
  <si>
    <t>STXBP4</t>
  </si>
  <si>
    <t>GTF2H5</t>
  </si>
  <si>
    <t>VPS13C</t>
  </si>
  <si>
    <t>USP34</t>
  </si>
  <si>
    <t>USP31</t>
  </si>
  <si>
    <t>RAPH1</t>
  </si>
  <si>
    <t>USP53</t>
  </si>
  <si>
    <t>USP54</t>
  </si>
  <si>
    <t>MOB2</t>
  </si>
  <si>
    <t>UNC13D</t>
  </si>
  <si>
    <t>FRA10AC1</t>
  </si>
  <si>
    <t>UBE2R2</t>
  </si>
  <si>
    <t>LARP4</t>
  </si>
  <si>
    <t>MED25</t>
  </si>
  <si>
    <t>TUBA1A</t>
  </si>
  <si>
    <t>H2AFV</t>
  </si>
  <si>
    <t>RPS27L</t>
  </si>
  <si>
    <t>CBLL1</t>
  </si>
  <si>
    <t>NOL8</t>
  </si>
  <si>
    <t>CEP68</t>
  </si>
  <si>
    <t>SUPT6H</t>
  </si>
  <si>
    <t>SND1</t>
  </si>
  <si>
    <t>MARK2</t>
  </si>
  <si>
    <t>DDX46</t>
  </si>
  <si>
    <t>RUFY3</t>
  </si>
  <si>
    <t>TRMT10C</t>
  </si>
  <si>
    <t>BZW1</t>
  </si>
  <si>
    <t>CYB5R4</t>
  </si>
  <si>
    <t>ASRGL1</t>
  </si>
  <si>
    <t>KCTD9</t>
  </si>
  <si>
    <t>EIF3M</t>
  </si>
  <si>
    <t>MEPCE</t>
  </si>
  <si>
    <t>ZNF771</t>
  </si>
  <si>
    <t>RSRC2</t>
  </si>
  <si>
    <t>RRAGA</t>
  </si>
  <si>
    <t>CYFIP1</t>
  </si>
  <si>
    <t>MCM10</t>
  </si>
  <si>
    <t>NDUFAF7</t>
  </si>
  <si>
    <t>GET4</t>
  </si>
  <si>
    <t>ENOSF1</t>
  </si>
  <si>
    <t>MAEA</t>
  </si>
  <si>
    <t>EPM2AIP1</t>
  </si>
  <si>
    <t>DHX32</t>
  </si>
  <si>
    <t>TAOK1</t>
  </si>
  <si>
    <t>SH3BP5L</t>
  </si>
  <si>
    <t>FASTKD5</t>
  </si>
  <si>
    <t>ATPBD4</t>
  </si>
  <si>
    <t>KDM3B</t>
  </si>
  <si>
    <t>CHMP1B</t>
  </si>
  <si>
    <t>RRM2B</t>
  </si>
  <si>
    <t>MICAL3</t>
  </si>
  <si>
    <t>PHF5A</t>
  </si>
  <si>
    <t>APTX</t>
  </si>
  <si>
    <t>GPRIN1</t>
  </si>
  <si>
    <t>TRMT1L</t>
  </si>
  <si>
    <t>ZC3HAV1</t>
  </si>
  <si>
    <t>GVINP1</t>
  </si>
  <si>
    <t>TICRR</t>
  </si>
  <si>
    <t>EFTUD1</t>
  </si>
  <si>
    <t>FAM122B</t>
  </si>
  <si>
    <t>SETX</t>
  </si>
  <si>
    <t>DKFZp686L0695</t>
  </si>
  <si>
    <t>TRAPPC11</t>
  </si>
  <si>
    <t>KANSL1</t>
  </si>
  <si>
    <t>ATG9A</t>
  </si>
  <si>
    <t>LYSMD3</t>
  </si>
  <si>
    <t>C10orf118</t>
  </si>
  <si>
    <t>ARMC9</t>
  </si>
  <si>
    <t>PRICKLE2</t>
  </si>
  <si>
    <t>C16orf62</t>
  </si>
  <si>
    <t>MIER3</t>
  </si>
  <si>
    <t>ZFYVE16</t>
  </si>
  <si>
    <t>UBE3B</t>
  </si>
  <si>
    <t>MYH14</t>
  </si>
  <si>
    <t>NUFIP2</t>
  </si>
  <si>
    <t>SZRD1</t>
  </si>
  <si>
    <t>MAVS</t>
  </si>
  <si>
    <t>CLASP1</t>
  </si>
  <si>
    <t>DHX29</t>
  </si>
  <si>
    <t>COMMD6</t>
  </si>
  <si>
    <t>TRMT11</t>
  </si>
  <si>
    <t>HDDC2</t>
  </si>
  <si>
    <t>HAUS6</t>
  </si>
  <si>
    <t>KDELC2</t>
  </si>
  <si>
    <t>LIMS2</t>
  </si>
  <si>
    <t>HEATR3</t>
  </si>
  <si>
    <t>HDGFRP2</t>
  </si>
  <si>
    <t>DCXR</t>
  </si>
  <si>
    <t>EMSY</t>
  </si>
  <si>
    <t>WAPAL</t>
  </si>
  <si>
    <t>R3HCC1L</t>
  </si>
  <si>
    <t>IRF2BP2</t>
  </si>
  <si>
    <t>CPEB2</t>
  </si>
  <si>
    <t>APBB1IP</t>
  </si>
  <si>
    <t>CAMKMT</t>
  </si>
  <si>
    <t>CCDC91</t>
  </si>
  <si>
    <t>SRGAP1</t>
  </si>
  <si>
    <t>RBBP6</t>
  </si>
  <si>
    <t>C5orf24</t>
  </si>
  <si>
    <t>SH3RF1</t>
  </si>
  <si>
    <t>UBE3D</t>
  </si>
  <si>
    <t>TSEN54</t>
  </si>
  <si>
    <t>PTAR1</t>
  </si>
  <si>
    <t>TECPR1</t>
  </si>
  <si>
    <t>RABEPK</t>
  </si>
  <si>
    <t>HUWE1</t>
  </si>
  <si>
    <t>CNTRL</t>
  </si>
  <si>
    <t>CTU1</t>
  </si>
  <si>
    <t>FILIP1</t>
  </si>
  <si>
    <t>TAF8</t>
  </si>
  <si>
    <t>UBE2Q1</t>
  </si>
  <si>
    <t>KIAA0907</t>
  </si>
  <si>
    <t>VPS13B</t>
  </si>
  <si>
    <t>CAMK2N1</t>
  </si>
  <si>
    <t>CMC1</t>
  </si>
  <si>
    <t>SLFN11</t>
  </si>
  <si>
    <t>ZER1</t>
  </si>
  <si>
    <t>ZSCAN2</t>
  </si>
  <si>
    <t>AMIGO2</t>
  </si>
  <si>
    <t>PHLDB2</t>
  </si>
  <si>
    <t>GPR126</t>
  </si>
  <si>
    <t>SDCCAG8</t>
  </si>
  <si>
    <t>GLRX5</t>
  </si>
  <si>
    <t>TRAPPC6B</t>
  </si>
  <si>
    <t>ZBTB33</t>
  </si>
  <si>
    <t>MOB3B</t>
  </si>
  <si>
    <t>ALPK2</t>
  </si>
  <si>
    <t>PATL1</t>
  </si>
  <si>
    <t>PEG10</t>
  </si>
  <si>
    <t>TBC1D1</t>
  </si>
  <si>
    <t>DPP9</t>
  </si>
  <si>
    <t>TRPT1</t>
  </si>
  <si>
    <t>PRUNE</t>
  </si>
  <si>
    <t>SETD3</t>
  </si>
  <si>
    <t>LGMN</t>
  </si>
  <si>
    <t>ACOT1</t>
  </si>
  <si>
    <t>TINF2</t>
  </si>
  <si>
    <t>ISCA2</t>
  </si>
  <si>
    <t>METTL3</t>
  </si>
  <si>
    <t>LDB1</t>
  </si>
  <si>
    <t>YRDC</t>
  </si>
  <si>
    <t>PRPF39</t>
  </si>
  <si>
    <t>RPAIN</t>
  </si>
  <si>
    <t>SAPCD2</t>
  </si>
  <si>
    <t>TLK2</t>
  </si>
  <si>
    <t>EVC2</t>
  </si>
  <si>
    <t>ZNF598</t>
  </si>
  <si>
    <t>KTN1</t>
  </si>
  <si>
    <t>SMG6</t>
  </si>
  <si>
    <t>BCL9L</t>
  </si>
  <si>
    <t>PHLDB1</t>
  </si>
  <si>
    <t>USP48</t>
  </si>
  <si>
    <t>STK32C</t>
  </si>
  <si>
    <t>TXNDC5</t>
  </si>
  <si>
    <t>NT5DC3</t>
  </si>
  <si>
    <t>AACS</t>
  </si>
  <si>
    <t>LUZP1</t>
  </si>
  <si>
    <t>FAM160B2</t>
  </si>
  <si>
    <t>C11orf74</t>
  </si>
  <si>
    <t>ZNF410</t>
  </si>
  <si>
    <t>ZC3H18</t>
  </si>
  <si>
    <t>VPS36</t>
  </si>
  <si>
    <t>TAX1BP1</t>
  </si>
  <si>
    <t>CAND1</t>
  </si>
  <si>
    <t>GLCCI1</t>
  </si>
  <si>
    <t>TXNRD3</t>
  </si>
  <si>
    <t>FAM134C</t>
  </si>
  <si>
    <t>HOOK3</t>
  </si>
  <si>
    <t>RTTN</t>
  </si>
  <si>
    <t>SESTD1</t>
  </si>
  <si>
    <t>COMMD7</t>
  </si>
  <si>
    <t>TSPYL5</t>
  </si>
  <si>
    <t>AMZ2</t>
  </si>
  <si>
    <t>THOC6</t>
  </si>
  <si>
    <t>METTL16</t>
  </si>
  <si>
    <t>PARG</t>
  </si>
  <si>
    <t>PPFIBP1</t>
  </si>
  <si>
    <t>BPHL</t>
  </si>
  <si>
    <t>RASSF3</t>
  </si>
  <si>
    <t>CHD1L</t>
  </si>
  <si>
    <t>GPBP1</t>
  </si>
  <si>
    <t>NR2C2AP</t>
  </si>
  <si>
    <t>CCDC25</t>
  </si>
  <si>
    <t>PROSER2</t>
  </si>
  <si>
    <t>TTC30A</t>
  </si>
  <si>
    <t>CDR2L</t>
  </si>
  <si>
    <t>RALGAPB</t>
  </si>
  <si>
    <t>RALGPS2</t>
  </si>
  <si>
    <t>LRRC28</t>
  </si>
  <si>
    <t>ERICH1</t>
  </si>
  <si>
    <t>CARM1</t>
  </si>
  <si>
    <t>NIT1</t>
  </si>
  <si>
    <t>COMMD2</t>
  </si>
  <si>
    <t>CIR1</t>
  </si>
  <si>
    <t>HEATR5A</t>
  </si>
  <si>
    <t>NCAPG2</t>
  </si>
  <si>
    <t>SFR1</t>
  </si>
  <si>
    <t>MEX3D</t>
  </si>
  <si>
    <t>DDX42</t>
  </si>
  <si>
    <t>SPATS2</t>
  </si>
  <si>
    <t>VRK2</t>
  </si>
  <si>
    <t>CACUL1</t>
  </si>
  <si>
    <t>HEATR2</t>
  </si>
  <si>
    <t>PTRH1</t>
  </si>
  <si>
    <t>STX12</t>
  </si>
  <si>
    <t>KIF18B</t>
  </si>
  <si>
    <t>PDSS2</t>
  </si>
  <si>
    <t>TDRP</t>
  </si>
  <si>
    <t>HOMER1</t>
  </si>
  <si>
    <t>GATAD2A</t>
  </si>
  <si>
    <t>GPSM1</t>
  </si>
  <si>
    <t>C2CD5</t>
  </si>
  <si>
    <t>SGK223</t>
  </si>
  <si>
    <t>HPS6</t>
  </si>
  <si>
    <t>HRNR</t>
  </si>
  <si>
    <t>IRF2BP1</t>
  </si>
  <si>
    <t>CAMK1D</t>
  </si>
  <si>
    <t>RHPN2</t>
  </si>
  <si>
    <t>ERC1</t>
  </si>
  <si>
    <t>RNF135</t>
  </si>
  <si>
    <t>MINA</t>
  </si>
  <si>
    <t>CRLF3</t>
  </si>
  <si>
    <t>SIAH1</t>
  </si>
  <si>
    <t>TRAPPC5</t>
  </si>
  <si>
    <t>ARMC8</t>
  </si>
  <si>
    <t>ANKRD10</t>
  </si>
  <si>
    <t>PLD3</t>
  </si>
  <si>
    <t>LACC1</t>
  </si>
  <si>
    <t>HID1</t>
  </si>
  <si>
    <t>ANKMY2</t>
  </si>
  <si>
    <t>ERI1</t>
  </si>
  <si>
    <t>LYSMD2</t>
  </si>
  <si>
    <t>VRK3</t>
  </si>
  <si>
    <t>LIX1L</t>
  </si>
  <si>
    <t>NUDCD3</t>
  </si>
  <si>
    <t>AHNAK2</t>
  </si>
  <si>
    <t>ANKRD18A</t>
  </si>
  <si>
    <t>FOXP4</t>
  </si>
  <si>
    <t>MAP4K3</t>
  </si>
  <si>
    <t>NAV2</t>
  </si>
  <si>
    <t>LEPREL1</t>
  </si>
  <si>
    <t>CCDC50</t>
  </si>
  <si>
    <t>MCAT</t>
  </si>
  <si>
    <t>C19orf21</t>
  </si>
  <si>
    <t>LOXHD1</t>
  </si>
  <si>
    <t>APLF</t>
  </si>
  <si>
    <t>MAPKAPK5</t>
  </si>
  <si>
    <t>CARKD</t>
  </si>
  <si>
    <t>FAM219A</t>
  </si>
  <si>
    <t>WDFY1</t>
  </si>
  <si>
    <t>TEX2</t>
  </si>
  <si>
    <t>MAP7D3</t>
  </si>
  <si>
    <t>CCDC117</t>
  </si>
  <si>
    <t>FAM114A1</t>
  </si>
  <si>
    <t>MGA</t>
  </si>
  <si>
    <t>GCC2</t>
  </si>
  <si>
    <t>HSCB</t>
  </si>
  <si>
    <t>CCDC28A</t>
  </si>
  <si>
    <t>BRSK2</t>
  </si>
  <si>
    <t>ZC3H7A</t>
  </si>
  <si>
    <t>ZBTB8OS</t>
  </si>
  <si>
    <t>LMTK2</t>
  </si>
  <si>
    <t>UBR1</t>
  </si>
  <si>
    <t>UBR2</t>
  </si>
  <si>
    <t>ARHGAP12</t>
  </si>
  <si>
    <t>CHERP</t>
  </si>
  <si>
    <t>CDAN1</t>
  </si>
  <si>
    <t>SUGP1</t>
  </si>
  <si>
    <t>SUGP2</t>
  </si>
  <si>
    <t>WWC1</t>
  </si>
  <si>
    <t>UEVLD</t>
  </si>
  <si>
    <t>ZFPM1</t>
  </si>
  <si>
    <t>CCAR1</t>
  </si>
  <si>
    <t>DHX40</t>
  </si>
  <si>
    <t>SKA3</t>
  </si>
  <si>
    <t>DNAJC10</t>
  </si>
  <si>
    <t>NELFCD</t>
  </si>
  <si>
    <t>SIRT2</t>
  </si>
  <si>
    <t>PHC2</t>
  </si>
  <si>
    <t>BAP18</t>
  </si>
  <si>
    <t>MRPL41</t>
  </si>
  <si>
    <t>RIMKLA</t>
  </si>
  <si>
    <t>C9orf40</t>
  </si>
  <si>
    <t>KIAA1704</t>
  </si>
  <si>
    <t>RPAP2</t>
  </si>
  <si>
    <t>ZC3H3</t>
  </si>
  <si>
    <t>SMC5</t>
  </si>
  <si>
    <t>CMIP</t>
  </si>
  <si>
    <t>IFT20</t>
  </si>
  <si>
    <t>MICALL2</t>
  </si>
  <si>
    <t>DHX37</t>
  </si>
  <si>
    <t>KBTBD2</t>
  </si>
  <si>
    <t>FTSJ3</t>
  </si>
  <si>
    <t>EFCAB13</t>
  </si>
  <si>
    <t>SLX4</t>
  </si>
  <si>
    <t>CKAP2L</t>
  </si>
  <si>
    <t>MB21D2</t>
  </si>
  <si>
    <t>SMAP1</t>
  </si>
  <si>
    <t>DIS3L2</t>
  </si>
  <si>
    <t>SUPV3L1</t>
  </si>
  <si>
    <t>GSPT2</t>
  </si>
  <si>
    <t>CCDC146</t>
  </si>
  <si>
    <t>ZZZ3</t>
  </si>
  <si>
    <t>EXOC8</t>
  </si>
  <si>
    <t>C1orf174</t>
  </si>
  <si>
    <t>TCEAL8</t>
  </si>
  <si>
    <t>THNSL1</t>
  </si>
  <si>
    <t>SMYD4</t>
  </si>
  <si>
    <t>GRAMD1C</t>
  </si>
  <si>
    <t>PM20D2</t>
  </si>
  <si>
    <t>FTSJD1</t>
  </si>
  <si>
    <t>MICU2</t>
  </si>
  <si>
    <t>RNF168</t>
  </si>
  <si>
    <t>ANKRD13A</t>
  </si>
  <si>
    <t>PHACTR4</t>
  </si>
  <si>
    <t>TRMT2A</t>
  </si>
  <si>
    <t>RPUSD2</t>
  </si>
  <si>
    <t>ALDH16A1</t>
  </si>
  <si>
    <t>MLL5</t>
  </si>
  <si>
    <t>DCP1B</t>
  </si>
  <si>
    <t>SCYL3</t>
  </si>
  <si>
    <t>XRN1</t>
  </si>
  <si>
    <t>MAML2</t>
  </si>
  <si>
    <t>PELP1</t>
  </si>
  <si>
    <t>ABI1</t>
  </si>
  <si>
    <t>WDFY3</t>
  </si>
  <si>
    <t>TNS4</t>
  </si>
  <si>
    <t>C8orf59</t>
  </si>
  <si>
    <t>FAM185A</t>
  </si>
  <si>
    <t>FUK</t>
  </si>
  <si>
    <t>SPG20</t>
  </si>
  <si>
    <t>SPICE1</t>
  </si>
  <si>
    <t>TTC5</t>
  </si>
  <si>
    <t>MIER1</t>
  </si>
  <si>
    <t>RPTOR</t>
  </si>
  <si>
    <t>CNPY4</t>
  </si>
  <si>
    <t>ADSSL1</t>
  </si>
  <si>
    <t>KIAA1967</t>
  </si>
  <si>
    <t>VPS52</t>
  </si>
  <si>
    <t>NUP93</t>
  </si>
  <si>
    <t>FTSJD2</t>
  </si>
  <si>
    <t>LRRC47</t>
  </si>
  <si>
    <t>KRT78</t>
  </si>
  <si>
    <t>ARHGEF28</t>
  </si>
  <si>
    <t>INTS1</t>
  </si>
  <si>
    <t>ARMC10</t>
  </si>
  <si>
    <t>PIAS4</t>
  </si>
  <si>
    <t>RUSC2</t>
  </si>
  <si>
    <t>APITD1</t>
  </si>
  <si>
    <t>CCDC23</t>
  </si>
  <si>
    <t>AGGF1</t>
  </si>
  <si>
    <t>GPD1L</t>
  </si>
  <si>
    <t>KDM8</t>
  </si>
  <si>
    <t>ARHGAP18</t>
  </si>
  <si>
    <t>ASCC3</t>
  </si>
  <si>
    <t>CLIP4</t>
  </si>
  <si>
    <t>EHBP1L1</t>
  </si>
  <si>
    <t>MICALL1</t>
  </si>
  <si>
    <t>C17orf53</t>
  </si>
  <si>
    <t>VPS8</t>
  </si>
  <si>
    <t>MPP5</t>
  </si>
  <si>
    <t>SYNPO</t>
  </si>
  <si>
    <t>FNBP4</t>
  </si>
  <si>
    <t>D2HGDH</t>
  </si>
  <si>
    <t>RYBP</t>
  </si>
  <si>
    <t>MINK1</t>
  </si>
  <si>
    <t>C9orf41</t>
  </si>
  <si>
    <t>KLHL36</t>
  </si>
  <si>
    <t>HDDC3</t>
  </si>
  <si>
    <t>ZADH2</t>
  </si>
  <si>
    <t>CBR4</t>
  </si>
  <si>
    <t>AFAP1L2</t>
  </si>
  <si>
    <t>OGFOD1</t>
  </si>
  <si>
    <t>AFAP1</t>
  </si>
  <si>
    <t>ZCCHC9</t>
  </si>
  <si>
    <t>OXR1</t>
  </si>
  <si>
    <t>TTC39C</t>
  </si>
  <si>
    <t>ZGPAT</t>
  </si>
  <si>
    <t>DTWD1</t>
  </si>
  <si>
    <t>TAB3</t>
  </si>
  <si>
    <t>NKAP</t>
  </si>
  <si>
    <t>TMEM57</t>
  </si>
  <si>
    <t>C12orf45</t>
  </si>
  <si>
    <t>RPP25L</t>
  </si>
  <si>
    <t>ATPAF2</t>
  </si>
  <si>
    <t>MRPL50</t>
  </si>
  <si>
    <t>ZC3H8</t>
  </si>
  <si>
    <t>CAMKK1</t>
  </si>
  <si>
    <t>NGEF</t>
  </si>
  <si>
    <t>FAM101B</t>
  </si>
  <si>
    <t>FAM160A2</t>
  </si>
  <si>
    <t>LZTR1</t>
  </si>
  <si>
    <t>C10orf12</t>
  </si>
  <si>
    <t>COMMD1</t>
  </si>
  <si>
    <t>CPSF7</t>
  </si>
  <si>
    <t>ARFGAP2</t>
  </si>
  <si>
    <t>EID2</t>
  </si>
  <si>
    <t>OTUD6B</t>
  </si>
  <si>
    <t>C1orf52</t>
  </si>
  <si>
    <t>ACBD7</t>
  </si>
  <si>
    <t>METTL25</t>
  </si>
  <si>
    <t>TOM1L1</t>
  </si>
  <si>
    <t>UBR7</t>
  </si>
  <si>
    <t>PPM1N</t>
  </si>
  <si>
    <t>ZNF614</t>
  </si>
  <si>
    <t>ANKRD44</t>
  </si>
  <si>
    <t>DDX51</t>
  </si>
  <si>
    <t>PTGR2</t>
  </si>
  <si>
    <t>C2orf69</t>
  </si>
  <si>
    <t>ARL14EP</t>
  </si>
  <si>
    <t>ENAH</t>
  </si>
  <si>
    <t>GPATCH11</t>
  </si>
  <si>
    <t>ABTB2</t>
  </si>
  <si>
    <t>C12orf29</t>
  </si>
  <si>
    <t>JMY</t>
  </si>
  <si>
    <t>C19orf47</t>
  </si>
  <si>
    <t>TMEM102</t>
  </si>
  <si>
    <t>ASCC1</t>
  </si>
  <si>
    <t>BANP</t>
  </si>
  <si>
    <t>EIF1AD</t>
  </si>
  <si>
    <t>WDSUB1</t>
  </si>
  <si>
    <t>ZNF579</t>
  </si>
  <si>
    <t>ZNF511</t>
  </si>
  <si>
    <t>MLKL</t>
  </si>
  <si>
    <t>PDDC1</t>
  </si>
  <si>
    <t>ANKRD52</t>
  </si>
  <si>
    <t>KDM1B</t>
  </si>
  <si>
    <t>SPATA5</t>
  </si>
  <si>
    <t>DTWD2</t>
  </si>
  <si>
    <t>NHLRC2</t>
  </si>
  <si>
    <t>AVL9</t>
  </si>
  <si>
    <t>GOLM1</t>
  </si>
  <si>
    <t>COLGALT1</t>
  </si>
  <si>
    <t>SUMF2</t>
  </si>
  <si>
    <t>SUMF1</t>
  </si>
  <si>
    <t>POGLUT1</t>
  </si>
  <si>
    <t>UBAC2</t>
  </si>
  <si>
    <t>ZNF114</t>
  </si>
  <si>
    <t>SERBP1</t>
  </si>
  <si>
    <t>LEMD2</t>
  </si>
  <si>
    <t>NOA1</t>
  </si>
  <si>
    <t>NECAP1</t>
  </si>
  <si>
    <t>FAM98A</t>
  </si>
  <si>
    <t>PLA2G15</t>
  </si>
  <si>
    <t>HJURP</t>
  </si>
  <si>
    <t>TSEN2</t>
  </si>
  <si>
    <t>MTMR14</t>
  </si>
  <si>
    <t>NFATC2IP</t>
  </si>
  <si>
    <t>DYNC2H1</t>
  </si>
  <si>
    <t>RNF169</t>
  </si>
  <si>
    <t>PDPR</t>
  </si>
  <si>
    <t>ZBTB44</t>
  </si>
  <si>
    <t>APOA1BP</t>
  </si>
  <si>
    <t>SMG8</t>
  </si>
  <si>
    <t>RNF214</t>
  </si>
  <si>
    <t>PPFIBP2</t>
  </si>
  <si>
    <t>CCNY</t>
  </si>
  <si>
    <t>MAPK1IP1L</t>
  </si>
  <si>
    <t>PAPD5</t>
  </si>
  <si>
    <t>NPEPL1</t>
  </si>
  <si>
    <t>EHBP1</t>
  </si>
  <si>
    <t>TNRC6A</t>
  </si>
  <si>
    <t>PHC3</t>
  </si>
  <si>
    <t>ABCF1</t>
  </si>
  <si>
    <t>PIK3C3</t>
  </si>
  <si>
    <t>GSTCD</t>
  </si>
  <si>
    <t>SRFBP1</t>
  </si>
  <si>
    <t>MNS1</t>
  </si>
  <si>
    <t>DDHD1</t>
  </si>
  <si>
    <t>MCPH1</t>
  </si>
  <si>
    <t>SHCBP1</t>
  </si>
  <si>
    <t>PDZD8</t>
  </si>
  <si>
    <t>APPL2</t>
  </si>
  <si>
    <t>NAV1</t>
  </si>
  <si>
    <t>VPS37A</t>
  </si>
  <si>
    <t>MLL3</t>
  </si>
  <si>
    <t>FBXO22</t>
  </si>
  <si>
    <t>ZMIZ2</t>
  </si>
  <si>
    <t>SYNE1</t>
  </si>
  <si>
    <t>USP32</t>
  </si>
  <si>
    <t>FLAD1</t>
  </si>
  <si>
    <t>FLCN</t>
  </si>
  <si>
    <t>NUP43</t>
  </si>
  <si>
    <t>NUP37</t>
  </si>
  <si>
    <t>ENGASE</t>
  </si>
  <si>
    <t>TOR1AIP2</t>
  </si>
  <si>
    <t>ABHD11</t>
  </si>
  <si>
    <t>CMAS</t>
  </si>
  <si>
    <t>FBXO18</t>
  </si>
  <si>
    <t>TNIP2</t>
  </si>
  <si>
    <t>CADM4</t>
  </si>
  <si>
    <t>HELB</t>
  </si>
  <si>
    <t>PJA1</t>
  </si>
  <si>
    <t>CASC5</t>
  </si>
  <si>
    <t>TTL</t>
  </si>
  <si>
    <t>SVIP</t>
  </si>
  <si>
    <t>ZNRF2</t>
  </si>
  <si>
    <t>TRY6</t>
  </si>
  <si>
    <t>KDM2B</t>
  </si>
  <si>
    <t>PLBD2</t>
  </si>
  <si>
    <t>TDRD7</t>
  </si>
  <si>
    <t>NEDD1</t>
  </si>
  <si>
    <t>CDC26</t>
  </si>
  <si>
    <t>NCOA7</t>
  </si>
  <si>
    <t>THOC2</t>
  </si>
  <si>
    <t>INADL</t>
  </si>
  <si>
    <t>WDR36</t>
  </si>
  <si>
    <t>RP9</t>
  </si>
  <si>
    <t>SNIP1</t>
  </si>
  <si>
    <t>GADD45GIP1</t>
  </si>
  <si>
    <t>WDR48</t>
  </si>
  <si>
    <t>CEP76</t>
  </si>
  <si>
    <t>PPP1R35</t>
  </si>
  <si>
    <t>MPLKIP</t>
  </si>
  <si>
    <t>SMARCC2</t>
  </si>
  <si>
    <t>NPLOC4</t>
  </si>
  <si>
    <t>FAM76A</t>
  </si>
  <si>
    <t>CXorf38</t>
  </si>
  <si>
    <t>SPATA20</t>
  </si>
  <si>
    <t>RIN3</t>
  </si>
  <si>
    <t>NUBPL</t>
  </si>
  <si>
    <t>ABHD4</t>
  </si>
  <si>
    <t>FBXO30</t>
  </si>
  <si>
    <t>PUM2</t>
  </si>
  <si>
    <t>GOLGA5</t>
  </si>
  <si>
    <t>KLHDC4</t>
  </si>
  <si>
    <t>UBA3</t>
  </si>
  <si>
    <t>NANP</t>
  </si>
  <si>
    <t>FAM213B</t>
  </si>
  <si>
    <t>DNAJB14</t>
  </si>
  <si>
    <t>RAB3IL1</t>
  </si>
  <si>
    <t>PIP4K2C</t>
  </si>
  <si>
    <t>TRMT10A</t>
  </si>
  <si>
    <t>TBC1D15</t>
  </si>
  <si>
    <t>LRRC20</t>
  </si>
  <si>
    <t>NT5C</t>
  </si>
  <si>
    <t>FAM45A</t>
  </si>
  <si>
    <t>KIAA1524</t>
  </si>
  <si>
    <t>ZNF507</t>
  </si>
  <si>
    <t>PNPT1</t>
  </si>
  <si>
    <t>ALMS1</t>
  </si>
  <si>
    <t>PREX1</t>
  </si>
  <si>
    <t>DYNC2LI1</t>
  </si>
  <si>
    <t>URGCP</t>
  </si>
  <si>
    <t>MAPK15</t>
  </si>
  <si>
    <t>BICD2</t>
  </si>
  <si>
    <t>NEK9</t>
  </si>
  <si>
    <t>GPT2</t>
  </si>
  <si>
    <t>PLEKHO2</t>
  </si>
  <si>
    <t>DDX54</t>
  </si>
  <si>
    <t>BLOC1S5</t>
  </si>
  <si>
    <t>DMXL2</t>
  </si>
  <si>
    <t>BCAS4</t>
  </si>
  <si>
    <t>DLG5</t>
  </si>
  <si>
    <t>GNPDA2</t>
  </si>
  <si>
    <t>TRAF3IP1</t>
  </si>
  <si>
    <t>NEK7</t>
  </si>
  <si>
    <t>RB1CC1</t>
  </si>
  <si>
    <t>MICAL1</t>
  </si>
  <si>
    <t>PANK1</t>
  </si>
  <si>
    <t>MORC4</t>
  </si>
  <si>
    <t>SSH3</t>
  </si>
  <si>
    <t>NSUN6</t>
  </si>
  <si>
    <t>TBCK</t>
  </si>
  <si>
    <t>DTD1</t>
  </si>
  <si>
    <t>DCAF11</t>
  </si>
  <si>
    <t>DENND1A</t>
  </si>
  <si>
    <t>DOT1L</t>
  </si>
  <si>
    <t>GEMIN5</t>
  </si>
  <si>
    <t>ARHGEF40</t>
  </si>
  <si>
    <t>FBF1</t>
  </si>
  <si>
    <t>SMCR8</t>
  </si>
  <si>
    <t>PARD3</t>
  </si>
  <si>
    <t>IPO4</t>
  </si>
  <si>
    <t>PNISR</t>
  </si>
  <si>
    <t>PPP4R1</t>
  </si>
  <si>
    <t>UBASH3B</t>
  </si>
  <si>
    <t>SLC16A10</t>
  </si>
  <si>
    <t>SHROOM3</t>
  </si>
  <si>
    <t>SETD7</t>
  </si>
  <si>
    <t>COG1</t>
  </si>
  <si>
    <t>FRS2</t>
  </si>
  <si>
    <t>FAM222B</t>
  </si>
  <si>
    <t>SMAP2</t>
  </si>
  <si>
    <t>ZC3H15</t>
  </si>
  <si>
    <t>PPIL4</t>
  </si>
  <si>
    <t>GTF3C2</t>
  </si>
  <si>
    <t>TSKU</t>
  </si>
  <si>
    <t>PHF10</t>
  </si>
  <si>
    <t>RAB2B</t>
  </si>
  <si>
    <t>CCDC12</t>
  </si>
  <si>
    <t>PPP1R13L</t>
  </si>
  <si>
    <t>FAM172A</t>
  </si>
  <si>
    <t>CHURC1</t>
  </si>
  <si>
    <t>TGFBRAP1</t>
  </si>
  <si>
    <t>C12orf23</t>
  </si>
  <si>
    <t>HDAC7</t>
  </si>
  <si>
    <t>STYX</t>
  </si>
  <si>
    <t>NUP133</t>
  </si>
  <si>
    <t>PDCD6IP</t>
  </si>
  <si>
    <t>UBTD2</t>
  </si>
  <si>
    <t>FBLIM1</t>
  </si>
  <si>
    <t>C15orf40</t>
  </si>
  <si>
    <t>BRK1</t>
  </si>
  <si>
    <t>CHAC2</t>
  </si>
  <si>
    <t>CHMP7</t>
  </si>
  <si>
    <t>BCL7C</t>
  </si>
  <si>
    <t>NSMCE1</t>
  </si>
  <si>
    <t>SNX33</t>
  </si>
  <si>
    <t>NUDT8</t>
  </si>
  <si>
    <t>MITD1</t>
  </si>
  <si>
    <t>HEXDC</t>
  </si>
  <si>
    <t>CHTF18</t>
  </si>
  <si>
    <t>LEO1</t>
  </si>
  <si>
    <t>RPS21</t>
  </si>
  <si>
    <t>RNF138</t>
  </si>
  <si>
    <t>NUDCD2</t>
  </si>
  <si>
    <t>SNRNP27</t>
  </si>
  <si>
    <t>TFB1M</t>
  </si>
  <si>
    <t>SCFD1</t>
  </si>
  <si>
    <t>TNFAIP8L1</t>
  </si>
  <si>
    <t>WDR60</t>
  </si>
  <si>
    <t>TRAPPC12</t>
  </si>
  <si>
    <t>POF1B</t>
  </si>
  <si>
    <t>HNRPLL</t>
  </si>
  <si>
    <t>UBLCP1</t>
  </si>
  <si>
    <t>TSEN15</t>
  </si>
  <si>
    <t>PCNP</t>
  </si>
  <si>
    <t>TCTEX1D2</t>
  </si>
  <si>
    <t>SPRYD4</t>
  </si>
  <si>
    <t>TRUB1</t>
  </si>
  <si>
    <t>ARAP3</t>
  </si>
  <si>
    <t>RTN4IP1</t>
  </si>
  <si>
    <t>SELM</t>
  </si>
  <si>
    <t>PRPF31</t>
  </si>
  <si>
    <t>EDARADD</t>
  </si>
  <si>
    <t>NELFB</t>
  </si>
  <si>
    <t>PALLD</t>
  </si>
  <si>
    <t>RUFY2</t>
  </si>
  <si>
    <t>SREK1</t>
  </si>
  <si>
    <t>METTL21A</t>
  </si>
  <si>
    <t>GEMIN6</t>
  </si>
  <si>
    <t>CASKIN2</t>
  </si>
  <si>
    <t>ATRIP</t>
  </si>
  <si>
    <t>PSPC1</t>
  </si>
  <si>
    <t>CNKSR2</t>
  </si>
  <si>
    <t>ACOT11</t>
  </si>
  <si>
    <t>GATAD2B</t>
  </si>
  <si>
    <t>PIBF1</t>
  </si>
  <si>
    <t>DNAJC9</t>
  </si>
  <si>
    <t>IFT81</t>
  </si>
  <si>
    <t>CTNNBL1</t>
  </si>
  <si>
    <t>SSH1</t>
  </si>
  <si>
    <t>RIN2</t>
  </si>
  <si>
    <t>AHCTF1</t>
  </si>
  <si>
    <t>RFFL</t>
  </si>
  <si>
    <t>OVCA2</t>
  </si>
  <si>
    <t>LZIC</t>
  </si>
  <si>
    <t>IRGQ</t>
  </si>
  <si>
    <t>DDB2</t>
  </si>
  <si>
    <t>DDX1</t>
  </si>
  <si>
    <t>SEC14L1</t>
  </si>
  <si>
    <t>HSD17B8</t>
  </si>
  <si>
    <t>H1FX</t>
  </si>
  <si>
    <t>CCT6B</t>
  </si>
  <si>
    <t>GBF1</t>
  </si>
  <si>
    <t>SMG7</t>
  </si>
  <si>
    <t>RTF1</t>
  </si>
  <si>
    <t>TMEM131</t>
  </si>
  <si>
    <t>TOPBP1</t>
  </si>
  <si>
    <t>MRPS27</t>
  </si>
  <si>
    <t>WASF1</t>
  </si>
  <si>
    <t>FAM168A</t>
  </si>
  <si>
    <t>AP3S1</t>
  </si>
  <si>
    <t>UBXN4</t>
  </si>
  <si>
    <t>PHF3</t>
  </si>
  <si>
    <t>MAML1</t>
  </si>
  <si>
    <t>NDRG1</t>
  </si>
  <si>
    <t>HSPH1</t>
  </si>
  <si>
    <t>SEPT8</t>
  </si>
  <si>
    <t>RQCD1</t>
  </si>
  <si>
    <t>TBC1D5</t>
  </si>
  <si>
    <t>ZNF592</t>
  </si>
  <si>
    <t>MYO18A</t>
  </si>
  <si>
    <t>GCN1L1</t>
  </si>
  <si>
    <t>DHX38</t>
  </si>
  <si>
    <t>NUP205</t>
  </si>
  <si>
    <t>TTC9</t>
  </si>
  <si>
    <t>APPBP2</t>
  </si>
  <si>
    <t>ANKS1A</t>
  </si>
  <si>
    <t>SGCD</t>
  </si>
  <si>
    <t>NSMAF</t>
  </si>
  <si>
    <t>GTF3A</t>
  </si>
  <si>
    <t>MRPS31</t>
  </si>
  <si>
    <t>AKAP1</t>
  </si>
  <si>
    <t>NRGN</t>
  </si>
  <si>
    <t>ANP32B</t>
  </si>
  <si>
    <t>PVRL2</t>
  </si>
  <si>
    <t>RABGGTA</t>
  </si>
  <si>
    <t>TFG</t>
  </si>
  <si>
    <t>USP6NL</t>
  </si>
  <si>
    <t>ARPC1A</t>
  </si>
  <si>
    <t>STAM</t>
  </si>
  <si>
    <t>DPF2</t>
  </si>
  <si>
    <t>CREBBP</t>
  </si>
  <si>
    <t>SYMPK</t>
  </si>
  <si>
    <t>TAF15</t>
  </si>
  <si>
    <t>GOLGA1</t>
  </si>
  <si>
    <t>EVPL</t>
  </si>
  <si>
    <t>GGH</t>
  </si>
  <si>
    <t>RPGR</t>
  </si>
  <si>
    <t>DDX17</t>
  </si>
  <si>
    <t>BCL2L2</t>
  </si>
  <si>
    <t>TANK</t>
  </si>
  <si>
    <t>KIFAP3</t>
  </si>
  <si>
    <t>CASP10</t>
  </si>
  <si>
    <t>NEO1</t>
  </si>
  <si>
    <t>PMM1</t>
  </si>
  <si>
    <t>RAD50</t>
  </si>
  <si>
    <t>CELF1</t>
  </si>
  <si>
    <t>OSTF1</t>
  </si>
  <si>
    <t>ERCC4</t>
  </si>
  <si>
    <t>UFD1L</t>
  </si>
  <si>
    <t>UPF1</t>
  </si>
  <si>
    <t>HPS1</t>
  </si>
  <si>
    <t>COPS5</t>
  </si>
  <si>
    <t>GPKOW</t>
  </si>
  <si>
    <t>SMARCC1</t>
  </si>
  <si>
    <t>RAB8B</t>
  </si>
  <si>
    <t>BAD</t>
  </si>
  <si>
    <t>KHSRP</t>
  </si>
  <si>
    <t>GCDH</t>
  </si>
  <si>
    <t>RIT1</t>
  </si>
  <si>
    <t>TNPO1</t>
  </si>
  <si>
    <t>ARHGEF2</t>
  </si>
  <si>
    <t>EMG1</t>
  </si>
  <si>
    <t>CLP1</t>
  </si>
  <si>
    <t>GLMN</t>
  </si>
  <si>
    <t>BRF1</t>
  </si>
  <si>
    <t>USP13</t>
  </si>
  <si>
    <t>USP9X</t>
  </si>
  <si>
    <t>CUL5</t>
  </si>
  <si>
    <t>RBPMS</t>
  </si>
  <si>
    <t>SECISBP2L</t>
  </si>
  <si>
    <t>MED12</t>
  </si>
  <si>
    <t>HIST1H2AC</t>
  </si>
  <si>
    <t>PTP4A1</t>
  </si>
  <si>
    <t>HGD</t>
  </si>
  <si>
    <t>PHKB</t>
  </si>
  <si>
    <t>TCEAL3</t>
  </si>
  <si>
    <t>TSR2</t>
  </si>
  <si>
    <t>HPS3</t>
  </si>
  <si>
    <t>SMARCE1</t>
  </si>
  <si>
    <t>RFK</t>
  </si>
  <si>
    <t>POP5</t>
  </si>
  <si>
    <t>C19orf10</t>
  </si>
  <si>
    <t>RNF34</t>
  </si>
  <si>
    <t>YIPF5</t>
  </si>
  <si>
    <t>RPL36AL</t>
  </si>
  <si>
    <t>ITFG2</t>
  </si>
  <si>
    <t>ZNF622</t>
  </si>
  <si>
    <t>GFM2</t>
  </si>
  <si>
    <t>NT5C3B</t>
  </si>
  <si>
    <t>FBXW5</t>
  </si>
  <si>
    <t>PSMG2</t>
  </si>
  <si>
    <t>MUL1</t>
  </si>
  <si>
    <t>FAM104A</t>
  </si>
  <si>
    <t>CIRH1A</t>
  </si>
  <si>
    <t>GTPBP3</t>
  </si>
  <si>
    <t>TBRG4</t>
  </si>
  <si>
    <t>PPP1R14A</t>
  </si>
  <si>
    <t>CCDC102A</t>
  </si>
  <si>
    <t>RNF166</t>
  </si>
  <si>
    <t>SLC25A28</t>
  </si>
  <si>
    <t>SYAP1</t>
  </si>
  <si>
    <t>EXOC4</t>
  </si>
  <si>
    <t>MAGOHB</t>
  </si>
  <si>
    <t>KIAA1191</t>
  </si>
  <si>
    <t>ISOC2</t>
  </si>
  <si>
    <t>NTAN1</t>
  </si>
  <si>
    <t>FERMT2</t>
  </si>
  <si>
    <t>FUBP1</t>
  </si>
  <si>
    <t>LRRC59</t>
  </si>
  <si>
    <t>VTI1A</t>
  </si>
  <si>
    <t>ACD</t>
  </si>
  <si>
    <t>KIAA1143</t>
  </si>
  <si>
    <t>RPE</t>
  </si>
  <si>
    <t>VPS33A</t>
  </si>
  <si>
    <t>EME1</t>
  </si>
  <si>
    <t>FKBP10</t>
  </si>
  <si>
    <t>TTC28</t>
  </si>
  <si>
    <t>RAD51AP1</t>
  </si>
  <si>
    <t>UBE2W</t>
  </si>
  <si>
    <t>C18orf25</t>
  </si>
  <si>
    <t>EXOSC8</t>
  </si>
  <si>
    <t>AKT1S1</t>
  </si>
  <si>
    <t>C10orf32</t>
  </si>
  <si>
    <t>SH3KBP1</t>
  </si>
  <si>
    <t>PHF21A</t>
  </si>
  <si>
    <t>NACC2</t>
  </si>
  <si>
    <t>RNF25</t>
  </si>
  <si>
    <t>AIDA</t>
  </si>
  <si>
    <t>PINX1</t>
  </si>
  <si>
    <t>FAM105B</t>
  </si>
  <si>
    <t>CHCHD1</t>
  </si>
  <si>
    <t>PPWD1</t>
  </si>
  <si>
    <t>SELRC1</t>
  </si>
  <si>
    <t>TESC</t>
  </si>
  <si>
    <t>ALKBH8</t>
  </si>
  <si>
    <t>UPRT</t>
  </si>
  <si>
    <t>PTER</t>
  </si>
  <si>
    <t>MOB3A</t>
  </si>
  <si>
    <t>DOCK10</t>
  </si>
  <si>
    <t>ATG2B</t>
  </si>
  <si>
    <t>LENG1</t>
  </si>
  <si>
    <t>FAM136A</t>
  </si>
  <si>
    <t>EFHD2</t>
  </si>
  <si>
    <t>GALM</t>
  </si>
  <si>
    <t>SYTL4</t>
  </si>
  <si>
    <t>RUNDC1</t>
  </si>
  <si>
    <t>PYCR2</t>
  </si>
  <si>
    <t>DCPS</t>
  </si>
  <si>
    <t>PPP1R14B</t>
  </si>
  <si>
    <t>INTS12</t>
  </si>
  <si>
    <t>FBXL8</t>
  </si>
  <si>
    <t>PPCDC</t>
  </si>
  <si>
    <t>CHMP4C</t>
  </si>
  <si>
    <t>TIFA</t>
  </si>
  <si>
    <t>LRRC45</t>
  </si>
  <si>
    <t>ISOC1</t>
  </si>
  <si>
    <t>GCC1</t>
  </si>
  <si>
    <t>FLYWCH2</t>
  </si>
  <si>
    <t>GRAMD1A</t>
  </si>
  <si>
    <t>HAUS1</t>
  </si>
  <si>
    <t>FAF2</t>
  </si>
  <si>
    <t>CCDC124</t>
  </si>
  <si>
    <t>OPTN</t>
  </si>
  <si>
    <t>AP2M1</t>
  </si>
  <si>
    <t>TUBGCP3</t>
  </si>
  <si>
    <t>SLC7A6OS</t>
  </si>
  <si>
    <t>KCTD12</t>
  </si>
  <si>
    <t>LRRC58</t>
  </si>
  <si>
    <t>GPRASP2</t>
  </si>
  <si>
    <t>NMD3</t>
  </si>
  <si>
    <t>ADCK4</t>
  </si>
  <si>
    <t>REPS1</t>
  </si>
  <si>
    <t>RMDN1</t>
  </si>
  <si>
    <t>TMCO6</t>
  </si>
  <si>
    <t>NUDT16</t>
  </si>
  <si>
    <t>ANAPC16</t>
  </si>
  <si>
    <t>DGCR14</t>
  </si>
  <si>
    <t>CMBL</t>
  </si>
  <si>
    <t>SNRNP40</t>
  </si>
  <si>
    <t>ARHGEF26</t>
  </si>
  <si>
    <t>LGALS12</t>
  </si>
  <si>
    <t>ZBTB10</t>
  </si>
  <si>
    <t>ITPKC</t>
  </si>
  <si>
    <t>MRPL38</t>
  </si>
  <si>
    <t>RSPRY1</t>
  </si>
  <si>
    <t>ASB9</t>
  </si>
  <si>
    <t>TRIM44</t>
  </si>
  <si>
    <t>ERLEC1</t>
  </si>
  <si>
    <t>FAM122A</t>
  </si>
  <si>
    <t>MRRF</t>
  </si>
  <si>
    <t>RMI2</t>
  </si>
  <si>
    <t>SPDL1</t>
  </si>
  <si>
    <t>ELP4</t>
  </si>
  <si>
    <t>SIRT1</t>
  </si>
  <si>
    <t>HOOK2</t>
  </si>
  <si>
    <t>SEH1L</t>
  </si>
  <si>
    <t>FBXO17</t>
  </si>
  <si>
    <t>MALSU1</t>
  </si>
  <si>
    <t>TCEAL4</t>
  </si>
  <si>
    <t>THAP11</t>
  </si>
  <si>
    <t>KIAA1279</t>
  </si>
  <si>
    <t>GNPNAT1</t>
  </si>
  <si>
    <t>FAM120B</t>
  </si>
  <si>
    <t>KTI12</t>
  </si>
  <si>
    <t>MRPL53</t>
  </si>
  <si>
    <t>L3HYPDH</t>
  </si>
  <si>
    <t>MOCOS</t>
  </si>
  <si>
    <t>RNF31</t>
  </si>
  <si>
    <t>CHFR</t>
  </si>
  <si>
    <t>DAZAP1</t>
  </si>
  <si>
    <t>SGTB</t>
  </si>
  <si>
    <t>CCDC101</t>
  </si>
  <si>
    <t>RBM33</t>
  </si>
  <si>
    <t>DTNBP1</t>
  </si>
  <si>
    <t>HSPBAP1</t>
  </si>
  <si>
    <t>WDR34</t>
  </si>
  <si>
    <t>DNAJA3</t>
  </si>
  <si>
    <t>TMA16</t>
  </si>
  <si>
    <t>MVB12A</t>
  </si>
  <si>
    <t>PTCD3</t>
  </si>
  <si>
    <t>MMAB</t>
  </si>
  <si>
    <t>ADAT3</t>
  </si>
  <si>
    <t>NRBF2</t>
  </si>
  <si>
    <t>TRIM11</t>
  </si>
  <si>
    <t>IL17RA</t>
  </si>
  <si>
    <t>CCDC97</t>
  </si>
  <si>
    <t>EDC3</t>
  </si>
  <si>
    <t>CDCA5</t>
  </si>
  <si>
    <t>MEF2BNB</t>
  </si>
  <si>
    <t>STAMBPL1</t>
  </si>
  <si>
    <t>DYNLL2</t>
  </si>
  <si>
    <t>WDR89</t>
  </si>
  <si>
    <t>DTD2</t>
  </si>
  <si>
    <t>S100A16</t>
  </si>
  <si>
    <t>SIPA1</t>
  </si>
  <si>
    <t>IFT43</t>
  </si>
  <si>
    <t>SCRN2</t>
  </si>
  <si>
    <t>THOC1</t>
  </si>
  <si>
    <t>OTUB1</t>
  </si>
  <si>
    <t>DPH3</t>
  </si>
  <si>
    <t>TRMT61A</t>
  </si>
  <si>
    <t>C3orf37</t>
  </si>
  <si>
    <t>PGM2</t>
  </si>
  <si>
    <t>FAM86A</t>
  </si>
  <si>
    <t>MED8</t>
  </si>
  <si>
    <t>CCDC104</t>
  </si>
  <si>
    <t>DUS3L</t>
  </si>
  <si>
    <t>NUDT11</t>
  </si>
  <si>
    <t>OTUD5</t>
  </si>
  <si>
    <t>LTV1</t>
  </si>
  <si>
    <t>SDSL</t>
  </si>
  <si>
    <t>PDXP</t>
  </si>
  <si>
    <t>CEP95</t>
  </si>
  <si>
    <t>DCUN1D1</t>
  </si>
  <si>
    <t>FAHD2A</t>
  </si>
  <si>
    <t>SMARCD1</t>
  </si>
  <si>
    <t>DDX27</t>
  </si>
  <si>
    <t>C17orf59</t>
  </si>
  <si>
    <t>MARS2</t>
  </si>
  <si>
    <t>ATXN7L3B</t>
  </si>
  <si>
    <t>MASTL</t>
  </si>
  <si>
    <t>APIP</t>
  </si>
  <si>
    <t>ZC2HC1A</t>
  </si>
  <si>
    <t>SNF8</t>
  </si>
  <si>
    <t>ZC3HAV1L</t>
  </si>
  <si>
    <t>TONSL</t>
  </si>
  <si>
    <t>PDLIM5</t>
  </si>
  <si>
    <t>ACY3</t>
  </si>
  <si>
    <t>ERO1L</t>
  </si>
  <si>
    <t>C7orf55</t>
  </si>
  <si>
    <t>AHCYL2</t>
  </si>
  <si>
    <t>OXNAD1</t>
  </si>
  <si>
    <t>CDKN2AIPNL</t>
  </si>
  <si>
    <t>PGAM5</t>
  </si>
  <si>
    <t>INTS4</t>
  </si>
  <si>
    <t>DDRGK1</t>
  </si>
  <si>
    <t>DHTKD1</t>
  </si>
  <si>
    <t>SCLY</t>
  </si>
  <si>
    <t>PYURF</t>
  </si>
  <si>
    <t>FUBP3</t>
  </si>
  <si>
    <t>RBM17</t>
  </si>
  <si>
    <t>WBSCR16</t>
  </si>
  <si>
    <t>NARS2</t>
  </si>
  <si>
    <t>SUCLG2</t>
  </si>
  <si>
    <t>AJUBA</t>
  </si>
  <si>
    <t>GMPPA</t>
  </si>
  <si>
    <t>BOD1</t>
  </si>
  <si>
    <t>ZNF414</t>
  </si>
  <si>
    <t>HPDL</t>
  </si>
  <si>
    <t>ABHD14B</t>
  </si>
  <si>
    <t>NGLY1</t>
  </si>
  <si>
    <t>NSL1</t>
  </si>
  <si>
    <t>PAWR</t>
  </si>
  <si>
    <t>RBM41</t>
  </si>
  <si>
    <t>METTL2A</t>
  </si>
  <si>
    <t>RSRC1</t>
  </si>
  <si>
    <t>THOC3</t>
  </si>
  <si>
    <t>ITCH</t>
  </si>
  <si>
    <t>KIRREL</t>
  </si>
  <si>
    <t>COG3</t>
  </si>
  <si>
    <t>CDK5RAP3</t>
  </si>
  <si>
    <t>VPS39</t>
  </si>
  <si>
    <t>EAF1</t>
  </si>
  <si>
    <t>MAP6</t>
  </si>
  <si>
    <t>CCDC132</t>
  </si>
  <si>
    <t>ZNF469</t>
  </si>
  <si>
    <t>VCPIP1</t>
  </si>
  <si>
    <t>SPG11</t>
  </si>
  <si>
    <t>MAML3</t>
  </si>
  <si>
    <t>CHAMP1</t>
  </si>
  <si>
    <t>LCOR</t>
  </si>
  <si>
    <t>ZFP91</t>
  </si>
  <si>
    <t>CLMN</t>
  </si>
  <si>
    <t>PDLIM2</t>
  </si>
  <si>
    <t>PBK</t>
  </si>
  <si>
    <t>SCYL1</t>
  </si>
  <si>
    <t>EXOC2</t>
  </si>
  <si>
    <t>CNDP2</t>
  </si>
  <si>
    <t>PPP1R13B</t>
  </si>
  <si>
    <t>ZFR</t>
  </si>
  <si>
    <t>EPHB4</t>
  </si>
  <si>
    <t>NSD1</t>
  </si>
  <si>
    <t>EP400</t>
  </si>
  <si>
    <t>SNX27</t>
  </si>
  <si>
    <t>KIF16B</t>
  </si>
  <si>
    <t>IFT74</t>
  </si>
  <si>
    <t>TRIM47</t>
  </si>
  <si>
    <t>SENP8</t>
  </si>
  <si>
    <t>UBE2E2</t>
  </si>
  <si>
    <t>C9orf72</t>
  </si>
  <si>
    <t>PRRC1</t>
  </si>
  <si>
    <t>FBXL18</t>
  </si>
  <si>
    <t>ZNF512</t>
  </si>
  <si>
    <t>NDNL2</t>
  </si>
  <si>
    <t>PCMTD1</t>
  </si>
  <si>
    <t>HEXIM2</t>
  </si>
  <si>
    <t>YTHDC1</t>
  </si>
  <si>
    <t>CCDC43</t>
  </si>
  <si>
    <t>WDR92</t>
  </si>
  <si>
    <t>C20orf112</t>
  </si>
  <si>
    <t>C16orf55</t>
  </si>
  <si>
    <t>ENTHD2</t>
  </si>
  <si>
    <t>DOCK7</t>
  </si>
  <si>
    <t>FOPNL</t>
  </si>
  <si>
    <t>ZNF830</t>
  </si>
  <si>
    <t>ZMAT2</t>
  </si>
  <si>
    <t>SCLT1</t>
  </si>
  <si>
    <t>C8orf37</t>
  </si>
  <si>
    <t>NAP1L5</t>
  </si>
  <si>
    <t>ANKRD27</t>
  </si>
  <si>
    <t>NSUN5</t>
  </si>
  <si>
    <t>RPRD1A</t>
  </si>
  <si>
    <t>AGAP3</t>
  </si>
  <si>
    <t>ARAP1</t>
  </si>
  <si>
    <t>IPO9</t>
  </si>
  <si>
    <t>DCBLD2</t>
  </si>
  <si>
    <t>ARHGEF17</t>
  </si>
  <si>
    <t>MCEE</t>
  </si>
  <si>
    <t>RBM14</t>
  </si>
  <si>
    <t>RCHY1</t>
  </si>
  <si>
    <t>TRERF1</t>
  </si>
  <si>
    <t>KLHL5</t>
  </si>
  <si>
    <t>UHRF2</t>
  </si>
  <si>
    <t>NEDD4L</t>
  </si>
  <si>
    <t>QKI</t>
  </si>
  <si>
    <t>FMNL2</t>
  </si>
  <si>
    <t>PUS7</t>
  </si>
  <si>
    <t>TRAPPC9</t>
  </si>
  <si>
    <t>TRNT1</t>
  </si>
  <si>
    <t>SMG1</t>
  </si>
  <si>
    <t>ALS2</t>
  </si>
  <si>
    <t>TMEM237</t>
  </si>
  <si>
    <t>ALKBH3</t>
  </si>
  <si>
    <t>KIF20B</t>
  </si>
  <si>
    <t>DLC1</t>
  </si>
  <si>
    <t>PPP1R10</t>
  </si>
  <si>
    <t>ATAD5</t>
  </si>
  <si>
    <t>RAB3IP</t>
  </si>
  <si>
    <t>MTMR9</t>
  </si>
  <si>
    <t>VPS35</t>
  </si>
  <si>
    <t>PURB</t>
  </si>
  <si>
    <t>ACCS</t>
  </si>
  <si>
    <t>XPO6</t>
  </si>
  <si>
    <t>MAGI1</t>
  </si>
  <si>
    <t>SPAG5</t>
  </si>
  <si>
    <t>NACC1</t>
  </si>
  <si>
    <t>SNX18</t>
  </si>
  <si>
    <t>PASK</t>
  </si>
  <si>
    <t>UIMC1</t>
  </si>
  <si>
    <t>VPS13A</t>
  </si>
  <si>
    <t>MED15</t>
  </si>
  <si>
    <t>GFM1</t>
  </si>
  <si>
    <t>CAMKK2</t>
  </si>
  <si>
    <t>TGS1</t>
  </si>
  <si>
    <t>NUDCD1</t>
  </si>
  <si>
    <t>ERBB2IP</t>
  </si>
  <si>
    <t>USP28</t>
  </si>
  <si>
    <t>FNBP1</t>
  </si>
  <si>
    <t>HMCN1</t>
  </si>
  <si>
    <t>CRAMP1L</t>
  </si>
  <si>
    <t>IFT140</t>
  </si>
  <si>
    <t>C16orf13</t>
  </si>
  <si>
    <t>RPS6KC1</t>
  </si>
  <si>
    <t>TP53RK</t>
  </si>
  <si>
    <t>WRNIP1</t>
  </si>
  <si>
    <t>RANBP9</t>
  </si>
  <si>
    <t>CLCC1</t>
  </si>
  <si>
    <t>UBL7</t>
  </si>
  <si>
    <t>LYSMD1</t>
  </si>
  <si>
    <t>PLEKHF1</t>
  </si>
  <si>
    <t>PPP1R9B</t>
  </si>
  <si>
    <t>SRPK1</t>
  </si>
  <si>
    <t>SMC6</t>
  </si>
  <si>
    <t>KCTD15</t>
  </si>
  <si>
    <t>STRBP</t>
  </si>
  <si>
    <t>TMEM209</t>
  </si>
  <si>
    <t>FIZ1</t>
  </si>
  <si>
    <t>IWS1</t>
  </si>
  <si>
    <t>SIN3A</t>
  </si>
  <si>
    <t>OSBPL9</t>
  </si>
  <si>
    <t>VWA9</t>
  </si>
  <si>
    <t>ADO</t>
  </si>
  <si>
    <t>CDK5RAP1</t>
  </si>
  <si>
    <t>MAP7D2</t>
  </si>
  <si>
    <t>SECISBP2</t>
  </si>
  <si>
    <t>RBM15</t>
  </si>
  <si>
    <t>RUFY1</t>
  </si>
  <si>
    <t>SPEN</t>
  </si>
  <si>
    <t>PNKP</t>
  </si>
  <si>
    <t>MMS19</t>
  </si>
  <si>
    <t>UHRF1</t>
  </si>
  <si>
    <t>FAM129B</t>
  </si>
  <si>
    <t>TCF12</t>
  </si>
  <si>
    <t>MYCBP</t>
  </si>
  <si>
    <t>CYTH2</t>
  </si>
  <si>
    <t>TBCB</t>
  </si>
  <si>
    <t>PSMB7</t>
  </si>
  <si>
    <t>PCYT2</t>
  </si>
  <si>
    <t>CDC5L</t>
  </si>
  <si>
    <t>PSMD1</t>
  </si>
  <si>
    <t>SDF2</t>
  </si>
  <si>
    <t>PFDN5</t>
  </si>
  <si>
    <t>PAFAH2</t>
  </si>
  <si>
    <t>RNF2</t>
  </si>
  <si>
    <t>PARK7</t>
  </si>
  <si>
    <t>GAS2L1</t>
  </si>
  <si>
    <t>EYA3</t>
  </si>
  <si>
    <t>NEU1</t>
  </si>
  <si>
    <t>VAT1</t>
  </si>
  <si>
    <t>PLIN2</t>
  </si>
  <si>
    <t>DNAJC2</t>
  </si>
  <si>
    <t>MPHOSPH8</t>
  </si>
  <si>
    <t>NUP88</t>
  </si>
  <si>
    <t>PKP4</t>
  </si>
  <si>
    <t>PIK3R4</t>
  </si>
  <si>
    <t>POP1</t>
  </si>
  <si>
    <t>MNT</t>
  </si>
  <si>
    <t>S100A13</t>
  </si>
  <si>
    <t>TSNAX</t>
  </si>
  <si>
    <t>SEPHS2</t>
  </si>
  <si>
    <t>TTC1</t>
  </si>
  <si>
    <t>DNAJC7</t>
  </si>
  <si>
    <t>CDCA3</t>
  </si>
  <si>
    <t>C12orf57</t>
  </si>
  <si>
    <t>COPS8</t>
  </si>
  <si>
    <t>PRPF18</t>
  </si>
  <si>
    <t>RAD9A</t>
  </si>
  <si>
    <t>CHP1</t>
  </si>
  <si>
    <t>KIF2C</t>
  </si>
  <si>
    <t>CGREF1</t>
  </si>
  <si>
    <t>MGLL</t>
  </si>
  <si>
    <t>MTR</t>
  </si>
  <si>
    <t>RBBP8</t>
  </si>
  <si>
    <t>HSD17B10</t>
  </si>
  <si>
    <t>HNRNPAB</t>
  </si>
  <si>
    <t>NAP1L4</t>
  </si>
  <si>
    <t>NAPG</t>
  </si>
  <si>
    <t>TXN2</t>
  </si>
  <si>
    <t>ATP5S</t>
  </si>
  <si>
    <t>APBA2</t>
  </si>
  <si>
    <t>MIPEP</t>
  </si>
  <si>
    <t>ACO2</t>
  </si>
  <si>
    <t>TSG101</t>
  </si>
  <si>
    <t>CPNE1</t>
  </si>
  <si>
    <t>CCT7</t>
  </si>
  <si>
    <t>HAUS7</t>
  </si>
  <si>
    <t>HIST1H2AJ</t>
  </si>
  <si>
    <t>HIST1H2BM</t>
  </si>
  <si>
    <t>BAG1</t>
  </si>
  <si>
    <t>ATF6B</t>
  </si>
  <si>
    <t>SH3GL1</t>
  </si>
  <si>
    <t>VRK1</t>
  </si>
  <si>
    <t>AKAP9</t>
  </si>
  <si>
    <t>DPYSL5</t>
  </si>
  <si>
    <t>NIPSNAP1</t>
  </si>
  <si>
    <t>NCAPG</t>
  </si>
  <si>
    <t>ARPC5L</t>
  </si>
  <si>
    <t>MICU1</t>
  </si>
  <si>
    <t>C7orf25</t>
  </si>
  <si>
    <t>PAIP2</t>
  </si>
  <si>
    <t>ZFYVE21</t>
  </si>
  <si>
    <t>DDX50</t>
  </si>
  <si>
    <t>ELAC2</t>
  </si>
  <si>
    <t>C19orf43</t>
  </si>
  <si>
    <t>GRWD1</t>
  </si>
  <si>
    <t>MACROD1</t>
  </si>
  <si>
    <t>TCF25</t>
  </si>
  <si>
    <t>WDR77</t>
  </si>
  <si>
    <t>DPH2</t>
  </si>
  <si>
    <t>TUBA1C</t>
  </si>
  <si>
    <t>APOL2</t>
  </si>
  <si>
    <t>C11orf48</t>
  </si>
  <si>
    <t>BCL7B</t>
  </si>
  <si>
    <t>MYBBP1A</t>
  </si>
  <si>
    <t>EIF2AK1</t>
  </si>
  <si>
    <t>LPIN3</t>
  </si>
  <si>
    <t>FERMT1</t>
  </si>
  <si>
    <t>MGME1</t>
  </si>
  <si>
    <t>FYCO1</t>
  </si>
  <si>
    <t>ACBD6</t>
  </si>
  <si>
    <t>CORO1B</t>
  </si>
  <si>
    <t>LSMD1</t>
  </si>
  <si>
    <t>TXNDC17</t>
  </si>
  <si>
    <t>BUD13</t>
  </si>
  <si>
    <t>CPPED1</t>
  </si>
  <si>
    <t>VPS25</t>
  </si>
  <si>
    <t>SH2D3A</t>
  </si>
  <si>
    <t>SDF4</t>
  </si>
  <si>
    <t>PDCD2L</t>
  </si>
  <si>
    <t>WIBG</t>
  </si>
  <si>
    <t>AIFM2</t>
  </si>
  <si>
    <t>ADPGK</t>
  </si>
  <si>
    <t>GPATCH1</t>
  </si>
  <si>
    <t>RIOK1</t>
  </si>
  <si>
    <t>LARP6</t>
  </si>
  <si>
    <t>MIEN1</t>
  </si>
  <si>
    <t>GINS4</t>
  </si>
  <si>
    <t>SIKE1</t>
  </si>
  <si>
    <t>PELO</t>
  </si>
  <si>
    <t>GINS3</t>
  </si>
  <si>
    <t>WDR83</t>
  </si>
  <si>
    <t>TRIM56</t>
  </si>
  <si>
    <t>ERP44</t>
  </si>
  <si>
    <t>LXN</t>
  </si>
  <si>
    <t>ATG101</t>
  </si>
  <si>
    <t>NTPCR</t>
  </si>
  <si>
    <t>HERPUD2</t>
  </si>
  <si>
    <t>AGMAT</t>
  </si>
  <si>
    <t>TACO1</t>
  </si>
  <si>
    <t>HDHD3</t>
  </si>
  <si>
    <t>TUBGCP2</t>
  </si>
  <si>
    <t>C17orf80</t>
  </si>
  <si>
    <t>FAM64A</t>
  </si>
  <si>
    <t>ESYT1</t>
  </si>
  <si>
    <t>UBAC1</t>
  </si>
  <si>
    <t>CCM2</t>
  </si>
  <si>
    <t>RTKN</t>
  </si>
  <si>
    <t>C16orf70</t>
  </si>
  <si>
    <t>TSEN34</t>
  </si>
  <si>
    <t>CHCHD5</t>
  </si>
  <si>
    <t>CNPY3</t>
  </si>
  <si>
    <t>MTG1</t>
  </si>
  <si>
    <t>HAUS8</t>
  </si>
  <si>
    <t>ALKBH7</t>
  </si>
  <si>
    <t>PSMG3</t>
  </si>
  <si>
    <t>COPS4</t>
  </si>
  <si>
    <t>WAC</t>
  </si>
  <si>
    <t>DIDO1</t>
  </si>
  <si>
    <t>RBM42</t>
  </si>
  <si>
    <t>DCTN5</t>
  </si>
  <si>
    <t>MCMBP</t>
  </si>
  <si>
    <t>AARSD1</t>
  </si>
  <si>
    <t>DCUN1D5</t>
  </si>
  <si>
    <t>THUMPD2</t>
  </si>
  <si>
    <t>FAM103A1</t>
  </si>
  <si>
    <t>URM1</t>
  </si>
  <si>
    <t>FAAP24</t>
  </si>
  <si>
    <t>ANP32E</t>
  </si>
  <si>
    <t>MED10</t>
  </si>
  <si>
    <t>LRRC1</t>
  </si>
  <si>
    <t>FSD1</t>
  </si>
  <si>
    <t>WDR85</t>
  </si>
  <si>
    <t>TBCD</t>
  </si>
  <si>
    <t>TTPAL</t>
  </si>
  <si>
    <t>FUCA2</t>
  </si>
  <si>
    <t>FAM203A</t>
  </si>
  <si>
    <t>DHRS4</t>
  </si>
  <si>
    <t>THTPA</t>
  </si>
  <si>
    <t>CENPO</t>
  </si>
  <si>
    <t>MMTAG2</t>
  </si>
  <si>
    <t>DOHH</t>
  </si>
  <si>
    <t>C11orf84</t>
  </si>
  <si>
    <t>ADAT1</t>
  </si>
  <si>
    <t>MKNK1</t>
  </si>
  <si>
    <t>MED18</t>
  </si>
  <si>
    <t>TUBB6</t>
  </si>
  <si>
    <t>C9orf142</t>
  </si>
  <si>
    <t>POLR3C</t>
  </si>
  <si>
    <t>HNRNPUL1</t>
  </si>
  <si>
    <t>MSTO1</t>
  </si>
  <si>
    <t>RPP25</t>
  </si>
  <si>
    <t>HTATIP2</t>
  </si>
  <si>
    <t>DDX23</t>
  </si>
  <si>
    <t>WRAP53</t>
  </si>
  <si>
    <t>BDH2</t>
  </si>
  <si>
    <t>FAM195A</t>
  </si>
  <si>
    <t>C9orf16</t>
  </si>
  <si>
    <t>C1orf50</t>
  </si>
  <si>
    <t>MRI1</t>
  </si>
  <si>
    <t>MLPH</t>
  </si>
  <si>
    <t>THUMPD3</t>
  </si>
  <si>
    <t>ADI1</t>
  </si>
  <si>
    <t>RNF126</t>
  </si>
  <si>
    <t>CEP250</t>
  </si>
  <si>
    <t>MECR</t>
  </si>
  <si>
    <t>NTMT1</t>
  </si>
  <si>
    <t>KATNB1</t>
  </si>
  <si>
    <t>TUBB2B</t>
  </si>
  <si>
    <t>DSCC1</t>
  </si>
  <si>
    <t>MLST8</t>
  </si>
  <si>
    <t>C2orf49</t>
  </si>
  <si>
    <t>PBDC1</t>
  </si>
  <si>
    <t>KIFC3</t>
  </si>
  <si>
    <t>NOC4L</t>
  </si>
  <si>
    <t>UTP14A</t>
  </si>
  <si>
    <t>DUSP23</t>
  </si>
  <si>
    <t>SELO</t>
  </si>
  <si>
    <t>DPCD</t>
  </si>
  <si>
    <t>GGACT</t>
  </si>
  <si>
    <t>SPATA5L1</t>
  </si>
  <si>
    <t>TUBGCP4</t>
  </si>
  <si>
    <t>RIOK2</t>
  </si>
  <si>
    <t>TRMT61B</t>
  </si>
  <si>
    <t>KIAA0586</t>
  </si>
  <si>
    <t>TIPIN</t>
  </si>
  <si>
    <t>SARG</t>
  </si>
  <si>
    <t>KIFC1</t>
  </si>
  <si>
    <t>NUP85</t>
  </si>
  <si>
    <t>TPPP3</t>
  </si>
  <si>
    <t>DDA1</t>
  </si>
  <si>
    <t>KATNAL1</t>
  </si>
  <si>
    <t>HIRIP3</t>
  </si>
  <si>
    <t>IFT27</t>
  </si>
  <si>
    <t>CCDC94</t>
  </si>
  <si>
    <t>NUDT9</t>
  </si>
  <si>
    <t>TARS2</t>
  </si>
  <si>
    <t>ACAT2</t>
  </si>
  <si>
    <t>REPIN1</t>
  </si>
  <si>
    <t>RBM4</t>
  </si>
  <si>
    <t>FUNDC2</t>
  </si>
  <si>
    <t>RPAP1</t>
  </si>
  <si>
    <t>SF3B5</t>
  </si>
  <si>
    <t>MRI</t>
  </si>
  <si>
    <t>CHID1</t>
  </si>
  <si>
    <t>PAPOLG</t>
  </si>
  <si>
    <t>MND1</t>
  </si>
  <si>
    <t>SLC4A1AP</t>
  </si>
  <si>
    <t>SSDP4</t>
  </si>
  <si>
    <t>BRIP1</t>
  </si>
  <si>
    <t>SORBS1</t>
  </si>
  <si>
    <t>HINT2</t>
  </si>
  <si>
    <t>SGPP1</t>
  </si>
  <si>
    <t>OSBPL11</t>
  </si>
  <si>
    <t>OSBPL10</t>
  </si>
  <si>
    <t>RAB11FIP5</t>
  </si>
  <si>
    <t>TBC1D10A</t>
  </si>
  <si>
    <t>NAA15</t>
  </si>
  <si>
    <t>KLF16</t>
  </si>
  <si>
    <t>CDCA4</t>
  </si>
  <si>
    <t>SRRT</t>
  </si>
  <si>
    <t>QTRT1</t>
  </si>
  <si>
    <t>AP1M1</t>
  </si>
  <si>
    <t>NUSAP1</t>
  </si>
  <si>
    <t>C14orf142</t>
  </si>
  <si>
    <t>OSBPL1A</t>
  </si>
  <si>
    <t>CECR5</t>
  </si>
  <si>
    <t>FANCD2</t>
  </si>
  <si>
    <t>MAK16</t>
  </si>
  <si>
    <t>ITPA</t>
  </si>
  <si>
    <t>RTFDC1</t>
  </si>
  <si>
    <t>CHMP4A</t>
  </si>
  <si>
    <t>CADM1</t>
  </si>
  <si>
    <t>POLDIP3</t>
  </si>
  <si>
    <t>KIAA1671</t>
  </si>
  <si>
    <t>GNB1L</t>
  </si>
  <si>
    <t>MRPL32</t>
  </si>
  <si>
    <t>MRPL13</t>
  </si>
  <si>
    <t>MRPL1</t>
  </si>
  <si>
    <t>YTHDF1</t>
  </si>
  <si>
    <t>RBCK1</t>
  </si>
  <si>
    <t>SRXN1</t>
  </si>
  <si>
    <t>MRPS26</t>
  </si>
  <si>
    <t>NLN</t>
  </si>
  <si>
    <t>CEP41</t>
  </si>
  <si>
    <t>SETD2</t>
  </si>
  <si>
    <t>TBC1D2</t>
  </si>
  <si>
    <t>PANK2</t>
  </si>
  <si>
    <t>DOCK9</t>
  </si>
  <si>
    <t>FRMD8</t>
  </si>
  <si>
    <t>WHSC1L1</t>
  </si>
  <si>
    <t>TXLNG2P</t>
  </si>
  <si>
    <t>NUF2</t>
  </si>
  <si>
    <t>GTPBP4</t>
  </si>
  <si>
    <t>ASPSCR1</t>
  </si>
  <si>
    <t>WDR11</t>
  </si>
  <si>
    <t>UPF3B</t>
  </si>
  <si>
    <t>CRNKL1</t>
  </si>
  <si>
    <t>TBL1XR1</t>
  </si>
  <si>
    <t>UBL5</t>
  </si>
  <si>
    <t>PPP1R12C</t>
  </si>
  <si>
    <t>PRKD2</t>
  </si>
  <si>
    <t>UCK2</t>
  </si>
  <si>
    <t>API5</t>
  </si>
  <si>
    <t>DPY30</t>
  </si>
  <si>
    <t>TRIM9</t>
  </si>
  <si>
    <t>TRIM7</t>
  </si>
  <si>
    <t>TRIM5</t>
  </si>
  <si>
    <t>FAM117A</t>
  </si>
  <si>
    <t>UNK</t>
  </si>
  <si>
    <t>FTO</t>
  </si>
  <si>
    <t>ZDHHC5</t>
  </si>
  <si>
    <t>TANGO6</t>
  </si>
  <si>
    <t>TNKS1BP1</t>
  </si>
  <si>
    <t>AMBRA1</t>
  </si>
  <si>
    <t>ZYG11B</t>
  </si>
  <si>
    <t>TANC1</t>
  </si>
  <si>
    <t>CEP44</t>
  </si>
  <si>
    <t>ARHGAP39</t>
  </si>
  <si>
    <t>MTMR12</t>
  </si>
  <si>
    <t>WDR33</t>
  </si>
  <si>
    <t>WDR12</t>
  </si>
  <si>
    <t>C20orf27</t>
  </si>
  <si>
    <t>PITHD1</t>
  </si>
  <si>
    <t>COMMD5</t>
  </si>
  <si>
    <t>SENP6</t>
  </si>
  <si>
    <t>POLR1E</t>
  </si>
  <si>
    <t>WDR61</t>
  </si>
  <si>
    <t>SLIRP</t>
  </si>
  <si>
    <t>SRR</t>
  </si>
  <si>
    <t>NIF3L1</t>
  </si>
  <si>
    <t>EGLN1</t>
  </si>
  <si>
    <t>FAM192A</t>
  </si>
  <si>
    <t>ANKRD2</t>
  </si>
  <si>
    <t>WWTR1</t>
  </si>
  <si>
    <t>MFF</t>
  </si>
  <si>
    <t>UBA5</t>
  </si>
  <si>
    <t>LHPP</t>
  </si>
  <si>
    <t>PAIP1</t>
  </si>
  <si>
    <t>CLPB</t>
  </si>
  <si>
    <t>MIS12</t>
  </si>
  <si>
    <t>FAM107B</t>
  </si>
  <si>
    <t>COMMD4</t>
  </si>
  <si>
    <t>KLC2</t>
  </si>
  <si>
    <t>ILKAP</t>
  </si>
  <si>
    <t>XRN2</t>
  </si>
  <si>
    <t>TOLLIP</t>
  </si>
  <si>
    <t>SAP130</t>
  </si>
  <si>
    <t>BRD8</t>
  </si>
  <si>
    <t>SHARPIN</t>
  </si>
  <si>
    <t>ARL6</t>
  </si>
  <si>
    <t>NSRP1</t>
  </si>
  <si>
    <t>KLHL25</t>
  </si>
  <si>
    <t>RACGAP1</t>
  </si>
  <si>
    <t>SIK2</t>
  </si>
  <si>
    <t>PUS7L</t>
  </si>
  <si>
    <t>CSTF2T</t>
  </si>
  <si>
    <t>NT5C3A</t>
  </si>
  <si>
    <t>AP5M1</t>
  </si>
  <si>
    <t>HDHD2</t>
  </si>
  <si>
    <t>DDX47</t>
  </si>
  <si>
    <t>RAB1B</t>
  </si>
  <si>
    <t>TSPYL1</t>
  </si>
  <si>
    <t>SMG9</t>
  </si>
  <si>
    <t>C11orf54</t>
  </si>
  <si>
    <t>DNTTIP1</t>
  </si>
  <si>
    <t>SIL1</t>
  </si>
  <si>
    <t>ANAPC1</t>
  </si>
  <si>
    <t>IRF2BPL</t>
  </si>
  <si>
    <t>POLR3F</t>
  </si>
  <si>
    <t>NUCKS1</t>
  </si>
  <si>
    <t>KIF13A</t>
  </si>
  <si>
    <t>ASCC2</t>
  </si>
  <si>
    <t>UPF3A</t>
  </si>
  <si>
    <t>ZFYVE20</t>
  </si>
  <si>
    <t>ISCU</t>
  </si>
  <si>
    <t>MESDC1</t>
  </si>
  <si>
    <t>OSBPL2</t>
  </si>
  <si>
    <t>MEGF9</t>
  </si>
  <si>
    <t>ATG5</t>
  </si>
  <si>
    <t>WDR13</t>
  </si>
  <si>
    <t>MED28</t>
  </si>
  <si>
    <t>CDT1</t>
  </si>
  <si>
    <t>EHD4</t>
  </si>
  <si>
    <t>VPS33B</t>
  </si>
  <si>
    <t>VPS16</t>
  </si>
  <si>
    <t>VPS11</t>
  </si>
  <si>
    <t>GAN</t>
  </si>
  <si>
    <t>TRIOBP</t>
  </si>
  <si>
    <t>SLK</t>
  </si>
  <si>
    <t>PPIL3</t>
  </si>
  <si>
    <t>PDCL3</t>
  </si>
  <si>
    <t>TAOK3</t>
  </si>
  <si>
    <t>RAB3GAP2</t>
  </si>
  <si>
    <t>ADNP</t>
  </si>
  <si>
    <t>DPH5</t>
  </si>
  <si>
    <t>DHX36</t>
  </si>
  <si>
    <t>PPA2</t>
  </si>
  <si>
    <t>MRPL46</t>
  </si>
  <si>
    <t>ZNF106</t>
  </si>
  <si>
    <t>PNN</t>
  </si>
  <si>
    <t>KCTD10</t>
  </si>
  <si>
    <t>TRIT1</t>
  </si>
  <si>
    <t>C11orf68</t>
  </si>
  <si>
    <t>BOLA2</t>
  </si>
  <si>
    <t>MMADHC</t>
  </si>
  <si>
    <t>TMX1</t>
  </si>
  <si>
    <t>NELFA</t>
  </si>
  <si>
    <t>ACBD3</t>
  </si>
  <si>
    <t>CDC42EP4</t>
  </si>
  <si>
    <t>PTPN23</t>
  </si>
  <si>
    <t>UNC45A</t>
  </si>
  <si>
    <t>PPDPF</t>
  </si>
  <si>
    <t>DSN1</t>
  </si>
  <si>
    <t>C1orf198</t>
  </si>
  <si>
    <t>CHMP4B</t>
  </si>
  <si>
    <t>FZD8</t>
  </si>
  <si>
    <t>CUEDC2</t>
  </si>
  <si>
    <t>FN3K</t>
  </si>
  <si>
    <t>POFUT1</t>
  </si>
  <si>
    <t>MAP1LC3A</t>
  </si>
  <si>
    <t>IFRG15</t>
  </si>
  <si>
    <t>TOR3A</t>
  </si>
  <si>
    <t>RNPEP</t>
  </si>
  <si>
    <t>GOLPH3L</t>
  </si>
  <si>
    <t>GOLPH3</t>
  </si>
  <si>
    <t>OSGEPL1</t>
  </si>
  <si>
    <t>SAV1</t>
  </si>
  <si>
    <t>FAM83D</t>
  </si>
  <si>
    <t>SMARCAD1</t>
  </si>
  <si>
    <t>EHD1</t>
  </si>
  <si>
    <t>RNF41</t>
  </si>
  <si>
    <t>PCIF1</t>
  </si>
  <si>
    <t>ESF1</t>
  </si>
  <si>
    <t>ZNF644</t>
  </si>
  <si>
    <t>RABEP2</t>
  </si>
  <si>
    <t>TFB2M</t>
  </si>
  <si>
    <t>CXorf56</t>
  </si>
  <si>
    <t>FAM96A</t>
  </si>
  <si>
    <t>ASB7</t>
  </si>
  <si>
    <t>BICC1</t>
  </si>
  <si>
    <t>PCNXL3</t>
  </si>
  <si>
    <t>HAUS4</t>
  </si>
  <si>
    <t>CCDC134</t>
  </si>
  <si>
    <t>TUT1</t>
  </si>
  <si>
    <t>CCDC86</t>
  </si>
  <si>
    <t>C6orf106</t>
  </si>
  <si>
    <t>ARMC7</t>
  </si>
  <si>
    <t>NARFL</t>
  </si>
  <si>
    <t>NOL6</t>
  </si>
  <si>
    <t>C2orf44</t>
  </si>
  <si>
    <t>YTHDC2</t>
  </si>
  <si>
    <t>AZI2</t>
  </si>
  <si>
    <t>EPS8L2</t>
  </si>
  <si>
    <t>RPAP3</t>
  </si>
  <si>
    <t>BCAS3</t>
  </si>
  <si>
    <t>NO66</t>
  </si>
  <si>
    <t>ANTXR1</t>
  </si>
  <si>
    <t>WDR55</t>
  </si>
  <si>
    <t>RANBP3</t>
  </si>
  <si>
    <t>DCTPP1</t>
  </si>
  <si>
    <t>SH2D4A</t>
  </si>
  <si>
    <t>PEAK1</t>
  </si>
  <si>
    <t>SMYD3</t>
  </si>
  <si>
    <t>SYNC</t>
  </si>
  <si>
    <t>AAMDC</t>
  </si>
  <si>
    <t>DOCK5</t>
  </si>
  <si>
    <t>WDR26</t>
  </si>
  <si>
    <t>TDRD3</t>
  </si>
  <si>
    <t>C8orf33</t>
  </si>
  <si>
    <t>SUDS3</t>
  </si>
  <si>
    <t>SCAF1</t>
  </si>
  <si>
    <t>PLEKHG2</t>
  </si>
  <si>
    <t>ZNF665</t>
  </si>
  <si>
    <t>ZNF703</t>
  </si>
  <si>
    <t>CCSER2</t>
  </si>
  <si>
    <t>ZNF696</t>
  </si>
  <si>
    <t>RABL5</t>
  </si>
  <si>
    <t>KAT8</t>
  </si>
  <si>
    <t>PTGES2</t>
  </si>
  <si>
    <t>PHAX</t>
  </si>
  <si>
    <t>UBE2Z</t>
  </si>
  <si>
    <t>GEMIN7</t>
  </si>
  <si>
    <t>ACAD9</t>
  </si>
  <si>
    <t>NT5DC2</t>
  </si>
  <si>
    <t>YY1AP1</t>
  </si>
  <si>
    <t>PRKRIP1</t>
  </si>
  <si>
    <t>CSRP2BP</t>
  </si>
  <si>
    <t>CAAP1</t>
  </si>
  <si>
    <t>NOL11</t>
  </si>
  <si>
    <t>C10orf88</t>
  </si>
  <si>
    <t>BRD9</t>
  </si>
  <si>
    <t>FAM188A</t>
  </si>
  <si>
    <t>MOB1A</t>
  </si>
  <si>
    <t>ZFAND3</t>
  </si>
  <si>
    <t>ECT2</t>
  </si>
  <si>
    <t>PLEKHF2</t>
  </si>
  <si>
    <t>ANKZF1</t>
  </si>
  <si>
    <t>GORASP2</t>
  </si>
  <si>
    <t>ZWILCH</t>
  </si>
  <si>
    <t>MED20</t>
  </si>
  <si>
    <t>QTRTD1</t>
  </si>
  <si>
    <t>WDR54</t>
  </si>
  <si>
    <t>ACTR8</t>
  </si>
  <si>
    <t>MARCH7</t>
  </si>
  <si>
    <t>C6orf211</t>
  </si>
  <si>
    <t>PANK3</t>
  </si>
  <si>
    <t>CNOT10</t>
  </si>
  <si>
    <t>LRRC40</t>
  </si>
  <si>
    <t>RMI1</t>
  </si>
  <si>
    <t>EHMT1</t>
  </si>
  <si>
    <t>VIPAS39</t>
  </si>
  <si>
    <t>ZNF408</t>
  </si>
  <si>
    <t>COG4</t>
  </si>
  <si>
    <t>ACTR5</t>
  </si>
  <si>
    <t>VPS37B</t>
  </si>
  <si>
    <t>MRPL44</t>
  </si>
  <si>
    <t>DBNDD1</t>
  </si>
  <si>
    <t>ELP3</t>
  </si>
  <si>
    <t>JMJD4</t>
  </si>
  <si>
    <t>UCK1</t>
  </si>
  <si>
    <t>FN3KRP</t>
  </si>
  <si>
    <t>TBC1D17</t>
  </si>
  <si>
    <t>CARS2</t>
  </si>
  <si>
    <t>PPCS</t>
  </si>
  <si>
    <t>WDR41</t>
  </si>
  <si>
    <t>MEAF6</t>
  </si>
  <si>
    <t>SAP30L</t>
  </si>
  <si>
    <t>MLXIP</t>
  </si>
  <si>
    <t>SIAE</t>
  </si>
  <si>
    <t>PLEKHA5</t>
  </si>
  <si>
    <t>UPF2</t>
  </si>
  <si>
    <t>XPO5</t>
  </si>
  <si>
    <t>GRPEL1</t>
  </si>
  <si>
    <t>CLSPN</t>
  </si>
  <si>
    <t>BCMO1</t>
  </si>
  <si>
    <t>C12orf10</t>
  </si>
  <si>
    <t>BCL2L12</t>
  </si>
  <si>
    <t>PLEKHA2</t>
  </si>
  <si>
    <t>PLEKHA3</t>
  </si>
  <si>
    <t>SCPEP1</t>
  </si>
  <si>
    <t>CACYBP</t>
  </si>
  <si>
    <t>RRAGC</t>
  </si>
  <si>
    <t>FANCE</t>
  </si>
  <si>
    <t>PATZ1</t>
  </si>
  <si>
    <t>RHOF</t>
  </si>
  <si>
    <t>PDF</t>
  </si>
  <si>
    <t>PARVB</t>
  </si>
  <si>
    <t>AS3MT</t>
  </si>
  <si>
    <t>NMRAL1</t>
  </si>
  <si>
    <t>SPC25</t>
  </si>
  <si>
    <t>SLC38A10</t>
  </si>
  <si>
    <t>ETNK1</t>
  </si>
  <si>
    <t>ARNT2</t>
  </si>
  <si>
    <t>EML4</t>
  </si>
  <si>
    <t>GLOD4</t>
  </si>
  <si>
    <t>CBX8</t>
  </si>
  <si>
    <t>MCCC2</t>
  </si>
  <si>
    <t>ZFYVE28</t>
  </si>
  <si>
    <t>NCOA5</t>
  </si>
  <si>
    <t>TANC2</t>
  </si>
  <si>
    <t>EPG5</t>
  </si>
  <si>
    <t>ZNF532</t>
  </si>
  <si>
    <t>METTL14</t>
  </si>
  <si>
    <t>ARHGEF10L</t>
  </si>
  <si>
    <t>SMURF1</t>
  </si>
  <si>
    <t>NCKAP5L</t>
  </si>
  <si>
    <t>TNRC6C</t>
  </si>
  <si>
    <t>RAVER2</t>
  </si>
  <si>
    <t>CHD8</t>
  </si>
  <si>
    <t>GPN1</t>
  </si>
  <si>
    <t>SDF2L1</t>
  </si>
  <si>
    <t>PDE11A</t>
  </si>
  <si>
    <t>POLD4</t>
  </si>
  <si>
    <t>SRA1</t>
  </si>
  <si>
    <t>GOPC</t>
  </si>
  <si>
    <t>RANGRF</t>
  </si>
  <si>
    <t>MYO10</t>
  </si>
  <si>
    <t>WDR6</t>
  </si>
  <si>
    <t>TUFT1</t>
  </si>
  <si>
    <t>HMG20A</t>
  </si>
  <si>
    <t>RAB18</t>
  </si>
  <si>
    <t>ALG13</t>
  </si>
  <si>
    <t>PALMD</t>
  </si>
  <si>
    <t>SSU72</t>
  </si>
  <si>
    <t>VTA1</t>
  </si>
  <si>
    <t>DYNLRB1</t>
  </si>
  <si>
    <t>MID1IP1</t>
  </si>
  <si>
    <t>ZFP64</t>
  </si>
  <si>
    <t>ENY2</t>
  </si>
  <si>
    <t>GPCPD1</t>
  </si>
  <si>
    <t>EXOSC4</t>
  </si>
  <si>
    <t>UBE2T</t>
  </si>
  <si>
    <t>NOP10</t>
  </si>
  <si>
    <t>CD320</t>
  </si>
  <si>
    <t>OSGEP</t>
  </si>
  <si>
    <t>DMAP1</t>
  </si>
  <si>
    <t>UBN1</t>
  </si>
  <si>
    <t>ACP6</t>
  </si>
  <si>
    <t>DCP1A</t>
  </si>
  <si>
    <t>ACOT13</t>
  </si>
  <si>
    <t>MED4</t>
  </si>
  <si>
    <t>RIC8A</t>
  </si>
  <si>
    <t>LUC7L</t>
  </si>
  <si>
    <t>TIGAR</t>
  </si>
  <si>
    <t>C12orf4</t>
  </si>
  <si>
    <t>COPRS</t>
  </si>
  <si>
    <t>WASH6P</t>
  </si>
  <si>
    <t>RTN4</t>
  </si>
  <si>
    <t>HINT3</t>
  </si>
  <si>
    <t>RPRD1B</t>
  </si>
  <si>
    <t>XPNPEP3</t>
  </si>
  <si>
    <t>PFDN4</t>
  </si>
  <si>
    <t>NIT2</t>
  </si>
  <si>
    <t>AVEN</t>
  </si>
  <si>
    <t>PVRL3</t>
  </si>
  <si>
    <t>INCENP</t>
  </si>
  <si>
    <t>EXOSC5</t>
  </si>
  <si>
    <t>EXOSC3</t>
  </si>
  <si>
    <t>KIF13B</t>
  </si>
  <si>
    <t>ANLN</t>
  </si>
  <si>
    <t>XPNPEP1</t>
  </si>
  <si>
    <t>GPHN</t>
  </si>
  <si>
    <t>BIN3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</si>
  <si>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</si>
  <si>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</si>
  <si>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</si>
  <si>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</si>
  <si>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</si>
  <si>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</si>
  <si>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</si>
  <si>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</si>
  <si>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</si>
  <si>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SH3GLB2</t>
  </si>
  <si>
    <t>EIF2B3</t>
  </si>
  <si>
    <t>SH2B1</t>
  </si>
  <si>
    <t>CTPS2</t>
  </si>
  <si>
    <t>POLE3</t>
  </si>
  <si>
    <t>CHRAC1</t>
  </si>
  <si>
    <t>PRTFDC1</t>
  </si>
  <si>
    <t>SMYD2</t>
  </si>
  <si>
    <t>YAE1D1</t>
  </si>
  <si>
    <t>TULP4</t>
  </si>
  <si>
    <t>BAZ1A</t>
  </si>
  <si>
    <t>STRN4</t>
  </si>
  <si>
    <t>AASDHPPT</t>
  </si>
  <si>
    <t>METTL5</t>
  </si>
  <si>
    <t>UBQLN4</t>
  </si>
  <si>
    <t>SNX15</t>
  </si>
  <si>
    <t>HEBP1</t>
  </si>
  <si>
    <t>VPS45</t>
  </si>
  <si>
    <t>PNO1</t>
  </si>
  <si>
    <t>PHPT1</t>
  </si>
  <si>
    <t>INIP</t>
  </si>
  <si>
    <t>ARHGAP35</t>
  </si>
  <si>
    <t>FAM114A2</t>
  </si>
  <si>
    <t>HELLS</t>
  </si>
  <si>
    <t>GLRX2</t>
  </si>
  <si>
    <t>CREBZF</t>
  </si>
  <si>
    <t>MBIP</t>
  </si>
  <si>
    <t>LANCL2</t>
  </si>
  <si>
    <t>KIF15</t>
  </si>
  <si>
    <t>RAD18</t>
  </si>
  <si>
    <t>CTNNBIP1</t>
  </si>
  <si>
    <t>HOMER2</t>
  </si>
  <si>
    <t>HOMER3</t>
  </si>
  <si>
    <t>FARSB</t>
  </si>
  <si>
    <t>IARS2</t>
  </si>
  <si>
    <t>FAM207A</t>
  </si>
  <si>
    <t>KLC4</t>
  </si>
  <si>
    <t>NRBP2</t>
  </si>
  <si>
    <t>STARD5</t>
  </si>
  <si>
    <t>ATG3</t>
  </si>
  <si>
    <t>SIRT3</t>
  </si>
  <si>
    <t>PDS5B</t>
  </si>
  <si>
    <t>SMC4</t>
  </si>
  <si>
    <t>MAN2C1</t>
  </si>
  <si>
    <t>OLA1</t>
  </si>
  <si>
    <t>CUTC</t>
  </si>
  <si>
    <t>ECHDC1</t>
  </si>
  <si>
    <t>RBM12</t>
  </si>
  <si>
    <t>TBC1D22B</t>
  </si>
  <si>
    <t>MDN1</t>
  </si>
  <si>
    <t>LYRM2</t>
  </si>
  <si>
    <t>PDRG1</t>
  </si>
  <si>
    <t>ABHD10</t>
  </si>
  <si>
    <t>TCP11L1</t>
  </si>
  <si>
    <t>C19orf66</t>
  </si>
  <si>
    <t>TMEM106B</t>
  </si>
  <si>
    <t>BLOC1S4</t>
  </si>
  <si>
    <t>TRMT13</t>
  </si>
  <si>
    <t>LIN7C</t>
  </si>
  <si>
    <t>TXLNG</t>
  </si>
  <si>
    <t>SPATS2L</t>
  </si>
  <si>
    <t>ABCF3</t>
  </si>
  <si>
    <t>FAM49B</t>
  </si>
  <si>
    <t>AP5S1</t>
  </si>
  <si>
    <t>DDX19A</t>
  </si>
  <si>
    <t>TDP1</t>
  </si>
  <si>
    <t>TBC1D23</t>
  </si>
  <si>
    <t>DCAF13</t>
  </si>
  <si>
    <t>IMP3</t>
  </si>
  <si>
    <t>NUDT15</t>
  </si>
  <si>
    <t>MRGBP</t>
  </si>
  <si>
    <t>EXOC1</t>
  </si>
  <si>
    <t>INTS9</t>
  </si>
  <si>
    <t>MED17</t>
  </si>
  <si>
    <t>PARVA</t>
  </si>
  <si>
    <t>USP40</t>
  </si>
  <si>
    <t>PANK4</t>
  </si>
  <si>
    <t>FBXO28</t>
  </si>
  <si>
    <t>TBC1D13</t>
  </si>
  <si>
    <t>INTS7</t>
  </si>
  <si>
    <t>TMLHE</t>
  </si>
  <si>
    <t>FANCI</t>
  </si>
  <si>
    <t>ARL8B</t>
  </si>
  <si>
    <t>FGFR1OP2</t>
  </si>
  <si>
    <t>PRMT7</t>
  </si>
  <si>
    <t>DNAJC17</t>
  </si>
  <si>
    <t>ASUN</t>
  </si>
  <si>
    <t>RIC8B</t>
  </si>
  <si>
    <t>GNL3L</t>
  </si>
  <si>
    <t>DDX18</t>
  </si>
  <si>
    <t>ASF1B</t>
  </si>
  <si>
    <t>FAIM</t>
  </si>
  <si>
    <t>KLHL11</t>
  </si>
  <si>
    <t>INTS10</t>
  </si>
  <si>
    <t>DNAAF2</t>
  </si>
  <si>
    <t>PNPO</t>
  </si>
  <si>
    <t>ARMC1</t>
  </si>
  <si>
    <t>POLR3E</t>
  </si>
  <si>
    <t>SDAD1</t>
  </si>
  <si>
    <t>RLIM</t>
  </si>
  <si>
    <t>HAUS2</t>
  </si>
  <si>
    <t>NLE1</t>
  </si>
  <si>
    <t>KBTBD4</t>
  </si>
  <si>
    <t>NECAP2</t>
  </si>
  <si>
    <t>RBM28</t>
  </si>
  <si>
    <t>RBM22</t>
  </si>
  <si>
    <t>GPATCH2</t>
  </si>
  <si>
    <t>WDR70</t>
  </si>
  <si>
    <t>TMEM51</t>
  </si>
  <si>
    <t>MED9</t>
  </si>
  <si>
    <t>ARGLU1</t>
  </si>
  <si>
    <t>RNF216</t>
  </si>
  <si>
    <t>SLTM</t>
  </si>
  <si>
    <t>ZNHIT6</t>
  </si>
  <si>
    <t>SMOX</t>
  </si>
  <si>
    <t>CUEDC1</t>
  </si>
  <si>
    <t>FKBP14</t>
  </si>
  <si>
    <t>C14orf119</t>
  </si>
  <si>
    <t>PIH1D1</t>
  </si>
  <si>
    <t>PARPBP</t>
  </si>
  <si>
    <t>FAM118A</t>
  </si>
  <si>
    <t>PAK1IP1</t>
  </si>
  <si>
    <t>HIF1AN</t>
  </si>
  <si>
    <t>OXSM</t>
  </si>
  <si>
    <t>GID8</t>
  </si>
  <si>
    <t>C1orf123</t>
  </si>
  <si>
    <t>ASB6</t>
  </si>
  <si>
    <t>THG1L</t>
  </si>
  <si>
    <t>C4orf27</t>
  </si>
  <si>
    <t>IRAK4</t>
  </si>
  <si>
    <t>UCKL1</t>
  </si>
  <si>
    <t>GEMIN8</t>
  </si>
  <si>
    <t>TXNL4B</t>
  </si>
  <si>
    <t>NLRP2</t>
  </si>
  <si>
    <t>TRNAU1AP</t>
  </si>
  <si>
    <t>COMMD8</t>
  </si>
  <si>
    <t>NHP2</t>
  </si>
  <si>
    <t>FAM206A</t>
  </si>
  <si>
    <t>ADPRHL2</t>
  </si>
  <si>
    <t>HYPK</t>
  </si>
  <si>
    <t>LYAR</t>
  </si>
  <si>
    <t>MED29</t>
  </si>
  <si>
    <t>DUS2L</t>
  </si>
  <si>
    <t>SIRT5</t>
  </si>
  <si>
    <t>MIOS</t>
  </si>
  <si>
    <t>MTMR10</t>
  </si>
  <si>
    <t>CWC25</t>
  </si>
  <si>
    <t>THUMPD1</t>
  </si>
  <si>
    <t>P4HTM</t>
  </si>
  <si>
    <t>TRMT1</t>
  </si>
  <si>
    <t>NDE1</t>
  </si>
  <si>
    <t>BRE</t>
  </si>
  <si>
    <t>KCTD5</t>
  </si>
  <si>
    <t>CDKN2AIP</t>
  </si>
  <si>
    <t>DNAJB12</t>
  </si>
  <si>
    <t>ALKBH4</t>
  </si>
  <si>
    <t>NSMCE4A</t>
  </si>
  <si>
    <t>GAR1</t>
  </si>
  <si>
    <t>PPP4R2</t>
  </si>
  <si>
    <t>DPP3</t>
  </si>
  <si>
    <t>AATF</t>
  </si>
  <si>
    <t>DDX56</t>
  </si>
  <si>
    <t>TERF2IP</t>
  </si>
  <si>
    <t>ABI2</t>
  </si>
  <si>
    <t>BCLAF1</t>
  </si>
  <si>
    <t>ANAPC11</t>
  </si>
  <si>
    <t>COA4</t>
  </si>
  <si>
    <t>TAB2</t>
  </si>
  <si>
    <t>MLTK</t>
  </si>
  <si>
    <t>TMOD3</t>
  </si>
  <si>
    <t>MIS18A</t>
  </si>
  <si>
    <t>CELSR1</t>
  </si>
  <si>
    <t>NKIRAS1</t>
  </si>
  <si>
    <t>PLEK2</t>
  </si>
  <si>
    <t>UGGT1</t>
  </si>
  <si>
    <t>CDK12</t>
  </si>
  <si>
    <t>FASTKD2</t>
  </si>
  <si>
    <t>GTSE1</t>
  </si>
  <si>
    <t>ERAP1</t>
  </si>
  <si>
    <t>UBAP1</t>
  </si>
  <si>
    <t>ACTR10</t>
  </si>
  <si>
    <t>CISD1</t>
  </si>
  <si>
    <t>GGA3</t>
  </si>
  <si>
    <t>C9orf78</t>
  </si>
  <si>
    <t>FAM120A</t>
  </si>
  <si>
    <t>SMARCAL1</t>
  </si>
  <si>
    <t>GLTP</t>
  </si>
  <si>
    <t>SPG21</t>
  </si>
  <si>
    <t>UBP1</t>
  </si>
  <si>
    <t>IGF2BP1</t>
  </si>
  <si>
    <t>SACS</t>
  </si>
  <si>
    <t>COQ3</t>
  </si>
  <si>
    <t>MTCH1</t>
  </si>
  <si>
    <t>NUDT4</t>
  </si>
  <si>
    <t>MAT2B</t>
  </si>
  <si>
    <t>MYOF</t>
  </si>
  <si>
    <t>ITSN2</t>
  </si>
  <si>
    <t>GLTSCR1</t>
  </si>
  <si>
    <t>EHD3</t>
  </si>
  <si>
    <t>EHD2</t>
  </si>
  <si>
    <t>ARHGEF12</t>
  </si>
  <si>
    <t>CNOT2</t>
  </si>
  <si>
    <t>NCKIPSD</t>
  </si>
  <si>
    <t>OGFR</t>
  </si>
  <si>
    <t>FLRT3</t>
  </si>
  <si>
    <t>LMCD1</t>
  </si>
  <si>
    <t>CRIM1</t>
  </si>
  <si>
    <t>MPP6</t>
  </si>
  <si>
    <t>CHMP5</t>
  </si>
  <si>
    <t>COMMD9</t>
  </si>
  <si>
    <t>CWC15</t>
  </si>
  <si>
    <t>THYN1</t>
  </si>
  <si>
    <t>CRIPT</t>
  </si>
  <si>
    <t>KCMF1</t>
  </si>
  <si>
    <t>RAI14</t>
  </si>
  <si>
    <t>VAPA</t>
  </si>
  <si>
    <t>H2AFY2</t>
  </si>
  <si>
    <t>TBC1D7</t>
  </si>
  <si>
    <t>RNF181</t>
  </si>
  <si>
    <t>C6orf203</t>
  </si>
  <si>
    <t>GSKIP</t>
  </si>
  <si>
    <t>COX16</t>
  </si>
  <si>
    <t>CXXC1</t>
  </si>
  <si>
    <t>SH3BP4</t>
  </si>
  <si>
    <t>ABRACL</t>
  </si>
  <si>
    <t>ZNRD1</t>
  </si>
  <si>
    <t>SAMD15</t>
  </si>
  <si>
    <t>CAMSAP3</t>
  </si>
  <si>
    <t>ZBTB4</t>
  </si>
  <si>
    <t>CALCOCO1</t>
  </si>
  <si>
    <t>BTBD7</t>
  </si>
  <si>
    <t>KIAA1522</t>
  </si>
  <si>
    <t>CCDC88C</t>
  </si>
  <si>
    <t>VPS18</t>
  </si>
  <si>
    <t>RCC2</t>
  </si>
  <si>
    <t>KIAA1468</t>
  </si>
  <si>
    <t>DIP2B</t>
  </si>
  <si>
    <t>KIAA1462</t>
  </si>
  <si>
    <t>SLAIN2</t>
  </si>
  <si>
    <t>USP36</t>
  </si>
  <si>
    <t>BCCIP</t>
  </si>
  <si>
    <t>MST4</t>
  </si>
  <si>
    <t>COPZ2</t>
  </si>
  <si>
    <t>PTGFRN</t>
  </si>
  <si>
    <t>CTTNBP2NL</t>
  </si>
  <si>
    <t>KIAA1430</t>
  </si>
  <si>
    <t>HEATR5B</t>
  </si>
  <si>
    <t>FAM135A</t>
  </si>
  <si>
    <t>DNAH1</t>
  </si>
  <si>
    <t>ZNFX1</t>
  </si>
  <si>
    <t>RRBP1</t>
  </si>
  <si>
    <t>ANKIB1</t>
  </si>
  <si>
    <t>USP35</t>
  </si>
  <si>
    <t>CPSF2</t>
  </si>
  <si>
    <t>LARS</t>
  </si>
  <si>
    <t>RCOR3</t>
  </si>
  <si>
    <t>MYEF2</t>
  </si>
  <si>
    <t>KLHL42</t>
  </si>
  <si>
    <t>EIF2AK4</t>
  </si>
  <si>
    <t>TBC1D14</t>
  </si>
  <si>
    <t>CGN</t>
  </si>
  <si>
    <t>RBM27</t>
  </si>
  <si>
    <t>KANSL3</t>
  </si>
  <si>
    <t>ANKFY1</t>
  </si>
  <si>
    <t>RERE</t>
  </si>
  <si>
    <t>PSMC3IP</t>
  </si>
  <si>
    <t>IMPACT</t>
  </si>
  <si>
    <t>UVRAG</t>
  </si>
  <si>
    <t>ATXN10</t>
  </si>
  <si>
    <t>MBD2</t>
  </si>
  <si>
    <t>NCDN</t>
  </si>
  <si>
    <t>EPS15L1</t>
  </si>
  <si>
    <t>ORC3</t>
  </si>
  <si>
    <t>SAE1</t>
  </si>
  <si>
    <t>COPG2</t>
  </si>
  <si>
    <t>RNF7</t>
  </si>
  <si>
    <t>PI4KB</t>
  </si>
  <si>
    <t>MRC2</t>
  </si>
  <si>
    <t>COMMD3</t>
  </si>
  <si>
    <t>GNG12</t>
  </si>
  <si>
    <t>MTRR</t>
  </si>
  <si>
    <t>UXT</t>
  </si>
  <si>
    <t>ASH2L</t>
  </si>
  <si>
    <t>TNFRSF10D</t>
  </si>
  <si>
    <t>SPAST</t>
  </si>
  <si>
    <t>METTL1</t>
  </si>
  <si>
    <t>GULP1</t>
  </si>
  <si>
    <t>VPS29</t>
  </si>
  <si>
    <t>GRHPR</t>
  </si>
  <si>
    <t>CTSZ</t>
  </si>
  <si>
    <t>RPS6KB2</t>
  </si>
  <si>
    <t>DNAJB11</t>
  </si>
  <si>
    <t>RNF14</t>
  </si>
  <si>
    <t>UBA2</t>
  </si>
  <si>
    <t>CTNNAL1</t>
  </si>
  <si>
    <t>NXF1</t>
  </si>
  <si>
    <t>PEF1</t>
  </si>
  <si>
    <t>ZMYM2</t>
  </si>
  <si>
    <t>COPS7A</t>
  </si>
  <si>
    <t>APEX2</t>
  </si>
  <si>
    <t>CLIP2</t>
  </si>
  <si>
    <t>SEC14L4</t>
  </si>
  <si>
    <t>TJP2</t>
  </si>
  <si>
    <t>DNAJB4</t>
  </si>
  <si>
    <t>MALT1</t>
  </si>
  <si>
    <t>CFDP1</t>
  </si>
  <si>
    <t>ZNF629</t>
  </si>
  <si>
    <t>DAXX</t>
  </si>
  <si>
    <t>FTSJ1</t>
  </si>
  <si>
    <t>VTI1B</t>
  </si>
  <si>
    <t>STK39</t>
  </si>
  <si>
    <t>ADD3</t>
  </si>
  <si>
    <t>FBXL17</t>
  </si>
  <si>
    <t>LRWD1</t>
  </si>
  <si>
    <t>C19orf25</t>
  </si>
  <si>
    <t>DKFZp566H1924</t>
  </si>
  <si>
    <t>NIPSNAP3A</t>
  </si>
  <si>
    <t>CGGBP1</t>
  </si>
  <si>
    <t>ABCF2</t>
  </si>
  <si>
    <t>MTRF1L</t>
  </si>
  <si>
    <t>TES</t>
  </si>
  <si>
    <t>PRKAG2</t>
  </si>
  <si>
    <t>SERGEF</t>
  </si>
  <si>
    <t>LIMD1</t>
  </si>
  <si>
    <t>SUSD2</t>
  </si>
  <si>
    <t>TCF20</t>
  </si>
  <si>
    <t>NDRG3</t>
  </si>
  <si>
    <t>ARMCX3</t>
  </si>
  <si>
    <t>SWAP70</t>
  </si>
  <si>
    <t>MLX</t>
  </si>
  <si>
    <t>RSL24D1</t>
  </si>
  <si>
    <t>LAMTOR3</t>
  </si>
  <si>
    <t>LIMA1</t>
  </si>
  <si>
    <t>AFF4</t>
  </si>
  <si>
    <t>SRP68</t>
  </si>
  <si>
    <t>CHORDC1</t>
  </si>
  <si>
    <t>TBK1</t>
  </si>
  <si>
    <t>SEPT9</t>
  </si>
  <si>
    <t>UBQLN2</t>
  </si>
  <si>
    <t>DCDC2</t>
  </si>
  <si>
    <t>DDX20</t>
  </si>
  <si>
    <t>SFMBT1</t>
  </si>
  <si>
    <t>SHPK</t>
  </si>
  <si>
    <t>DPP7</t>
  </si>
  <si>
    <t>POLG2</t>
  </si>
  <si>
    <t>TMEM2</t>
  </si>
  <si>
    <t>USP25</t>
  </si>
  <si>
    <t>NARF</t>
  </si>
  <si>
    <t>BAIAP2L1</t>
  </si>
  <si>
    <t>ZNHIT2</t>
  </si>
  <si>
    <t>PFDN2</t>
  </si>
  <si>
    <t>GPN3</t>
  </si>
  <si>
    <t>PUF60</t>
  </si>
  <si>
    <t>NRBP1</t>
  </si>
  <si>
    <t>ENOPH1</t>
  </si>
  <si>
    <t>FEZ2</t>
  </si>
  <si>
    <t>EVL</t>
  </si>
  <si>
    <t>EIF2B4</t>
  </si>
  <si>
    <t>ATP6V1H</t>
  </si>
  <si>
    <t>IPO11</t>
  </si>
  <si>
    <t>TRMT112</t>
  </si>
  <si>
    <t>XPO7</t>
  </si>
  <si>
    <t>LCMT1</t>
  </si>
  <si>
    <t>VPS51</t>
  </si>
  <si>
    <t>ZNF639</t>
  </si>
  <si>
    <t>BAZ2B</t>
  </si>
  <si>
    <t>BAZ1B</t>
  </si>
  <si>
    <t>ATPIF1</t>
  </si>
  <si>
    <t>AK3</t>
  </si>
  <si>
    <t>SCOC</t>
  </si>
  <si>
    <t>FKBPL</t>
  </si>
  <si>
    <t>CNOT7</t>
  </si>
  <si>
    <t>RABGEF1</t>
  </si>
  <si>
    <t>MSRA</t>
  </si>
  <si>
    <t>NAGK</t>
  </si>
  <si>
    <t>TRMT6</t>
  </si>
  <si>
    <t>ZNF280C</t>
  </si>
  <si>
    <t>TSR3</t>
  </si>
  <si>
    <t>ERRFI1</t>
  </si>
  <si>
    <t>DBNL</t>
  </si>
  <si>
    <t>DDX41</t>
  </si>
  <si>
    <t>DCTN4</t>
  </si>
  <si>
    <t>OSGIN1</t>
  </si>
  <si>
    <t>CDC23</t>
  </si>
  <si>
    <t>ANAPC7</t>
  </si>
  <si>
    <t>ANAPC4</t>
  </si>
  <si>
    <t>ANAPC2</t>
  </si>
  <si>
    <t>HSPB8</t>
  </si>
  <si>
    <t>GGA2</t>
  </si>
  <si>
    <t>GGA1</t>
  </si>
  <si>
    <t>FBXO2</t>
  </si>
  <si>
    <t>ZNF580</t>
  </si>
  <si>
    <t>VPS28</t>
  </si>
  <si>
    <t>DBR1</t>
  </si>
  <si>
    <t>FAM208A</t>
  </si>
  <si>
    <t>FEM1B</t>
  </si>
  <si>
    <t>HN1</t>
  </si>
  <si>
    <t>FBXO3</t>
  </si>
  <si>
    <t>AKAP11</t>
  </si>
  <si>
    <t>RCAN3</t>
  </si>
  <si>
    <t>PTBP2</t>
  </si>
  <si>
    <t>FBXW11</t>
  </si>
  <si>
    <t>DNAJC12</t>
  </si>
  <si>
    <t>MRTO4</t>
  </si>
  <si>
    <t>TNIK</t>
  </si>
  <si>
    <t>CPSF3</t>
  </si>
  <si>
    <t>APPL1</t>
  </si>
  <si>
    <t>CROT</t>
  </si>
  <si>
    <t>TLK1</t>
  </si>
  <si>
    <t>GPATCH8</t>
  </si>
  <si>
    <t>PARP4</t>
  </si>
  <si>
    <t>NXT1</t>
  </si>
  <si>
    <t>NUDT5</t>
  </si>
  <si>
    <t>CASP8AP2</t>
  </si>
  <si>
    <t>PCTP</t>
  </si>
  <si>
    <t>GTF3C4</t>
  </si>
  <si>
    <t>PACSIN3</t>
  </si>
  <si>
    <t>FBXO5</t>
  </si>
  <si>
    <t>FBXO4</t>
  </si>
  <si>
    <t>ACAD8</t>
  </si>
  <si>
    <t>AGO2</t>
  </si>
  <si>
    <t>NUP50</t>
  </si>
  <si>
    <t>CDV3</t>
  </si>
  <si>
    <t>CNOT11</t>
  </si>
  <si>
    <t>BAG5</t>
  </si>
  <si>
    <t>RAB21</t>
  </si>
  <si>
    <t>RAB22A</t>
  </si>
  <si>
    <t>TRAPPC2L</t>
  </si>
  <si>
    <t>PNMA2</t>
  </si>
  <si>
    <t>PSME2</t>
  </si>
  <si>
    <t>HCN2</t>
  </si>
  <si>
    <t>MKLN1</t>
  </si>
  <si>
    <t>DNPEP</t>
  </si>
  <si>
    <t>RAB23</t>
  </si>
  <si>
    <t>MCTS1</t>
  </si>
  <si>
    <t>MTUS1</t>
  </si>
  <si>
    <t>ZNF777</t>
  </si>
  <si>
    <t>WWC3</t>
  </si>
  <si>
    <t>PALD1</t>
  </si>
  <si>
    <t>SLC39A10</t>
  </si>
  <si>
    <t>KIDINS220</t>
  </si>
  <si>
    <t>ASAP1</t>
  </si>
  <si>
    <t>MKL2</t>
  </si>
  <si>
    <t>ZBTB21</t>
  </si>
  <si>
    <t>ZMIZ1</t>
  </si>
  <si>
    <t>ANKRD50</t>
  </si>
  <si>
    <t>PPP1R9A</t>
  </si>
  <si>
    <t>MED23</t>
  </si>
  <si>
    <t>PRR12</t>
  </si>
  <si>
    <t>CNOT6</t>
  </si>
  <si>
    <t>TBC1D24</t>
  </si>
  <si>
    <t>ISY1</t>
  </si>
  <si>
    <t>PPM1H</t>
  </si>
  <si>
    <t>HECTD1</t>
  </si>
  <si>
    <t>MYO5B</t>
  </si>
  <si>
    <t>CIZ1</t>
  </si>
  <si>
    <t>CORO1C</t>
  </si>
  <si>
    <t>TPX2</t>
  </si>
  <si>
    <t>NOB1</t>
  </si>
  <si>
    <t>AKAP8L</t>
  </si>
  <si>
    <t>MAFF</t>
  </si>
  <si>
    <t>PYCARD</t>
  </si>
  <si>
    <t>FZR1</t>
  </si>
  <si>
    <t>ANAPC10</t>
  </si>
  <si>
    <t>EPDR1</t>
  </si>
  <si>
    <t>MYO6</t>
  </si>
  <si>
    <t>SPATA2</t>
  </si>
  <si>
    <t>WBP7</t>
  </si>
  <si>
    <t>DDX19B</t>
  </si>
  <si>
    <t>NFU1</t>
  </si>
  <si>
    <t>PRPF19</t>
  </si>
  <si>
    <t>SYNPO2</t>
  </si>
  <si>
    <t>SUFU</t>
  </si>
  <si>
    <t>NENF</t>
  </si>
  <si>
    <t>NOL7</t>
  </si>
  <si>
    <t>SNX12</t>
  </si>
  <si>
    <t>SYNRG</t>
  </si>
  <si>
    <t>NDRG2</t>
  </si>
  <si>
    <t>VPS4A</t>
  </si>
  <si>
    <t>SOX13</t>
  </si>
  <si>
    <t>G3BP2</t>
  </si>
  <si>
    <t>ARHGAP26</t>
  </si>
  <si>
    <t>STUB1</t>
  </si>
  <si>
    <t>PACSIN2</t>
  </si>
  <si>
    <t>MAGED2</t>
  </si>
  <si>
    <t>SNX7</t>
  </si>
  <si>
    <t>SNX6</t>
  </si>
  <si>
    <t>DUSP12</t>
  </si>
  <si>
    <t>STX8</t>
  </si>
  <si>
    <t>PSMD13</t>
  </si>
  <si>
    <t>FAF1</t>
  </si>
  <si>
    <t>PROCR</t>
  </si>
  <si>
    <t>PPIE</t>
  </si>
  <si>
    <t>DIMT1</t>
  </si>
  <si>
    <t>TIMELESS</t>
  </si>
  <si>
    <t>COPS3</t>
  </si>
  <si>
    <t>RABL2B</t>
  </si>
  <si>
    <t>MINPP1</t>
  </si>
  <si>
    <t>TTF2</t>
  </si>
  <si>
    <t>NSFL1C</t>
  </si>
  <si>
    <t>C19orf53</t>
  </si>
  <si>
    <t>COG5</t>
  </si>
  <si>
    <t>AP4E1</t>
  </si>
  <si>
    <t>AZI1</t>
  </si>
  <si>
    <t>SCAF8</t>
  </si>
  <si>
    <t>PPP6R1</t>
  </si>
  <si>
    <t>TRIM33</t>
  </si>
  <si>
    <t>PHF8</t>
  </si>
  <si>
    <t>KIAA1107</t>
  </si>
  <si>
    <t>LIMCH1</t>
  </si>
  <si>
    <t>AGAP1</t>
  </si>
  <si>
    <t>TNRC6B</t>
  </si>
  <si>
    <t>PLCL2</t>
  </si>
  <si>
    <t>SMG5</t>
  </si>
  <si>
    <t>ANKRD26</t>
  </si>
  <si>
    <t>EXOC7</t>
  </si>
  <si>
    <t>ZC3H4</t>
  </si>
  <si>
    <t>USP22</t>
  </si>
  <si>
    <t>USP24</t>
  </si>
  <si>
    <t>TBC1D2B</t>
  </si>
  <si>
    <t>AGTPBP1</t>
  </si>
  <si>
    <t>SHANK2</t>
  </si>
  <si>
    <t>DICER1</t>
  </si>
  <si>
    <t>MAPRE3</t>
  </si>
  <si>
    <t>HPS5</t>
  </si>
  <si>
    <t>THSD7A</t>
  </si>
  <si>
    <t>SHOC2</t>
  </si>
  <si>
    <t>SRRM2</t>
  </si>
  <si>
    <t>PA2G4</t>
  </si>
  <si>
    <t>BAIAP2</t>
  </si>
  <si>
    <t>GAB2</t>
  </si>
  <si>
    <t>SMC3</t>
  </si>
  <si>
    <t>CHMP2B</t>
  </si>
  <si>
    <t>SCML2</t>
  </si>
  <si>
    <t>ZNF148</t>
  </si>
  <si>
    <t>MTMR6</t>
  </si>
  <si>
    <t>GNE</t>
  </si>
  <si>
    <t>C14orf166</t>
  </si>
  <si>
    <t>RUVBL2</t>
  </si>
  <si>
    <t>CDYL</t>
  </si>
  <si>
    <t>PIN4</t>
  </si>
  <si>
    <t>AKT3</t>
  </si>
  <si>
    <t>POMP</t>
  </si>
  <si>
    <t>GINS2</t>
  </si>
  <si>
    <t>CHKB</t>
  </si>
  <si>
    <t>EIF3L</t>
  </si>
  <si>
    <t>PLAA</t>
  </si>
  <si>
    <t>RUVBL1</t>
  </si>
  <si>
    <t>NUDC</t>
  </si>
  <si>
    <t>CFL2</t>
  </si>
  <si>
    <t>FARSA</t>
  </si>
  <si>
    <t>ASF1A</t>
  </si>
  <si>
    <t>DRG1</t>
  </si>
  <si>
    <t>TRAPPC4</t>
  </si>
  <si>
    <t>NCKAP1</t>
  </si>
  <si>
    <t>CNPY2</t>
  </si>
  <si>
    <t>EXOC6B</t>
  </si>
  <si>
    <t>AKAP2</t>
  </si>
  <si>
    <t>DIP2C</t>
  </si>
  <si>
    <t>KIAA0947</t>
  </si>
  <si>
    <t>CARD8</t>
  </si>
  <si>
    <t>POFUT2</t>
  </si>
  <si>
    <t>DLGAP4</t>
  </si>
  <si>
    <t>STK38L</t>
  </si>
  <si>
    <t>INPP5F</t>
  </si>
  <si>
    <t>PLEKHA6</t>
  </si>
  <si>
    <t>NISCH</t>
  </si>
  <si>
    <t>NINL</t>
  </si>
  <si>
    <t>PIKFYVE</t>
  </si>
  <si>
    <t>WDR37</t>
  </si>
  <si>
    <t>AMOTL2</t>
  </si>
  <si>
    <t>ZBTB1</t>
  </si>
  <si>
    <t>KDM2A</t>
  </si>
  <si>
    <t>DIS3</t>
  </si>
  <si>
    <t>LRCH1</t>
  </si>
  <si>
    <t>LAMTOR2</t>
  </si>
  <si>
    <t>MRPS28</t>
  </si>
  <si>
    <t>DDX52</t>
  </si>
  <si>
    <t>MRPS7</t>
  </si>
  <si>
    <t>POLR1D</t>
  </si>
  <si>
    <t>CRYL1</t>
  </si>
  <si>
    <t>TMA7</t>
  </si>
  <si>
    <t>POLDIP2</t>
  </si>
  <si>
    <t>AP3M1</t>
  </si>
  <si>
    <t>YBX2</t>
  </si>
  <si>
    <t>MAP3K2</t>
  </si>
  <si>
    <t>LEMD3</t>
  </si>
  <si>
    <t>KLHDC2</t>
  </si>
  <si>
    <t>COG6</t>
  </si>
  <si>
    <t>THRAP3</t>
  </si>
  <si>
    <t>MED16</t>
  </si>
  <si>
    <t>NOP58</t>
  </si>
  <si>
    <t>GIT1</t>
  </si>
  <si>
    <t>POLR3K</t>
  </si>
  <si>
    <t>KLF13</t>
  </si>
  <si>
    <t>SUGT1</t>
  </si>
  <si>
    <t>YARS2</t>
  </si>
  <si>
    <t>AMDHD2</t>
  </si>
  <si>
    <t>ACOT9</t>
  </si>
  <si>
    <t>AAR2</t>
  </si>
  <si>
    <t>NOSIP</t>
  </si>
  <si>
    <t>DERA</t>
  </si>
  <si>
    <t>MEMO1</t>
  </si>
  <si>
    <t>LSM2</t>
  </si>
  <si>
    <t>SH3GLB1</t>
  </si>
  <si>
    <t>CAB39</t>
  </si>
  <si>
    <t>LUC7L2</t>
  </si>
  <si>
    <t>MRPS2</t>
  </si>
  <si>
    <t>MOB4</t>
  </si>
  <si>
    <t>SBDS</t>
  </si>
  <si>
    <t>SF3B14</t>
  </si>
  <si>
    <t>RRP15</t>
  </si>
  <si>
    <t>NOP16</t>
  </si>
  <si>
    <t>TPRKB</t>
  </si>
  <si>
    <t>PPIL1</t>
  </si>
  <si>
    <t>UFC1</t>
  </si>
  <si>
    <t>FAM96B</t>
  </si>
  <si>
    <t>MSRB2</t>
  </si>
  <si>
    <t>FIS1</t>
  </si>
  <si>
    <t>TAF9</t>
  </si>
  <si>
    <t>MRPS23</t>
  </si>
  <si>
    <t>HDGFRP3</t>
  </si>
  <si>
    <t>BOLA1</t>
  </si>
  <si>
    <t>CHMP3</t>
  </si>
  <si>
    <t>STRAP</t>
  </si>
  <si>
    <t>C22orf28</t>
  </si>
  <si>
    <t>FBXO7</t>
  </si>
  <si>
    <t>RAP2C</t>
  </si>
  <si>
    <t>STARD13</t>
  </si>
  <si>
    <t>RABGAP1</t>
  </si>
  <si>
    <t>TSC22D4</t>
  </si>
  <si>
    <t>DOPEY2</t>
  </si>
  <si>
    <t>ZNF330</t>
  </si>
  <si>
    <t>R3HCC1</t>
  </si>
  <si>
    <t>NOC2L</t>
  </si>
  <si>
    <t>RPL36</t>
  </si>
  <si>
    <t>RWDD3</t>
  </si>
  <si>
    <t>CCDC9</t>
  </si>
  <si>
    <t>CHTOP</t>
  </si>
  <si>
    <t>SAMHD1</t>
  </si>
  <si>
    <t>PKP3</t>
  </si>
  <si>
    <t>KNSTRN</t>
  </si>
  <si>
    <t>HBS1L</t>
  </si>
  <si>
    <t>TLN1</t>
  </si>
  <si>
    <t>KIF3A</t>
  </si>
  <si>
    <t>RAD54L2</t>
  </si>
  <si>
    <t>SOGA2</t>
  </si>
  <si>
    <t>VPRBP</t>
  </si>
  <si>
    <t>KDM3A</t>
  </si>
  <si>
    <t>FAM115A</t>
  </si>
  <si>
    <t>MFHAS1</t>
  </si>
  <si>
    <t>RBM19</t>
  </si>
  <si>
    <t>FAM21C</t>
  </si>
  <si>
    <t>WDR7</t>
  </si>
  <si>
    <t>USP15</t>
  </si>
  <si>
    <t>FARP1</t>
  </si>
  <si>
    <t>CEP170B</t>
  </si>
  <si>
    <t>TLN2</t>
  </si>
  <si>
    <t>RAPGEF2</t>
  </si>
  <si>
    <t>IRS2</t>
  </si>
  <si>
    <t>MYO5A</t>
  </si>
  <si>
    <t>AIM1</t>
  </si>
  <si>
    <t>TRAF6</t>
  </si>
  <si>
    <t>MAP4K5</t>
  </si>
  <si>
    <t>ATG4B</t>
  </si>
  <si>
    <t>WIPI2</t>
  </si>
  <si>
    <t>TELO2</t>
  </si>
  <si>
    <t>MMACHC</t>
  </si>
  <si>
    <t>ARIH1</t>
  </si>
  <si>
    <t>LSM4</t>
  </si>
  <si>
    <t>RNF114</t>
  </si>
  <si>
    <t>PRRC2C</t>
  </si>
  <si>
    <t>LRRC42</t>
  </si>
  <si>
    <t>HSPB11</t>
  </si>
  <si>
    <t>PPME1</t>
  </si>
  <si>
    <t>RBM7</t>
  </si>
  <si>
    <t>KCTD3</t>
  </si>
  <si>
    <t>NUB1</t>
  </si>
  <si>
    <t>YTHDF2</t>
  </si>
  <si>
    <t>CTDP1</t>
  </si>
  <si>
    <t>PAXBP1</t>
  </si>
  <si>
    <t>NME7</t>
  </si>
  <si>
    <t>SUPT16H</t>
  </si>
  <si>
    <t>UTP18</t>
  </si>
  <si>
    <t>PHLDA3</t>
  </si>
  <si>
    <t>TIMM9</t>
  </si>
  <si>
    <t>TIMM8B</t>
  </si>
  <si>
    <t>UCHL5</t>
  </si>
  <si>
    <t>CD2AP</t>
  </si>
  <si>
    <t>ATP6V1D</t>
  </si>
  <si>
    <t>TNPO3</t>
  </si>
  <si>
    <t>TIMM13</t>
  </si>
  <si>
    <t>N6AMT1</t>
  </si>
  <si>
    <t>COL4A3BP</t>
  </si>
  <si>
    <t>GMPPB</t>
  </si>
  <si>
    <t>GTF3C5</t>
  </si>
  <si>
    <t>GTF3C3</t>
  </si>
  <si>
    <t>TRAPPC1</t>
  </si>
  <si>
    <t>CDC42BPB</t>
  </si>
  <si>
    <t>RBM8A</t>
  </si>
  <si>
    <t>USP16</t>
  </si>
  <si>
    <t>TSSC4</t>
  </si>
  <si>
    <t>ZNF706</t>
  </si>
  <si>
    <t>MAGED1</t>
  </si>
  <si>
    <t>SNX9</t>
  </si>
  <si>
    <t>SNX8</t>
  </si>
  <si>
    <t>SNX5</t>
  </si>
  <si>
    <t>FLVCR1</t>
  </si>
  <si>
    <t>NUBP2</t>
  </si>
  <si>
    <t>HEBP2</t>
  </si>
  <si>
    <t>HCFC2</t>
  </si>
  <si>
    <t>MRFAP1</t>
  </si>
  <si>
    <t>LRRFIP2</t>
  </si>
  <si>
    <t>FHOD1</t>
  </si>
  <si>
    <t>PSAT1</t>
  </si>
  <si>
    <t>RAD54B</t>
  </si>
  <si>
    <t>SPIN1</t>
  </si>
  <si>
    <t>COPG1</t>
  </si>
  <si>
    <t>FKBP7</t>
  </si>
  <si>
    <t>GMEB1</t>
  </si>
  <si>
    <t>CLIC4</t>
  </si>
  <si>
    <t>NFS1</t>
  </si>
  <si>
    <t>C16orf80</t>
  </si>
  <si>
    <t>TACC3</t>
  </si>
  <si>
    <t>SAR1B</t>
  </si>
  <si>
    <t>AP4B1</t>
  </si>
  <si>
    <t>ARFGEF2</t>
  </si>
  <si>
    <t>ARFGEF1</t>
  </si>
  <si>
    <t>MAD1L1</t>
  </si>
  <si>
    <t>STK24</t>
  </si>
  <si>
    <t>DYNC1LI1</t>
  </si>
  <si>
    <t>CHCHD2</t>
  </si>
  <si>
    <t>EPN1</t>
  </si>
  <si>
    <t>TEX264</t>
  </si>
  <si>
    <t>TAF6L</t>
  </si>
  <si>
    <t>DNMT3A</t>
  </si>
  <si>
    <t>OAS3</t>
  </si>
  <si>
    <t>IKBKG</t>
  </si>
  <si>
    <t>SLC30A1</t>
  </si>
  <si>
    <t>SQRDL</t>
  </si>
  <si>
    <t>ROBO1</t>
  </si>
  <si>
    <t>USH1C</t>
  </si>
  <si>
    <t>TNFRSF11A</t>
  </si>
  <si>
    <t>NCOA3</t>
  </si>
  <si>
    <t>NUMBL</t>
  </si>
  <si>
    <t>DDX49</t>
  </si>
  <si>
    <t>CAPN7</t>
  </si>
  <si>
    <t>WASF2</t>
  </si>
  <si>
    <t>ENPP4</t>
  </si>
  <si>
    <t>ZHX2</t>
  </si>
  <si>
    <t>MORC2</t>
  </si>
  <si>
    <t>IVNS1ABP</t>
  </si>
  <si>
    <t>MOSPD2</t>
  </si>
  <si>
    <t>PSMD8</t>
  </si>
  <si>
    <t>LAMTOR5</t>
  </si>
  <si>
    <t>BMI1</t>
  </si>
  <si>
    <t>YTHDF3</t>
  </si>
  <si>
    <t>PARD3B</t>
  </si>
  <si>
    <t>S100A6</t>
  </si>
  <si>
    <t>DENND4C</t>
  </si>
  <si>
    <t>PHLDA1</t>
  </si>
  <si>
    <t>PSMC3</t>
  </si>
  <si>
    <t>FBXO44</t>
  </si>
  <si>
    <t>A0AVT1</t>
  </si>
  <si>
    <t>A0JNW5</t>
  </si>
  <si>
    <t>A0MZ66</t>
  </si>
  <si>
    <t>A1A4S6</t>
  </si>
  <si>
    <t>A1A5A9</t>
  </si>
  <si>
    <t>A1L188</t>
  </si>
  <si>
    <t>A1L390</t>
  </si>
  <si>
    <t>A1X283</t>
  </si>
  <si>
    <t>A2A2A7</t>
  </si>
  <si>
    <t>A2A3N6</t>
  </si>
  <si>
    <t>A2RTX5-2</t>
  </si>
  <si>
    <t>A2RUC4</t>
  </si>
  <si>
    <t>A3KMH1-2</t>
  </si>
  <si>
    <t>A3KN83-2</t>
  </si>
  <si>
    <t>A4D1E9-2</t>
  </si>
  <si>
    <t>A4D1P6-2</t>
  </si>
  <si>
    <t>A4D1S0-2</t>
  </si>
  <si>
    <t>A4D2B0</t>
  </si>
  <si>
    <t>A5PLN9-2</t>
  </si>
  <si>
    <t>A5YKK6</t>
  </si>
  <si>
    <t>A6H8Y1-7</t>
  </si>
  <si>
    <t>A6ND22</t>
  </si>
  <si>
    <t>A6ND36</t>
  </si>
  <si>
    <t>A6NDB9</t>
  </si>
  <si>
    <t>A6NDG6</t>
  </si>
  <si>
    <t>A6NDU8</t>
  </si>
  <si>
    <t>A6NED2</t>
  </si>
  <si>
    <t>A6NF31</t>
  </si>
  <si>
    <t>A6NF48</t>
  </si>
  <si>
    <t>A6NFI3</t>
  </si>
  <si>
    <t>A6NG32</t>
  </si>
  <si>
    <t>A6NG64</t>
  </si>
  <si>
    <t>A6NG79</t>
  </si>
  <si>
    <t>A6NGB9</t>
  </si>
  <si>
    <t>A6NGP5</t>
  </si>
  <si>
    <t>A6NHL2-2</t>
  </si>
  <si>
    <t>A6NHR9</t>
  </si>
  <si>
    <t>A6NHX0</t>
  </si>
  <si>
    <t>A6NIH7</t>
  </si>
  <si>
    <t>A6NIX2</t>
  </si>
  <si>
    <t>A6NIZ0</t>
  </si>
  <si>
    <t>A6NIZ6</t>
  </si>
  <si>
    <t>A6NJ78-2</t>
  </si>
  <si>
    <t>A6NKD9</t>
  </si>
  <si>
    <t>A6NML8</t>
  </si>
  <si>
    <t>A6NN40</t>
  </si>
  <si>
    <t>A6NNT2</t>
  </si>
  <si>
    <t>A6NNV6</t>
  </si>
  <si>
    <t>A6QL63</t>
  </si>
  <si>
    <t>A6ZKI3</t>
  </si>
  <si>
    <t>A7KAX9</t>
  </si>
  <si>
    <t>A7Y2D6</t>
  </si>
  <si>
    <t>A8CG34-2</t>
  </si>
  <si>
    <t>A8CTX8</t>
  </si>
  <si>
    <t>A8MQB8</t>
  </si>
  <si>
    <t>A8MTK3</t>
  </si>
  <si>
    <t>A8MTZ6</t>
  </si>
  <si>
    <t>A8MUB1</t>
  </si>
  <si>
    <t>A8MVZ6</t>
  </si>
  <si>
    <t>A8MWK3</t>
  </si>
  <si>
    <t>A8MWR2</t>
  </si>
  <si>
    <t>A8MX75</t>
  </si>
  <si>
    <t>A8MXV4</t>
  </si>
  <si>
    <t>A9Z1X7</t>
  </si>
  <si>
    <t>B0FLL2</t>
  </si>
  <si>
    <t>B0QXZ5</t>
  </si>
  <si>
    <t>B0QY74</t>
  </si>
  <si>
    <t>B0QYI3</t>
  </si>
  <si>
    <t>B0S8A9</t>
  </si>
  <si>
    <t>B0UX83</t>
  </si>
  <si>
    <t>B0UZY3</t>
  </si>
  <si>
    <t>B1AHQ7</t>
  </si>
  <si>
    <t>B1AJY7</t>
  </si>
  <si>
    <t>B1AK13</t>
  </si>
  <si>
    <t>B1AKC7</t>
  </si>
  <si>
    <t>B1AKL4</t>
  </si>
  <si>
    <t>B1AKN7</t>
  </si>
  <si>
    <t>B1AL69</t>
  </si>
  <si>
    <t>B1AMU7</t>
  </si>
  <si>
    <t>B1AN99</t>
  </si>
  <si>
    <t>B1ANH0</t>
  </si>
  <si>
    <t>B1N949</t>
  </si>
  <si>
    <t>B2R5P6</t>
  </si>
  <si>
    <t>B2RTY4-5</t>
  </si>
  <si>
    <t>B3KNQ0</t>
  </si>
  <si>
    <t>B3KP87</t>
  </si>
  <si>
    <t>B3KRS5</t>
  </si>
  <si>
    <t>B3KSI9</t>
  </si>
  <si>
    <t>B3KUK2</t>
  </si>
  <si>
    <t>B3KVH8</t>
  </si>
  <si>
    <t>B3KVZ3</t>
  </si>
  <si>
    <t>B3KWN8</t>
  </si>
  <si>
    <t>B3KY83</t>
  </si>
  <si>
    <t>B4DDF4</t>
  </si>
  <si>
    <t>B4DDF9</t>
  </si>
  <si>
    <t>B4DDY8</t>
  </si>
  <si>
    <t>B4DDZ0</t>
  </si>
  <si>
    <t>B4DEK4</t>
  </si>
  <si>
    <t>B4DGU4</t>
  </si>
  <si>
    <t>B4DGX2</t>
  </si>
  <si>
    <t>B4DH42</t>
  </si>
  <si>
    <t>B4DH53</t>
  </si>
  <si>
    <t>B4DJ25</t>
  </si>
  <si>
    <t>B4DJA5</t>
  </si>
  <si>
    <t>B4DJP7</t>
  </si>
  <si>
    <t>B4DJV2</t>
  </si>
  <si>
    <t>B4DJV5</t>
  </si>
  <si>
    <t>B4DKF9</t>
  </si>
  <si>
    <t>B4DKL4</t>
  </si>
  <si>
    <t>B4DL05</t>
  </si>
  <si>
    <t>B4DL14</t>
  </si>
  <si>
    <t>B4DL54</t>
  </si>
  <si>
    <t>B4DLE8</t>
  </si>
  <si>
    <t>B4DLW8</t>
  </si>
  <si>
    <t>B4DLZ9</t>
  </si>
  <si>
    <t>B4DNX9</t>
  </si>
  <si>
    <t>B4DP21</t>
  </si>
  <si>
    <t>B4DPR4</t>
  </si>
  <si>
    <t>B4DPY5</t>
  </si>
  <si>
    <t>B4DPY8</t>
  </si>
  <si>
    <t>B4DQ14</t>
  </si>
  <si>
    <t>B4DQE7</t>
  </si>
  <si>
    <t>B4DQH9</t>
  </si>
  <si>
    <t>B4DQI6</t>
  </si>
  <si>
    <t>B4DQJ8</t>
  </si>
  <si>
    <t>B4DRL9</t>
  </si>
  <si>
    <t>B4DRM7</t>
  </si>
  <si>
    <t>B4DT77</t>
  </si>
  <si>
    <t>B4DTU4</t>
  </si>
  <si>
    <t>B4DV96</t>
  </si>
  <si>
    <t>B4DVE7</t>
  </si>
  <si>
    <t>B4DVY1</t>
  </si>
  <si>
    <t>B4DWW1</t>
  </si>
  <si>
    <t>B4DX32</t>
  </si>
  <si>
    <t>B4DXZ6</t>
  </si>
  <si>
    <t>B4DYB4</t>
  </si>
  <si>
    <t>B4DZH6</t>
  </si>
  <si>
    <t>B4E0G4</t>
  </si>
  <si>
    <t>B4E0T7</t>
  </si>
  <si>
    <t>B4E1K7</t>
  </si>
  <si>
    <t>B4E1M0</t>
  </si>
  <si>
    <t>B4E1N6</t>
  </si>
  <si>
    <t>B4E1Q4</t>
  </si>
  <si>
    <t>B4E241</t>
  </si>
  <si>
    <t>B4E2S7</t>
  </si>
  <si>
    <t>B4E2W0</t>
  </si>
  <si>
    <t>B4E2X3</t>
  </si>
  <si>
    <t>B5MCF9</t>
  </si>
  <si>
    <t>B5MCT7</t>
  </si>
  <si>
    <t>B5MCU0</t>
  </si>
  <si>
    <t>B5MEB3</t>
  </si>
  <si>
    <t>B7WP27</t>
  </si>
  <si>
    <t>B7Z254</t>
  </si>
  <si>
    <t>B7Z2G1</t>
  </si>
  <si>
    <t>B7Z2S5</t>
  </si>
  <si>
    <t>B7Z2T3</t>
  </si>
  <si>
    <t>B7Z2X9</t>
  </si>
  <si>
    <t>B7Z2Y2</t>
  </si>
  <si>
    <t>B7Z367</t>
  </si>
  <si>
    <t>B7Z3I9</t>
  </si>
  <si>
    <t>B7Z3P1</t>
  </si>
  <si>
    <t>B7Z3Y2</t>
  </si>
  <si>
    <t>B7Z4K6</t>
  </si>
  <si>
    <t>B7Z4R0</t>
  </si>
  <si>
    <t>B7Z5G4</t>
  </si>
  <si>
    <t>B7Z652</t>
  </si>
  <si>
    <t>B7Z6B8</t>
  </si>
  <si>
    <t>B7Z6J6</t>
  </si>
  <si>
    <t>B7Z755</t>
  </si>
  <si>
    <t>B7Z7J3</t>
  </si>
  <si>
    <t>B7Z7U4</t>
  </si>
  <si>
    <t>B7Z815</t>
  </si>
  <si>
    <t>B7Z848</t>
  </si>
  <si>
    <t>B7Z9U0</t>
  </si>
  <si>
    <t>B7Z9X4</t>
  </si>
  <si>
    <t>B7ZAX5</t>
  </si>
  <si>
    <t>B7ZKK9</t>
  </si>
  <si>
    <t>B7ZKP8</t>
  </si>
  <si>
    <t>B7ZKT6</t>
  </si>
  <si>
    <t>B7ZLQ8</t>
  </si>
  <si>
    <t>B7ZM82</t>
  </si>
  <si>
    <t>B8X2Z3</t>
  </si>
  <si>
    <t>B8ZZF8</t>
  </si>
  <si>
    <t>B8ZZJ9</t>
  </si>
  <si>
    <t>B8ZZK4</t>
  </si>
  <si>
    <t>B8ZZQ6</t>
  </si>
  <si>
    <t>B8ZZT4</t>
  </si>
  <si>
    <t>B9A018</t>
  </si>
  <si>
    <t>B9A047</t>
  </si>
  <si>
    <t>C4AMC7</t>
  </si>
  <si>
    <t>C9IZE4</t>
  </si>
  <si>
    <t>C9J0I9</t>
  </si>
  <si>
    <t>C9J0J7</t>
  </si>
  <si>
    <t>C9J0K6</t>
  </si>
  <si>
    <t>C9J0V9</t>
  </si>
  <si>
    <t>C9J191</t>
  </si>
  <si>
    <t>C9J212</t>
  </si>
  <si>
    <t>C9J2U0</t>
  </si>
  <si>
    <t>C9J2Y9</t>
  </si>
  <si>
    <t>C9J366</t>
  </si>
  <si>
    <t>C9J384</t>
  </si>
  <si>
    <t>C9J406</t>
  </si>
  <si>
    <t>C9J4W5</t>
  </si>
  <si>
    <t>C9J5C3</t>
  </si>
  <si>
    <t>C9J5X1</t>
  </si>
  <si>
    <t>C9J5X9</t>
  </si>
  <si>
    <t>C9J710</t>
  </si>
  <si>
    <t>C9J712</t>
  </si>
  <si>
    <t>C9J718</t>
  </si>
  <si>
    <t>C9J7H8</t>
  </si>
  <si>
    <t>C9J9K3</t>
  </si>
  <si>
    <t>C9JA69</t>
  </si>
  <si>
    <t>C9JAX1</t>
  </si>
  <si>
    <t>C9JB13</t>
  </si>
  <si>
    <t>C9JBM0</t>
  </si>
  <si>
    <t>C9JCN8</t>
  </si>
  <si>
    <t>C9JDG0</t>
  </si>
  <si>
    <t>C9JE98</t>
  </si>
  <si>
    <t>C9JEV0</t>
  </si>
  <si>
    <t>C9JEZ4</t>
  </si>
  <si>
    <t>C9JF58</t>
  </si>
  <si>
    <t>C9JFE4</t>
  </si>
  <si>
    <t>C9JFK9</t>
  </si>
  <si>
    <t>C9JG15</t>
  </si>
  <si>
    <t>C9JG87</t>
  </si>
  <si>
    <t>C9JG97</t>
  </si>
  <si>
    <t>C9JIS1</t>
  </si>
  <si>
    <t>C9JKT3</t>
  </si>
  <si>
    <t>C9JLU1</t>
  </si>
  <si>
    <t>C9JLV4</t>
  </si>
  <si>
    <t>C9JMH6</t>
  </si>
  <si>
    <t>C9JNE2</t>
  </si>
  <si>
    <t>C9JNI7</t>
  </si>
  <si>
    <t>C9JNT3</t>
  </si>
  <si>
    <t>C9JNU9</t>
  </si>
  <si>
    <t>C9JP00</t>
  </si>
  <si>
    <t>C9JP16</t>
  </si>
  <si>
    <t>C9JPC9</t>
  </si>
  <si>
    <t>C9JPP2</t>
  </si>
  <si>
    <t>C9JQ41</t>
  </si>
  <si>
    <t>C9JQB1</t>
  </si>
  <si>
    <t>C9JQQ5</t>
  </si>
  <si>
    <t>C9JQV0</t>
  </si>
  <si>
    <t>C9JQV3</t>
  </si>
  <si>
    <t>C9JRV0</t>
  </si>
  <si>
    <t>C9JRZ8-2</t>
  </si>
  <si>
    <t>C9JW69</t>
  </si>
  <si>
    <t>C9JWL4</t>
  </si>
  <si>
    <t>C9JXB8</t>
  </si>
  <si>
    <t>C9JXK0</t>
  </si>
  <si>
    <t>C9JXK9</t>
  </si>
  <si>
    <t>C9JYM0</t>
  </si>
  <si>
    <t>C9JYP6</t>
  </si>
  <si>
    <t>C9JYQ9</t>
  </si>
  <si>
    <t>C9JYY6</t>
  </si>
  <si>
    <t>C9JZY6</t>
  </si>
  <si>
    <t>D3DQV9</t>
  </si>
  <si>
    <t>D3DUE0</t>
  </si>
  <si>
    <t>D3DUE4</t>
  </si>
  <si>
    <t>D3K174</t>
  </si>
  <si>
    <t>D3YHP0</t>
  </si>
  <si>
    <t>D3YTB1</t>
  </si>
  <si>
    <t>D3YTE0</t>
  </si>
  <si>
    <t>D3YTG6</t>
  </si>
  <si>
    <t>D6R966</t>
  </si>
  <si>
    <t>D6R992</t>
  </si>
  <si>
    <t>D6R9D6</t>
  </si>
  <si>
    <t>D6R9U7</t>
  </si>
  <si>
    <t>D6R9V3</t>
  </si>
  <si>
    <t>D6RB01</t>
  </si>
  <si>
    <t>D6RBC4</t>
  </si>
  <si>
    <t>D6RBN5</t>
  </si>
  <si>
    <t>D6RBV2</t>
  </si>
  <si>
    <t>D6RC23</t>
  </si>
  <si>
    <t>D6RC56</t>
  </si>
  <si>
    <t>D6RDG4</t>
  </si>
  <si>
    <t>D6RDM1</t>
  </si>
  <si>
    <t>D6RDX3</t>
  </si>
  <si>
    <t>D6REA0</t>
  </si>
  <si>
    <t>D6REX3</t>
  </si>
  <si>
    <t>D6RGI3</t>
  </si>
  <si>
    <t>D6RHC4</t>
  </si>
  <si>
    <t>D6RHD3</t>
  </si>
  <si>
    <t>D6RHI7</t>
  </si>
  <si>
    <t>D6RHI9</t>
  </si>
  <si>
    <t>D6RHJ6</t>
  </si>
  <si>
    <t>D6RJ90</t>
  </si>
  <si>
    <t>D6W5P0</t>
  </si>
  <si>
    <t>E2QRD4</t>
  </si>
  <si>
    <t>E2QRD5</t>
  </si>
  <si>
    <t>E2QRF9</t>
  </si>
  <si>
    <t>E5RFJ1</t>
  </si>
  <si>
    <t>E5RG13</t>
  </si>
  <si>
    <t>E5RGQ3</t>
  </si>
  <si>
    <t>E5RGX5</t>
  </si>
  <si>
    <t>E5RHG8</t>
  </si>
  <si>
    <t>E5RIH5</t>
  </si>
  <si>
    <t>E5RJ29</t>
  </si>
  <si>
    <t>E5RJ52</t>
  </si>
  <si>
    <t>E5RJ99</t>
  </si>
  <si>
    <t>E5RJR5</t>
  </si>
  <si>
    <t>E5RJU9</t>
  </si>
  <si>
    <t>E7EM64</t>
  </si>
  <si>
    <t>E7EMB8</t>
  </si>
  <si>
    <t>E7EMC3</t>
  </si>
  <si>
    <t>E7EMM4</t>
  </si>
  <si>
    <t>E7EMW7</t>
  </si>
  <si>
    <t>E7EMZ9</t>
  </si>
  <si>
    <t>E7EN68</t>
  </si>
  <si>
    <t>E7ENA9</t>
  </si>
  <si>
    <t>E7ENK0</t>
  </si>
  <si>
    <t>E7EP86</t>
  </si>
  <si>
    <t>E7EPB3</t>
  </si>
  <si>
    <t>E7EPD0</t>
  </si>
  <si>
    <t>E7EPI0</t>
  </si>
  <si>
    <t>E7EPL4</t>
  </si>
  <si>
    <t>E7EPS8</t>
  </si>
  <si>
    <t>E7EQ69</t>
  </si>
  <si>
    <t>E7EQT4</t>
  </si>
  <si>
    <t>E7EQY4</t>
  </si>
  <si>
    <t>E7ER32</t>
  </si>
  <si>
    <t>E7ER68</t>
  </si>
  <si>
    <t>E7ERB7</t>
  </si>
  <si>
    <t>E7ERL6</t>
  </si>
  <si>
    <t>E7ERR0</t>
  </si>
  <si>
    <t>E7ES08</t>
  </si>
  <si>
    <t>E7ES35</t>
  </si>
  <si>
    <t>E7ESD5</t>
  </si>
  <si>
    <t>E7ET15</t>
  </si>
  <si>
    <t>E7ET33</t>
  </si>
  <si>
    <t>E7ET89</t>
  </si>
  <si>
    <t>E7ET96</t>
  </si>
  <si>
    <t>E7ETR5</t>
  </si>
  <si>
    <t>E7ETU5</t>
  </si>
  <si>
    <t>E7ETU9</t>
  </si>
  <si>
    <t>E7ETZ4</t>
  </si>
  <si>
    <t>E7EU35</t>
  </si>
  <si>
    <t>E7EU96</t>
  </si>
  <si>
    <t>E7EUC6</t>
  </si>
  <si>
    <t>E7EUI8</t>
  </si>
  <si>
    <t>E7EUM5</t>
  </si>
  <si>
    <t>E7EUU4</t>
  </si>
  <si>
    <t>E7EUY3</t>
  </si>
  <si>
    <t>E7EV62</t>
  </si>
  <si>
    <t>E7EVA0</t>
  </si>
  <si>
    <t>E7EVG6</t>
  </si>
  <si>
    <t>E7EVH9</t>
  </si>
  <si>
    <t>E7EVJ5</t>
  </si>
  <si>
    <t>E7EVY7</t>
  </si>
  <si>
    <t>E7EVZ3</t>
  </si>
  <si>
    <t>E7EW69</t>
  </si>
  <si>
    <t>E7EW80</t>
  </si>
  <si>
    <t>E7EW84</t>
  </si>
  <si>
    <t>E7EWC2</t>
  </si>
  <si>
    <t>E7EX44</t>
  </si>
  <si>
    <t>E7EX48</t>
  </si>
  <si>
    <t>E7EX73</t>
  </si>
  <si>
    <t>E7EX87</t>
  </si>
  <si>
    <t>E9PAU2</t>
  </si>
  <si>
    <t>E9PAV9</t>
  </si>
  <si>
    <t>E9PAX8</t>
  </si>
  <si>
    <t>E9PB14</t>
  </si>
  <si>
    <t>E9PB61</t>
  </si>
  <si>
    <t>E9PB90</t>
  </si>
  <si>
    <t>E9PBS1</t>
  </si>
  <si>
    <t>E9PC26</t>
  </si>
  <si>
    <t>E9PC74</t>
  </si>
  <si>
    <t>E9PCH4</t>
  </si>
  <si>
    <t>E9PCX8</t>
  </si>
  <si>
    <t>E9PD90</t>
  </si>
  <si>
    <t>E9PDK2</t>
  </si>
  <si>
    <t>E9PDP5</t>
  </si>
  <si>
    <t>E9PE82</t>
  </si>
  <si>
    <t>E9PEG3</t>
  </si>
  <si>
    <t>E9PEK0</t>
  </si>
  <si>
    <t>E9PER6</t>
  </si>
  <si>
    <t>E9PEZ3</t>
  </si>
  <si>
    <t>E9PF10</t>
  </si>
  <si>
    <t>E9PF16</t>
  </si>
  <si>
    <t>E9PF99</t>
  </si>
  <si>
    <t>E9PFR3</t>
  </si>
  <si>
    <t>E9PFU9</t>
  </si>
  <si>
    <t>E9PG22</t>
  </si>
  <si>
    <t>E9PG40</t>
  </si>
  <si>
    <t>E9PGF5</t>
  </si>
  <si>
    <t>E9PGT1</t>
  </si>
  <si>
    <t>E9PGW7</t>
  </si>
  <si>
    <t>E9PH29</t>
  </si>
  <si>
    <t>E9PHK0</t>
  </si>
  <si>
    <t>E9PHM2</t>
  </si>
  <si>
    <t>E9PHV5</t>
  </si>
  <si>
    <t>E9PIB1</t>
  </si>
  <si>
    <t>E9PJ04</t>
  </si>
  <si>
    <t>E9PJ24</t>
  </si>
  <si>
    <t>E9PJ81</t>
  </si>
  <si>
    <t>E9PJD7</t>
  </si>
  <si>
    <t>E9PJF5</t>
  </si>
  <si>
    <t>E9PJK4</t>
  </si>
  <si>
    <t>E9PJN1</t>
  </si>
  <si>
    <t>E9PJP2</t>
  </si>
  <si>
    <t>E9PJV3</t>
  </si>
  <si>
    <t>E9PKD1</t>
  </si>
  <si>
    <t>E9PKG1</t>
  </si>
  <si>
    <t>E9PKV8</t>
  </si>
  <si>
    <t>E9PL10</t>
  </si>
  <si>
    <t>E9PL22</t>
  </si>
  <si>
    <t>E9PL24</t>
  </si>
  <si>
    <t>E9PL57</t>
  </si>
  <si>
    <t>E9PLD2</t>
  </si>
  <si>
    <t>E9PLD3</t>
  </si>
  <si>
    <t>E9PLK3</t>
  </si>
  <si>
    <t>E9PLL6</t>
  </si>
  <si>
    <t>E9PLX2</t>
  </si>
  <si>
    <t>E9PLY5</t>
  </si>
  <si>
    <t>E9PM46</t>
  </si>
  <si>
    <t>E9PM92</t>
  </si>
  <si>
    <t>E9PMB9</t>
  </si>
  <si>
    <t>E9PMH5</t>
  </si>
  <si>
    <t>E9PMI6</t>
  </si>
  <si>
    <t>E9PMJ2</t>
  </si>
  <si>
    <t>E9PMQ6</t>
  </si>
  <si>
    <t>E9PMS6</t>
  </si>
  <si>
    <t>E9PN20</t>
  </si>
  <si>
    <t>E9PNJ4</t>
  </si>
  <si>
    <t>E9PNW4</t>
  </si>
  <si>
    <t>E9PQ47</t>
  </si>
  <si>
    <t>E9PR30</t>
  </si>
  <si>
    <t>E9PR76</t>
  </si>
  <si>
    <t>E9PRI4</t>
  </si>
  <si>
    <t>E9PS84</t>
  </si>
  <si>
    <t>E9PSF2</t>
  </si>
  <si>
    <t>E9PSH2</t>
  </si>
  <si>
    <t>F2Z2V1</t>
  </si>
  <si>
    <t>F2Z2X4</t>
  </si>
  <si>
    <t>F2ZC08</t>
  </si>
  <si>
    <t>F5GWA7</t>
  </si>
  <si>
    <t>F5GWD3</t>
  </si>
  <si>
    <t>F5GWF3</t>
  </si>
  <si>
    <t>F5GWI9</t>
  </si>
  <si>
    <t>F5GWN5</t>
  </si>
  <si>
    <t>F5GWP8</t>
  </si>
  <si>
    <t>F5GWT4</t>
  </si>
  <si>
    <t>F5GWU7</t>
  </si>
  <si>
    <t>F5GX09</t>
  </si>
  <si>
    <t>F5GX82</t>
  </si>
  <si>
    <t>F5GXC8</t>
  </si>
  <si>
    <t>F5GXC9</t>
  </si>
  <si>
    <t>F5GXE4</t>
  </si>
  <si>
    <t>F5GXE7</t>
  </si>
  <si>
    <t>F5GXQ1</t>
  </si>
  <si>
    <t>F5GXS0</t>
  </si>
  <si>
    <t>F5GXY5</t>
  </si>
  <si>
    <t>F5GY03</t>
  </si>
  <si>
    <t>F5GY11</t>
  </si>
  <si>
    <t>F5GYE8</t>
  </si>
  <si>
    <t>F5GYJ5</t>
  </si>
  <si>
    <t>F5GYK4</t>
  </si>
  <si>
    <t>F5GZ78</t>
  </si>
  <si>
    <t>F5GZ90</t>
  </si>
  <si>
    <t>F5GZY0</t>
  </si>
  <si>
    <t>F5H012</t>
  </si>
  <si>
    <t>F5H0B0</t>
  </si>
  <si>
    <t>F5H0C4</t>
  </si>
  <si>
    <t>F5H0I7</t>
  </si>
  <si>
    <t>F5H0K8</t>
  </si>
  <si>
    <t>F5H0L8</t>
  </si>
  <si>
    <t>F5H0Q6</t>
  </si>
  <si>
    <t>F5H148</t>
  </si>
  <si>
    <t>F5H199</t>
  </si>
  <si>
    <t>F5H1D6</t>
  </si>
  <si>
    <t>F5H1L4</t>
  </si>
  <si>
    <t>F5H1N7</t>
  </si>
  <si>
    <t>F5H1R7</t>
  </si>
  <si>
    <t>F5H2A0</t>
  </si>
  <si>
    <t>F5H2E3</t>
  </si>
  <si>
    <t>F5H2H5</t>
  </si>
  <si>
    <t>F5H2Q7</t>
  </si>
  <si>
    <t>F5H2U2</t>
  </si>
  <si>
    <t>F5H2U8</t>
  </si>
  <si>
    <t>F5H2X0</t>
  </si>
  <si>
    <t>F5H315</t>
  </si>
  <si>
    <t>F5H365</t>
  </si>
  <si>
    <t>F5H476</t>
  </si>
  <si>
    <t>F5H4B1</t>
  </si>
  <si>
    <t>F5H4G7</t>
  </si>
  <si>
    <t>F5H4J2</t>
  </si>
  <si>
    <t>F5H4Q5</t>
  </si>
  <si>
    <t>F5H4V9</t>
  </si>
  <si>
    <t>F5H4W9</t>
  </si>
  <si>
    <t>F5H555</t>
  </si>
  <si>
    <t>F5H5K5</t>
  </si>
  <si>
    <t>F5H5M7</t>
  </si>
  <si>
    <t>F5H5X7</t>
  </si>
  <si>
    <t>F5H604</t>
  </si>
  <si>
    <t>F5H629</t>
  </si>
  <si>
    <t>F5H6C2</t>
  </si>
  <si>
    <t>F5H6I7</t>
  </si>
  <si>
    <t>F5H6S1</t>
  </si>
  <si>
    <t>F5H6Z0</t>
  </si>
  <si>
    <t>F5H702</t>
  </si>
  <si>
    <t>F5H721</t>
  </si>
  <si>
    <t>F5H780</t>
  </si>
  <si>
    <t>F5H7X9</t>
  </si>
  <si>
    <t>F5H801</t>
  </si>
  <si>
    <t>F5H860</t>
  </si>
  <si>
    <t>F5H897</t>
  </si>
  <si>
    <t>F5H8E6</t>
  </si>
  <si>
    <t>F5H8H2</t>
  </si>
  <si>
    <t>F5H8H4</t>
  </si>
  <si>
    <t>F6TQG2</t>
  </si>
  <si>
    <t>F6U1T9</t>
  </si>
  <si>
    <t>F6UYM1</t>
  </si>
  <si>
    <t>F6V707</t>
  </si>
  <si>
    <t>F6XY72</t>
  </si>
  <si>
    <t>F8VPD4</t>
  </si>
  <si>
    <t>F8VQZ7</t>
  </si>
  <si>
    <t>F8VRH0</t>
  </si>
  <si>
    <t>F8VS47</t>
  </si>
  <si>
    <t>F8VSL3</t>
  </si>
  <si>
    <t>F8VSZ4</t>
  </si>
  <si>
    <t>F8VUA7</t>
  </si>
  <si>
    <t>F8VV59</t>
  </si>
  <si>
    <t>F8VV64</t>
  </si>
  <si>
    <t>F8VVK7</t>
  </si>
  <si>
    <t>F8VWA6</t>
  </si>
  <si>
    <t>F8VWL3</t>
  </si>
  <si>
    <t>F8VXG7</t>
  </si>
  <si>
    <t>F8VXY3</t>
  </si>
  <si>
    <t>F8VY35</t>
  </si>
  <si>
    <t>F8VYK9</t>
  </si>
  <si>
    <t>F8VYY5</t>
  </si>
  <si>
    <t>F8VZJ2</t>
  </si>
  <si>
    <t>F8W038</t>
  </si>
  <si>
    <t>F8W052</t>
  </si>
  <si>
    <t>F8W181</t>
  </si>
  <si>
    <t>F8W1B9</t>
  </si>
  <si>
    <t>F8W1F5</t>
  </si>
  <si>
    <t>F8W1T6</t>
  </si>
  <si>
    <t>F8W648</t>
  </si>
  <si>
    <t>F8W6D7</t>
  </si>
  <si>
    <t>F8W6I7</t>
  </si>
  <si>
    <t>F8W6X8</t>
  </si>
  <si>
    <t>F8W717</t>
  </si>
  <si>
    <t>F8W785</t>
  </si>
  <si>
    <t>F8W7U8</t>
  </si>
  <si>
    <t>F8W8C2</t>
  </si>
  <si>
    <t>F8W8H5</t>
  </si>
  <si>
    <t>F8W8I6</t>
  </si>
  <si>
    <t>F8W8K9</t>
  </si>
  <si>
    <t>F8W8M4</t>
  </si>
  <si>
    <t>F8W8T8</t>
  </si>
  <si>
    <t>F8W9F9</t>
  </si>
  <si>
    <t>F8W9Q9</t>
  </si>
  <si>
    <t>F8W9X7</t>
  </si>
  <si>
    <t>F8WAK8</t>
  </si>
  <si>
    <t>F8WAN4</t>
  </si>
  <si>
    <t>F8WAS3</t>
  </si>
  <si>
    <t>F8WB06</t>
  </si>
  <si>
    <t>F8WBK5</t>
  </si>
  <si>
    <t>F8WC89</t>
  </si>
  <si>
    <t>F8WD19</t>
  </si>
  <si>
    <t>F8WEG4</t>
  </si>
  <si>
    <t>F8WEG8</t>
  </si>
  <si>
    <t>F8WJN3</t>
  </si>
  <si>
    <t>G3V167</t>
  </si>
  <si>
    <t>G3V1L9</t>
  </si>
  <si>
    <t>G3V1P3</t>
  </si>
  <si>
    <t>G3V1R3</t>
  </si>
  <si>
    <t>G3V1R9</t>
  </si>
  <si>
    <t>G3V1V0</t>
  </si>
  <si>
    <t>G3V3A0</t>
  </si>
  <si>
    <t>G3V3G9</t>
  </si>
  <si>
    <t>G3V3I4</t>
  </si>
  <si>
    <t>G3V3R7</t>
  </si>
  <si>
    <t>G3V439</t>
  </si>
  <si>
    <t>G3V4J7</t>
  </si>
  <si>
    <t>G3V4W0</t>
  </si>
  <si>
    <t>G3V529</t>
  </si>
  <si>
    <t>G3V577</t>
  </si>
  <si>
    <t>G3V583</t>
  </si>
  <si>
    <t>G3V599</t>
  </si>
  <si>
    <t>G3V5T0</t>
  </si>
  <si>
    <t>G3XAA0</t>
  </si>
  <si>
    <t>G3XAA2</t>
  </si>
  <si>
    <t>G3XAF7</t>
  </si>
  <si>
    <t>G3XAH0</t>
  </si>
  <si>
    <t>G3XAI9</t>
  </si>
  <si>
    <t>G3XAJ6</t>
  </si>
  <si>
    <t>G3XAL9</t>
  </si>
  <si>
    <t>G3XAM2</t>
  </si>
  <si>
    <t>G3XAN4</t>
  </si>
  <si>
    <t>G5E948</t>
  </si>
  <si>
    <t>G5E979</t>
  </si>
  <si>
    <t>G5E9A6</t>
  </si>
  <si>
    <t>G5E9A7</t>
  </si>
  <si>
    <t>G5E9C8</t>
  </si>
  <si>
    <t>G5E9E7</t>
  </si>
  <si>
    <t>G5E9I6</t>
  </si>
  <si>
    <t>G5E9L9</t>
  </si>
  <si>
    <t>G5E9R3</t>
  </si>
  <si>
    <t>G5E9W7</t>
  </si>
  <si>
    <t>G5EA37</t>
  </si>
  <si>
    <t>G5EA42</t>
  </si>
  <si>
    <t>G5EA52</t>
  </si>
  <si>
    <t>G8JLA8</t>
  </si>
  <si>
    <t>G8JLB3</t>
  </si>
  <si>
    <t>G8JLH2</t>
  </si>
  <si>
    <t>G8JLI5</t>
  </si>
  <si>
    <t>G8JLK3</t>
  </si>
  <si>
    <t>G8JLP2</t>
  </si>
  <si>
    <t>H0Y2S9</t>
  </si>
  <si>
    <t>H0Y3P2</t>
  </si>
  <si>
    <t>H0Y3R8</t>
  </si>
  <si>
    <t>H0Y412</t>
  </si>
  <si>
    <t>H0Y4R1</t>
  </si>
  <si>
    <t>H0Y4V9</t>
  </si>
  <si>
    <t>H0Y4W2</t>
  </si>
  <si>
    <t>H0Y5B0</t>
  </si>
  <si>
    <t>H0Y5B5</t>
  </si>
  <si>
    <t>H0Y614</t>
  </si>
  <si>
    <t>H0Y6A0</t>
  </si>
  <si>
    <t>H0Y6C3</t>
  </si>
  <si>
    <t>H0Y6F0</t>
  </si>
  <si>
    <t>H0Y858</t>
  </si>
  <si>
    <t>H0Y9S9</t>
  </si>
  <si>
    <t>H0Y9V2</t>
  </si>
  <si>
    <t>H0Y9Y2</t>
  </si>
  <si>
    <t>H0YA59</t>
  </si>
  <si>
    <t>H0YA61</t>
  </si>
  <si>
    <t>H0YA68</t>
  </si>
  <si>
    <t>H0YAI5</t>
  </si>
  <si>
    <t>H0YAJ5</t>
  </si>
  <si>
    <t>H0YAN8</t>
  </si>
  <si>
    <t>H0YBD4</t>
  </si>
  <si>
    <t>H0YCZ8</t>
  </si>
  <si>
    <t>H0YDM5</t>
  </si>
  <si>
    <t>H0YDP7</t>
  </si>
  <si>
    <t>H0YDQ3</t>
  </si>
  <si>
    <t>H0YDQ8</t>
  </si>
  <si>
    <t>H0YDS0</t>
  </si>
  <si>
    <t>H0YDU8</t>
  </si>
  <si>
    <t>H0YEB6</t>
  </si>
  <si>
    <t>H0YEF3</t>
  </si>
  <si>
    <t>H0YEP0</t>
  </si>
  <si>
    <t>H0YEP5</t>
  </si>
  <si>
    <t>H0YFI1</t>
  </si>
  <si>
    <t>H0YGR4</t>
  </si>
  <si>
    <t>H0YI78</t>
  </si>
  <si>
    <t>H0YIQ8</t>
  </si>
  <si>
    <t>H0YJS3</t>
  </si>
  <si>
    <t>H0YJZ4</t>
  </si>
  <si>
    <t>H0YKH1</t>
  </si>
  <si>
    <t>H0YL33</t>
  </si>
  <si>
    <t>H0YLB5</t>
  </si>
  <si>
    <t>H0YLF2</t>
  </si>
  <si>
    <t>H0YLX2</t>
  </si>
  <si>
    <t>H0YM51</t>
  </si>
  <si>
    <t>H0YM91</t>
  </si>
  <si>
    <t>H0YMB3</t>
  </si>
  <si>
    <t>H0YMJ0</t>
  </si>
  <si>
    <t>H0YMM4</t>
  </si>
  <si>
    <t>H0YNA7</t>
  </si>
  <si>
    <t>H0YNH6</t>
  </si>
  <si>
    <t>H0YNH8</t>
  </si>
  <si>
    <t>H0YNU5</t>
  </si>
  <si>
    <t>H0YNX7</t>
  </si>
  <si>
    <t>H3BLU7</t>
  </si>
  <si>
    <t>H3BM42</t>
  </si>
  <si>
    <t>H3BM67</t>
  </si>
  <si>
    <t>H3BMJ2</t>
  </si>
  <si>
    <t>H3BN72</t>
  </si>
  <si>
    <t>H3BND2</t>
  </si>
  <si>
    <t>H3BNK2</t>
  </si>
  <si>
    <t>H3BNM4</t>
  </si>
  <si>
    <t>H3BNT4</t>
  </si>
  <si>
    <t>H3BNU9</t>
  </si>
  <si>
    <t>H3BPB8</t>
  </si>
  <si>
    <t>H3BPE1</t>
  </si>
  <si>
    <t>H3BPG5</t>
  </si>
  <si>
    <t>H3BPS8</t>
  </si>
  <si>
    <t>H3BPV0</t>
  </si>
  <si>
    <t>H3BQA0</t>
  </si>
  <si>
    <t>H3BQF6</t>
  </si>
  <si>
    <t>H3BQV3</t>
  </si>
  <si>
    <t>H3BQZ7</t>
  </si>
  <si>
    <t>H3BRB6</t>
  </si>
  <si>
    <t>H3BRF9</t>
  </si>
  <si>
    <t>H3BRL3</t>
  </si>
  <si>
    <t>H3BRS1</t>
  </si>
  <si>
    <t>H3BRV0</t>
  </si>
  <si>
    <t>H3BSC1</t>
  </si>
  <si>
    <t>H3BSL4</t>
  </si>
  <si>
    <t>H3BST1</t>
  </si>
  <si>
    <t>H3BSW0</t>
  </si>
  <si>
    <t>H3BTB7</t>
  </si>
  <si>
    <t>H3BTL1</t>
  </si>
  <si>
    <t>H3BTN5</t>
  </si>
  <si>
    <t>H3BTX0</t>
  </si>
  <si>
    <t>H3BU49</t>
  </si>
  <si>
    <t>H3BUF6</t>
  </si>
  <si>
    <t>H6UMI1</t>
  </si>
  <si>
    <t>H7BXG2</t>
  </si>
  <si>
    <t>H7BXH2</t>
  </si>
  <si>
    <t>H7BXI1</t>
  </si>
  <si>
    <t>H7BY36</t>
  </si>
  <si>
    <t>H7BYY1</t>
  </si>
  <si>
    <t>H7BYY2</t>
  </si>
  <si>
    <t>H7BZJ3</t>
  </si>
  <si>
    <t>H7BZL0</t>
  </si>
  <si>
    <t>H7C0D5</t>
  </si>
  <si>
    <t>H7C0G7</t>
  </si>
  <si>
    <t>H7C0J3</t>
  </si>
  <si>
    <t>H7C0S3</t>
  </si>
  <si>
    <t>H7C0S8</t>
  </si>
  <si>
    <t>H7C107</t>
  </si>
  <si>
    <t>H7C1U3</t>
  </si>
  <si>
    <t>H7C284</t>
  </si>
  <si>
    <t>H7C293</t>
  </si>
  <si>
    <t>H7C2G2</t>
  </si>
  <si>
    <t>H7C2K6</t>
  </si>
  <si>
    <t>H7C2Z6</t>
  </si>
  <si>
    <t>H7C331</t>
  </si>
  <si>
    <t>H7C3G6</t>
  </si>
  <si>
    <t>H7C3J6</t>
  </si>
  <si>
    <t>H7C3P4</t>
  </si>
  <si>
    <t>H7C4E7</t>
  </si>
  <si>
    <t>H7C4X9</t>
  </si>
  <si>
    <t>H7C5A5</t>
  </si>
  <si>
    <t>H7C5G1</t>
  </si>
  <si>
    <t>H8Y6P7</t>
  </si>
  <si>
    <t>H9KV61</t>
  </si>
  <si>
    <t>H9ZYI9</t>
  </si>
  <si>
    <t>I3L077</t>
  </si>
  <si>
    <t>I3L097</t>
  </si>
  <si>
    <t>I3L0N3</t>
  </si>
  <si>
    <t>I3L121</t>
  </si>
  <si>
    <t>I3L192</t>
  </si>
  <si>
    <t>I3L1B0</t>
  </si>
  <si>
    <t>I3L1H5</t>
  </si>
  <si>
    <t>I3L1Q3</t>
  </si>
  <si>
    <t>I3L2B0</t>
  </si>
  <si>
    <t>I3L2C7</t>
  </si>
  <si>
    <t>I3L2J0</t>
  </si>
  <si>
    <t>I3L2N2</t>
  </si>
  <si>
    <t>I3L2Z5</t>
  </si>
  <si>
    <t>I3L380</t>
  </si>
  <si>
    <t>I3L3P7</t>
  </si>
  <si>
    <t>I3L4B1</t>
  </si>
  <si>
    <t>I3L4C3</t>
  </si>
  <si>
    <t>I3L4D1</t>
  </si>
  <si>
    <t>I3L4N8</t>
  </si>
  <si>
    <t>I3L4Q0</t>
  </si>
  <si>
    <t>I3L4X3</t>
  </si>
  <si>
    <t>I3L505</t>
  </si>
  <si>
    <t>I6L8B7</t>
  </si>
  <si>
    <t>I6L9B4</t>
  </si>
  <si>
    <t>J3KMW7</t>
  </si>
  <si>
    <t>J3KMX2</t>
  </si>
  <si>
    <t>J3KMY5</t>
  </si>
  <si>
    <t>J3KMZ7</t>
  </si>
  <si>
    <t>J3KN10</t>
  </si>
  <si>
    <t>J3KN32</t>
  </si>
  <si>
    <t>J3KN33</t>
  </si>
  <si>
    <t>J3KN68</t>
  </si>
  <si>
    <t>J3KN75</t>
  </si>
  <si>
    <t>J3KNB8</t>
  </si>
  <si>
    <t>J3KND1</t>
  </si>
  <si>
    <t>J3KNF4</t>
  </si>
  <si>
    <t>J3KNH7</t>
  </si>
  <si>
    <t>J3KNK4</t>
  </si>
  <si>
    <t>J3KNL6</t>
  </si>
  <si>
    <t>J3KNL9</t>
  </si>
  <si>
    <t>J3KNN7</t>
  </si>
  <si>
    <t>J3KNU8</t>
  </si>
  <si>
    <t>J3KNV5</t>
  </si>
  <si>
    <t>J3KNZ9</t>
  </si>
  <si>
    <t>J3KP15</t>
  </si>
  <si>
    <t>J3KP22</t>
  </si>
  <si>
    <t>J3KP75</t>
  </si>
  <si>
    <t>J3KPS2</t>
  </si>
  <si>
    <t>J3KPU4</t>
  </si>
  <si>
    <t>J3KPV7</t>
  </si>
  <si>
    <t>J3KQ34</t>
  </si>
  <si>
    <t>J3KQ72</t>
  </si>
  <si>
    <t>J3KQ98</t>
  </si>
  <si>
    <t>J3KQG4</t>
  </si>
  <si>
    <t>J3KQS6</t>
  </si>
  <si>
    <t>J3KQT5</t>
  </si>
  <si>
    <t>J3KRL7</t>
  </si>
  <si>
    <t>J3KRP6</t>
  </si>
  <si>
    <t>J3KRR7</t>
  </si>
  <si>
    <t>J3KS05</t>
  </si>
  <si>
    <t>J3KS15</t>
  </si>
  <si>
    <t>J3KTD6</t>
  </si>
  <si>
    <t>J3QL56</t>
  </si>
  <si>
    <t>J3QLD9</t>
  </si>
  <si>
    <t>J3QQJ0</t>
  </si>
  <si>
    <t>J3QQJ5</t>
  </si>
  <si>
    <t>J3QQM5</t>
  </si>
  <si>
    <t>J3QQT2</t>
  </si>
  <si>
    <t>J3QQW9</t>
  </si>
  <si>
    <t>J3QQX3</t>
  </si>
  <si>
    <t>J3QQY0</t>
  </si>
  <si>
    <t>J3QR09</t>
  </si>
  <si>
    <t>J3QRC3</t>
  </si>
  <si>
    <t>J3QRD1</t>
  </si>
  <si>
    <t>J3QRK2</t>
  </si>
  <si>
    <t>J3QRT4</t>
  </si>
  <si>
    <t>J3QRZ6</t>
  </si>
  <si>
    <t>J3QS27</t>
  </si>
  <si>
    <t>J3QT87</t>
  </si>
  <si>
    <t>J9JIC5</t>
  </si>
  <si>
    <t>J9JIE0</t>
  </si>
  <si>
    <t>K4DI92</t>
  </si>
  <si>
    <t>K4DI93</t>
  </si>
  <si>
    <t>K7EIE8</t>
  </si>
  <si>
    <t>K7EIG1</t>
  </si>
  <si>
    <t>K7EIJ0</t>
  </si>
  <si>
    <t>K7EIN2</t>
  </si>
  <si>
    <t>K7EIR0</t>
  </si>
  <si>
    <t>K7EIU8</t>
  </si>
  <si>
    <t>K7EJ78</t>
  </si>
  <si>
    <t>K7EJG0</t>
  </si>
  <si>
    <t>K7EJH0</t>
  </si>
  <si>
    <t>K7EK07</t>
  </si>
  <si>
    <t>K7EK35</t>
  </si>
  <si>
    <t>K7EK99</t>
  </si>
  <si>
    <t>K7EKE6</t>
  </si>
  <si>
    <t>K7EKG9</t>
  </si>
  <si>
    <t>K7EKI8</t>
  </si>
  <si>
    <t>K7EKZ2</t>
  </si>
  <si>
    <t>K7ELW5</t>
  </si>
  <si>
    <t>K7ELY2</t>
  </si>
  <si>
    <t>K7EM02</t>
  </si>
  <si>
    <t>K7EMV5</t>
  </si>
  <si>
    <t>K7EMZ9</t>
  </si>
  <si>
    <t>K7EN05</t>
  </si>
  <si>
    <t>K7EN88</t>
  </si>
  <si>
    <t>K7ENF0</t>
  </si>
  <si>
    <t>K7ENL9</t>
  </si>
  <si>
    <t>K7ENW0</t>
  </si>
  <si>
    <t>K7EP32</t>
  </si>
  <si>
    <t>K7EPS8</t>
  </si>
  <si>
    <t>K7EQU4</t>
  </si>
  <si>
    <t>K7EQW8</t>
  </si>
  <si>
    <t>K7EQZ3</t>
  </si>
  <si>
    <t>K7ER56</t>
  </si>
  <si>
    <t>K7ER93</t>
  </si>
  <si>
    <t>K7ERF1</t>
  </si>
  <si>
    <t>K7ERI9</t>
  </si>
  <si>
    <t>K7ERV3</t>
  </si>
  <si>
    <t>K7ES11</t>
  </si>
  <si>
    <t>K7ES25</t>
  </si>
  <si>
    <t>K7ES54</t>
  </si>
  <si>
    <t>K7ESE3</t>
  </si>
  <si>
    <t>M0QWZ7</t>
  </si>
  <si>
    <t>M0QX35</t>
  </si>
  <si>
    <t>M0QXX4</t>
  </si>
  <si>
    <t>M0QXZ5</t>
  </si>
  <si>
    <t>M0QYH6</t>
  </si>
  <si>
    <t>M0QYJ8</t>
  </si>
  <si>
    <t>M0QYM7</t>
  </si>
  <si>
    <t>M0QZ09</t>
  </si>
  <si>
    <t>M0QZ22</t>
  </si>
  <si>
    <t>M0QZM1</t>
  </si>
  <si>
    <t>M0QZR4</t>
  </si>
  <si>
    <t>M0R0B4</t>
  </si>
  <si>
    <t>M0R0F0</t>
  </si>
  <si>
    <t>M0R0P8</t>
  </si>
  <si>
    <t>M0R0W0</t>
  </si>
  <si>
    <t>M0R2P6</t>
  </si>
  <si>
    <t>M0R3D4</t>
  </si>
  <si>
    <t>O00116</t>
  </si>
  <si>
    <t>O00139-1</t>
  </si>
  <si>
    <t>O00139-2</t>
  </si>
  <si>
    <t>O00148</t>
  </si>
  <si>
    <t>O00151</t>
  </si>
  <si>
    <t>O00154-4</t>
  </si>
  <si>
    <t>O00159</t>
  </si>
  <si>
    <t>O00161</t>
  </si>
  <si>
    <t>O00170</t>
  </si>
  <si>
    <t>O00178</t>
  </si>
  <si>
    <t>O00194</t>
  </si>
  <si>
    <t>O00203</t>
  </si>
  <si>
    <t>O00204-2</t>
  </si>
  <si>
    <t>O00213-2</t>
  </si>
  <si>
    <t>O00220</t>
  </si>
  <si>
    <t>O00221</t>
  </si>
  <si>
    <t>O00231</t>
  </si>
  <si>
    <t>O00232</t>
  </si>
  <si>
    <t>O00233</t>
  </si>
  <si>
    <t>O00244</t>
  </si>
  <si>
    <t>O00257</t>
  </si>
  <si>
    <t>O00267-2</t>
  </si>
  <si>
    <t>O00268</t>
  </si>
  <si>
    <t>O00273</t>
  </si>
  <si>
    <t>O00273-2</t>
  </si>
  <si>
    <t>O00291</t>
  </si>
  <si>
    <t>O00299</t>
  </si>
  <si>
    <t>O00303</t>
  </si>
  <si>
    <t>O00308</t>
  </si>
  <si>
    <t>O00329</t>
  </si>
  <si>
    <t>O00399</t>
  </si>
  <si>
    <t>O00401</t>
  </si>
  <si>
    <t>O00410</t>
  </si>
  <si>
    <t>O00418</t>
  </si>
  <si>
    <t>O00422</t>
  </si>
  <si>
    <t>O00425</t>
  </si>
  <si>
    <t>O00429-3</t>
  </si>
  <si>
    <t>O00429-4</t>
  </si>
  <si>
    <t>O00442</t>
  </si>
  <si>
    <t>O00443</t>
  </si>
  <si>
    <t>O00459</t>
  </si>
  <si>
    <t>O00468-2</t>
  </si>
  <si>
    <t>O00471</t>
  </si>
  <si>
    <t>O00479</t>
  </si>
  <si>
    <t>O00487</t>
  </si>
  <si>
    <t>O00488</t>
  </si>
  <si>
    <t>O00499-6</t>
  </si>
  <si>
    <t>O00505</t>
  </si>
  <si>
    <t>O00506</t>
  </si>
  <si>
    <t>O00512</t>
  </si>
  <si>
    <t>O00560-3</t>
  </si>
  <si>
    <t>O00562-2</t>
  </si>
  <si>
    <t>O00566</t>
  </si>
  <si>
    <t>O00567</t>
  </si>
  <si>
    <t>O00571</t>
  </si>
  <si>
    <t>O00592-2</t>
  </si>
  <si>
    <t>O00622</t>
  </si>
  <si>
    <t>O00625</t>
  </si>
  <si>
    <t>O00629</t>
  </si>
  <si>
    <t>O00635</t>
  </si>
  <si>
    <t>O00712</t>
  </si>
  <si>
    <t>O00743</t>
  </si>
  <si>
    <t>O00746</t>
  </si>
  <si>
    <t>O00754-2</t>
  </si>
  <si>
    <t>O00764</t>
  </si>
  <si>
    <t>O14497</t>
  </si>
  <si>
    <t>O14519-2</t>
  </si>
  <si>
    <t>O14526-3</t>
  </si>
  <si>
    <t>O14530</t>
  </si>
  <si>
    <t>O14531</t>
  </si>
  <si>
    <t>O14544</t>
  </si>
  <si>
    <t>O14545</t>
  </si>
  <si>
    <t>O14561</t>
  </si>
  <si>
    <t>O14578-4</t>
  </si>
  <si>
    <t>O14579</t>
  </si>
  <si>
    <t>O14602</t>
  </si>
  <si>
    <t>O14617-4</t>
  </si>
  <si>
    <t>O14640-2</t>
  </si>
  <si>
    <t>O14646-2</t>
  </si>
  <si>
    <t>O14653-3</t>
  </si>
  <si>
    <t>O14657</t>
  </si>
  <si>
    <t>O14672</t>
  </si>
  <si>
    <t>O14686</t>
  </si>
  <si>
    <t>O14732-2</t>
  </si>
  <si>
    <t>O14733</t>
  </si>
  <si>
    <t>O14737</t>
  </si>
  <si>
    <t>O14744</t>
  </si>
  <si>
    <t>O14744-2</t>
  </si>
  <si>
    <t>O14745</t>
  </si>
  <si>
    <t>O14757</t>
  </si>
  <si>
    <t>O14763-2</t>
  </si>
  <si>
    <t>O14772</t>
  </si>
  <si>
    <t>O14776-2</t>
  </si>
  <si>
    <t>O14777</t>
  </si>
  <si>
    <t>O14782</t>
  </si>
  <si>
    <t>O14787-2</t>
  </si>
  <si>
    <t>O14795</t>
  </si>
  <si>
    <t>O14810</t>
  </si>
  <si>
    <t>O14818</t>
  </si>
  <si>
    <t>O14828</t>
  </si>
  <si>
    <t>O14841</t>
  </si>
  <si>
    <t>O14867</t>
  </si>
  <si>
    <t>O14893-3</t>
  </si>
  <si>
    <t>O14907</t>
  </si>
  <si>
    <t>O14908</t>
  </si>
  <si>
    <t>O14920</t>
  </si>
  <si>
    <t>O14924-2</t>
  </si>
  <si>
    <t>O14929</t>
  </si>
  <si>
    <t>O14933</t>
  </si>
  <si>
    <t>O14936-3</t>
  </si>
  <si>
    <t>O14964</t>
  </si>
  <si>
    <t>O14965</t>
  </si>
  <si>
    <t>O14972</t>
  </si>
  <si>
    <t>O14974</t>
  </si>
  <si>
    <t>O14976</t>
  </si>
  <si>
    <t>O14977</t>
  </si>
  <si>
    <t>O14979</t>
  </si>
  <si>
    <t>O14980</t>
  </si>
  <si>
    <t>O14981</t>
  </si>
  <si>
    <t>O15014</t>
  </si>
  <si>
    <t>O15021-2</t>
  </si>
  <si>
    <t>O15031</t>
  </si>
  <si>
    <t>O15037</t>
  </si>
  <si>
    <t>O15040</t>
  </si>
  <si>
    <t>O15047</t>
  </si>
  <si>
    <t>O15054</t>
  </si>
  <si>
    <t>O15055</t>
  </si>
  <si>
    <t>O15056</t>
  </si>
  <si>
    <t>O15061</t>
  </si>
  <si>
    <t>O15066</t>
  </si>
  <si>
    <t>O15067</t>
  </si>
  <si>
    <t>O15084</t>
  </si>
  <si>
    <t>O15085-2</t>
  </si>
  <si>
    <t>O15111</t>
  </si>
  <si>
    <t>O15116</t>
  </si>
  <si>
    <t>O15118</t>
  </si>
  <si>
    <t>O15119-2</t>
  </si>
  <si>
    <t>O15143</t>
  </si>
  <si>
    <t>O15144</t>
  </si>
  <si>
    <t>O15145</t>
  </si>
  <si>
    <t>O15160-2</t>
  </si>
  <si>
    <t>O15164</t>
  </si>
  <si>
    <t>O15169-2</t>
  </si>
  <si>
    <t>O15212</t>
  </si>
  <si>
    <t>O15226</t>
  </si>
  <si>
    <t>O15230</t>
  </si>
  <si>
    <t>O15231</t>
  </si>
  <si>
    <t>O15231-3</t>
  </si>
  <si>
    <t>O15234</t>
  </si>
  <si>
    <t>O15287</t>
  </si>
  <si>
    <t>O15294</t>
  </si>
  <si>
    <t>O15305</t>
  </si>
  <si>
    <t>O15327</t>
  </si>
  <si>
    <t>O15344</t>
  </si>
  <si>
    <t>O15355</t>
  </si>
  <si>
    <t>O15357</t>
  </si>
  <si>
    <t>O15370</t>
  </si>
  <si>
    <t>O15372</t>
  </si>
  <si>
    <t>O15379</t>
  </si>
  <si>
    <t>O15382</t>
  </si>
  <si>
    <t>O15397</t>
  </si>
  <si>
    <t>O15400-2</t>
  </si>
  <si>
    <t>O15417-2</t>
  </si>
  <si>
    <t>O15446</t>
  </si>
  <si>
    <t>O15460-2</t>
  </si>
  <si>
    <t>O15498</t>
  </si>
  <si>
    <t>O15511</t>
  </si>
  <si>
    <t>O15514</t>
  </si>
  <si>
    <t>O15523</t>
  </si>
  <si>
    <t>O15541</t>
  </si>
  <si>
    <t>O43143</t>
  </si>
  <si>
    <t>O43148</t>
  </si>
  <si>
    <t>O43149</t>
  </si>
  <si>
    <t>O43150</t>
  </si>
  <si>
    <t>O43156</t>
  </si>
  <si>
    <t>O43159</t>
  </si>
  <si>
    <t>O43164-2</t>
  </si>
  <si>
    <t>O43172-2</t>
  </si>
  <si>
    <t>O43175</t>
  </si>
  <si>
    <t>O43237</t>
  </si>
  <si>
    <t>O43242</t>
  </si>
  <si>
    <t>O43251-6</t>
  </si>
  <si>
    <t>O43252</t>
  </si>
  <si>
    <t>O43264</t>
  </si>
  <si>
    <t>O43290</t>
  </si>
  <si>
    <t>O43293</t>
  </si>
  <si>
    <t>O43294-2</t>
  </si>
  <si>
    <t>O43298</t>
  </si>
  <si>
    <t>O43301</t>
  </si>
  <si>
    <t>O43303-2</t>
  </si>
  <si>
    <t>O43310</t>
  </si>
  <si>
    <t>O43314-2</t>
  </si>
  <si>
    <t>O43318-2</t>
  </si>
  <si>
    <t>O43324</t>
  </si>
  <si>
    <t>O43353</t>
  </si>
  <si>
    <t>O43379</t>
  </si>
  <si>
    <t>O43390</t>
  </si>
  <si>
    <t>O43395</t>
  </si>
  <si>
    <t>O43396</t>
  </si>
  <si>
    <t>O43399-4</t>
  </si>
  <si>
    <t>O43399-5</t>
  </si>
  <si>
    <t>O43402</t>
  </si>
  <si>
    <t>O43414-3</t>
  </si>
  <si>
    <t>O43422-2</t>
  </si>
  <si>
    <t>O43427-2</t>
  </si>
  <si>
    <t>O43432</t>
  </si>
  <si>
    <t>O43447</t>
  </si>
  <si>
    <t>O43464-3</t>
  </si>
  <si>
    <t>O43482</t>
  </si>
  <si>
    <t>O43491</t>
  </si>
  <si>
    <t>O43493-4</t>
  </si>
  <si>
    <t>O43502</t>
  </si>
  <si>
    <t>O43513</t>
  </si>
  <si>
    <t>O43516</t>
  </si>
  <si>
    <t>O43542</t>
  </si>
  <si>
    <t>O43543</t>
  </si>
  <si>
    <t>O43572</t>
  </si>
  <si>
    <t>O43583</t>
  </si>
  <si>
    <t>O43592</t>
  </si>
  <si>
    <t>O43598</t>
  </si>
  <si>
    <t>O43615</t>
  </si>
  <si>
    <t>O43617</t>
  </si>
  <si>
    <t>O43633</t>
  </si>
  <si>
    <t>O43639</t>
  </si>
  <si>
    <t>O43657</t>
  </si>
  <si>
    <t>O43660-2</t>
  </si>
  <si>
    <t>O43663</t>
  </si>
  <si>
    <t>O43665-2</t>
  </si>
  <si>
    <t>O43670-2</t>
  </si>
  <si>
    <t>O43674-2</t>
  </si>
  <si>
    <t>O43678</t>
  </si>
  <si>
    <t>O43681</t>
  </si>
  <si>
    <t>O43684-2</t>
  </si>
  <si>
    <t>O43707</t>
  </si>
  <si>
    <t>O43709</t>
  </si>
  <si>
    <t>O43715</t>
  </si>
  <si>
    <t>O43716</t>
  </si>
  <si>
    <t>O43719</t>
  </si>
  <si>
    <t>O43739-2</t>
  </si>
  <si>
    <t>O43747</t>
  </si>
  <si>
    <t>O43752</t>
  </si>
  <si>
    <t>O43765</t>
  </si>
  <si>
    <t>O43766-2</t>
  </si>
  <si>
    <t>O43768-2</t>
  </si>
  <si>
    <t>O43776</t>
  </si>
  <si>
    <t>O43795-2</t>
  </si>
  <si>
    <t>O43805</t>
  </si>
  <si>
    <t>O43809</t>
  </si>
  <si>
    <t>O43813</t>
  </si>
  <si>
    <t>O43815</t>
  </si>
  <si>
    <t>O43818</t>
  </si>
  <si>
    <t>O43820-4</t>
  </si>
  <si>
    <t>O43823</t>
  </si>
  <si>
    <t>O43829</t>
  </si>
  <si>
    <t>O43837</t>
  </si>
  <si>
    <t>O43847-2</t>
  </si>
  <si>
    <t>O43852</t>
  </si>
  <si>
    <t>O43865</t>
  </si>
  <si>
    <t>O43896</t>
  </si>
  <si>
    <t>O43913</t>
  </si>
  <si>
    <t>O43924</t>
  </si>
  <si>
    <t>O43929-2</t>
  </si>
  <si>
    <t>O60216</t>
  </si>
  <si>
    <t>O60218</t>
  </si>
  <si>
    <t>O60220</t>
  </si>
  <si>
    <t>O60231</t>
  </si>
  <si>
    <t>O60239</t>
  </si>
  <si>
    <t>O60256</t>
  </si>
  <si>
    <t>O60264</t>
  </si>
  <si>
    <t>O60269</t>
  </si>
  <si>
    <t>O60271</t>
  </si>
  <si>
    <t>O60271-4</t>
  </si>
  <si>
    <t>O60271-9</t>
  </si>
  <si>
    <t>O60281-2</t>
  </si>
  <si>
    <t>O60291</t>
  </si>
  <si>
    <t>O60292</t>
  </si>
  <si>
    <t>O60294</t>
  </si>
  <si>
    <t>O60303</t>
  </si>
  <si>
    <t>O60306</t>
  </si>
  <si>
    <t>O60318</t>
  </si>
  <si>
    <t>O60333-2</t>
  </si>
  <si>
    <t>O60333-3</t>
  </si>
  <si>
    <t>O60341</t>
  </si>
  <si>
    <t>O60343-2</t>
  </si>
  <si>
    <t>O60344-4</t>
  </si>
  <si>
    <t>O60346</t>
  </si>
  <si>
    <t>O60347</t>
  </si>
  <si>
    <t>O60353-2</t>
  </si>
  <si>
    <t>O60361</t>
  </si>
  <si>
    <t>O60443</t>
  </si>
  <si>
    <t>O60447</t>
  </si>
  <si>
    <t>O60462-4</t>
  </si>
  <si>
    <t>O60488-2</t>
  </si>
  <si>
    <t>O60493</t>
  </si>
  <si>
    <t>O60502</t>
  </si>
  <si>
    <t>O60504</t>
  </si>
  <si>
    <t>O60506-2</t>
  </si>
  <si>
    <t>O60518</t>
  </si>
  <si>
    <t>O60524-4</t>
  </si>
  <si>
    <t>O60547-2</t>
  </si>
  <si>
    <t>O60551</t>
  </si>
  <si>
    <t>O60563</t>
  </si>
  <si>
    <t>O60566</t>
  </si>
  <si>
    <t>O60568</t>
  </si>
  <si>
    <t>O60613</t>
  </si>
  <si>
    <t>O60645-3</t>
  </si>
  <si>
    <t>O60664</t>
  </si>
  <si>
    <t>O60671</t>
  </si>
  <si>
    <t>O60678</t>
  </si>
  <si>
    <t>O60701</t>
  </si>
  <si>
    <t>O60716-5</t>
  </si>
  <si>
    <t>O60749</t>
  </si>
  <si>
    <t>O60763</t>
  </si>
  <si>
    <t>O60783</t>
  </si>
  <si>
    <t>O60826</t>
  </si>
  <si>
    <t>O60828-2</t>
  </si>
  <si>
    <t>O60832</t>
  </si>
  <si>
    <t>O60841</t>
  </si>
  <si>
    <t>O60869</t>
  </si>
  <si>
    <t>O60884</t>
  </si>
  <si>
    <t>O60885</t>
  </si>
  <si>
    <t>O60888-3</t>
  </si>
  <si>
    <t>O60907-2</t>
  </si>
  <si>
    <t>O60921</t>
  </si>
  <si>
    <t>O60925</t>
  </si>
  <si>
    <t>O60927</t>
  </si>
  <si>
    <t>O60934</t>
  </si>
  <si>
    <t>O60942</t>
  </si>
  <si>
    <t>O75030-12</t>
  </si>
  <si>
    <t>O75044</t>
  </si>
  <si>
    <t>O75064</t>
  </si>
  <si>
    <t>O75083</t>
  </si>
  <si>
    <t>O75094</t>
  </si>
  <si>
    <t>O75113</t>
  </si>
  <si>
    <t>O75116</t>
  </si>
  <si>
    <t>O75131</t>
  </si>
  <si>
    <t>O75143-3</t>
  </si>
  <si>
    <t>O75146</t>
  </si>
  <si>
    <t>O75150</t>
  </si>
  <si>
    <t>O75151</t>
  </si>
  <si>
    <t>O75152</t>
  </si>
  <si>
    <t>O75157-2</t>
  </si>
  <si>
    <t>O75164</t>
  </si>
  <si>
    <t>O75165</t>
  </si>
  <si>
    <t>O75170-4</t>
  </si>
  <si>
    <t>O75175</t>
  </si>
  <si>
    <t>O75179-2</t>
  </si>
  <si>
    <t>O75190</t>
  </si>
  <si>
    <t>O75191</t>
  </si>
  <si>
    <t>O75208</t>
  </si>
  <si>
    <t>O75223</t>
  </si>
  <si>
    <t>O75312</t>
  </si>
  <si>
    <t>O75323</t>
  </si>
  <si>
    <t>O75330-2</t>
  </si>
  <si>
    <t>O75340</t>
  </si>
  <si>
    <t>O75347</t>
  </si>
  <si>
    <t>O75348</t>
  </si>
  <si>
    <t>O75351</t>
  </si>
  <si>
    <t>O75362</t>
  </si>
  <si>
    <t>O75367-2</t>
  </si>
  <si>
    <t>O75368</t>
  </si>
  <si>
    <t>O75369-8</t>
  </si>
  <si>
    <t>O75376</t>
  </si>
  <si>
    <t>O75380</t>
  </si>
  <si>
    <t>O75385</t>
  </si>
  <si>
    <t>O75391</t>
  </si>
  <si>
    <t>O75396</t>
  </si>
  <si>
    <t>O75400-2</t>
  </si>
  <si>
    <t>O75410-7</t>
  </si>
  <si>
    <t>O75419-2</t>
  </si>
  <si>
    <t>O75420</t>
  </si>
  <si>
    <t>O75436</t>
  </si>
  <si>
    <t>O75439</t>
  </si>
  <si>
    <t>O75449</t>
  </si>
  <si>
    <t>O75475</t>
  </si>
  <si>
    <t>O75503</t>
  </si>
  <si>
    <t>O75506</t>
  </si>
  <si>
    <t>O75521-2</t>
  </si>
  <si>
    <t>O75530-3</t>
  </si>
  <si>
    <t>O75531</t>
  </si>
  <si>
    <t>O75533</t>
  </si>
  <si>
    <t>O75534</t>
  </si>
  <si>
    <t>O75554</t>
  </si>
  <si>
    <t>O75582</t>
  </si>
  <si>
    <t>O75607</t>
  </si>
  <si>
    <t>O75608-2</t>
  </si>
  <si>
    <t>O75629</t>
  </si>
  <si>
    <t>O75643</t>
  </si>
  <si>
    <t>O75663</t>
  </si>
  <si>
    <t>O75683</t>
  </si>
  <si>
    <t>O75688</t>
  </si>
  <si>
    <t>O75691</t>
  </si>
  <si>
    <t>O75717</t>
  </si>
  <si>
    <t>O75771-5</t>
  </si>
  <si>
    <t>O75781</t>
  </si>
  <si>
    <t>O75792</t>
  </si>
  <si>
    <t>O75794</t>
  </si>
  <si>
    <t>O75808</t>
  </si>
  <si>
    <t>O75815</t>
  </si>
  <si>
    <t>O75818-2</t>
  </si>
  <si>
    <t>O75821</t>
  </si>
  <si>
    <t>O75822</t>
  </si>
  <si>
    <t>O75828</t>
  </si>
  <si>
    <t>O75843</t>
  </si>
  <si>
    <t>O75865</t>
  </si>
  <si>
    <t>O75874</t>
  </si>
  <si>
    <t>O75882-2</t>
  </si>
  <si>
    <t>O75884</t>
  </si>
  <si>
    <t>O75886</t>
  </si>
  <si>
    <t>O75896</t>
  </si>
  <si>
    <t>O75909</t>
  </si>
  <si>
    <t>O75915</t>
  </si>
  <si>
    <t>O75928-3</t>
  </si>
  <si>
    <t>O75934</t>
  </si>
  <si>
    <t>O75935</t>
  </si>
  <si>
    <t>O75937</t>
  </si>
  <si>
    <t>O75940</t>
  </si>
  <si>
    <t>O75962</t>
  </si>
  <si>
    <t>O75970-3</t>
  </si>
  <si>
    <t>O76003</t>
  </si>
  <si>
    <t>O76021</t>
  </si>
  <si>
    <t>O76024</t>
  </si>
  <si>
    <t>O76031</t>
  </si>
  <si>
    <t>O76041-2</t>
  </si>
  <si>
    <t>O76054</t>
  </si>
  <si>
    <t>O76070</t>
  </si>
  <si>
    <t>O76071</t>
  </si>
  <si>
    <t>O76075</t>
  </si>
  <si>
    <t>O76080</t>
  </si>
  <si>
    <t>O76081-6</t>
  </si>
  <si>
    <t>O76094</t>
  </si>
  <si>
    <t>O77932</t>
  </si>
  <si>
    <t>O94760</t>
  </si>
  <si>
    <t>O94761</t>
  </si>
  <si>
    <t>O94763</t>
  </si>
  <si>
    <t>O94763-4</t>
  </si>
  <si>
    <t>O94776</t>
  </si>
  <si>
    <t>O94782</t>
  </si>
  <si>
    <t>O94788-4</t>
  </si>
  <si>
    <t>O94804</t>
  </si>
  <si>
    <t>O94806</t>
  </si>
  <si>
    <t>O94808</t>
  </si>
  <si>
    <t>O94811</t>
  </si>
  <si>
    <t>O94817</t>
  </si>
  <si>
    <t>O94819</t>
  </si>
  <si>
    <t>O94822</t>
  </si>
  <si>
    <t>O94826</t>
  </si>
  <si>
    <t>O94829</t>
  </si>
  <si>
    <t>O94830</t>
  </si>
  <si>
    <t>O94851-5</t>
  </si>
  <si>
    <t>O94854-2</t>
  </si>
  <si>
    <t>O94855</t>
  </si>
  <si>
    <t>O94864-2</t>
  </si>
  <si>
    <t>O94868</t>
  </si>
  <si>
    <t>O94874</t>
  </si>
  <si>
    <t>O94880</t>
  </si>
  <si>
    <t>O94885</t>
  </si>
  <si>
    <t>O94887</t>
  </si>
  <si>
    <t>O94888</t>
  </si>
  <si>
    <t>O94889</t>
  </si>
  <si>
    <t>O94903</t>
  </si>
  <si>
    <t>O94906-2</t>
  </si>
  <si>
    <t>O94907</t>
  </si>
  <si>
    <t>O94913</t>
  </si>
  <si>
    <t>O94916</t>
  </si>
  <si>
    <t>O94925</t>
  </si>
  <si>
    <t>O94925-3</t>
  </si>
  <si>
    <t>O94927</t>
  </si>
  <si>
    <t>O94941-2</t>
  </si>
  <si>
    <t>O94952-1</t>
  </si>
  <si>
    <t>O94964-2</t>
  </si>
  <si>
    <t>O94966-7</t>
  </si>
  <si>
    <t>O94967-2</t>
  </si>
  <si>
    <t>O94972-2</t>
  </si>
  <si>
    <t>O94973</t>
  </si>
  <si>
    <t>O94992</t>
  </si>
  <si>
    <t>O95059</t>
  </si>
  <si>
    <t>O95067</t>
  </si>
  <si>
    <t>O95081</t>
  </si>
  <si>
    <t>O95104</t>
  </si>
  <si>
    <t>O95149</t>
  </si>
  <si>
    <t>O95155-2</t>
  </si>
  <si>
    <t>O95163</t>
  </si>
  <si>
    <t>O95197-7</t>
  </si>
  <si>
    <t>O95202</t>
  </si>
  <si>
    <t>O95205</t>
  </si>
  <si>
    <t>O95218-2</t>
  </si>
  <si>
    <t>O95219</t>
  </si>
  <si>
    <t>O95229</t>
  </si>
  <si>
    <t>O95231</t>
  </si>
  <si>
    <t>O95232</t>
  </si>
  <si>
    <t>O95235</t>
  </si>
  <si>
    <t>O95239</t>
  </si>
  <si>
    <t>O95243-3</t>
  </si>
  <si>
    <t>O95248</t>
  </si>
  <si>
    <t>O95249</t>
  </si>
  <si>
    <t>O95251-4</t>
  </si>
  <si>
    <t>O95273</t>
  </si>
  <si>
    <t>O95292</t>
  </si>
  <si>
    <t>O95295</t>
  </si>
  <si>
    <t>O95297-4</t>
  </si>
  <si>
    <t>O95302</t>
  </si>
  <si>
    <t>O95336</t>
  </si>
  <si>
    <t>O95340</t>
  </si>
  <si>
    <t>O95347</t>
  </si>
  <si>
    <t>O95352</t>
  </si>
  <si>
    <t>O95361</t>
  </si>
  <si>
    <t>O95365</t>
  </si>
  <si>
    <t>O95372</t>
  </si>
  <si>
    <t>O95373</t>
  </si>
  <si>
    <t>O95376</t>
  </si>
  <si>
    <t>O95379-3</t>
  </si>
  <si>
    <t>O95391</t>
  </si>
  <si>
    <t>O95394</t>
  </si>
  <si>
    <t>O95396</t>
  </si>
  <si>
    <t>O95399</t>
  </si>
  <si>
    <t>O95400</t>
  </si>
  <si>
    <t>O95402</t>
  </si>
  <si>
    <t>O95405</t>
  </si>
  <si>
    <t>O95425</t>
  </si>
  <si>
    <t>O95429-2</t>
  </si>
  <si>
    <t>O95433</t>
  </si>
  <si>
    <t>O95453-2</t>
  </si>
  <si>
    <t>O95456</t>
  </si>
  <si>
    <t>O95466</t>
  </si>
  <si>
    <t>O95479</t>
  </si>
  <si>
    <t>O95486</t>
  </si>
  <si>
    <t>O95487-2</t>
  </si>
  <si>
    <t>O95544</t>
  </si>
  <si>
    <t>O95551</t>
  </si>
  <si>
    <t>O95568</t>
  </si>
  <si>
    <t>O95571</t>
  </si>
  <si>
    <t>O95602</t>
  </si>
  <si>
    <t>O95619</t>
  </si>
  <si>
    <t>O95620</t>
  </si>
  <si>
    <t>O95628-3</t>
  </si>
  <si>
    <t>O95630</t>
  </si>
  <si>
    <t>O95671-2</t>
  </si>
  <si>
    <t>O95684</t>
  </si>
  <si>
    <t>O95685</t>
  </si>
  <si>
    <t>O95707</t>
  </si>
  <si>
    <t>O95714</t>
  </si>
  <si>
    <t>O95716</t>
  </si>
  <si>
    <t>O95721</t>
  </si>
  <si>
    <t>O95747</t>
  </si>
  <si>
    <t>O95749</t>
  </si>
  <si>
    <t>O95757</t>
  </si>
  <si>
    <t>O95758-1</t>
  </si>
  <si>
    <t>O95759</t>
  </si>
  <si>
    <t>O95777</t>
  </si>
  <si>
    <t>O95782-2</t>
  </si>
  <si>
    <t>O95786-2</t>
  </si>
  <si>
    <t>O95801</t>
  </si>
  <si>
    <t>O95810</t>
  </si>
  <si>
    <t>O95816</t>
  </si>
  <si>
    <t>O95817</t>
  </si>
  <si>
    <t>O95825</t>
  </si>
  <si>
    <t>O95831-3</t>
  </si>
  <si>
    <t>O95833</t>
  </si>
  <si>
    <t>O95834-2</t>
  </si>
  <si>
    <t>O95835</t>
  </si>
  <si>
    <t>O95848</t>
  </si>
  <si>
    <t>O95861</t>
  </si>
  <si>
    <t>O95865</t>
  </si>
  <si>
    <t>O95881</t>
  </si>
  <si>
    <t>O95905</t>
  </si>
  <si>
    <t>O95926</t>
  </si>
  <si>
    <t>O95985</t>
  </si>
  <si>
    <t>O95989</t>
  </si>
  <si>
    <t>O95994</t>
  </si>
  <si>
    <t>O95997</t>
  </si>
  <si>
    <t>O95999</t>
  </si>
  <si>
    <t>O96006</t>
  </si>
  <si>
    <t>O96007</t>
  </si>
  <si>
    <t>O96013</t>
  </si>
  <si>
    <t>O96017</t>
  </si>
  <si>
    <t>O96019</t>
  </si>
  <si>
    <t>O96028</t>
  </si>
  <si>
    <t>O96033</t>
  </si>
  <si>
    <t>P00325</t>
  </si>
  <si>
    <t>P00338</t>
  </si>
  <si>
    <t>P00352</t>
  </si>
  <si>
    <t>P00374</t>
  </si>
  <si>
    <t>P00387-2</t>
  </si>
  <si>
    <t>P00390-2</t>
  </si>
  <si>
    <t>P00450</t>
  </si>
  <si>
    <t>P00491</t>
  </si>
  <si>
    <t>P00492</t>
  </si>
  <si>
    <t>P00505</t>
  </si>
  <si>
    <t>P00519</t>
  </si>
  <si>
    <t>P00533</t>
  </si>
  <si>
    <t>P00558</t>
  </si>
  <si>
    <t>P00568</t>
  </si>
  <si>
    <t>P00813</t>
  </si>
  <si>
    <t>P00966</t>
  </si>
  <si>
    <t>P01009</t>
  </si>
  <si>
    <t>P01023</t>
  </si>
  <si>
    <t>P01024</t>
  </si>
  <si>
    <t>P01034</t>
  </si>
  <si>
    <t>P01042-3</t>
  </si>
  <si>
    <t>P01111</t>
  </si>
  <si>
    <t>P01116-2</t>
  </si>
  <si>
    <t>P01130-3</t>
  </si>
  <si>
    <t>P01137</t>
  </si>
  <si>
    <t>P01859</t>
  </si>
  <si>
    <t>P02452</t>
  </si>
  <si>
    <t>P02462</t>
  </si>
  <si>
    <t>P02545</t>
  </si>
  <si>
    <t>P02545-2</t>
  </si>
  <si>
    <t>P02647</t>
  </si>
  <si>
    <t>P02656</t>
  </si>
  <si>
    <t>P02751-12</t>
  </si>
  <si>
    <t>P02763</t>
  </si>
  <si>
    <t>P02765</t>
  </si>
  <si>
    <t>P02771</t>
  </si>
  <si>
    <t>P02774</t>
  </si>
  <si>
    <t>P02786</t>
  </si>
  <si>
    <t>P02790</t>
  </si>
  <si>
    <t>P02794</t>
  </si>
  <si>
    <t>P02795</t>
  </si>
  <si>
    <t>P04066</t>
  </si>
  <si>
    <t>P04075</t>
  </si>
  <si>
    <t>P04080</t>
  </si>
  <si>
    <t>P04083</t>
  </si>
  <si>
    <t>P04114</t>
  </si>
  <si>
    <t>P04150-2</t>
  </si>
  <si>
    <t>P04156-2</t>
  </si>
  <si>
    <t>P04181</t>
  </si>
  <si>
    <t>P04183</t>
  </si>
  <si>
    <t>P04259</t>
  </si>
  <si>
    <t>P04264</t>
  </si>
  <si>
    <t>P04350</t>
  </si>
  <si>
    <t>P04406</t>
  </si>
  <si>
    <t>P04424</t>
  </si>
  <si>
    <t>P04626-4</t>
  </si>
  <si>
    <t>P04632</t>
  </si>
  <si>
    <t>P04731</t>
  </si>
  <si>
    <t>P04733</t>
  </si>
  <si>
    <t>P04792</t>
  </si>
  <si>
    <t>P04818</t>
  </si>
  <si>
    <t>P04899</t>
  </si>
  <si>
    <t>P04920-2</t>
  </si>
  <si>
    <t>P05091</t>
  </si>
  <si>
    <t>P05114</t>
  </si>
  <si>
    <t>P05121</t>
  </si>
  <si>
    <t>P05161</t>
  </si>
  <si>
    <t>P05165-2</t>
  </si>
  <si>
    <t>P05198</t>
  </si>
  <si>
    <t>P05204</t>
  </si>
  <si>
    <t>P05386</t>
  </si>
  <si>
    <t>P05387</t>
  </si>
  <si>
    <t>P05388</t>
  </si>
  <si>
    <t>P05412</t>
  </si>
  <si>
    <t>P05423</t>
  </si>
  <si>
    <t>P05455</t>
  </si>
  <si>
    <t>P05556</t>
  </si>
  <si>
    <t>P05783</t>
  </si>
  <si>
    <t>P05787</t>
  </si>
  <si>
    <t>P05814</t>
  </si>
  <si>
    <t>P05976-2</t>
  </si>
  <si>
    <t>P05997</t>
  </si>
  <si>
    <t>P06132</t>
  </si>
  <si>
    <t>P06280</t>
  </si>
  <si>
    <t>P06400</t>
  </si>
  <si>
    <t>P06493</t>
  </si>
  <si>
    <t>P06576</t>
  </si>
  <si>
    <t>P06730</t>
  </si>
  <si>
    <t>P06733</t>
  </si>
  <si>
    <t>P06737-2</t>
  </si>
  <si>
    <t>P06744</t>
  </si>
  <si>
    <t>P06748</t>
  </si>
  <si>
    <t>P06753-2</t>
  </si>
  <si>
    <t>P06753-3</t>
  </si>
  <si>
    <t>P06756-3</t>
  </si>
  <si>
    <t>P06865</t>
  </si>
  <si>
    <t>P07093-2</t>
  </si>
  <si>
    <t>P07108</t>
  </si>
  <si>
    <t>P07148</t>
  </si>
  <si>
    <t>P07195</t>
  </si>
  <si>
    <t>P07199</t>
  </si>
  <si>
    <t>P07203</t>
  </si>
  <si>
    <t>P07204</t>
  </si>
  <si>
    <t>P07205</t>
  </si>
  <si>
    <t>P07237</t>
  </si>
  <si>
    <t>P07305-2</t>
  </si>
  <si>
    <t>P07311</t>
  </si>
  <si>
    <t>P07355</t>
  </si>
  <si>
    <t>P07384</t>
  </si>
  <si>
    <t>P07498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</si>
  <si>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</si>
  <si>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</si>
  <si>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</si>
  <si>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</si>
  <si>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</si>
  <si>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</si>
  <si>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</si>
  <si>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</si>
  <si>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</si>
  <si>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</si>
  <si>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</si>
  <si>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P07942</t>
  </si>
  <si>
    <t>P07947</t>
  </si>
  <si>
    <t>P07951</t>
  </si>
  <si>
    <t>P07951-2</t>
  </si>
  <si>
    <t>P07954-2</t>
  </si>
  <si>
    <t>P07992</t>
  </si>
  <si>
    <t>P07996</t>
  </si>
  <si>
    <t>P08047</t>
  </si>
  <si>
    <t>P08107</t>
  </si>
  <si>
    <t>P08133</t>
  </si>
  <si>
    <t>P08195-2</t>
  </si>
  <si>
    <t>P08237</t>
  </si>
  <si>
    <t>P08238</t>
  </si>
  <si>
    <t>P08240-2</t>
  </si>
  <si>
    <t>P08243-2</t>
  </si>
  <si>
    <t>P08397-2</t>
  </si>
  <si>
    <t>P08559-3</t>
  </si>
  <si>
    <t>P08572</t>
  </si>
  <si>
    <t>P08579</t>
  </si>
  <si>
    <t>P08581</t>
  </si>
  <si>
    <t>P08582</t>
  </si>
  <si>
    <t>P08621</t>
  </si>
  <si>
    <t>P08651-2</t>
  </si>
  <si>
    <t>P08670</t>
  </si>
  <si>
    <t>P08727</t>
  </si>
  <si>
    <t>P08729</t>
  </si>
  <si>
    <t>P08754</t>
  </si>
  <si>
    <t>P08779</t>
  </si>
  <si>
    <t>P09012</t>
  </si>
  <si>
    <t>P09038-2</t>
  </si>
  <si>
    <t>P09110</t>
  </si>
  <si>
    <t>P09132</t>
  </si>
  <si>
    <t>P09234</t>
  </si>
  <si>
    <t>P09382</t>
  </si>
  <si>
    <t>P09417</t>
  </si>
  <si>
    <t>P09429</t>
  </si>
  <si>
    <t>P09455</t>
  </si>
  <si>
    <t>P09493-10</t>
  </si>
  <si>
    <t>P09493-3</t>
  </si>
  <si>
    <t>P09493-9</t>
  </si>
  <si>
    <t>P09496-2</t>
  </si>
  <si>
    <t>P09497-2</t>
  </si>
  <si>
    <t>P09525</t>
  </si>
  <si>
    <t>P09543-2</t>
  </si>
  <si>
    <t>P09601</t>
  </si>
  <si>
    <t>P09622</t>
  </si>
  <si>
    <t>P09661</t>
  </si>
  <si>
    <t>P09668</t>
  </si>
  <si>
    <t>P09874</t>
  </si>
  <si>
    <t>P09884</t>
  </si>
  <si>
    <t>P09936</t>
  </si>
  <si>
    <t>P09960</t>
  </si>
  <si>
    <t>P09972</t>
  </si>
  <si>
    <t>P0C7T5</t>
  </si>
  <si>
    <t>P0CAP2</t>
  </si>
  <si>
    <t>P0CG12</t>
  </si>
  <si>
    <t>P0CG35</t>
  </si>
  <si>
    <t>P0CW22</t>
  </si>
  <si>
    <t>P0DI82</t>
  </si>
  <si>
    <t>P0DI83</t>
  </si>
  <si>
    <t>P10070</t>
  </si>
  <si>
    <t>P10075</t>
  </si>
  <si>
    <t>P10109</t>
  </si>
  <si>
    <t>P10155</t>
  </si>
  <si>
    <t>P10253</t>
  </si>
  <si>
    <t>P10301</t>
  </si>
  <si>
    <t>P10398</t>
  </si>
  <si>
    <t>P10412</t>
  </si>
  <si>
    <t>P10451-5</t>
  </si>
  <si>
    <t>P10515</t>
  </si>
  <si>
    <t>P10586-2</t>
  </si>
  <si>
    <t>P10606</t>
  </si>
  <si>
    <t>P10619</t>
  </si>
  <si>
    <t>P10644</t>
  </si>
  <si>
    <t>P10746</t>
  </si>
  <si>
    <t>P10768</t>
  </si>
  <si>
    <t>P10809</t>
  </si>
  <si>
    <t>P10909-4</t>
  </si>
  <si>
    <t>P11021</t>
  </si>
  <si>
    <t>P11047</t>
  </si>
  <si>
    <t>P11117</t>
  </si>
  <si>
    <t>P11137-3</t>
  </si>
  <si>
    <t>P11142</t>
  </si>
  <si>
    <t>P11171-3</t>
  </si>
  <si>
    <t>P11172</t>
  </si>
  <si>
    <t>P11177-3</t>
  </si>
  <si>
    <t>P11182</t>
  </si>
  <si>
    <t>P11216</t>
  </si>
  <si>
    <t>P11233</t>
  </si>
  <si>
    <t>P11274</t>
  </si>
  <si>
    <t>P11279</t>
  </si>
  <si>
    <t>P11310</t>
  </si>
  <si>
    <t>P11387</t>
  </si>
  <si>
    <t>P11388</t>
  </si>
  <si>
    <t>P11413</t>
  </si>
  <si>
    <t>P11441</t>
  </si>
  <si>
    <t>P11498</t>
  </si>
  <si>
    <t>P11586</t>
  </si>
  <si>
    <t>P11717</t>
  </si>
  <si>
    <t>P11766</t>
  </si>
  <si>
    <t>P11802</t>
  </si>
  <si>
    <t>P11908</t>
  </si>
  <si>
    <t>P11926</t>
  </si>
  <si>
    <t>P11940</t>
  </si>
  <si>
    <t>P12004</t>
  </si>
  <si>
    <t>P12109</t>
  </si>
  <si>
    <t>P12270</t>
  </si>
  <si>
    <t>P12277</t>
  </si>
  <si>
    <t>P12429</t>
  </si>
  <si>
    <t>P12532</t>
  </si>
  <si>
    <t>P12694</t>
  </si>
  <si>
    <t>P12814</t>
  </si>
  <si>
    <t>P12931</t>
  </si>
  <si>
    <t>P12955</t>
  </si>
  <si>
    <t>P12956</t>
  </si>
  <si>
    <t>P13010</t>
  </si>
  <si>
    <t>P13051</t>
  </si>
  <si>
    <t>P13056</t>
  </si>
  <si>
    <t>P13489</t>
  </si>
  <si>
    <t>P13498</t>
  </si>
  <si>
    <t>P13639</t>
  </si>
  <si>
    <t>P13647</t>
  </si>
  <si>
    <t>P13667</t>
  </si>
  <si>
    <t>P13674-2</t>
  </si>
  <si>
    <t>P13693</t>
  </si>
  <si>
    <t>P13797</t>
  </si>
  <si>
    <t>P13798</t>
  </si>
  <si>
    <t>P13804</t>
  </si>
  <si>
    <t>P13807-2</t>
  </si>
  <si>
    <t>P13861</t>
  </si>
  <si>
    <t>P13928</t>
  </si>
  <si>
    <t>P13929</t>
  </si>
  <si>
    <t>P13984</t>
  </si>
  <si>
    <t>P13995</t>
  </si>
  <si>
    <t>P14174</t>
  </si>
  <si>
    <t>P14314-2</t>
  </si>
  <si>
    <t>P14324-2</t>
  </si>
  <si>
    <t>P14550</t>
  </si>
  <si>
    <t>P14618</t>
  </si>
  <si>
    <t>P14618-2</t>
  </si>
  <si>
    <t>P14621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</si>
  <si>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</si>
  <si>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</si>
  <si>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</si>
  <si>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</si>
  <si>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</si>
  <si>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</si>
  <si>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</si>
  <si>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</si>
  <si>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P14923</t>
  </si>
  <si>
    <t>P14927</t>
  </si>
  <si>
    <t>P15056</t>
  </si>
  <si>
    <t>P15121</t>
  </si>
  <si>
    <t>P15151-3</t>
  </si>
  <si>
    <t>P15170-2</t>
  </si>
  <si>
    <t>P15248</t>
  </si>
  <si>
    <t>P15289</t>
  </si>
  <si>
    <t>P15311</t>
  </si>
  <si>
    <t>P15374</t>
  </si>
  <si>
    <t>P15428</t>
  </si>
  <si>
    <t>P15529-15</t>
  </si>
  <si>
    <t>P15531</t>
  </si>
  <si>
    <t>P15735-2</t>
  </si>
  <si>
    <t>P15822</t>
  </si>
  <si>
    <t>P15848</t>
  </si>
  <si>
    <t>P15880</t>
  </si>
  <si>
    <t>P15882</t>
  </si>
  <si>
    <t>P15924</t>
  </si>
  <si>
    <t>P15927</t>
  </si>
  <si>
    <t>P16070-18</t>
  </si>
  <si>
    <t>P16144-4</t>
  </si>
  <si>
    <t>P16152</t>
  </si>
  <si>
    <t>P16157-11</t>
  </si>
  <si>
    <t>P16220-2</t>
  </si>
  <si>
    <t>P16278-3</t>
  </si>
  <si>
    <t>P16298</t>
  </si>
  <si>
    <t>P16333</t>
  </si>
  <si>
    <t>P16383</t>
  </si>
  <si>
    <t>P16401</t>
  </si>
  <si>
    <t>P16403</t>
  </si>
  <si>
    <t>P16455</t>
  </si>
  <si>
    <t>P16885</t>
  </si>
  <si>
    <t>P16930</t>
  </si>
  <si>
    <t>P16949</t>
  </si>
  <si>
    <t>P16989</t>
  </si>
  <si>
    <t>P16989-2</t>
  </si>
  <si>
    <t>P17028</t>
  </si>
  <si>
    <t>P17029</t>
  </si>
  <si>
    <t>P17039</t>
  </si>
  <si>
    <t>P17050</t>
  </si>
  <si>
    <t>P17066</t>
  </si>
  <si>
    <t>P17096</t>
  </si>
  <si>
    <t>P17098</t>
  </si>
  <si>
    <t>P17174</t>
  </si>
  <si>
    <t>P17252</t>
  </si>
  <si>
    <t>P17275</t>
  </si>
  <si>
    <t>P17302</t>
  </si>
  <si>
    <t>P17480-2</t>
  </si>
  <si>
    <t>P17516</t>
  </si>
  <si>
    <t>P17535</t>
  </si>
  <si>
    <t>P17544-4</t>
  </si>
  <si>
    <t>P17612</t>
  </si>
  <si>
    <t>P17655</t>
  </si>
  <si>
    <t>P17706-2</t>
  </si>
  <si>
    <t>P17707</t>
  </si>
  <si>
    <t>P17812</t>
  </si>
  <si>
    <t>P17858</t>
  </si>
  <si>
    <t>P17900</t>
  </si>
  <si>
    <t>P17931</t>
  </si>
  <si>
    <t>P17987</t>
  </si>
  <si>
    <t>P18031</t>
  </si>
  <si>
    <t>P18065</t>
  </si>
  <si>
    <t>P18077</t>
  </si>
  <si>
    <t>P18084</t>
  </si>
  <si>
    <t>P18085</t>
  </si>
  <si>
    <t>P18124</t>
  </si>
  <si>
    <t>P18206-2</t>
  </si>
  <si>
    <t>P18283</t>
  </si>
  <si>
    <t>P18440</t>
  </si>
  <si>
    <t>P18583-10</t>
  </si>
  <si>
    <t>P18615</t>
  </si>
  <si>
    <t>P18669</t>
  </si>
  <si>
    <t>P18827</t>
  </si>
  <si>
    <t>P18846</t>
  </si>
  <si>
    <t>P18858</t>
  </si>
  <si>
    <t>P18887</t>
  </si>
  <si>
    <t>P19105</t>
  </si>
  <si>
    <t>P19174-2</t>
  </si>
  <si>
    <t>P19338</t>
  </si>
  <si>
    <t>P19367-4</t>
  </si>
  <si>
    <t>P19387</t>
  </si>
  <si>
    <t>P19388</t>
  </si>
  <si>
    <t>P19404</t>
  </si>
  <si>
    <t>P19419</t>
  </si>
  <si>
    <t>P19440</t>
  </si>
  <si>
    <t>P19447</t>
  </si>
  <si>
    <t>P19525</t>
  </si>
  <si>
    <t>P19532</t>
  </si>
  <si>
    <t>P19623</t>
  </si>
  <si>
    <t>P19784</t>
  </si>
  <si>
    <t>P19835</t>
  </si>
  <si>
    <t>P19838</t>
  </si>
  <si>
    <t>P19971</t>
  </si>
  <si>
    <t>P20042</t>
  </si>
  <si>
    <t>P20248</t>
  </si>
  <si>
    <t>P20290</t>
  </si>
  <si>
    <t>P20290-2</t>
  </si>
  <si>
    <t>P20337</t>
  </si>
  <si>
    <t>P20338</t>
  </si>
  <si>
    <t>P20340-2</t>
  </si>
  <si>
    <t>P20585</t>
  </si>
  <si>
    <t>P20618</t>
  </si>
  <si>
    <t>P20674</t>
  </si>
  <si>
    <t>P20700</t>
  </si>
  <si>
    <t>P20742</t>
  </si>
  <si>
    <t>P20749</t>
  </si>
  <si>
    <t>P20810-5</t>
  </si>
  <si>
    <t>P20810-6</t>
  </si>
  <si>
    <t>P20839-2</t>
  </si>
  <si>
    <t>P20908</t>
  </si>
  <si>
    <t>P20936-2</t>
  </si>
  <si>
    <t>P20962</t>
  </si>
  <si>
    <t>P21127-8</t>
  </si>
  <si>
    <t>P21266</t>
  </si>
  <si>
    <t>P21281</t>
  </si>
  <si>
    <t>P21283</t>
  </si>
  <si>
    <t>P21291</t>
  </si>
  <si>
    <t>P21333-2</t>
  </si>
  <si>
    <t>P21359-2</t>
  </si>
  <si>
    <t>P21399</t>
  </si>
  <si>
    <t>P21549</t>
  </si>
  <si>
    <t>P21580</t>
  </si>
  <si>
    <t>P21953</t>
  </si>
  <si>
    <t>P21964-2</t>
  </si>
  <si>
    <t>P21980</t>
  </si>
  <si>
    <t>P22033</t>
  </si>
  <si>
    <t>P22059</t>
  </si>
  <si>
    <t>P22061</t>
  </si>
  <si>
    <t>P22087</t>
  </si>
  <si>
    <t>P22102</t>
  </si>
  <si>
    <t>P22307-7</t>
  </si>
  <si>
    <t>P22314</t>
  </si>
  <si>
    <t>P22392-2</t>
  </si>
  <si>
    <t>P22570</t>
  </si>
  <si>
    <t>P22626</t>
  </si>
  <si>
    <t>P22670</t>
  </si>
  <si>
    <t>P22676</t>
  </si>
  <si>
    <t>P22681</t>
  </si>
  <si>
    <t>P22692</t>
  </si>
  <si>
    <t>P22694</t>
  </si>
  <si>
    <t>P22830</t>
  </si>
  <si>
    <t>P22897</t>
  </si>
  <si>
    <t>P23025</t>
  </si>
  <si>
    <t>P23141-3</t>
  </si>
  <si>
    <t>P23142-3</t>
  </si>
  <si>
    <t>P23193</t>
  </si>
  <si>
    <t>P23246</t>
  </si>
  <si>
    <t>P23258</t>
  </si>
  <si>
    <t>P23284</t>
  </si>
  <si>
    <t>P23368</t>
  </si>
  <si>
    <t>P23378</t>
  </si>
  <si>
    <t>P23381</t>
  </si>
  <si>
    <t>P23396</t>
  </si>
  <si>
    <t>P23409</t>
  </si>
  <si>
    <t>P23434</t>
  </si>
  <si>
    <t>P23458</t>
  </si>
  <si>
    <t>P23497</t>
  </si>
  <si>
    <t>P23511-2</t>
  </si>
  <si>
    <t>P23526</t>
  </si>
  <si>
    <t>P23528</t>
  </si>
  <si>
    <t>P23588</t>
  </si>
  <si>
    <t>P23610</t>
  </si>
  <si>
    <t>P23743</t>
  </si>
  <si>
    <t>P23919</t>
  </si>
  <si>
    <t>P23921</t>
  </si>
  <si>
    <t>P24385</t>
  </si>
  <si>
    <t>P24534</t>
  </si>
  <si>
    <t>P24588</t>
  </si>
  <si>
    <t>P24666</t>
  </si>
  <si>
    <t>P24666-2</t>
  </si>
  <si>
    <t>P24752</t>
  </si>
  <si>
    <t>P24844</t>
  </si>
  <si>
    <t>P24928</t>
  </si>
  <si>
    <t>P24941</t>
  </si>
  <si>
    <t>P25054-2</t>
  </si>
  <si>
    <t>P25098</t>
  </si>
  <si>
    <t>P25205</t>
  </si>
  <si>
    <t>P25398</t>
  </si>
  <si>
    <t>P25490</t>
  </si>
  <si>
    <t>P25685</t>
  </si>
  <si>
    <t>P25686</t>
  </si>
  <si>
    <t>P25705</t>
  </si>
  <si>
    <t>P25774-2</t>
  </si>
  <si>
    <t>P25786</t>
  </si>
  <si>
    <t>P25787</t>
  </si>
  <si>
    <t>P25788-2</t>
  </si>
  <si>
    <t>P25789</t>
  </si>
  <si>
    <t>P25815</t>
  </si>
  <si>
    <t>P26038</t>
  </si>
  <si>
    <t>P26045</t>
  </si>
  <si>
    <t>P26196</t>
  </si>
  <si>
    <t>P26358</t>
  </si>
  <si>
    <t>P26358-2</t>
  </si>
  <si>
    <t>P26368-2</t>
  </si>
  <si>
    <t>P26373</t>
  </si>
  <si>
    <t>P26374</t>
  </si>
  <si>
    <t>P26440</t>
  </si>
  <si>
    <t>P26447</t>
  </si>
  <si>
    <t>P26583</t>
  </si>
  <si>
    <t>P26599</t>
  </si>
  <si>
    <t>P26639</t>
  </si>
  <si>
    <t>P26640</t>
  </si>
  <si>
    <t>P26641</t>
  </si>
  <si>
    <t>P26651</t>
  </si>
  <si>
    <t>P26885</t>
  </si>
  <si>
    <t>P27144</t>
  </si>
  <si>
    <t>P27348</t>
  </si>
  <si>
    <t>P27361</t>
  </si>
  <si>
    <t>P27448-8</t>
  </si>
  <si>
    <t>P27540-2</t>
  </si>
  <si>
    <t>P27635</t>
  </si>
  <si>
    <t>P27694</t>
  </si>
  <si>
    <t>P27695</t>
  </si>
  <si>
    <t>P27707</t>
  </si>
  <si>
    <t>P27797</t>
  </si>
  <si>
    <t>P27824</t>
  </si>
  <si>
    <t>P27986</t>
  </si>
  <si>
    <t>P27987</t>
  </si>
  <si>
    <t>P28062-2</t>
  </si>
  <si>
    <t>P28065</t>
  </si>
  <si>
    <t>P28066</t>
  </si>
  <si>
    <t>P28070</t>
  </si>
  <si>
    <t>P28072</t>
  </si>
  <si>
    <t>P28074</t>
  </si>
  <si>
    <t>P28331-4</t>
  </si>
  <si>
    <t>P28340</t>
  </si>
  <si>
    <t>P28482</t>
  </si>
  <si>
    <t>P28562</t>
  </si>
  <si>
    <t>P28702</t>
  </si>
  <si>
    <t>P28715</t>
  </si>
  <si>
    <t>P28749</t>
  </si>
  <si>
    <t>P28799</t>
  </si>
  <si>
    <t>P28838-2</t>
  </si>
  <si>
    <t>P29034</t>
  </si>
  <si>
    <t>P29083</t>
  </si>
  <si>
    <t>P29084</t>
  </si>
  <si>
    <t>P29144</t>
  </si>
  <si>
    <t>P29218</t>
  </si>
  <si>
    <t>P29323-2</t>
  </si>
  <si>
    <t>P29350</t>
  </si>
  <si>
    <t>P29353</t>
  </si>
  <si>
    <t>P29353-6</t>
  </si>
  <si>
    <t>P29372-5</t>
  </si>
  <si>
    <t>P29373</t>
  </si>
  <si>
    <t>P29401</t>
  </si>
  <si>
    <t>P29590</t>
  </si>
  <si>
    <t>P29692</t>
  </si>
  <si>
    <t>P29692-2</t>
  </si>
  <si>
    <t>P29966</t>
  </si>
  <si>
    <t>P30038</t>
  </si>
  <si>
    <t>P30039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</si>
  <si>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</si>
  <si>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</si>
  <si>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</si>
  <si>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</si>
  <si>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</si>
  <si>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</si>
  <si>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</si>
  <si>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</si>
  <si>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</si>
  <si>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</si>
  <si>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</si>
  <si>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</si>
  <si>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</t>
  </si>
  <si>
    <t>P30260</t>
  </si>
  <si>
    <t>P30281</t>
  </si>
  <si>
    <t>P30307-2</t>
  </si>
  <si>
    <t>P30405</t>
  </si>
  <si>
    <t>P30414</t>
  </si>
  <si>
    <t>P30419</t>
  </si>
  <si>
    <t>P30519</t>
  </si>
  <si>
    <t>P30520</t>
  </si>
  <si>
    <t>P30530-2</t>
  </si>
  <si>
    <t>P30533</t>
  </si>
  <si>
    <t>P30566</t>
  </si>
  <si>
    <t>P30613-2</t>
  </si>
  <si>
    <t>P30622</t>
  </si>
  <si>
    <t>P30622-2</t>
  </si>
  <si>
    <t>P30740</t>
  </si>
  <si>
    <t>P30837</t>
  </si>
  <si>
    <t>P30838</t>
  </si>
  <si>
    <t>P31040</t>
  </si>
  <si>
    <t>P31146</t>
  </si>
  <si>
    <t>P31150</t>
  </si>
  <si>
    <t>P31153</t>
  </si>
  <si>
    <t>P31321</t>
  </si>
  <si>
    <t>P31327</t>
  </si>
  <si>
    <t>P31350</t>
  </si>
  <si>
    <t>P31689</t>
  </si>
  <si>
    <t>P31749</t>
  </si>
  <si>
    <t>P31751</t>
  </si>
  <si>
    <t>P31937</t>
  </si>
  <si>
    <t>P31939</t>
  </si>
  <si>
    <t>P31942-2</t>
  </si>
  <si>
    <t>P31943</t>
  </si>
  <si>
    <t>P31946</t>
  </si>
  <si>
    <t>P31946-2</t>
  </si>
  <si>
    <t>P31947</t>
  </si>
  <si>
    <t>P31948</t>
  </si>
  <si>
    <t>P31949</t>
  </si>
  <si>
    <t>P32019-3</t>
  </si>
  <si>
    <t>P32121-5</t>
  </si>
  <si>
    <t>P32320</t>
  </si>
  <si>
    <t>P32321-2</t>
  </si>
  <si>
    <t>P32322</t>
  </si>
  <si>
    <t>P32519-2</t>
  </si>
  <si>
    <t>P32780</t>
  </si>
  <si>
    <t>P32929</t>
  </si>
  <si>
    <t>P32969</t>
  </si>
  <si>
    <t>P33176</t>
  </si>
  <si>
    <t>P33240-2</t>
  </si>
  <si>
    <t>P33241-2</t>
  </si>
  <si>
    <t>P33316</t>
  </si>
  <si>
    <t>P33316-2</t>
  </si>
  <si>
    <t>P33552</t>
  </si>
  <si>
    <t>P33764</t>
  </si>
  <si>
    <t>P33981-2</t>
  </si>
  <si>
    <t>P33991</t>
  </si>
  <si>
    <t>P33992</t>
  </si>
  <si>
    <t>P33993</t>
  </si>
  <si>
    <t>P34059</t>
  </si>
  <si>
    <t>P34896-2</t>
  </si>
  <si>
    <t>P34897-3</t>
  </si>
  <si>
    <t>P34913</t>
  </si>
  <si>
    <t>P34931</t>
  </si>
  <si>
    <t>P34932</t>
  </si>
  <si>
    <t>P35052</t>
  </si>
  <si>
    <t>P35219</t>
  </si>
  <si>
    <t>P35221</t>
  </si>
  <si>
    <t>P35237</t>
  </si>
  <si>
    <t>P35240-5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</si>
  <si>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</si>
  <si>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</si>
  <si>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</si>
  <si>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</si>
  <si>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</si>
  <si>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</si>
  <si>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</si>
  <si>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</si>
  <si>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P35520</t>
  </si>
  <si>
    <t>P35556</t>
  </si>
  <si>
    <t>P35568</t>
  </si>
  <si>
    <t>P35573</t>
  </si>
  <si>
    <t>P35579</t>
  </si>
  <si>
    <t>P35580</t>
  </si>
  <si>
    <t>P35580-4</t>
  </si>
  <si>
    <t>P35606</t>
  </si>
  <si>
    <t>P35611-2</t>
  </si>
  <si>
    <t>P35612</t>
  </si>
  <si>
    <t>P35637-2</t>
  </si>
  <si>
    <t>P35658-2</t>
  </si>
  <si>
    <t>P35658-4</t>
  </si>
  <si>
    <t>P35659</t>
  </si>
  <si>
    <t>P35754</t>
  </si>
  <si>
    <t>P35790-2</t>
  </si>
  <si>
    <t>P35813</t>
  </si>
  <si>
    <t>P35998</t>
  </si>
  <si>
    <t>P36404</t>
  </si>
  <si>
    <t>P36405</t>
  </si>
  <si>
    <t>P36507</t>
  </si>
  <si>
    <t>P36543</t>
  </si>
  <si>
    <t>P36551</t>
  </si>
  <si>
    <t>P36578</t>
  </si>
  <si>
    <t>P36639-4</t>
  </si>
  <si>
    <t>P36871</t>
  </si>
  <si>
    <t>P36873</t>
  </si>
  <si>
    <t>P36915</t>
  </si>
  <si>
    <t>P36954</t>
  </si>
  <si>
    <t>P36957</t>
  </si>
  <si>
    <t>P36969-2</t>
  </si>
  <si>
    <t>P37108</t>
  </si>
  <si>
    <t>P37198</t>
  </si>
  <si>
    <t>P37235</t>
  </si>
  <si>
    <t>P37802</t>
  </si>
  <si>
    <t>P37837</t>
  </si>
  <si>
    <t>P38117</t>
  </si>
  <si>
    <t>P38159</t>
  </si>
  <si>
    <t>P38398-4</t>
  </si>
  <si>
    <t>P38432</t>
  </si>
  <si>
    <t>P38571-2</t>
  </si>
  <si>
    <t>P38606</t>
  </si>
  <si>
    <t>P38646</t>
  </si>
  <si>
    <t>P38919</t>
  </si>
  <si>
    <t>P38935</t>
  </si>
  <si>
    <t>P38936</t>
  </si>
  <si>
    <t>P39019</t>
  </si>
  <si>
    <t>P39023</t>
  </si>
  <si>
    <t>P39060-2</t>
  </si>
  <si>
    <t>P39687</t>
  </si>
  <si>
    <t>P39748</t>
  </si>
  <si>
    <t>P39880-3</t>
  </si>
  <si>
    <t>P40121-2</t>
  </si>
  <si>
    <t>P40123</t>
  </si>
  <si>
    <t>P40189-3</t>
  </si>
  <si>
    <t>P40199</t>
  </si>
  <si>
    <t>P40222</t>
  </si>
  <si>
    <t>P40227</t>
  </si>
  <si>
    <t>P40261</t>
  </si>
  <si>
    <t>P40306</t>
  </si>
  <si>
    <t>P40337-3</t>
  </si>
  <si>
    <t>P40426-4</t>
  </si>
  <si>
    <t>P40429</t>
  </si>
  <si>
    <t>P40692</t>
  </si>
  <si>
    <t>P40763</t>
  </si>
  <si>
    <t>P40763-2</t>
  </si>
  <si>
    <t>P40818</t>
  </si>
  <si>
    <t>P40925</t>
  </si>
  <si>
    <t>P40926</t>
  </si>
  <si>
    <t>P40937</t>
  </si>
  <si>
    <t>P40938</t>
  </si>
  <si>
    <t>P40939</t>
  </si>
  <si>
    <t>P41091</t>
  </si>
  <si>
    <t>P41134-2</t>
  </si>
  <si>
    <t>P41162</t>
  </si>
  <si>
    <t>P41208</t>
  </si>
  <si>
    <t>P41212</t>
  </si>
  <si>
    <t>P41214</t>
  </si>
  <si>
    <t>P41223</t>
  </si>
  <si>
    <t>P41227-2</t>
  </si>
  <si>
    <t>P41229-2</t>
  </si>
  <si>
    <t>P41236</t>
  </si>
  <si>
    <t>P41240</t>
  </si>
  <si>
    <t>P41250</t>
  </si>
  <si>
    <t>P41252</t>
  </si>
  <si>
    <t>P41567</t>
  </si>
  <si>
    <t>P41743</t>
  </si>
  <si>
    <t>P42025</t>
  </si>
  <si>
    <t>P42126-2</t>
  </si>
  <si>
    <t>P42166</t>
  </si>
  <si>
    <t>P42167</t>
  </si>
  <si>
    <t>P42224</t>
  </si>
  <si>
    <t>P42226</t>
  </si>
  <si>
    <t>P42285</t>
  </si>
  <si>
    <t>P42330</t>
  </si>
  <si>
    <t>P42336</t>
  </si>
  <si>
    <t>P42338</t>
  </si>
  <si>
    <t>P42345</t>
  </si>
  <si>
    <t>P42566</t>
  </si>
  <si>
    <t>P42574</t>
  </si>
  <si>
    <t>P42575</t>
  </si>
  <si>
    <t>P42677</t>
  </si>
  <si>
    <t>P42684-6</t>
  </si>
  <si>
    <t>P42695</t>
  </si>
  <si>
    <t>P42704</t>
  </si>
  <si>
    <t>P42765</t>
  </si>
  <si>
    <t>P42766</t>
  </si>
  <si>
    <t>P42773</t>
  </si>
  <si>
    <t>P42785</t>
  </si>
  <si>
    <t>P42858</t>
  </si>
  <si>
    <t>P43034</t>
  </si>
  <si>
    <t>P43155-2</t>
  </si>
  <si>
    <t>P43243</t>
  </si>
  <si>
    <t>P43246</t>
  </si>
  <si>
    <t>P43353</t>
  </si>
  <si>
    <t>P43378</t>
  </si>
  <si>
    <t>P43487</t>
  </si>
  <si>
    <t>P43490</t>
  </si>
  <si>
    <t>P43686</t>
  </si>
  <si>
    <t>P43897</t>
  </si>
  <si>
    <t>P45877</t>
  </si>
  <si>
    <t>P45954</t>
  </si>
  <si>
    <t>P45973</t>
  </si>
  <si>
    <t>P45974-2</t>
  </si>
  <si>
    <t>P45983-3</t>
  </si>
  <si>
    <t>P45984-2</t>
  </si>
  <si>
    <t>P45985</t>
  </si>
  <si>
    <t>P46013</t>
  </si>
  <si>
    <t>P46013-2</t>
  </si>
  <si>
    <t>P46019</t>
  </si>
  <si>
    <t>P46020-2</t>
  </si>
  <si>
    <t>P46060</t>
  </si>
  <si>
    <t>P46063</t>
  </si>
  <si>
    <t>P46087</t>
  </si>
  <si>
    <t>P46100-4</t>
  </si>
  <si>
    <t>P46108</t>
  </si>
  <si>
    <t>P46109</t>
  </si>
  <si>
    <t>P46199</t>
  </si>
  <si>
    <t>P46527</t>
  </si>
  <si>
    <t>P46734</t>
  </si>
  <si>
    <t>P46736-2</t>
  </si>
  <si>
    <t>P46777</t>
  </si>
  <si>
    <t>P46778</t>
  </si>
  <si>
    <t>P46779</t>
  </si>
  <si>
    <t>P46781</t>
  </si>
  <si>
    <t>P46783</t>
  </si>
  <si>
    <t>P46821</t>
  </si>
  <si>
    <t>P46926</t>
  </si>
  <si>
    <t>P46934-2</t>
  </si>
  <si>
    <t>P46934-4</t>
  </si>
  <si>
    <t>P46937</t>
  </si>
  <si>
    <t>P46937-2</t>
  </si>
  <si>
    <t>P46939</t>
  </si>
  <si>
    <t>P46940</t>
  </si>
  <si>
    <t>P46976-2</t>
  </si>
  <si>
    <t>P47224</t>
  </si>
  <si>
    <t>P47710-2</t>
  </si>
  <si>
    <t>P47712</t>
  </si>
  <si>
    <t>P47736</t>
  </si>
  <si>
    <t>P47755</t>
  </si>
  <si>
    <t>P47756-2</t>
  </si>
  <si>
    <t>P47813</t>
  </si>
  <si>
    <t>P47895</t>
  </si>
  <si>
    <t>P47897</t>
  </si>
  <si>
    <t>P47914</t>
  </si>
  <si>
    <t>P47929</t>
  </si>
  <si>
    <t>P47974</t>
  </si>
  <si>
    <t>P47985</t>
  </si>
  <si>
    <t>P48059</t>
  </si>
  <si>
    <t>P48147</t>
  </si>
  <si>
    <t>P48163</t>
  </si>
  <si>
    <t>P48169</t>
  </si>
  <si>
    <t>P48200</t>
  </si>
  <si>
    <t>P48380-3</t>
  </si>
  <si>
    <t>P48436</t>
  </si>
  <si>
    <t>P48444</t>
  </si>
  <si>
    <t>P48454-2</t>
  </si>
  <si>
    <t>P48506</t>
  </si>
  <si>
    <t>P48507</t>
  </si>
  <si>
    <t>P48552</t>
  </si>
  <si>
    <t>P48553</t>
  </si>
  <si>
    <t>P48634</t>
  </si>
  <si>
    <t>P48637</t>
  </si>
  <si>
    <t>P48643</t>
  </si>
  <si>
    <t>P48681</t>
  </si>
  <si>
    <t>P48723</t>
  </si>
  <si>
    <t>P48729</t>
  </si>
  <si>
    <t>P48730-2</t>
  </si>
  <si>
    <t>P48735</t>
  </si>
  <si>
    <t>P48739</t>
  </si>
  <si>
    <t>P49005</t>
  </si>
  <si>
    <t>P49006</t>
  </si>
  <si>
    <t>P49116</t>
  </si>
  <si>
    <t>P49137</t>
  </si>
  <si>
    <t>P49189</t>
  </si>
  <si>
    <t>P49207</t>
  </si>
  <si>
    <t>P49247</t>
  </si>
  <si>
    <t>P49321</t>
  </si>
  <si>
    <t>P49327</t>
  </si>
  <si>
    <t>P49354</t>
  </si>
  <si>
    <t>P49366</t>
  </si>
  <si>
    <t>P49368</t>
  </si>
  <si>
    <t>P49406</t>
  </si>
  <si>
    <t>P49407-2</t>
  </si>
  <si>
    <t>P49411</t>
  </si>
  <si>
    <t>P49419-2</t>
  </si>
  <si>
    <t>P49427</t>
  </si>
  <si>
    <t>P49441</t>
  </si>
  <si>
    <t>P49454</t>
  </si>
  <si>
    <t>P49458</t>
  </si>
  <si>
    <t>P49459</t>
  </si>
  <si>
    <t>P49585</t>
  </si>
  <si>
    <t>P49588</t>
  </si>
  <si>
    <t>P49589-3</t>
  </si>
  <si>
    <t>P49591</t>
  </si>
  <si>
    <t>P49642</t>
  </si>
  <si>
    <t>P49643</t>
  </si>
  <si>
    <t>P49662-2</t>
  </si>
  <si>
    <t>P49674</t>
  </si>
  <si>
    <t>P49711</t>
  </si>
  <si>
    <t>P49720</t>
  </si>
  <si>
    <t>P49721</t>
  </si>
  <si>
    <t>P49736</t>
  </si>
  <si>
    <t>P49748</t>
  </si>
  <si>
    <t>P49750-4</t>
  </si>
  <si>
    <t>P49756</t>
  </si>
  <si>
    <t>P49757-4</t>
  </si>
  <si>
    <t>P49770</t>
  </si>
  <si>
    <t>P49773</t>
  </si>
  <si>
    <t>P49789</t>
  </si>
  <si>
    <t>P49790</t>
  </si>
  <si>
    <t>P49792</t>
  </si>
  <si>
    <t>P49821-2</t>
  </si>
  <si>
    <t>P49840</t>
  </si>
  <si>
    <t>P49841</t>
  </si>
  <si>
    <t>P49848</t>
  </si>
  <si>
    <t>P49902</t>
  </si>
  <si>
    <t>P49903</t>
  </si>
  <si>
    <t>P49914</t>
  </si>
  <si>
    <t>P49915</t>
  </si>
  <si>
    <t>P49916</t>
  </si>
  <si>
    <t>P49959</t>
  </si>
  <si>
    <t>P50053</t>
  </si>
  <si>
    <t>P50135</t>
  </si>
  <si>
    <t>P50213</t>
  </si>
  <si>
    <t>P50219</t>
  </si>
  <si>
    <t>P50224</t>
  </si>
  <si>
    <t>P50238</t>
  </si>
  <si>
    <t>P50336</t>
  </si>
  <si>
    <t>P50395</t>
  </si>
  <si>
    <t>P50402</t>
  </si>
  <si>
    <t>P50440-2</t>
  </si>
  <si>
    <t>P50452</t>
  </si>
  <si>
    <t>P50453</t>
  </si>
  <si>
    <t>P50454</t>
  </si>
  <si>
    <t>P50502</t>
  </si>
  <si>
    <t>P50542</t>
  </si>
  <si>
    <t>P50552</t>
  </si>
  <si>
    <t>P50570-2</t>
  </si>
  <si>
    <t>P50570-3</t>
  </si>
  <si>
    <t>P50579</t>
  </si>
  <si>
    <t>P50583</t>
  </si>
  <si>
    <t>P50613</t>
  </si>
  <si>
    <t>P50747</t>
  </si>
  <si>
    <t>P50748</t>
  </si>
  <si>
    <t>P50749</t>
  </si>
  <si>
    <t>P50750</t>
  </si>
  <si>
    <t>P50851</t>
  </si>
  <si>
    <t>P50895</t>
  </si>
  <si>
    <t>P50897</t>
  </si>
  <si>
    <t>P50990</t>
  </si>
  <si>
    <t>P50991</t>
  </si>
  <si>
    <t>P51003</t>
  </si>
  <si>
    <t>P51116</t>
  </si>
  <si>
    <t>P51148</t>
  </si>
  <si>
    <t>P51149</t>
  </si>
  <si>
    <t>P51151</t>
  </si>
  <si>
    <t>P51153</t>
  </si>
  <si>
    <t>P51157-3</t>
  </si>
  <si>
    <t>P51161</t>
  </si>
  <si>
    <t>P51178</t>
  </si>
  <si>
    <t>P51397</t>
  </si>
  <si>
    <t>P51398-2</t>
  </si>
  <si>
    <t>P51452</t>
  </si>
  <si>
    <t>P51513-4</t>
  </si>
  <si>
    <t>P51530-3</t>
  </si>
  <si>
    <t>P51531-2</t>
  </si>
  <si>
    <t>P51553</t>
  </si>
  <si>
    <t>P51570</t>
  </si>
  <si>
    <t>P51580</t>
  </si>
  <si>
    <t>P51587</t>
  </si>
  <si>
    <t>P51589</t>
  </si>
  <si>
    <t>P51608</t>
  </si>
  <si>
    <t>P51610</t>
  </si>
  <si>
    <t>P51610-4</t>
  </si>
  <si>
    <t>P51617</t>
  </si>
  <si>
    <t>P51649</t>
  </si>
  <si>
    <t>P51659</t>
  </si>
  <si>
    <t>P51665</t>
  </si>
  <si>
    <t>P51668</t>
  </si>
  <si>
    <t>P51688</t>
  </si>
  <si>
    <t>P51692</t>
  </si>
  <si>
    <t>P51808</t>
  </si>
  <si>
    <t>P51812</t>
  </si>
  <si>
    <t>P51817</t>
  </si>
  <si>
    <t>P51825-2</t>
  </si>
  <si>
    <t>P51857-2</t>
  </si>
  <si>
    <t>P51858</t>
  </si>
  <si>
    <t>P51948</t>
  </si>
  <si>
    <t>P51991</t>
  </si>
  <si>
    <t>P52272-2</t>
  </si>
  <si>
    <t>P52292</t>
  </si>
  <si>
    <t>P52294</t>
  </si>
  <si>
    <t>P52298</t>
  </si>
  <si>
    <t>P52306</t>
  </si>
  <si>
    <t>P52306-4</t>
  </si>
  <si>
    <t>P52564</t>
  </si>
  <si>
    <t>P52565</t>
  </si>
  <si>
    <t>P52594-2</t>
  </si>
  <si>
    <t>P52597</t>
  </si>
  <si>
    <t>P52630-4</t>
  </si>
  <si>
    <t>P52655</t>
  </si>
  <si>
    <t>P52657</t>
  </si>
  <si>
    <t>P52701</t>
  </si>
  <si>
    <t>P52732</t>
  </si>
  <si>
    <t>P52735-3</t>
  </si>
  <si>
    <t>P52739-2</t>
  </si>
  <si>
    <t>P52747-2</t>
  </si>
  <si>
    <t>P52758</t>
  </si>
  <si>
    <t>P52788</t>
  </si>
  <si>
    <t>P52815</t>
  </si>
  <si>
    <t>P52824</t>
  </si>
  <si>
    <t>P52888</t>
  </si>
  <si>
    <t>P52895</t>
  </si>
  <si>
    <t>P52907</t>
  </si>
  <si>
    <t>P52943</t>
  </si>
  <si>
    <t>P52948-5</t>
  </si>
  <si>
    <t>P53004</t>
  </si>
  <si>
    <t>P53350</t>
  </si>
  <si>
    <t>P53365</t>
  </si>
  <si>
    <t>P53367</t>
  </si>
  <si>
    <t>P53367-2</t>
  </si>
  <si>
    <t>P53384-2</t>
  </si>
  <si>
    <t>P53396</t>
  </si>
  <si>
    <t>P53396-2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</si>
  <si>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</si>
  <si>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</si>
  <si>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</si>
  <si>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</si>
  <si>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</si>
  <si>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</si>
  <si>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</si>
  <si>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</si>
  <si>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P53675-2</t>
  </si>
  <si>
    <t>P53680</t>
  </si>
  <si>
    <t>P53778</t>
  </si>
  <si>
    <t>P53803</t>
  </si>
  <si>
    <t>P53814-5</t>
  </si>
  <si>
    <t>P53990-2</t>
  </si>
  <si>
    <t>P53992</t>
  </si>
  <si>
    <t>P53999</t>
  </si>
  <si>
    <t>P54136</t>
  </si>
  <si>
    <t>P54253</t>
  </si>
  <si>
    <t>P54259</t>
  </si>
  <si>
    <t>P54277-3</t>
  </si>
  <si>
    <t>P54278</t>
  </si>
  <si>
    <t>P54577</t>
  </si>
  <si>
    <t>P54578</t>
  </si>
  <si>
    <t>P54619-2</t>
  </si>
  <si>
    <t>P54646</t>
  </si>
  <si>
    <t>P54652</t>
  </si>
  <si>
    <t>P54687</t>
  </si>
  <si>
    <t>P54727</t>
  </si>
  <si>
    <t>P54802</t>
  </si>
  <si>
    <t>P54819</t>
  </si>
  <si>
    <t>P54886-2</t>
  </si>
  <si>
    <t>P54920</t>
  </si>
  <si>
    <t>P54922</t>
  </si>
  <si>
    <t>P55010</t>
  </si>
  <si>
    <t>P55036</t>
  </si>
  <si>
    <t>P55039</t>
  </si>
  <si>
    <t>P55060-3</t>
  </si>
  <si>
    <t>P55072</t>
  </si>
  <si>
    <t>P55081</t>
  </si>
  <si>
    <t>P55145</t>
  </si>
  <si>
    <t>P55196</t>
  </si>
  <si>
    <t>P55196-3</t>
  </si>
  <si>
    <t>P55199</t>
  </si>
  <si>
    <t>P55210</t>
  </si>
  <si>
    <t>P55211-2</t>
  </si>
  <si>
    <t>P55212</t>
  </si>
  <si>
    <t>P55263</t>
  </si>
  <si>
    <t>P55265-5</t>
  </si>
  <si>
    <t>P55268</t>
  </si>
  <si>
    <t>P55327-2</t>
  </si>
  <si>
    <t>P55347-2</t>
  </si>
  <si>
    <t>P55735</t>
  </si>
  <si>
    <t>P55769</t>
  </si>
  <si>
    <t>P55789</t>
  </si>
  <si>
    <t>P55795</t>
  </si>
  <si>
    <t>P55809</t>
  </si>
  <si>
    <t>P55854</t>
  </si>
  <si>
    <t>P55884</t>
  </si>
  <si>
    <t>P56181-2</t>
  </si>
  <si>
    <t>P56192</t>
  </si>
  <si>
    <t>P56211</t>
  </si>
  <si>
    <t>P56277</t>
  </si>
  <si>
    <t>P56282-2</t>
  </si>
  <si>
    <t>P56377</t>
  </si>
  <si>
    <t>P56524</t>
  </si>
  <si>
    <t>P56537</t>
  </si>
  <si>
    <t>P56545</t>
  </si>
  <si>
    <t>P56945</t>
  </si>
  <si>
    <t>P56962</t>
  </si>
  <si>
    <t>P57060</t>
  </si>
  <si>
    <t>P57076</t>
  </si>
  <si>
    <t>P57081</t>
  </si>
  <si>
    <t>P57105</t>
  </si>
  <si>
    <t>P57737-3</t>
  </si>
  <si>
    <t>P57740</t>
  </si>
  <si>
    <t>P57764</t>
  </si>
  <si>
    <t>P57768</t>
  </si>
  <si>
    <t>P57772</t>
  </si>
  <si>
    <t>P58546</t>
  </si>
  <si>
    <t>P59780</t>
  </si>
  <si>
    <t>P59998</t>
  </si>
  <si>
    <t>P60174-1</t>
  </si>
  <si>
    <t>P60228</t>
  </si>
  <si>
    <t>P60468</t>
  </si>
  <si>
    <t>P60510</t>
  </si>
  <si>
    <t>P60520</t>
  </si>
  <si>
    <t>P60660</t>
  </si>
  <si>
    <t>P60660-2</t>
  </si>
  <si>
    <t>P60709</t>
  </si>
  <si>
    <t>P60763</t>
  </si>
  <si>
    <t>P60842</t>
  </si>
  <si>
    <t>P60866</t>
  </si>
  <si>
    <t>P60880-2</t>
  </si>
  <si>
    <t>P60891</t>
  </si>
  <si>
    <t>P60900</t>
  </si>
  <si>
    <t>P60903</t>
  </si>
  <si>
    <t>P60953</t>
  </si>
  <si>
    <t>P60981</t>
  </si>
  <si>
    <t>P60983</t>
  </si>
  <si>
    <t>P61006</t>
  </si>
  <si>
    <t>P61011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</si>
  <si>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</si>
  <si>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</si>
  <si>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</si>
  <si>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</si>
  <si>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</si>
  <si>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</si>
  <si>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</si>
  <si>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</si>
  <si>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</si>
  <si>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</si>
  <si>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</si>
  <si>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</si>
  <si>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</si>
  <si>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P61221</t>
  </si>
  <si>
    <t>P61224</t>
  </si>
  <si>
    <t>P61225</t>
  </si>
  <si>
    <t>P61244-2</t>
  </si>
  <si>
    <t>P61247</t>
  </si>
  <si>
    <t>P61254</t>
  </si>
  <si>
    <t>P61289</t>
  </si>
  <si>
    <t>P61313</t>
  </si>
  <si>
    <t>P61353</t>
  </si>
  <si>
    <t>P61457</t>
  </si>
  <si>
    <t>P61586</t>
  </si>
  <si>
    <t>P61587</t>
  </si>
  <si>
    <t>P61599</t>
  </si>
  <si>
    <t>P61604</t>
  </si>
  <si>
    <t>P61758</t>
  </si>
  <si>
    <t>P61764</t>
  </si>
  <si>
    <t>P61923</t>
  </si>
  <si>
    <t>P61927</t>
  </si>
  <si>
    <t>P61952</t>
  </si>
  <si>
    <t>P61956</t>
  </si>
  <si>
    <t>P61962</t>
  </si>
  <si>
    <t>P61964</t>
  </si>
  <si>
    <t>P61966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</si>
  <si>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</si>
  <si>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</si>
  <si>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</si>
  <si>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</si>
  <si>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</si>
  <si>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</si>
  <si>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</si>
  <si>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</si>
  <si>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P62158</t>
  </si>
  <si>
    <t>P62166</t>
  </si>
  <si>
    <t>P62191</t>
  </si>
  <si>
    <t>P62195-2</t>
  </si>
  <si>
    <t>P62241</t>
  </si>
  <si>
    <t>P62249</t>
  </si>
  <si>
    <t>P62253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</si>
  <si>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</si>
  <si>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</si>
  <si>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</si>
  <si>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</si>
  <si>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</si>
  <si>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</si>
  <si>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</si>
  <si>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</si>
  <si>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</si>
  <si>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</si>
  <si>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</si>
  <si>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</si>
  <si>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</si>
  <si>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</si>
  <si>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</si>
  <si>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</si>
  <si>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</si>
  <si>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</si>
  <si>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</si>
  <si>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</si>
  <si>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</si>
  <si>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P62633-2</t>
  </si>
  <si>
    <t>P62633-3</t>
  </si>
  <si>
    <t>P62699</t>
  </si>
  <si>
    <t>P62701</t>
  </si>
  <si>
    <t>P62714</t>
  </si>
  <si>
    <t>P62750</t>
  </si>
  <si>
    <t>P62753</t>
  </si>
  <si>
    <t>P62805</t>
  </si>
  <si>
    <t>P62820</t>
  </si>
  <si>
    <t>P62826</t>
  </si>
  <si>
    <t>P62829</t>
  </si>
  <si>
    <t>P62837</t>
  </si>
  <si>
    <t>P62847-2</t>
  </si>
  <si>
    <t>P62851</t>
  </si>
  <si>
    <t>P62854</t>
  </si>
  <si>
    <t>P62857</t>
  </si>
  <si>
    <t>P62873</t>
  </si>
  <si>
    <t>P62875</t>
  </si>
  <si>
    <t>P62877</t>
  </si>
  <si>
    <t>P62888</t>
  </si>
  <si>
    <t>P62906</t>
  </si>
  <si>
    <t>P62917</t>
  </si>
  <si>
    <t>P62942</t>
  </si>
  <si>
    <t>P62993</t>
  </si>
  <si>
    <t>P62995</t>
  </si>
  <si>
    <t>P63000</t>
  </si>
  <si>
    <t>P63010</t>
  </si>
  <si>
    <t>P63096</t>
  </si>
  <si>
    <t>P63104</t>
  </si>
  <si>
    <t>P63151</t>
  </si>
  <si>
    <t>P63167</t>
  </si>
  <si>
    <t>P63241</t>
  </si>
  <si>
    <t>P63244</t>
  </si>
  <si>
    <t>P63261</t>
  </si>
  <si>
    <t>P63272</t>
  </si>
  <si>
    <t>P63313</t>
  </si>
  <si>
    <t>P67775</t>
  </si>
  <si>
    <t>P67809</t>
  </si>
  <si>
    <t>P67870</t>
  </si>
  <si>
    <t>P67936</t>
  </si>
  <si>
    <t>P68036</t>
  </si>
  <si>
    <t>P68104</t>
  </si>
  <si>
    <t>P68106</t>
  </si>
  <si>
    <t>P68133</t>
  </si>
  <si>
    <t>P68363</t>
  </si>
  <si>
    <t>P68371</t>
  </si>
  <si>
    <t>P68402</t>
  </si>
  <si>
    <t>P78314</t>
  </si>
  <si>
    <t>P78316</t>
  </si>
  <si>
    <t>P78318</t>
  </si>
  <si>
    <t>P78324</t>
  </si>
  <si>
    <t>P78330</t>
  </si>
  <si>
    <t>P78332</t>
  </si>
  <si>
    <t>P78345</t>
  </si>
  <si>
    <t>P78346</t>
  </si>
  <si>
    <t>P78347-2</t>
  </si>
  <si>
    <t>P78356</t>
  </si>
  <si>
    <t>P78364</t>
  </si>
  <si>
    <t>P78371</t>
  </si>
  <si>
    <t>P78406</t>
  </si>
  <si>
    <t>P78417</t>
  </si>
  <si>
    <t>P78504</t>
  </si>
  <si>
    <t>P78527</t>
  </si>
  <si>
    <t>P78537</t>
  </si>
  <si>
    <t>P78545-2</t>
  </si>
  <si>
    <t>P78559</t>
  </si>
  <si>
    <t>P78560</t>
  </si>
  <si>
    <t>P80217</t>
  </si>
  <si>
    <t>P80297</t>
  </si>
  <si>
    <t>P80303</t>
  </si>
  <si>
    <t>P80723</t>
  </si>
  <si>
    <t>P81605</t>
  </si>
  <si>
    <t>P82094</t>
  </si>
  <si>
    <t>P82673</t>
  </si>
  <si>
    <t>P82909</t>
  </si>
  <si>
    <t>P82912-2</t>
  </si>
  <si>
    <t>P82930</t>
  </si>
  <si>
    <t>P82932</t>
  </si>
  <si>
    <t>P82979</t>
  </si>
  <si>
    <t>P83369</t>
  </si>
  <si>
    <t>P83436</t>
  </si>
  <si>
    <t>P83881</t>
  </si>
  <si>
    <t>P84022</t>
  </si>
  <si>
    <t>P84077</t>
  </si>
  <si>
    <t>P84085</t>
  </si>
  <si>
    <t>P84090</t>
  </si>
  <si>
    <t>P84095</t>
  </si>
  <si>
    <t>P84101-4</t>
  </si>
  <si>
    <t>P85037</t>
  </si>
  <si>
    <t>P85299-2</t>
  </si>
  <si>
    <t>P86791</t>
  </si>
  <si>
    <t>P98082-3</t>
  </si>
  <si>
    <t>P98155-2</t>
  </si>
  <si>
    <t>P98170</t>
  </si>
  <si>
    <t>P98174</t>
  </si>
  <si>
    <t>P98175-4</t>
  </si>
  <si>
    <t>P98179</t>
  </si>
  <si>
    <t>Q00013-2</t>
  </si>
  <si>
    <t>Q00059</t>
  </si>
  <si>
    <t>Q00169</t>
  </si>
  <si>
    <t>Q00341</t>
  </si>
  <si>
    <t>Q00403</t>
  </si>
  <si>
    <t>Q00534</t>
  </si>
  <si>
    <t>Q00535</t>
  </si>
  <si>
    <t>Q00536</t>
  </si>
  <si>
    <t>Q00577</t>
  </si>
  <si>
    <t>Q00587-2</t>
  </si>
  <si>
    <t>Q00610-2</t>
  </si>
  <si>
    <t>Q00653-4</t>
  </si>
  <si>
    <t>Q00688</t>
  </si>
  <si>
    <t>Q00796</t>
  </si>
  <si>
    <t>Q00839</t>
  </si>
  <si>
    <t>Q00978</t>
  </si>
  <si>
    <t>Q01081</t>
  </si>
  <si>
    <t>Q01082</t>
  </si>
  <si>
    <t>Q01082-3</t>
  </si>
  <si>
    <t>Q01085-2</t>
  </si>
  <si>
    <t>Q01105</t>
  </si>
  <si>
    <t>Q01105-2</t>
  </si>
  <si>
    <t>Q01167</t>
  </si>
  <si>
    <t>Q01432</t>
  </si>
  <si>
    <t>Q01433</t>
  </si>
  <si>
    <t>Q01459</t>
  </si>
  <si>
    <t>Q01469</t>
  </si>
  <si>
    <t>Q01518-2</t>
  </si>
  <si>
    <t>Q01581</t>
  </si>
  <si>
    <t>Q01650</t>
  </si>
  <si>
    <t>Q01658</t>
  </si>
  <si>
    <t>Q01664</t>
  </si>
  <si>
    <t>Q01780-2</t>
  </si>
  <si>
    <t>Q01804</t>
  </si>
  <si>
    <t>Q01813</t>
  </si>
  <si>
    <t>Q01844-6</t>
  </si>
  <si>
    <t>Q01850</t>
  </si>
  <si>
    <t>Q01968-2</t>
  </si>
  <si>
    <t>Q01970</t>
  </si>
  <si>
    <t>Q01973</t>
  </si>
  <si>
    <t>Q01995</t>
  </si>
  <si>
    <t>Q02040</t>
  </si>
  <si>
    <t>Q02078-4</t>
  </si>
  <si>
    <t>Q02083-2</t>
  </si>
  <si>
    <t>Q02086-2</t>
  </si>
  <si>
    <t>Q02156</t>
  </si>
  <si>
    <t>Q02224-3</t>
  </si>
  <si>
    <t>Q02241</t>
  </si>
  <si>
    <t>Q02241-2</t>
  </si>
  <si>
    <t>Q02297</t>
  </si>
  <si>
    <t>Q02388-2</t>
  </si>
  <si>
    <t>Q02410</t>
  </si>
  <si>
    <t>Q02446</t>
  </si>
  <si>
    <t>Q02447-3</t>
  </si>
  <si>
    <t>Q02535</t>
  </si>
  <si>
    <t>Q02543</t>
  </si>
  <si>
    <t>Q02750</t>
  </si>
  <si>
    <t>Q02790</t>
  </si>
  <si>
    <t>Q02809</t>
  </si>
  <si>
    <t>Q02818</t>
  </si>
  <si>
    <t>Q02833-3</t>
  </si>
  <si>
    <t>Q02880-2</t>
  </si>
  <si>
    <t>Q02952-3</t>
  </si>
  <si>
    <t>Q03001</t>
  </si>
  <si>
    <t>Q03111</t>
  </si>
  <si>
    <t>Q03135</t>
  </si>
  <si>
    <t>Q03154</t>
  </si>
  <si>
    <t>Q03164-2</t>
  </si>
  <si>
    <t>Q03169</t>
  </si>
  <si>
    <t>Q03252</t>
  </si>
  <si>
    <t>Q03393</t>
  </si>
  <si>
    <t>Q03468</t>
  </si>
  <si>
    <t>Q03701</t>
  </si>
  <si>
    <t>Q03933-2</t>
  </si>
  <si>
    <t>Q04446</t>
  </si>
  <si>
    <t>Q04656-5</t>
  </si>
  <si>
    <t>Q04695</t>
  </si>
  <si>
    <t>Q04724</t>
  </si>
  <si>
    <t>Q04726-3</t>
  </si>
  <si>
    <t>Q04727-3</t>
  </si>
  <si>
    <t>Q04756</t>
  </si>
  <si>
    <t>Q04760</t>
  </si>
  <si>
    <t>Q04828</t>
  </si>
  <si>
    <t>Q04837</t>
  </si>
  <si>
    <t>Q04917</t>
  </si>
  <si>
    <t>Q05048</t>
  </si>
  <si>
    <t>Q05086-3</t>
  </si>
  <si>
    <t>Q05193</t>
  </si>
  <si>
    <t>Q05209</t>
  </si>
  <si>
    <t>Q05397-6</t>
  </si>
  <si>
    <t>Q05513</t>
  </si>
  <si>
    <t>Q05519-2</t>
  </si>
  <si>
    <t>Q05639</t>
  </si>
  <si>
    <t>Q05655</t>
  </si>
  <si>
    <t>Q05682</t>
  </si>
  <si>
    <t>Q05682-4</t>
  </si>
  <si>
    <t>Q05932-3</t>
  </si>
  <si>
    <t>Q06124</t>
  </si>
  <si>
    <t>Q06203</t>
  </si>
  <si>
    <t>Q06210-2</t>
  </si>
  <si>
    <t>Q06265</t>
  </si>
  <si>
    <t>Q06323</t>
  </si>
  <si>
    <t>Q06330-5</t>
  </si>
  <si>
    <t>Q06546</t>
  </si>
  <si>
    <t>Q06547-2</t>
  </si>
  <si>
    <t>Q06587</t>
  </si>
  <si>
    <t>Q06609-3</t>
  </si>
  <si>
    <t>Q06787-8</t>
  </si>
  <si>
    <t>Q06945</t>
  </si>
  <si>
    <t>Q07020</t>
  </si>
  <si>
    <t>Q07021</t>
  </si>
  <si>
    <t>Q07065</t>
  </si>
  <si>
    <t>Q07283</t>
  </si>
  <si>
    <t>Q07617</t>
  </si>
  <si>
    <t>Q07666</t>
  </si>
  <si>
    <t>Q07812-8</t>
  </si>
  <si>
    <t>Q07866-6</t>
  </si>
  <si>
    <t>Q07954</t>
  </si>
  <si>
    <t>Q07955</t>
  </si>
  <si>
    <t>Q07960</t>
  </si>
  <si>
    <t>Q08117</t>
  </si>
  <si>
    <t>Q08170</t>
  </si>
  <si>
    <t>Q08188</t>
  </si>
  <si>
    <t>Q08209-2</t>
  </si>
  <si>
    <t>Q08211</t>
  </si>
  <si>
    <t>Q08257</t>
  </si>
  <si>
    <t>Q08378</t>
  </si>
  <si>
    <t>Q08379</t>
  </si>
  <si>
    <t>Q08380</t>
  </si>
  <si>
    <t>Q08431-2</t>
  </si>
  <si>
    <t>Q08495</t>
  </si>
  <si>
    <t>Q08499-6</t>
  </si>
  <si>
    <t>Q08554-2</t>
  </si>
  <si>
    <t>Q08752</t>
  </si>
  <si>
    <t>Q08945</t>
  </si>
  <si>
    <t>Q08999</t>
  </si>
  <si>
    <t>Q08AD1-2</t>
  </si>
  <si>
    <t>Q08AE8-2</t>
  </si>
  <si>
    <t>Q08AG7</t>
  </si>
  <si>
    <t>Q08AM6</t>
  </si>
  <si>
    <t>Q08J23</t>
  </si>
  <si>
    <t>Q09028-3</t>
  </si>
  <si>
    <t>Q09161</t>
  </si>
  <si>
    <t>Q09472</t>
  </si>
  <si>
    <t>Q09666</t>
  </si>
  <si>
    <t>Q09666-2</t>
  </si>
  <si>
    <t>Q0JRZ9</t>
  </si>
  <si>
    <t>Q0PNE2</t>
  </si>
  <si>
    <t>Q0VDF9</t>
  </si>
  <si>
    <t>Q0VDG4</t>
  </si>
  <si>
    <t>Q0VF96</t>
  </si>
  <si>
    <t>Q0VG06</t>
  </si>
  <si>
    <t>Q0VGL1</t>
  </si>
  <si>
    <t>Q10567-2</t>
  </si>
  <si>
    <t>Q10567-3</t>
  </si>
  <si>
    <t>Q10570</t>
  </si>
  <si>
    <t>Q10713</t>
  </si>
  <si>
    <t>Q12765</t>
  </si>
  <si>
    <t>Q12768</t>
  </si>
  <si>
    <t>Q12769</t>
  </si>
  <si>
    <t>Q12789</t>
  </si>
  <si>
    <t>Q12792</t>
  </si>
  <si>
    <t>Q12797</t>
  </si>
  <si>
    <t>Q12800-2</t>
  </si>
  <si>
    <t>Q12802</t>
  </si>
  <si>
    <t>Q12824-2</t>
  </si>
  <si>
    <t>Q12830-4</t>
  </si>
  <si>
    <t>Q12834</t>
  </si>
  <si>
    <t>Q12841</t>
  </si>
  <si>
    <t>Q12846</t>
  </si>
  <si>
    <t>Q12849-5</t>
  </si>
  <si>
    <t>Q12860-2</t>
  </si>
  <si>
    <t>Q12872</t>
  </si>
  <si>
    <t>Q12873</t>
  </si>
  <si>
    <t>Q12874</t>
  </si>
  <si>
    <t>Q12882</t>
  </si>
  <si>
    <t>Q12888</t>
  </si>
  <si>
    <t>Q12894</t>
  </si>
  <si>
    <t>Q12904</t>
  </si>
  <si>
    <t>Q12905</t>
  </si>
  <si>
    <t>Q12906-7</t>
  </si>
  <si>
    <t>Q12913</t>
  </si>
  <si>
    <t>Q12923-2</t>
  </si>
  <si>
    <t>Q12929</t>
  </si>
  <si>
    <t>Q12933-3</t>
  </si>
  <si>
    <t>Q12955</t>
  </si>
  <si>
    <t>Q12959-5</t>
  </si>
  <si>
    <t>Q12962</t>
  </si>
  <si>
    <t>Q12965</t>
  </si>
  <si>
    <t>Q12972</t>
  </si>
  <si>
    <t>Q12974</t>
  </si>
  <si>
    <t>Q12979-4</t>
  </si>
  <si>
    <t>Q12981</t>
  </si>
  <si>
    <t>Q12982</t>
  </si>
  <si>
    <t>Q12986</t>
  </si>
  <si>
    <t>Q12996</t>
  </si>
  <si>
    <t>Q13011</t>
  </si>
  <si>
    <t>Q13017-2</t>
  </si>
  <si>
    <t>Q13033-2</t>
  </si>
  <si>
    <t>Q13042-3</t>
  </si>
  <si>
    <t>Q13043</t>
  </si>
  <si>
    <t>Q13045</t>
  </si>
  <si>
    <t>Q13045-2</t>
  </si>
  <si>
    <t>Q13049</t>
  </si>
  <si>
    <t>Q13057</t>
  </si>
  <si>
    <t>Q13077</t>
  </si>
  <si>
    <t>Q13085</t>
  </si>
  <si>
    <t>Q13107-2</t>
  </si>
  <si>
    <t>Q13111</t>
  </si>
  <si>
    <t>Q13112</t>
  </si>
  <si>
    <t>Q13114-2</t>
  </si>
  <si>
    <t>Q13115</t>
  </si>
  <si>
    <t>Q13123</t>
  </si>
  <si>
    <t>Q13131</t>
  </si>
  <si>
    <t>Q13136</t>
  </si>
  <si>
    <t>Q13148</t>
  </si>
  <si>
    <t>Q13151</t>
  </si>
  <si>
    <t>Q13153</t>
  </si>
  <si>
    <t>Q13155</t>
  </si>
  <si>
    <t>Q13158</t>
  </si>
  <si>
    <t>Q13162</t>
  </si>
  <si>
    <t>Q13163-4</t>
  </si>
  <si>
    <t>Q13164</t>
  </si>
  <si>
    <t>Q13177</t>
  </si>
  <si>
    <t>Q13185</t>
  </si>
  <si>
    <t>Q13188</t>
  </si>
  <si>
    <t>Q13190</t>
  </si>
  <si>
    <t>Q13191</t>
  </si>
  <si>
    <t>Q13200</t>
  </si>
  <si>
    <t>Q13206</t>
  </si>
  <si>
    <t>Q13216-2</t>
  </si>
  <si>
    <t>Q13217</t>
  </si>
  <si>
    <t>Q13228</t>
  </si>
  <si>
    <t>Q13232</t>
  </si>
  <si>
    <t>Q13233</t>
  </si>
  <si>
    <t>Q13242</t>
  </si>
  <si>
    <t>Q13243-3</t>
  </si>
  <si>
    <t>Q13247-3</t>
  </si>
  <si>
    <t>Q13255</t>
  </si>
  <si>
    <t>Q13257</t>
  </si>
  <si>
    <t>Q13263</t>
  </si>
  <si>
    <t>Q13283</t>
  </si>
  <si>
    <t>Q13287</t>
  </si>
  <si>
    <t>Q13303-2</t>
  </si>
  <si>
    <t>Q13308-3</t>
  </si>
  <si>
    <t>Q13310-3</t>
  </si>
  <si>
    <t>Q13315</t>
  </si>
  <si>
    <t>Q13322-2</t>
  </si>
  <si>
    <t>Q13325</t>
  </si>
  <si>
    <t>Q13330-3</t>
  </si>
  <si>
    <t>Q13332-6</t>
  </si>
  <si>
    <t>Q13347</t>
  </si>
  <si>
    <t>Q13362-4</t>
  </si>
  <si>
    <t>Q13363-2</t>
  </si>
  <si>
    <t>Q13371</t>
  </si>
  <si>
    <t>Q13395</t>
  </si>
  <si>
    <t>Q13404</t>
  </si>
  <si>
    <t>Q13409-6</t>
  </si>
  <si>
    <t>Q13416</t>
  </si>
  <si>
    <t>Q13418</t>
  </si>
  <si>
    <t>Q13425</t>
  </si>
  <si>
    <t>Q13426</t>
  </si>
  <si>
    <t>Q13427</t>
  </si>
  <si>
    <t>Q13428-3</t>
  </si>
  <si>
    <t>Q13428-4</t>
  </si>
  <si>
    <t>Q13432</t>
  </si>
  <si>
    <t>Q13435</t>
  </si>
  <si>
    <t>Q13439-3</t>
  </si>
  <si>
    <t>Q13442</t>
  </si>
  <si>
    <t>Q13443</t>
  </si>
  <si>
    <t>Q13451</t>
  </si>
  <si>
    <t>Q13464</t>
  </si>
  <si>
    <t>Q13467</t>
  </si>
  <si>
    <t>Q13472-2</t>
  </si>
  <si>
    <t>Q13480-2</t>
  </si>
  <si>
    <t>Q13492-3</t>
  </si>
  <si>
    <t>Q13496</t>
  </si>
  <si>
    <t>Q13501</t>
  </si>
  <si>
    <t>Q13503</t>
  </si>
  <si>
    <t>Q13506</t>
  </si>
  <si>
    <t>Q13509</t>
  </si>
  <si>
    <t>Q13516</t>
  </si>
  <si>
    <t>Q13526</t>
  </si>
  <si>
    <t>Q13535-2</t>
  </si>
  <si>
    <t>Q13541</t>
  </si>
  <si>
    <t>Q13542</t>
  </si>
  <si>
    <t>Q13546</t>
  </si>
  <si>
    <t>Q13547</t>
  </si>
  <si>
    <t>Q13557-8</t>
  </si>
  <si>
    <t>Q13561</t>
  </si>
  <si>
    <t>Q13563-2</t>
  </si>
  <si>
    <t>Q13564-2</t>
  </si>
  <si>
    <t>Q13572</t>
  </si>
  <si>
    <t>Q13573</t>
  </si>
  <si>
    <t>Q13574-2</t>
  </si>
  <si>
    <t>Q13596</t>
  </si>
  <si>
    <t>Q13608</t>
  </si>
  <si>
    <t>Q13613</t>
  </si>
  <si>
    <t>Q13614</t>
  </si>
  <si>
    <t>Q13615-3</t>
  </si>
  <si>
    <t>Q13616</t>
  </si>
  <si>
    <t>Q13617</t>
  </si>
  <si>
    <t>Q13618</t>
  </si>
  <si>
    <t>Q13619</t>
  </si>
  <si>
    <t>Q13625</t>
  </si>
  <si>
    <t>Q13627-3</t>
  </si>
  <si>
    <t>Q13630</t>
  </si>
  <si>
    <t>Q13637</t>
  </si>
  <si>
    <t>Q13641</t>
  </si>
  <si>
    <t>Q13642-1</t>
  </si>
  <si>
    <t>Q13643</t>
  </si>
  <si>
    <t>Q13671</t>
  </si>
  <si>
    <t>Q13686</t>
  </si>
  <si>
    <t>Q13740-2</t>
  </si>
  <si>
    <t>Q13769</t>
  </si>
  <si>
    <t>Q13796</t>
  </si>
  <si>
    <t>Q13813</t>
  </si>
  <si>
    <t>Q13813-3</t>
  </si>
  <si>
    <t>Q13825</t>
  </si>
  <si>
    <t>Q13838</t>
  </si>
  <si>
    <t>Q13867</t>
  </si>
  <si>
    <t>Q13868</t>
  </si>
  <si>
    <t>Q13885</t>
  </si>
  <si>
    <t>Q13887</t>
  </si>
  <si>
    <t>Q13895</t>
  </si>
  <si>
    <t>Q13907</t>
  </si>
  <si>
    <t>Q13951</t>
  </si>
  <si>
    <t>Q13951-2</t>
  </si>
  <si>
    <t>Q13952-3</t>
  </si>
  <si>
    <t>Q14004</t>
  </si>
  <si>
    <t>Q14008</t>
  </si>
  <si>
    <t>Q14011</t>
  </si>
  <si>
    <t>Q14012</t>
  </si>
  <si>
    <t>Q14019</t>
  </si>
  <si>
    <t>Q14032</t>
  </si>
  <si>
    <t>Q14061</t>
  </si>
  <si>
    <t>Q14103-3</t>
  </si>
  <si>
    <t>Q14116-2</t>
  </si>
  <si>
    <t>Q14118</t>
  </si>
  <si>
    <t>Q14123</t>
  </si>
  <si>
    <t>Q14126</t>
  </si>
  <si>
    <t>Q14137</t>
  </si>
  <si>
    <t>Q14139</t>
  </si>
  <si>
    <t>Q14141-2</t>
  </si>
  <si>
    <t>Q14146</t>
  </si>
  <si>
    <t>Q14147</t>
  </si>
  <si>
    <t>Q14149</t>
  </si>
  <si>
    <t>Q14151</t>
  </si>
  <si>
    <t>Q14152</t>
  </si>
  <si>
    <t>Q14153</t>
  </si>
  <si>
    <t>Q14155-1</t>
  </si>
  <si>
    <t>Q14157</t>
  </si>
  <si>
    <t>Q14157-1</t>
  </si>
  <si>
    <t>Q14160-3</t>
  </si>
  <si>
    <t>Q14161</t>
  </si>
  <si>
    <t>Q14166</t>
  </si>
  <si>
    <t>Q14181</t>
  </si>
  <si>
    <t>Q14185</t>
  </si>
  <si>
    <t>Q14191</t>
  </si>
  <si>
    <t>Q14192</t>
  </si>
  <si>
    <t>Q14195-2</t>
  </si>
  <si>
    <t>Q14202-2</t>
  </si>
  <si>
    <t>Q14203-3</t>
  </si>
  <si>
    <t>Q14204</t>
  </si>
  <si>
    <t>Q14207</t>
  </si>
  <si>
    <t>Q14232</t>
  </si>
  <si>
    <t>Q14240</t>
  </si>
  <si>
    <t>Q14241</t>
  </si>
  <si>
    <t>Q14244</t>
  </si>
  <si>
    <t>Q14247</t>
  </si>
  <si>
    <t>Q14247-3</t>
  </si>
  <si>
    <t>Q14249</t>
  </si>
  <si>
    <t>Q14257</t>
  </si>
  <si>
    <t>Q14258</t>
  </si>
  <si>
    <t>Q14289-2</t>
  </si>
  <si>
    <t>Q14315-2</t>
  </si>
  <si>
    <t>Q14318</t>
  </si>
  <si>
    <t>Q14320</t>
  </si>
  <si>
    <t>Q14331</t>
  </si>
  <si>
    <t>Q14344</t>
  </si>
  <si>
    <t>Q14353</t>
  </si>
  <si>
    <t>Q14376</t>
  </si>
  <si>
    <t>Q14432</t>
  </si>
  <si>
    <t>Q14444-2</t>
  </si>
  <si>
    <t>Q14449</t>
  </si>
  <si>
    <t>Q14451</t>
  </si>
  <si>
    <t>Q14457</t>
  </si>
  <si>
    <t>Q14469</t>
  </si>
  <si>
    <t>Q14493</t>
  </si>
  <si>
    <t>Q14493-2</t>
  </si>
  <si>
    <t>Q14498-2</t>
  </si>
  <si>
    <t>Q14511-3</t>
  </si>
  <si>
    <t>Q14517</t>
  </si>
  <si>
    <t>Q14520-2</t>
  </si>
  <si>
    <t>Q14527</t>
  </si>
  <si>
    <t>Q14554</t>
  </si>
  <si>
    <t>Q14558-2</t>
  </si>
  <si>
    <t>Q14562</t>
  </si>
  <si>
    <t>Q14566</t>
  </si>
  <si>
    <t>Q14651</t>
  </si>
  <si>
    <t>Q14653</t>
  </si>
  <si>
    <t>Q14657</t>
  </si>
  <si>
    <t>Q14669-3</t>
  </si>
  <si>
    <t>Q14671-2</t>
  </si>
  <si>
    <t>Q14676</t>
  </si>
  <si>
    <t>Q14677</t>
  </si>
  <si>
    <t>Q14678</t>
  </si>
  <si>
    <t>Q14683</t>
  </si>
  <si>
    <t>Q14684-2</t>
  </si>
  <si>
    <t>Q14686</t>
  </si>
  <si>
    <t>Q14687-2</t>
  </si>
  <si>
    <t>Q14689-6</t>
  </si>
  <si>
    <t>Q14690</t>
  </si>
  <si>
    <t>Q14691</t>
  </si>
  <si>
    <t>Q14694</t>
  </si>
  <si>
    <t>Q14696</t>
  </si>
  <si>
    <t>Q14697</t>
  </si>
  <si>
    <t>Q14764</t>
  </si>
  <si>
    <t>Q14781</t>
  </si>
  <si>
    <t>Q14789</t>
  </si>
  <si>
    <t>Q14790-3</t>
  </si>
  <si>
    <t>Q14790-9</t>
  </si>
  <si>
    <t>Q147X3</t>
  </si>
  <si>
    <t>Q14807-2</t>
  </si>
  <si>
    <t>Q14814-4</t>
  </si>
  <si>
    <t>Q14839-2</t>
  </si>
  <si>
    <t>Q14847</t>
  </si>
  <si>
    <t>Q14872</t>
  </si>
  <si>
    <t>Q14914-2</t>
  </si>
  <si>
    <t>Q14919-2</t>
  </si>
  <si>
    <t>Q14966</t>
  </si>
  <si>
    <t>Q14974</t>
  </si>
  <si>
    <t>Q14978-2</t>
  </si>
  <si>
    <t>Q14980</t>
  </si>
  <si>
    <t>Q14980-2</t>
  </si>
  <si>
    <t>Q14997</t>
  </si>
  <si>
    <t>Q14C86-5</t>
  </si>
  <si>
    <t>Q14CB8-4</t>
  </si>
  <si>
    <t>Q14CS0</t>
  </si>
  <si>
    <t>Q14CX7</t>
  </si>
  <si>
    <t>Q15003</t>
  </si>
  <si>
    <t>Q15004</t>
  </si>
  <si>
    <t>Q15007</t>
  </si>
  <si>
    <t>Q15008</t>
  </si>
  <si>
    <t>Q15013</t>
  </si>
  <si>
    <t>Q15014</t>
  </si>
  <si>
    <t>Q15018</t>
  </si>
  <si>
    <t>Q15019</t>
  </si>
  <si>
    <t>Q15020</t>
  </si>
  <si>
    <t>Q15021</t>
  </si>
  <si>
    <t>Q15024</t>
  </si>
  <si>
    <t>Q15029-2</t>
  </si>
  <si>
    <t>Q15032-2</t>
  </si>
  <si>
    <t>Q15036-2</t>
  </si>
  <si>
    <t>Q15042</t>
  </si>
  <si>
    <t>Q15043-2</t>
  </si>
  <si>
    <t>Q15046</t>
  </si>
  <si>
    <t>Q15047-3</t>
  </si>
  <si>
    <t>Q15048</t>
  </si>
  <si>
    <t>Q15050</t>
  </si>
  <si>
    <t>Q15054</t>
  </si>
  <si>
    <t>Q15056</t>
  </si>
  <si>
    <t>Q15056-2</t>
  </si>
  <si>
    <t>Q15057</t>
  </si>
  <si>
    <t>Q15058</t>
  </si>
  <si>
    <t>Q15059</t>
  </si>
  <si>
    <t>Q15061</t>
  </si>
  <si>
    <t>Q15067-2</t>
  </si>
  <si>
    <t>Q15072</t>
  </si>
  <si>
    <t>Q15075</t>
  </si>
  <si>
    <t>Q15102</t>
  </si>
  <si>
    <t>Q15121</t>
  </si>
  <si>
    <t>Q15126</t>
  </si>
  <si>
    <t>Q15139</t>
  </si>
  <si>
    <t>Q15147-4</t>
  </si>
  <si>
    <t>Q15149</t>
  </si>
  <si>
    <t>Q15149-2</t>
  </si>
  <si>
    <t>Q15149-3</t>
  </si>
  <si>
    <t>Q15149-4</t>
  </si>
  <si>
    <t>Q15149-8</t>
  </si>
  <si>
    <t>Q15154</t>
  </si>
  <si>
    <t>Q15170-2</t>
  </si>
  <si>
    <t>Q15172</t>
  </si>
  <si>
    <t>Q15181</t>
  </si>
  <si>
    <t>Q15208</t>
  </si>
  <si>
    <t>Q15233</t>
  </si>
  <si>
    <t>Q15257</t>
  </si>
  <si>
    <t>Q15262-2</t>
  </si>
  <si>
    <t>Q15276</t>
  </si>
  <si>
    <t>Q15283-2</t>
  </si>
  <si>
    <t>Q15286</t>
  </si>
  <si>
    <t>Q15291</t>
  </si>
  <si>
    <t>Q15291-2</t>
  </si>
  <si>
    <t>Q15293</t>
  </si>
  <si>
    <t>Q15311</t>
  </si>
  <si>
    <t>Q15329-2</t>
  </si>
  <si>
    <t>Q15334</t>
  </si>
  <si>
    <t>Q15345</t>
  </si>
  <si>
    <t>Q15365</t>
  </si>
  <si>
    <t>Q15366</t>
  </si>
  <si>
    <t>Q15366-6</t>
  </si>
  <si>
    <t>Q15370-2</t>
  </si>
  <si>
    <t>Q15382</t>
  </si>
  <si>
    <t>Q15386</t>
  </si>
  <si>
    <t>Q15393</t>
  </si>
  <si>
    <t>Q15398-3</t>
  </si>
  <si>
    <t>Q15404</t>
  </si>
  <si>
    <t>Q15417</t>
  </si>
  <si>
    <t>Q15424</t>
  </si>
  <si>
    <t>Q15427</t>
  </si>
  <si>
    <t>Q15428</t>
  </si>
  <si>
    <t>Q15435</t>
  </si>
  <si>
    <t>Q15437</t>
  </si>
  <si>
    <t>Q15438-2</t>
  </si>
  <si>
    <t>Q15459</t>
  </si>
  <si>
    <t>Q15464</t>
  </si>
  <si>
    <t>Q15477</t>
  </si>
  <si>
    <t>Q15506</t>
  </si>
  <si>
    <t>Q15526-2</t>
  </si>
  <si>
    <t>Q15527</t>
  </si>
  <si>
    <t>Q15542-2</t>
  </si>
  <si>
    <t>Q15545</t>
  </si>
  <si>
    <t>Q15554-3</t>
  </si>
  <si>
    <t>Q15583-4</t>
  </si>
  <si>
    <t>Q15596</t>
  </si>
  <si>
    <t>Q15599</t>
  </si>
  <si>
    <t>Q15628</t>
  </si>
  <si>
    <t>Q15633-2</t>
  </si>
  <si>
    <t>Q15637-5</t>
  </si>
  <si>
    <t>Q15642</t>
  </si>
  <si>
    <t>Q15642-2</t>
  </si>
  <si>
    <t>Q15643</t>
  </si>
  <si>
    <t>Q15645</t>
  </si>
  <si>
    <t>Q15648</t>
  </si>
  <si>
    <t>Q15649</t>
  </si>
  <si>
    <t>Q15650</t>
  </si>
  <si>
    <t>Q15651</t>
  </si>
  <si>
    <t>Q15652</t>
  </si>
  <si>
    <t>Q15654</t>
  </si>
  <si>
    <t>Q15691</t>
  </si>
  <si>
    <t>Q15714</t>
  </si>
  <si>
    <t>Q15717</t>
  </si>
  <si>
    <t>Q15746-4</t>
  </si>
  <si>
    <t>Q15750-2</t>
  </si>
  <si>
    <t>Q15751</t>
  </si>
  <si>
    <t>Q15758-3</t>
  </si>
  <si>
    <t>Q15773</t>
  </si>
  <si>
    <t>Q15785</t>
  </si>
  <si>
    <t>Q15788-2</t>
  </si>
  <si>
    <t>Q15796-2</t>
  </si>
  <si>
    <t>Q15814</t>
  </si>
  <si>
    <t>Q15818</t>
  </si>
  <si>
    <t>Q15819</t>
  </si>
  <si>
    <t>Q15833</t>
  </si>
  <si>
    <t>Q15836</t>
  </si>
  <si>
    <t>Q15853-2</t>
  </si>
  <si>
    <t>Q15906</t>
  </si>
  <si>
    <t>Q15907</t>
  </si>
  <si>
    <t>Q15910</t>
  </si>
  <si>
    <t>Q15942</t>
  </si>
  <si>
    <t>Q16143</t>
  </si>
  <si>
    <t>Q16181</t>
  </si>
  <si>
    <t>Q16186</t>
  </si>
  <si>
    <t>Q16204</t>
  </si>
  <si>
    <t>Q16222-2</t>
  </si>
  <si>
    <t>Q16254</t>
  </si>
  <si>
    <t>Q16270-2</t>
  </si>
  <si>
    <t>Q16401-2</t>
  </si>
  <si>
    <t>Q16512</t>
  </si>
  <si>
    <t>Q16513</t>
  </si>
  <si>
    <t>Q16526</t>
  </si>
  <si>
    <t>Q16527</t>
  </si>
  <si>
    <t>Q16531</t>
  </si>
  <si>
    <t>Q16539</t>
  </si>
  <si>
    <t>Q16543</t>
  </si>
  <si>
    <t>Q16555</t>
  </si>
  <si>
    <t>Q16576</t>
  </si>
  <si>
    <t>Q16587-5</t>
  </si>
  <si>
    <t>Q16623-3</t>
  </si>
  <si>
    <t>Q16625-5</t>
  </si>
  <si>
    <t>Q16626</t>
  </si>
  <si>
    <t>Q16629-3</t>
  </si>
  <si>
    <t>Q16637-3</t>
  </si>
  <si>
    <t>Q16643</t>
  </si>
  <si>
    <t>Q16644</t>
  </si>
  <si>
    <t>Q16656</t>
  </si>
  <si>
    <t>Q16658</t>
  </si>
  <si>
    <t>Q16670</t>
  </si>
  <si>
    <t>Q16719</t>
  </si>
  <si>
    <t>Q16740</t>
  </si>
  <si>
    <t>Q16760-2</t>
  </si>
  <si>
    <t>Q16762</t>
  </si>
  <si>
    <t>Q16763</t>
  </si>
  <si>
    <t>Q16773</t>
  </si>
  <si>
    <t>Q16775</t>
  </si>
  <si>
    <t>Q16778</t>
  </si>
  <si>
    <t>Q16822</t>
  </si>
  <si>
    <t>Q16825</t>
  </si>
  <si>
    <t>Q16831</t>
  </si>
  <si>
    <t>Q16836</t>
  </si>
  <si>
    <t>Q16851</t>
  </si>
  <si>
    <t>Q16854</t>
  </si>
  <si>
    <t>Q16864</t>
  </si>
  <si>
    <t>Q17R31-2</t>
  </si>
  <si>
    <t>Q17RN3</t>
  </si>
  <si>
    <t>Q17RS7</t>
  </si>
  <si>
    <t>Q17RU2</t>
  </si>
  <si>
    <t>Q1MSJ5-1</t>
  </si>
  <si>
    <t>Q24JP5-4</t>
  </si>
  <si>
    <t>Q27J81</t>
  </si>
  <si>
    <t>Q29RF7</t>
  </si>
  <si>
    <t>Q2KHR3</t>
  </si>
  <si>
    <t>Q2KHT3</t>
  </si>
  <si>
    <t>Q2M2I8</t>
  </si>
  <si>
    <t>Q2M2Z5-5</t>
  </si>
  <si>
    <t>Q2M389</t>
  </si>
  <si>
    <t>Q2NKX8</t>
  </si>
  <si>
    <t>Q2NKX9-3</t>
  </si>
  <si>
    <t>Q2NL82</t>
  </si>
  <si>
    <t>Q2TAL8</t>
  </si>
  <si>
    <t>Q2TAM5</t>
  </si>
  <si>
    <t>Q2TAY7</t>
  </si>
  <si>
    <t>Q2TAZ0</t>
  </si>
  <si>
    <t>Q2TB39</t>
  </si>
  <si>
    <t>Q2TBE0</t>
  </si>
  <si>
    <t>Q2VPK5</t>
  </si>
  <si>
    <t>Q32MM7</t>
  </si>
  <si>
    <t>Q32MZ4</t>
  </si>
  <si>
    <t>Q32MZ4-2</t>
  </si>
  <si>
    <t>Q32MZ4-3</t>
  </si>
  <si>
    <t>Q32MZ4-4</t>
  </si>
  <si>
    <t>Q32P28</t>
  </si>
  <si>
    <t>Q32P41</t>
  </si>
  <si>
    <t>Q32P44</t>
  </si>
  <si>
    <t>Q3B726</t>
  </si>
  <si>
    <t>Q3B7T1-5</t>
  </si>
  <si>
    <t>Q3B820</t>
  </si>
  <si>
    <t>Q3KQU3-2</t>
  </si>
  <si>
    <t>Q3KQV9</t>
  </si>
  <si>
    <t>Q3KRA6</t>
  </si>
  <si>
    <t>Q3KRA9</t>
  </si>
  <si>
    <t>Q3L8U1-2</t>
  </si>
  <si>
    <t>Q3LXA3</t>
  </si>
  <si>
    <t>Q3MHD2</t>
  </si>
  <si>
    <t>Q3MII6</t>
  </si>
  <si>
    <t>Q3MIT2</t>
  </si>
  <si>
    <t>Q3SY56</t>
  </si>
  <si>
    <t>Q3T8J9-3</t>
  </si>
  <si>
    <t>Q3V6T2-2</t>
  </si>
  <si>
    <t>Q3V6T2-4</t>
  </si>
  <si>
    <t>Q3V6T2-5</t>
  </si>
  <si>
    <t>Q3YEC7</t>
  </si>
  <si>
    <t>Q3ZCM7</t>
  </si>
  <si>
    <t>Q3ZCV1</t>
  </si>
  <si>
    <t>Q3ZCW2</t>
  </si>
  <si>
    <t>Q460N5-4</t>
  </si>
  <si>
    <t>Q494U1-3</t>
  </si>
  <si>
    <t>Q495W5-2</t>
  </si>
  <si>
    <t>Q499Z4</t>
  </si>
  <si>
    <t>Q49A88-2</t>
  </si>
  <si>
    <t>Q49AR2</t>
  </si>
  <si>
    <t>Q49B96</t>
  </si>
  <si>
    <t>Q49MG5-2</t>
  </si>
  <si>
    <t>Q4G0F5</t>
  </si>
  <si>
    <t>Q4G0J3</t>
  </si>
  <si>
    <t>Q4G0N4</t>
  </si>
  <si>
    <t>Q4G148-2</t>
  </si>
  <si>
    <t>Q4G176</t>
  </si>
  <si>
    <t>Q4J6C6-4</t>
  </si>
  <si>
    <t>Q4KMP7</t>
  </si>
  <si>
    <t>Q4KMQ1</t>
  </si>
  <si>
    <t>Q4KWH8-2</t>
  </si>
  <si>
    <t>Q4LDG9</t>
  </si>
  <si>
    <t>Q4LE39-2</t>
  </si>
  <si>
    <t>Q4V328</t>
  </si>
  <si>
    <t>Q4VC05-2</t>
  </si>
  <si>
    <t>Q4VC44-2</t>
  </si>
  <si>
    <t>Q4VXZ8</t>
  </si>
  <si>
    <t>Q504Q3-2</t>
  </si>
  <si>
    <t>Q504U0</t>
  </si>
  <si>
    <t>Q52LJ0-2</t>
  </si>
  <si>
    <t>Q52LR7</t>
  </si>
  <si>
    <t>Q52LW3</t>
  </si>
  <si>
    <t>Q53EL6-2</t>
  </si>
  <si>
    <t>Q53EZ4</t>
  </si>
  <si>
    <t>Q53F19</t>
  </si>
  <si>
    <t>Q53FA7</t>
  </si>
  <si>
    <t>Q53FT3</t>
  </si>
  <si>
    <t>Q53G59</t>
  </si>
  <si>
    <t>Q53GA4</t>
  </si>
  <si>
    <t>Q53H54</t>
  </si>
  <si>
    <t>Q53H82</t>
  </si>
  <si>
    <t>Q53HC9</t>
  </si>
  <si>
    <t>Q53HV7</t>
  </si>
  <si>
    <t>Q53LP3</t>
  </si>
  <si>
    <t>Q53QV2</t>
  </si>
  <si>
    <t>Q53RE8</t>
  </si>
  <si>
    <t>Q53S33</t>
  </si>
  <si>
    <t>Q53SF7-4</t>
  </si>
  <si>
    <t>Q53T59</t>
  </si>
  <si>
    <t>Q562E7</t>
  </si>
  <si>
    <t>Q562F6-2</t>
  </si>
  <si>
    <t>Q567Q0</t>
  </si>
  <si>
    <t>Q58A45-4</t>
  </si>
  <si>
    <t>Q58FF8</t>
  </si>
  <si>
    <t>Q58FG1</t>
  </si>
  <si>
    <t>Q58WW2</t>
  </si>
  <si>
    <t>Q59GN2</t>
  </si>
  <si>
    <t>Q5BKU9</t>
  </si>
  <si>
    <t>Q5BKX5</t>
  </si>
  <si>
    <t>Q5BKZ1</t>
  </si>
  <si>
    <t>Q5D1E8</t>
  </si>
  <si>
    <t>Q5D862</t>
  </si>
  <si>
    <t>Q5EBL4</t>
  </si>
  <si>
    <t>Q5EBL8</t>
  </si>
  <si>
    <t>Q5F1R6</t>
  </si>
  <si>
    <t>Q5FWF5-2</t>
  </si>
  <si>
    <t>Q5GLZ8-2</t>
  </si>
  <si>
    <t>Q5H937</t>
  </si>
  <si>
    <t>Q5H9A7</t>
  </si>
  <si>
    <t>Q5H9F3-2</t>
  </si>
  <si>
    <t>Q5HY92</t>
  </si>
  <si>
    <t>Q5HYK7-2</t>
  </si>
  <si>
    <t>Q5I0X7</t>
  </si>
  <si>
    <t>Q5I2W7</t>
  </si>
  <si>
    <t>Q5JP53</t>
  </si>
  <si>
    <t>Q5JPF3</t>
  </si>
  <si>
    <t>Q5JPI3-2</t>
  </si>
  <si>
    <t>Q5JR01</t>
  </si>
  <si>
    <t>Q5JR04</t>
  </si>
  <si>
    <t>Q5JR08</t>
  </si>
  <si>
    <t>Q5JRA6-2</t>
  </si>
  <si>
    <t>Q5JRG1</t>
  </si>
  <si>
    <t>Q5JRX3</t>
  </si>
  <si>
    <t>Q5JS37-2</t>
  </si>
  <si>
    <t>Q5JS54</t>
  </si>
  <si>
    <t>Q5JSB6</t>
  </si>
  <si>
    <t>Q5JSH3-2</t>
  </si>
  <si>
    <t>Q5JSZ5</t>
  </si>
  <si>
    <t>Q5JTD0-2</t>
  </si>
  <si>
    <t>Q5JTH9</t>
  </si>
  <si>
    <t>Q5JTJ3-3</t>
  </si>
  <si>
    <t>Q5JTV1</t>
  </si>
  <si>
    <t>Q5JTV8</t>
  </si>
  <si>
    <t>Q5JTW2</t>
  </si>
  <si>
    <t>Q5JTZ9</t>
  </si>
  <si>
    <t>Q5JU85</t>
  </si>
  <si>
    <t>Q5JUE6</t>
  </si>
  <si>
    <t>Q5JUR7</t>
  </si>
  <si>
    <t>Q5JV73</t>
  </si>
  <si>
    <t>Q5JVF3-3</t>
  </si>
  <si>
    <t>Q5JVS0</t>
  </si>
  <si>
    <t>Q5JVZ5</t>
  </si>
  <si>
    <t>Q5JW30</t>
  </si>
  <si>
    <t>Q5JYJ5</t>
  </si>
  <si>
    <t>Q5JZH3</t>
  </si>
  <si>
    <t>Q5K651</t>
  </si>
  <si>
    <t>Q5KSL6</t>
  </si>
  <si>
    <t>Q5M775</t>
  </si>
  <si>
    <t>Q5MIZ7-2</t>
  </si>
  <si>
    <t>Q5MNZ6</t>
  </si>
  <si>
    <t>Q5NDL2</t>
  </si>
  <si>
    <t>Q5QJ74</t>
  </si>
  <si>
    <t>Q5QJE6</t>
  </si>
  <si>
    <t>Q5QNY5</t>
  </si>
  <si>
    <t>Q5QP56</t>
  </si>
  <si>
    <t>Q5QP82</t>
  </si>
  <si>
    <t>Q5QPL9</t>
  </si>
  <si>
    <t>Q5QPM7</t>
  </si>
  <si>
    <t>Q5R372-4</t>
  </si>
  <si>
    <t>Q5RGS4</t>
  </si>
  <si>
    <t>Q5RIB3</t>
  </si>
  <si>
    <t>Q5RKV6</t>
  </si>
  <si>
    <t>Q5SNT6</t>
  </si>
  <si>
    <t>Q5SRE5</t>
  </si>
  <si>
    <t>Q5SRN7</t>
  </si>
  <si>
    <t>Q5SSJ5</t>
  </si>
  <si>
    <t>Q5SVZ6</t>
  </si>
  <si>
    <t>Q5SW79</t>
  </si>
  <si>
    <t>Q5SW79-3</t>
  </si>
  <si>
    <t>Q5SW96</t>
  </si>
  <si>
    <t>Q5SX86</t>
  </si>
  <si>
    <t>Q5SXM8</t>
  </si>
  <si>
    <t>Q5SYE7-2</t>
  </si>
  <si>
    <t>Q5T0N5-3</t>
  </si>
  <si>
    <t>Q5T123</t>
  </si>
  <si>
    <t>Q5T160</t>
  </si>
  <si>
    <t>Q5T171</t>
  </si>
  <si>
    <t>Q5T1C6</t>
  </si>
  <si>
    <t>Q5T1M5</t>
  </si>
  <si>
    <t>Q5T1V6</t>
  </si>
  <si>
    <t>Q5T200</t>
  </si>
  <si>
    <t>Q5T2E6</t>
  </si>
  <si>
    <t>Q5T2R2-3</t>
  </si>
  <si>
    <t>Q5T2W1</t>
  </si>
  <si>
    <t>Q5T321</t>
  </si>
  <si>
    <t>Q5T370</t>
  </si>
  <si>
    <t>Q5T3J3</t>
  </si>
  <si>
    <t>Q5T427</t>
  </si>
  <si>
    <t>Q5T440</t>
  </si>
  <si>
    <t>Q5T447</t>
  </si>
  <si>
    <t>Q5T4S7-3</t>
  </si>
  <si>
    <t>Q5T534</t>
  </si>
  <si>
    <t>Q5T5C0-3</t>
  </si>
  <si>
    <t>Q5T5P2-3</t>
  </si>
  <si>
    <t>Q5T5U3</t>
  </si>
  <si>
    <t>Q5T5X7</t>
  </si>
  <si>
    <t>Q5T5Y3</t>
  </si>
  <si>
    <t>Q5T6F2</t>
  </si>
  <si>
    <t>Q5T6S3-2</t>
  </si>
  <si>
    <t>Q5T6V5</t>
  </si>
  <si>
    <t>Q5T7A2</t>
  </si>
  <si>
    <t>Q5T7V8</t>
  </si>
  <si>
    <t>Q5T7W0</t>
  </si>
  <si>
    <t>Q5T7W0-2</t>
  </si>
  <si>
    <t>Q5T8A7</t>
  </si>
  <si>
    <t>Q5T8D3-2</t>
  </si>
  <si>
    <t>Q5T8P6-2</t>
  </si>
  <si>
    <t>Q5T985</t>
  </si>
  <si>
    <t>Q5T9C2-2</t>
  </si>
  <si>
    <t>Q5TA02</t>
  </si>
  <si>
    <t>Q5TA04</t>
  </si>
  <si>
    <t>Q5TA31</t>
  </si>
  <si>
    <t>Q5TA58</t>
  </si>
  <si>
    <t>Q5TAQ0</t>
  </si>
  <si>
    <t>Q5TAW7</t>
  </si>
  <si>
    <t>Q5TAX3</t>
  </si>
  <si>
    <t>Q5TBB1</t>
  </si>
  <si>
    <t>Q5TBI2</t>
  </si>
  <si>
    <t>Q5TBP9</t>
  </si>
  <si>
    <t>Q5TC12</t>
  </si>
  <si>
    <t>Q5TC82</t>
  </si>
  <si>
    <t>Q5TC84</t>
  </si>
  <si>
    <t>Q5TCQ9-4</t>
  </si>
  <si>
    <t>Q5TCU3</t>
  </si>
  <si>
    <t>Q5TCX8</t>
  </si>
  <si>
    <t>Q5TDH0</t>
  </si>
  <si>
    <t>Q5TEU4</t>
  </si>
  <si>
    <t>Q5TFE4</t>
  </si>
  <si>
    <t>Q5TGY1</t>
  </si>
  <si>
    <t>Q5TH69</t>
  </si>
  <si>
    <t>Q5THK1</t>
  </si>
  <si>
    <t>Q5TKA1</t>
  </si>
  <si>
    <t>Q5TZA2</t>
  </si>
  <si>
    <t>Q5U5Q3</t>
  </si>
  <si>
    <t>Q5U5X0</t>
  </si>
  <si>
    <t>Q5U649</t>
  </si>
  <si>
    <t>Q5UIP0</t>
  </si>
  <si>
    <t>Q5VIR6-4</t>
  </si>
  <si>
    <t>Q5VSL9</t>
  </si>
  <si>
    <t>Q5VSR5</t>
  </si>
  <si>
    <t>Q5VSY0-2</t>
  </si>
  <si>
    <t>Q5VT06</t>
  </si>
  <si>
    <t>Q5VT25-4</t>
  </si>
  <si>
    <t>Q5VT52</t>
  </si>
  <si>
    <t>Q5VT79</t>
  </si>
  <si>
    <t>Q5VTL8</t>
  </si>
  <si>
    <t>Q5VTR2</t>
  </si>
  <si>
    <t>Q5VTU3</t>
  </si>
  <si>
    <t>Q5VTU8</t>
  </si>
  <si>
    <t>Q5VU43-6</t>
  </si>
  <si>
    <t>Q5VU58</t>
  </si>
  <si>
    <t>Q5VUA4</t>
  </si>
  <si>
    <t>Q5VUB5</t>
  </si>
  <si>
    <t>Q5VUE5</t>
  </si>
  <si>
    <t>Q5VV41</t>
  </si>
  <si>
    <t>Q5VV42</t>
  </si>
  <si>
    <t>Q5VV52-2</t>
  </si>
  <si>
    <t>Q5VVC8</t>
  </si>
  <si>
    <t>Q5VVD7</t>
  </si>
  <si>
    <t>Q5VVQ6-2</t>
  </si>
  <si>
    <t>Q5VW32</t>
  </si>
  <si>
    <t>Q5VW36</t>
  </si>
  <si>
    <t>Q5VWC4</t>
  </si>
  <si>
    <t>Q5VWG9</t>
  </si>
  <si>
    <t>Q5VWN6</t>
  </si>
  <si>
    <t>Q5VWQ0</t>
  </si>
  <si>
    <t>Q5VWQ8-2</t>
  </si>
  <si>
    <t>Q5VWZ2</t>
  </si>
  <si>
    <t>Q5VX52</t>
  </si>
  <si>
    <t>Q5VYB9</t>
  </si>
  <si>
    <t>Q5VYK3</t>
  </si>
  <si>
    <t>Q5VYS8-6</t>
  </si>
  <si>
    <t>Q5VYV7</t>
  </si>
  <si>
    <t>Q5VYX0-2</t>
  </si>
  <si>
    <t>Q5VZE5</t>
  </si>
  <si>
    <t>Q5VZK9</t>
  </si>
  <si>
    <t>Q5VZL5-4</t>
  </si>
  <si>
    <t>Q5W015</t>
  </si>
  <si>
    <t>Q5W0B1</t>
  </si>
  <si>
    <t>Q5W0Q7-2</t>
  </si>
  <si>
    <t>Q5W0V3</t>
  </si>
  <si>
    <t>Q5W111-2</t>
  </si>
  <si>
    <t>Q5XPI4</t>
  </si>
  <si>
    <t>Q5XUX1-3</t>
  </si>
  <si>
    <t>Q63HN8</t>
  </si>
  <si>
    <t>Q63HN8-4</t>
  </si>
  <si>
    <t>Q63HQ0-2</t>
  </si>
  <si>
    <t>Q63ZY3-3</t>
  </si>
  <si>
    <t>Q641Q2</t>
  </si>
  <si>
    <t>Q659A1</t>
  </si>
  <si>
    <t>Q66GS9</t>
  </si>
  <si>
    <t>Q66K14-2</t>
  </si>
  <si>
    <t>Q66K64</t>
  </si>
  <si>
    <t>Q66LE6</t>
  </si>
  <si>
    <t>Q66PJ3</t>
  </si>
  <si>
    <t>Q676U5-2</t>
  </si>
  <si>
    <t>Q684P5-3</t>
  </si>
  <si>
    <t>Q68CP9</t>
  </si>
  <si>
    <t>Q68CQ4</t>
  </si>
  <si>
    <t>Q68CZ1-2</t>
  </si>
  <si>
    <t>Q68CZ2</t>
  </si>
  <si>
    <t>Q68CZ6</t>
  </si>
  <si>
    <t>Q68D10-2</t>
  </si>
  <si>
    <t>Q68D20</t>
  </si>
  <si>
    <t>Q68DQ2</t>
  </si>
  <si>
    <t>Q68DW7</t>
  </si>
  <si>
    <t>Q68E01-2</t>
  </si>
  <si>
    <t>Q68EM7-6</t>
  </si>
  <si>
    <t>Q69YH5</t>
  </si>
  <si>
    <t>Q69YN2</t>
  </si>
  <si>
    <t>Q69YN4</t>
  </si>
  <si>
    <t>Q69YQ0-2</t>
  </si>
  <si>
    <t>Q6AI08</t>
  </si>
  <si>
    <t>Q6AI12</t>
  </si>
  <si>
    <t>Q6AWC2-4</t>
  </si>
  <si>
    <t>Q6AZZ1</t>
  </si>
  <si>
    <t>Q6BCY4</t>
  </si>
  <si>
    <t>Q6BDS2</t>
  </si>
  <si>
    <t>Q6DCA0</t>
  </si>
  <si>
    <t>Q6DD87</t>
  </si>
  <si>
    <t>Q6DHV7-3</t>
  </si>
  <si>
    <t>Q6DKJ4</t>
  </si>
  <si>
    <t>Q6DKK2</t>
  </si>
  <si>
    <t>Q6EEV4-2</t>
  </si>
  <si>
    <t>Q6FI81</t>
  </si>
  <si>
    <t>Q6FIF0-2</t>
  </si>
  <si>
    <t>Q6GMV2</t>
  </si>
  <si>
    <t>Q6GMV3</t>
  </si>
  <si>
    <t>Q6GQQ9</t>
  </si>
  <si>
    <t>Q6GYQ0</t>
  </si>
  <si>
    <t>Q6I9Y2</t>
  </si>
  <si>
    <t>Q6IA69</t>
  </si>
  <si>
    <t>Q6IA86-3</t>
  </si>
  <si>
    <t>Q6IBS0</t>
  </si>
  <si>
    <t>Q6IBW4</t>
  </si>
  <si>
    <t>Q6ICG6</t>
  </si>
  <si>
    <t>Q6IE81-2</t>
  </si>
  <si>
    <t>Q6IN84</t>
  </si>
  <si>
    <t>Q6IN85</t>
  </si>
  <si>
    <t>Q6IQ22</t>
  </si>
  <si>
    <t>Q6IQ23-2</t>
  </si>
  <si>
    <t>Q6IQ32</t>
  </si>
  <si>
    <t>Q6IQ49-2</t>
  </si>
  <si>
    <t>Q6IS14</t>
  </si>
  <si>
    <t>Q6JHV3</t>
  </si>
  <si>
    <t>Q6KB66</t>
  </si>
  <si>
    <t>Q6KC79-2</t>
  </si>
  <si>
    <t>Q6L8Q7-2</t>
  </si>
  <si>
    <t>Q6MZP7</t>
  </si>
  <si>
    <t>Q6N043-2</t>
  </si>
  <si>
    <t>Q6N063</t>
  </si>
  <si>
    <t>Q6N069</t>
  </si>
  <si>
    <t>Q6NS38</t>
  </si>
  <si>
    <t>Q6NSJ2</t>
  </si>
  <si>
    <t>Q6NT89</t>
  </si>
  <si>
    <t>Q6NTE8</t>
  </si>
  <si>
    <t>Q6NVU6</t>
  </si>
  <si>
    <t>Q6NVY1</t>
  </si>
  <si>
    <t>Q6NXE6-2</t>
  </si>
  <si>
    <t>Q6NXT1</t>
  </si>
  <si>
    <t>Q6NY19-2</t>
  </si>
  <si>
    <t>Q6NYC1</t>
  </si>
  <si>
    <t>Q6NYC8</t>
  </si>
  <si>
    <t>Q6NZ36-5</t>
  </si>
  <si>
    <t>Q6NZI2</t>
  </si>
  <si>
    <t>Q6NZY4</t>
  </si>
  <si>
    <t>Q6P0N0-2</t>
  </si>
  <si>
    <t>Q6P158</t>
  </si>
  <si>
    <t>Q6P1J9</t>
  </si>
  <si>
    <t>Q6P1K2</t>
  </si>
  <si>
    <t>Q6P1L5</t>
  </si>
  <si>
    <t>Q6P1M3-2</t>
  </si>
  <si>
    <t>Q6P1M9</t>
  </si>
  <si>
    <t>Q6P1N0</t>
  </si>
  <si>
    <t>Q6P1N9</t>
  </si>
  <si>
    <t>Q6P1Q9</t>
  </si>
  <si>
    <t>Q6P1R4</t>
  </si>
  <si>
    <t>Q6P1X5</t>
  </si>
  <si>
    <t>Q6P1X6</t>
  </si>
  <si>
    <t>Q6P2D0-2</t>
  </si>
  <si>
    <t>Q6P2E9</t>
  </si>
  <si>
    <t>Q6P2H3-2</t>
  </si>
  <si>
    <t>Q6P2P2</t>
  </si>
  <si>
    <t>Q6P2Q9</t>
  </si>
  <si>
    <t>Q6P3S6</t>
  </si>
  <si>
    <t>Q6P3W7</t>
  </si>
  <si>
    <t>Q6P3X3</t>
  </si>
  <si>
    <t>Q6P4F2</t>
  </si>
  <si>
    <t>Q6P4G0</t>
  </si>
  <si>
    <t>Q6P4I2</t>
  </si>
  <si>
    <t>Q6P4R8-3</t>
  </si>
  <si>
    <t>Q6P582</t>
  </si>
  <si>
    <t>Q6P587</t>
  </si>
  <si>
    <t>Q6P6B1</t>
  </si>
  <si>
    <t>Q6P6C2</t>
  </si>
  <si>
    <t>Q6P9B6</t>
  </si>
  <si>
    <t>Q6P9B9</t>
  </si>
  <si>
    <t>Q6PCB5</t>
  </si>
  <si>
    <t>Q6PCE3</t>
  </si>
  <si>
    <t>Q6PCT2-2</t>
  </si>
  <si>
    <t>Q6PD62</t>
  </si>
  <si>
    <t>Q6PD74</t>
  </si>
  <si>
    <t>Q6PGN9-2</t>
  </si>
  <si>
    <t>Q6PGP7</t>
  </si>
  <si>
    <t>Q6PH81</t>
  </si>
  <si>
    <t>Q6PHR2-3</t>
  </si>
  <si>
    <t>Q6PI48</t>
  </si>
  <si>
    <t>Q6PID6</t>
  </si>
  <si>
    <t>Q6PII3</t>
  </si>
  <si>
    <t>Q6PIJ6</t>
  </si>
  <si>
    <t>Q6PIR0</t>
  </si>
  <si>
    <t>Q6PIW4-2</t>
  </si>
  <si>
    <t>Q6PJ69</t>
  </si>
  <si>
    <t>Q6PJG2</t>
  </si>
  <si>
    <t>Q6PJG6</t>
  </si>
  <si>
    <t>Q6PJT7-5</t>
  </si>
  <si>
    <t>Q6PK81-2</t>
  </si>
  <si>
    <t>Q6PKG0</t>
  </si>
  <si>
    <t>Q6PL24</t>
  </si>
  <si>
    <t>Q6PUV4</t>
  </si>
  <si>
    <t>Q6Q0C0</t>
  </si>
  <si>
    <t>Q6QNY0</t>
  </si>
  <si>
    <t>Q6R327</t>
  </si>
  <si>
    <t>Q6SJ93</t>
  </si>
  <si>
    <t>Q6SPF0</t>
  </si>
  <si>
    <t>Q6SZW1</t>
  </si>
  <si>
    <t>Q6T4R5-4</t>
  </si>
  <si>
    <t>Q6UB35</t>
  </si>
  <si>
    <t>Q6UB99</t>
  </si>
  <si>
    <t>Q6ULP2-5</t>
  </si>
  <si>
    <t>Q6UN15</t>
  </si>
  <si>
    <t>Q6UUV9-3</t>
  </si>
  <si>
    <t>Q6UW63</t>
  </si>
  <si>
    <t>Q6UWE0</t>
  </si>
  <si>
    <t>Q6UWP2</t>
  </si>
  <si>
    <t>Q6UWP8</t>
  </si>
  <si>
    <t>Q6UWW8-2</t>
  </si>
  <si>
    <t>Q6UX04</t>
  </si>
  <si>
    <t>Q6UXH1-4</t>
  </si>
  <si>
    <t>Q6UXN9</t>
  </si>
  <si>
    <t>Q6UXY1-2</t>
  </si>
  <si>
    <t>Q6UXY8-2</t>
  </si>
  <si>
    <t>Q6V1X1-4</t>
  </si>
  <si>
    <t>Q6VMQ6-2</t>
  </si>
  <si>
    <t>Q6VY07</t>
  </si>
  <si>
    <t>Q6WCQ1-2</t>
  </si>
  <si>
    <t>Q6WKZ4</t>
  </si>
  <si>
    <t>Q6WN34</t>
  </si>
  <si>
    <t>Q6XQN6</t>
  </si>
  <si>
    <t>Q6XUX3-2</t>
  </si>
  <si>
    <t>Q6XZF7</t>
  </si>
  <si>
    <t>Q6Y7W6</t>
  </si>
  <si>
    <t>Q6YHK3</t>
  </si>
  <si>
    <t>Q6YHU6-3</t>
  </si>
  <si>
    <t>Q6YN16</t>
  </si>
  <si>
    <t>Q6YP21-3</t>
  </si>
  <si>
    <t>Q6ZMI0</t>
  </si>
  <si>
    <t>Q6ZN04</t>
  </si>
  <si>
    <t>Q6ZN17-2</t>
  </si>
  <si>
    <t>Q6ZN18-2</t>
  </si>
  <si>
    <t>Q6ZN40</t>
  </si>
  <si>
    <t>Q6ZN54-6</t>
  </si>
  <si>
    <t>Q6ZNA4-2</t>
  </si>
  <si>
    <t>Q6ZNB6-2</t>
  </si>
  <si>
    <t>Q6ZNE5</t>
  </si>
  <si>
    <t>Q6ZNJ1-3</t>
  </si>
  <si>
    <t>Q6ZNW5</t>
  </si>
  <si>
    <t>Q6ZQX7-4</t>
  </si>
  <si>
    <t>Q6ZRS2-3</t>
  </si>
  <si>
    <t>Q6ZS17-2</t>
  </si>
  <si>
    <t>Q6ZS30</t>
  </si>
  <si>
    <t>Q6ZSJ8</t>
  </si>
  <si>
    <t>Q6ZSZ5-2</t>
  </si>
  <si>
    <t>Q6ZT12</t>
  </si>
  <si>
    <t>Q6ZT62</t>
  </si>
  <si>
    <t>Q6ZU65</t>
  </si>
  <si>
    <t>Q6ZUM4-2</t>
  </si>
  <si>
    <t>Q6ZUT6-4</t>
  </si>
  <si>
    <t>Q6ZUT9</t>
  </si>
  <si>
    <t>Q6ZV73</t>
  </si>
  <si>
    <t>Q6ZVF9</t>
  </si>
  <si>
    <t>Q6ZVK8</t>
  </si>
  <si>
    <t>Q6ZVM7</t>
  </si>
  <si>
    <t>Q6ZW49-4</t>
  </si>
  <si>
    <t>Q6ZWJ1</t>
  </si>
  <si>
    <t>Q6ZYL4</t>
  </si>
  <si>
    <t>Q709C8-3</t>
  </si>
  <si>
    <t>Q70CQ2</t>
  </si>
  <si>
    <t>Q70CQ4</t>
  </si>
  <si>
    <t>Q70E73</t>
  </si>
  <si>
    <t>Q70EK8</t>
  </si>
  <si>
    <t>Q70EL1-7</t>
  </si>
  <si>
    <t>Q70IA6</t>
  </si>
  <si>
    <t>Q70J99</t>
  </si>
  <si>
    <t>Q70Z53-2</t>
  </si>
  <si>
    <t>Q712K3</t>
  </si>
  <si>
    <t>Q71RC2-3</t>
  </si>
  <si>
    <t>Q71SY5-5</t>
  </si>
  <si>
    <t>Q71U36-2</t>
  </si>
  <si>
    <t>Q71UI9</t>
  </si>
  <si>
    <t>Q71UM5</t>
  </si>
  <si>
    <t>Q75N03</t>
  </si>
  <si>
    <t>Q765P7</t>
  </si>
  <si>
    <t>Q76FK4-4</t>
  </si>
  <si>
    <t>Q76N32-2</t>
  </si>
  <si>
    <t>Q7KZ85</t>
  </si>
  <si>
    <t>Q7KZ85-2</t>
  </si>
  <si>
    <t>Q7KZF4</t>
  </si>
  <si>
    <t>Q7KZI7-14</t>
  </si>
  <si>
    <t>Q7L014</t>
  </si>
  <si>
    <t>Q7L099-2</t>
  </si>
  <si>
    <t>Q7L0Y3</t>
  </si>
  <si>
    <t>Q7L1Q6</t>
  </si>
  <si>
    <t>Q7L1T6</t>
  </si>
  <si>
    <t>Q7L266</t>
  </si>
  <si>
    <t>Q7L273</t>
  </si>
  <si>
    <t>Q7L2H7</t>
  </si>
  <si>
    <t>Q7L2J0</t>
  </si>
  <si>
    <t>Q7L3S4</t>
  </si>
  <si>
    <t>Q7L4I2</t>
  </si>
  <si>
    <t>Q7L523</t>
  </si>
  <si>
    <t>Q7L576</t>
  </si>
  <si>
    <t>Q7L590-2</t>
  </si>
  <si>
    <t>Q7L592</t>
  </si>
  <si>
    <t>Q7L5D6</t>
  </si>
  <si>
    <t>Q7L5Y1</t>
  </si>
  <si>
    <t>Q7L5Y9</t>
  </si>
  <si>
    <t>Q7L775</t>
  </si>
  <si>
    <t>Q7L7V1</t>
  </si>
  <si>
    <t>Q7L7X3</t>
  </si>
  <si>
    <t>Q7L8J4</t>
  </si>
  <si>
    <t>Q7L8L6</t>
  </si>
  <si>
    <t>Q7L8W6</t>
  </si>
  <si>
    <t>Q7LBC6</t>
  </si>
  <si>
    <t>Q7LBR1</t>
  </si>
  <si>
    <t>Q7LG56</t>
  </si>
  <si>
    <t>Q7RTP6</t>
  </si>
  <si>
    <t>Q7RTV0</t>
  </si>
  <si>
    <t>Q7Z2E3-3</t>
  </si>
  <si>
    <t>Q7Z2K8</t>
  </si>
  <si>
    <t>Q7Z2T5</t>
  </si>
  <si>
    <t>Q7Z2W4</t>
  </si>
  <si>
    <t>Q7Z2Y8</t>
  </si>
  <si>
    <t>Q7Z2Z1-2</t>
  </si>
  <si>
    <t>Q7Z2Z2</t>
  </si>
  <si>
    <t>Q7Z309</t>
  </si>
  <si>
    <t>Q7Z333-3</t>
  </si>
  <si>
    <t>Q7Z350</t>
  </si>
  <si>
    <t>Q7Z392</t>
  </si>
  <si>
    <t>Q7Z3B3</t>
  </si>
  <si>
    <t>Q7Z3C6-2</t>
  </si>
  <si>
    <t>Q7Z3D4</t>
  </si>
  <si>
    <t>Q7Z3E2</t>
  </si>
  <si>
    <t>Q7Z3E5</t>
  </si>
  <si>
    <t>Q7Z3G6</t>
  </si>
  <si>
    <t>Q7Z3J2</t>
  </si>
  <si>
    <t>Q7Z3K6-4</t>
  </si>
  <si>
    <t>Q7Z3T8</t>
  </si>
  <si>
    <t>Q7Z3V4</t>
  </si>
  <si>
    <t>Q7Z406-6</t>
  </si>
  <si>
    <t>Q7Z417</t>
  </si>
  <si>
    <t>Q7Z422-2</t>
  </si>
  <si>
    <t>Q7Z434</t>
  </si>
  <si>
    <t>Q7Z460</t>
  </si>
  <si>
    <t>Q7Z478</t>
  </si>
  <si>
    <t>Q7Z4G1</t>
  </si>
  <si>
    <t>Q7Z4G4-2</t>
  </si>
  <si>
    <t>Q7Z4H3</t>
  </si>
  <si>
    <t>Q7Z4H7</t>
  </si>
  <si>
    <t>Q7Z4H8</t>
  </si>
  <si>
    <t>Q7Z4I7-3</t>
  </si>
  <si>
    <t>Q7Z4Q2</t>
  </si>
  <si>
    <t>Q7Z4S6-5</t>
  </si>
  <si>
    <t>Q7Z4V5</t>
  </si>
  <si>
    <t>Q7Z4W1</t>
  </si>
  <si>
    <t>Q7Z589</t>
  </si>
  <si>
    <t>Q7Z5K2</t>
  </si>
  <si>
    <t>Q7Z5L2-2</t>
  </si>
  <si>
    <t>Q7Z5L9</t>
  </si>
  <si>
    <t>Q7Z5Q1-5</t>
  </si>
  <si>
    <t>Q7Z5R6</t>
  </si>
  <si>
    <t>Q7Z624</t>
  </si>
  <si>
    <t>Q7Z6B0-2</t>
  </si>
  <si>
    <t>Q7Z6B7</t>
  </si>
  <si>
    <t>Q7Z6E9-2</t>
  </si>
  <si>
    <t>Q7Z6I8</t>
  </si>
  <si>
    <t>Q7Z6J0</t>
  </si>
  <si>
    <t>Q7Z6J8</t>
  </si>
  <si>
    <t>Q7Z6J9</t>
  </si>
  <si>
    <t>Q7Z6K3</t>
  </si>
  <si>
    <t>Q7Z6L1</t>
  </si>
  <si>
    <t>Q7Z6M1</t>
  </si>
  <si>
    <t>Q7Z6Z7-2</t>
  </si>
  <si>
    <t>Q7Z7A1-2</t>
  </si>
  <si>
    <t>Q7Z7A3</t>
  </si>
  <si>
    <t>Q7Z7B0</t>
  </si>
  <si>
    <t>Q7Z7C8</t>
  </si>
  <si>
    <t>Q7Z7E8</t>
  </si>
  <si>
    <t>Q7Z7F0</t>
  </si>
  <si>
    <t>Q7Z7G8-2</t>
  </si>
  <si>
    <t>Q7Z7J9</t>
  </si>
  <si>
    <t>Q7Z7K0</t>
  </si>
  <si>
    <t>Q7Z7L1</t>
  </si>
  <si>
    <t>Q7Z7L7</t>
  </si>
  <si>
    <t>Q7Z7L9</t>
  </si>
  <si>
    <t>Q86SJ2</t>
  </si>
  <si>
    <t>Q86SQ0</t>
  </si>
  <si>
    <t>Q86SQ0-2</t>
  </si>
  <si>
    <t>Q86SQ4</t>
  </si>
  <si>
    <t>Q86SQ7</t>
  </si>
  <si>
    <t>Q86SX6</t>
  </si>
  <si>
    <t>Q86SZ2</t>
  </si>
  <si>
    <t>Q86T24</t>
  </si>
  <si>
    <t>Q86TA1</t>
  </si>
  <si>
    <t>Q86TB3</t>
  </si>
  <si>
    <t>Q86TB9-4</t>
  </si>
  <si>
    <t>Q86TG7-2</t>
  </si>
  <si>
    <t>Q86TI0-2</t>
  </si>
  <si>
    <t>Q86TI2-2</t>
  </si>
  <si>
    <t>Q86TN4</t>
  </si>
  <si>
    <t>Q86TP1</t>
  </si>
  <si>
    <t>Q86TU7</t>
  </si>
  <si>
    <t>Q86TV2</t>
  </si>
  <si>
    <t>Q86TX2</t>
  </si>
  <si>
    <t>Q86TZ8</t>
  </si>
  <si>
    <t>Q86U28</t>
  </si>
  <si>
    <t>Q86U44</t>
  </si>
  <si>
    <t>Q86U70-3</t>
  </si>
  <si>
    <t>Q86U90</t>
  </si>
  <si>
    <t>Q86UA1</t>
  </si>
  <si>
    <t>Q86UA6-3</t>
  </si>
  <si>
    <t>Q86UD0</t>
  </si>
  <si>
    <t>Q86UE8-2</t>
  </si>
  <si>
    <t>Q86UK5-2</t>
  </si>
  <si>
    <t>Q86UK7-3</t>
  </si>
  <si>
    <t>Q86UP2</t>
  </si>
  <si>
    <t>Q86US8</t>
  </si>
  <si>
    <t>Q86UU0-4</t>
  </si>
  <si>
    <t>Q86UU1-2</t>
  </si>
  <si>
    <t>Q86UV5</t>
  </si>
  <si>
    <t>Q86UX6</t>
  </si>
  <si>
    <t>Q86UY0</t>
  </si>
  <si>
    <t>Q86UY8-2</t>
  </si>
  <si>
    <t>Q86V21</t>
  </si>
  <si>
    <t>Q86V48</t>
  </si>
  <si>
    <t>Q86V87</t>
  </si>
  <si>
    <t>Q86VG3</t>
  </si>
  <si>
    <t>Q86VK4-3</t>
  </si>
  <si>
    <t>Q86VM9</t>
  </si>
  <si>
    <t>Q86VN1</t>
  </si>
  <si>
    <t>Q86VP1-2</t>
  </si>
  <si>
    <t>Q86VP6</t>
  </si>
  <si>
    <t>Q86VQ1</t>
  </si>
  <si>
    <t>Q86VQ6</t>
  </si>
  <si>
    <t>Q86VR2</t>
  </si>
  <si>
    <t>Q86VS8</t>
  </si>
  <si>
    <t>Q86VV8-3</t>
  </si>
  <si>
    <t>Q86VW0</t>
  </si>
  <si>
    <t>Q86VX2-2</t>
  </si>
  <si>
    <t>Q86VY4</t>
  </si>
  <si>
    <t>Q86W34</t>
  </si>
  <si>
    <t>Q86W42</t>
  </si>
  <si>
    <t>Q86W50</t>
  </si>
  <si>
    <t>Q86W56</t>
  </si>
  <si>
    <t>Q86W92-2</t>
  </si>
  <si>
    <t>Q86W92-4</t>
  </si>
  <si>
    <t>Q86WA6-2</t>
  </si>
  <si>
    <t>Q86WH2</t>
  </si>
  <si>
    <t>Q86WJ1-2</t>
  </si>
  <si>
    <t>Q86WP2</t>
  </si>
  <si>
    <t>Q86WQ0</t>
  </si>
  <si>
    <t>Q86WR0</t>
  </si>
  <si>
    <t>Q86WR7</t>
  </si>
  <si>
    <t>Q86WT1</t>
  </si>
  <si>
    <t>Q86X02</t>
  </si>
  <si>
    <t>Q86X10</t>
  </si>
  <si>
    <t>Q86X27</t>
  </si>
  <si>
    <t>Q86X40-3</t>
  </si>
  <si>
    <t>Q86X53</t>
  </si>
  <si>
    <t>Q86X55-1</t>
  </si>
  <si>
    <t>Q86X76-2</t>
  </si>
  <si>
    <t>Q86X83</t>
  </si>
  <si>
    <t>Q86X95-2</t>
  </si>
  <si>
    <t>Q86XA9</t>
  </si>
  <si>
    <t>Q86XI2</t>
  </si>
  <si>
    <t>Q86XK3-3</t>
  </si>
  <si>
    <t>Q86XN8</t>
  </si>
  <si>
    <t>Q86XP3</t>
  </si>
  <si>
    <t>Q86XZ4</t>
  </si>
  <si>
    <t>Q86Y07-4</t>
  </si>
  <si>
    <t>Q86Y37</t>
  </si>
  <si>
    <t>Q86Y56</t>
  </si>
  <si>
    <t>Q86Y79</t>
  </si>
  <si>
    <t>Q86Y82</t>
  </si>
  <si>
    <t>Q86Y91-2</t>
  </si>
  <si>
    <t>Q86YH6</t>
  </si>
  <si>
    <t>Q86YL5</t>
  </si>
  <si>
    <t>Q86YM7</t>
  </si>
  <si>
    <t>Q86YP4-2</t>
  </si>
  <si>
    <t>Q86YR5-4</t>
  </si>
  <si>
    <t>Q86YS7</t>
  </si>
  <si>
    <t>Q86YV5</t>
  </si>
  <si>
    <t>Q86YV9</t>
  </si>
  <si>
    <t>Q86YZ3</t>
  </si>
  <si>
    <t>Q8IU81</t>
  </si>
  <si>
    <t>Q8IU85-2</t>
  </si>
  <si>
    <t>Q8IUC4</t>
  </si>
  <si>
    <t>Q8IUD2</t>
  </si>
  <si>
    <t>Q8IUD6</t>
  </si>
  <si>
    <t>Q8IUF8-4</t>
  </si>
  <si>
    <t>Q8IUI8</t>
  </si>
  <si>
    <t>Q8IUQ4</t>
  </si>
  <si>
    <t>Q8IUR0</t>
  </si>
  <si>
    <t>Q8IUR7-7</t>
  </si>
  <si>
    <t>Q8IUW1</t>
  </si>
  <si>
    <t>Q8IV08</t>
  </si>
  <si>
    <t>Q8IV20</t>
  </si>
  <si>
    <t>Q8IV36-3</t>
  </si>
  <si>
    <t>Q8IV38</t>
  </si>
  <si>
    <t>Q8IV48</t>
  </si>
  <si>
    <t>Q8IV50</t>
  </si>
  <si>
    <t>Q8IV63-3</t>
  </si>
  <si>
    <t>Q8IVB5</t>
  </si>
  <si>
    <t>Q8IVD9</t>
  </si>
  <si>
    <t>Q8IVF2-3</t>
  </si>
  <si>
    <t>Q8IVF6</t>
  </si>
  <si>
    <t>Q8IVH2-3</t>
  </si>
  <si>
    <t>Q8IVH8-3</t>
  </si>
  <si>
    <t>Q8IVL1-4</t>
  </si>
  <si>
    <t>Q8IVL5</t>
  </si>
  <si>
    <t>Q8IVM0</t>
  </si>
  <si>
    <t>Q8IVS2</t>
  </si>
  <si>
    <t>Q8IVT2</t>
  </si>
  <si>
    <t>Q8IVV2</t>
  </si>
  <si>
    <t>Q8IW19</t>
  </si>
  <si>
    <t>Q8IW41-2</t>
  </si>
  <si>
    <t>Q8IW45</t>
  </si>
  <si>
    <t>Q8IW50-7</t>
  </si>
  <si>
    <t>Q8IWB7</t>
  </si>
  <si>
    <t>Q8IWB9</t>
  </si>
  <si>
    <t>Q8IWC1-2</t>
  </si>
  <si>
    <t>Q8IWD4</t>
  </si>
  <si>
    <t>Q8IWE2</t>
  </si>
  <si>
    <t>Q8IWI9</t>
  </si>
  <si>
    <t>Q8IWJ2</t>
  </si>
  <si>
    <t>Q8IWL3</t>
  </si>
  <si>
    <t>Q8IWP9</t>
  </si>
  <si>
    <t>Q8IWQ3-3</t>
  </si>
  <si>
    <t>Q8IWR0</t>
  </si>
  <si>
    <t>Q8IWT0</t>
  </si>
  <si>
    <t>Q8IWU2</t>
  </si>
  <si>
    <t>Q8IWV7</t>
  </si>
  <si>
    <t>Q8IWV8-4</t>
  </si>
  <si>
    <t>Q8IWW6-2</t>
  </si>
  <si>
    <t>Q8IWX8</t>
  </si>
  <si>
    <t>Q8IWY9-1</t>
  </si>
  <si>
    <t>Q8IWZ3-6</t>
  </si>
  <si>
    <t>Q8IWZ8</t>
  </si>
  <si>
    <t>Q8IX01-4</t>
  </si>
  <si>
    <t>Q8IX03-2</t>
  </si>
  <si>
    <t>Q8IX04-6</t>
  </si>
  <si>
    <t>Q8IX07</t>
  </si>
  <si>
    <t>Q8IX12-2</t>
  </si>
  <si>
    <t>Q8IX18-3</t>
  </si>
  <si>
    <t>Q8IX90</t>
  </si>
  <si>
    <t>Q8IXB1</t>
  </si>
  <si>
    <t>Q8IXH7-4</t>
  </si>
  <si>
    <t>Q8IXJ6-2</t>
  </si>
  <si>
    <t>Q8IXK0-2</t>
  </si>
  <si>
    <t>Q8IXM2-2</t>
  </si>
  <si>
    <t>Q8IXM3</t>
  </si>
  <si>
    <t>Q8IXN7</t>
  </si>
  <si>
    <t>Q8IXQ3</t>
  </si>
  <si>
    <t>Q8IXQ4</t>
  </si>
  <si>
    <t>Q8IXW5-2</t>
  </si>
  <si>
    <t>Q8IXZ2</t>
  </si>
  <si>
    <t>Q8IY18</t>
  </si>
  <si>
    <t>Q8IY22</t>
  </si>
  <si>
    <t>Q8IY31</t>
  </si>
  <si>
    <t>Q8IY33</t>
  </si>
  <si>
    <t>Q8IY37</t>
  </si>
  <si>
    <t>Q8IY47</t>
  </si>
  <si>
    <t>Q8IY81</t>
  </si>
  <si>
    <t>Q8IY85</t>
  </si>
  <si>
    <t>Q8IY92</t>
  </si>
  <si>
    <t>Q8IYA6</t>
  </si>
  <si>
    <t>Q8IYB1</t>
  </si>
  <si>
    <t>Q8IYB5-3</t>
  </si>
  <si>
    <t>Q8IYB7</t>
  </si>
  <si>
    <t>Q8IYB8</t>
  </si>
  <si>
    <t>Q8IYD1</t>
  </si>
  <si>
    <t>Q8IYE0-2</t>
  </si>
  <si>
    <t>Q8IYH5-4</t>
  </si>
  <si>
    <t>Q8IYI6</t>
  </si>
  <si>
    <t>Q8IYL3</t>
  </si>
  <si>
    <t>Q8IYN2</t>
  </si>
  <si>
    <t>Q8IYN9</t>
  </si>
  <si>
    <t>Q8IYQ7</t>
  </si>
  <si>
    <t>Q8IYR2</t>
  </si>
  <si>
    <t>Q8IYS0-2</t>
  </si>
  <si>
    <t>Q8IYS1</t>
  </si>
  <si>
    <t>Q8IYT2</t>
  </si>
  <si>
    <t>Q8IYU8</t>
  </si>
  <si>
    <t>Q8IYW5</t>
  </si>
  <si>
    <t>Q8IZ07</t>
  </si>
  <si>
    <t>Q8IZ21-3</t>
  </si>
  <si>
    <t>Q8IZ69</t>
  </si>
  <si>
    <t>Q8IZ73</t>
  </si>
  <si>
    <t>Q8IZ83</t>
  </si>
  <si>
    <t>Q8IZD2-6</t>
  </si>
  <si>
    <t>Q8IZD4</t>
  </si>
  <si>
    <t>Q8IZE3-2</t>
  </si>
  <si>
    <t>Q8IZH2-2</t>
  </si>
  <si>
    <t>Q8IZL2</t>
  </si>
  <si>
    <t>Q8IZL8</t>
  </si>
  <si>
    <t>Q8IZP0-10</t>
  </si>
  <si>
    <t>Q8IZQ1-2</t>
  </si>
  <si>
    <t>Q8IZW8</t>
  </si>
  <si>
    <t>Q8N0T1</t>
  </si>
  <si>
    <t>Q8N0U4-3</t>
  </si>
  <si>
    <t>Q8N0W3</t>
  </si>
  <si>
    <t>Q8N0X7</t>
  </si>
  <si>
    <t>Q8N0Z3</t>
  </si>
  <si>
    <t>Q8N0Z6</t>
  </si>
  <si>
    <t>Q8N108-17</t>
  </si>
  <si>
    <t>Q8N122</t>
  </si>
  <si>
    <t>Q8N129</t>
  </si>
  <si>
    <t>Q8N142</t>
  </si>
  <si>
    <t>Q8N163</t>
  </si>
  <si>
    <t>Q8N1B4</t>
  </si>
  <si>
    <t>Q8N1F7</t>
  </si>
  <si>
    <t>Q8N1G2</t>
  </si>
  <si>
    <t>Q8N1G4</t>
  </si>
  <si>
    <t>Q8N1N4</t>
  </si>
  <si>
    <t>Q8N1W1-4</t>
  </si>
  <si>
    <t>Q8N201</t>
  </si>
  <si>
    <t>Q8N2F6-4</t>
  </si>
  <si>
    <t>Q8N2W9</t>
  </si>
  <si>
    <t>Q8N2Y8</t>
  </si>
  <si>
    <t>Q8N2Z9</t>
  </si>
  <si>
    <t>Q8N300</t>
  </si>
  <si>
    <t>Q8N302</t>
  </si>
  <si>
    <t>Q8N335</t>
  </si>
  <si>
    <t>Q8N371</t>
  </si>
  <si>
    <t>Q8N392</t>
  </si>
  <si>
    <t>Q8N3C0</t>
  </si>
  <si>
    <t>Q8N3C7</t>
  </si>
  <si>
    <t>Q8N3D4</t>
  </si>
  <si>
    <t>Q8N3F8</t>
  </si>
  <si>
    <t>Q8N3J3-3</t>
  </si>
  <si>
    <t>Q8N3P4-3</t>
  </si>
  <si>
    <t>Q8N3R9</t>
  </si>
  <si>
    <t>Q8N3V7-2</t>
  </si>
  <si>
    <t>Q8N3X1</t>
  </si>
  <si>
    <t>Q8N465</t>
  </si>
  <si>
    <t>Q8N488</t>
  </si>
  <si>
    <t>Q8N4C8</t>
  </si>
  <si>
    <t>Q8N4J0</t>
  </si>
  <si>
    <t>Q8N4N3</t>
  </si>
  <si>
    <t>Q8N4P3</t>
  </si>
  <si>
    <t>Q8N4Q0</t>
  </si>
  <si>
    <t>Q8N4T8</t>
  </si>
  <si>
    <t>Q8N4X5</t>
  </si>
  <si>
    <t>Q8N4X5-2</t>
  </si>
  <si>
    <t>Q8N543</t>
  </si>
  <si>
    <t>Q8N556</t>
  </si>
  <si>
    <t>Q8N567</t>
  </si>
  <si>
    <t>Q8N573-2</t>
  </si>
  <si>
    <t>Q8N584-2</t>
  </si>
  <si>
    <t>Q8N5A5-3</t>
  </si>
  <si>
    <t>Q8N5C7</t>
  </si>
  <si>
    <t>Q8N5C8-2</t>
  </si>
  <si>
    <t>Q8N5F7</t>
  </si>
  <si>
    <t>Q8N5G2</t>
  </si>
  <si>
    <t>Q8N5I9</t>
  </si>
  <si>
    <t>Q8N5L8</t>
  </si>
  <si>
    <t>Q8N5M1</t>
  </si>
  <si>
    <t>Q8N5N7</t>
  </si>
  <si>
    <t>Q8N5P1</t>
  </si>
  <si>
    <t>Q8N5S9</t>
  </si>
  <si>
    <t>Q8N5V2-3</t>
  </si>
  <si>
    <t>Q8N5W9</t>
  </si>
  <si>
    <t>Q8N612</t>
  </si>
  <si>
    <t>Q8N653</t>
  </si>
  <si>
    <t>Q8N655</t>
  </si>
  <si>
    <t>Q8N668</t>
  </si>
  <si>
    <t>Q8N684</t>
  </si>
  <si>
    <t>Q8N6H7</t>
  </si>
  <si>
    <t>Q8N6I1</t>
  </si>
  <si>
    <t>Q8N6M0</t>
  </si>
  <si>
    <t>Q8N6N3-2</t>
  </si>
  <si>
    <t>Q8N6N7</t>
  </si>
  <si>
    <t>Q8N6Q8</t>
  </si>
  <si>
    <t>Q8N749</t>
  </si>
  <si>
    <t>Q8N7C3</t>
  </si>
  <si>
    <t>Q8N806</t>
  </si>
  <si>
    <t>Q8N819-2</t>
  </si>
  <si>
    <t>Q8N883</t>
  </si>
  <si>
    <t>Q8N8A2</t>
  </si>
  <si>
    <t>Q8N8A6</t>
  </si>
  <si>
    <t>Q8N8N7</t>
  </si>
  <si>
    <t>Q8N8R5</t>
  </si>
  <si>
    <t>Q8N8R7</t>
  </si>
  <si>
    <t>Q8N8S7</t>
  </si>
  <si>
    <t>Q8N8S7-2</t>
  </si>
  <si>
    <t>Q8N954</t>
  </si>
  <si>
    <t>Q8N961-2</t>
  </si>
  <si>
    <t>Q8N999</t>
  </si>
  <si>
    <t>Q8N9B5-2</t>
  </si>
  <si>
    <t>Q8N9M1-2</t>
  </si>
  <si>
    <t>Q8N9M5</t>
  </si>
  <si>
    <t>Q8N9N2-2</t>
  </si>
  <si>
    <t>Q8N9N5-7</t>
  </si>
  <si>
    <t>Q8N9N8</t>
  </si>
  <si>
    <t>Q8N9V3</t>
  </si>
  <si>
    <t>Q8NAF0</t>
  </si>
  <si>
    <t>Q8NB15-2</t>
  </si>
  <si>
    <t>Q8NB16</t>
  </si>
  <si>
    <t>Q8NB37</t>
  </si>
  <si>
    <t>Q8NB46</t>
  </si>
  <si>
    <t>Q8NB78</t>
  </si>
  <si>
    <t>Q8NB90</t>
  </si>
  <si>
    <t>Q8NBA8</t>
  </si>
  <si>
    <t>Q8NBF2</t>
  </si>
  <si>
    <t>Q8NBF6</t>
  </si>
  <si>
    <t>Q8NBJ4-2</t>
  </si>
  <si>
    <t>Q8NBJ5</t>
  </si>
  <si>
    <t>Q8NBJ7</t>
  </si>
  <si>
    <t>Q8NBK3-4</t>
  </si>
  <si>
    <t>Q8NBL1</t>
  </si>
  <si>
    <t>Q8NBM4-4</t>
  </si>
  <si>
    <t>Q8NC26-2</t>
  </si>
  <si>
    <t>Q8NC51-2</t>
  </si>
  <si>
    <t>Q8NC56</t>
  </si>
  <si>
    <t>Q8NC60</t>
  </si>
  <si>
    <t>Q8NC96</t>
  </si>
  <si>
    <t>Q8NCA5-2</t>
  </si>
  <si>
    <t>Q8NCC3</t>
  </si>
  <si>
    <t>Q8NCD3-3</t>
  </si>
  <si>
    <t>Q8NCE0-4</t>
  </si>
  <si>
    <t>Q8NCE2-2</t>
  </si>
  <si>
    <t>Q8NCF5</t>
  </si>
  <si>
    <t>Q8NCM8</t>
  </si>
  <si>
    <t>Q8NCN4</t>
  </si>
  <si>
    <t>Q8NCN5</t>
  </si>
  <si>
    <t>Q8NCP5-3</t>
  </si>
  <si>
    <t>Q8NCW5</t>
  </si>
  <si>
    <t>Q8ND04</t>
  </si>
  <si>
    <t>Q8ND24</t>
  </si>
  <si>
    <t>Q8ND30</t>
  </si>
  <si>
    <t>Q8ND56-2</t>
  </si>
  <si>
    <t>Q8ND76-3</t>
  </si>
  <si>
    <t>Q8NDC0</t>
  </si>
  <si>
    <t>Q8NDF8</t>
  </si>
  <si>
    <t>Q8NDH3</t>
  </si>
  <si>
    <t>Q8NDI1-3</t>
  </si>
  <si>
    <t>Q8NDV7-6</t>
  </si>
  <si>
    <t>Q8NDX5-2</t>
  </si>
  <si>
    <t>Q8NE71</t>
  </si>
  <si>
    <t>Q8NEB9</t>
  </si>
  <si>
    <t>Q8NEC7</t>
  </si>
  <si>
    <t>Q8NEF9</t>
  </si>
  <si>
    <t>Q8NEH6</t>
  </si>
  <si>
    <t>Q8NEL9-2</t>
  </si>
  <si>
    <t>Q8NEM0</t>
  </si>
  <si>
    <t>Q8NEM2</t>
  </si>
  <si>
    <t>Q8NEN9</t>
  </si>
  <si>
    <t>Q8NEU8</t>
  </si>
  <si>
    <t>Q8NEY1-2</t>
  </si>
  <si>
    <t>Q8NEZ2</t>
  </si>
  <si>
    <t>Q8NEZ4</t>
  </si>
  <si>
    <t>Q8NEZ5</t>
  </si>
  <si>
    <t>Q8NF64-3</t>
  </si>
  <si>
    <t>Q8NF67</t>
  </si>
  <si>
    <t>Q8NF91</t>
  </si>
  <si>
    <t>Q8NFA0</t>
  </si>
  <si>
    <t>Q8NFC6</t>
  </si>
  <si>
    <t>Q8NFF5-2</t>
  </si>
  <si>
    <t>Q8NFG4</t>
  </si>
  <si>
    <t>Q8NFH3</t>
  </si>
  <si>
    <t>Q8NFH4</t>
  </si>
  <si>
    <t>Q8NFI3</t>
  </si>
  <si>
    <t>Q8NFQ8</t>
  </si>
  <si>
    <t>Q8NFV4</t>
  </si>
  <si>
    <t>Q8NFW8</t>
  </si>
  <si>
    <t>Q8NFZ0</t>
  </si>
  <si>
    <t>Q8NFZ5</t>
  </si>
  <si>
    <t>Q8NFZ8</t>
  </si>
  <si>
    <t>Q8NG08</t>
  </si>
  <si>
    <t>Q8NG27-3</t>
  </si>
  <si>
    <t>Q8NG31-2</t>
  </si>
  <si>
    <t>Q8NG68</t>
  </si>
  <si>
    <t>Q8NHG7</t>
  </si>
  <si>
    <t>Q8NHG8</t>
  </si>
  <si>
    <t>Q8NHM4</t>
  </si>
  <si>
    <t>Q8NHM5-2</t>
  </si>
  <si>
    <t>Q8NHP8</t>
  </si>
  <si>
    <t>Q8NHU6</t>
  </si>
  <si>
    <t>Q8NHV4</t>
  </si>
  <si>
    <t>Q8NHZ8</t>
  </si>
  <si>
    <t>Q8NI08-2</t>
  </si>
  <si>
    <t>Q8NI27</t>
  </si>
  <si>
    <t>Q8NI35</t>
  </si>
  <si>
    <t>Q8NI36</t>
  </si>
  <si>
    <t>Q8TA86</t>
  </si>
  <si>
    <t>Q8TAD8</t>
  </si>
  <si>
    <t>Q8TAE8</t>
  </si>
  <si>
    <t>Q8TAF3</t>
  </si>
  <si>
    <t>Q8TAP6</t>
  </si>
  <si>
    <t>Q8TAP8</t>
  </si>
  <si>
    <t>Q8TAP9</t>
  </si>
  <si>
    <t>Q8TAQ2</t>
  </si>
  <si>
    <t>Q8TAT6</t>
  </si>
  <si>
    <t>Q8TAV0</t>
  </si>
  <si>
    <t>Q8TB03</t>
  </si>
  <si>
    <t>Q8TB22</t>
  </si>
  <si>
    <t>Q8TB24</t>
  </si>
  <si>
    <t>Q8TB37</t>
  </si>
  <si>
    <t>Q8TB40</t>
  </si>
  <si>
    <t>Q8TB52</t>
  </si>
  <si>
    <t>Q8TB72-3</t>
  </si>
  <si>
    <t>Q8TBA6-2</t>
  </si>
  <si>
    <t>Q8TBB5-3</t>
  </si>
  <si>
    <t>Q8TBC4</t>
  </si>
  <si>
    <t>Q8TBE9</t>
  </si>
  <si>
    <t>Q8TBF2-4</t>
  </si>
  <si>
    <t>Q8TBM8</t>
  </si>
  <si>
    <t>Q8TBN0</t>
  </si>
  <si>
    <t>Q8TBX8</t>
  </si>
  <si>
    <t>Q8TBZ6</t>
  </si>
  <si>
    <t>Q8TC07-2</t>
  </si>
  <si>
    <t>Q8TCA0</t>
  </si>
  <si>
    <t>Q8TCD5</t>
  </si>
  <si>
    <t>Q8TCE6-2</t>
  </si>
  <si>
    <t>Q8TCG1</t>
  </si>
  <si>
    <t>Q8TCN5</t>
  </si>
  <si>
    <t>Q8TCS8</t>
  </si>
  <si>
    <t>Q8TCU4-3</t>
  </si>
  <si>
    <t>Q8TCU6</t>
  </si>
  <si>
    <t>Q8TCX1</t>
  </si>
  <si>
    <t>Q8TCY9</t>
  </si>
  <si>
    <t>Q8TD08-2</t>
  </si>
  <si>
    <t>Q8TD16</t>
  </si>
  <si>
    <t>Q8TD19</t>
  </si>
  <si>
    <t>Q8TD30</t>
  </si>
  <si>
    <t>Q8TD55-2</t>
  </si>
  <si>
    <t>Q8TDD1</t>
  </si>
  <si>
    <t>Q8TDD1-2</t>
  </si>
  <si>
    <t>Q8TDH9</t>
  </si>
  <si>
    <t>Q8TDJ6</t>
  </si>
  <si>
    <t>Q8TDM0-3</t>
  </si>
  <si>
    <t>Q8TDM6</t>
  </si>
  <si>
    <t>Q8TDQ7</t>
  </si>
  <si>
    <t>Q8TDR0-2</t>
  </si>
  <si>
    <t>Q8TDX7</t>
  </si>
  <si>
    <t>Q8TDY2-2</t>
  </si>
  <si>
    <t>Q8TDZ2</t>
  </si>
  <si>
    <t>Q8TE04</t>
  </si>
  <si>
    <t>Q8TE76-3</t>
  </si>
  <si>
    <t>Q8TE77</t>
  </si>
  <si>
    <t>Q8TEA1</t>
  </si>
  <si>
    <t>Q8TEA7-3</t>
  </si>
  <si>
    <t>Q8TEA8</t>
  </si>
  <si>
    <t>Q8TEB1-2</t>
  </si>
  <si>
    <t>Q8TEH3</t>
  </si>
  <si>
    <t>Q8TEK3-2</t>
  </si>
  <si>
    <t>Q8TEQ6</t>
  </si>
  <si>
    <t>Q8TER5</t>
  </si>
  <si>
    <t>Q8TES7-5</t>
  </si>
  <si>
    <t>Q8TEV9</t>
  </si>
  <si>
    <t>Q8TEW0-2</t>
  </si>
  <si>
    <t>Q8TEX9</t>
  </si>
  <si>
    <t>Q8TF01</t>
  </si>
  <si>
    <t>Q8TF05-2</t>
  </si>
  <si>
    <t>Q8TF42</t>
  </si>
  <si>
    <t>Q8TF71</t>
  </si>
  <si>
    <t>Q8TF72</t>
  </si>
  <si>
    <t>Q8TF74</t>
  </si>
  <si>
    <t>Q8WTS6</t>
  </si>
  <si>
    <t>Q8WTW3</t>
  </si>
  <si>
    <t>Q8WU20</t>
  </si>
  <si>
    <t>Q8WU58</t>
  </si>
  <si>
    <t>Q8WU79-2</t>
  </si>
  <si>
    <t>Q8WU90</t>
  </si>
  <si>
    <t>Q8WUA2</t>
  </si>
  <si>
    <t>Q8WUA4</t>
  </si>
  <si>
    <t>Q8WUA8</t>
  </si>
  <si>
    <t>Q8WUB8-3</t>
  </si>
  <si>
    <t>Q8WUD1</t>
  </si>
  <si>
    <t>Q8WUD4</t>
  </si>
  <si>
    <t>Q8WUF5</t>
  </si>
  <si>
    <t>Q8WUF8</t>
  </si>
  <si>
    <t>Q8WUH1</t>
  </si>
  <si>
    <t>Q8WUH2</t>
  </si>
  <si>
    <t>Q8WUH6</t>
  </si>
  <si>
    <t>Q8WUI4-3</t>
  </si>
  <si>
    <t>Q8WUJ0</t>
  </si>
  <si>
    <t>Q8WUM0</t>
  </si>
  <si>
    <t>Q8WUM4</t>
  </si>
  <si>
    <t>Q8WUN7</t>
  </si>
  <si>
    <t>Q8WUP2</t>
  </si>
  <si>
    <t>Q8WUR7</t>
  </si>
  <si>
    <t>Q8WUW1</t>
  </si>
  <si>
    <t>Q8WUX2</t>
  </si>
  <si>
    <t>Q8WUX9</t>
  </si>
  <si>
    <t>Q8WUZ0</t>
  </si>
  <si>
    <t>Q8WV22</t>
  </si>
  <si>
    <t>Q8WV41</t>
  </si>
  <si>
    <t>Q8WV74</t>
  </si>
  <si>
    <t>Q8WV92</t>
  </si>
  <si>
    <t>Q8WVB3</t>
  </si>
  <si>
    <t>Q8WVB6</t>
  </si>
  <si>
    <t>Q8WVC0</t>
  </si>
  <si>
    <t>Q8WVC2</t>
  </si>
  <si>
    <t>Q8WVD3</t>
  </si>
  <si>
    <t>Q8WVJ2</t>
  </si>
  <si>
    <t>Q8WVK2</t>
  </si>
  <si>
    <t>Q8WVM0</t>
  </si>
  <si>
    <t>Q8WVM8</t>
  </si>
  <si>
    <t>Q8WVP5</t>
  </si>
  <si>
    <t>Q8WVS4</t>
  </si>
  <si>
    <t>Q8WVT3</t>
  </si>
  <si>
    <t>Q8WVV4</t>
  </si>
  <si>
    <t>Q8WVV9-4</t>
  </si>
  <si>
    <t>Q8WVY7</t>
  </si>
  <si>
    <t>Q8WW01</t>
  </si>
  <si>
    <t>Q8WW12</t>
  </si>
  <si>
    <t>Q8WW35</t>
  </si>
  <si>
    <t>Q8WW59</t>
  </si>
  <si>
    <t>Q8WWH5</t>
  </si>
  <si>
    <t>Q8WWM7</t>
  </si>
  <si>
    <t>Q8WWN8</t>
  </si>
  <si>
    <t>Q8WWV3</t>
  </si>
  <si>
    <t>Q8WWX9</t>
  </si>
  <si>
    <t>Q8WWY3</t>
  </si>
  <si>
    <t>Q8WWZ3-2</t>
  </si>
  <si>
    <t>Q8WX92</t>
  </si>
  <si>
    <t>Q8WX93-3</t>
  </si>
  <si>
    <t>Q8WXA3-2</t>
  </si>
  <si>
    <t>Q8WXA9-2</t>
  </si>
  <si>
    <t>Q8WXB1</t>
  </si>
  <si>
    <t>Q8WXD5</t>
  </si>
  <si>
    <t>Q8WXE0</t>
  </si>
  <si>
    <t>Q8WXE1-2</t>
  </si>
  <si>
    <t>Q8WXF1</t>
  </si>
  <si>
    <t>Q8WXI2-5</t>
  </si>
  <si>
    <t>Q8WXI4-2</t>
  </si>
  <si>
    <t>Q8WXI9</t>
  </si>
  <si>
    <t>Q8WXW3</t>
  </si>
  <si>
    <t>Q8WXX5</t>
  </si>
  <si>
    <t>Q8WYA0</t>
  </si>
  <si>
    <t>Q8WYA6</t>
  </si>
  <si>
    <t>Q8WYL5</t>
  </si>
  <si>
    <t>Q8WYP3</t>
  </si>
  <si>
    <t>Q8WYP5</t>
  </si>
  <si>
    <t>Q8WZ73-3</t>
  </si>
  <si>
    <t>Q8WZ82</t>
  </si>
  <si>
    <t>Q8WZA0</t>
  </si>
  <si>
    <t>Q8WZA9</t>
  </si>
  <si>
    <t>Q92466</t>
  </si>
  <si>
    <t>Q92499</t>
  </si>
  <si>
    <t>Q92503-3</t>
  </si>
  <si>
    <t>Q92506</t>
  </si>
  <si>
    <t>Q92522</t>
  </si>
  <si>
    <t>Q92526</t>
  </si>
  <si>
    <t>Q92538</t>
  </si>
  <si>
    <t>Q92540-2</t>
  </si>
  <si>
    <t>Q92541</t>
  </si>
  <si>
    <t>Q92545</t>
  </si>
  <si>
    <t>Q92547</t>
  </si>
  <si>
    <t>Q92552</t>
  </si>
  <si>
    <t>Q92558</t>
  </si>
  <si>
    <t>Q92567-2</t>
  </si>
  <si>
    <t>Q92572</t>
  </si>
  <si>
    <t>Q92575</t>
  </si>
  <si>
    <t>Q92576-2</t>
  </si>
  <si>
    <t>Q92585</t>
  </si>
  <si>
    <t>Q92597</t>
  </si>
  <si>
    <t>Q92598-2</t>
  </si>
  <si>
    <t>Q92599-2</t>
  </si>
  <si>
    <t>Q92600</t>
  </si>
  <si>
    <t>Q92609</t>
  </si>
  <si>
    <t>Q92610</t>
  </si>
  <si>
    <t>Q92614-3</t>
  </si>
  <si>
    <t>Q92615</t>
  </si>
  <si>
    <t>Q92616</t>
  </si>
  <si>
    <t>Q92620</t>
  </si>
  <si>
    <t>Q92621</t>
  </si>
  <si>
    <t>Q92623</t>
  </si>
  <si>
    <t>Q92624</t>
  </si>
  <si>
    <t>Q92625</t>
  </si>
  <si>
    <t>Q92629-3</t>
  </si>
  <si>
    <t>Q92636</t>
  </si>
  <si>
    <t>Q92664-2</t>
  </si>
  <si>
    <t>Q92665</t>
  </si>
  <si>
    <t>Q92667</t>
  </si>
  <si>
    <t>Q92686</t>
  </si>
  <si>
    <t>Q92688-2</t>
  </si>
  <si>
    <t>Q92692</t>
  </si>
  <si>
    <t>Q92696</t>
  </si>
  <si>
    <t>Q92734-2</t>
  </si>
  <si>
    <t>Q92738</t>
  </si>
  <si>
    <t>Q92747</t>
  </si>
  <si>
    <t>Q92783-2</t>
  </si>
  <si>
    <t>Q92785</t>
  </si>
  <si>
    <t>Q92793</t>
  </si>
  <si>
    <t>Q92797</t>
  </si>
  <si>
    <t>Q92804-2</t>
  </si>
  <si>
    <t>Q92805</t>
  </si>
  <si>
    <t>Q92817</t>
  </si>
  <si>
    <t>Q92820</t>
  </si>
  <si>
    <t>Q92834-4</t>
  </si>
  <si>
    <t>Q92841</t>
  </si>
  <si>
    <t>Q92843-2</t>
  </si>
  <si>
    <t>Q92844</t>
  </si>
  <si>
    <t>Q92845-2</t>
  </si>
  <si>
    <t>Q92851-4</t>
  </si>
  <si>
    <t>Q92859-3</t>
  </si>
  <si>
    <t>Q92871</t>
  </si>
  <si>
    <t>Q92878</t>
  </si>
  <si>
    <t>Q92879-2</t>
  </si>
  <si>
    <t>Q92882</t>
  </si>
  <si>
    <t>Q92889</t>
  </si>
  <si>
    <t>Q92890</t>
  </si>
  <si>
    <t>Q92900</t>
  </si>
  <si>
    <t>Q92902-2</t>
  </si>
  <si>
    <t>Q92905</t>
  </si>
  <si>
    <t>Q92917</t>
  </si>
  <si>
    <t>Q92922</t>
  </si>
  <si>
    <t>Q92930</t>
  </si>
  <si>
    <t>Q92934</t>
  </si>
  <si>
    <t>Q92945</t>
  </si>
  <si>
    <t>Q92947</t>
  </si>
  <si>
    <t>Q92963-2</t>
  </si>
  <si>
    <t>Q92973-2</t>
  </si>
  <si>
    <t>Q92974-3</t>
  </si>
  <si>
    <t>Q92979</t>
  </si>
  <si>
    <t>Q92989-2</t>
  </si>
  <si>
    <t>Q92990</t>
  </si>
  <si>
    <t>Q92994-5</t>
  </si>
  <si>
    <t>Q92995-2</t>
  </si>
  <si>
    <t>Q93008</t>
  </si>
  <si>
    <t>Q93034</t>
  </si>
  <si>
    <t>Q93052</t>
  </si>
  <si>
    <t>Q93062-4</t>
  </si>
  <si>
    <t>Q93073-2</t>
  </si>
  <si>
    <t>Q93074-3</t>
  </si>
  <si>
    <t>Q93077</t>
  </si>
  <si>
    <t>Q93096</t>
  </si>
  <si>
    <t>Q93099</t>
  </si>
  <si>
    <t>Q93100-4</t>
  </si>
  <si>
    <t>Q969E4</t>
  </si>
  <si>
    <t>Q969E8</t>
  </si>
  <si>
    <t>Q969F9</t>
  </si>
  <si>
    <t>Q969G3-2</t>
  </si>
  <si>
    <t>Q969G6</t>
  </si>
  <si>
    <t>Q969H6-2</t>
  </si>
  <si>
    <t>Q969H8</t>
  </si>
  <si>
    <t>Q969K3</t>
  </si>
  <si>
    <t>Q969M3</t>
  </si>
  <si>
    <t>Q969Q0</t>
  </si>
  <si>
    <t>Q969R8</t>
  </si>
  <si>
    <t>Q969S3</t>
  </si>
  <si>
    <t>Q969S9-3</t>
  </si>
  <si>
    <t>Q969T7-2</t>
  </si>
  <si>
    <t>Q969U6</t>
  </si>
  <si>
    <t>Q969U7</t>
  </si>
  <si>
    <t>Q969V5</t>
  </si>
  <si>
    <t>Q969W3-2</t>
  </si>
  <si>
    <t>Q969X6</t>
  </si>
  <si>
    <t>Q969Y2-3</t>
  </si>
  <si>
    <t>Q969Z0</t>
  </si>
  <si>
    <t>Q96A00</t>
  </si>
  <si>
    <t>Q96A19</t>
  </si>
  <si>
    <t>Q96A37-3</t>
  </si>
  <si>
    <t>Q96A46</t>
  </si>
  <si>
    <t>Q96A49</t>
  </si>
  <si>
    <t>Q96A65</t>
  </si>
  <si>
    <t>Q96A72</t>
  </si>
  <si>
    <t>Q96A73</t>
  </si>
  <si>
    <t>Q96AB3</t>
  </si>
  <si>
    <t>Q96AB6</t>
  </si>
  <si>
    <t>Q96AC1</t>
  </si>
  <si>
    <t>Q96AE4</t>
  </si>
  <si>
    <t>Q96AE4-2</t>
  </si>
  <si>
    <t>Q96AG4</t>
  </si>
  <si>
    <t>Q96AJ9-1</t>
  </si>
  <si>
    <t>Q96AP0-2</t>
  </si>
  <si>
    <t>Q96AT1</t>
  </si>
  <si>
    <t>Q96AT9</t>
  </si>
  <si>
    <t>Q96AX1</t>
  </si>
  <si>
    <t>Q96AY2</t>
  </si>
  <si>
    <t>Q96AY3</t>
  </si>
  <si>
    <t>Q96AY4</t>
  </si>
  <si>
    <t>Q96B01-2</t>
  </si>
  <si>
    <t>Q96B02-2</t>
  </si>
  <si>
    <t>Q96B23-2</t>
  </si>
  <si>
    <t>Q96B26</t>
  </si>
  <si>
    <t>Q96B36</t>
  </si>
  <si>
    <t>Q96B45</t>
  </si>
  <si>
    <t>Q96B97</t>
  </si>
  <si>
    <t>Q96BD5-2</t>
  </si>
  <si>
    <t>Q96BF6</t>
  </si>
  <si>
    <t>Q96BH1</t>
  </si>
  <si>
    <t>Q96BJ3</t>
  </si>
  <si>
    <t>Q96BK5</t>
  </si>
  <si>
    <t>Q96BN8</t>
  </si>
  <si>
    <t>Q96BP2</t>
  </si>
  <si>
    <t>Q96BP3</t>
  </si>
  <si>
    <t>Q96BR5</t>
  </si>
  <si>
    <t>Q96BS2</t>
  </si>
  <si>
    <t>Q96BT7</t>
  </si>
  <si>
    <t>Q96BW1</t>
  </si>
  <si>
    <t>Q96BW5-2</t>
  </si>
  <si>
    <t>Q96BX8</t>
  </si>
  <si>
    <t>Q96BY6</t>
  </si>
  <si>
    <t>Q96BY7</t>
  </si>
  <si>
    <t>Q96BZ8</t>
  </si>
  <si>
    <t>Q96C01</t>
  </si>
  <si>
    <t>Q96C19</t>
  </si>
  <si>
    <t>Q96C23</t>
  </si>
  <si>
    <t>Q96C24</t>
  </si>
  <si>
    <t>Q96C34-2</t>
  </si>
  <si>
    <t>Q96C36</t>
  </si>
  <si>
    <t>Q96C57</t>
  </si>
  <si>
    <t>Q96C86</t>
  </si>
  <si>
    <t>Q96C90</t>
  </si>
  <si>
    <t>Q96CB8</t>
  </si>
  <si>
    <t>Q96CD0</t>
  </si>
  <si>
    <t>Q96CD2</t>
  </si>
  <si>
    <t>Q96CF2</t>
  </si>
  <si>
    <t>Q96CG3</t>
  </si>
  <si>
    <t>Q96CN5</t>
  </si>
  <si>
    <t>Q96CN7</t>
  </si>
  <si>
    <t>Q96CN9</t>
  </si>
  <si>
    <t>Q96CP2</t>
  </si>
  <si>
    <t>Q96CP6-2</t>
  </si>
  <si>
    <t>Q96CS2</t>
  </si>
  <si>
    <t>Q96CS3</t>
  </si>
  <si>
    <t>Q96CT7</t>
  </si>
  <si>
    <t>Q96CV9</t>
  </si>
  <si>
    <t>Q96CW1-2</t>
  </si>
  <si>
    <t>Q96CW5-2</t>
  </si>
  <si>
    <t>Q96CW6</t>
  </si>
  <si>
    <t>Q96CX2</t>
  </si>
  <si>
    <t>Q96CX6</t>
  </si>
  <si>
    <t>Q96D09</t>
  </si>
  <si>
    <t>Q96D46</t>
  </si>
  <si>
    <t>Q96D53</t>
  </si>
  <si>
    <t>Q96D71-3</t>
  </si>
  <si>
    <t>Q96DB5</t>
  </si>
  <si>
    <t>Q96DC7</t>
  </si>
  <si>
    <t>Q96DE0</t>
  </si>
  <si>
    <t>Q96DE5</t>
  </si>
  <si>
    <t>Q96DF8</t>
  </si>
  <si>
    <t>Q96DG6</t>
  </si>
  <si>
    <t>Q96DI7</t>
  </si>
  <si>
    <t>Q96DR7</t>
  </si>
  <si>
    <t>Q96DT0-3</t>
  </si>
  <si>
    <t>Q96DT7-2</t>
  </si>
  <si>
    <t>Q96DU7</t>
  </si>
  <si>
    <t>Q96DV4</t>
  </si>
  <si>
    <t>Q96DX4</t>
  </si>
  <si>
    <t>Q96DX5</t>
  </si>
  <si>
    <t>Q96DX5-2</t>
  </si>
  <si>
    <t>Q96DX7</t>
  </si>
  <si>
    <t>Q96DZ1-2</t>
  </si>
  <si>
    <t>Q96E09</t>
  </si>
  <si>
    <t>Q96E11-3</t>
  </si>
  <si>
    <t>Q96E14</t>
  </si>
  <si>
    <t>Q96EA4</t>
  </si>
  <si>
    <t>Q96EB1</t>
  </si>
  <si>
    <t>Q96EB6</t>
  </si>
  <si>
    <t>Q96ED9-2</t>
  </si>
  <si>
    <t>Q96EE3</t>
  </si>
  <si>
    <t>Q96EF6</t>
  </si>
  <si>
    <t>Q96EH3</t>
  </si>
  <si>
    <t>Q96EI5</t>
  </si>
  <si>
    <t>Q96EK4</t>
  </si>
  <si>
    <t>Q96EK5</t>
  </si>
  <si>
    <t>Q96EK6</t>
  </si>
  <si>
    <t>Q96EK7</t>
  </si>
  <si>
    <t>Q96EK9</t>
  </si>
  <si>
    <t>Q96EL3</t>
  </si>
  <si>
    <t>Q96EM0</t>
  </si>
  <si>
    <t>Q96EN8</t>
  </si>
  <si>
    <t>Q96EP0</t>
  </si>
  <si>
    <t>Q96EP1-2</t>
  </si>
  <si>
    <t>Q96EP5</t>
  </si>
  <si>
    <t>Q96EQ0</t>
  </si>
  <si>
    <t>Q96ER3</t>
  </si>
  <si>
    <t>Q96ES7</t>
  </si>
  <si>
    <t>Q96EV2</t>
  </si>
  <si>
    <t>Q96EV8</t>
  </si>
  <si>
    <t>Q96EW2</t>
  </si>
  <si>
    <t>Q96EX3</t>
  </si>
  <si>
    <t>Q96EY1-2</t>
  </si>
  <si>
    <t>Q96EY4</t>
  </si>
  <si>
    <t>Q96EY5-3</t>
  </si>
  <si>
    <t>Q96EY7</t>
  </si>
  <si>
    <t>Q96EY8</t>
  </si>
  <si>
    <t>Q96EY9</t>
  </si>
  <si>
    <t>Q96F24</t>
  </si>
  <si>
    <t>Q96F44-3</t>
  </si>
  <si>
    <t>Q96F46</t>
  </si>
  <si>
    <t>Q96F63</t>
  </si>
  <si>
    <t>Q96F86</t>
  </si>
  <si>
    <t>Q96FF9</t>
  </si>
  <si>
    <t>Q96FH0</t>
  </si>
  <si>
    <t>Q96FJ0</t>
  </si>
  <si>
    <t>Q96FJ2</t>
  </si>
  <si>
    <t>Q96FK6</t>
  </si>
  <si>
    <t>Q96FN9</t>
  </si>
  <si>
    <t>Q96FQ6</t>
  </si>
  <si>
    <t>Q96FS4</t>
  </si>
  <si>
    <t>Q96FT9</t>
  </si>
  <si>
    <t>Q96FV2</t>
  </si>
  <si>
    <t>Q96FV9</t>
  </si>
  <si>
    <t>Q96FW1</t>
  </si>
  <si>
    <t>Q96FX2</t>
  </si>
  <si>
    <t>Q96FX7</t>
  </si>
  <si>
    <t>Q96FZ2</t>
  </si>
  <si>
    <t>Q96G03</t>
  </si>
  <si>
    <t>Q96G04</t>
  </si>
  <si>
    <t>Q96G25</t>
  </si>
  <si>
    <t>Q96G28</t>
  </si>
  <si>
    <t>Q96G46</t>
  </si>
  <si>
    <t>Q96G61</t>
  </si>
  <si>
    <t>Q96G74-3</t>
  </si>
  <si>
    <t>Q96GA3</t>
  </si>
  <si>
    <t>Q96GA7</t>
  </si>
  <si>
    <t>Q96GD0</t>
  </si>
  <si>
    <t>Q96GE4</t>
  </si>
  <si>
    <t>Q96GG9</t>
  </si>
  <si>
    <t>Q96GK7</t>
  </si>
  <si>
    <t>Q96GM5</t>
  </si>
  <si>
    <t>Q96GQ7</t>
  </si>
  <si>
    <t>Q96GS4</t>
  </si>
  <si>
    <t>Q96GW9</t>
  </si>
  <si>
    <t>Q96GX2</t>
  </si>
  <si>
    <t>Q96GX5</t>
  </si>
  <si>
    <t>Q96GX9</t>
  </si>
  <si>
    <t>Q96GY0</t>
  </si>
  <si>
    <t>Q96H20</t>
  </si>
  <si>
    <t>Q96H79</t>
  </si>
  <si>
    <t>Q96HA7-2</t>
  </si>
  <si>
    <t>Q96HC4</t>
  </si>
  <si>
    <t>Q96HD9</t>
  </si>
  <si>
    <t>Q96HE7</t>
  </si>
  <si>
    <t>Q96HJ9</t>
  </si>
  <si>
    <t>Q96HJ9-2</t>
  </si>
  <si>
    <t>Q96HN2-2</t>
  </si>
  <si>
    <t>Q96HP4</t>
  </si>
  <si>
    <t>Q96HQ2</t>
  </si>
  <si>
    <t>Q96HS1-2</t>
  </si>
  <si>
    <t>Q96HW7</t>
  </si>
  <si>
    <t>Q96HY6</t>
  </si>
  <si>
    <t>Q96HY7</t>
  </si>
  <si>
    <t>Q96I15</t>
  </si>
  <si>
    <t>Q96I23</t>
  </si>
  <si>
    <t>Q96I24</t>
  </si>
  <si>
    <t>Q96I25</t>
  </si>
  <si>
    <t>Q96I51</t>
  </si>
  <si>
    <t>Q96I59</t>
  </si>
  <si>
    <t>Q96I99</t>
  </si>
  <si>
    <t>Q96IF1</t>
  </si>
  <si>
    <t>Q96IJ6</t>
  </si>
  <si>
    <t>Q96IK1</t>
  </si>
  <si>
    <t>Q96IQ9-2</t>
  </si>
  <si>
    <t>Q96IR7</t>
  </si>
  <si>
    <t>Q96IU4</t>
  </si>
  <si>
    <t>Q96IV0-2</t>
  </si>
  <si>
    <t>Q96IY1</t>
  </si>
  <si>
    <t>Q96IZ0</t>
  </si>
  <si>
    <t>Q96IZ5-2</t>
  </si>
  <si>
    <t>Q96IZ6</t>
  </si>
  <si>
    <t>Q96IZ7-2</t>
  </si>
  <si>
    <t>Q96J01</t>
  </si>
  <si>
    <t>Q96J02-2</t>
  </si>
  <si>
    <t>Q96J84</t>
  </si>
  <si>
    <t>Q96JB2</t>
  </si>
  <si>
    <t>Q96JB5</t>
  </si>
  <si>
    <t>Q96JC1-2</t>
  </si>
  <si>
    <t>Q96JC9</t>
  </si>
  <si>
    <t>Q96JE9</t>
  </si>
  <si>
    <t>Q96JG6</t>
  </si>
  <si>
    <t>Q96JG9</t>
  </si>
  <si>
    <t>Q96JH7</t>
  </si>
  <si>
    <t>Q96JI7-2</t>
  </si>
  <si>
    <t>Q96JK9</t>
  </si>
  <si>
    <t>Q96JM3</t>
  </si>
  <si>
    <t>Q96JN0-2</t>
  </si>
  <si>
    <t>Q96JP2</t>
  </si>
  <si>
    <t>Q96JP5</t>
  </si>
  <si>
    <t>Q96JQ2</t>
  </si>
  <si>
    <t>Q96JY6</t>
  </si>
  <si>
    <t>Q96KB5</t>
  </si>
  <si>
    <t>Q96KG9-3</t>
  </si>
  <si>
    <t>Q96KP1</t>
  </si>
  <si>
    <t>Q96KP4</t>
  </si>
  <si>
    <t>Q96KQ4</t>
  </si>
  <si>
    <t>Q96KR1</t>
  </si>
  <si>
    <t>Q96L35</t>
  </si>
  <si>
    <t>Q96L73-2</t>
  </si>
  <si>
    <t>Q96L91-5</t>
  </si>
  <si>
    <t>Q96L92</t>
  </si>
  <si>
    <t>Q96L93-6</t>
  </si>
  <si>
    <t>Q96LB3</t>
  </si>
  <si>
    <t>Q96LD4</t>
  </si>
  <si>
    <t>Q96LD8</t>
  </si>
  <si>
    <t>Q96LR5</t>
  </si>
  <si>
    <t>Q96LT7</t>
  </si>
  <si>
    <t>Q96M27</t>
  </si>
  <si>
    <t>Q96ME1-4</t>
  </si>
  <si>
    <t>Q96ME7-3</t>
  </si>
  <si>
    <t>Q96MG7</t>
  </si>
  <si>
    <t>Q96MG8-2</t>
  </si>
  <si>
    <t>Q96MH2</t>
  </si>
  <si>
    <t>Q96MU7-2</t>
  </si>
  <si>
    <t>Q96MW1</t>
  </si>
  <si>
    <t>Q96MX6</t>
  </si>
  <si>
    <t>Q96MY1</t>
  </si>
  <si>
    <t>Q96N06</t>
  </si>
  <si>
    <t>Q96N21-2</t>
  </si>
  <si>
    <t>Q96N67-4</t>
  </si>
  <si>
    <t>Q96NB1</t>
  </si>
  <si>
    <t>Q96NB3</t>
  </si>
  <si>
    <t>Q96NC0</t>
  </si>
  <si>
    <t>Q96NL6</t>
  </si>
  <si>
    <t>Q96NL8</t>
  </si>
  <si>
    <t>Q96NT1</t>
  </si>
  <si>
    <t>Q96NW4</t>
  </si>
  <si>
    <t>Q96P11-2</t>
  </si>
  <si>
    <t>Q96P16</t>
  </si>
  <si>
    <t>Q96P47</t>
  </si>
  <si>
    <t>Q96P48-3</t>
  </si>
  <si>
    <t>Q96P70</t>
  </si>
  <si>
    <t>Q96PD2</t>
  </si>
  <si>
    <t>Q96PE2</t>
  </si>
  <si>
    <t>Q96PE7</t>
  </si>
  <si>
    <t>Q96PK6</t>
  </si>
  <si>
    <t>Q96PM5</t>
  </si>
  <si>
    <t>Q96PN7-4</t>
  </si>
  <si>
    <t>Q96PQ7-5</t>
  </si>
  <si>
    <t>Q96PU4</t>
  </si>
  <si>
    <t>Q96PU5-7</t>
  </si>
  <si>
    <t>Q96PU8-9</t>
  </si>
  <si>
    <t>Q96PY5</t>
  </si>
  <si>
    <t>Q96PZ0</t>
  </si>
  <si>
    <t>Q96Q05-3</t>
  </si>
  <si>
    <t>Q96Q11-2</t>
  </si>
  <si>
    <t>Q96Q15</t>
  </si>
  <si>
    <t>Q96Q42</t>
  </si>
  <si>
    <t>Q96Q45-2</t>
  </si>
  <si>
    <t>Q96Q83</t>
  </si>
  <si>
    <t>Q96Q89-4</t>
  </si>
  <si>
    <t>Q96QB1</t>
  </si>
  <si>
    <t>Q96QC0</t>
  </si>
  <si>
    <t>Q96QE3-2</t>
  </si>
  <si>
    <t>Q96QF0-2</t>
  </si>
  <si>
    <t>Q96QG7</t>
  </si>
  <si>
    <t>Q96QK1</t>
  </si>
  <si>
    <t>Q96QR8</t>
  </si>
  <si>
    <t>Q96QU6</t>
  </si>
  <si>
    <t>Q96QU8</t>
  </si>
  <si>
    <t>Q96QZ7-7</t>
  </si>
  <si>
    <t>Q96R06</t>
  </si>
  <si>
    <t>Q96RE7</t>
  </si>
  <si>
    <t>Q96RF0-3</t>
  </si>
  <si>
    <t>Q96RG2</t>
  </si>
  <si>
    <t>Q96RK0</t>
  </si>
  <si>
    <t>Q96RL1</t>
  </si>
  <si>
    <t>Q96RL7-4</t>
  </si>
  <si>
    <t>Q96RN5-3</t>
  </si>
  <si>
    <t>Q96RP9</t>
  </si>
  <si>
    <t>Q96RR4-2</t>
  </si>
  <si>
    <t>Q96RS0</t>
  </si>
  <si>
    <t>Q96RS6</t>
  </si>
  <si>
    <t>Q96RT1-9</t>
  </si>
  <si>
    <t>Q96RU2-2</t>
  </si>
  <si>
    <t>Q96RU3-2</t>
  </si>
  <si>
    <t>Q96RW7-2</t>
  </si>
  <si>
    <t>Q96RY5</t>
  </si>
  <si>
    <t>Q96RY7</t>
  </si>
  <si>
    <t>Q96S19</t>
  </si>
  <si>
    <t>Q96S38</t>
  </si>
  <si>
    <t>Q96S44</t>
  </si>
  <si>
    <t>Q96S55-2</t>
  </si>
  <si>
    <t>Q96S59</t>
  </si>
  <si>
    <t>Q96S66-4</t>
  </si>
  <si>
    <t>Q96S82</t>
  </si>
  <si>
    <t>Q96S90</t>
  </si>
  <si>
    <t>Q96S99</t>
  </si>
  <si>
    <t>Q96SB3</t>
  </si>
  <si>
    <t>Q96SB4</t>
  </si>
  <si>
    <t>Q96SB8</t>
  </si>
  <si>
    <t>Q96SI1</t>
  </si>
  <si>
    <t>Q96SI9-2</t>
  </si>
  <si>
    <t>Q96SK2-2</t>
  </si>
  <si>
    <t>Q96SL8</t>
  </si>
  <si>
    <t>Q96ST2</t>
  </si>
  <si>
    <t>Q96ST3</t>
  </si>
  <si>
    <t>Q96SU4-7</t>
  </si>
  <si>
    <t>Q96SY0-4</t>
  </si>
  <si>
    <t>Q96SZ5</t>
  </si>
  <si>
    <t>Q96SZ6-2</t>
  </si>
  <si>
    <t>Q96T17</t>
  </si>
  <si>
    <t>Q96T21</t>
  </si>
  <si>
    <t>Q96T37-2</t>
  </si>
  <si>
    <t>Q96T51</t>
  </si>
  <si>
    <t>Q96T58</t>
  </si>
  <si>
    <t>Q96T60</t>
  </si>
  <si>
    <t>Q96T76</t>
  </si>
  <si>
    <t>Q96T88</t>
  </si>
  <si>
    <t>Q96TA1</t>
  </si>
  <si>
    <t>Q99081</t>
  </si>
  <si>
    <t>Q99417</t>
  </si>
  <si>
    <t>Q99418-2</t>
  </si>
  <si>
    <t>Q99426</t>
  </si>
  <si>
    <t>Q99436</t>
  </si>
  <si>
    <t>Q99447</t>
  </si>
  <si>
    <t>Q99459</t>
  </si>
  <si>
    <t>Q99460</t>
  </si>
  <si>
    <t>Q99470</t>
  </si>
  <si>
    <t>Q99471</t>
  </si>
  <si>
    <t>Q99487</t>
  </si>
  <si>
    <t>Q99496</t>
  </si>
  <si>
    <t>Q99497</t>
  </si>
  <si>
    <t>Q99501</t>
  </si>
  <si>
    <t>Q99504-2</t>
  </si>
  <si>
    <t>Q99519</t>
  </si>
  <si>
    <t>Q99536</t>
  </si>
  <si>
    <t>Q99541</t>
  </si>
  <si>
    <t>Q99543</t>
  </si>
  <si>
    <t>Q99543-2</t>
  </si>
  <si>
    <t>Q99549</t>
  </si>
  <si>
    <t>Q99567</t>
  </si>
  <si>
    <t>Q99569-2</t>
  </si>
  <si>
    <t>Q99570</t>
  </si>
  <si>
    <t>Q99575</t>
  </si>
  <si>
    <t>Q99583</t>
  </si>
  <si>
    <t>Q99584</t>
  </si>
  <si>
    <t>Q99598</t>
  </si>
  <si>
    <t>Q99611</t>
  </si>
  <si>
    <t>Q99614</t>
  </si>
  <si>
    <t>Q99615</t>
  </si>
  <si>
    <t>Q99618</t>
  </si>
  <si>
    <t>Q99622</t>
  </si>
  <si>
    <t>Q99627-2</t>
  </si>
  <si>
    <t>Q99633</t>
  </si>
  <si>
    <t>Q99638</t>
  </si>
  <si>
    <t>Q99653</t>
  </si>
  <si>
    <t>Q99661</t>
  </si>
  <si>
    <t>Q99674</t>
  </si>
  <si>
    <t>Q99685</t>
  </si>
  <si>
    <t>Q99700-4</t>
  </si>
  <si>
    <t>Q99707</t>
  </si>
  <si>
    <t>Q99708</t>
  </si>
  <si>
    <t>Q99714</t>
  </si>
  <si>
    <t>Q99729-3</t>
  </si>
  <si>
    <t>Q99733</t>
  </si>
  <si>
    <t>Q99747</t>
  </si>
  <si>
    <t>Q99757</t>
  </si>
  <si>
    <t>Q99766</t>
  </si>
  <si>
    <t>Q99767-2</t>
  </si>
  <si>
    <t>Q99797</t>
  </si>
  <si>
    <t>Q99798</t>
  </si>
  <si>
    <t>Q99816</t>
  </si>
  <si>
    <t>Q99829</t>
  </si>
  <si>
    <t>Q99832</t>
  </si>
  <si>
    <t>Q99871-3</t>
  </si>
  <si>
    <t>Q99878</t>
  </si>
  <si>
    <t>Q99879</t>
  </si>
  <si>
    <t>Q99933-4</t>
  </si>
  <si>
    <t>Q99941-2</t>
  </si>
  <si>
    <t>Q99961</t>
  </si>
  <si>
    <t>Q99986</t>
  </si>
  <si>
    <t>Q99996-5</t>
  </si>
  <si>
    <t>Q9BPU6</t>
  </si>
  <si>
    <t>Q9BPW8</t>
  </si>
  <si>
    <t>Q9BPX3</t>
  </si>
  <si>
    <t>Q9BPX5</t>
  </si>
  <si>
    <t>Q9BPX6-2</t>
  </si>
  <si>
    <t>Q9BPX7</t>
  </si>
  <si>
    <t>Q9BPZ3</t>
  </si>
  <si>
    <t>Q9BQ24</t>
  </si>
  <si>
    <t>Q9BQ39</t>
  </si>
  <si>
    <t>Q9BQ52</t>
  </si>
  <si>
    <t>Q9BQ61</t>
  </si>
  <si>
    <t>Q9BQ67</t>
  </si>
  <si>
    <t>Q9BQ69</t>
  </si>
  <si>
    <t>Q9BQ70</t>
  </si>
  <si>
    <t>Q9BQA1</t>
  </si>
  <si>
    <t>Q9BQC3</t>
  </si>
  <si>
    <t>Q9BQE3</t>
  </si>
  <si>
    <t>Q9BQE5</t>
  </si>
  <si>
    <t>Q9BQE6-2</t>
  </si>
  <si>
    <t>Q9BQE9-4</t>
  </si>
  <si>
    <t>Q9BQG0</t>
  </si>
  <si>
    <t>Q9BQI3-2</t>
  </si>
  <si>
    <t>Q9BQK8-2</t>
  </si>
  <si>
    <t>Q9BQL6</t>
  </si>
  <si>
    <t>Q9BQP7</t>
  </si>
  <si>
    <t>Q9BQS8</t>
  </si>
  <si>
    <t>Q9BR61</t>
  </si>
  <si>
    <t>Q9BR76</t>
  </si>
  <si>
    <t>Q9BRA0-2</t>
  </si>
  <si>
    <t>Q9BRA2</t>
  </si>
  <si>
    <t>Q9BRD0</t>
  </si>
  <si>
    <t>Q9BRF8</t>
  </si>
  <si>
    <t>Q9BRG1</t>
  </si>
  <si>
    <t>Q9BRG2</t>
  </si>
  <si>
    <t>Q9BRK5</t>
  </si>
  <si>
    <t>Q9BRP1</t>
  </si>
  <si>
    <t>Q9BRP4</t>
  </si>
  <si>
    <t>Q9BRP8-2</t>
  </si>
  <si>
    <t>Q9BRQ8</t>
  </si>
  <si>
    <t>Q9BRR6-2</t>
  </si>
  <si>
    <t>Q9BRR8</t>
  </si>
  <si>
    <t>Q9BRS2</t>
  </si>
  <si>
    <t>Q9BRS8</t>
  </si>
  <si>
    <t>Q9BRT3</t>
  </si>
  <si>
    <t>Q9BRT9</t>
  </si>
  <si>
    <t>Q9BRV8</t>
  </si>
  <si>
    <t>Q9BRX2</t>
  </si>
  <si>
    <t>Q9BRX5</t>
  </si>
  <si>
    <t>Q9BRX9</t>
  </si>
  <si>
    <t>Q9BRZ2</t>
  </si>
  <si>
    <t>Q9BS26</t>
  </si>
  <si>
    <t>Q9BS40</t>
  </si>
  <si>
    <t>Q9BSB4</t>
  </si>
  <si>
    <t>Q9BSD7</t>
  </si>
  <si>
    <t>Q9BSE4</t>
  </si>
  <si>
    <t>Q9BSE5</t>
  </si>
  <si>
    <t>Q9BSH4</t>
  </si>
  <si>
    <t>Q9BSH5</t>
  </si>
  <si>
    <t>Q9BSJ2</t>
  </si>
  <si>
    <t>Q9BSJ5-3</t>
  </si>
  <si>
    <t>Q9BSJ6</t>
  </si>
  <si>
    <t>Q9BSJ8</t>
  </si>
  <si>
    <t>Q9BSL1</t>
  </si>
  <si>
    <t>Q9BSQ5</t>
  </si>
  <si>
    <t>Q9BST9-2</t>
  </si>
  <si>
    <t>Q9BSU1</t>
  </si>
  <si>
    <t>Q9BSV6</t>
  </si>
  <si>
    <t>Q9BSY4</t>
  </si>
  <si>
    <t>Q9BT09</t>
  </si>
  <si>
    <t>Q9BT17</t>
  </si>
  <si>
    <t>Q9BT25-3</t>
  </si>
  <si>
    <t>Q9BT30</t>
  </si>
  <si>
    <t>Q9BT73</t>
  </si>
  <si>
    <t>Q9BT78</t>
  </si>
  <si>
    <t>Q9BTA9</t>
  </si>
  <si>
    <t>Q9BTC0</t>
  </si>
  <si>
    <t>Q9BTD8-4</t>
  </si>
  <si>
    <t>Q9BTE1-2</t>
  </si>
  <si>
    <t>Q9BTE3-2</t>
  </si>
  <si>
    <t>Q9BTE6</t>
  </si>
  <si>
    <t>Q9BTE7</t>
  </si>
  <si>
    <t>Q9BTF0</t>
  </si>
  <si>
    <t>Q9BTL3</t>
  </si>
  <si>
    <t>Q9BTM9</t>
  </si>
  <si>
    <t>Q9BTP7</t>
  </si>
  <si>
    <t>Q9BTT0</t>
  </si>
  <si>
    <t>Q9BTT4</t>
  </si>
  <si>
    <t>Q9BTT6</t>
  </si>
  <si>
    <t>Q9BTV5</t>
  </si>
  <si>
    <t>Q9BTV6</t>
  </si>
  <si>
    <t>Q9BTW9</t>
  </si>
  <si>
    <t>Q9BTX7</t>
  </si>
  <si>
    <t>Q9BTY2</t>
  </si>
  <si>
    <t>Q9BTY7</t>
  </si>
  <si>
    <t>Q9BTZ2</t>
  </si>
  <si>
    <t>Q9BU02</t>
  </si>
  <si>
    <t>Q9BU64</t>
  </si>
  <si>
    <t>Q9BU76-4</t>
  </si>
  <si>
    <t>Q9BU89</t>
  </si>
  <si>
    <t>Q9BUA3</t>
  </si>
  <si>
    <t>Q9BUB4</t>
  </si>
  <si>
    <t>Q9BUB5-2</t>
  </si>
  <si>
    <t>Q9BUE0</t>
  </si>
  <si>
    <t>Q9BUF5</t>
  </si>
  <si>
    <t>Q9BUH6</t>
  </si>
  <si>
    <t>Q9BUI4</t>
  </si>
  <si>
    <t>Q9BUJ2-2</t>
  </si>
  <si>
    <t>Q9BUK6-3</t>
  </si>
  <si>
    <t>Q9BUL9</t>
  </si>
  <si>
    <t>Q9BUP3</t>
  </si>
  <si>
    <t>Q9BUQ8</t>
  </si>
  <si>
    <t>Q9BUR4</t>
  </si>
  <si>
    <t>Q9BUT1</t>
  </si>
  <si>
    <t>Q9BUT9</t>
  </si>
  <si>
    <t>Q9BUW7</t>
  </si>
  <si>
    <t>Q9BV19</t>
  </si>
  <si>
    <t>Q9BV20</t>
  </si>
  <si>
    <t>Q9BV36</t>
  </si>
  <si>
    <t>Q9BV36-2</t>
  </si>
  <si>
    <t>Q9BV44</t>
  </si>
  <si>
    <t>Q9BV57</t>
  </si>
  <si>
    <t>Q9BV68-2</t>
  </si>
  <si>
    <t>Q9BV73-2</t>
  </si>
  <si>
    <t>Q9BV79</t>
  </si>
  <si>
    <t>Q9BV86</t>
  </si>
  <si>
    <t>Q9BVA0</t>
  </si>
  <si>
    <t>Q9BVA1</t>
  </si>
  <si>
    <t>Q9BVC3</t>
  </si>
  <si>
    <t>Q9BVC4</t>
  </si>
  <si>
    <t>Q9BVC5</t>
  </si>
  <si>
    <t>Q9BVG4</t>
  </si>
  <si>
    <t>Q9BVG8-2</t>
  </si>
  <si>
    <t>Q9BVI4</t>
  </si>
  <si>
    <t>Q9BVJ6</t>
  </si>
  <si>
    <t>Q9BVJ7</t>
  </si>
  <si>
    <t>Q9BVL4</t>
  </si>
  <si>
    <t>Q9BVM2</t>
  </si>
  <si>
    <t>Q9BVM4</t>
  </si>
  <si>
    <t>Q9BVQ7</t>
  </si>
  <si>
    <t>Q9BVR6</t>
  </si>
  <si>
    <t>Q9BVS4</t>
  </si>
  <si>
    <t>Q9BVS5</t>
  </si>
  <si>
    <t>Q9BVV6-2</t>
  </si>
  <si>
    <t>Q9BVW5</t>
  </si>
  <si>
    <t>Q9BW04</t>
  </si>
  <si>
    <t>Q9BW19</t>
  </si>
  <si>
    <t>Q9BW27</t>
  </si>
  <si>
    <t>Q9BW30</t>
  </si>
  <si>
    <t>Q9BW61</t>
  </si>
  <si>
    <t>Q9BW62</t>
  </si>
  <si>
    <t>Q9BW71</t>
  </si>
  <si>
    <t>Q9BW83</t>
  </si>
  <si>
    <t>Q9BW85</t>
  </si>
  <si>
    <t>Q9BW91-2</t>
  </si>
  <si>
    <t>Q9BW92</t>
  </si>
  <si>
    <t>Q9BWD1</t>
  </si>
  <si>
    <t>Q9BWE0</t>
  </si>
  <si>
    <t>Q9BWF3</t>
  </si>
  <si>
    <t>Q9BWH2</t>
  </si>
  <si>
    <t>Q9BWH6</t>
  </si>
  <si>
    <t>Q9BWJ5</t>
  </si>
  <si>
    <t>Q9BWK5</t>
  </si>
  <si>
    <t>Q9BWS9-3</t>
  </si>
  <si>
    <t>Q9BWT3</t>
  </si>
  <si>
    <t>Q9BWT6</t>
  </si>
  <si>
    <t>Q9BWU0</t>
  </si>
  <si>
    <t>Q9BWW5</t>
  </si>
  <si>
    <t>Q9BX40</t>
  </si>
  <si>
    <t>Q9BX63</t>
  </si>
  <si>
    <t>Q9BX66-4</t>
  </si>
  <si>
    <t>Q9BX68</t>
  </si>
  <si>
    <t>Q9BX95</t>
  </si>
  <si>
    <t>Q9BXB4</t>
  </si>
  <si>
    <t>Q9BXB5-2</t>
  </si>
  <si>
    <t>Q9BXF6</t>
  </si>
  <si>
    <t>Q9BXI6</t>
  </si>
  <si>
    <t>Q9BXJ9</t>
  </si>
  <si>
    <t>Q9BXK1</t>
  </si>
  <si>
    <t>Q9BXL8</t>
  </si>
  <si>
    <t>Q9BXP5-4</t>
  </si>
  <si>
    <t>Q9BXR0</t>
  </si>
  <si>
    <t>Q9BXS5</t>
  </si>
  <si>
    <t>Q9BXS6-2</t>
  </si>
  <si>
    <t>Q9BXV9</t>
  </si>
  <si>
    <t>Q9BXW6</t>
  </si>
  <si>
    <t>Q9BXW7-2</t>
  </si>
  <si>
    <t>Q9BXW9-2</t>
  </si>
  <si>
    <t>Q9BXY0</t>
  </si>
  <si>
    <t>Q9BY32</t>
  </si>
  <si>
    <t>Q9BY42</t>
  </si>
  <si>
    <t>Q9BY43</t>
  </si>
  <si>
    <t>Q9BY67-2</t>
  </si>
  <si>
    <t>Q9BY77</t>
  </si>
  <si>
    <t>Q9BY89</t>
  </si>
  <si>
    <t>Q9BYB4</t>
  </si>
  <si>
    <t>Q9BYC8</t>
  </si>
  <si>
    <t>Q9BYD1</t>
  </si>
  <si>
    <t>Q9BYD6</t>
  </si>
  <si>
    <t>Q9BYG5</t>
  </si>
  <si>
    <t>Q9BYJ9</t>
  </si>
  <si>
    <t>Q9BYM8</t>
  </si>
  <si>
    <t>Q9BYN0</t>
  </si>
  <si>
    <t>Q9BYN8</t>
  </si>
  <si>
    <t>Q9BYT8</t>
  </si>
  <si>
    <t>Q9BYV8</t>
  </si>
  <si>
    <t>Q9BYW2</t>
  </si>
  <si>
    <t>Q9BYX2-4</t>
  </si>
  <si>
    <t>Q9BZ23-3</t>
  </si>
  <si>
    <t>Q9BZ29-3</t>
  </si>
  <si>
    <t>Q9BZ67-2</t>
  </si>
  <si>
    <t>Q9BZ95-4</t>
  </si>
  <si>
    <t>Q9BZA5</t>
  </si>
  <si>
    <t>Q9BZD4</t>
  </si>
  <si>
    <t>Q9BZE4</t>
  </si>
  <si>
    <t>Q9BZE9</t>
  </si>
  <si>
    <t>Q9BZG1</t>
  </si>
  <si>
    <t>Q9BZH6</t>
  </si>
  <si>
    <t>Q9BZI7-2</t>
  </si>
  <si>
    <t>Q9BZJ0-2</t>
  </si>
  <si>
    <t>Q9BZK7</t>
  </si>
  <si>
    <t>Q9BZL1</t>
  </si>
  <si>
    <t>Q9BZL4</t>
  </si>
  <si>
    <t>Q9BZL4-3</t>
  </si>
  <si>
    <t>Q9BZL6</t>
  </si>
  <si>
    <t>Q9BZX2</t>
  </si>
  <si>
    <t>Q9BZZ5-2</t>
  </si>
  <si>
    <t>Q9C005</t>
  </si>
  <si>
    <t>Q9C026-5</t>
  </si>
  <si>
    <t>Q9C029-1</t>
  </si>
  <si>
    <t>Q9C035-2</t>
  </si>
  <si>
    <t>Q9C073</t>
  </si>
  <si>
    <t>Q9C0B0</t>
  </si>
  <si>
    <t>Q9C0B1</t>
  </si>
  <si>
    <t>Q9C0B5-2</t>
  </si>
  <si>
    <t>Q9C0B7</t>
  </si>
  <si>
    <t>Q9C0C2</t>
  </si>
  <si>
    <t>Q9C0C7-4</t>
  </si>
  <si>
    <t>Q9C0C9</t>
  </si>
  <si>
    <t>Q9C0D3</t>
  </si>
  <si>
    <t>Q9C0D5</t>
  </si>
  <si>
    <t>Q9C0F1</t>
  </si>
  <si>
    <t>Q9C0H5</t>
  </si>
  <si>
    <t>Q9C0I1</t>
  </si>
  <si>
    <t>Q9C0J8</t>
  </si>
  <si>
    <t>Q9GZL7</t>
  </si>
  <si>
    <t>Q9GZN8</t>
  </si>
  <si>
    <t>Q9GZP4</t>
  </si>
  <si>
    <t>Q9GZQ3</t>
  </si>
  <si>
    <t>Q9GZR1-2</t>
  </si>
  <si>
    <t>Q9GZS1-2</t>
  </si>
  <si>
    <t>Q9GZS3</t>
  </si>
  <si>
    <t>Q9GZT3-2</t>
  </si>
  <si>
    <t>Q9GZT4</t>
  </si>
  <si>
    <t>Q9GZT8</t>
  </si>
  <si>
    <t>Q9GZT9</t>
  </si>
  <si>
    <t>Q9GZU8</t>
  </si>
  <si>
    <t>Q9GZV1</t>
  </si>
  <si>
    <t>Q9GZV5</t>
  </si>
  <si>
    <t>Q9GZY8-2</t>
  </si>
  <si>
    <t>Q9GZZ9</t>
  </si>
  <si>
    <t>Q9H008</t>
  </si>
  <si>
    <t>Q9H074</t>
  </si>
  <si>
    <t>Q9H078-2</t>
  </si>
  <si>
    <t>Q9H081</t>
  </si>
  <si>
    <t>Q9H098</t>
  </si>
  <si>
    <t>Q9H0A8</t>
  </si>
  <si>
    <t>Q9H0B6</t>
  </si>
  <si>
    <t>Q9H0C8</t>
  </si>
  <si>
    <t>Q9H0D6</t>
  </si>
  <si>
    <t>Q9H0E2</t>
  </si>
  <si>
    <t>Q9H0E3-3</t>
  </si>
  <si>
    <t>Q9H0E9-2</t>
  </si>
  <si>
    <t>Q9H0F6</t>
  </si>
  <si>
    <t>Q9H0F7</t>
  </si>
  <si>
    <t>Q9H0G5</t>
  </si>
  <si>
    <t>Q9H0H3</t>
  </si>
  <si>
    <t>Q9H0H5</t>
  </si>
  <si>
    <t>Q9H0K1</t>
  </si>
  <si>
    <t>Q9H0K6</t>
  </si>
  <si>
    <t>Q9H0L4</t>
  </si>
  <si>
    <t>Q9H0P0-1</t>
  </si>
  <si>
    <t>Q9H0R1</t>
  </si>
  <si>
    <t>Q9H0R4</t>
  </si>
  <si>
    <t>Q9H0S4-2</t>
  </si>
  <si>
    <t>Q9H0U4</t>
  </si>
  <si>
    <t>Q9H0U9</t>
  </si>
  <si>
    <t>Q9H0W8</t>
  </si>
  <si>
    <t>Q9H0W9-2</t>
  </si>
  <si>
    <t>Q9H147</t>
  </si>
  <si>
    <t>Q9H173</t>
  </si>
  <si>
    <t>Q9H1A4</t>
  </si>
  <si>
    <t>Q9H1B7</t>
  </si>
  <si>
    <t>Q9H1D9</t>
  </si>
  <si>
    <t>Q9H1E3</t>
  </si>
  <si>
    <t>Q9H1H9-3</t>
  </si>
  <si>
    <t>Q9H1I8-3</t>
  </si>
  <si>
    <t>Q9H1J1-2</t>
  </si>
  <si>
    <t>Q9H1K0</t>
  </si>
  <si>
    <t>Q9H1K1</t>
  </si>
  <si>
    <t>Q9H1K6</t>
  </si>
  <si>
    <t>Q9H1P3-2</t>
  </si>
  <si>
    <t>Q9H1U4</t>
  </si>
  <si>
    <t>Q9H1Y0</t>
  </si>
  <si>
    <t>Q9H1Z4</t>
  </si>
  <si>
    <t>Q9H204</t>
  </si>
  <si>
    <t>Q9H211</t>
  </si>
  <si>
    <t>Q9H223</t>
  </si>
  <si>
    <t>Q9H267</t>
  </si>
  <si>
    <t>Q9H269</t>
  </si>
  <si>
    <t>Q9H270</t>
  </si>
  <si>
    <t>Q9H2C0</t>
  </si>
  <si>
    <t>Q9H2D6-3</t>
  </si>
  <si>
    <t>Q9H2G2</t>
  </si>
  <si>
    <t>Q9H2H8</t>
  </si>
  <si>
    <t>Q9H2J4</t>
  </si>
  <si>
    <t>Q9H2K8</t>
  </si>
  <si>
    <t>Q9H2M9</t>
  </si>
  <si>
    <t>Q9H2P0</t>
  </si>
  <si>
    <t>Q9H2P9-3</t>
  </si>
  <si>
    <t>Q9H2U1-3</t>
  </si>
  <si>
    <t>Q9H2U2</t>
  </si>
  <si>
    <t>Q9H2W6</t>
  </si>
  <si>
    <t>Q9H2Y7</t>
  </si>
  <si>
    <t>Q9H307</t>
  </si>
  <si>
    <t>Q9H3F6</t>
  </si>
  <si>
    <t>Q9H3H1-4</t>
  </si>
  <si>
    <t>Q9H3H3-2</t>
  </si>
  <si>
    <t>Q9H3K6</t>
  </si>
  <si>
    <t>Q9H3L0</t>
  </si>
  <si>
    <t>Q9H3N1</t>
  </si>
  <si>
    <t>Q9H3P2</t>
  </si>
  <si>
    <t>Q9H3P7</t>
  </si>
  <si>
    <t>Q9H3Q1</t>
  </si>
  <si>
    <t>Q9H3S7</t>
  </si>
  <si>
    <t>Q9H3U1</t>
  </si>
  <si>
    <t>Q9H3Y8</t>
  </si>
  <si>
    <t>Q9H410</t>
  </si>
  <si>
    <t>Q9H425</t>
  </si>
  <si>
    <t>Q9H444</t>
  </si>
  <si>
    <t>Q9H461</t>
  </si>
  <si>
    <t>Q9H467</t>
  </si>
  <si>
    <t>Q9H479</t>
  </si>
  <si>
    <t>Q9H488</t>
  </si>
  <si>
    <t>Q9H492</t>
  </si>
  <si>
    <t>Q9H496</t>
  </si>
  <si>
    <t>Q9H497-2</t>
  </si>
  <si>
    <t>Q9H4A4</t>
  </si>
  <si>
    <t>Q9H4A5</t>
  </si>
  <si>
    <t>Q9H4A6</t>
  </si>
  <si>
    <t>Q9H4B0</t>
  </si>
  <si>
    <t>Q9H4B6</t>
  </si>
  <si>
    <t>Q9H4G0</t>
  </si>
  <si>
    <t>Q9H4G0-2</t>
  </si>
  <si>
    <t>Q9H4G0-4</t>
  </si>
  <si>
    <t>Q9H4H8</t>
  </si>
  <si>
    <t>Q9H4L7</t>
  </si>
  <si>
    <t>Q9H4M9</t>
  </si>
  <si>
    <t>Q9H4P4-2</t>
  </si>
  <si>
    <t>Q9H4Z3</t>
  </si>
  <si>
    <t>Q9H501</t>
  </si>
  <si>
    <t>Q9H582-2</t>
  </si>
  <si>
    <t>Q9H5N1</t>
  </si>
  <si>
    <t>Q9H5Q4</t>
  </si>
  <si>
    <t>Q9H5V9-3</t>
  </si>
  <si>
    <t>Q9H5X1</t>
  </si>
  <si>
    <t>Q9H672</t>
  </si>
  <si>
    <t>Q9H694</t>
  </si>
  <si>
    <t>Q9H6A9</t>
  </si>
  <si>
    <t>Q9H6D7</t>
  </si>
  <si>
    <t>Q9H6E4</t>
  </si>
  <si>
    <t>Q9H6E5</t>
  </si>
  <si>
    <t>Q9H6F5</t>
  </si>
  <si>
    <t>Q9H6K1</t>
  </si>
  <si>
    <t>Q9H6L4</t>
  </si>
  <si>
    <t>Q9H6Q4</t>
  </si>
  <si>
    <t>Q9H6R4-2</t>
  </si>
  <si>
    <t>Q9H6R7-2</t>
  </si>
  <si>
    <t>Q9H6S0</t>
  </si>
  <si>
    <t>Q9H6S1</t>
  </si>
  <si>
    <t>Q9H6S3</t>
  </si>
  <si>
    <t>Q9H6T3-2</t>
  </si>
  <si>
    <t>Q9H6U6-2</t>
  </si>
  <si>
    <t>Q9H6W3</t>
  </si>
  <si>
    <t>Q9H6X2</t>
  </si>
  <si>
    <t>Q9H6Y2</t>
  </si>
  <si>
    <t>Q9H6Z4-2</t>
  </si>
  <si>
    <t>Q9H773</t>
  </si>
  <si>
    <t>Q9H788</t>
  </si>
  <si>
    <t>Q9H792</t>
  </si>
  <si>
    <t>Q9H7B4</t>
  </si>
  <si>
    <t>Q9H7C4-2</t>
  </si>
  <si>
    <t>Q9H7C9</t>
  </si>
  <si>
    <t>Q9H7D0</t>
  </si>
  <si>
    <t>Q9H7D7-2</t>
  </si>
  <si>
    <t>Q9H7E2-3</t>
  </si>
  <si>
    <t>Q9H7E9</t>
  </si>
  <si>
    <t>Q9H7L9</t>
  </si>
  <si>
    <t>Q9H7N4</t>
  </si>
  <si>
    <t>Q9H7P9</t>
  </si>
  <si>
    <t>Q9H7R5-2</t>
  </si>
  <si>
    <t>Q9H7S9</t>
  </si>
  <si>
    <t>Q9H7U1-3</t>
  </si>
  <si>
    <t>Q9H7X3</t>
  </si>
  <si>
    <t>Q9H7X7-2</t>
  </si>
  <si>
    <t>Q9H7Z6</t>
  </si>
  <si>
    <t>Q9H7Z7</t>
  </si>
  <si>
    <t>Q9H814</t>
  </si>
  <si>
    <t>Q9H832</t>
  </si>
  <si>
    <t>Q9H840</t>
  </si>
  <si>
    <t>Q9H845</t>
  </si>
  <si>
    <t>Q9H857-2</t>
  </si>
  <si>
    <t>Q9H869-7</t>
  </si>
  <si>
    <t>Q9H875</t>
  </si>
  <si>
    <t>Q9H8E8</t>
  </si>
  <si>
    <t>Q9H8G2</t>
  </si>
  <si>
    <t>Q9H8H0</t>
  </si>
  <si>
    <t>Q9H8K7</t>
  </si>
  <si>
    <t>Q9H8M2</t>
  </si>
  <si>
    <t>Q9H8M7</t>
  </si>
  <si>
    <t>Q9H8S9</t>
  </si>
  <si>
    <t>Q9H8U3</t>
  </si>
  <si>
    <t>Q9H8V3</t>
  </si>
  <si>
    <t>Q9H8W4</t>
  </si>
  <si>
    <t>Q9H8Y5</t>
  </si>
  <si>
    <t>Q9H8Y8</t>
  </si>
  <si>
    <t>Q9H900</t>
  </si>
  <si>
    <t>Q9H910-2</t>
  </si>
  <si>
    <t>Q9H944</t>
  </si>
  <si>
    <t>Q9H974</t>
  </si>
  <si>
    <t>Q9H977</t>
  </si>
  <si>
    <t>Q9H981</t>
  </si>
  <si>
    <t>Q9H992</t>
  </si>
  <si>
    <t>Q9H993</t>
  </si>
  <si>
    <t>Q9H999</t>
  </si>
  <si>
    <t>Q9H9A5-2</t>
  </si>
  <si>
    <t>Q9H9A6</t>
  </si>
  <si>
    <t>Q9H9A7</t>
  </si>
  <si>
    <t>Q9H9B1</t>
  </si>
  <si>
    <t>Q9H9C1</t>
  </si>
  <si>
    <t>Q9H9D4</t>
  </si>
  <si>
    <t>Q9H9E3</t>
  </si>
  <si>
    <t>Q9H9F9</t>
  </si>
  <si>
    <t>Q9H9H4</t>
  </si>
  <si>
    <t>Q9H9J2</t>
  </si>
  <si>
    <t>Q9H9R9</t>
  </si>
  <si>
    <t>Q9H9T3-2</t>
  </si>
  <si>
    <t>Q9H9V9-2</t>
  </si>
  <si>
    <t>Q9HA47-3</t>
  </si>
  <si>
    <t>Q9HA64</t>
  </si>
  <si>
    <t>Q9HA65</t>
  </si>
  <si>
    <t>Q9HA77</t>
  </si>
  <si>
    <t>Q9HAB8</t>
  </si>
  <si>
    <t>Q9HAD4</t>
  </si>
  <si>
    <t>Q9HAF1-2</t>
  </si>
  <si>
    <t>Q9HAJ7</t>
  </si>
  <si>
    <t>Q9HAP2</t>
  </si>
  <si>
    <t>Q9HAT2-2</t>
  </si>
  <si>
    <t>Q9HAU0</t>
  </si>
  <si>
    <t>Q9HAU5</t>
  </si>
  <si>
    <t>Q9HAV4</t>
  </si>
  <si>
    <t>Q9HAV7</t>
  </si>
  <si>
    <t>Q9HAW4-2</t>
  </si>
  <si>
    <t>Q9HAY6</t>
  </si>
  <si>
    <t>Q9HB07</t>
  </si>
  <si>
    <t>Q9HB09-3</t>
  </si>
  <si>
    <t>Q9HB19</t>
  </si>
  <si>
    <t>Q9HB20</t>
  </si>
  <si>
    <t>Q9HB21</t>
  </si>
  <si>
    <t>Q9HB40</t>
  </si>
  <si>
    <t>Q9HB71</t>
  </si>
  <si>
    <t>Q9HB90</t>
  </si>
  <si>
    <t>Q9HB96</t>
  </si>
  <si>
    <t>Q9HBE1-4</t>
  </si>
  <si>
    <t>Q9HBH0</t>
  </si>
  <si>
    <t>Q9HBH1</t>
  </si>
  <si>
    <t>Q9HBI1</t>
  </si>
  <si>
    <t>Q9HBK9</t>
  </si>
  <si>
    <t>Q9HBL8</t>
  </si>
  <si>
    <t>Q9HBM1</t>
  </si>
  <si>
    <t>Q9HBR0</t>
  </si>
  <si>
    <t>Q9HBU6</t>
  </si>
  <si>
    <t>Q9HBZ2-2</t>
  </si>
  <si>
    <t>Q9HC35</t>
  </si>
  <si>
    <t>Q9HC38-2</t>
  </si>
  <si>
    <t>Q9HC52</t>
  </si>
  <si>
    <t>Q9HCC0</t>
  </si>
  <si>
    <t>Q9HCC9-5</t>
  </si>
  <si>
    <t>Q9HCD5</t>
  </si>
  <si>
    <t>Q9HCD6</t>
  </si>
  <si>
    <t>Q9HCE0-2</t>
  </si>
  <si>
    <t>Q9HCE3</t>
  </si>
  <si>
    <t>Q9HCE5</t>
  </si>
  <si>
    <t>Q9HCE6-3</t>
  </si>
  <si>
    <t>Q9HCE7-2</t>
  </si>
  <si>
    <t>Q9HCH0</t>
  </si>
  <si>
    <t>Q9HCJ0</t>
  </si>
  <si>
    <t>Q9HCJ3-2</t>
  </si>
  <si>
    <t>Q9HCK8</t>
  </si>
  <si>
    <t>Q9HCN4-3</t>
  </si>
  <si>
    <t>Q9HCN8</t>
  </si>
  <si>
    <t>Q9HCR9</t>
  </si>
  <si>
    <t>Q9HCU8</t>
  </si>
  <si>
    <t>Q9HD15</t>
  </si>
  <si>
    <t>Q9HD26-2</t>
  </si>
  <si>
    <t>Q9HD42</t>
  </si>
  <si>
    <t>Q9HD47-2</t>
  </si>
  <si>
    <t>Q9HD67</t>
  </si>
  <si>
    <t>Q9NNW5</t>
  </si>
  <si>
    <t>Q9NNX1-2</t>
  </si>
  <si>
    <t>Q9NP61</t>
  </si>
  <si>
    <t>Q9NP66</t>
  </si>
  <si>
    <t>Q9NP72</t>
  </si>
  <si>
    <t>Q9NP73-2</t>
  </si>
  <si>
    <t>Q9NP74</t>
  </si>
  <si>
    <t>Q9NP77</t>
  </si>
  <si>
    <t>Q9NP79</t>
  </si>
  <si>
    <t>Q9NP97</t>
  </si>
  <si>
    <t>Q9NPA3</t>
  </si>
  <si>
    <t>Q9NPA5-2</t>
  </si>
  <si>
    <t>Q9NPA8-2</t>
  </si>
  <si>
    <t>Q9NPB8</t>
  </si>
  <si>
    <t>Q9NPD3</t>
  </si>
  <si>
    <t>Q9NPD8</t>
  </si>
  <si>
    <t>Q9NPE3</t>
  </si>
  <si>
    <t>Q9NPF0</t>
  </si>
  <si>
    <t>Q9NPF4</t>
  </si>
  <si>
    <t>Q9NPF5</t>
  </si>
  <si>
    <t>Q9NPG3-2</t>
  </si>
  <si>
    <t>Q9NPH0</t>
  </si>
  <si>
    <t>Q9NPI6</t>
  </si>
  <si>
    <t>Q9NPJ3</t>
  </si>
  <si>
    <t>Q9NPJ6</t>
  </si>
  <si>
    <t>Q9NPQ8-4</t>
  </si>
  <si>
    <t>Q9NQ29</t>
  </si>
  <si>
    <t>Q9NQ88</t>
  </si>
  <si>
    <t>Q9NQ89</t>
  </si>
  <si>
    <t>Q9NQ92</t>
  </si>
  <si>
    <t>Q9NQA3</t>
  </si>
  <si>
    <t>Q9NQC3</t>
  </si>
  <si>
    <t>Q9NQE9</t>
  </si>
  <si>
    <t>Q9NQG5</t>
  </si>
  <si>
    <t>Q9NQH7-2</t>
  </si>
  <si>
    <t>Q9NQP4</t>
  </si>
  <si>
    <t>Q9NQR4</t>
  </si>
  <si>
    <t>Q9NQS1</t>
  </si>
  <si>
    <t>Q9NQS3</t>
  </si>
  <si>
    <t>Q9NQS7-2</t>
  </si>
  <si>
    <t>Q9NQT4</t>
  </si>
  <si>
    <t>Q9NQT5</t>
  </si>
  <si>
    <t>Q9NQT8</t>
  </si>
  <si>
    <t>Q9NQW6</t>
  </si>
  <si>
    <t>Q9NQW7-3</t>
  </si>
  <si>
    <t>Q9NQX3</t>
  </si>
  <si>
    <t>Q9NQY0</t>
  </si>
  <si>
    <t>Q9NQZ5</t>
  </si>
  <si>
    <t>Q9NR09</t>
  </si>
  <si>
    <t>Q9NR12</t>
  </si>
  <si>
    <t>Q9NR19</t>
  </si>
  <si>
    <t>Q9NR28-2</t>
  </si>
  <si>
    <t>Q9NR30</t>
  </si>
  <si>
    <t>Q9NR31</t>
  </si>
  <si>
    <t>Q9NR33</t>
  </si>
  <si>
    <t>Q9NR45</t>
  </si>
  <si>
    <t>Q9NR46</t>
  </si>
  <si>
    <t>Q9NR50</t>
  </si>
  <si>
    <t>Q9NRF2-3</t>
  </si>
  <si>
    <t>Q9NRF8</t>
  </si>
  <si>
    <t>Q9NRF9</t>
  </si>
  <si>
    <t>Q9NRG0</t>
  </si>
  <si>
    <t>Q9NRG1</t>
  </si>
  <si>
    <t>Q9NRG4</t>
  </si>
  <si>
    <t>Q9NRH1</t>
  </si>
  <si>
    <t>Q9NRJ4</t>
  </si>
  <si>
    <t>Q9NRL2-2</t>
  </si>
  <si>
    <t>Q9NRL3</t>
  </si>
  <si>
    <t>Q9NRN7</t>
  </si>
  <si>
    <t>Q9NRN9</t>
  </si>
  <si>
    <t>Q9NRR5</t>
  </si>
  <si>
    <t>Q9NRS6</t>
  </si>
  <si>
    <t>Q9NRV9</t>
  </si>
  <si>
    <t>Q9NRW7</t>
  </si>
  <si>
    <t>Q9NRX1</t>
  </si>
  <si>
    <t>Q9NRX4</t>
  </si>
  <si>
    <t>Q9NRY2</t>
  </si>
  <si>
    <t>Q9NRY4</t>
  </si>
  <si>
    <t>Q9NRY5</t>
  </si>
  <si>
    <t>Q9NRZ9-3</t>
  </si>
  <si>
    <t>Q9NS18</t>
  </si>
  <si>
    <t>Q9NS37</t>
  </si>
  <si>
    <t>Q9NS73-3</t>
  </si>
  <si>
    <t>Q9NS86</t>
  </si>
  <si>
    <t>Q9NS87-2</t>
  </si>
  <si>
    <t>Q9NS91</t>
  </si>
  <si>
    <t>Q9NSA3</t>
  </si>
  <si>
    <t>Q9NSB8-2</t>
  </si>
  <si>
    <t>Q9NSC5-5</t>
  </si>
  <si>
    <t>Q9NSD9</t>
  </si>
  <si>
    <t>Q9NSE4</t>
  </si>
  <si>
    <t>Q9NSI2-2</t>
  </si>
  <si>
    <t>Q9NSK0</t>
  </si>
  <si>
    <t>Q9NSY0</t>
  </si>
  <si>
    <t>Q9NSY2</t>
  </si>
  <si>
    <t>Q9NT62</t>
  </si>
  <si>
    <t>Q9NTG7</t>
  </si>
  <si>
    <t>Q9NTI5-2</t>
  </si>
  <si>
    <t>Q9NTJ3</t>
  </si>
  <si>
    <t>Q9NTJ4-3</t>
  </si>
  <si>
    <t>Q9NTK5</t>
  </si>
  <si>
    <t>Q9NTK5-2</t>
  </si>
  <si>
    <t>Q9NTM9</t>
  </si>
  <si>
    <t>Q9NTX5-6</t>
  </si>
  <si>
    <t>Q9NTZ6</t>
  </si>
  <si>
    <t>Q9NU19</t>
  </si>
  <si>
    <t>Q9NU22</t>
  </si>
  <si>
    <t>Q9NU23</t>
  </si>
  <si>
    <t>Q9NUG6</t>
  </si>
  <si>
    <t>Q9NUJ1</t>
  </si>
  <si>
    <t>Q9NUJ3</t>
  </si>
  <si>
    <t>Q9NUL5-2</t>
  </si>
  <si>
    <t>Q9NUM4</t>
  </si>
  <si>
    <t>Q9NUP1</t>
  </si>
  <si>
    <t>Q9NUP7</t>
  </si>
  <si>
    <t>Q9NUP9</t>
  </si>
  <si>
    <t>Q9NUQ3</t>
  </si>
  <si>
    <t>Q9NUQ6-2</t>
  </si>
  <si>
    <t>Q9NUQ8</t>
  </si>
  <si>
    <t>Q9NUQ9</t>
  </si>
  <si>
    <t>Q9NUS5</t>
  </si>
  <si>
    <t>Q9NUU7</t>
  </si>
  <si>
    <t>Q9NUW8</t>
  </si>
  <si>
    <t>Q9NUY8</t>
  </si>
  <si>
    <t>Q9NV06</t>
  </si>
  <si>
    <t>Q9NV31</t>
  </si>
  <si>
    <t>Q9NV35</t>
  </si>
  <si>
    <t>Q9NV56</t>
  </si>
  <si>
    <t>Q9NV70-2</t>
  </si>
  <si>
    <t>Q9NV88-3</t>
  </si>
  <si>
    <t>Q9NVC6</t>
  </si>
  <si>
    <t>Q9NVD7</t>
  </si>
  <si>
    <t>Q9NVE5</t>
  </si>
  <si>
    <t>Q9NVE7</t>
  </si>
  <si>
    <t>Q9NVF7</t>
  </si>
  <si>
    <t>Q9NVG8</t>
  </si>
  <si>
    <t>Q9NVH2-3</t>
  </si>
  <si>
    <t>Q9NVH6-7</t>
  </si>
  <si>
    <t>Q9NVI1</t>
  </si>
  <si>
    <t>Q9NVJ2</t>
  </si>
  <si>
    <t>Q9NVK5</t>
  </si>
  <si>
    <t>Q9NVM4-3</t>
  </si>
  <si>
    <t>Q9NVM6</t>
  </si>
  <si>
    <t>Q9NVM9</t>
  </si>
  <si>
    <t>Q9NVN3</t>
  </si>
  <si>
    <t>Q9NVN8</t>
  </si>
  <si>
    <t>Q9NVP1</t>
  </si>
  <si>
    <t>Q9NVP2</t>
  </si>
  <si>
    <t>Q9NVQ4</t>
  </si>
  <si>
    <t>Q9NVR0</t>
  </si>
  <si>
    <t>Q9NVR2</t>
  </si>
  <si>
    <t>Q9NVR5</t>
  </si>
  <si>
    <t>Q9NVS9</t>
  </si>
  <si>
    <t>Q9NVT9</t>
  </si>
  <si>
    <t>Q9NVU0-5</t>
  </si>
  <si>
    <t>Q9NVU7-2</t>
  </si>
  <si>
    <t>Q9NVW2</t>
  </si>
  <si>
    <t>Q9NVX0-3</t>
  </si>
  <si>
    <t>Q9NVX2</t>
  </si>
  <si>
    <t>Q9NVX7</t>
  </si>
  <si>
    <t>Q9NVZ3</t>
  </si>
  <si>
    <t>Q9NW13</t>
  </si>
  <si>
    <t>Q9NW64</t>
  </si>
  <si>
    <t>Q9NW75</t>
  </si>
  <si>
    <t>Q9NW82</t>
  </si>
  <si>
    <t>Q9NW97</t>
  </si>
  <si>
    <t>Q9NWA0</t>
  </si>
  <si>
    <t>Q9NWB6</t>
  </si>
  <si>
    <t>Q9NWF9</t>
  </si>
  <si>
    <t>Q9NWH9</t>
  </si>
  <si>
    <t>Q9NWK9</t>
  </si>
  <si>
    <t>Q9NWM0-2</t>
  </si>
  <si>
    <t>Q9NWM3</t>
  </si>
  <si>
    <t>Q9NWM8</t>
  </si>
  <si>
    <t>Q9NWQ9</t>
  </si>
  <si>
    <t>Q9NWS0</t>
  </si>
  <si>
    <t>Q9NWS1-5</t>
  </si>
  <si>
    <t>Q9NWS6</t>
  </si>
  <si>
    <t>Q9NWT1</t>
  </si>
  <si>
    <t>Q9NWT6</t>
  </si>
  <si>
    <t>Q9NWU1</t>
  </si>
  <si>
    <t>Q9NWU2</t>
  </si>
  <si>
    <t>Q9NWV4</t>
  </si>
  <si>
    <t>Q9NWX5</t>
  </si>
  <si>
    <t>Q9NWX6</t>
  </si>
  <si>
    <t>Q9NWY4</t>
  </si>
  <si>
    <t>Q9NWZ3</t>
  </si>
  <si>
    <t>Q9NWZ5</t>
  </si>
  <si>
    <t>Q9NWZ8</t>
  </si>
  <si>
    <t>Q9NX01</t>
  </si>
  <si>
    <t>Q9NX02-5</t>
  </si>
  <si>
    <t>Q9NX07</t>
  </si>
  <si>
    <t>Q9NX08</t>
  </si>
  <si>
    <t>Q9NX24</t>
  </si>
  <si>
    <t>Q9NX38</t>
  </si>
  <si>
    <t>Q9NX46</t>
  </si>
  <si>
    <t>Q9NX55</t>
  </si>
  <si>
    <t>Q9NX58</t>
  </si>
  <si>
    <t>Q9NX70</t>
  </si>
  <si>
    <t>Q9NX74</t>
  </si>
  <si>
    <t>Q9NXA8</t>
  </si>
  <si>
    <t>Q9NXC5</t>
  </si>
  <si>
    <t>Q9NXD2</t>
  </si>
  <si>
    <t>Q9NXE8</t>
  </si>
  <si>
    <t>Q9NXG2</t>
  </si>
  <si>
    <t>Q9NXG6</t>
  </si>
  <si>
    <t>Q9NXH9-2</t>
  </si>
  <si>
    <t>Q9NXR1-2</t>
  </si>
  <si>
    <t>Q9NXR7</t>
  </si>
  <si>
    <t>Q9NXV2</t>
  </si>
  <si>
    <t>Q9NXV6</t>
  </si>
  <si>
    <t>Q9NXW2</t>
  </si>
  <si>
    <t>Q9NXW9</t>
  </si>
  <si>
    <t>Q9NXX6</t>
  </si>
  <si>
    <t>Q9NY12-2</t>
  </si>
  <si>
    <t>Q9NY27</t>
  </si>
  <si>
    <t>Q9NY33</t>
  </si>
  <si>
    <t>Q9NY61</t>
  </si>
  <si>
    <t>Q9NY93</t>
  </si>
  <si>
    <t>Q9NYB0</t>
  </si>
  <si>
    <t>Q9NYB9-2</t>
  </si>
  <si>
    <t>Q9NYF8-2</t>
  </si>
  <si>
    <t>Q9NYF8-3</t>
  </si>
  <si>
    <t>Q9NYG5</t>
  </si>
  <si>
    <t>Q9NYJ1</t>
  </si>
  <si>
    <t>Q9NYJ8</t>
  </si>
  <si>
    <t>Q9NYL2</t>
  </si>
  <si>
    <t>Q9NYL2-2</t>
  </si>
  <si>
    <t>Q9NYL9</t>
  </si>
  <si>
    <t>Q9NYP9</t>
  </si>
  <si>
    <t>Q9NYQ6</t>
  </si>
  <si>
    <t>Q9NYS0</t>
  </si>
  <si>
    <t>Q9NYT0</t>
  </si>
  <si>
    <t>Q9NYU2-2</t>
  </si>
  <si>
    <t>Q9NYV4-2</t>
  </si>
  <si>
    <t>Q9NYY8</t>
  </si>
  <si>
    <t>Q9NYZ3</t>
  </si>
  <si>
    <t>Q9NZ08</t>
  </si>
  <si>
    <t>Q9NZ09</t>
  </si>
  <si>
    <t>Q9NZ32</t>
  </si>
  <si>
    <t>Q9NZ45</t>
  </si>
  <si>
    <t>Q9NZ52</t>
  </si>
  <si>
    <t>Q9NZ63</t>
  </si>
  <si>
    <t>Q9NZB2</t>
  </si>
  <si>
    <t>Q9NZC9</t>
  </si>
  <si>
    <t>Q9NZD2</t>
  </si>
  <si>
    <t>Q9NZD8-2</t>
  </si>
  <si>
    <t>Q9NZI7-4</t>
  </si>
  <si>
    <t>Q9NZI8</t>
  </si>
  <si>
    <t>Q9NZJ4</t>
  </si>
  <si>
    <t>Q9NZJ6</t>
  </si>
  <si>
    <t>Q9NZJ7-2</t>
  </si>
  <si>
    <t>Q9NZJ9</t>
  </si>
  <si>
    <t>Q9NZJ9-2</t>
  </si>
  <si>
    <t>Q9NZL4</t>
  </si>
  <si>
    <t>Q9NZL9</t>
  </si>
  <si>
    <t>Q9NZM1-6</t>
  </si>
  <si>
    <t>Q9NZM3-2</t>
  </si>
  <si>
    <t>Q9NZM4-2</t>
  </si>
  <si>
    <t>Q9NZN3</t>
  </si>
  <si>
    <t>Q9NZN4</t>
  </si>
  <si>
    <t>Q9NZN5</t>
  </si>
  <si>
    <t>Q9NZN8</t>
  </si>
  <si>
    <t>Q9NZQ3-3</t>
  </si>
  <si>
    <t>Q9NZT2-2</t>
  </si>
  <si>
    <t>Q9NZU0</t>
  </si>
  <si>
    <t>Q9NZU5</t>
  </si>
  <si>
    <t>Q9NZV1</t>
  </si>
  <si>
    <t>Q9NZW5</t>
  </si>
  <si>
    <t>Q9NZZ3</t>
  </si>
  <si>
    <t>Q9P000</t>
  </si>
  <si>
    <t>Q9P013</t>
  </si>
  <si>
    <t>Q9P016</t>
  </si>
  <si>
    <t>Q9P021</t>
  </si>
  <si>
    <t>Q9P0J7</t>
  </si>
  <si>
    <t>Q9P0K7</t>
  </si>
  <si>
    <t>Q9P0L0</t>
  </si>
  <si>
    <t>Q9P0M6</t>
  </si>
  <si>
    <t>Q9P0N9-3</t>
  </si>
  <si>
    <t>Q9P0P0</t>
  </si>
  <si>
    <t>Q9P0P8</t>
  </si>
  <si>
    <t>Q9P0R6</t>
  </si>
  <si>
    <t>Q9P0S2</t>
  </si>
  <si>
    <t>Q9P0U4</t>
  </si>
  <si>
    <t>Q9P0V3</t>
  </si>
  <si>
    <t>Q9P1F3</t>
  </si>
  <si>
    <t>Q9P1U0</t>
  </si>
  <si>
    <t>Q9P1V8</t>
  </si>
  <si>
    <t>Q9P1Y5</t>
  </si>
  <si>
    <t>Q9P1Z0</t>
  </si>
  <si>
    <t>Q9P1Z2-2</t>
  </si>
  <si>
    <t>Q9P203</t>
  </si>
  <si>
    <t>Q9P206-2</t>
  </si>
  <si>
    <t>Q9P219</t>
  </si>
  <si>
    <t>Q9P253</t>
  </si>
  <si>
    <t>Q9P258</t>
  </si>
  <si>
    <t>Q9P260</t>
  </si>
  <si>
    <t>Q9P260-2</t>
  </si>
  <si>
    <t>Q9P265</t>
  </si>
  <si>
    <t>Q9P266</t>
  </si>
  <si>
    <t>Q9P270</t>
  </si>
  <si>
    <t>Q9P275</t>
  </si>
  <si>
    <t>Q9P287</t>
  </si>
  <si>
    <t>Q9P287-2</t>
  </si>
  <si>
    <t>Q9P289</t>
  </si>
  <si>
    <t>Q9P299</t>
  </si>
  <si>
    <t>Q9P2B2</t>
  </si>
  <si>
    <t>Q9P2B4</t>
  </si>
  <si>
    <t>Q9P2B7-2</t>
  </si>
  <si>
    <t>Q9P2D3-3</t>
  </si>
  <si>
    <t>Q9P2D6-3</t>
  </si>
  <si>
    <t>Q9P2D7-5</t>
  </si>
  <si>
    <t>Q9P2E3</t>
  </si>
  <si>
    <t>Q9P2E9</t>
  </si>
  <si>
    <t>Q9P2G1</t>
  </si>
  <si>
    <t>Q9P2H5</t>
  </si>
  <si>
    <t>Q9P2I0</t>
  </si>
  <si>
    <t>Q9P2J5</t>
  </si>
  <si>
    <t>Q9P2K3-4</t>
  </si>
  <si>
    <t>Q9P2K5-2</t>
  </si>
  <si>
    <t>Q9P2K6</t>
  </si>
  <si>
    <t>Q9P2K8-2</t>
  </si>
  <si>
    <t>Q9P2M4</t>
  </si>
  <si>
    <t>Q9P2M7</t>
  </si>
  <si>
    <t>Q9P2N5</t>
  </si>
  <si>
    <t>Q9P2N6-3</t>
  </si>
  <si>
    <t>Q9P2R3</t>
  </si>
  <si>
    <t>Q9P2R6</t>
  </si>
  <si>
    <t>Q9P2W1</t>
  </si>
  <si>
    <t>Q9P2X3</t>
  </si>
  <si>
    <t>Q9P2Y5</t>
  </si>
  <si>
    <t>Q9UBB4</t>
  </si>
  <si>
    <t>Q9UBB5</t>
  </si>
  <si>
    <t>Q9UBB6</t>
  </si>
  <si>
    <t>Q9UBC2-2</t>
  </si>
  <si>
    <t>Q9UBD5</t>
  </si>
  <si>
    <t>Q9UBE0</t>
  </si>
  <si>
    <t>Q9UBF2</t>
  </si>
  <si>
    <t>Q9UBF6</t>
  </si>
  <si>
    <t>Q9UBF8-2</t>
  </si>
  <si>
    <t>Q9UBG0</t>
  </si>
  <si>
    <t>Q9UBI1</t>
  </si>
  <si>
    <t>Q9UBI6</t>
  </si>
  <si>
    <t>Q9UBK8-2</t>
  </si>
  <si>
    <t>Q9UBK9</t>
  </si>
  <si>
    <t>Q9UBL3-3</t>
  </si>
  <si>
    <t>Q9UBN6</t>
  </si>
  <si>
    <t>Q9UBP0-3</t>
  </si>
  <si>
    <t>Q9UBP6</t>
  </si>
  <si>
    <t>Q9UBP9-4</t>
  </si>
  <si>
    <t>Q9UBQ0</t>
  </si>
  <si>
    <t>Q9UBQ7</t>
  </si>
  <si>
    <t>Q9UBR2</t>
  </si>
  <si>
    <t>Q9UBS0</t>
  </si>
  <si>
    <t>Q9UBS4</t>
  </si>
  <si>
    <t>Q9UBS8</t>
  </si>
  <si>
    <t>Q9UBT2</t>
  </si>
  <si>
    <t>Q9UBT7-2</t>
  </si>
  <si>
    <t>Q9UBU9</t>
  </si>
  <si>
    <t>Q9UBV8</t>
  </si>
  <si>
    <t>Q9UBW7</t>
  </si>
  <si>
    <t>Q9UBW8</t>
  </si>
  <si>
    <t>Q9UBZ4</t>
  </si>
  <si>
    <t>Q9UDT6</t>
  </si>
  <si>
    <t>Q9UDX3-2</t>
  </si>
  <si>
    <t>Q9UDY2-3</t>
  </si>
  <si>
    <t>Q9UDY4</t>
  </si>
  <si>
    <t>Q9UDY8</t>
  </si>
  <si>
    <t>Q9UEE9</t>
  </si>
  <si>
    <t>Q9UEG4</t>
  </si>
  <si>
    <t>Q9UER7-3</t>
  </si>
  <si>
    <t>Q9UET6-2</t>
  </si>
  <si>
    <t>Q9UEU0</t>
  </si>
  <si>
    <t>Q9UEW8</t>
  </si>
  <si>
    <t>Q9UEY8-2</t>
  </si>
  <si>
    <t>Q9UF56</t>
  </si>
  <si>
    <t>Q9UFC0</t>
  </si>
  <si>
    <t>Q9UFG5</t>
  </si>
  <si>
    <t>Q9UFM8</t>
  </si>
  <si>
    <t>Q9UFN0</t>
  </si>
  <si>
    <t>Q9UFW8</t>
  </si>
  <si>
    <t>Q9UG63</t>
  </si>
  <si>
    <t>Q9UGC7</t>
  </si>
  <si>
    <t>Q9UGI8</t>
  </si>
  <si>
    <t>Q9UGI8-2</t>
  </si>
  <si>
    <t>Q9UGJ0-2</t>
  </si>
  <si>
    <t>Q9UGK8</t>
  </si>
  <si>
    <t>Q9UGP4</t>
  </si>
  <si>
    <t>Q9UGT4</t>
  </si>
  <si>
    <t>Q9UGU0-2</t>
  </si>
  <si>
    <t>Q9UGV2</t>
  </si>
  <si>
    <t>Q9UH62</t>
  </si>
  <si>
    <t>Q9UH65</t>
  </si>
  <si>
    <t>Q9UH92-2</t>
  </si>
  <si>
    <t>Q9UHA3</t>
  </si>
  <si>
    <t>Q9UHA4-2</t>
  </si>
  <si>
    <t>Q9UHB6</t>
  </si>
  <si>
    <t>Q9UHB7</t>
  </si>
  <si>
    <t>Q9UHB9</t>
  </si>
  <si>
    <t>Q9UHD1</t>
  </si>
  <si>
    <t>Q9UHD2</t>
  </si>
  <si>
    <t>Q9UHD8</t>
  </si>
  <si>
    <t>Q9UHD9</t>
  </si>
  <si>
    <t>Q9UHG0</t>
  </si>
  <si>
    <t>Q9UHI6</t>
  </si>
  <si>
    <t>Q9UHJ3-2</t>
  </si>
  <si>
    <t>Q9UHJ6</t>
  </si>
  <si>
    <t>Q9UHL4</t>
  </si>
  <si>
    <t>Q9UHN1</t>
  </si>
  <si>
    <t>Q9UHN6-2</t>
  </si>
  <si>
    <t>Q9UHP3</t>
  </si>
  <si>
    <t>Q9UHQ1-4</t>
  </si>
  <si>
    <t>Q9UHR4</t>
  </si>
  <si>
    <t>Q9UHR6</t>
  </si>
  <si>
    <t>Q9UHV9</t>
  </si>
  <si>
    <t>Q9UHW5</t>
  </si>
  <si>
    <t>Q9UHX1-4</t>
  </si>
  <si>
    <t>Q9UHY1</t>
  </si>
  <si>
    <t>Q9UHY7</t>
  </si>
  <si>
    <t>Q9UHY8</t>
  </si>
  <si>
    <t>Q9UI08</t>
  </si>
  <si>
    <t>Q9UI10</t>
  </si>
  <si>
    <t>Q9UI10-3</t>
  </si>
  <si>
    <t>Q9UI12-2</t>
  </si>
  <si>
    <t>Q9UI26</t>
  </si>
  <si>
    <t>Q9UI30</t>
  </si>
  <si>
    <t>Q9UIA9</t>
  </si>
  <si>
    <t>Q9UIC8</t>
  </si>
  <si>
    <t>Q9UID3</t>
  </si>
  <si>
    <t>Q9UID6</t>
  </si>
  <si>
    <t>Q9UIF8-4</t>
  </si>
  <si>
    <t>Q9UIG0-2</t>
  </si>
  <si>
    <t>Q9UII2</t>
  </si>
  <si>
    <t>Q9UIJ7</t>
  </si>
  <si>
    <t>Q9UIL1-3</t>
  </si>
  <si>
    <t>Q9UIM3</t>
  </si>
  <si>
    <t>Q9UIV1-2</t>
  </si>
  <si>
    <t>Q9UJ41</t>
  </si>
  <si>
    <t>Q9UJ68-2</t>
  </si>
  <si>
    <t>Q9UJ70-2</t>
  </si>
  <si>
    <t>Q9UJA5</t>
  </si>
  <si>
    <t>Q9UJJ2</t>
  </si>
  <si>
    <t>Q9UJK0</t>
  </si>
  <si>
    <t>Q9UJM3</t>
  </si>
  <si>
    <t>Q9UJU6</t>
  </si>
  <si>
    <t>Q9UJU6-2</t>
  </si>
  <si>
    <t>Q9UJV9</t>
  </si>
  <si>
    <t>Q9UJW0</t>
  </si>
  <si>
    <t>Q9UJX0-2</t>
  </si>
  <si>
    <t>Q9UJX2-3</t>
  </si>
  <si>
    <t>Q9UJX3-2</t>
  </si>
  <si>
    <t>Q9UJX5</t>
  </si>
  <si>
    <t>Q9UJX6</t>
  </si>
  <si>
    <t>Q9UJY1</t>
  </si>
  <si>
    <t>Q9UJY4</t>
  </si>
  <si>
    <t>Q9UJY5-4</t>
  </si>
  <si>
    <t>Q9UK22</t>
  </si>
  <si>
    <t>Q9UK33</t>
  </si>
  <si>
    <t>Q9UK41</t>
  </si>
  <si>
    <t>Q9UK59</t>
  </si>
  <si>
    <t>Q9UK61-3</t>
  </si>
  <si>
    <t>Q9UK73</t>
  </si>
  <si>
    <t>Q9UK76</t>
  </si>
  <si>
    <t>Q9UK99</t>
  </si>
  <si>
    <t>Q9UKA4</t>
  </si>
  <si>
    <t>Q9UKA8</t>
  </si>
  <si>
    <t>Q9UKA9</t>
  </si>
  <si>
    <t>Q9UKB1-2</t>
  </si>
  <si>
    <t>Q9UKB3</t>
  </si>
  <si>
    <t>Q9UKD2</t>
  </si>
  <si>
    <t>Q9UKE5-8</t>
  </si>
  <si>
    <t>Q9UKF6</t>
  </si>
  <si>
    <t>Q9UKG1</t>
  </si>
  <si>
    <t>Q9UKG9</t>
  </si>
  <si>
    <t>Q9UKI8</t>
  </si>
  <si>
    <t>Q9UKJ3</t>
  </si>
  <si>
    <t>Q9UKK3</t>
  </si>
  <si>
    <t>Q9UKK6</t>
  </si>
  <si>
    <t>Q9UKK9</t>
  </si>
  <si>
    <t>Q9UKL3</t>
  </si>
  <si>
    <t>Q9UKL6</t>
  </si>
  <si>
    <t>Q9UKN8</t>
  </si>
  <si>
    <t>Q9UKS6</t>
  </si>
  <si>
    <t>Q9UKT4-2</t>
  </si>
  <si>
    <t>Q9UKT5</t>
  </si>
  <si>
    <t>Q9UKU7</t>
  </si>
  <si>
    <t>Q9UKV8</t>
  </si>
  <si>
    <t>Q9UKX7</t>
  </si>
  <si>
    <t>Q9UKY7</t>
  </si>
  <si>
    <t>Q9UKZ1</t>
  </si>
  <si>
    <t>Q9UL15</t>
  </si>
  <si>
    <t>Q9UL25</t>
  </si>
  <si>
    <t>Q9UL26</t>
  </si>
  <si>
    <t>Q9UL33-2</t>
  </si>
  <si>
    <t>Q9UL42</t>
  </si>
  <si>
    <t>Q9UL46</t>
  </si>
  <si>
    <t>Q9UL51</t>
  </si>
  <si>
    <t>Q9UL63</t>
  </si>
  <si>
    <t>Q9ULA0</t>
  </si>
  <si>
    <t>Q9ULC3</t>
  </si>
  <si>
    <t>Q9ULC4</t>
  </si>
  <si>
    <t>Q9ULD2</t>
  </si>
  <si>
    <t>Q9ULD5</t>
  </si>
  <si>
    <t>Q9ULE0</t>
  </si>
  <si>
    <t>Q9ULE6</t>
  </si>
  <si>
    <t>Q9ULF5</t>
  </si>
  <si>
    <t>Q9ULH0-5</t>
  </si>
  <si>
    <t>Q9ULH1</t>
  </si>
  <si>
    <t>Q9ULH7-4</t>
  </si>
  <si>
    <t>Q9ULJ3-2</t>
  </si>
  <si>
    <t>Q9ULJ6</t>
  </si>
  <si>
    <t>Q9ULJ7</t>
  </si>
  <si>
    <t>Q9ULJ8-4</t>
  </si>
  <si>
    <t>Q9ULK4-4</t>
  </si>
  <si>
    <t>Q9ULL5-3</t>
  </si>
  <si>
    <t>Q9ULM6</t>
  </si>
  <si>
    <t>Q9ULP9-2</t>
  </si>
  <si>
    <t>Q9ULR0</t>
  </si>
  <si>
    <t>Q9ULR3</t>
  </si>
  <si>
    <t>Q9ULT8</t>
  </si>
  <si>
    <t>Q9ULV0</t>
  </si>
  <si>
    <t>Q9ULV3-5</t>
  </si>
  <si>
    <t>Q9ULV4</t>
  </si>
  <si>
    <t>Q9ULW0</t>
  </si>
  <si>
    <t>Q9ULX3</t>
  </si>
  <si>
    <t>Q9ULX6</t>
  </si>
  <si>
    <t>Q9ULX9-2</t>
  </si>
  <si>
    <t>Q9ULZ3</t>
  </si>
  <si>
    <t>Q9UM11-3</t>
  </si>
  <si>
    <t>Q9UM13</t>
  </si>
  <si>
    <t>Q9UM22</t>
  </si>
  <si>
    <t>Q9UM54-6</t>
  </si>
  <si>
    <t>Q9UM82</t>
  </si>
  <si>
    <t>Q9UMN6</t>
  </si>
  <si>
    <t>Q9UMR2</t>
  </si>
  <si>
    <t>Q9UMS0-3</t>
  </si>
  <si>
    <t>Q9UMS4</t>
  </si>
  <si>
    <t>Q9UMS6</t>
  </si>
  <si>
    <t>Q9UMX0</t>
  </si>
  <si>
    <t>Q9UMX1</t>
  </si>
  <si>
    <t>Q9UMX5</t>
  </si>
  <si>
    <t>Q9UMY1</t>
  </si>
  <si>
    <t>Q9UMY4-2</t>
  </si>
  <si>
    <t>Q9UMZ2</t>
  </si>
  <si>
    <t>Q9UN36-2</t>
  </si>
  <si>
    <t>Q9UN37</t>
  </si>
  <si>
    <t>Q9UN79</t>
  </si>
  <si>
    <t>Q9UN86-2</t>
  </si>
  <si>
    <t>Q9UNA1-2</t>
  </si>
  <si>
    <t>Q9UNE7</t>
  </si>
  <si>
    <t>Q9UNF0</t>
  </si>
  <si>
    <t>Q9UNF1</t>
  </si>
  <si>
    <t>Q9UNH6-2</t>
  </si>
  <si>
    <t>Q9UNH7</t>
  </si>
  <si>
    <t>Q9UNI6</t>
  </si>
  <si>
    <t>Q9UNK0</t>
  </si>
  <si>
    <t>Q9UNM6</t>
  </si>
  <si>
    <t>Q9UNN5</t>
  </si>
  <si>
    <t>Q9UNN8</t>
  </si>
  <si>
    <t>Q9UNP9</t>
  </si>
  <si>
    <t>Q9UNQ2</t>
  </si>
  <si>
    <t>Q9UNS1-2</t>
  </si>
  <si>
    <t>Q9UNS2</t>
  </si>
  <si>
    <t>Q9UNT1</t>
  </si>
  <si>
    <t>Q9UNW1</t>
  </si>
  <si>
    <t>Q9UNY4</t>
  </si>
  <si>
    <t>Q9UNZ2</t>
  </si>
  <si>
    <t>Q9UNZ5</t>
  </si>
  <si>
    <t>Q9UP83</t>
  </si>
  <si>
    <t>Q9UPM8</t>
  </si>
  <si>
    <t>Q9UPN4-3</t>
  </si>
  <si>
    <t>Q9UPN6</t>
  </si>
  <si>
    <t>Q9UPN7</t>
  </si>
  <si>
    <t>Q9UPN9</t>
  </si>
  <si>
    <t>Q9UPP1-4</t>
  </si>
  <si>
    <t>Q9UPP5-2</t>
  </si>
  <si>
    <t>Q9UPQ0-10</t>
  </si>
  <si>
    <t>Q9UPQ0-6</t>
  </si>
  <si>
    <t>Q9UPQ3</t>
  </si>
  <si>
    <t>Q9UPQ9-1</t>
  </si>
  <si>
    <t>Q9UPR0</t>
  </si>
  <si>
    <t>Q9UPR3</t>
  </si>
  <si>
    <t>Q9UPS8</t>
  </si>
  <si>
    <t>Q9UPT5-6</t>
  </si>
  <si>
    <t>Q9UPT8</t>
  </si>
  <si>
    <t>Q9UPT9-2</t>
  </si>
  <si>
    <t>Q9UPU5</t>
  </si>
  <si>
    <t>Q9UPU7</t>
  </si>
  <si>
    <t>Q9UPW5</t>
  </si>
  <si>
    <t>Q9UPX8-3</t>
  </si>
  <si>
    <t>Q9UPY3-2</t>
  </si>
  <si>
    <t>Q9UPY8</t>
  </si>
  <si>
    <t>Q9UPZ3-2</t>
  </si>
  <si>
    <t>Q9UPZ6</t>
  </si>
  <si>
    <t>Q9UQ13-2</t>
  </si>
  <si>
    <t>Q9UQ35</t>
  </si>
  <si>
    <t>Q9UQ80</t>
  </si>
  <si>
    <t>Q9UQB8-3</t>
  </si>
  <si>
    <t>Q9UQC2-2</t>
  </si>
  <si>
    <t>Q9UQE7</t>
  </si>
  <si>
    <t>Q9UQN3</t>
  </si>
  <si>
    <t>Q9UQR0</t>
  </si>
  <si>
    <t>Q9UQR1</t>
  </si>
  <si>
    <t>Q9Y217</t>
  </si>
  <si>
    <t>Q9Y223</t>
  </si>
  <si>
    <t>Q9Y224</t>
  </si>
  <si>
    <t>Q9Y230</t>
  </si>
  <si>
    <t>Q9Y232-2</t>
  </si>
  <si>
    <t>Q9Y237</t>
  </si>
  <si>
    <t>Q9Y243-2</t>
  </si>
  <si>
    <t>Q9Y244</t>
  </si>
  <si>
    <t>Q9Y248</t>
  </si>
  <si>
    <t>Q9Y259</t>
  </si>
  <si>
    <t>Q9Y262</t>
  </si>
  <si>
    <t>Q9Y263</t>
  </si>
  <si>
    <t>Q9Y265</t>
  </si>
  <si>
    <t>Q9Y266</t>
  </si>
  <si>
    <t>Q9Y281</t>
  </si>
  <si>
    <t>Q9Y285</t>
  </si>
  <si>
    <t>Q9Y294</t>
  </si>
  <si>
    <t>Q9Y295</t>
  </si>
  <si>
    <t>Q9Y296</t>
  </si>
  <si>
    <t>Q9Y2A7</t>
  </si>
  <si>
    <t>Q9Y2B0</t>
  </si>
  <si>
    <t>Q9Y2D4</t>
  </si>
  <si>
    <t>Q9Y2D5-6</t>
  </si>
  <si>
    <t>Q9Y2E4</t>
  </si>
  <si>
    <t>Q9Y2F5</t>
  </si>
  <si>
    <t>Q9Y2G2-5</t>
  </si>
  <si>
    <t>Q9Y2G5</t>
  </si>
  <si>
    <t>Q9Y2H0-3</t>
  </si>
  <si>
    <t>Q9Y2H1</t>
  </si>
  <si>
    <t>Q9Y2H2</t>
  </si>
  <si>
    <t>Q9Y2H5</t>
  </si>
  <si>
    <t>Q9Y2I1</t>
  </si>
  <si>
    <t>Q9Y2I6</t>
  </si>
  <si>
    <t>Q9Y2I7</t>
  </si>
  <si>
    <t>Q9Y2I8</t>
  </si>
  <si>
    <t>Q9Y2J4-2</t>
  </si>
  <si>
    <t>Q9Y2K1-2</t>
  </si>
  <si>
    <t>Q9Y2K7</t>
  </si>
  <si>
    <t>Q9Y2L1</t>
  </si>
  <si>
    <t>Q9Y2L9-2</t>
  </si>
  <si>
    <t>Q9Y2Q3</t>
  </si>
  <si>
    <t>Q9Y2Q5</t>
  </si>
  <si>
    <t>Q9Y2Q9</t>
  </si>
  <si>
    <t>Q9Y2R4</t>
  </si>
  <si>
    <t>Q9Y2R9</t>
  </si>
  <si>
    <t>Q9Y2S0</t>
  </si>
  <si>
    <t>Q9Y2S2-2</t>
  </si>
  <si>
    <t>Q9Y2S6</t>
  </si>
  <si>
    <t>Q9Y2S7</t>
  </si>
  <si>
    <t>Q9Y2T2</t>
  </si>
  <si>
    <t>Q9Y2T7</t>
  </si>
  <si>
    <t>Q9Y2U5</t>
  </si>
  <si>
    <t>Q9Y2U8</t>
  </si>
  <si>
    <t>Q9Y2U9</t>
  </si>
  <si>
    <t>Q9Y2V2</t>
  </si>
  <si>
    <t>Q9Y2V7</t>
  </si>
  <si>
    <t>Q9Y2W1</t>
  </si>
  <si>
    <t>Q9Y2X0-2</t>
  </si>
  <si>
    <t>Q9Y2X3</t>
  </si>
  <si>
    <t>Q9Y2X7</t>
  </si>
  <si>
    <t>Q9Y2Y1</t>
  </si>
  <si>
    <t>Q9Y2Y9</t>
  </si>
  <si>
    <t>Q9Y2Z0</t>
  </si>
  <si>
    <t>Q9Y2Z4</t>
  </si>
  <si>
    <t>Q9Y303</t>
  </si>
  <si>
    <t>Q9Y305</t>
  </si>
  <si>
    <t>Q9Y312</t>
  </si>
  <si>
    <t>Q9Y314</t>
  </si>
  <si>
    <t>Q9Y315</t>
  </si>
  <si>
    <t>Q9Y316</t>
  </si>
  <si>
    <t>Q9Y333</t>
  </si>
  <si>
    <t>Q9Y371</t>
  </si>
  <si>
    <t>Q9Y376</t>
  </si>
  <si>
    <t>Q9Y383</t>
  </si>
  <si>
    <t>Q9Y399</t>
  </si>
  <si>
    <t>Q9Y3A3-3</t>
  </si>
  <si>
    <t>Q9Y3A5</t>
  </si>
  <si>
    <t>Q9Y3B4</t>
  </si>
  <si>
    <t>Q9Y3B9</t>
  </si>
  <si>
    <t>Q9Y3C1</t>
  </si>
  <si>
    <t>Q9Y3C4</t>
  </si>
  <si>
    <t>Q9Y3C6</t>
  </si>
  <si>
    <t>Q9Y3C8</t>
  </si>
  <si>
    <t>Q9Y3D0</t>
  </si>
  <si>
    <t>Q9Y3D2</t>
  </si>
  <si>
    <t>Q9Y3D6</t>
  </si>
  <si>
    <t>Q9Y3D8</t>
  </si>
  <si>
    <t>Q9Y3D9</t>
  </si>
  <si>
    <t>Q9Y3E1</t>
  </si>
  <si>
    <t>Q9Y3E2</t>
  </si>
  <si>
    <t>Q9Y3E7</t>
  </si>
  <si>
    <t>Q9Y3F4</t>
  </si>
  <si>
    <t>Q9Y3I0</t>
  </si>
  <si>
    <t>Q9Y3I1</t>
  </si>
  <si>
    <t>Q9Y3L3</t>
  </si>
  <si>
    <t>Q9Y3L5</t>
  </si>
  <si>
    <t>Q9Y3M8-3</t>
  </si>
  <si>
    <t>Q9Y3P9</t>
  </si>
  <si>
    <t>Q9Y3Q8</t>
  </si>
  <si>
    <t>Q9Y3R5-2</t>
  </si>
  <si>
    <t>Q9Y3S2</t>
  </si>
  <si>
    <t>Q9Y3T6</t>
  </si>
  <si>
    <t>Q9Y3T9</t>
  </si>
  <si>
    <t>Q9Y3U8</t>
  </si>
  <si>
    <t>Q9Y3V2</t>
  </si>
  <si>
    <t>Q9Y3X0</t>
  </si>
  <si>
    <t>Q9Y3Y2-4</t>
  </si>
  <si>
    <t>Q9Y3Z3</t>
  </si>
  <si>
    <t>Q9Y446</t>
  </si>
  <si>
    <t>Q9Y448</t>
  </si>
  <si>
    <t>Q9Y450-2</t>
  </si>
  <si>
    <t>Q9Y450-4</t>
  </si>
  <si>
    <t>Q9Y490</t>
  </si>
  <si>
    <t>Q9Y496</t>
  </si>
  <si>
    <t>Q9Y4B4</t>
  </si>
  <si>
    <t>Q9Y4B5</t>
  </si>
  <si>
    <t>Q9Y4B6-2</t>
  </si>
  <si>
    <t>Q9Y4C1</t>
  </si>
  <si>
    <t>Q9Y4C2-2</t>
  </si>
  <si>
    <t>Q9Y4C4</t>
  </si>
  <si>
    <t>Q9Y4C8</t>
  </si>
  <si>
    <t>Q9Y4E1-2</t>
  </si>
  <si>
    <t>Q9Y4E6-2</t>
  </si>
  <si>
    <t>Q9Y4E8</t>
  </si>
  <si>
    <t>Q9Y4F1</t>
  </si>
  <si>
    <t>Q9Y4F5</t>
  </si>
  <si>
    <t>Q9Y4G6</t>
  </si>
  <si>
    <t>Q9Y4G8</t>
  </si>
  <si>
    <t>Q9Y4H2</t>
  </si>
  <si>
    <t>Q9Y4I1-2</t>
  </si>
  <si>
    <t>Q9Y4K1</t>
  </si>
  <si>
    <t>Q9Y4K3</t>
  </si>
  <si>
    <t>Q9Y4K4</t>
  </si>
  <si>
    <t>Q9Y4P1-6</t>
  </si>
  <si>
    <t>Q9Y4P8-4</t>
  </si>
  <si>
    <t>Q9Y4R8</t>
  </si>
  <si>
    <t>Q9Y4U1</t>
  </si>
  <si>
    <t>Q9Y4X5</t>
  </si>
  <si>
    <t>Q9Y4Z0</t>
  </si>
  <si>
    <t>Q9Y508</t>
  </si>
  <si>
    <t>Q9Y520-4</t>
  </si>
  <si>
    <t>Q9Y546</t>
  </si>
  <si>
    <t>Q9Y547</t>
  </si>
  <si>
    <t>Q9Y570</t>
  </si>
  <si>
    <t>Q9Y580</t>
  </si>
  <si>
    <t>Q9Y597-2</t>
  </si>
  <si>
    <t>Q9Y5A7-2</t>
  </si>
  <si>
    <t>Q9Y5A9</t>
  </si>
  <si>
    <t>Q9Y5B0</t>
  </si>
  <si>
    <t>Q9Y5B6</t>
  </si>
  <si>
    <t>Q9Y5B8-2</t>
  </si>
  <si>
    <t>Q9Y5B9</t>
  </si>
  <si>
    <t>Q9Y5J1</t>
  </si>
  <si>
    <t>Q9Y5J5</t>
  </si>
  <si>
    <t>Q9Y5J7</t>
  </si>
  <si>
    <t>Q9Y5J9</t>
  </si>
  <si>
    <t>Q9Y5K5-2</t>
  </si>
  <si>
    <t>Q9Y5K6</t>
  </si>
  <si>
    <t>Q9Y5K8</t>
  </si>
  <si>
    <t>Q9Y5L0</t>
  </si>
  <si>
    <t>Q9Y5L4</t>
  </si>
  <si>
    <t>Q9Y5N5-2</t>
  </si>
  <si>
    <t>Q9Y5P4-2</t>
  </si>
  <si>
    <t>Q9Y5P6</t>
  </si>
  <si>
    <t>Q9Y5Q8</t>
  </si>
  <si>
    <t>Q9Y5Q9</t>
  </si>
  <si>
    <t>Q9Y5R8</t>
  </si>
  <si>
    <t>Q9Y5S2</t>
  </si>
  <si>
    <t>Q9Y5S9</t>
  </si>
  <si>
    <t>Q9Y5T5-2</t>
  </si>
  <si>
    <t>Q9Y5U2-2</t>
  </si>
  <si>
    <t>Q9Y5V0</t>
  </si>
  <si>
    <t>Q9Y5V3</t>
  </si>
  <si>
    <t>Q9Y5X1</t>
  </si>
  <si>
    <t>Q9Y5X2</t>
  </si>
  <si>
    <t>Q9Y5X3</t>
  </si>
  <si>
    <t>Q9Y5Y0</t>
  </si>
  <si>
    <t>Q9Y5Y2</t>
  </si>
  <si>
    <t>Q9Y5Z4</t>
  </si>
  <si>
    <t>Q9Y5Z7</t>
  </si>
  <si>
    <t>Q9Y605</t>
  </si>
  <si>
    <t>Q9Y608-4</t>
  </si>
  <si>
    <t>Q9Y613</t>
  </si>
  <si>
    <t>Q9Y617</t>
  </si>
  <si>
    <t>Q9Y620</t>
  </si>
  <si>
    <t>Q9Y657</t>
  </si>
  <si>
    <t>Q9Y678</t>
  </si>
  <si>
    <t>Q9Y680-3</t>
  </si>
  <si>
    <t>Q9Y692-2</t>
  </si>
  <si>
    <t>Q9Y696</t>
  </si>
  <si>
    <t>Q9Y697-2</t>
  </si>
  <si>
    <t>Q9Y6A4</t>
  </si>
  <si>
    <t>Q9Y6A5</t>
  </si>
  <si>
    <t>Q9Y6B6</t>
  </si>
  <si>
    <t>Q9Y6B7</t>
  </si>
  <si>
    <t>Q9Y6D5</t>
  </si>
  <si>
    <t>Q9Y6D6</t>
  </si>
  <si>
    <t>Q9Y6D9</t>
  </si>
  <si>
    <t>Q9Y6E0-2</t>
  </si>
  <si>
    <t>Q9Y6G9</t>
  </si>
  <si>
    <t>Q9Y6H1</t>
  </si>
  <si>
    <t>Q9Y6I3</t>
  </si>
  <si>
    <t>Q9Y6I9</t>
  </si>
  <si>
    <t>Q9Y6J9</t>
  </si>
  <si>
    <t>Q9Y6K1-3</t>
  </si>
  <si>
    <t>Q9Y6K5</t>
  </si>
  <si>
    <t>Q9Y6K9</t>
  </si>
  <si>
    <t>Q9Y6M5</t>
  </si>
  <si>
    <t>Q9Y6N5</t>
  </si>
  <si>
    <t>Q9Y6N7-5</t>
  </si>
  <si>
    <t>Q9Y6N9-5</t>
  </si>
  <si>
    <t>Q9Y6Q6</t>
  </si>
  <si>
    <t>Q9Y6Q9-5</t>
  </si>
  <si>
    <t>Q9Y6R0</t>
  </si>
  <si>
    <t>Q9Y6V7</t>
  </si>
  <si>
    <t>Q9Y6W3</t>
  </si>
  <si>
    <t>Q9Y6W5</t>
  </si>
  <si>
    <t>Q9Y6X5</t>
  </si>
  <si>
    <t>Q9Y6X8</t>
  </si>
  <si>
    <t>Q9Y6X9</t>
  </si>
  <si>
    <t>Q9Y6Y0</t>
  </si>
  <si>
    <t>R4GMN1</t>
  </si>
  <si>
    <t>R4GMR5</t>
  </si>
  <si>
    <t>R4GMU8</t>
  </si>
  <si>
    <t>R4GMX3</t>
  </si>
  <si>
    <t>R4GN55</t>
  </si>
  <si>
    <t>R4GN62</t>
  </si>
  <si>
    <t>R4GN98</t>
  </si>
  <si>
    <t>R4GNB2</t>
  </si>
  <si>
    <t>R4GND3</t>
  </si>
  <si>
    <t>R4GNH3</t>
  </si>
  <si>
    <t>R4GNH4</t>
  </si>
  <si>
    <t>norm_FC_TMT126_A549_P013701</t>
  </si>
  <si>
    <t>norm_FC_TMT127L_A549_P013701</t>
  </si>
  <si>
    <t>norm_FC_TMT127H_A549_P013701</t>
  </si>
  <si>
    <t>norm_FC_TMT128L_A549_P013701</t>
  </si>
  <si>
    <t>norm_FC_TMT128H_A549_P013701</t>
  </si>
  <si>
    <t>norm_FC_TMT129L_A549_P013701</t>
  </si>
  <si>
    <t>norm_FC_TMT129H_A549_P013701</t>
  </si>
  <si>
    <t>norm_FC_TMT130L_A549_P013701</t>
  </si>
  <si>
    <t>norm_FC_TMT130H_A549_P013701</t>
  </si>
  <si>
    <t>norm_FC_TMT131L_A549_P013701</t>
  </si>
  <si>
    <t>a_A549_P013701</t>
  </si>
  <si>
    <t>b_A549_P013701</t>
  </si>
  <si>
    <t>meltPoint_A549_P013701</t>
  </si>
  <si>
    <t>inflPoint_A549_P013701</t>
  </si>
  <si>
    <t>slope_A549_P013701</t>
  </si>
  <si>
    <t>plateau_A549_P013701</t>
  </si>
  <si>
    <t>R_sq_A549_P013701</t>
  </si>
  <si>
    <t>protein_identified_in_A549_P013701</t>
  </si>
  <si>
    <t>model_converged_A549_P013701</t>
  </si>
  <si>
    <t>sufficient_data_for_fit_A549_P013701</t>
  </si>
  <si>
    <t>Proteinname_A549_P013701</t>
  </si>
  <si>
    <t>numSpec_A549_P013701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</si>
</sst>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308"/>
  <sheetViews>
    <sheetView tabSelected="1" topLeftCell="D1" workbookViewId="0">
      <selection activeCell="B1" sqref="B1"/>
    </sheetView>
  </sheetViews>
  <sheetFormatPr defaultRowHeight="15" x14ac:dyDescent="0.25"/>
  <sheetData>
    <row r="1" spans="1:28" s="2" customFormat="1" ht="75" x14ac:dyDescent="0.25">
      <c r="A1" s="1" t="s">
        <v>0</v>
      </c>
      <c r="B1" s="1" t="s">
        <v>31256</v>
      </c>
      <c r="C1" s="1" t="s">
        <v>31257</v>
      </c>
      <c r="D1" s="1" t="s">
        <v>31258</v>
      </c>
      <c r="E1" s="1" t="s">
        <v>31259</v>
      </c>
      <c r="F1" s="1" t="s">
        <v>31260</v>
      </c>
      <c r="G1" s="1" t="s">
        <v>31261</v>
      </c>
      <c r="H1" s="1" t="s">
        <v>31262</v>
      </c>
      <c r="I1" s="1" t="s">
        <v>31263</v>
      </c>
      <c r="J1" s="1" t="s">
        <v>31264</v>
      </c>
      <c r="K1" s="1" t="s">
        <v>31265</v>
      </c>
      <c r="L1" s="1" t="s">
        <v>31266</v>
      </c>
      <c r="M1" s="1" t="s">
        <v>31267</v>
      </c>
      <c r="N1" s="1" t="s">
        <v>31268</v>
      </c>
      <c r="O1" s="1" t="s">
        <v>31269</v>
      </c>
      <c r="P1" s="1" t="s">
        <v>31270</v>
      </c>
      <c r="Q1" s="1" t="s">
        <v>31271</v>
      </c>
      <c r="R1" s="1" t="s">
        <v>31272</v>
      </c>
      <c r="S1" s="1" t="s">
        <v>1</v>
      </c>
      <c r="T1" s="1" t="s">
        <v>31273</v>
      </c>
      <c r="U1" s="1" t="s">
        <v>31274</v>
      </c>
      <c r="V1" s="1" t="s">
        <v>31275</v>
      </c>
      <c r="W1" s="1" t="s">
        <v>31276</v>
      </c>
      <c r="X1" s="1" t="s">
        <v>31277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0.99987803227770999</v>
      </c>
      <c r="C2">
        <v>1.22570994176929</v>
      </c>
      <c r="D2">
        <v>0.93627242071081995</v>
      </c>
      <c r="E2">
        <v>0.64446618409981404</v>
      </c>
      <c r="F2">
        <v>0.266974691055685</v>
      </c>
      <c r="G2">
        <v>0.18359599411344801</v>
      </c>
      <c r="H2">
        <v>0.112512651736087</v>
      </c>
      <c r="I2">
        <v>9.1930190168224596E-2</v>
      </c>
      <c r="J2">
        <v>7.1809362271957097E-2</v>
      </c>
      <c r="K2">
        <v>4.5362883792473302E-2</v>
      </c>
      <c r="L2">
        <v>1507.9251127402499</v>
      </c>
      <c r="M2">
        <v>29.734981224216298</v>
      </c>
      <c r="N2">
        <v>51.050591001824202</v>
      </c>
      <c r="O2">
        <v>50.484473757619099</v>
      </c>
      <c r="P2">
        <v>-0.13407674211196699</v>
      </c>
      <c r="Q2">
        <v>8.9456950204355803E-2</v>
      </c>
      <c r="R2">
        <v>0.96721285841128601</v>
      </c>
      <c r="S2" t="s">
        <v>6313</v>
      </c>
      <c r="T2" t="s">
        <v>12620</v>
      </c>
      <c r="U2" t="s">
        <v>12620</v>
      </c>
      <c r="V2" t="s">
        <v>12620</v>
      </c>
      <c r="W2" t="s">
        <v>12622</v>
      </c>
      <c r="X2">
        <v>28</v>
      </c>
      <c r="Y2" t="s">
        <v>18868</v>
      </c>
      <c r="Z2" t="s">
        <v>24949</v>
      </c>
      <c r="AA2">
        <v>0.42038676361099397</v>
      </c>
      <c r="AB2" t="str">
        <f>HYPERLINK("Melting_Curves/meltCurve_A0AVT1_UBA6.pdf", "Melting_Curves/meltCurve_A0AVT1_UBA6.pdf")</f>
        <v>Melting_Curves/meltCurve_A0AVT1_UBA6.pdf</v>
      </c>
    </row>
    <row r="3" spans="1:28" x14ac:dyDescent="0.25">
      <c r="A3" t="s">
        <v>7</v>
      </c>
      <c r="B3">
        <v>0.99987803227770999</v>
      </c>
      <c r="C3">
        <v>0.99532113297991498</v>
      </c>
      <c r="D3">
        <v>0.86216400671808702</v>
      </c>
      <c r="E3">
        <v>1.07800568202151</v>
      </c>
      <c r="F3">
        <v>0.92011139804856201</v>
      </c>
      <c r="G3">
        <v>0.67800644940266996</v>
      </c>
      <c r="H3">
        <v>0.53401606720905803</v>
      </c>
      <c r="I3">
        <v>0.44559010922091202</v>
      </c>
      <c r="J3">
        <v>0.44898738242714298</v>
      </c>
      <c r="K3">
        <v>0.25220140698140098</v>
      </c>
      <c r="L3">
        <v>985.43376622692494</v>
      </c>
      <c r="M3">
        <v>16.7762871160534</v>
      </c>
      <c r="N3">
        <v>61.8593740583987</v>
      </c>
      <c r="O3">
        <v>57.924099006188101</v>
      </c>
      <c r="P3">
        <v>-5.1741369894594602E-2</v>
      </c>
      <c r="Q3">
        <v>0.28544925526678999</v>
      </c>
      <c r="R3">
        <v>0.93716731536431597</v>
      </c>
      <c r="S3" t="s">
        <v>6314</v>
      </c>
      <c r="T3" t="s">
        <v>12620</v>
      </c>
      <c r="U3" t="s">
        <v>12620</v>
      </c>
      <c r="V3" t="s">
        <v>12620</v>
      </c>
      <c r="W3" t="s">
        <v>12623</v>
      </c>
      <c r="X3">
        <v>8</v>
      </c>
      <c r="Y3" t="s">
        <v>18869</v>
      </c>
      <c r="Z3" t="s">
        <v>24950</v>
      </c>
      <c r="AA3">
        <v>0.73990322591639368</v>
      </c>
      <c r="AB3" t="str">
        <f>HYPERLINK("Melting_Curves/meltCurve_A0JNW5_UHRF1BP1L.pdf", "Melting_Curves/meltCurve_A0JNW5_UHRF1BP1L.pdf")</f>
        <v>Melting_Curves/meltCurve_A0JNW5_UHRF1BP1L.pdf</v>
      </c>
    </row>
    <row r="4" spans="1:28" x14ac:dyDescent="0.25">
      <c r="A4" t="s">
        <v>8</v>
      </c>
      <c r="B4">
        <v>0.99987803227770999</v>
      </c>
      <c r="C4">
        <v>1.06225804054268</v>
      </c>
      <c r="D4">
        <v>1.0433503696676201</v>
      </c>
      <c r="E4">
        <v>0.96467773530115497</v>
      </c>
      <c r="F4">
        <v>0.667612668123717</v>
      </c>
      <c r="G4">
        <v>0.56116489951961901</v>
      </c>
      <c r="H4">
        <v>0.42410711000177498</v>
      </c>
      <c r="I4">
        <v>0.34274559686264799</v>
      </c>
      <c r="J4">
        <v>0.30392705925289498</v>
      </c>
      <c r="K4">
        <v>0.23551946867331899</v>
      </c>
      <c r="L4">
        <v>921.89412378720601</v>
      </c>
      <c r="M4">
        <v>16.634384142446901</v>
      </c>
      <c r="N4">
        <v>57.9208427910852</v>
      </c>
      <c r="O4">
        <v>54.6386145734933</v>
      </c>
      <c r="P4">
        <v>-5.66210360617172E-2</v>
      </c>
      <c r="Q4">
        <v>0.25612233300985099</v>
      </c>
      <c r="R4">
        <v>0.97298470249324598</v>
      </c>
      <c r="S4" t="s">
        <v>6315</v>
      </c>
      <c r="T4" t="s">
        <v>12620</v>
      </c>
      <c r="U4" t="s">
        <v>12620</v>
      </c>
      <c r="V4" t="s">
        <v>12620</v>
      </c>
      <c r="W4" t="s">
        <v>12624</v>
      </c>
      <c r="X4">
        <v>39</v>
      </c>
      <c r="Y4" t="s">
        <v>18870</v>
      </c>
      <c r="Z4" t="s">
        <v>24951</v>
      </c>
      <c r="AA4">
        <v>0.65094003600084915</v>
      </c>
      <c r="AB4" t="str">
        <f>HYPERLINK("Melting_Curves/meltCurve_A0MZ66_KIAA1598.pdf", "Melting_Curves/meltCurve_A0MZ66_KIAA1598.pdf")</f>
        <v>Melting_Curves/meltCurve_A0MZ66_KIAA1598.pdf</v>
      </c>
    </row>
    <row r="5" spans="1:28" x14ac:dyDescent="0.25">
      <c r="A5" t="s">
        <v>9</v>
      </c>
      <c r="B5">
        <v>0.99987803227770999</v>
      </c>
      <c r="C5">
        <v>1.26770483396651</v>
      </c>
      <c r="D5">
        <v>0.784361996128081</v>
      </c>
      <c r="E5">
        <v>0.80561824327395704</v>
      </c>
      <c r="F5">
        <v>0.30977581678685401</v>
      </c>
      <c r="G5">
        <v>0.123415598322462</v>
      </c>
      <c r="H5">
        <v>8.4920009179775297E-2</v>
      </c>
      <c r="I5">
        <v>6.1265978485391302E-2</v>
      </c>
      <c r="J5">
        <v>2.5303548151898201E-2</v>
      </c>
      <c r="K5">
        <v>4.2621633420103597E-2</v>
      </c>
      <c r="L5">
        <v>1639.15502705005</v>
      </c>
      <c r="M5">
        <v>31.731843258910299</v>
      </c>
      <c r="N5">
        <v>51.839379688451899</v>
      </c>
      <c r="O5">
        <v>51.452611077014502</v>
      </c>
      <c r="P5">
        <v>-0.14601566536546201</v>
      </c>
      <c r="Q5">
        <v>5.2957872645207703E-2</v>
      </c>
      <c r="R5">
        <v>0.94037151462381097</v>
      </c>
      <c r="S5" t="s">
        <v>6316</v>
      </c>
      <c r="T5" t="s">
        <v>12620</v>
      </c>
      <c r="U5" t="s">
        <v>12620</v>
      </c>
      <c r="V5" t="s">
        <v>12620</v>
      </c>
      <c r="W5" t="s">
        <v>12625</v>
      </c>
      <c r="X5">
        <v>1</v>
      </c>
      <c r="Y5" t="s">
        <v>18871</v>
      </c>
      <c r="Z5" t="s">
        <v>24952</v>
      </c>
      <c r="AA5">
        <v>0.42631110131651517</v>
      </c>
      <c r="AB5" t="str">
        <f>HYPERLINK("Melting_Curves/meltCurve_A1A4S6_ARHGAP10.pdf", "Melting_Curves/meltCurve_A1A4S6_ARHGAP10.pdf")</f>
        <v>Melting_Curves/meltCurve_A1A4S6_ARHGAP10.pdf</v>
      </c>
    </row>
    <row r="6" spans="1:28" x14ac:dyDescent="0.25">
      <c r="A6" t="s">
        <v>10</v>
      </c>
      <c r="B6">
        <v>0.99987803227770999</v>
      </c>
      <c r="C6">
        <v>0.749129987923709</v>
      </c>
      <c r="D6">
        <v>1.1056016957216801</v>
      </c>
      <c r="E6">
        <v>0.87959705466348104</v>
      </c>
      <c r="F6">
        <v>0.99116311434669702</v>
      </c>
      <c r="G6">
        <v>0.67241343488837002</v>
      </c>
      <c r="H6">
        <v>0.71909259465453801</v>
      </c>
      <c r="I6">
        <v>0.62519883866333503</v>
      </c>
      <c r="J6">
        <v>0.55084227854563095</v>
      </c>
      <c r="K6">
        <v>0.47759231480185899</v>
      </c>
      <c r="L6">
        <v>457.84018964640802</v>
      </c>
      <c r="M6">
        <v>6.8698668663933899</v>
      </c>
      <c r="N6">
        <v>69.139140072506507</v>
      </c>
      <c r="O6">
        <v>61.683422062077199</v>
      </c>
      <c r="P6">
        <v>-2.4836301174668299E-2</v>
      </c>
      <c r="Q6">
        <v>0.10976307046326</v>
      </c>
      <c r="R6">
        <v>0.73326055683410996</v>
      </c>
      <c r="S6" t="s">
        <v>6317</v>
      </c>
      <c r="T6" t="s">
        <v>12620</v>
      </c>
      <c r="U6" t="s">
        <v>12620</v>
      </c>
      <c r="V6" t="s">
        <v>12620</v>
      </c>
      <c r="W6" t="s">
        <v>12626</v>
      </c>
      <c r="X6">
        <v>1</v>
      </c>
      <c r="Y6" t="s">
        <v>18872</v>
      </c>
      <c r="Z6" t="s">
        <v>24953</v>
      </c>
      <c r="AA6">
        <v>0.79529617768884553</v>
      </c>
      <c r="AB6" t="str">
        <f>HYPERLINK("Melting_Curves/meltCurve_A1A5A9_KIAA0999.pdf", "Melting_Curves/meltCurve_A1A5A9_KIAA0999.pdf")</f>
        <v>Melting_Curves/meltCurve_A1A5A9_KIAA0999.pdf</v>
      </c>
    </row>
    <row r="7" spans="1:28" x14ac:dyDescent="0.25">
      <c r="A7" t="s">
        <v>11</v>
      </c>
      <c r="B7">
        <v>0.99987803227770999</v>
      </c>
      <c r="C7">
        <v>1.0684112753408099</v>
      </c>
      <c r="D7">
        <v>1.07261469032389</v>
      </c>
      <c r="E7">
        <v>1.0139475501956301</v>
      </c>
      <c r="F7">
        <v>1.0378676401325999</v>
      </c>
      <c r="G7">
        <v>0.73934642150732299</v>
      </c>
      <c r="H7">
        <v>0.86426714515914105</v>
      </c>
      <c r="I7">
        <v>0.828256249054653</v>
      </c>
      <c r="J7">
        <v>0.87097321139527695</v>
      </c>
      <c r="K7">
        <v>0.75979733464913202</v>
      </c>
      <c r="L7">
        <v>4961.1470088924298</v>
      </c>
      <c r="M7">
        <v>90.589551359547798</v>
      </c>
      <c r="O7">
        <v>54.738438842587399</v>
      </c>
      <c r="P7">
        <v>-7.7715903599108294E-2</v>
      </c>
      <c r="Q7">
        <v>0.81216168978009695</v>
      </c>
      <c r="R7">
        <v>0.81147704417182698</v>
      </c>
      <c r="S7" t="s">
        <v>6318</v>
      </c>
      <c r="T7" t="s">
        <v>12620</v>
      </c>
      <c r="U7" t="s">
        <v>12620</v>
      </c>
      <c r="V7" t="s">
        <v>12620</v>
      </c>
      <c r="W7" t="s">
        <v>12627</v>
      </c>
      <c r="X7">
        <v>3</v>
      </c>
      <c r="Y7" t="s">
        <v>18873</v>
      </c>
      <c r="Z7" t="s">
        <v>24954</v>
      </c>
      <c r="AA7">
        <v>0.90474784815420084</v>
      </c>
      <c r="AB7" t="str">
        <f>HYPERLINK("Melting_Curves/meltCurve_A1L188_C17orf89.pdf", "Melting_Curves/meltCurve_A1L188_C17orf89.pdf")</f>
        <v>Melting_Curves/meltCurve_A1L188_C17orf89.pdf</v>
      </c>
    </row>
    <row r="8" spans="1:28" x14ac:dyDescent="0.25">
      <c r="A8" t="s">
        <v>12</v>
      </c>
      <c r="B8">
        <v>0.99987803227770999</v>
      </c>
      <c r="C8">
        <v>0.83015094506817999</v>
      </c>
      <c r="D8">
        <v>0.90850216590323096</v>
      </c>
      <c r="E8">
        <v>0.69927062361065695</v>
      </c>
      <c r="F8">
        <v>0.896302995073333</v>
      </c>
      <c r="G8">
        <v>0.67190444501306101</v>
      </c>
      <c r="H8">
        <v>0.618174897738479</v>
      </c>
      <c r="I8">
        <v>0.54181772893163205</v>
      </c>
      <c r="J8">
        <v>0.64540730829316095</v>
      </c>
      <c r="K8">
        <v>0.52108587972815001</v>
      </c>
      <c r="L8">
        <v>287.50401581178198</v>
      </c>
      <c r="M8">
        <v>4.8310940383330196</v>
      </c>
      <c r="O8">
        <v>51.514004516478302</v>
      </c>
      <c r="P8">
        <v>-1.60950504298377E-2</v>
      </c>
      <c r="Q8">
        <v>0.31821047515849099</v>
      </c>
      <c r="R8">
        <v>0.78489025537288704</v>
      </c>
      <c r="S8" t="s">
        <v>6319</v>
      </c>
      <c r="T8" t="s">
        <v>12620</v>
      </c>
      <c r="U8" t="s">
        <v>12620</v>
      </c>
      <c r="V8" t="s">
        <v>12620</v>
      </c>
      <c r="W8" t="s">
        <v>12628</v>
      </c>
      <c r="X8">
        <v>8</v>
      </c>
      <c r="Y8" t="s">
        <v>18874</v>
      </c>
      <c r="Z8" t="s">
        <v>24955</v>
      </c>
      <c r="AA8">
        <v>0.73270185805593901</v>
      </c>
      <c r="AB8" t="str">
        <f>HYPERLINK("Melting_Curves/meltCurve_A1L390_PLEKHG3.pdf", "Melting_Curves/meltCurve_A1L390_PLEKHG3.pdf")</f>
        <v>Melting_Curves/meltCurve_A1L390_PLEKHG3.pdf</v>
      </c>
    </row>
    <row r="9" spans="1:28" x14ac:dyDescent="0.25">
      <c r="A9" t="s">
        <v>13</v>
      </c>
      <c r="B9">
        <v>0.99987803227770999</v>
      </c>
      <c r="C9">
        <v>0.96088661808106501</v>
      </c>
      <c r="D9">
        <v>1.0021490353067</v>
      </c>
      <c r="E9">
        <v>0.83031405117009105</v>
      </c>
      <c r="F9">
        <v>0.54517051780935299</v>
      </c>
      <c r="G9">
        <v>0.34762274319220299</v>
      </c>
      <c r="H9">
        <v>0.29552753424108702</v>
      </c>
      <c r="I9">
        <v>0.26844664068989899</v>
      </c>
      <c r="J9">
        <v>0.20646340449811099</v>
      </c>
      <c r="K9">
        <v>0.16845506433827001</v>
      </c>
      <c r="L9">
        <v>1160.8017402420301</v>
      </c>
      <c r="M9">
        <v>22.0682523439399</v>
      </c>
      <c r="N9">
        <v>54.002490791268897</v>
      </c>
      <c r="O9">
        <v>52.174320515335303</v>
      </c>
      <c r="P9">
        <v>-8.26863689706335E-2</v>
      </c>
      <c r="Q9">
        <v>0.21806041797249101</v>
      </c>
      <c r="R9">
        <v>0.99108091448674696</v>
      </c>
      <c r="S9" t="s">
        <v>6320</v>
      </c>
      <c r="T9" t="s">
        <v>12620</v>
      </c>
      <c r="U9" t="s">
        <v>12620</v>
      </c>
      <c r="V9" t="s">
        <v>12620</v>
      </c>
      <c r="W9" t="s">
        <v>12629</v>
      </c>
      <c r="X9">
        <v>22</v>
      </c>
      <c r="Y9" t="s">
        <v>18875</v>
      </c>
      <c r="Z9" t="s">
        <v>24956</v>
      </c>
      <c r="AA9">
        <v>0.55554082737405197</v>
      </c>
      <c r="AB9" t="str">
        <f>HYPERLINK("Melting_Curves/meltCurve_A1X283_SH3PXD2B.pdf", "Melting_Curves/meltCurve_A1X283_SH3PXD2B.pdf")</f>
        <v>Melting_Curves/meltCurve_A1X283_SH3PXD2B.pdf</v>
      </c>
    </row>
    <row r="10" spans="1:28" x14ac:dyDescent="0.25">
      <c r="A10" t="s">
        <v>14</v>
      </c>
      <c r="B10">
        <v>0.99987803227770999</v>
      </c>
      <c r="C10">
        <v>1.0791021879518801</v>
      </c>
      <c r="D10">
        <v>0.97764686410614499</v>
      </c>
      <c r="E10">
        <v>1.0960814402163701</v>
      </c>
      <c r="F10">
        <v>1.0714823115412999</v>
      </c>
      <c r="G10">
        <v>0.821903462324033</v>
      </c>
      <c r="H10">
        <v>1.1641050813865199</v>
      </c>
      <c r="I10">
        <v>0.82954751918431502</v>
      </c>
      <c r="J10">
        <v>1.1472158818506699</v>
      </c>
      <c r="K10">
        <v>0.90857296554469003</v>
      </c>
      <c r="L10">
        <v>14999.483014646999</v>
      </c>
      <c r="M10">
        <v>211.98587888597999</v>
      </c>
      <c r="Q10">
        <v>3.66082642464466E-3</v>
      </c>
      <c r="R10">
        <v>5.3974672004224497E-2</v>
      </c>
      <c r="S10" t="s">
        <v>6321</v>
      </c>
      <c r="T10" t="s">
        <v>12620</v>
      </c>
      <c r="U10" t="s">
        <v>12620</v>
      </c>
      <c r="V10" t="s">
        <v>12620</v>
      </c>
      <c r="W10" t="s">
        <v>12630</v>
      </c>
      <c r="X10">
        <v>2</v>
      </c>
      <c r="Y10" t="s">
        <v>18876</v>
      </c>
      <c r="Z10" t="s">
        <v>24957</v>
      </c>
      <c r="AA10">
        <v>0.99896574244923331</v>
      </c>
      <c r="AB10" t="str">
        <f>HYPERLINK("Melting_Curves/meltCurve_A2A2A7_PARD6B.pdf", "Melting_Curves/meltCurve_A2A2A7_PARD6B.pdf")</f>
        <v>Melting_Curves/meltCurve_A2A2A7_PARD6B.pdf</v>
      </c>
    </row>
    <row r="11" spans="1:28" x14ac:dyDescent="0.25">
      <c r="A11" t="s">
        <v>15</v>
      </c>
      <c r="B11">
        <v>0.99987803227770999</v>
      </c>
      <c r="C11">
        <v>0.96515890922730796</v>
      </c>
      <c r="D11">
        <v>0.67908416025290697</v>
      </c>
      <c r="E11">
        <v>0.48972407972264898</v>
      </c>
      <c r="F11">
        <v>0.24280316613682601</v>
      </c>
      <c r="G11">
        <v>0.14564519139436</v>
      </c>
      <c r="H11">
        <v>9.8314990270684896E-2</v>
      </c>
      <c r="I11">
        <v>8.9115168660739694E-2</v>
      </c>
      <c r="J11">
        <v>7.2625667782084805E-2</v>
      </c>
      <c r="K11">
        <v>5.4018541305033099E-2</v>
      </c>
      <c r="L11">
        <v>788.407711004612</v>
      </c>
      <c r="M11">
        <v>16.142400161660301</v>
      </c>
      <c r="N11">
        <v>49.226422215099902</v>
      </c>
      <c r="O11">
        <v>48.109688053748101</v>
      </c>
      <c r="P11">
        <v>-7.8907207835627602E-2</v>
      </c>
      <c r="Q11">
        <v>5.9392798531015902E-2</v>
      </c>
      <c r="R11">
        <v>0.991034517610897</v>
      </c>
      <c r="S11" t="s">
        <v>6322</v>
      </c>
      <c r="T11" t="s">
        <v>12620</v>
      </c>
      <c r="U11" t="s">
        <v>12620</v>
      </c>
      <c r="V11" t="s">
        <v>12620</v>
      </c>
      <c r="W11" t="s">
        <v>12631</v>
      </c>
      <c r="X11">
        <v>6</v>
      </c>
      <c r="Y11" t="s">
        <v>18877</v>
      </c>
      <c r="Z11" t="s">
        <v>24958</v>
      </c>
      <c r="AA11">
        <v>0.35686218542106918</v>
      </c>
      <c r="AB11" t="str">
        <f>HYPERLINK("Melting_Curves/meltCurve_A2A3N6_PIPSL.pdf", "Melting_Curves/meltCurve_A2A3N6_PIPSL.pdf")</f>
        <v>Melting_Curves/meltCurve_A2A3N6_PIPSL.pdf</v>
      </c>
    </row>
    <row r="12" spans="1:28" x14ac:dyDescent="0.25">
      <c r="A12" t="s">
        <v>16</v>
      </c>
      <c r="B12">
        <v>0.99987803227770999</v>
      </c>
      <c r="C12">
        <v>1.26458789071813</v>
      </c>
      <c r="D12">
        <v>0.806617572011322</v>
      </c>
      <c r="E12">
        <v>1.09627988632586</v>
      </c>
      <c r="F12">
        <v>0.72792142312164199</v>
      </c>
      <c r="G12">
        <v>0.29740488906072798</v>
      </c>
      <c r="H12">
        <v>0.101683670641924</v>
      </c>
      <c r="I12">
        <v>6.7208037438357099E-2</v>
      </c>
      <c r="J12">
        <v>5.2604359075148301E-2</v>
      </c>
      <c r="K12">
        <v>4.4931721344159598E-2</v>
      </c>
      <c r="L12">
        <v>1760.30593471157</v>
      </c>
      <c r="M12">
        <v>32.052203067807497</v>
      </c>
      <c r="N12">
        <v>55.1231588090345</v>
      </c>
      <c r="O12">
        <v>54.7075232490742</v>
      </c>
      <c r="P12">
        <v>-0.13831044982495899</v>
      </c>
      <c r="Q12">
        <v>5.57176218678982E-2</v>
      </c>
      <c r="R12">
        <v>0.93944257617261795</v>
      </c>
      <c r="S12" t="s">
        <v>6323</v>
      </c>
      <c r="T12" t="s">
        <v>12620</v>
      </c>
      <c r="U12" t="s">
        <v>12620</v>
      </c>
      <c r="V12" t="s">
        <v>12620</v>
      </c>
      <c r="W12" t="s">
        <v>12632</v>
      </c>
      <c r="X12">
        <v>2</v>
      </c>
      <c r="Y12" t="s">
        <v>18878</v>
      </c>
      <c r="Z12" t="s">
        <v>24959</v>
      </c>
      <c r="AA12">
        <v>0.53085662469127315</v>
      </c>
      <c r="AB12" t="str">
        <f>HYPERLINK("Melting_Curves/meltCurve_A2RTX5_2_TARSL2.pdf", "Melting_Curves/meltCurve_A2RTX5_2_TARSL2.pdf")</f>
        <v>Melting_Curves/meltCurve_A2RTX5_2_TARSL2.pdf</v>
      </c>
    </row>
    <row r="13" spans="1:28" x14ac:dyDescent="0.25">
      <c r="A13" t="s">
        <v>17</v>
      </c>
      <c r="B13">
        <v>0.99987803227770999</v>
      </c>
      <c r="C13">
        <v>1.0633788953249701</v>
      </c>
      <c r="D13">
        <v>0.99320724450495701</v>
      </c>
      <c r="E13">
        <v>0.92284630223324304</v>
      </c>
      <c r="F13">
        <v>0.50721276266926296</v>
      </c>
      <c r="G13">
        <v>0.32969286537132098</v>
      </c>
      <c r="H13">
        <v>0.156126459495527</v>
      </c>
      <c r="I13">
        <v>0.13975215587978801</v>
      </c>
      <c r="J13">
        <v>0.118109053131655</v>
      </c>
      <c r="K13">
        <v>8.3271666424677607E-2</v>
      </c>
      <c r="L13">
        <v>1319.90938907692</v>
      </c>
      <c r="M13">
        <v>24.786580219881699</v>
      </c>
      <c r="N13">
        <v>53.834747319672701</v>
      </c>
      <c r="O13">
        <v>52.908003367699898</v>
      </c>
      <c r="P13">
        <v>-0.103320401596204</v>
      </c>
      <c r="Q13">
        <v>0.11784554630385299</v>
      </c>
      <c r="R13">
        <v>0.98649976323867405</v>
      </c>
      <c r="S13" t="s">
        <v>6324</v>
      </c>
      <c r="T13" t="s">
        <v>12620</v>
      </c>
      <c r="U13" t="s">
        <v>12620</v>
      </c>
      <c r="V13" t="s">
        <v>12620</v>
      </c>
      <c r="W13" t="s">
        <v>12633</v>
      </c>
      <c r="X13">
        <v>8</v>
      </c>
      <c r="Y13" t="s">
        <v>18879</v>
      </c>
      <c r="Z13" t="s">
        <v>24960</v>
      </c>
      <c r="AA13">
        <v>0.51575874448797943</v>
      </c>
      <c r="AB13" t="str">
        <f>HYPERLINK("Melting_Curves/meltCurve_A2RUC4_TYW5.pdf", "Melting_Curves/meltCurve_A2RUC4_TYW5.pdf")</f>
        <v>Melting_Curves/meltCurve_A2RUC4_TYW5.pdf</v>
      </c>
    </row>
    <row r="14" spans="1:28" x14ac:dyDescent="0.25">
      <c r="A14" t="s">
        <v>18</v>
      </c>
      <c r="B14">
        <v>0.99987803227770999</v>
      </c>
      <c r="C14">
        <v>1.0552724355168299</v>
      </c>
      <c r="D14">
        <v>0.94752809768277602</v>
      </c>
      <c r="E14">
        <v>0.716896610244524</v>
      </c>
      <c r="F14">
        <v>0.27690937513576303</v>
      </c>
      <c r="G14">
        <v>0.15903690244010499</v>
      </c>
      <c r="H14">
        <v>0.13110347187017499</v>
      </c>
      <c r="I14">
        <v>0.116112100747665</v>
      </c>
      <c r="J14">
        <v>8.9625760775759802E-2</v>
      </c>
      <c r="K14">
        <v>6.8657348012511499E-2</v>
      </c>
      <c r="L14">
        <v>1801.73543068812</v>
      </c>
      <c r="M14">
        <v>35.323022985263002</v>
      </c>
      <c r="N14">
        <v>51.353034265849402</v>
      </c>
      <c r="O14">
        <v>50.844742204767101</v>
      </c>
      <c r="P14">
        <v>-0.155305902032154</v>
      </c>
      <c r="Q14">
        <v>0.105800009794734</v>
      </c>
      <c r="R14">
        <v>0.99497857915996302</v>
      </c>
      <c r="S14" t="s">
        <v>6325</v>
      </c>
      <c r="T14" t="s">
        <v>12620</v>
      </c>
      <c r="U14" t="s">
        <v>12620</v>
      </c>
      <c r="V14" t="s">
        <v>12620</v>
      </c>
      <c r="W14" t="s">
        <v>12634</v>
      </c>
      <c r="X14">
        <v>5</v>
      </c>
      <c r="Y14" t="s">
        <v>18880</v>
      </c>
      <c r="Z14" t="s">
        <v>24961</v>
      </c>
      <c r="AA14">
        <v>0.43794356011866581</v>
      </c>
      <c r="AB14" t="str">
        <f>HYPERLINK("Melting_Curves/meltCurve_A3KMH1_2_VWA8.pdf", "Melting_Curves/meltCurve_A3KMH1_2_VWA8.pdf")</f>
        <v>Melting_Curves/meltCurve_A3KMH1_2_VWA8.pdf</v>
      </c>
    </row>
    <row r="15" spans="1:28" x14ac:dyDescent="0.25">
      <c r="A15" t="s">
        <v>19</v>
      </c>
      <c r="B15">
        <v>0.99987803227770999</v>
      </c>
      <c r="C15">
        <v>1.10684068216823</v>
      </c>
      <c r="D15">
        <v>1.0180842779678601</v>
      </c>
      <c r="E15">
        <v>1.09231061146451</v>
      </c>
      <c r="F15">
        <v>0.52174017911934001</v>
      </c>
      <c r="G15">
        <v>0.276533321823834</v>
      </c>
      <c r="H15">
        <v>0.22169752117897301</v>
      </c>
      <c r="I15">
        <v>0.20525669112005099</v>
      </c>
      <c r="J15">
        <v>0.17420454175614</v>
      </c>
      <c r="K15">
        <v>0.147166325445827</v>
      </c>
      <c r="L15">
        <v>13228.164954674399</v>
      </c>
      <c r="M15">
        <v>250</v>
      </c>
      <c r="N15">
        <v>53.024574186941301</v>
      </c>
      <c r="O15">
        <v>52.909290943535098</v>
      </c>
      <c r="P15">
        <v>-0.93914106069518899</v>
      </c>
      <c r="Q15">
        <v>0.20497165595819899</v>
      </c>
      <c r="R15">
        <v>0.981561259989158</v>
      </c>
      <c r="S15" t="s">
        <v>6326</v>
      </c>
      <c r="T15" t="s">
        <v>12620</v>
      </c>
      <c r="U15" t="s">
        <v>12620</v>
      </c>
      <c r="V15" t="s">
        <v>12620</v>
      </c>
      <c r="W15" t="s">
        <v>12635</v>
      </c>
      <c r="X15">
        <v>31</v>
      </c>
      <c r="Y15" t="s">
        <v>18881</v>
      </c>
      <c r="Z15" t="s">
        <v>24962</v>
      </c>
      <c r="AA15">
        <v>0.54724316809583939</v>
      </c>
      <c r="AB15" t="str">
        <f>HYPERLINK("Melting_Curves/meltCurve_A3KN83_2_SBNO1.pdf", "Melting_Curves/meltCurve_A3KN83_2_SBNO1.pdf")</f>
        <v>Melting_Curves/meltCurve_A3KN83_2_SBNO1.pdf</v>
      </c>
    </row>
    <row r="16" spans="1:28" x14ac:dyDescent="0.25">
      <c r="A16" t="s">
        <v>20</v>
      </c>
      <c r="B16">
        <v>0.99987803227770999</v>
      </c>
      <c r="C16">
        <v>1.0422706859789601</v>
      </c>
      <c r="D16">
        <v>0.96159182886107897</v>
      </c>
      <c r="E16">
        <v>0.86004823924396001</v>
      </c>
      <c r="F16">
        <v>0.59209459934185704</v>
      </c>
      <c r="G16">
        <v>0.45452221476389099</v>
      </c>
      <c r="H16">
        <v>0.442946064344033</v>
      </c>
      <c r="I16">
        <v>0.43288620775804498</v>
      </c>
      <c r="J16">
        <v>0.30105809118099303</v>
      </c>
      <c r="K16">
        <v>0.230934956506058</v>
      </c>
      <c r="L16">
        <v>911.76557579199095</v>
      </c>
      <c r="M16">
        <v>17.2174472115973</v>
      </c>
      <c r="N16">
        <v>56.130468862974602</v>
      </c>
      <c r="O16">
        <v>52.257017046379403</v>
      </c>
      <c r="P16">
        <v>-5.6741580785388199E-2</v>
      </c>
      <c r="Q16">
        <v>0.31117048313429901</v>
      </c>
      <c r="R16">
        <v>0.96434778752309902</v>
      </c>
      <c r="S16" t="s">
        <v>6327</v>
      </c>
      <c r="T16" t="s">
        <v>12620</v>
      </c>
      <c r="U16" t="s">
        <v>12620</v>
      </c>
      <c r="V16" t="s">
        <v>12620</v>
      </c>
      <c r="W16" t="s">
        <v>12636</v>
      </c>
      <c r="X16">
        <v>1</v>
      </c>
      <c r="Y16" t="s">
        <v>18882</v>
      </c>
      <c r="Z16" t="s">
        <v>24963</v>
      </c>
      <c r="AA16">
        <v>0.62076152095475678</v>
      </c>
      <c r="AB16" t="str">
        <f>HYPERLINK("Melting_Curves/meltCurve_A4D1E9_2_GTPBP10.pdf", "Melting_Curves/meltCurve_A4D1E9_2_GTPBP10.pdf")</f>
        <v>Melting_Curves/meltCurve_A4D1E9_2_GTPBP10.pdf</v>
      </c>
    </row>
    <row r="17" spans="1:28" x14ac:dyDescent="0.25">
      <c r="A17" t="s">
        <v>21</v>
      </c>
      <c r="B17">
        <v>0.99987803227770999</v>
      </c>
      <c r="C17">
        <v>0.87350039606472396</v>
      </c>
      <c r="D17">
        <v>0.92793959026963702</v>
      </c>
      <c r="E17">
        <v>0.85597352678225802</v>
      </c>
      <c r="F17">
        <v>0.81849725553706898</v>
      </c>
      <c r="G17">
        <v>0.69838708928182902</v>
      </c>
      <c r="H17">
        <v>0.65773162731822599</v>
      </c>
      <c r="I17">
        <v>0.565541867981042</v>
      </c>
      <c r="J17">
        <v>0.46836973347984101</v>
      </c>
      <c r="K17">
        <v>0.28398382573714598</v>
      </c>
      <c r="L17">
        <v>428.82067158331603</v>
      </c>
      <c r="M17">
        <v>6.61712188203854</v>
      </c>
      <c r="N17">
        <v>64.804710996699299</v>
      </c>
      <c r="O17">
        <v>59.652703972118601</v>
      </c>
      <c r="P17">
        <v>-2.7794984620647101E-2</v>
      </c>
      <c r="Q17">
        <v>0</v>
      </c>
      <c r="R17">
        <v>0.94608248036583897</v>
      </c>
      <c r="S17" t="s">
        <v>6328</v>
      </c>
      <c r="T17" t="s">
        <v>12620</v>
      </c>
      <c r="U17" t="s">
        <v>12620</v>
      </c>
      <c r="V17" t="s">
        <v>12620</v>
      </c>
      <c r="W17" t="s">
        <v>12637</v>
      </c>
      <c r="X17">
        <v>9</v>
      </c>
      <c r="Y17" t="s">
        <v>18883</v>
      </c>
      <c r="Z17" t="s">
        <v>24964</v>
      </c>
      <c r="AA17">
        <v>0.733797888585623</v>
      </c>
      <c r="AB17" t="str">
        <f>HYPERLINK("Melting_Curves/meltCurve_A4D1P6_2_WDR91.pdf", "Melting_Curves/meltCurve_A4D1P6_2_WDR91.pdf")</f>
        <v>Melting_Curves/meltCurve_A4D1P6_2_WDR91.pdf</v>
      </c>
    </row>
    <row r="18" spans="1:28" x14ac:dyDescent="0.25">
      <c r="A18" t="s">
        <v>22</v>
      </c>
      <c r="B18">
        <v>0.99987803227770999</v>
      </c>
      <c r="C18">
        <v>0.82420812321402803</v>
      </c>
      <c r="D18">
        <v>1.01843737266006</v>
      </c>
      <c r="E18">
        <v>0.75556790351371805</v>
      </c>
      <c r="F18">
        <v>0.79645490423293197</v>
      </c>
      <c r="G18">
        <v>0.72720239857436597</v>
      </c>
      <c r="H18">
        <v>0.62844533939560698</v>
      </c>
      <c r="I18">
        <v>0.63282418740758495</v>
      </c>
      <c r="J18">
        <v>0.58012406427932905</v>
      </c>
      <c r="K18">
        <v>0.56895330321910897</v>
      </c>
      <c r="L18">
        <v>369.63977678274301</v>
      </c>
      <c r="M18">
        <v>6.5858355346791901</v>
      </c>
      <c r="O18">
        <v>51.627362244688896</v>
      </c>
      <c r="P18">
        <v>-1.7674311278159299E-2</v>
      </c>
      <c r="Q18">
        <v>0.447074100058308</v>
      </c>
      <c r="R18">
        <v>0.84496968595473498</v>
      </c>
      <c r="S18" t="s">
        <v>6329</v>
      </c>
      <c r="T18" t="s">
        <v>12620</v>
      </c>
      <c r="U18" t="s">
        <v>12620</v>
      </c>
      <c r="V18" t="s">
        <v>12620</v>
      </c>
      <c r="W18" t="s">
        <v>12638</v>
      </c>
      <c r="X18">
        <v>2</v>
      </c>
      <c r="Y18" t="s">
        <v>18884</v>
      </c>
      <c r="Z18" t="s">
        <v>24965</v>
      </c>
      <c r="AA18">
        <v>0.75291413624025649</v>
      </c>
      <c r="AB18" t="str">
        <f>HYPERLINK("Melting_Curves/meltCurve_A4D1S0_2_KLRG2.pdf", "Melting_Curves/meltCurve_A4D1S0_2_KLRG2.pdf")</f>
        <v>Melting_Curves/meltCurve_A4D1S0_2_KLRG2.pdf</v>
      </c>
    </row>
    <row r="19" spans="1:28" x14ac:dyDescent="0.25">
      <c r="A19" t="s">
        <v>23</v>
      </c>
      <c r="B19">
        <v>0.99987803227770999</v>
      </c>
      <c r="C19">
        <v>0.97066801989282603</v>
      </c>
      <c r="D19">
        <v>0.96596488665249802</v>
      </c>
      <c r="E19">
        <v>0.91387140446548898</v>
      </c>
      <c r="F19">
        <v>0.91957305644487297</v>
      </c>
      <c r="G19">
        <v>0.82503033439499895</v>
      </c>
      <c r="H19">
        <v>0.80378810368488995</v>
      </c>
      <c r="I19">
        <v>0.76838909159469904</v>
      </c>
      <c r="J19">
        <v>0.59996946827933395</v>
      </c>
      <c r="K19">
        <v>0.480365584856419</v>
      </c>
      <c r="L19">
        <v>533.17902296041996</v>
      </c>
      <c r="M19">
        <v>7.51149006777029</v>
      </c>
      <c r="O19">
        <v>66.473511810974202</v>
      </c>
      <c r="P19">
        <v>-2.8290325025174201E-2</v>
      </c>
      <c r="Q19">
        <v>0</v>
      </c>
      <c r="R19">
        <v>0.95034979952905396</v>
      </c>
      <c r="S19" t="s">
        <v>6330</v>
      </c>
      <c r="T19" t="s">
        <v>12620</v>
      </c>
      <c r="U19" t="s">
        <v>12620</v>
      </c>
      <c r="V19" t="s">
        <v>12620</v>
      </c>
      <c r="W19" t="s">
        <v>12639</v>
      </c>
      <c r="X19">
        <v>4</v>
      </c>
      <c r="Y19" t="s">
        <v>18885</v>
      </c>
      <c r="Z19" t="s">
        <v>24966</v>
      </c>
      <c r="AA19">
        <v>0.8469625628832318</v>
      </c>
      <c r="AB19" t="str">
        <f>HYPERLINK("Melting_Curves/meltCurve_A4D2B0_MBLAC1.pdf", "Melting_Curves/meltCurve_A4D2B0_MBLAC1.pdf")</f>
        <v>Melting_Curves/meltCurve_A4D2B0_MBLAC1.pdf</v>
      </c>
    </row>
    <row r="20" spans="1:28" x14ac:dyDescent="0.25">
      <c r="A20" t="s">
        <v>24</v>
      </c>
      <c r="B20">
        <v>0.99987803227770999</v>
      </c>
      <c r="C20">
        <v>0.87307852129681796</v>
      </c>
      <c r="D20">
        <v>0.71419413835414902</v>
      </c>
      <c r="E20">
        <v>0.61324112512545903</v>
      </c>
      <c r="F20">
        <v>0.31177624896349199</v>
      </c>
      <c r="G20">
        <v>0.15073885666681899</v>
      </c>
      <c r="H20">
        <v>7.0991594668093003E-2</v>
      </c>
      <c r="I20">
        <v>6.1739701759406102E-2</v>
      </c>
      <c r="J20">
        <v>4.4230025380908401E-2</v>
      </c>
      <c r="K20">
        <v>1.7030034231199399E-2</v>
      </c>
      <c r="L20">
        <v>657.24504700959096</v>
      </c>
      <c r="M20">
        <v>13.066503898796199</v>
      </c>
      <c r="N20">
        <v>50.299992010441898</v>
      </c>
      <c r="O20">
        <v>49.165567324314097</v>
      </c>
      <c r="P20">
        <v>-6.6452815255715295E-2</v>
      </c>
      <c r="Q20">
        <v>0</v>
      </c>
      <c r="R20">
        <v>0.98738071785757697</v>
      </c>
      <c r="S20" t="s">
        <v>6331</v>
      </c>
      <c r="T20" t="s">
        <v>12620</v>
      </c>
      <c r="U20" t="s">
        <v>12620</v>
      </c>
      <c r="V20" t="s">
        <v>12620</v>
      </c>
      <c r="W20" t="s">
        <v>12640</v>
      </c>
      <c r="X20">
        <v>2</v>
      </c>
      <c r="Y20" t="s">
        <v>18886</v>
      </c>
      <c r="Z20" t="s">
        <v>24967</v>
      </c>
      <c r="AA20">
        <v>0.3730937688344641</v>
      </c>
      <c r="AB20" t="str">
        <f>HYPERLINK("Melting_Curves/meltCurve_A5PLN9_2_TRAPPC13.pdf", "Melting_Curves/meltCurve_A5PLN9_2_TRAPPC13.pdf")</f>
        <v>Melting_Curves/meltCurve_A5PLN9_2_TRAPPC13.pdf</v>
      </c>
    </row>
    <row r="21" spans="1:28" x14ac:dyDescent="0.25">
      <c r="A21" t="s">
        <v>25</v>
      </c>
      <c r="B21">
        <v>0.99987803227770999</v>
      </c>
      <c r="C21">
        <v>1.0791816673855099</v>
      </c>
      <c r="D21">
        <v>0.86293137523498897</v>
      </c>
      <c r="E21">
        <v>1.10241048333734</v>
      </c>
      <c r="F21">
        <v>0.409373769280441</v>
      </c>
      <c r="G21">
        <v>0.220769638235082</v>
      </c>
      <c r="H21">
        <v>0.117809982135182</v>
      </c>
      <c r="I21">
        <v>0.114827109273901</v>
      </c>
      <c r="J21">
        <v>7.5243476000666804E-2</v>
      </c>
      <c r="K21">
        <v>5.5138417149726303E-2</v>
      </c>
      <c r="L21">
        <v>13212.777023619199</v>
      </c>
      <c r="M21">
        <v>250</v>
      </c>
      <c r="N21">
        <v>52.907389189186503</v>
      </c>
      <c r="O21">
        <v>52.847743032170598</v>
      </c>
      <c r="P21">
        <v>-1.04456044583795</v>
      </c>
      <c r="Q21">
        <v>0.11675769231834</v>
      </c>
      <c r="R21">
        <v>0.97177992534198998</v>
      </c>
      <c r="S21" t="s">
        <v>6332</v>
      </c>
      <c r="T21" t="s">
        <v>12620</v>
      </c>
      <c r="U21" t="s">
        <v>12620</v>
      </c>
      <c r="V21" t="s">
        <v>12620</v>
      </c>
      <c r="W21" t="s">
        <v>12641</v>
      </c>
      <c r="X21">
        <v>49</v>
      </c>
      <c r="Y21" t="s">
        <v>18887</v>
      </c>
      <c r="Z21" t="s">
        <v>24968</v>
      </c>
      <c r="AA21">
        <v>0.49519436123359628</v>
      </c>
      <c r="AB21" t="str">
        <f>HYPERLINK("Melting_Curves/meltCurve_A5YKK6_CNOT1.pdf", "Melting_Curves/meltCurve_A5YKK6_CNOT1.pdf")</f>
        <v>Melting_Curves/meltCurve_A5YKK6_CNOT1.pdf</v>
      </c>
    </row>
    <row r="22" spans="1:28" x14ac:dyDescent="0.25">
      <c r="A22" t="s">
        <v>26</v>
      </c>
      <c r="B22">
        <v>0.99987803227770999</v>
      </c>
      <c r="C22">
        <v>0.97182892555707101</v>
      </c>
      <c r="D22">
        <v>1.02634516291217</v>
      </c>
      <c r="E22">
        <v>0.95694952332015903</v>
      </c>
      <c r="F22">
        <v>1.0228254233824701</v>
      </c>
      <c r="G22">
        <v>1.00261169094729</v>
      </c>
      <c r="H22">
        <v>0.95076510697848904</v>
      </c>
      <c r="I22">
        <v>1.0020464128576301</v>
      </c>
      <c r="J22">
        <v>0.93196773912408004</v>
      </c>
      <c r="K22">
        <v>0.68163739630675901</v>
      </c>
      <c r="L22">
        <v>2925.3478748955399</v>
      </c>
      <c r="M22">
        <v>41.029466393083197</v>
      </c>
      <c r="Q22">
        <v>0</v>
      </c>
      <c r="R22">
        <v>0.93105941129491299</v>
      </c>
      <c r="S22" t="s">
        <v>6333</v>
      </c>
      <c r="T22" t="s">
        <v>12620</v>
      </c>
      <c r="U22" t="s">
        <v>12620</v>
      </c>
      <c r="V22" t="s">
        <v>12620</v>
      </c>
      <c r="W22" t="s">
        <v>12642</v>
      </c>
      <c r="X22">
        <v>6</v>
      </c>
      <c r="Y22" t="s">
        <v>18888</v>
      </c>
      <c r="Z22" t="s">
        <v>24969</v>
      </c>
      <c r="AA22">
        <v>0.97964864910685923</v>
      </c>
      <c r="AB22" t="str">
        <f>HYPERLINK("Melting_Curves/meltCurve_A6H8Y1_7_BDP1.pdf", "Melting_Curves/meltCurve_A6H8Y1_7_BDP1.pdf")</f>
        <v>Melting_Curves/meltCurve_A6H8Y1_7_BDP1.pdf</v>
      </c>
    </row>
    <row r="23" spans="1:28" x14ac:dyDescent="0.25">
      <c r="A23" t="s">
        <v>27</v>
      </c>
      <c r="B23">
        <v>0.99987803227770999</v>
      </c>
      <c r="C23">
        <v>1.2476523266340001</v>
      </c>
      <c r="D23">
        <v>1.07205460672893</v>
      </c>
      <c r="E23">
        <v>0.95807187241046299</v>
      </c>
      <c r="F23">
        <v>0.55092888307877597</v>
      </c>
      <c r="G23">
        <v>0.27708404010936599</v>
      </c>
      <c r="H23">
        <v>0.180720160054787</v>
      </c>
      <c r="I23">
        <v>0.15079496287382699</v>
      </c>
      <c r="J23">
        <v>0.119690061005118</v>
      </c>
      <c r="K23">
        <v>7.5134735976939496E-2</v>
      </c>
      <c r="L23">
        <v>1732.77437990727</v>
      </c>
      <c r="M23">
        <v>32.563654195487402</v>
      </c>
      <c r="N23">
        <v>53.731735265509897</v>
      </c>
      <c r="O23">
        <v>53.012441719712598</v>
      </c>
      <c r="P23">
        <v>-0.132817969459641</v>
      </c>
      <c r="Q23">
        <v>0.135112818317253</v>
      </c>
      <c r="R23">
        <v>0.95795559644341999</v>
      </c>
      <c r="S23" t="s">
        <v>6334</v>
      </c>
      <c r="T23" t="s">
        <v>12620</v>
      </c>
      <c r="U23" t="s">
        <v>12620</v>
      </c>
      <c r="V23" t="s">
        <v>12620</v>
      </c>
      <c r="W23" t="s">
        <v>12643</v>
      </c>
      <c r="X23">
        <v>2</v>
      </c>
      <c r="Y23" t="s">
        <v>18889</v>
      </c>
      <c r="Z23" t="s">
        <v>24970</v>
      </c>
      <c r="AA23">
        <v>0.52079450159570617</v>
      </c>
      <c r="AB23" t="str">
        <f>HYPERLINK("Melting_Curves/meltCurve_A6ND22_MRPS16.pdf", "Melting_Curves/meltCurve_A6ND22_MRPS16.pdf")</f>
        <v>Melting_Curves/meltCurve_A6ND22_MRPS16.pdf</v>
      </c>
    </row>
    <row r="24" spans="1:28" x14ac:dyDescent="0.25">
      <c r="A24" t="s">
        <v>28</v>
      </c>
      <c r="B24">
        <v>0.99987803227770999</v>
      </c>
      <c r="C24">
        <v>1.0527032528536699</v>
      </c>
      <c r="D24">
        <v>1.0045839137016299</v>
      </c>
      <c r="E24">
        <v>0.97395060818753099</v>
      </c>
      <c r="F24">
        <v>0.520843960380732</v>
      </c>
      <c r="G24">
        <v>0.35641362718166603</v>
      </c>
      <c r="H24">
        <v>0.339007961596408</v>
      </c>
      <c r="I24">
        <v>0.297989270245752</v>
      </c>
      <c r="J24">
        <v>0.32153379801453702</v>
      </c>
      <c r="K24">
        <v>0.26538273854169198</v>
      </c>
      <c r="L24">
        <v>3433.8271248749402</v>
      </c>
      <c r="M24">
        <v>65.622406684499794</v>
      </c>
      <c r="N24">
        <v>53.132860819097097</v>
      </c>
      <c r="O24">
        <v>52.278524936290999</v>
      </c>
      <c r="P24">
        <v>-0.214904661204803</v>
      </c>
      <c r="Q24">
        <v>0.31517934031866202</v>
      </c>
      <c r="R24">
        <v>0.99291673965259297</v>
      </c>
      <c r="S24" t="s">
        <v>6335</v>
      </c>
      <c r="T24" t="s">
        <v>12620</v>
      </c>
      <c r="U24" t="s">
        <v>12620</v>
      </c>
      <c r="V24" t="s">
        <v>12620</v>
      </c>
      <c r="W24" t="s">
        <v>12644</v>
      </c>
      <c r="X24">
        <v>16</v>
      </c>
      <c r="Y24" t="s">
        <v>18890</v>
      </c>
      <c r="Z24" t="s">
        <v>24971</v>
      </c>
      <c r="AA24">
        <v>0.59748884572578975</v>
      </c>
      <c r="AB24" t="str">
        <f>HYPERLINK("Melting_Curves/meltCurve_A6ND36_FAM83G.pdf", "Melting_Curves/meltCurve_A6ND36_FAM83G.pdf")</f>
        <v>Melting_Curves/meltCurve_A6ND36_FAM83G.pdf</v>
      </c>
    </row>
    <row r="25" spans="1:28" x14ac:dyDescent="0.25">
      <c r="A25" t="s">
        <v>29</v>
      </c>
      <c r="B25">
        <v>0.99987803227770999</v>
      </c>
      <c r="C25">
        <v>0.70997531775899803</v>
      </c>
      <c r="D25">
        <v>0.86222308523923397</v>
      </c>
      <c r="E25">
        <v>0.755362153519054</v>
      </c>
      <c r="F25">
        <v>0.96005818686870403</v>
      </c>
      <c r="G25">
        <v>0.68148063703100603</v>
      </c>
      <c r="H25">
        <v>0.96612429089771101</v>
      </c>
      <c r="I25">
        <v>0.75414811454974295</v>
      </c>
      <c r="J25">
        <v>0.775601256516814</v>
      </c>
      <c r="K25">
        <v>0.62994959724892596</v>
      </c>
      <c r="L25">
        <v>100.035260614927</v>
      </c>
      <c r="M25">
        <v>0.39193136021564801</v>
      </c>
      <c r="Q25">
        <v>0</v>
      </c>
      <c r="R25">
        <v>0.165794025149227</v>
      </c>
      <c r="S25" t="s">
        <v>6336</v>
      </c>
      <c r="T25" t="s">
        <v>12620</v>
      </c>
      <c r="U25" t="s">
        <v>12620</v>
      </c>
      <c r="V25" t="s">
        <v>12620</v>
      </c>
      <c r="W25" t="s">
        <v>12645</v>
      </c>
      <c r="X25">
        <v>1</v>
      </c>
      <c r="Y25" t="s">
        <v>18891</v>
      </c>
      <c r="Z25" t="s">
        <v>24972</v>
      </c>
      <c r="AA25">
        <v>0.8093894893541429</v>
      </c>
      <c r="AB25" t="str">
        <f>HYPERLINK("Melting_Curves/meltCurve_A6NDB9_PALM3.pdf", "Melting_Curves/meltCurve_A6NDB9_PALM3.pdf")</f>
        <v>Melting_Curves/meltCurve_A6NDB9_PALM3.pdf</v>
      </c>
    </row>
    <row r="26" spans="1:28" x14ac:dyDescent="0.25">
      <c r="A26" t="s">
        <v>30</v>
      </c>
      <c r="B26">
        <v>0.99987803227770999</v>
      </c>
      <c r="C26">
        <v>1.03199090065174</v>
      </c>
      <c r="D26">
        <v>1.08300289298501</v>
      </c>
      <c r="E26">
        <v>1.04251789906792</v>
      </c>
      <c r="F26">
        <v>1.0781302826734001</v>
      </c>
      <c r="G26">
        <v>0.98483024910344996</v>
      </c>
      <c r="H26">
        <v>1.08213892243221</v>
      </c>
      <c r="I26">
        <v>0.53531288595957305</v>
      </c>
      <c r="J26">
        <v>8.2373032366654497E-2</v>
      </c>
      <c r="K26">
        <v>6.5330287131940806E-2</v>
      </c>
      <c r="L26">
        <v>15000</v>
      </c>
      <c r="M26">
        <v>234.38191888095201</v>
      </c>
      <c r="N26">
        <v>64.041771085926797</v>
      </c>
      <c r="O26">
        <v>63.993460778870698</v>
      </c>
      <c r="P26">
        <v>-0.84803829479197002</v>
      </c>
      <c r="Q26">
        <v>7.3838160114853807E-2</v>
      </c>
      <c r="R26">
        <v>0.98518094458620697</v>
      </c>
      <c r="S26" t="s">
        <v>6337</v>
      </c>
      <c r="T26" t="s">
        <v>12620</v>
      </c>
      <c r="U26" t="s">
        <v>12620</v>
      </c>
      <c r="V26" t="s">
        <v>12620</v>
      </c>
      <c r="W26" t="s">
        <v>12646</v>
      </c>
      <c r="X26">
        <v>13</v>
      </c>
      <c r="Y26" t="s">
        <v>18892</v>
      </c>
      <c r="Z26" t="s">
        <v>24973</v>
      </c>
      <c r="AA26">
        <v>0.81482765776645938</v>
      </c>
      <c r="AB26" t="str">
        <f>HYPERLINK("Melting_Curves/meltCurve_A6NDG6_PGP.pdf", "Melting_Curves/meltCurve_A6NDG6_PGP.pdf")</f>
        <v>Melting_Curves/meltCurve_A6NDG6_PGP.pdf</v>
      </c>
    </row>
    <row r="27" spans="1:28" x14ac:dyDescent="0.25">
      <c r="A27" t="s">
        <v>31</v>
      </c>
      <c r="B27">
        <v>0.99987803227770999</v>
      </c>
      <c r="C27">
        <v>0.88187683453657595</v>
      </c>
      <c r="D27">
        <v>1.08534306808973</v>
      </c>
      <c r="E27">
        <v>0.794237707310392</v>
      </c>
      <c r="F27">
        <v>0.40480051973025599</v>
      </c>
      <c r="G27">
        <v>0.16760661926390699</v>
      </c>
      <c r="H27">
        <v>0.10595212520524799</v>
      </c>
      <c r="I27">
        <v>8.7448710114121198E-2</v>
      </c>
      <c r="J27">
        <v>5.97870362118956E-2</v>
      </c>
      <c r="K27">
        <v>4.2068457988614902E-2</v>
      </c>
      <c r="L27">
        <v>1607.82641475996</v>
      </c>
      <c r="M27">
        <v>30.873859885439799</v>
      </c>
      <c r="N27">
        <v>52.356276009241498</v>
      </c>
      <c r="O27">
        <v>51.860251146270599</v>
      </c>
      <c r="P27">
        <v>-0.137544077590809</v>
      </c>
      <c r="Q27">
        <v>7.5848764035009605E-2</v>
      </c>
      <c r="R27">
        <v>0.98378588238342601</v>
      </c>
      <c r="S27" t="s">
        <v>6338</v>
      </c>
      <c r="T27" t="s">
        <v>12620</v>
      </c>
      <c r="U27" t="s">
        <v>12620</v>
      </c>
      <c r="V27" t="s">
        <v>12620</v>
      </c>
      <c r="W27" t="s">
        <v>12647</v>
      </c>
      <c r="X27">
        <v>4</v>
      </c>
      <c r="Y27" t="s">
        <v>18893</v>
      </c>
      <c r="Z27" t="s">
        <v>24974</v>
      </c>
      <c r="AA27">
        <v>0.45347409304309999</v>
      </c>
      <c r="AB27" t="str">
        <f>HYPERLINK("Melting_Curves/meltCurve_A6NDU8_C5orf51.pdf", "Melting_Curves/meltCurve_A6NDU8_C5orf51.pdf")</f>
        <v>Melting_Curves/meltCurve_A6NDU8_C5orf51.pdf</v>
      </c>
    </row>
    <row r="28" spans="1:28" x14ac:dyDescent="0.25">
      <c r="A28" t="s">
        <v>32</v>
      </c>
      <c r="B28">
        <v>0.99987803227770999</v>
      </c>
      <c r="C28">
        <v>0.94063606448539505</v>
      </c>
      <c r="D28">
        <v>0.91182127846479599</v>
      </c>
      <c r="E28">
        <v>0.69064645631161903</v>
      </c>
      <c r="F28">
        <v>0.48048263394039598</v>
      </c>
      <c r="G28">
        <v>0.25835781921538797</v>
      </c>
      <c r="H28">
        <v>0.17478066286452801</v>
      </c>
      <c r="I28">
        <v>0.155625825194603</v>
      </c>
      <c r="J28">
        <v>0.14187616046893001</v>
      </c>
      <c r="K28">
        <v>0.10162192529835801</v>
      </c>
      <c r="L28">
        <v>858.25239758186694</v>
      </c>
      <c r="M28">
        <v>16.542180706239002</v>
      </c>
      <c r="N28">
        <v>52.645181831987799</v>
      </c>
      <c r="O28">
        <v>51.1422638492499</v>
      </c>
      <c r="P28">
        <v>-7.2254382450259197E-2</v>
      </c>
      <c r="Q28">
        <v>0.106527305098524</v>
      </c>
      <c r="R28">
        <v>0.99837225379310202</v>
      </c>
      <c r="S28" t="s">
        <v>6339</v>
      </c>
      <c r="T28" t="s">
        <v>12620</v>
      </c>
      <c r="U28" t="s">
        <v>12620</v>
      </c>
      <c r="V28" t="s">
        <v>12620</v>
      </c>
      <c r="W28" t="s">
        <v>12648</v>
      </c>
      <c r="X28">
        <v>9</v>
      </c>
      <c r="Y28" t="s">
        <v>18894</v>
      </c>
      <c r="Z28" t="s">
        <v>24975</v>
      </c>
      <c r="AA28">
        <v>0.47758352103236168</v>
      </c>
      <c r="AB28" t="str">
        <f>HYPERLINK("Melting_Curves/meltCurve_A6NED2_RCCD1.pdf", "Melting_Curves/meltCurve_A6NED2_RCCD1.pdf")</f>
        <v>Melting_Curves/meltCurve_A6NED2_RCCD1.pdf</v>
      </c>
    </row>
    <row r="29" spans="1:28" x14ac:dyDescent="0.25">
      <c r="A29" t="s">
        <v>33</v>
      </c>
      <c r="B29">
        <v>0.99987803227770999</v>
      </c>
      <c r="C29">
        <v>0.82179098092528402</v>
      </c>
      <c r="D29">
        <v>0.95005622580369797</v>
      </c>
      <c r="E29">
        <v>0.846551060949564</v>
      </c>
      <c r="F29">
        <v>1.01984100946622</v>
      </c>
      <c r="G29">
        <v>0.73053059734359704</v>
      </c>
      <c r="H29">
        <v>0.84963846144450195</v>
      </c>
      <c r="I29">
        <v>0.73343510865766204</v>
      </c>
      <c r="J29">
        <v>0.856914009024209</v>
      </c>
      <c r="K29">
        <v>0.71133563878536099</v>
      </c>
      <c r="L29">
        <v>169.549536337424</v>
      </c>
      <c r="M29">
        <v>1.3120797638713899</v>
      </c>
      <c r="O29">
        <v>57.340135428969901</v>
      </c>
      <c r="P29">
        <v>-6.9939901871269999E-3</v>
      </c>
      <c r="Q29">
        <v>0</v>
      </c>
      <c r="R29">
        <v>0.38833421202985502</v>
      </c>
      <c r="S29" t="s">
        <v>6340</v>
      </c>
      <c r="T29" t="s">
        <v>12620</v>
      </c>
      <c r="U29" t="s">
        <v>12620</v>
      </c>
      <c r="V29" t="s">
        <v>12620</v>
      </c>
      <c r="W29" t="s">
        <v>12649</v>
      </c>
      <c r="X29">
        <v>3</v>
      </c>
      <c r="Y29" t="s">
        <v>18895</v>
      </c>
      <c r="Z29" t="s">
        <v>24976</v>
      </c>
      <c r="AA29">
        <v>0.85339814791451796</v>
      </c>
      <c r="AB29" t="str">
        <f>HYPERLINK("Melting_Curves/meltCurve_A6NF31_OFD1.pdf", "Melting_Curves/meltCurve_A6NF31_OFD1.pdf")</f>
        <v>Melting_Curves/meltCurve_A6NF31_OFD1.pdf</v>
      </c>
    </row>
    <row r="30" spans="1:28" x14ac:dyDescent="0.25">
      <c r="A30" t="s">
        <v>34</v>
      </c>
      <c r="B30">
        <v>0.99987803227770999</v>
      </c>
      <c r="C30">
        <v>0.83223193271157203</v>
      </c>
      <c r="D30">
        <v>1.0976260728217699</v>
      </c>
      <c r="E30">
        <v>0.87241436069191203</v>
      </c>
      <c r="F30">
        <v>1.0865432934622601</v>
      </c>
      <c r="G30">
        <v>1.0161266026179501</v>
      </c>
      <c r="H30">
        <v>0.93940387989741403</v>
      </c>
      <c r="I30">
        <v>1.0272068133327501</v>
      </c>
      <c r="J30">
        <v>0.77808735091024706</v>
      </c>
      <c r="K30">
        <v>0.68304311624246505</v>
      </c>
      <c r="L30">
        <v>15000</v>
      </c>
      <c r="M30">
        <v>224.72827203700601</v>
      </c>
      <c r="O30">
        <v>66.741981764170902</v>
      </c>
      <c r="P30">
        <v>-0.26681918422102102</v>
      </c>
      <c r="Q30">
        <v>0.68302976475161803</v>
      </c>
      <c r="R30">
        <v>0.61396850317920504</v>
      </c>
      <c r="S30" t="s">
        <v>6341</v>
      </c>
      <c r="T30" t="s">
        <v>12620</v>
      </c>
      <c r="U30" t="s">
        <v>12620</v>
      </c>
      <c r="V30" t="s">
        <v>12620</v>
      </c>
      <c r="W30" t="s">
        <v>12650</v>
      </c>
      <c r="X30">
        <v>9</v>
      </c>
      <c r="Y30" t="s">
        <v>18896</v>
      </c>
      <c r="Z30" t="s">
        <v>24977</v>
      </c>
      <c r="AA30">
        <v>0.96567862828076523</v>
      </c>
      <c r="AB30" t="str">
        <f>HYPERLINK("Melting_Curves/meltCurve_A6NF48_ZNF281.pdf", "Melting_Curves/meltCurve_A6NF48_ZNF281.pdf")</f>
        <v>Melting_Curves/meltCurve_A6NF48_ZNF281.pdf</v>
      </c>
    </row>
    <row r="31" spans="1:28" x14ac:dyDescent="0.25">
      <c r="A31" t="s">
        <v>35</v>
      </c>
      <c r="B31">
        <v>0.99987803227770999</v>
      </c>
      <c r="C31">
        <v>1.78442646721036</v>
      </c>
      <c r="D31">
        <v>0.95235111166979103</v>
      </c>
      <c r="E31">
        <v>1.35237504191137</v>
      </c>
      <c r="F31">
        <v>4.4292282777324301</v>
      </c>
      <c r="G31">
        <v>0.53019968466327105</v>
      </c>
      <c r="H31">
        <v>0.69920991267714705</v>
      </c>
      <c r="I31">
        <v>0.99085885236458804</v>
      </c>
      <c r="J31">
        <v>8.8016898718054598E-2</v>
      </c>
      <c r="K31">
        <v>6.2467947995496903E-2</v>
      </c>
      <c r="L31">
        <v>11699.2634667</v>
      </c>
      <c r="M31">
        <v>178.18912674588</v>
      </c>
      <c r="N31">
        <v>65.705625541818605</v>
      </c>
      <c r="O31">
        <v>65.648169308945896</v>
      </c>
      <c r="P31">
        <v>-0.63620685380597497</v>
      </c>
      <c r="Q31">
        <v>6.2438530681337701E-2</v>
      </c>
      <c r="R31">
        <v>9.5572557811990394E-2</v>
      </c>
      <c r="S31" t="s">
        <v>6342</v>
      </c>
      <c r="T31" t="s">
        <v>12620</v>
      </c>
      <c r="U31" t="s">
        <v>12620</v>
      </c>
      <c r="V31" t="s">
        <v>12620</v>
      </c>
      <c r="W31" t="s">
        <v>12651</v>
      </c>
      <c r="X31">
        <v>2</v>
      </c>
      <c r="Y31" t="s">
        <v>18897</v>
      </c>
      <c r="Z31" t="s">
        <v>24978</v>
      </c>
      <c r="AA31">
        <v>0.86446729546181611</v>
      </c>
      <c r="AB31" t="str">
        <f>HYPERLINK("Melting_Curves/meltCurve_A6NFI3_ZNF316.pdf", "Melting_Curves/meltCurve_A6NFI3_ZNF316.pdf")</f>
        <v>Melting_Curves/meltCurve_A6NFI3_ZNF316.pdf</v>
      </c>
    </row>
    <row r="32" spans="1:28" x14ac:dyDescent="0.25">
      <c r="A32" t="s">
        <v>36</v>
      </c>
      <c r="B32">
        <v>0.99987803227770999</v>
      </c>
      <c r="C32">
        <v>0.86555141543762304</v>
      </c>
      <c r="D32">
        <v>0.97667400470597099</v>
      </c>
      <c r="E32">
        <v>0.85355095207148401</v>
      </c>
      <c r="F32">
        <v>1.0761719458535499</v>
      </c>
      <c r="G32">
        <v>0.860596900695073</v>
      </c>
      <c r="H32">
        <v>0.90781639940991399</v>
      </c>
      <c r="I32">
        <v>0.94585619271320598</v>
      </c>
      <c r="J32">
        <v>0.95970328637820601</v>
      </c>
      <c r="K32">
        <v>0.77772148562914301</v>
      </c>
      <c r="L32">
        <v>134.74729686150101</v>
      </c>
      <c r="M32">
        <v>1.0000000000000001E-5</v>
      </c>
      <c r="O32">
        <v>56.159685260753697</v>
      </c>
      <c r="P32">
        <v>-3.1129578066801502E-3</v>
      </c>
      <c r="Q32">
        <v>4.5009992156087197E-2</v>
      </c>
      <c r="R32">
        <v>0.10438173024528399</v>
      </c>
      <c r="S32" t="s">
        <v>6343</v>
      </c>
      <c r="T32" t="s">
        <v>12620</v>
      </c>
      <c r="U32" t="s">
        <v>12620</v>
      </c>
      <c r="V32" t="s">
        <v>12620</v>
      </c>
      <c r="W32" t="s">
        <v>12652</v>
      </c>
      <c r="X32">
        <v>9</v>
      </c>
      <c r="Y32" t="s">
        <v>18898</v>
      </c>
      <c r="Z32" t="s">
        <v>24979</v>
      </c>
      <c r="AA32">
        <v>0.92391691636161266</v>
      </c>
      <c r="AB32" t="str">
        <f>HYPERLINK("Melting_Curves/meltCurve_A6NG32_CHMP1A.pdf", "Melting_Curves/meltCurve_A6NG32_CHMP1A.pdf")</f>
        <v>Melting_Curves/meltCurve_A6NG32_CHMP1A.pdf</v>
      </c>
    </row>
    <row r="33" spans="1:28" x14ac:dyDescent="0.25">
      <c r="A33" t="s">
        <v>37</v>
      </c>
      <c r="B33">
        <v>0.99987803227770999</v>
      </c>
      <c r="C33">
        <v>0.87605131488937205</v>
      </c>
      <c r="D33">
        <v>0.83364895133417805</v>
      </c>
      <c r="E33">
        <v>0.66533991691593297</v>
      </c>
      <c r="F33">
        <v>0.52102184040579802</v>
      </c>
      <c r="G33">
        <v>0.429399031094363</v>
      </c>
      <c r="H33">
        <v>0.390914166708278</v>
      </c>
      <c r="I33">
        <v>0.40349293347410597</v>
      </c>
      <c r="J33">
        <v>0.30072532103465499</v>
      </c>
      <c r="K33">
        <v>0.28337598822002202</v>
      </c>
      <c r="L33">
        <v>559.85810954752901</v>
      </c>
      <c r="M33">
        <v>11.105960720953499</v>
      </c>
      <c r="N33">
        <v>54.496126373248202</v>
      </c>
      <c r="O33">
        <v>48.858981627018899</v>
      </c>
      <c r="P33">
        <v>-4.0783932974328502E-2</v>
      </c>
      <c r="Q33">
        <v>0.282542497829811</v>
      </c>
      <c r="R33">
        <v>0.984921998734274</v>
      </c>
      <c r="S33" t="s">
        <v>6344</v>
      </c>
      <c r="T33" t="s">
        <v>12620</v>
      </c>
      <c r="U33" t="s">
        <v>12620</v>
      </c>
      <c r="V33" t="s">
        <v>12620</v>
      </c>
      <c r="W33" t="s">
        <v>12653</v>
      </c>
      <c r="X33">
        <v>2</v>
      </c>
      <c r="Y33" t="s">
        <v>18899</v>
      </c>
      <c r="Z33" t="s">
        <v>24980</v>
      </c>
      <c r="AA33">
        <v>0.55867582097471624</v>
      </c>
      <c r="AB33" t="str">
        <f>HYPERLINK("Melting_Curves/meltCurve_A6NG64_C10orf11.pdf", "Melting_Curves/meltCurve_A6NG64_C10orf11.pdf")</f>
        <v>Melting_Curves/meltCurve_A6NG64_C10orf11.pdf</v>
      </c>
    </row>
    <row r="34" spans="1:28" x14ac:dyDescent="0.25">
      <c r="A34" t="s">
        <v>38</v>
      </c>
      <c r="B34">
        <v>0.99987803227770999</v>
      </c>
      <c r="C34">
        <v>0.84309613817353302</v>
      </c>
      <c r="D34">
        <v>1.0788288894929801</v>
      </c>
      <c r="E34">
        <v>0.87487767727876797</v>
      </c>
      <c r="F34">
        <v>1.12651656473193</v>
      </c>
      <c r="G34">
        <v>1.0787973783386899</v>
      </c>
      <c r="H34">
        <v>0.93476461778738995</v>
      </c>
      <c r="I34">
        <v>1.07236040887616</v>
      </c>
      <c r="J34">
        <v>0.78815401880998004</v>
      </c>
      <c r="K34">
        <v>0.63422259233952305</v>
      </c>
      <c r="L34">
        <v>15000</v>
      </c>
      <c r="M34">
        <v>224.199680212359</v>
      </c>
      <c r="O34">
        <v>66.899341449689601</v>
      </c>
      <c r="P34">
        <v>-0.30647577679237598</v>
      </c>
      <c r="Q34">
        <v>0.63420070006959295</v>
      </c>
      <c r="R34">
        <v>0.65175518528052201</v>
      </c>
      <c r="S34" t="s">
        <v>6345</v>
      </c>
      <c r="T34" t="s">
        <v>12620</v>
      </c>
      <c r="U34" t="s">
        <v>12620</v>
      </c>
      <c r="V34" t="s">
        <v>12620</v>
      </c>
      <c r="W34" t="s">
        <v>12654</v>
      </c>
      <c r="X34">
        <v>6</v>
      </c>
      <c r="Y34" t="s">
        <v>18900</v>
      </c>
      <c r="Z34" t="s">
        <v>24981</v>
      </c>
      <c r="AA34">
        <v>0.96231058518515877</v>
      </c>
      <c r="AB34" t="str">
        <f>HYPERLINK("Melting_Curves/meltCurve_A6NG79_PRCC.pdf", "Melting_Curves/meltCurve_A6NG79_PRCC.pdf")</f>
        <v>Melting_Curves/meltCurve_A6NG79_PRCC.pdf</v>
      </c>
    </row>
    <row r="35" spans="1:28" x14ac:dyDescent="0.25">
      <c r="A35" t="s">
        <v>39</v>
      </c>
      <c r="B35">
        <v>0.99987803227770999</v>
      </c>
      <c r="C35">
        <v>1.2561512686421199</v>
      </c>
      <c r="D35">
        <v>1.8727849679016499</v>
      </c>
      <c r="E35">
        <v>1.26914066390831</v>
      </c>
      <c r="F35">
        <v>1.3928925958841001</v>
      </c>
      <c r="G35">
        <v>1.7754592223177099</v>
      </c>
      <c r="H35">
        <v>1.7069258962638301</v>
      </c>
      <c r="I35">
        <v>1.7632757761993001</v>
      </c>
      <c r="J35">
        <v>1.53963179679889</v>
      </c>
      <c r="K35">
        <v>1.01171547113283</v>
      </c>
      <c r="L35">
        <v>10722.8884364266</v>
      </c>
      <c r="M35">
        <v>250</v>
      </c>
      <c r="O35">
        <v>42.888808983669101</v>
      </c>
      <c r="P35">
        <v>0.72862830156776703</v>
      </c>
      <c r="Q35">
        <v>1.5</v>
      </c>
      <c r="R35">
        <v>0.31654881195891899</v>
      </c>
      <c r="S35" t="s">
        <v>6346</v>
      </c>
      <c r="T35" t="s">
        <v>12620</v>
      </c>
      <c r="U35" t="s">
        <v>12620</v>
      </c>
      <c r="V35" t="s">
        <v>12620</v>
      </c>
      <c r="W35" t="s">
        <v>12655</v>
      </c>
      <c r="X35">
        <v>1</v>
      </c>
      <c r="Y35" t="s">
        <v>18901</v>
      </c>
      <c r="Z35" t="s">
        <v>24982</v>
      </c>
      <c r="AA35">
        <v>1.451769800531941</v>
      </c>
      <c r="AB35" t="str">
        <f>HYPERLINK("Melting_Curves/meltCurve_A6NGB9_WIPF3.pdf", "Melting_Curves/meltCurve_A6NGB9_WIPF3.pdf")</f>
        <v>Melting_Curves/meltCurve_A6NGB9_WIPF3.pdf</v>
      </c>
    </row>
    <row r="36" spans="1:28" x14ac:dyDescent="0.25">
      <c r="A36" t="s">
        <v>40</v>
      </c>
      <c r="B36">
        <v>0.99987803227770999</v>
      </c>
      <c r="C36">
        <v>0.72536854334524203</v>
      </c>
      <c r="D36">
        <v>0.98372057945441704</v>
      </c>
      <c r="E36">
        <v>0.73682222104109396</v>
      </c>
      <c r="F36">
        <v>1.15233587436097</v>
      </c>
      <c r="G36">
        <v>0.99448505218235705</v>
      </c>
      <c r="H36">
        <v>1.03502733622834</v>
      </c>
      <c r="I36">
        <v>1.0109569964096501</v>
      </c>
      <c r="J36">
        <v>1.0366038497050201</v>
      </c>
      <c r="K36">
        <v>0.87102280121592901</v>
      </c>
      <c r="L36">
        <v>15000</v>
      </c>
      <c r="M36">
        <v>212.37565252197899</v>
      </c>
      <c r="Q36">
        <v>0</v>
      </c>
      <c r="R36">
        <v>-2.3707176629978101E-2</v>
      </c>
      <c r="S36" t="s">
        <v>6347</v>
      </c>
      <c r="T36" t="s">
        <v>12620</v>
      </c>
      <c r="U36" t="s">
        <v>12620</v>
      </c>
      <c r="V36" t="s">
        <v>12620</v>
      </c>
      <c r="W36" t="s">
        <v>12656</v>
      </c>
      <c r="X36">
        <v>20</v>
      </c>
      <c r="Y36" t="s">
        <v>18902</v>
      </c>
      <c r="Z36" t="s">
        <v>24983</v>
      </c>
      <c r="AA36">
        <v>0.99851074782074223</v>
      </c>
      <c r="AB36" t="str">
        <f>HYPERLINK("Melting_Curves/meltCurve_A6NGP5_HN1L.pdf", "Melting_Curves/meltCurve_A6NGP5_HN1L.pdf")</f>
        <v>Melting_Curves/meltCurve_A6NGP5_HN1L.pdf</v>
      </c>
    </row>
    <row r="37" spans="1:28" x14ac:dyDescent="0.25">
      <c r="A37" t="s">
        <v>41</v>
      </c>
      <c r="B37">
        <v>0.99987803227770999</v>
      </c>
      <c r="C37">
        <v>1.2989054764996799</v>
      </c>
      <c r="D37">
        <v>1.1994274975497199</v>
      </c>
      <c r="E37">
        <v>1.4922144689129799</v>
      </c>
      <c r="F37">
        <v>0.775935423569171</v>
      </c>
      <c r="G37">
        <v>0.77306628548105105</v>
      </c>
      <c r="H37">
        <v>0.37941956113282799</v>
      </c>
      <c r="I37">
        <v>0.339378387992119</v>
      </c>
      <c r="J37">
        <v>0.21014316456772</v>
      </c>
      <c r="K37">
        <v>0.11869189301903001</v>
      </c>
      <c r="L37">
        <v>1410.7695274391699</v>
      </c>
      <c r="M37">
        <v>23.8649031142285</v>
      </c>
      <c r="N37">
        <v>59.996841765213198</v>
      </c>
      <c r="O37">
        <v>58.704432252150603</v>
      </c>
      <c r="P37">
        <v>-8.6596422737125103E-2</v>
      </c>
      <c r="Q37">
        <v>0.14795176892093401</v>
      </c>
      <c r="R37">
        <v>0.79983230593205101</v>
      </c>
      <c r="S37" t="s">
        <v>6348</v>
      </c>
      <c r="T37" t="s">
        <v>12620</v>
      </c>
      <c r="U37" t="s">
        <v>12620</v>
      </c>
      <c r="V37" t="s">
        <v>12620</v>
      </c>
      <c r="W37" t="s">
        <v>12657</v>
      </c>
      <c r="X37">
        <v>6</v>
      </c>
      <c r="Y37" t="s">
        <v>18903</v>
      </c>
      <c r="Z37" t="s">
        <v>24984</v>
      </c>
      <c r="AA37">
        <v>0.69812575575329427</v>
      </c>
      <c r="AB37" t="str">
        <f>HYPERLINK("Melting_Curves/meltCurve_A6NHL2_2_TUBAL3.pdf", "Melting_Curves/meltCurve_A6NHL2_2_TUBAL3.pdf")</f>
        <v>Melting_Curves/meltCurve_A6NHL2_2_TUBAL3.pdf</v>
      </c>
    </row>
    <row r="38" spans="1:28" x14ac:dyDescent="0.25">
      <c r="A38" t="s">
        <v>42</v>
      </c>
      <c r="B38">
        <v>0.99987803227770999</v>
      </c>
      <c r="C38">
        <v>1.0896704065853799</v>
      </c>
      <c r="D38">
        <v>0.49351173877228099</v>
      </c>
      <c r="E38">
        <v>0.36875143635062202</v>
      </c>
      <c r="F38">
        <v>0.22172192912868299</v>
      </c>
      <c r="G38">
        <v>0.164650057947479</v>
      </c>
      <c r="H38">
        <v>0.112143641020669</v>
      </c>
      <c r="I38">
        <v>0.10443806004850199</v>
      </c>
      <c r="J38">
        <v>6.7063563441429802E-2</v>
      </c>
      <c r="K38">
        <v>4.9368275802821701E-2</v>
      </c>
      <c r="L38">
        <v>1002.96183376968</v>
      </c>
      <c r="M38">
        <v>21.366197678671199</v>
      </c>
      <c r="N38">
        <v>47.466599050189501</v>
      </c>
      <c r="O38">
        <v>46.536125026426497</v>
      </c>
      <c r="P38">
        <v>-0.10270462513803399</v>
      </c>
      <c r="Q38">
        <v>0.105249220417165</v>
      </c>
      <c r="R38">
        <v>0.94240138232849202</v>
      </c>
      <c r="S38" t="s">
        <v>6349</v>
      </c>
      <c r="T38" t="s">
        <v>12620</v>
      </c>
      <c r="U38" t="s">
        <v>12620</v>
      </c>
      <c r="V38" t="s">
        <v>12620</v>
      </c>
      <c r="W38" t="s">
        <v>12658</v>
      </c>
      <c r="X38">
        <v>15</v>
      </c>
      <c r="Y38" t="s">
        <v>18904</v>
      </c>
      <c r="Z38" t="s">
        <v>24985</v>
      </c>
      <c r="AA38">
        <v>0.32361819367803751</v>
      </c>
      <c r="AB38" t="str">
        <f>HYPERLINK("Melting_Curves/meltCurve_A6NHR9_SMCHD1.pdf", "Melting_Curves/meltCurve_A6NHR9_SMCHD1.pdf")</f>
        <v>Melting_Curves/meltCurve_A6NHR9_SMCHD1.pdf</v>
      </c>
    </row>
    <row r="39" spans="1:28" x14ac:dyDescent="0.25">
      <c r="A39" t="s">
        <v>43</v>
      </c>
      <c r="B39">
        <v>0.99987803227770999</v>
      </c>
      <c r="C39">
        <v>1.0078742590630601</v>
      </c>
      <c r="D39">
        <v>1.0871137181923101</v>
      </c>
      <c r="E39">
        <v>1.03660339141078</v>
      </c>
      <c r="F39">
        <v>1.17300437128336</v>
      </c>
      <c r="G39">
        <v>0.78982451785627505</v>
      </c>
      <c r="H39">
        <v>0.83126957729034101</v>
      </c>
      <c r="I39">
        <v>0.404185680966963</v>
      </c>
      <c r="J39">
        <v>0.35162146320010801</v>
      </c>
      <c r="K39">
        <v>0.23384348650821801</v>
      </c>
      <c r="L39">
        <v>1657.9350009159</v>
      </c>
      <c r="M39">
        <v>26.483252310199401</v>
      </c>
      <c r="N39">
        <v>63.780112875818801</v>
      </c>
      <c r="O39">
        <v>62.249451108380001</v>
      </c>
      <c r="P39">
        <v>-8.5801714262324205E-2</v>
      </c>
      <c r="Q39">
        <v>0.19329333460655701</v>
      </c>
      <c r="R39">
        <v>0.92028032619990296</v>
      </c>
      <c r="S39" t="s">
        <v>6350</v>
      </c>
      <c r="T39" t="s">
        <v>12620</v>
      </c>
      <c r="U39" t="s">
        <v>12620</v>
      </c>
      <c r="V39" t="s">
        <v>12620</v>
      </c>
      <c r="W39" t="s">
        <v>12659</v>
      </c>
      <c r="X39">
        <v>3</v>
      </c>
      <c r="Y39" t="s">
        <v>18905</v>
      </c>
      <c r="Z39" t="s">
        <v>24986</v>
      </c>
      <c r="AA39">
        <v>0.8039927200152287</v>
      </c>
      <c r="AB39" t="str">
        <f>HYPERLINK("Melting_Curves/meltCurve_A6NHX0_GATSL2.pdf", "Melting_Curves/meltCurve_A6NHX0_GATSL2.pdf")</f>
        <v>Melting_Curves/meltCurve_A6NHX0_GATSL2.pdf</v>
      </c>
    </row>
    <row r="40" spans="1:28" x14ac:dyDescent="0.25">
      <c r="A40" t="s">
        <v>44</v>
      </c>
      <c r="B40">
        <v>0.99987803227770999</v>
      </c>
      <c r="C40">
        <v>0.82247170296536198</v>
      </c>
      <c r="D40">
        <v>0.91752662071286994</v>
      </c>
      <c r="E40">
        <v>0.653615820552778</v>
      </c>
      <c r="F40">
        <v>0.37521483258925598</v>
      </c>
      <c r="G40">
        <v>0.244816872188236</v>
      </c>
      <c r="H40">
        <v>0.21074493198115701</v>
      </c>
      <c r="I40">
        <v>0.180886683579561</v>
      </c>
      <c r="J40">
        <v>0.134752684831387</v>
      </c>
      <c r="K40">
        <v>0.102373062436397</v>
      </c>
      <c r="L40">
        <v>801.69191222909899</v>
      </c>
      <c r="M40">
        <v>15.7633748712441</v>
      </c>
      <c r="N40">
        <v>51.755525369823701</v>
      </c>
      <c r="O40">
        <v>50.060502425286401</v>
      </c>
      <c r="P40">
        <v>-6.9311911410301602E-2</v>
      </c>
      <c r="Q40">
        <v>0.119604623234568</v>
      </c>
      <c r="R40">
        <v>0.97501927948512002</v>
      </c>
      <c r="S40" t="s">
        <v>6351</v>
      </c>
      <c r="T40" t="s">
        <v>12620</v>
      </c>
      <c r="U40" t="s">
        <v>12620</v>
      </c>
      <c r="V40" t="s">
        <v>12620</v>
      </c>
      <c r="W40" t="s">
        <v>12660</v>
      </c>
      <c r="X40">
        <v>8</v>
      </c>
      <c r="Y40" t="s">
        <v>18906</v>
      </c>
      <c r="Z40" t="s">
        <v>24987</v>
      </c>
      <c r="AA40">
        <v>0.457031596508163</v>
      </c>
      <c r="AB40" t="str">
        <f>HYPERLINK("Melting_Curves/meltCurve_A6NIH7_UNC119B.pdf", "Melting_Curves/meltCurve_A6NIH7_UNC119B.pdf")</f>
        <v>Melting_Curves/meltCurve_A6NIH7_UNC119B.pdf</v>
      </c>
    </row>
    <row r="41" spans="1:28" x14ac:dyDescent="0.25">
      <c r="A41" t="s">
        <v>45</v>
      </c>
      <c r="B41">
        <v>0.99987803227770999</v>
      </c>
      <c r="C41">
        <v>0.83738262824309395</v>
      </c>
      <c r="D41">
        <v>0.82606570917515798</v>
      </c>
      <c r="E41">
        <v>0.50725583814403696</v>
      </c>
      <c r="F41">
        <v>0.64383732965553397</v>
      </c>
      <c r="G41">
        <v>0.39432970692742703</v>
      </c>
      <c r="H41">
        <v>0.400535707243523</v>
      </c>
      <c r="I41">
        <v>0.30003848399327399</v>
      </c>
      <c r="J41">
        <v>0.41503317433001702</v>
      </c>
      <c r="K41">
        <v>0.41488278618336499</v>
      </c>
      <c r="L41">
        <v>618.00828808107701</v>
      </c>
      <c r="M41">
        <v>12.8275839765295</v>
      </c>
      <c r="N41">
        <v>53.553261373294497</v>
      </c>
      <c r="O41">
        <v>47.0522445905738</v>
      </c>
      <c r="P41">
        <v>-4.3490144948990297E-2</v>
      </c>
      <c r="Q41">
        <v>0.36202226430380702</v>
      </c>
      <c r="R41">
        <v>0.90788188529842695</v>
      </c>
      <c r="S41" t="s">
        <v>6352</v>
      </c>
      <c r="T41" t="s">
        <v>12620</v>
      </c>
      <c r="U41" t="s">
        <v>12620</v>
      </c>
      <c r="V41" t="s">
        <v>12620</v>
      </c>
      <c r="W41" t="s">
        <v>12661</v>
      </c>
      <c r="X41">
        <v>1</v>
      </c>
      <c r="Y41" t="s">
        <v>18907</v>
      </c>
      <c r="Z41" t="s">
        <v>24988</v>
      </c>
      <c r="AA41">
        <v>0.55784055373151131</v>
      </c>
      <c r="AB41" t="str">
        <f>HYPERLINK("Melting_Curves/meltCurve_A6NIX2_WTIP.pdf", "Melting_Curves/meltCurve_A6NIX2_WTIP.pdf")</f>
        <v>Melting_Curves/meltCurve_A6NIX2_WTIP.pdf</v>
      </c>
    </row>
    <row r="42" spans="1:28" x14ac:dyDescent="0.25">
      <c r="A42" t="s">
        <v>46</v>
      </c>
      <c r="B42">
        <v>0.99987803227770999</v>
      </c>
      <c r="C42">
        <v>1.08616590149334</v>
      </c>
      <c r="D42">
        <v>1.1445596445980399</v>
      </c>
      <c r="E42">
        <v>1.06179159884387</v>
      </c>
      <c r="F42">
        <v>0.94782963408433196</v>
      </c>
      <c r="G42">
        <v>0.77431031939574801</v>
      </c>
      <c r="H42">
        <v>0.69444035701610995</v>
      </c>
      <c r="I42">
        <v>0.77500178916863605</v>
      </c>
      <c r="J42">
        <v>0.65258731800020697</v>
      </c>
      <c r="K42">
        <v>0.68199795821013798</v>
      </c>
      <c r="L42">
        <v>2284.0165430853499</v>
      </c>
      <c r="M42">
        <v>41.232323910540202</v>
      </c>
      <c r="O42">
        <v>55.264032340392497</v>
      </c>
      <c r="P42">
        <v>-5.6068421754317303E-2</v>
      </c>
      <c r="Q42">
        <v>0.69940473653738899</v>
      </c>
      <c r="R42">
        <v>0.86878289828311395</v>
      </c>
      <c r="S42" t="s">
        <v>6353</v>
      </c>
      <c r="T42" t="s">
        <v>12620</v>
      </c>
      <c r="U42" t="s">
        <v>12620</v>
      </c>
      <c r="V42" t="s">
        <v>12620</v>
      </c>
      <c r="W42" t="s">
        <v>12662</v>
      </c>
      <c r="X42">
        <v>4</v>
      </c>
      <c r="Y42" t="s">
        <v>18908</v>
      </c>
      <c r="Z42" t="s">
        <v>24989</v>
      </c>
      <c r="AA42">
        <v>0.85472726902675711</v>
      </c>
      <c r="AB42" t="str">
        <f>HYPERLINK("Melting_Curves/meltCurve_A6NIZ0_NDEL1.pdf", "Melting_Curves/meltCurve_A6NIZ0_NDEL1.pdf")</f>
        <v>Melting_Curves/meltCurve_A6NIZ0_NDEL1.pdf</v>
      </c>
    </row>
    <row r="43" spans="1:28" x14ac:dyDescent="0.25">
      <c r="A43" t="s">
        <v>47</v>
      </c>
      <c r="B43">
        <v>0.99987803227770999</v>
      </c>
      <c r="C43">
        <v>0.79919000021509201</v>
      </c>
      <c r="D43">
        <v>1.09207538268704</v>
      </c>
      <c r="E43">
        <v>0.88008388956407402</v>
      </c>
      <c r="F43">
        <v>0.89888936579603096</v>
      </c>
      <c r="G43">
        <v>0.67109673983385798</v>
      </c>
      <c r="H43">
        <v>0.60784920383458096</v>
      </c>
      <c r="I43">
        <v>0.59268764049711198</v>
      </c>
      <c r="J43">
        <v>0.464479749161893</v>
      </c>
      <c r="K43">
        <v>0.465448632005667</v>
      </c>
      <c r="L43">
        <v>687.20624911396601</v>
      </c>
      <c r="M43">
        <v>11.896090687994199</v>
      </c>
      <c r="N43">
        <v>66.679896029802293</v>
      </c>
      <c r="O43">
        <v>56.207570042131103</v>
      </c>
      <c r="P43">
        <v>-3.1858424484094303E-2</v>
      </c>
      <c r="Q43">
        <v>0.398041485175473</v>
      </c>
      <c r="R43">
        <v>0.858871298246217</v>
      </c>
      <c r="S43" t="s">
        <v>6354</v>
      </c>
      <c r="T43" t="s">
        <v>12620</v>
      </c>
      <c r="U43" t="s">
        <v>12620</v>
      </c>
      <c r="V43" t="s">
        <v>12620</v>
      </c>
      <c r="W43" t="s">
        <v>12663</v>
      </c>
      <c r="X43">
        <v>1</v>
      </c>
      <c r="Y43" t="s">
        <v>18909</v>
      </c>
      <c r="Z43" t="s">
        <v>24990</v>
      </c>
      <c r="AA43">
        <v>0.76276755533842289</v>
      </c>
      <c r="AB43" t="str">
        <f>HYPERLINK("Melting_Curves/meltCurve_A6NIZ6_ASXL1.pdf", "Melting_Curves/meltCurve_A6NIZ6_ASXL1.pdf")</f>
        <v>Melting_Curves/meltCurve_A6NIZ6_ASXL1.pdf</v>
      </c>
    </row>
    <row r="44" spans="1:28" x14ac:dyDescent="0.25">
      <c r="A44" t="s">
        <v>48</v>
      </c>
      <c r="B44">
        <v>0.99987803227770999</v>
      </c>
      <c r="C44">
        <v>0.78801149334576104</v>
      </c>
      <c r="D44">
        <v>1.8838806094934599</v>
      </c>
      <c r="E44">
        <v>0.67046428919661005</v>
      </c>
      <c r="F44">
        <v>0.73516811653082004</v>
      </c>
      <c r="G44">
        <v>0.69901998805019305</v>
      </c>
      <c r="H44">
        <v>0.51859577577456595</v>
      </c>
      <c r="I44">
        <v>1.5132655721584301</v>
      </c>
      <c r="J44">
        <v>0.377334153572849</v>
      </c>
      <c r="K44">
        <v>0.31426807281101998</v>
      </c>
      <c r="L44">
        <v>645.430490480917</v>
      </c>
      <c r="M44">
        <v>9.2483038125570491</v>
      </c>
      <c r="N44">
        <v>69.789068309634203</v>
      </c>
      <c r="O44">
        <v>66.758814153345099</v>
      </c>
      <c r="P44">
        <v>-3.4655954395458502E-2</v>
      </c>
      <c r="Q44">
        <v>0</v>
      </c>
      <c r="R44">
        <v>0.175714104474717</v>
      </c>
      <c r="S44" t="s">
        <v>6355</v>
      </c>
      <c r="T44" t="s">
        <v>12620</v>
      </c>
      <c r="U44" t="s">
        <v>12620</v>
      </c>
      <c r="V44" t="s">
        <v>12620</v>
      </c>
      <c r="W44" t="s">
        <v>12664</v>
      </c>
      <c r="X44">
        <v>1</v>
      </c>
      <c r="Y44" t="s">
        <v>18910</v>
      </c>
      <c r="Z44" t="s">
        <v>24991</v>
      </c>
      <c r="AA44">
        <v>0.8557643852305552</v>
      </c>
      <c r="AB44" t="str">
        <f>HYPERLINK("Melting_Curves/meltCurve_A6NJ78_2_METTL15.pdf", "Melting_Curves/meltCurve_A6NJ78_2_METTL15.pdf")</f>
        <v>Melting_Curves/meltCurve_A6NJ78_2_METTL15.pdf</v>
      </c>
    </row>
    <row r="45" spans="1:28" x14ac:dyDescent="0.25">
      <c r="A45" t="s">
        <v>49</v>
      </c>
      <c r="B45">
        <v>0.99987803227770999</v>
      </c>
      <c r="C45">
        <v>0.97237642840225502</v>
      </c>
      <c r="D45">
        <v>1.00271473354275</v>
      </c>
      <c r="E45">
        <v>0.95238100222094502</v>
      </c>
      <c r="F45">
        <v>1.04875757710327</v>
      </c>
      <c r="G45">
        <v>0.87827378551727597</v>
      </c>
      <c r="H45">
        <v>0.92930575636712998</v>
      </c>
      <c r="I45">
        <v>0.91702946301981902</v>
      </c>
      <c r="J45">
        <v>0.80825734438778696</v>
      </c>
      <c r="K45">
        <v>0.69105357647181598</v>
      </c>
      <c r="L45">
        <v>794.53686508025805</v>
      </c>
      <c r="M45">
        <v>10.4649679241111</v>
      </c>
      <c r="Q45">
        <v>0</v>
      </c>
      <c r="R45">
        <v>0.83416348285124597</v>
      </c>
      <c r="S45" t="s">
        <v>6356</v>
      </c>
      <c r="T45" t="s">
        <v>12620</v>
      </c>
      <c r="U45" t="s">
        <v>12620</v>
      </c>
      <c r="V45" t="s">
        <v>12620</v>
      </c>
      <c r="W45" t="s">
        <v>12665</v>
      </c>
      <c r="X45">
        <v>16</v>
      </c>
      <c r="Y45" t="s">
        <v>18911</v>
      </c>
      <c r="Z45" t="s">
        <v>24992</v>
      </c>
      <c r="AA45">
        <v>0.93983115844457654</v>
      </c>
      <c r="AB45" t="str">
        <f>HYPERLINK("Melting_Curves/meltCurve_A6NKD9_CCDC85C.pdf", "Melting_Curves/meltCurve_A6NKD9_CCDC85C.pdf")</f>
        <v>Melting_Curves/meltCurve_A6NKD9_CCDC85C.pdf</v>
      </c>
    </row>
    <row r="46" spans="1:28" x14ac:dyDescent="0.25">
      <c r="A46" t="s">
        <v>50</v>
      </c>
      <c r="B46">
        <v>0.99987803227770999</v>
      </c>
      <c r="C46">
        <v>1.2171793189443401</v>
      </c>
      <c r="D46">
        <v>0.89058697345583804</v>
      </c>
      <c r="E46">
        <v>0.55361592500673196</v>
      </c>
      <c r="F46">
        <v>0.30535273643344801</v>
      </c>
      <c r="G46">
        <v>0.20966652970068</v>
      </c>
      <c r="H46">
        <v>0.15023957252894299</v>
      </c>
      <c r="I46">
        <v>0.118835779841393</v>
      </c>
      <c r="J46">
        <v>8.20099839031459E-2</v>
      </c>
      <c r="K46">
        <v>6.3793844892075305E-2</v>
      </c>
      <c r="L46">
        <v>1230.37433870013</v>
      </c>
      <c r="M46">
        <v>24.5212525543952</v>
      </c>
      <c r="N46">
        <v>50.693356759429498</v>
      </c>
      <c r="O46">
        <v>49.845701537052904</v>
      </c>
      <c r="P46">
        <v>-0.109369564101627</v>
      </c>
      <c r="Q46">
        <v>0.11072672406163001</v>
      </c>
      <c r="R46">
        <v>0.96305943147885598</v>
      </c>
      <c r="S46" t="s">
        <v>6357</v>
      </c>
      <c r="T46" t="s">
        <v>12620</v>
      </c>
      <c r="U46" t="s">
        <v>12620</v>
      </c>
      <c r="V46" t="s">
        <v>12620</v>
      </c>
      <c r="W46" t="s">
        <v>12666</v>
      </c>
      <c r="X46">
        <v>15</v>
      </c>
      <c r="Y46" t="s">
        <v>18912</v>
      </c>
      <c r="Z46" t="s">
        <v>24993</v>
      </c>
      <c r="AA46">
        <v>0.420639989102015</v>
      </c>
      <c r="AB46" t="str">
        <f>HYPERLINK("Melting_Curves/meltCurve_A6NML8_DIAPH2.pdf", "Melting_Curves/meltCurve_A6NML8_DIAPH2.pdf")</f>
        <v>Melting_Curves/meltCurve_A6NML8_DIAPH2.pdf</v>
      </c>
    </row>
    <row r="47" spans="1:28" x14ac:dyDescent="0.25">
      <c r="A47" t="s">
        <v>51</v>
      </c>
      <c r="B47">
        <v>0.99987803227770999</v>
      </c>
      <c r="C47">
        <v>1.0268081032860099</v>
      </c>
      <c r="D47">
        <v>1.19291584422174</v>
      </c>
      <c r="E47">
        <v>0.907930466945853</v>
      </c>
      <c r="F47">
        <v>0.83327507366386</v>
      </c>
      <c r="G47">
        <v>0.64970892604144204</v>
      </c>
      <c r="H47">
        <v>0.50774905141792703</v>
      </c>
      <c r="I47">
        <v>0.41178688541770397</v>
      </c>
      <c r="J47">
        <v>0.34143321187325198</v>
      </c>
      <c r="K47">
        <v>0.27669051708085002</v>
      </c>
      <c r="L47">
        <v>886.32231694867505</v>
      </c>
      <c r="M47">
        <v>15.316934248754899</v>
      </c>
      <c r="N47">
        <v>60.660535358350501</v>
      </c>
      <c r="O47">
        <v>56.9060765941393</v>
      </c>
      <c r="P47">
        <v>-5.02618232256953E-2</v>
      </c>
      <c r="Q47">
        <v>0.253130709440549</v>
      </c>
      <c r="R47">
        <v>0.94942144651946703</v>
      </c>
      <c r="S47" t="s">
        <v>6358</v>
      </c>
      <c r="T47" t="s">
        <v>12620</v>
      </c>
      <c r="U47" t="s">
        <v>12620</v>
      </c>
      <c r="V47" t="s">
        <v>12620</v>
      </c>
      <c r="W47" t="s">
        <v>12667</v>
      </c>
      <c r="X47">
        <v>8</v>
      </c>
      <c r="Y47" t="s">
        <v>18913</v>
      </c>
      <c r="Z47" t="s">
        <v>24994</v>
      </c>
      <c r="AA47">
        <v>0.7081399804144205</v>
      </c>
      <c r="AB47" t="str">
        <f>HYPERLINK("Melting_Curves/meltCurve_A6NN40_SHROOM1.pdf", "Melting_Curves/meltCurve_A6NN40_SHROOM1.pdf")</f>
        <v>Melting_Curves/meltCurve_A6NN40_SHROOM1.pdf</v>
      </c>
    </row>
    <row r="48" spans="1:28" x14ac:dyDescent="0.25">
      <c r="A48" t="s">
        <v>52</v>
      </c>
      <c r="B48">
        <v>0.99987803227770999</v>
      </c>
      <c r="C48">
        <v>0.910006822985163</v>
      </c>
      <c r="D48">
        <v>0.88848160151379096</v>
      </c>
      <c r="E48">
        <v>0.87295600223280501</v>
      </c>
      <c r="F48">
        <v>0.82586845782705198</v>
      </c>
      <c r="G48">
        <v>0.65142505928162897</v>
      </c>
      <c r="H48">
        <v>0.68138070980212195</v>
      </c>
      <c r="I48">
        <v>0.49304419743528199</v>
      </c>
      <c r="J48">
        <v>0.47593204361004199</v>
      </c>
      <c r="K48">
        <v>0.30619795299549402</v>
      </c>
      <c r="L48">
        <v>416.81307901258799</v>
      </c>
      <c r="M48">
        <v>6.4648723074034899</v>
      </c>
      <c r="N48">
        <v>64.4735207405773</v>
      </c>
      <c r="O48">
        <v>59.135929618180299</v>
      </c>
      <c r="P48">
        <v>-2.7398251690710699E-2</v>
      </c>
      <c r="Q48">
        <v>0</v>
      </c>
      <c r="R48">
        <v>0.95165110803740804</v>
      </c>
      <c r="S48" t="s">
        <v>6359</v>
      </c>
      <c r="T48" t="s">
        <v>12620</v>
      </c>
      <c r="U48" t="s">
        <v>12620</v>
      </c>
      <c r="V48" t="s">
        <v>12620</v>
      </c>
      <c r="W48" t="s">
        <v>12668</v>
      </c>
      <c r="X48">
        <v>1</v>
      </c>
      <c r="Y48" t="s">
        <v>18914</v>
      </c>
      <c r="Z48" t="s">
        <v>24995</v>
      </c>
      <c r="AA48">
        <v>0.72526257704736841</v>
      </c>
      <c r="AB48" t="str">
        <f>HYPERLINK("Melting_Curves/meltCurve_A6NNT2_C16orf96.pdf", "Melting_Curves/meltCurve_A6NNT2_C16orf96.pdf")</f>
        <v>Melting_Curves/meltCurve_A6NNT2_C16orf96.pdf</v>
      </c>
    </row>
    <row r="49" spans="1:28" x14ac:dyDescent="0.25">
      <c r="A49" t="s">
        <v>53</v>
      </c>
      <c r="B49">
        <v>0.99987803227770999</v>
      </c>
      <c r="C49">
        <v>0.76494704654124102</v>
      </c>
      <c r="D49">
        <v>1.26417812671031</v>
      </c>
      <c r="E49">
        <v>0.61952407395445297</v>
      </c>
      <c r="F49">
        <v>0.57000310285179201</v>
      </c>
      <c r="G49">
        <v>0.42208293221652099</v>
      </c>
      <c r="H49">
        <v>0.46595540405126601</v>
      </c>
      <c r="I49">
        <v>0.43025888244556298</v>
      </c>
      <c r="J49">
        <v>0.44220398524928001</v>
      </c>
      <c r="K49">
        <v>0.31403539597705399</v>
      </c>
      <c r="L49">
        <v>4290.4816306999401</v>
      </c>
      <c r="M49">
        <v>86.531261931904098</v>
      </c>
      <c r="N49">
        <v>50.828194756982597</v>
      </c>
      <c r="O49">
        <v>49.556560290556</v>
      </c>
      <c r="P49">
        <v>-0.24446752189371701</v>
      </c>
      <c r="Q49">
        <v>0.43997265714692602</v>
      </c>
      <c r="R49">
        <v>0.80308565118974595</v>
      </c>
      <c r="S49" t="s">
        <v>6360</v>
      </c>
      <c r="T49" t="s">
        <v>12620</v>
      </c>
      <c r="U49" t="s">
        <v>12620</v>
      </c>
      <c r="V49" t="s">
        <v>12620</v>
      </c>
      <c r="W49" t="s">
        <v>12669</v>
      </c>
      <c r="X49">
        <v>6</v>
      </c>
      <c r="Y49" t="s">
        <v>18915</v>
      </c>
      <c r="Z49" t="s">
        <v>24996</v>
      </c>
      <c r="AA49">
        <v>0.61927193885213216</v>
      </c>
      <c r="AB49" t="str">
        <f>HYPERLINK("Melting_Curves/meltCurve_A6NNV6_ZWINT.pdf", "Melting_Curves/meltCurve_A6NNV6_ZWINT.pdf")</f>
        <v>Melting_Curves/meltCurve_A6NNV6_ZWINT.pdf</v>
      </c>
    </row>
    <row r="50" spans="1:28" x14ac:dyDescent="0.25">
      <c r="A50" t="s">
        <v>54</v>
      </c>
      <c r="B50">
        <v>0.99987803227770999</v>
      </c>
      <c r="C50">
        <v>1.0263956428143</v>
      </c>
      <c r="D50">
        <v>0.86372404328277197</v>
      </c>
      <c r="E50">
        <v>1.1020213379353401</v>
      </c>
      <c r="F50">
        <v>0.68738413569190704</v>
      </c>
      <c r="G50">
        <v>0.22247960623809901</v>
      </c>
      <c r="H50">
        <v>0.20678950583081299</v>
      </c>
      <c r="I50">
        <v>0.28001525565819702</v>
      </c>
      <c r="J50">
        <v>0.122618413605338</v>
      </c>
      <c r="K50">
        <v>8.3688489142408604E-2</v>
      </c>
      <c r="L50">
        <v>13275.340836609799</v>
      </c>
      <c r="M50">
        <v>250</v>
      </c>
      <c r="N50">
        <v>53.198414124648501</v>
      </c>
      <c r="O50">
        <v>53.097966482480302</v>
      </c>
      <c r="P50">
        <v>-0.96152667247656198</v>
      </c>
      <c r="Q50">
        <v>0.18311824407042401</v>
      </c>
      <c r="R50">
        <v>0.96466213768240106</v>
      </c>
      <c r="S50" t="s">
        <v>6361</v>
      </c>
      <c r="T50" t="s">
        <v>12620</v>
      </c>
      <c r="U50" t="s">
        <v>12620</v>
      </c>
      <c r="V50" t="s">
        <v>12620</v>
      </c>
      <c r="W50" t="s">
        <v>12670</v>
      </c>
      <c r="X50">
        <v>12</v>
      </c>
      <c r="Y50" t="s">
        <v>18916</v>
      </c>
      <c r="Z50" t="s">
        <v>24997</v>
      </c>
      <c r="AA50">
        <v>0.5399365274861484</v>
      </c>
      <c r="AB50" t="str">
        <f>HYPERLINK("Melting_Curves/meltCurve_A6QL63_BTBD11.pdf", "Melting_Curves/meltCurve_A6QL63_BTBD11.pdf")</f>
        <v>Melting_Curves/meltCurve_A6QL63_BTBD11.pdf</v>
      </c>
    </row>
    <row r="51" spans="1:28" x14ac:dyDescent="0.25">
      <c r="A51" t="s">
        <v>55</v>
      </c>
      <c r="B51">
        <v>0.99987803227770999</v>
      </c>
      <c r="C51">
        <v>0.86455114933065902</v>
      </c>
      <c r="D51">
        <v>0.63819912039909998</v>
      </c>
      <c r="E51">
        <v>0.43024303633105998</v>
      </c>
      <c r="F51">
        <v>0.22353934429993</v>
      </c>
      <c r="G51">
        <v>0.127503982167784</v>
      </c>
      <c r="H51">
        <v>5.8272808160736503E-2</v>
      </c>
      <c r="I51">
        <v>4.7358515935485603E-2</v>
      </c>
      <c r="J51">
        <v>4.1750195336847998E-2</v>
      </c>
      <c r="K51">
        <v>1.9271106633127599E-2</v>
      </c>
      <c r="L51">
        <v>681.35497609503898</v>
      </c>
      <c r="M51">
        <v>14.0867200327618</v>
      </c>
      <c r="N51">
        <v>48.474932637247797</v>
      </c>
      <c r="O51">
        <v>47.425144085869299</v>
      </c>
      <c r="P51">
        <v>-7.3137332497375501E-2</v>
      </c>
      <c r="Q51">
        <v>1.52141804389898E-2</v>
      </c>
      <c r="R51">
        <v>0.99536991187353596</v>
      </c>
      <c r="S51" t="s">
        <v>6362</v>
      </c>
      <c r="T51" t="s">
        <v>12620</v>
      </c>
      <c r="U51" t="s">
        <v>12620</v>
      </c>
      <c r="V51" t="s">
        <v>12620</v>
      </c>
      <c r="W51" t="s">
        <v>12671</v>
      </c>
      <c r="X51">
        <v>3</v>
      </c>
      <c r="Y51" t="s">
        <v>18917</v>
      </c>
      <c r="Z51" t="s">
        <v>24998</v>
      </c>
      <c r="AA51">
        <v>0.31804283201404832</v>
      </c>
      <c r="AB51" t="str">
        <f>HYPERLINK("Melting_Curves/meltCurve_A6ZKI3_FAM127A.pdf", "Melting_Curves/meltCurve_A6ZKI3_FAM127A.pdf")</f>
        <v>Melting_Curves/meltCurve_A6ZKI3_FAM127A.pdf</v>
      </c>
    </row>
    <row r="52" spans="1:28" x14ac:dyDescent="0.25">
      <c r="A52" t="s">
        <v>56</v>
      </c>
      <c r="B52">
        <v>0.99987803227770999</v>
      </c>
      <c r="C52">
        <v>1.09330120904618</v>
      </c>
      <c r="D52">
        <v>1.03004180336255</v>
      </c>
      <c r="E52">
        <v>1.09058462642234</v>
      </c>
      <c r="F52">
        <v>1.1263378926363401</v>
      </c>
      <c r="G52">
        <v>0.85439007388550103</v>
      </c>
      <c r="H52">
        <v>0.52867880602049699</v>
      </c>
      <c r="I52">
        <v>0.486686977751143</v>
      </c>
      <c r="J52">
        <v>0.37420618857934002</v>
      </c>
      <c r="K52">
        <v>0.30559927682816901</v>
      </c>
      <c r="L52">
        <v>1884.1378774572099</v>
      </c>
      <c r="M52">
        <v>31.647096032316</v>
      </c>
      <c r="N52">
        <v>61.894571008246302</v>
      </c>
      <c r="O52">
        <v>59.299678688718302</v>
      </c>
      <c r="P52">
        <v>-8.6682825080352605E-2</v>
      </c>
      <c r="Q52">
        <v>0.35030543555120802</v>
      </c>
      <c r="R52">
        <v>0.952148200145157</v>
      </c>
      <c r="S52" t="s">
        <v>6363</v>
      </c>
      <c r="T52" t="s">
        <v>12620</v>
      </c>
      <c r="U52" t="s">
        <v>12620</v>
      </c>
      <c r="V52" t="s">
        <v>12620</v>
      </c>
      <c r="W52" t="s">
        <v>12672</v>
      </c>
      <c r="X52">
        <v>4</v>
      </c>
      <c r="Y52" t="s">
        <v>18918</v>
      </c>
      <c r="Z52" t="s">
        <v>24999</v>
      </c>
      <c r="AA52">
        <v>0.7771434386581153</v>
      </c>
      <c r="AB52" t="str">
        <f>HYPERLINK("Melting_Curves/meltCurve_A7KAX9_ARHGAP32.pdf", "Melting_Curves/meltCurve_A7KAX9_ARHGAP32.pdf")</f>
        <v>Melting_Curves/meltCurve_A7KAX9_ARHGAP32.pdf</v>
      </c>
    </row>
    <row r="53" spans="1:28" x14ac:dyDescent="0.25">
      <c r="A53" t="s">
        <v>57</v>
      </c>
      <c r="B53">
        <v>0.99987803227770999</v>
      </c>
      <c r="C53">
        <v>0.91013843631615199</v>
      </c>
      <c r="D53">
        <v>1.0613455561837899</v>
      </c>
      <c r="E53">
        <v>0.84317710437460802</v>
      </c>
      <c r="F53">
        <v>1.1519614614107301</v>
      </c>
      <c r="G53">
        <v>0.92347746186338198</v>
      </c>
      <c r="H53">
        <v>0.96212067044007699</v>
      </c>
      <c r="I53">
        <v>0.85913210285370301</v>
      </c>
      <c r="J53">
        <v>1.00483722323278</v>
      </c>
      <c r="K53">
        <v>0.89699413451685195</v>
      </c>
      <c r="L53">
        <v>269.94080544973099</v>
      </c>
      <c r="M53">
        <v>1.44791051252563</v>
      </c>
      <c r="Q53">
        <v>0</v>
      </c>
      <c r="R53">
        <v>6.2685256705074896E-2</v>
      </c>
      <c r="S53" t="s">
        <v>6364</v>
      </c>
      <c r="T53" t="s">
        <v>12620</v>
      </c>
      <c r="U53" t="s">
        <v>12620</v>
      </c>
      <c r="V53" t="s">
        <v>12620</v>
      </c>
      <c r="W53" t="s">
        <v>12673</v>
      </c>
      <c r="X53">
        <v>3</v>
      </c>
      <c r="Y53" t="s">
        <v>18919</v>
      </c>
      <c r="Z53" t="s">
        <v>25000</v>
      </c>
      <c r="AA53">
        <v>0.96500063869981068</v>
      </c>
      <c r="AB53" t="str">
        <f>HYPERLINK("Melting_Curves/meltCurve_A7Y2D6_PYGO1.pdf", "Melting_Curves/meltCurve_A7Y2D6_PYGO1.pdf")</f>
        <v>Melting_Curves/meltCurve_A7Y2D6_PYGO1.pdf</v>
      </c>
    </row>
    <row r="54" spans="1:28" x14ac:dyDescent="0.25">
      <c r="A54" t="s">
        <v>58</v>
      </c>
      <c r="B54">
        <v>0.99987803227770999</v>
      </c>
      <c r="C54">
        <v>0.92876790126250297</v>
      </c>
      <c r="D54">
        <v>0.92688949428595901</v>
      </c>
      <c r="E54">
        <v>0.90078874732796299</v>
      </c>
      <c r="F54">
        <v>0.90388760081110497</v>
      </c>
      <c r="G54">
        <v>0.706909845488644</v>
      </c>
      <c r="H54">
        <v>0.67281281415331895</v>
      </c>
      <c r="I54">
        <v>0.708294582731955</v>
      </c>
      <c r="J54">
        <v>0.55121064709135104</v>
      </c>
      <c r="K54">
        <v>0.489090562602507</v>
      </c>
      <c r="L54">
        <v>365.60569319144099</v>
      </c>
      <c r="M54">
        <v>5.1847927387610904</v>
      </c>
      <c r="O54">
        <v>62.053837402032002</v>
      </c>
      <c r="P54">
        <v>-2.1001270340780601E-2</v>
      </c>
      <c r="Q54">
        <v>0</v>
      </c>
      <c r="R54">
        <v>0.93962581186041905</v>
      </c>
      <c r="S54" t="s">
        <v>6365</v>
      </c>
      <c r="T54" t="s">
        <v>12620</v>
      </c>
      <c r="U54" t="s">
        <v>12620</v>
      </c>
      <c r="V54" t="s">
        <v>12620</v>
      </c>
      <c r="W54" t="s">
        <v>12674</v>
      </c>
      <c r="X54">
        <v>4</v>
      </c>
      <c r="Y54" t="s">
        <v>18920</v>
      </c>
      <c r="Z54" t="s">
        <v>25001</v>
      </c>
      <c r="AA54">
        <v>0.78793302706638602</v>
      </c>
      <c r="AB54" t="str">
        <f>HYPERLINK("Melting_Curves/meltCurve_A8CG34_2_POM121C.pdf", "Melting_Curves/meltCurve_A8CG34_2_POM121C.pdf")</f>
        <v>Melting_Curves/meltCurve_A8CG34_2_POM121C.pdf</v>
      </c>
    </row>
    <row r="55" spans="1:28" x14ac:dyDescent="0.25">
      <c r="A55" t="s">
        <v>59</v>
      </c>
      <c r="B55">
        <v>0.99987803227770999</v>
      </c>
      <c r="C55">
        <v>1.00136914265414</v>
      </c>
      <c r="D55">
        <v>0.97993653898114697</v>
      </c>
      <c r="E55">
        <v>0.96416586365274104</v>
      </c>
      <c r="F55">
        <v>0.99646270303036399</v>
      </c>
      <c r="G55">
        <v>0.70479444829785698</v>
      </c>
      <c r="H55">
        <v>0.51990314010025696</v>
      </c>
      <c r="I55">
        <v>0.385767892674235</v>
      </c>
      <c r="J55">
        <v>0.33811754410467798</v>
      </c>
      <c r="K55">
        <v>0.239653468366302</v>
      </c>
      <c r="L55">
        <v>1143.3554843468901</v>
      </c>
      <c r="M55">
        <v>19.329707977821499</v>
      </c>
      <c r="N55">
        <v>61.168524005938004</v>
      </c>
      <c r="O55">
        <v>58.528003490912198</v>
      </c>
      <c r="P55">
        <v>-6.3101221927116397E-2</v>
      </c>
      <c r="Q55">
        <v>0.235777170312472</v>
      </c>
      <c r="R55">
        <v>0.98911628694838405</v>
      </c>
      <c r="S55" t="s">
        <v>6366</v>
      </c>
      <c r="T55" t="s">
        <v>12620</v>
      </c>
      <c r="U55" t="s">
        <v>12620</v>
      </c>
      <c r="V55" t="s">
        <v>12620</v>
      </c>
      <c r="W55" t="s">
        <v>12675</v>
      </c>
      <c r="X55">
        <v>22</v>
      </c>
      <c r="Y55" t="s">
        <v>18921</v>
      </c>
      <c r="Z55" t="s">
        <v>25002</v>
      </c>
      <c r="AA55">
        <v>0.73126860408282768</v>
      </c>
      <c r="AB55" t="str">
        <f>HYPERLINK("Melting_Curves/meltCurve_A8CTX8_ITSN1.pdf", "Melting_Curves/meltCurve_A8CTX8_ITSN1.pdf")</f>
        <v>Melting_Curves/meltCurve_A8CTX8_ITSN1.pdf</v>
      </c>
    </row>
    <row r="56" spans="1:28" x14ac:dyDescent="0.25">
      <c r="A56" t="s">
        <v>60</v>
      </c>
      <c r="B56">
        <v>0.99987803227770999</v>
      </c>
      <c r="C56">
        <v>0.721078182891292</v>
      </c>
      <c r="D56">
        <v>1.01805405495678</v>
      </c>
      <c r="E56">
        <v>0.65936940989487103</v>
      </c>
      <c r="F56">
        <v>0.92289477141511</v>
      </c>
      <c r="G56">
        <v>0.69662542766399405</v>
      </c>
      <c r="H56">
        <v>0.78887878933242395</v>
      </c>
      <c r="I56">
        <v>0.90931219910497496</v>
      </c>
      <c r="J56">
        <v>1.10989540172396</v>
      </c>
      <c r="K56">
        <v>0.96654654010936902</v>
      </c>
      <c r="L56">
        <v>10226.1535421751</v>
      </c>
      <c r="M56">
        <v>250</v>
      </c>
      <c r="O56">
        <v>40.902020767109597</v>
      </c>
      <c r="P56">
        <v>-0.204985903796017</v>
      </c>
      <c r="Q56">
        <v>0.86585067576205799</v>
      </c>
      <c r="R56">
        <v>7.6139320447199094E-2</v>
      </c>
      <c r="S56" t="s">
        <v>6367</v>
      </c>
      <c r="T56" t="s">
        <v>12620</v>
      </c>
      <c r="U56" t="s">
        <v>12620</v>
      </c>
      <c r="V56" t="s">
        <v>12620</v>
      </c>
      <c r="W56" t="s">
        <v>12676</v>
      </c>
      <c r="X56">
        <v>10</v>
      </c>
      <c r="Y56" t="s">
        <v>18922</v>
      </c>
      <c r="Z56" t="s">
        <v>25003</v>
      </c>
      <c r="AA56">
        <v>0.86990784692469214</v>
      </c>
      <c r="AB56" t="str">
        <f>HYPERLINK("Melting_Curves/meltCurve_A8MQB8_FMR1.pdf", "Melting_Curves/meltCurve_A8MQB8_FMR1.pdf")</f>
        <v>Melting_Curves/meltCurve_A8MQB8_FMR1.pdf</v>
      </c>
    </row>
    <row r="57" spans="1:28" x14ac:dyDescent="0.25">
      <c r="A57" t="s">
        <v>61</v>
      </c>
      <c r="B57">
        <v>0.99987803227770999</v>
      </c>
      <c r="C57">
        <v>0.94613360154874504</v>
      </c>
      <c r="D57">
        <v>0.97189691818016999</v>
      </c>
      <c r="E57">
        <v>0.66267722538061002</v>
      </c>
      <c r="F57">
        <v>0.203298520278162</v>
      </c>
      <c r="G57">
        <v>0.119252028660136</v>
      </c>
      <c r="H57">
        <v>8.8263321097375405E-2</v>
      </c>
      <c r="I57">
        <v>6.9220594719536996E-2</v>
      </c>
      <c r="J57">
        <v>5.9872870903124001E-2</v>
      </c>
      <c r="K57">
        <v>3.8961724336397899E-2</v>
      </c>
      <c r="L57">
        <v>1969.6990840005501</v>
      </c>
      <c r="M57">
        <v>38.856855688491301</v>
      </c>
      <c r="N57">
        <v>50.890403934508299</v>
      </c>
      <c r="O57">
        <v>50.557455101135197</v>
      </c>
      <c r="P57">
        <v>-0.17858371319373001</v>
      </c>
      <c r="Q57">
        <v>7.0566361782783998E-2</v>
      </c>
      <c r="R57">
        <v>0.99642296251997098</v>
      </c>
      <c r="S57" t="s">
        <v>6368</v>
      </c>
      <c r="T57" t="s">
        <v>12620</v>
      </c>
      <c r="U57" t="s">
        <v>12620</v>
      </c>
      <c r="V57" t="s">
        <v>12620</v>
      </c>
      <c r="W57" t="s">
        <v>12677</v>
      </c>
      <c r="X57">
        <v>4</v>
      </c>
      <c r="Y57" t="s">
        <v>18923</v>
      </c>
      <c r="Z57" t="s">
        <v>25004</v>
      </c>
      <c r="AA57">
        <v>0.40524331766608818</v>
      </c>
      <c r="AB57" t="str">
        <f>HYPERLINK("Melting_Curves/meltCurve_A8MTK3_POT1.pdf", "Melting_Curves/meltCurve_A8MTK3_POT1.pdf")</f>
        <v>Melting_Curves/meltCurve_A8MTK3_POT1.pdf</v>
      </c>
    </row>
    <row r="58" spans="1:28" x14ac:dyDescent="0.25">
      <c r="A58" t="s">
        <v>62</v>
      </c>
      <c r="B58">
        <v>0.99987803227770999</v>
      </c>
      <c r="C58">
        <v>1.1074053623765401</v>
      </c>
      <c r="D58">
        <v>0.98937318302050403</v>
      </c>
      <c r="E58">
        <v>1.0326515510063401</v>
      </c>
      <c r="F58">
        <v>0.86479090600911002</v>
      </c>
      <c r="G58">
        <v>0.80554818740538803</v>
      </c>
      <c r="H58">
        <v>0.853344183418414</v>
      </c>
      <c r="I58">
        <v>0.81295995461482895</v>
      </c>
      <c r="J58">
        <v>0.77437745999846297</v>
      </c>
      <c r="K58">
        <v>0.65009028511445799</v>
      </c>
      <c r="L58">
        <v>492.95862183454398</v>
      </c>
      <c r="M58">
        <v>7.3822234734586099</v>
      </c>
      <c r="O58">
        <v>62.4012629158088</v>
      </c>
      <c r="P58">
        <v>-1.5544446271452701E-2</v>
      </c>
      <c r="Q58">
        <v>0.47521688705459098</v>
      </c>
      <c r="R58">
        <v>0.79987950936089303</v>
      </c>
      <c r="S58" t="s">
        <v>6369</v>
      </c>
      <c r="T58" t="s">
        <v>12620</v>
      </c>
      <c r="U58" t="s">
        <v>12620</v>
      </c>
      <c r="V58" t="s">
        <v>12620</v>
      </c>
      <c r="W58" t="s">
        <v>12678</v>
      </c>
      <c r="X58">
        <v>4</v>
      </c>
      <c r="Y58" t="s">
        <v>18924</v>
      </c>
      <c r="Z58" t="s">
        <v>25005</v>
      </c>
      <c r="AA58">
        <v>0.88503516534940507</v>
      </c>
      <c r="AB58" t="str">
        <f>HYPERLINK("Melting_Curves/meltCurve_A8MTZ6_S100PBP.pdf", "Melting_Curves/meltCurve_A8MTZ6_S100PBP.pdf")</f>
        <v>Melting_Curves/meltCurve_A8MTZ6_S100PBP.pdf</v>
      </c>
    </row>
    <row r="59" spans="1:28" x14ac:dyDescent="0.25">
      <c r="A59" t="s">
        <v>63</v>
      </c>
      <c r="B59">
        <v>0.99987803227770999</v>
      </c>
      <c r="C59">
        <v>0.96274472569624703</v>
      </c>
      <c r="D59">
        <v>0.77259533058044405</v>
      </c>
      <c r="E59">
        <v>0.84597251911118498</v>
      </c>
      <c r="F59">
        <v>0.54957549921988103</v>
      </c>
      <c r="G59">
        <v>0.38587089874811697</v>
      </c>
      <c r="H59">
        <v>0.128200872610023</v>
      </c>
      <c r="I59">
        <v>0.107179222658495</v>
      </c>
      <c r="J59">
        <v>7.3704890595145095E-2</v>
      </c>
      <c r="K59">
        <v>5.6885194148611602E-2</v>
      </c>
      <c r="L59">
        <v>712.17730483334196</v>
      </c>
      <c r="M59">
        <v>13.1395023834994</v>
      </c>
      <c r="N59">
        <v>54.201238927225198</v>
      </c>
      <c r="O59">
        <v>52.991909253787703</v>
      </c>
      <c r="P59">
        <v>-6.1998767736772001E-2</v>
      </c>
      <c r="Q59">
        <v>0</v>
      </c>
      <c r="R59">
        <v>0.97412198499265401</v>
      </c>
      <c r="S59" t="s">
        <v>6370</v>
      </c>
      <c r="T59" t="s">
        <v>12620</v>
      </c>
      <c r="U59" t="s">
        <v>12620</v>
      </c>
      <c r="V59" t="s">
        <v>12620</v>
      </c>
      <c r="W59" t="s">
        <v>12679</v>
      </c>
      <c r="X59">
        <v>25</v>
      </c>
      <c r="Y59" t="s">
        <v>18925</v>
      </c>
      <c r="Z59" t="s">
        <v>25006</v>
      </c>
      <c r="AA59">
        <v>0.49687689717244637</v>
      </c>
      <c r="AB59" t="str">
        <f>HYPERLINK("Melting_Curves/meltCurve_A8MUB1_TUBA4A.pdf", "Melting_Curves/meltCurve_A8MUB1_TUBA4A.pdf")</f>
        <v>Melting_Curves/meltCurve_A8MUB1_TUBA4A.pdf</v>
      </c>
    </row>
    <row r="60" spans="1:28" x14ac:dyDescent="0.25">
      <c r="A60" t="s">
        <v>64</v>
      </c>
      <c r="B60">
        <v>0.99987803227770999</v>
      </c>
      <c r="C60">
        <v>1.0550926312104401</v>
      </c>
      <c r="D60">
        <v>1.08968728359883</v>
      </c>
      <c r="E60">
        <v>0.94388465769785901</v>
      </c>
      <c r="F60">
        <v>0.67826549884842002</v>
      </c>
      <c r="G60">
        <v>0.470157651981362</v>
      </c>
      <c r="H60">
        <v>0.40738857854705701</v>
      </c>
      <c r="I60">
        <v>0.36212910414830701</v>
      </c>
      <c r="J60">
        <v>0.32754750901085</v>
      </c>
      <c r="K60">
        <v>0.26793441806012602</v>
      </c>
      <c r="L60">
        <v>1368.77928713446</v>
      </c>
      <c r="M60">
        <v>25.498773944320501</v>
      </c>
      <c r="N60">
        <v>56.046011651623303</v>
      </c>
      <c r="O60">
        <v>53.353314072231498</v>
      </c>
      <c r="P60">
        <v>-8.0103094019104606E-2</v>
      </c>
      <c r="Q60">
        <v>0.329581654950522</v>
      </c>
      <c r="R60">
        <v>0.97695255267652503</v>
      </c>
      <c r="S60" t="s">
        <v>6371</v>
      </c>
      <c r="T60" t="s">
        <v>12620</v>
      </c>
      <c r="U60" t="s">
        <v>12620</v>
      </c>
      <c r="V60" t="s">
        <v>12620</v>
      </c>
      <c r="W60" t="s">
        <v>12680</v>
      </c>
      <c r="X60">
        <v>7</v>
      </c>
      <c r="Y60" t="s">
        <v>18926</v>
      </c>
      <c r="Z60" t="s">
        <v>25007</v>
      </c>
      <c r="AA60">
        <v>0.64127168661055078</v>
      </c>
      <c r="AB60" t="str">
        <f>HYPERLINK("Melting_Curves/meltCurve_A8MVZ6_BICD1.pdf", "Melting_Curves/meltCurve_A8MVZ6_BICD1.pdf")</f>
        <v>Melting_Curves/meltCurve_A8MVZ6_BICD1.pdf</v>
      </c>
    </row>
    <row r="61" spans="1:28" x14ac:dyDescent="0.25">
      <c r="A61" t="s">
        <v>65</v>
      </c>
      <c r="B61">
        <v>0.99987803227770999</v>
      </c>
      <c r="C61">
        <v>1.0074836601630699</v>
      </c>
      <c r="D61">
        <v>1.13717623974867</v>
      </c>
      <c r="E61">
        <v>0.97290927350551104</v>
      </c>
      <c r="F61">
        <v>0.92569723240607904</v>
      </c>
      <c r="G61">
        <v>0.88099020425301999</v>
      </c>
      <c r="H61">
        <v>0.90016279970206903</v>
      </c>
      <c r="I61">
        <v>0.87547722162335795</v>
      </c>
      <c r="J61">
        <v>0.78166081194468395</v>
      </c>
      <c r="K61">
        <v>0.69659495896305001</v>
      </c>
      <c r="L61">
        <v>545.77686014811104</v>
      </c>
      <c r="M61">
        <v>6.8885111001394304</v>
      </c>
      <c r="Q61">
        <v>0</v>
      </c>
      <c r="R61">
        <v>0.79786576463521197</v>
      </c>
      <c r="S61" t="s">
        <v>6372</v>
      </c>
      <c r="T61" t="s">
        <v>12620</v>
      </c>
      <c r="U61" t="s">
        <v>12620</v>
      </c>
      <c r="V61" t="s">
        <v>12620</v>
      </c>
      <c r="W61" t="s">
        <v>12681</v>
      </c>
      <c r="X61">
        <v>8</v>
      </c>
      <c r="Y61" t="s">
        <v>18927</v>
      </c>
      <c r="Z61" t="s">
        <v>25008</v>
      </c>
      <c r="AA61">
        <v>0.91935975037726503</v>
      </c>
      <c r="AB61" t="str">
        <f>HYPERLINK("Melting_Curves/meltCurve_A8MWK3_CDH2.pdf", "Melting_Curves/meltCurve_A8MWK3_CDH2.pdf")</f>
        <v>Melting_Curves/meltCurve_A8MWK3_CDH2.pdf</v>
      </c>
    </row>
    <row r="62" spans="1:28" x14ac:dyDescent="0.25">
      <c r="A62" t="s">
        <v>66</v>
      </c>
      <c r="B62">
        <v>0.99987803227770999</v>
      </c>
      <c r="C62">
        <v>0.98133082412511097</v>
      </c>
      <c r="D62">
        <v>0.98504512179503101</v>
      </c>
      <c r="E62">
        <v>0.91150765918570098</v>
      </c>
      <c r="F62">
        <v>0.80889720099532203</v>
      </c>
      <c r="G62">
        <v>0.96892848633895601</v>
      </c>
      <c r="H62">
        <v>0.94978503306425199</v>
      </c>
      <c r="I62">
        <v>0.80361646252255403</v>
      </c>
      <c r="J62">
        <v>0.66707077274855797</v>
      </c>
      <c r="K62">
        <v>0.44912191939444901</v>
      </c>
      <c r="L62">
        <v>1222.83720062218</v>
      </c>
      <c r="M62">
        <v>17.6244628263408</v>
      </c>
      <c r="N62">
        <v>69.382952398335306</v>
      </c>
      <c r="O62">
        <v>68.508190311333607</v>
      </c>
      <c r="P62">
        <v>-6.4318614974034405E-2</v>
      </c>
      <c r="Q62">
        <v>0</v>
      </c>
      <c r="R62">
        <v>0.84250507852306999</v>
      </c>
      <c r="S62" t="s">
        <v>6373</v>
      </c>
      <c r="T62" t="s">
        <v>12620</v>
      </c>
      <c r="U62" t="s">
        <v>12620</v>
      </c>
      <c r="V62" t="s">
        <v>12620</v>
      </c>
      <c r="W62" t="s">
        <v>12682</v>
      </c>
      <c r="X62">
        <v>5</v>
      </c>
      <c r="Y62" t="s">
        <v>18928</v>
      </c>
      <c r="Z62" t="s">
        <v>25009</v>
      </c>
      <c r="AA62">
        <v>0.90874568793329091</v>
      </c>
      <c r="AB62" t="str">
        <f>HYPERLINK("Melting_Curves/meltCurve_A8MWR2_WIPF2.pdf", "Melting_Curves/meltCurve_A8MWR2_WIPF2.pdf")</f>
        <v>Melting_Curves/meltCurve_A8MWR2_WIPF2.pdf</v>
      </c>
    </row>
    <row r="63" spans="1:28" x14ac:dyDescent="0.25">
      <c r="A63" t="s">
        <v>67</v>
      </c>
      <c r="B63">
        <v>0.99987803227770999</v>
      </c>
      <c r="C63">
        <v>0.94859965052369399</v>
      </c>
      <c r="D63">
        <v>0.71148394610962395</v>
      </c>
      <c r="E63">
        <v>0.69818664640160699</v>
      </c>
      <c r="F63">
        <v>0.57858682824460295</v>
      </c>
      <c r="G63">
        <v>0.41961904334648198</v>
      </c>
      <c r="H63">
        <v>0.394185999736968</v>
      </c>
      <c r="I63">
        <v>0.40205110873424599</v>
      </c>
      <c r="J63">
        <v>0.41508260252298801</v>
      </c>
      <c r="K63">
        <v>0.27495946879111799</v>
      </c>
      <c r="L63">
        <v>534.62325929387805</v>
      </c>
      <c r="M63">
        <v>10.677853301368501</v>
      </c>
      <c r="N63">
        <v>55.093201452561097</v>
      </c>
      <c r="O63">
        <v>48.408142693440197</v>
      </c>
      <c r="P63">
        <v>-3.79986643547333E-2</v>
      </c>
      <c r="Q63">
        <v>0.31119143921088399</v>
      </c>
      <c r="R63">
        <v>0.95302854610662902</v>
      </c>
      <c r="S63" t="s">
        <v>6374</v>
      </c>
      <c r="T63" t="s">
        <v>12620</v>
      </c>
      <c r="U63" t="s">
        <v>12620</v>
      </c>
      <c r="V63" t="s">
        <v>12620</v>
      </c>
      <c r="W63" t="s">
        <v>12683</v>
      </c>
      <c r="X63">
        <v>8</v>
      </c>
      <c r="Y63" t="s">
        <v>18929</v>
      </c>
      <c r="Z63" t="s">
        <v>25010</v>
      </c>
      <c r="AA63">
        <v>0.57062862747165399</v>
      </c>
      <c r="AB63" t="str">
        <f>HYPERLINK("Melting_Curves/meltCurve_A8MX75_ERCC2.pdf", "Melting_Curves/meltCurve_A8MX75_ERCC2.pdf")</f>
        <v>Melting_Curves/meltCurve_A8MX75_ERCC2.pdf</v>
      </c>
    </row>
    <row r="64" spans="1:28" x14ac:dyDescent="0.25">
      <c r="A64" t="s">
        <v>68</v>
      </c>
      <c r="B64">
        <v>0.99987803227770999</v>
      </c>
      <c r="C64">
        <v>0.95991042497439705</v>
      </c>
      <c r="D64">
        <v>0.95250528222379605</v>
      </c>
      <c r="E64">
        <v>0.94320463295742496</v>
      </c>
      <c r="F64">
        <v>1.00826618499619</v>
      </c>
      <c r="G64">
        <v>0.46852709749170601</v>
      </c>
      <c r="H64">
        <v>0.114529718774671</v>
      </c>
      <c r="I64">
        <v>8.5590770950915801E-2</v>
      </c>
      <c r="J64">
        <v>4.7808155598226702E-2</v>
      </c>
      <c r="K64">
        <v>4.0141879001698598E-2</v>
      </c>
      <c r="L64">
        <v>3014.55715603012</v>
      </c>
      <c r="M64">
        <v>53.139554119982002</v>
      </c>
      <c r="N64">
        <v>56.878376918624298</v>
      </c>
      <c r="O64">
        <v>56.648894886715901</v>
      </c>
      <c r="P64">
        <v>-0.21924549410886501</v>
      </c>
      <c r="Q64">
        <v>6.5102681064349494E-2</v>
      </c>
      <c r="R64">
        <v>0.99453422926152202</v>
      </c>
      <c r="S64" t="s">
        <v>6375</v>
      </c>
      <c r="T64" t="s">
        <v>12620</v>
      </c>
      <c r="U64" t="s">
        <v>12620</v>
      </c>
      <c r="V64" t="s">
        <v>12620</v>
      </c>
      <c r="W64" t="s">
        <v>12684</v>
      </c>
      <c r="X64">
        <v>5</v>
      </c>
      <c r="Y64" t="s">
        <v>18930</v>
      </c>
      <c r="Z64" t="s">
        <v>25011</v>
      </c>
      <c r="AA64">
        <v>0.58850216638408148</v>
      </c>
      <c r="AB64" t="str">
        <f>HYPERLINK("Melting_Curves/meltCurve_A8MXV4_NUDT19.pdf", "Melting_Curves/meltCurve_A8MXV4_NUDT19.pdf")</f>
        <v>Melting_Curves/meltCurve_A8MXV4_NUDT19.pdf</v>
      </c>
    </row>
    <row r="65" spans="1:28" x14ac:dyDescent="0.25">
      <c r="A65" t="s">
        <v>69</v>
      </c>
      <c r="B65">
        <v>0.99987803227770999</v>
      </c>
      <c r="C65">
        <v>0.829792283604178</v>
      </c>
      <c r="D65">
        <v>0.89574272566216495</v>
      </c>
      <c r="E65">
        <v>0.88981812182781495</v>
      </c>
      <c r="F65">
        <v>0.98991421773797506</v>
      </c>
      <c r="G65">
        <v>0.61197663582784601</v>
      </c>
      <c r="H65">
        <v>0.853397747001855</v>
      </c>
      <c r="I65">
        <v>0.65540908442815005</v>
      </c>
      <c r="J65">
        <v>0.98886748122557</v>
      </c>
      <c r="K65">
        <v>0.75442317582352703</v>
      </c>
      <c r="L65">
        <v>359.82885264256703</v>
      </c>
      <c r="M65">
        <v>7.7876493028487097</v>
      </c>
      <c r="O65">
        <v>43.455220737029201</v>
      </c>
      <c r="P65">
        <v>-9.9925584327242491E-3</v>
      </c>
      <c r="Q65">
        <v>0.77724389999951005</v>
      </c>
      <c r="R65">
        <v>0.170960779310494</v>
      </c>
      <c r="S65" t="s">
        <v>6376</v>
      </c>
      <c r="T65" t="s">
        <v>12620</v>
      </c>
      <c r="U65" t="s">
        <v>12620</v>
      </c>
      <c r="V65" t="s">
        <v>12620</v>
      </c>
      <c r="W65" t="s">
        <v>12685</v>
      </c>
      <c r="X65">
        <v>10</v>
      </c>
      <c r="Y65" t="s">
        <v>18931</v>
      </c>
      <c r="Z65" t="s">
        <v>25012</v>
      </c>
      <c r="AA65">
        <v>0.84307835781211893</v>
      </c>
      <c r="AB65" t="str">
        <f>HYPERLINK("Melting_Curves/meltCurve_A9Z1X7_SRRM1.pdf", "Melting_Curves/meltCurve_A9Z1X7_SRRM1.pdf")</f>
        <v>Melting_Curves/meltCurve_A9Z1X7_SRRM1.pdf</v>
      </c>
    </row>
    <row r="66" spans="1:28" x14ac:dyDescent="0.25">
      <c r="A66" t="s">
        <v>70</v>
      </c>
      <c r="B66">
        <v>0.99987803227770999</v>
      </c>
      <c r="C66">
        <v>1.06651589318872</v>
      </c>
      <c r="D66">
        <v>0.94258419570634</v>
      </c>
      <c r="E66">
        <v>0.86762475444764797</v>
      </c>
      <c r="F66">
        <v>0.533178252563559</v>
      </c>
      <c r="G66">
        <v>0.25463463459911001</v>
      </c>
      <c r="H66">
        <v>0.21494655305653601</v>
      </c>
      <c r="I66">
        <v>0.20763733733755199</v>
      </c>
      <c r="J66">
        <v>0.13456780952301201</v>
      </c>
      <c r="K66">
        <v>9.6857432842390206E-2</v>
      </c>
      <c r="L66">
        <v>1396.08222972768</v>
      </c>
      <c r="M66">
        <v>26.4579432403658</v>
      </c>
      <c r="N66">
        <v>53.501823752074301</v>
      </c>
      <c r="O66">
        <v>52.467420137003302</v>
      </c>
      <c r="P66">
        <v>-0.106844395783562</v>
      </c>
      <c r="Q66">
        <v>0.152498050182445</v>
      </c>
      <c r="R66">
        <v>0.98953271125976905</v>
      </c>
      <c r="S66" t="s">
        <v>6377</v>
      </c>
      <c r="T66" t="s">
        <v>12620</v>
      </c>
      <c r="U66" t="s">
        <v>12620</v>
      </c>
      <c r="V66" t="s">
        <v>12620</v>
      </c>
      <c r="W66" t="s">
        <v>12686</v>
      </c>
      <c r="X66">
        <v>14</v>
      </c>
      <c r="Y66" t="s">
        <v>18932</v>
      </c>
      <c r="Z66" t="s">
        <v>25013</v>
      </c>
      <c r="AA66">
        <v>0.52013362088031956</v>
      </c>
      <c r="AB66" t="str">
        <f>HYPERLINK("Melting_Curves/meltCurve_B0FLL2_PFKFB2.pdf", "Melting_Curves/meltCurve_B0FLL2_PFKFB2.pdf")</f>
        <v>Melting_Curves/meltCurve_B0FLL2_PFKFB2.pdf</v>
      </c>
    </row>
    <row r="67" spans="1:28" x14ac:dyDescent="0.25">
      <c r="A67" t="s">
        <v>71</v>
      </c>
      <c r="B67">
        <v>0.99987803227770999</v>
      </c>
      <c r="C67">
        <v>0.87288796713487204</v>
      </c>
      <c r="D67">
        <v>0.88002244296340004</v>
      </c>
      <c r="E67">
        <v>0.697092793713464</v>
      </c>
      <c r="F67">
        <v>0.535504415642027</v>
      </c>
      <c r="G67">
        <v>0.28410060823757499</v>
      </c>
      <c r="H67">
        <v>0.166885508778541</v>
      </c>
      <c r="I67">
        <v>0.16147954442418</v>
      </c>
      <c r="J67">
        <v>9.4869900832445994E-2</v>
      </c>
      <c r="K67">
        <v>4.9457499887191302E-2</v>
      </c>
      <c r="L67">
        <v>626.07359282480604</v>
      </c>
      <c r="M67">
        <v>11.763381404254501</v>
      </c>
      <c r="N67">
        <v>53.273648370142503</v>
      </c>
      <c r="O67">
        <v>51.754013770901501</v>
      </c>
      <c r="P67">
        <v>-5.6517574533531803E-2</v>
      </c>
      <c r="Q67">
        <v>5.6430961830953603E-3</v>
      </c>
      <c r="R67">
        <v>0.99217954053694102</v>
      </c>
      <c r="S67" t="s">
        <v>6378</v>
      </c>
      <c r="T67" t="s">
        <v>12620</v>
      </c>
      <c r="U67" t="s">
        <v>12620</v>
      </c>
      <c r="V67" t="s">
        <v>12620</v>
      </c>
      <c r="W67" t="s">
        <v>12687</v>
      </c>
      <c r="X67">
        <v>1</v>
      </c>
      <c r="Y67" t="s">
        <v>18933</v>
      </c>
      <c r="Z67" t="s">
        <v>25014</v>
      </c>
      <c r="AA67">
        <v>0.4723055798151955</v>
      </c>
      <c r="AB67" t="str">
        <f>HYPERLINK("Melting_Curves/meltCurve_B0QXZ5_DNAL4.pdf", "Melting_Curves/meltCurve_B0QXZ5_DNAL4.pdf")</f>
        <v>Melting_Curves/meltCurve_B0QXZ5_DNAL4.pdf</v>
      </c>
    </row>
    <row r="68" spans="1:28" x14ac:dyDescent="0.25">
      <c r="A68" t="s">
        <v>72</v>
      </c>
      <c r="B68">
        <v>0.99987803227770999</v>
      </c>
      <c r="C68">
        <v>1.14153681084909</v>
      </c>
      <c r="D68">
        <v>1.02933043925115</v>
      </c>
      <c r="E68">
        <v>0.972487602785437</v>
      </c>
      <c r="F68">
        <v>0.72107325676501399</v>
      </c>
      <c r="G68">
        <v>0.58815413902547597</v>
      </c>
      <c r="H68">
        <v>0.41198192239339299</v>
      </c>
      <c r="I68">
        <v>0.37921512882756397</v>
      </c>
      <c r="J68">
        <v>0.28481412350466601</v>
      </c>
      <c r="K68">
        <v>0.21782215272966099</v>
      </c>
      <c r="L68">
        <v>897.77838674877205</v>
      </c>
      <c r="M68">
        <v>15.9061300303624</v>
      </c>
      <c r="N68">
        <v>58.660986602982597</v>
      </c>
      <c r="O68">
        <v>55.572749564033799</v>
      </c>
      <c r="P68">
        <v>-5.5385733255254498E-2</v>
      </c>
      <c r="Q68">
        <v>0.226036493346219</v>
      </c>
      <c r="R68">
        <v>0.96450563823269897</v>
      </c>
      <c r="S68" t="s">
        <v>6379</v>
      </c>
      <c r="T68" t="s">
        <v>12620</v>
      </c>
      <c r="U68" t="s">
        <v>12620</v>
      </c>
      <c r="V68" t="s">
        <v>12620</v>
      </c>
      <c r="W68" t="s">
        <v>12688</v>
      </c>
      <c r="X68">
        <v>1</v>
      </c>
      <c r="Y68" t="s">
        <v>18934</v>
      </c>
      <c r="Z68" t="s">
        <v>25015</v>
      </c>
      <c r="AA68">
        <v>0.66274254827971391</v>
      </c>
      <c r="AB68" t="str">
        <f>HYPERLINK("Melting_Curves/meltCurve_B0QY74_MKL1.pdf", "Melting_Curves/meltCurve_B0QY74_MKL1.pdf")</f>
        <v>Melting_Curves/meltCurve_B0QY74_MKL1.pdf</v>
      </c>
    </row>
    <row r="69" spans="1:28" x14ac:dyDescent="0.25">
      <c r="A69" t="s">
        <v>73</v>
      </c>
      <c r="B69">
        <v>0.99987803227770999</v>
      </c>
      <c r="C69">
        <v>0.99179822380326799</v>
      </c>
      <c r="D69">
        <v>1.06768890755059</v>
      </c>
      <c r="E69">
        <v>0.99687672445164699</v>
      </c>
      <c r="F69">
        <v>1.0200909054298199</v>
      </c>
      <c r="G69">
        <v>0.90839206268489403</v>
      </c>
      <c r="H69">
        <v>0.45370657406815101</v>
      </c>
      <c r="I69">
        <v>0.150956954101411</v>
      </c>
      <c r="J69">
        <v>6.9410190381638107E-2</v>
      </c>
      <c r="K69">
        <v>5.0768626024186699E-2</v>
      </c>
      <c r="L69">
        <v>2266.4862190244098</v>
      </c>
      <c r="M69">
        <v>37.453311576111602</v>
      </c>
      <c r="N69">
        <v>60.6637941216851</v>
      </c>
      <c r="O69">
        <v>60.343229911920602</v>
      </c>
      <c r="P69">
        <v>-0.148357789609047</v>
      </c>
      <c r="Q69">
        <v>4.3890782751731E-2</v>
      </c>
      <c r="R69">
        <v>0.99690414215376399</v>
      </c>
      <c r="S69" t="s">
        <v>6380</v>
      </c>
      <c r="T69" t="s">
        <v>12620</v>
      </c>
      <c r="U69" t="s">
        <v>12620</v>
      </c>
      <c r="V69" t="s">
        <v>12620</v>
      </c>
      <c r="W69" t="s">
        <v>12689</v>
      </c>
      <c r="X69">
        <v>7</v>
      </c>
      <c r="Y69" t="s">
        <v>18935</v>
      </c>
      <c r="Z69" t="s">
        <v>25016</v>
      </c>
      <c r="AA69">
        <v>0.70181936005412759</v>
      </c>
      <c r="AB69" t="str">
        <f>HYPERLINK("Melting_Curves/meltCurve_B0QYI3_TBC1D22A.pdf", "Melting_Curves/meltCurve_B0QYI3_TBC1D22A.pdf")</f>
        <v>Melting_Curves/meltCurve_B0QYI3_TBC1D22A.pdf</v>
      </c>
    </row>
    <row r="70" spans="1:28" x14ac:dyDescent="0.25">
      <c r="A70" t="s">
        <v>74</v>
      </c>
      <c r="B70">
        <v>0.99987803227770999</v>
      </c>
      <c r="C70">
        <v>0.92042665661454803</v>
      </c>
      <c r="D70">
        <v>0.96544126652269302</v>
      </c>
      <c r="E70">
        <v>0.85996910954496897</v>
      </c>
      <c r="F70">
        <v>0.86708652706255995</v>
      </c>
      <c r="G70">
        <v>0.84595743948541502</v>
      </c>
      <c r="H70">
        <v>0.81498245944065995</v>
      </c>
      <c r="I70">
        <v>0.77503479608867498</v>
      </c>
      <c r="J70">
        <v>0.47879485424499801</v>
      </c>
      <c r="K70">
        <v>0.42250787806293999</v>
      </c>
      <c r="L70">
        <v>589.84317236315997</v>
      </c>
      <c r="M70">
        <v>8.5727415205906894</v>
      </c>
      <c r="N70">
        <v>68.804497478099705</v>
      </c>
      <c r="O70">
        <v>65.367386508576999</v>
      </c>
      <c r="P70">
        <v>-3.2815379539578998E-2</v>
      </c>
      <c r="Q70">
        <v>0</v>
      </c>
      <c r="R70">
        <v>0.86269251167636396</v>
      </c>
      <c r="S70" t="s">
        <v>6381</v>
      </c>
      <c r="T70" t="s">
        <v>12620</v>
      </c>
      <c r="U70" t="s">
        <v>12620</v>
      </c>
      <c r="V70" t="s">
        <v>12620</v>
      </c>
      <c r="W70" t="s">
        <v>12690</v>
      </c>
      <c r="X70">
        <v>2</v>
      </c>
      <c r="Y70" t="s">
        <v>18936</v>
      </c>
      <c r="Z70" t="s">
        <v>25017</v>
      </c>
      <c r="AA70">
        <v>0.83189639570201634</v>
      </c>
      <c r="AB70" t="str">
        <f>HYPERLINK("Melting_Curves/meltCurve_B0S8A9_FLOT1.pdf", "Melting_Curves/meltCurve_B0S8A9_FLOT1.pdf")</f>
        <v>Melting_Curves/meltCurve_B0S8A9_FLOT1.pdf</v>
      </c>
    </row>
    <row r="71" spans="1:28" x14ac:dyDescent="0.25">
      <c r="A71" t="s">
        <v>75</v>
      </c>
      <c r="B71">
        <v>0.99987803227770999</v>
      </c>
      <c r="C71">
        <v>1.13456678736061</v>
      </c>
      <c r="D71">
        <v>0.90837324993617496</v>
      </c>
      <c r="E71">
        <v>1.09788863201454</v>
      </c>
      <c r="F71">
        <v>0.813924110348068</v>
      </c>
      <c r="G71">
        <v>0.65127047571841701</v>
      </c>
      <c r="H71">
        <v>0.45607376575335001</v>
      </c>
      <c r="I71">
        <v>0.371961613931868</v>
      </c>
      <c r="J71">
        <v>0.31105661446814997</v>
      </c>
      <c r="K71">
        <v>0.20060934304860301</v>
      </c>
      <c r="L71">
        <v>978.78117256494295</v>
      </c>
      <c r="M71">
        <v>16.8173264035462</v>
      </c>
      <c r="N71">
        <v>60.041488839044803</v>
      </c>
      <c r="O71">
        <v>57.3965087302212</v>
      </c>
      <c r="P71">
        <v>-5.8500077845652199E-2</v>
      </c>
      <c r="Q71">
        <v>0.20142271210872201</v>
      </c>
      <c r="R71">
        <v>0.94917757919602297</v>
      </c>
      <c r="S71" t="s">
        <v>6382</v>
      </c>
      <c r="T71" t="s">
        <v>12620</v>
      </c>
      <c r="U71" t="s">
        <v>12620</v>
      </c>
      <c r="V71" t="s">
        <v>12620</v>
      </c>
      <c r="W71" t="s">
        <v>12691</v>
      </c>
      <c r="X71">
        <v>27</v>
      </c>
      <c r="Y71" t="s">
        <v>18937</v>
      </c>
      <c r="Z71" t="s">
        <v>25018</v>
      </c>
      <c r="AA71">
        <v>0.69589708142392437</v>
      </c>
      <c r="AB71" t="str">
        <f>HYPERLINK("Melting_Curves/meltCurve_B0UX83_BAG6.pdf", "Melting_Curves/meltCurve_B0UX83_BAG6.pdf")</f>
        <v>Melting_Curves/meltCurve_B0UX83_BAG6.pdf</v>
      </c>
    </row>
    <row r="72" spans="1:28" x14ac:dyDescent="0.25">
      <c r="A72" t="s">
        <v>76</v>
      </c>
      <c r="B72">
        <v>0.99987803227770999</v>
      </c>
      <c r="C72">
        <v>0.89853704945840296</v>
      </c>
      <c r="D72">
        <v>0.91561600724117698</v>
      </c>
      <c r="E72">
        <v>0.72549975848422998</v>
      </c>
      <c r="F72">
        <v>0.65689752317753203</v>
      </c>
      <c r="G72">
        <v>0.49169795112395098</v>
      </c>
      <c r="H72">
        <v>0.56315591813514299</v>
      </c>
      <c r="I72">
        <v>0.54017094321827797</v>
      </c>
      <c r="J72">
        <v>0.52916394897212105</v>
      </c>
      <c r="K72">
        <v>0.42623095733741501</v>
      </c>
      <c r="L72">
        <v>701.13151959478705</v>
      </c>
      <c r="M72">
        <v>14.0651289877874</v>
      </c>
      <c r="N72">
        <v>65.300152223677202</v>
      </c>
      <c r="O72">
        <v>48.873696969372602</v>
      </c>
      <c r="P72">
        <v>-3.7268079938425999E-2</v>
      </c>
      <c r="Q72">
        <v>0.48206882927043598</v>
      </c>
      <c r="R72">
        <v>0.950884656898907</v>
      </c>
      <c r="S72" t="s">
        <v>6383</v>
      </c>
      <c r="T72" t="s">
        <v>12620</v>
      </c>
      <c r="U72" t="s">
        <v>12620</v>
      </c>
      <c r="V72" t="s">
        <v>12620</v>
      </c>
      <c r="W72" t="s">
        <v>12692</v>
      </c>
      <c r="X72">
        <v>5</v>
      </c>
      <c r="Y72" t="s">
        <v>18938</v>
      </c>
      <c r="Z72" t="s">
        <v>25019</v>
      </c>
      <c r="AA72">
        <v>0.66600540628740201</v>
      </c>
      <c r="AB72" t="str">
        <f>HYPERLINK("Melting_Curves/meltCurve_B0UZY3_EHMT2.pdf", "Melting_Curves/meltCurve_B0UZY3_EHMT2.pdf")</f>
        <v>Melting_Curves/meltCurve_B0UZY3_EHMT2.pdf</v>
      </c>
    </row>
    <row r="73" spans="1:28" x14ac:dyDescent="0.25">
      <c r="A73" t="s">
        <v>77</v>
      </c>
      <c r="B73">
        <v>0.99987803227770999</v>
      </c>
      <c r="C73">
        <v>0.843618213752099</v>
      </c>
      <c r="D73">
        <v>1.0053943405266801</v>
      </c>
      <c r="E73">
        <v>0.79983063192214898</v>
      </c>
      <c r="F73">
        <v>0.636521487485737</v>
      </c>
      <c r="G73">
        <v>0.20349379501824699</v>
      </c>
      <c r="H73">
        <v>9.0000854717520201E-2</v>
      </c>
      <c r="I73">
        <v>6.5096791158257297E-2</v>
      </c>
      <c r="J73">
        <v>5.7011414970516198E-2</v>
      </c>
      <c r="K73">
        <v>4.1568419251424203E-2</v>
      </c>
      <c r="L73">
        <v>1211.5302206526301</v>
      </c>
      <c r="M73">
        <v>22.568080407286999</v>
      </c>
      <c r="N73">
        <v>53.854634963054998</v>
      </c>
      <c r="O73">
        <v>53.267179961237403</v>
      </c>
      <c r="P73">
        <v>-0.102253473734156</v>
      </c>
      <c r="Q73">
        <v>3.4628700676762103E-2</v>
      </c>
      <c r="R73">
        <v>0.98082706888831195</v>
      </c>
      <c r="S73" t="s">
        <v>6384</v>
      </c>
      <c r="T73" t="s">
        <v>12620</v>
      </c>
      <c r="U73" t="s">
        <v>12620</v>
      </c>
      <c r="V73" t="s">
        <v>12620</v>
      </c>
      <c r="W73" t="s">
        <v>12693</v>
      </c>
      <c r="X73">
        <v>1</v>
      </c>
      <c r="Y73" t="s">
        <v>18939</v>
      </c>
      <c r="Z73" t="s">
        <v>25020</v>
      </c>
      <c r="AA73">
        <v>0.48567568929086558</v>
      </c>
      <c r="AB73" t="str">
        <f>HYPERLINK("Melting_Curves/meltCurve_B1AHQ7_CENPM.pdf", "Melting_Curves/meltCurve_B1AHQ7_CENPM.pdf")</f>
        <v>Melting_Curves/meltCurve_B1AHQ7_CENPM.pdf</v>
      </c>
    </row>
    <row r="74" spans="1:28" x14ac:dyDescent="0.25">
      <c r="A74" t="s">
        <v>78</v>
      </c>
      <c r="B74">
        <v>0.99987803227770999</v>
      </c>
      <c r="C74">
        <v>0.75722111779266399</v>
      </c>
      <c r="D74">
        <v>0.85140684429690505</v>
      </c>
      <c r="E74">
        <v>0.584839726394633</v>
      </c>
      <c r="F74">
        <v>0.32502433512659501</v>
      </c>
      <c r="G74">
        <v>0.13787730962404701</v>
      </c>
      <c r="H74">
        <v>9.3277029921188401E-2</v>
      </c>
      <c r="I74">
        <v>9.7595460686517393E-2</v>
      </c>
      <c r="J74">
        <v>0.104179928718798</v>
      </c>
      <c r="K74">
        <v>6.1909350350044301E-2</v>
      </c>
      <c r="L74">
        <v>704.76268726595197</v>
      </c>
      <c r="M74">
        <v>14.045457585696701</v>
      </c>
      <c r="N74">
        <v>50.476931204206998</v>
      </c>
      <c r="O74">
        <v>49.192961016809001</v>
      </c>
      <c r="P74">
        <v>-6.8533151299672801E-2</v>
      </c>
      <c r="Q74">
        <v>4.0000553158616503E-2</v>
      </c>
      <c r="R74">
        <v>0.96746942551721904</v>
      </c>
      <c r="S74" t="s">
        <v>6385</v>
      </c>
      <c r="T74" t="s">
        <v>12620</v>
      </c>
      <c r="U74" t="s">
        <v>12620</v>
      </c>
      <c r="V74" t="s">
        <v>12620</v>
      </c>
      <c r="W74" t="s">
        <v>12694</v>
      </c>
      <c r="X74">
        <v>6</v>
      </c>
      <c r="Y74" t="s">
        <v>18940</v>
      </c>
      <c r="Z74" t="s">
        <v>25021</v>
      </c>
      <c r="AA74">
        <v>0.39116552566483881</v>
      </c>
      <c r="AB74" t="str">
        <f>HYPERLINK("Melting_Curves/meltCurve_B1AJY7_PSMD10.pdf", "Melting_Curves/meltCurve_B1AJY7_PSMD10.pdf")</f>
        <v>Melting_Curves/meltCurve_B1AJY7_PSMD10.pdf</v>
      </c>
    </row>
    <row r="75" spans="1:28" x14ac:dyDescent="0.25">
      <c r="A75" t="s">
        <v>79</v>
      </c>
      <c r="B75">
        <v>0.99987803227770999</v>
      </c>
      <c r="C75">
        <v>0.89351632877758602</v>
      </c>
      <c r="D75">
        <v>0.96703080863770996</v>
      </c>
      <c r="E75">
        <v>0.60952775686299498</v>
      </c>
      <c r="F75">
        <v>0.37362780922046102</v>
      </c>
      <c r="G75">
        <v>0.22256920692238699</v>
      </c>
      <c r="H75">
        <v>0.17376010666583799</v>
      </c>
      <c r="I75">
        <v>0.11482960807758601</v>
      </c>
      <c r="J75">
        <v>8.9259676758184303E-2</v>
      </c>
      <c r="K75">
        <v>6.4449313473387004E-2</v>
      </c>
      <c r="L75">
        <v>957.46028136770497</v>
      </c>
      <c r="M75">
        <v>18.777116567215799</v>
      </c>
      <c r="N75">
        <v>51.551504379517098</v>
      </c>
      <c r="O75">
        <v>50.423023669995999</v>
      </c>
      <c r="P75">
        <v>-8.4502730338981993E-2</v>
      </c>
      <c r="Q75">
        <v>9.236221656179E-2</v>
      </c>
      <c r="R75">
        <v>0.98795600900115199</v>
      </c>
      <c r="S75" t="s">
        <v>6386</v>
      </c>
      <c r="T75" t="s">
        <v>12620</v>
      </c>
      <c r="U75" t="s">
        <v>12620</v>
      </c>
      <c r="V75" t="s">
        <v>12620</v>
      </c>
      <c r="W75" t="s">
        <v>12695</v>
      </c>
      <c r="X75">
        <v>6</v>
      </c>
      <c r="Y75" t="s">
        <v>18941</v>
      </c>
      <c r="Z75" t="s">
        <v>25022</v>
      </c>
      <c r="AA75">
        <v>0.43904730540820758</v>
      </c>
      <c r="AB75" t="str">
        <f>HYPERLINK("Melting_Curves/meltCurve_B1AK13_HMGCL.pdf", "Melting_Curves/meltCurve_B1AK13_HMGCL.pdf")</f>
        <v>Melting_Curves/meltCurve_B1AK13_HMGCL.pdf</v>
      </c>
    </row>
    <row r="76" spans="1:28" x14ac:dyDescent="0.25">
      <c r="A76" t="s">
        <v>80</v>
      </c>
      <c r="B76">
        <v>0.99987803227770999</v>
      </c>
      <c r="C76">
        <v>0.97270102999214803</v>
      </c>
      <c r="D76">
        <v>0.97597876060466804</v>
      </c>
      <c r="E76">
        <v>0.82838757183350098</v>
      </c>
      <c r="F76">
        <v>0.72104575288296002</v>
      </c>
      <c r="G76">
        <v>0.52107197509194203</v>
      </c>
      <c r="H76">
        <v>0.52141223868830999</v>
      </c>
      <c r="I76">
        <v>0.49882602209062199</v>
      </c>
      <c r="J76">
        <v>0.47600938604448401</v>
      </c>
      <c r="K76">
        <v>0.40011909371153498</v>
      </c>
      <c r="L76">
        <v>910.42405627835501</v>
      </c>
      <c r="M76">
        <v>17.309349825175801</v>
      </c>
      <c r="N76">
        <v>60.236781635991797</v>
      </c>
      <c r="O76">
        <v>51.910281238722298</v>
      </c>
      <c r="P76">
        <v>-4.6323926288417097E-2</v>
      </c>
      <c r="Q76">
        <v>0.44433514119640299</v>
      </c>
      <c r="R76">
        <v>0.98527276105838801</v>
      </c>
      <c r="S76" t="s">
        <v>6387</v>
      </c>
      <c r="T76" t="s">
        <v>12620</v>
      </c>
      <c r="U76" t="s">
        <v>12620</v>
      </c>
      <c r="V76" t="s">
        <v>12620</v>
      </c>
      <c r="W76" t="s">
        <v>12696</v>
      </c>
      <c r="X76">
        <v>26</v>
      </c>
      <c r="Y76" t="s">
        <v>18942</v>
      </c>
      <c r="Z76" t="s">
        <v>25023</v>
      </c>
      <c r="AA76">
        <v>0.68742852985712333</v>
      </c>
      <c r="AB76" t="str">
        <f>HYPERLINK("Melting_Curves/meltCurve_B1AKC7_RASAL2.pdf", "Melting_Curves/meltCurve_B1AKC7_RASAL2.pdf")</f>
        <v>Melting_Curves/meltCurve_B1AKC7_RASAL2.pdf</v>
      </c>
    </row>
    <row r="77" spans="1:28" x14ac:dyDescent="0.25">
      <c r="A77" t="s">
        <v>81</v>
      </c>
      <c r="B77">
        <v>0.99987803227770999</v>
      </c>
      <c r="C77">
        <v>0.91062913893803599</v>
      </c>
      <c r="D77">
        <v>1.0988976980096801</v>
      </c>
      <c r="E77">
        <v>0.95266893544249598</v>
      </c>
      <c r="F77">
        <v>1.0804838066551701</v>
      </c>
      <c r="G77">
        <v>0.858134769704191</v>
      </c>
      <c r="H77">
        <v>0.89798503934182905</v>
      </c>
      <c r="I77">
        <v>0.89215917257480803</v>
      </c>
      <c r="J77">
        <v>0.93918535176448403</v>
      </c>
      <c r="K77">
        <v>0.76331431571547403</v>
      </c>
      <c r="L77">
        <v>503.951473055115</v>
      </c>
      <c r="M77">
        <v>5.7594573458108398</v>
      </c>
      <c r="Q77">
        <v>0</v>
      </c>
      <c r="R77">
        <v>0.45390935589577702</v>
      </c>
      <c r="S77" t="s">
        <v>6388</v>
      </c>
      <c r="T77" t="s">
        <v>12620</v>
      </c>
      <c r="U77" t="s">
        <v>12620</v>
      </c>
      <c r="V77" t="s">
        <v>12620</v>
      </c>
      <c r="W77" t="s">
        <v>12697</v>
      </c>
      <c r="X77">
        <v>6</v>
      </c>
      <c r="Y77" t="s">
        <v>18943</v>
      </c>
      <c r="Z77" t="s">
        <v>25024</v>
      </c>
      <c r="AA77">
        <v>0.94567449911432921</v>
      </c>
      <c r="AB77" t="str">
        <f>HYPERLINK("Melting_Curves/meltCurve_B1AKL4_EIF4ENIF1.pdf", "Melting_Curves/meltCurve_B1AKL4_EIF4ENIF1.pdf")</f>
        <v>Melting_Curves/meltCurve_B1AKL4_EIF4ENIF1.pdf</v>
      </c>
    </row>
    <row r="78" spans="1:28" x14ac:dyDescent="0.25">
      <c r="A78" t="s">
        <v>82</v>
      </c>
      <c r="B78">
        <v>0.99987803227770999</v>
      </c>
      <c r="C78">
        <v>1.04760208853268</v>
      </c>
      <c r="D78">
        <v>1.0575367993390901</v>
      </c>
      <c r="E78">
        <v>1.0384058686676301</v>
      </c>
      <c r="F78">
        <v>0.98750695997550997</v>
      </c>
      <c r="G78">
        <v>0.82268527327084595</v>
      </c>
      <c r="H78">
        <v>0.78967510757870796</v>
      </c>
      <c r="I78">
        <v>0.69043206345548502</v>
      </c>
      <c r="J78">
        <v>0.70982259533456105</v>
      </c>
      <c r="K78">
        <v>0.51438480382546503</v>
      </c>
      <c r="L78">
        <v>746.73341530093603</v>
      </c>
      <c r="M78">
        <v>11.5598621456621</v>
      </c>
      <c r="O78">
        <v>62.754724874743196</v>
      </c>
      <c r="P78">
        <v>-2.8472891150452699E-2</v>
      </c>
      <c r="Q78">
        <v>0.38189200652342897</v>
      </c>
      <c r="R78">
        <v>0.92179335552199104</v>
      </c>
      <c r="S78" t="s">
        <v>6389</v>
      </c>
      <c r="T78" t="s">
        <v>12620</v>
      </c>
      <c r="U78" t="s">
        <v>12620</v>
      </c>
      <c r="V78" t="s">
        <v>12620</v>
      </c>
      <c r="W78" t="s">
        <v>12698</v>
      </c>
      <c r="X78">
        <v>8</v>
      </c>
      <c r="Y78" t="s">
        <v>18944</v>
      </c>
      <c r="Z78" t="s">
        <v>25025</v>
      </c>
      <c r="AA78">
        <v>0.86514563023931101</v>
      </c>
      <c r="AB78" t="str">
        <f>HYPERLINK("Melting_Curves/meltCurve_B1AKN7_NFIA.pdf", "Melting_Curves/meltCurve_B1AKN7_NFIA.pdf")</f>
        <v>Melting_Curves/meltCurve_B1AKN7_NFIA.pdf</v>
      </c>
    </row>
    <row r="79" spans="1:28" x14ac:dyDescent="0.25">
      <c r="A79" t="s">
        <v>83</v>
      </c>
      <c r="B79">
        <v>0.99987803227770999</v>
      </c>
      <c r="C79">
        <v>1.1916154699079999</v>
      </c>
      <c r="D79">
        <v>1.00009698698535</v>
      </c>
      <c r="E79">
        <v>1.1356959851925299</v>
      </c>
      <c r="F79">
        <v>1.1235189400607799</v>
      </c>
      <c r="G79">
        <v>0.86539813928954001</v>
      </c>
      <c r="H79">
        <v>0.49904273795174398</v>
      </c>
      <c r="I79">
        <v>0.28261786685636597</v>
      </c>
      <c r="J79">
        <v>0.225441717958482</v>
      </c>
      <c r="K79">
        <v>0.15534521495585199</v>
      </c>
      <c r="L79">
        <v>1986.53693945758</v>
      </c>
      <c r="M79">
        <v>32.995374394888998</v>
      </c>
      <c r="N79">
        <v>60.996565305454901</v>
      </c>
      <c r="O79">
        <v>59.9866655334081</v>
      </c>
      <c r="P79">
        <v>-0.113600075918826</v>
      </c>
      <c r="Q79">
        <v>0.173889109375478</v>
      </c>
      <c r="R79">
        <v>0.95114300773983895</v>
      </c>
      <c r="S79" t="s">
        <v>6390</v>
      </c>
      <c r="T79" t="s">
        <v>12620</v>
      </c>
      <c r="U79" t="s">
        <v>12620</v>
      </c>
      <c r="V79" t="s">
        <v>12620</v>
      </c>
      <c r="W79" t="s">
        <v>12699</v>
      </c>
      <c r="X79">
        <v>10</v>
      </c>
      <c r="Y79" t="s">
        <v>18945</v>
      </c>
      <c r="Z79" t="s">
        <v>25026</v>
      </c>
      <c r="AA79">
        <v>0.7346708217313207</v>
      </c>
      <c r="AB79" t="str">
        <f>HYPERLINK("Melting_Curves/meltCurve_B1AL69_CDC37L1.pdf", "Melting_Curves/meltCurve_B1AL69_CDC37L1.pdf")</f>
        <v>Melting_Curves/meltCurve_B1AL69_CDC37L1.pdf</v>
      </c>
    </row>
    <row r="80" spans="1:28" x14ac:dyDescent="0.25">
      <c r="A80" t="s">
        <v>84</v>
      </c>
      <c r="B80">
        <v>0.99987803227770999</v>
      </c>
      <c r="C80">
        <v>1.00643279744805</v>
      </c>
      <c r="D80">
        <v>1.11999374468076</v>
      </c>
      <c r="E80">
        <v>0.56750815917391095</v>
      </c>
      <c r="F80">
        <v>0.291357647843828</v>
      </c>
      <c r="G80">
        <v>0.19709277405953199</v>
      </c>
      <c r="H80">
        <v>0.116910598686221</v>
      </c>
      <c r="I80">
        <v>7.3938244785879098E-2</v>
      </c>
      <c r="J80">
        <v>5.30751623349945E-2</v>
      </c>
      <c r="K80">
        <v>4.7041852951589802E-2</v>
      </c>
      <c r="L80">
        <v>1635.8077660076001</v>
      </c>
      <c r="M80">
        <v>32.385342075636402</v>
      </c>
      <c r="N80">
        <v>50.838697819293699</v>
      </c>
      <c r="O80">
        <v>50.3193270890254</v>
      </c>
      <c r="P80">
        <v>-0.14573262500456899</v>
      </c>
      <c r="Q80">
        <v>9.4265367553611798E-2</v>
      </c>
      <c r="R80">
        <v>0.977005490599272</v>
      </c>
      <c r="S80" t="s">
        <v>6391</v>
      </c>
      <c r="T80" t="s">
        <v>12620</v>
      </c>
      <c r="U80" t="s">
        <v>12620</v>
      </c>
      <c r="V80" t="s">
        <v>12620</v>
      </c>
      <c r="W80" t="s">
        <v>12700</v>
      </c>
      <c r="X80">
        <v>5</v>
      </c>
      <c r="Y80" t="s">
        <v>18946</v>
      </c>
      <c r="Z80" t="s">
        <v>25027</v>
      </c>
      <c r="AA80">
        <v>0.41643901632394648</v>
      </c>
      <c r="AB80" t="str">
        <f>HYPERLINK("Melting_Curves/meltCurve_B1AMU7_EXOSC1.pdf", "Melting_Curves/meltCurve_B1AMU7_EXOSC1.pdf")</f>
        <v>Melting_Curves/meltCurve_B1AMU7_EXOSC1.pdf</v>
      </c>
    </row>
    <row r="81" spans="1:28" x14ac:dyDescent="0.25">
      <c r="A81" t="s">
        <v>85</v>
      </c>
      <c r="B81">
        <v>0.99987803227770999</v>
      </c>
      <c r="C81">
        <v>0.85203822445514998</v>
      </c>
      <c r="D81">
        <v>0.95727862402098496</v>
      </c>
      <c r="E81">
        <v>0.93727434339522897</v>
      </c>
      <c r="F81">
        <v>0.88315531722251195</v>
      </c>
      <c r="G81">
        <v>0.75528352199646298</v>
      </c>
      <c r="H81">
        <v>0.87733408820675596</v>
      </c>
      <c r="I81">
        <v>0.79332308077244196</v>
      </c>
      <c r="J81">
        <v>0.85321442228590605</v>
      </c>
      <c r="K81">
        <v>0.56673449203827597</v>
      </c>
      <c r="L81">
        <v>252.63160971435599</v>
      </c>
      <c r="M81">
        <v>2.7521225612339402</v>
      </c>
      <c r="O81">
        <v>64.958601186492899</v>
      </c>
      <c r="P81">
        <v>-1.10093538126041E-2</v>
      </c>
      <c r="Q81">
        <v>0</v>
      </c>
      <c r="R81">
        <v>0.55984487076767098</v>
      </c>
      <c r="S81" t="s">
        <v>6392</v>
      </c>
      <c r="T81" t="s">
        <v>12620</v>
      </c>
      <c r="U81" t="s">
        <v>12620</v>
      </c>
      <c r="V81" t="s">
        <v>12620</v>
      </c>
      <c r="W81" t="s">
        <v>12701</v>
      </c>
      <c r="X81">
        <v>2</v>
      </c>
      <c r="Y81" t="s">
        <v>18947</v>
      </c>
      <c r="Z81" t="s">
        <v>25028</v>
      </c>
      <c r="AA81">
        <v>0.85431053012863967</v>
      </c>
      <c r="AB81" t="str">
        <f>HYPERLINK("Melting_Curves/meltCurve_B1AN99_PRSS3.pdf", "Melting_Curves/meltCurve_B1AN99_PRSS3.pdf")</f>
        <v>Melting_Curves/meltCurve_B1AN99_PRSS3.pdf</v>
      </c>
    </row>
    <row r="82" spans="1:28" x14ac:dyDescent="0.25">
      <c r="A82" t="s">
        <v>86</v>
      </c>
      <c r="B82">
        <v>0.99987803227770999</v>
      </c>
      <c r="C82">
        <v>0.75757336793107299</v>
      </c>
      <c r="D82">
        <v>0.90341785654700302</v>
      </c>
      <c r="E82">
        <v>0.36335192432056501</v>
      </c>
      <c r="F82">
        <v>0.142433868927511</v>
      </c>
      <c r="G82">
        <v>8.1440997398174994E-2</v>
      </c>
      <c r="H82">
        <v>6.1329548938846401E-2</v>
      </c>
      <c r="I82">
        <v>5.92169138804036E-2</v>
      </c>
      <c r="J82">
        <v>5.5310377798272699E-2</v>
      </c>
      <c r="K82">
        <v>4.0105295018816801E-2</v>
      </c>
      <c r="L82">
        <v>1224.81517002994</v>
      </c>
      <c r="M82">
        <v>25.129488891746899</v>
      </c>
      <c r="N82">
        <v>48.940632296136002</v>
      </c>
      <c r="O82">
        <v>48.434666041750702</v>
      </c>
      <c r="P82">
        <v>-0.123365966337841</v>
      </c>
      <c r="Q82">
        <v>4.8908955999984502E-2</v>
      </c>
      <c r="R82">
        <v>0.96184099555228297</v>
      </c>
      <c r="S82" t="s">
        <v>6393</v>
      </c>
      <c r="T82" t="s">
        <v>12620</v>
      </c>
      <c r="U82" t="s">
        <v>12620</v>
      </c>
      <c r="V82" t="s">
        <v>12620</v>
      </c>
      <c r="W82" t="s">
        <v>12702</v>
      </c>
      <c r="X82">
        <v>8</v>
      </c>
      <c r="Y82" t="s">
        <v>18948</v>
      </c>
      <c r="Z82" t="s">
        <v>25029</v>
      </c>
      <c r="AA82">
        <v>0.33432439850605888</v>
      </c>
      <c r="AB82" t="str">
        <f>HYPERLINK("Melting_Curves/meltCurve_B1ANH0_GUK1.pdf", "Melting_Curves/meltCurve_B1ANH0_GUK1.pdf")</f>
        <v>Melting_Curves/meltCurve_B1ANH0_GUK1.pdf</v>
      </c>
    </row>
    <row r="83" spans="1:28" x14ac:dyDescent="0.25">
      <c r="A83" t="s">
        <v>87</v>
      </c>
      <c r="B83">
        <v>0.99987803227770999</v>
      </c>
      <c r="C83">
        <v>0.84895271906090897</v>
      </c>
      <c r="D83">
        <v>0.96349029445337397</v>
      </c>
      <c r="E83">
        <v>0.88955767604828595</v>
      </c>
      <c r="F83">
        <v>1.0254127741922701</v>
      </c>
      <c r="G83">
        <v>0.12096327291149001</v>
      </c>
      <c r="H83">
        <v>6.8915477496008196E-2</v>
      </c>
      <c r="I83">
        <v>4.6298910424294598E-2</v>
      </c>
      <c r="J83">
        <v>3.3911690345734401E-2</v>
      </c>
      <c r="K83">
        <v>2.5552463600556401E-2</v>
      </c>
      <c r="L83">
        <v>14111.420777155699</v>
      </c>
      <c r="M83">
        <v>250</v>
      </c>
      <c r="N83">
        <v>56.466332140277203</v>
      </c>
      <c r="O83">
        <v>56.4420688266814</v>
      </c>
      <c r="P83">
        <v>-1.05897334004591</v>
      </c>
      <c r="Q83">
        <v>4.3669626653349003E-2</v>
      </c>
      <c r="R83">
        <v>0.98089313136650003</v>
      </c>
      <c r="S83" t="s">
        <v>6394</v>
      </c>
      <c r="T83" t="s">
        <v>12620</v>
      </c>
      <c r="U83" t="s">
        <v>12620</v>
      </c>
      <c r="V83" t="s">
        <v>12620</v>
      </c>
      <c r="W83" t="s">
        <v>12703</v>
      </c>
      <c r="X83">
        <v>5</v>
      </c>
      <c r="Y83" t="s">
        <v>18949</v>
      </c>
      <c r="Z83" t="s">
        <v>25030</v>
      </c>
      <c r="AA83">
        <v>0.56801457088592977</v>
      </c>
      <c r="AB83" t="str">
        <f>HYPERLINK("Melting_Curves/meltCurve_B1N949_PPFIA4.pdf", "Melting_Curves/meltCurve_B1N949_PPFIA4.pdf")</f>
        <v>Melting_Curves/meltCurve_B1N949_PPFIA4.pdf</v>
      </c>
    </row>
    <row r="84" spans="1:28" x14ac:dyDescent="0.25">
      <c r="A84" t="s">
        <v>88</v>
      </c>
      <c r="B84">
        <v>0.99987803227770999</v>
      </c>
      <c r="C84">
        <v>1.03873918836659</v>
      </c>
      <c r="D84">
        <v>1.0062403175869601</v>
      </c>
      <c r="E84">
        <v>1.06912989969929</v>
      </c>
      <c r="F84">
        <v>0.86277346698602397</v>
      </c>
      <c r="G84">
        <v>0.54554432898006799</v>
      </c>
      <c r="H84">
        <v>0.69815864305974096</v>
      </c>
      <c r="I84">
        <v>0.53208599235423804</v>
      </c>
      <c r="J84">
        <v>0.47304631065931502</v>
      </c>
      <c r="K84">
        <v>0.310213776875716</v>
      </c>
      <c r="L84">
        <v>706.85872045481904</v>
      </c>
      <c r="M84">
        <v>11.8547910292786</v>
      </c>
      <c r="N84">
        <v>63.9583623010558</v>
      </c>
      <c r="O84">
        <v>58.005653436147298</v>
      </c>
      <c r="P84">
        <v>-3.7001213960478799E-2</v>
      </c>
      <c r="Q84">
        <v>0.27599319143788098</v>
      </c>
      <c r="R84">
        <v>0.88816185646758306</v>
      </c>
      <c r="S84" t="s">
        <v>6395</v>
      </c>
      <c r="T84" t="s">
        <v>12620</v>
      </c>
      <c r="U84" t="s">
        <v>12620</v>
      </c>
      <c r="V84" t="s">
        <v>12620</v>
      </c>
      <c r="W84" t="s">
        <v>12704</v>
      </c>
      <c r="X84">
        <v>41</v>
      </c>
      <c r="Y84" t="s">
        <v>18950</v>
      </c>
      <c r="Z84" t="s">
        <v>25031</v>
      </c>
      <c r="AA84">
        <v>0.75271195735385876</v>
      </c>
      <c r="AB84" t="str">
        <f>HYPERLINK("Melting_Curves/meltCurve_B2R5P6_TXNRD1.pdf", "Melting_Curves/meltCurve_B2R5P6_TXNRD1.pdf")</f>
        <v>Melting_Curves/meltCurve_B2R5P6_TXNRD1.pdf</v>
      </c>
    </row>
    <row r="85" spans="1:28" x14ac:dyDescent="0.25">
      <c r="A85" t="s">
        <v>89</v>
      </c>
      <c r="B85">
        <v>0.99987803227770999</v>
      </c>
      <c r="C85">
        <v>0.95241420352841699</v>
      </c>
      <c r="D85">
        <v>0.95461062845043498</v>
      </c>
      <c r="E85">
        <v>0.84541024799419096</v>
      </c>
      <c r="F85">
        <v>0.79674124392894097</v>
      </c>
      <c r="G85">
        <v>0.64280154268178602</v>
      </c>
      <c r="H85">
        <v>0.54147683409363201</v>
      </c>
      <c r="I85">
        <v>0.51915776318562001</v>
      </c>
      <c r="J85">
        <v>0.46768187387000099</v>
      </c>
      <c r="K85">
        <v>0.38904329160748802</v>
      </c>
      <c r="L85">
        <v>533.61247355485705</v>
      </c>
      <c r="M85">
        <v>9.3071648967074196</v>
      </c>
      <c r="N85">
        <v>63.7168919309849</v>
      </c>
      <c r="O85">
        <v>54.873277047925903</v>
      </c>
      <c r="P85">
        <v>-2.9565268744952199E-2</v>
      </c>
      <c r="Q85">
        <v>0.30320072607950499</v>
      </c>
      <c r="R85">
        <v>0.99250739392462295</v>
      </c>
      <c r="S85" t="s">
        <v>6396</v>
      </c>
      <c r="T85" t="s">
        <v>12620</v>
      </c>
      <c r="U85" t="s">
        <v>12620</v>
      </c>
      <c r="V85" t="s">
        <v>12620</v>
      </c>
      <c r="W85" t="s">
        <v>12705</v>
      </c>
      <c r="X85">
        <v>3</v>
      </c>
      <c r="Y85" t="s">
        <v>18951</v>
      </c>
      <c r="Z85" t="s">
        <v>25032</v>
      </c>
      <c r="AA85">
        <v>0.71467182350632885</v>
      </c>
      <c r="AB85" t="str">
        <f>HYPERLINK("Melting_Curves/meltCurve_B2RTY4_5_MYO9A.pdf", "Melting_Curves/meltCurve_B2RTY4_5_MYO9A.pdf")</f>
        <v>Melting_Curves/meltCurve_B2RTY4_5_MYO9A.pdf</v>
      </c>
    </row>
    <row r="86" spans="1:28" x14ac:dyDescent="0.25">
      <c r="A86" t="s">
        <v>90</v>
      </c>
      <c r="B86">
        <v>0.99987803227770999</v>
      </c>
      <c r="C86">
        <v>0.96182599384926903</v>
      </c>
      <c r="D86">
        <v>0.98403679090846397</v>
      </c>
      <c r="E86">
        <v>1.0100204337363501</v>
      </c>
      <c r="F86">
        <v>0.80922921126360703</v>
      </c>
      <c r="G86">
        <v>0.73803485875345198</v>
      </c>
      <c r="H86">
        <v>0.74365502047992005</v>
      </c>
      <c r="I86">
        <v>0.65736620737890605</v>
      </c>
      <c r="J86">
        <v>0.53602070834327198</v>
      </c>
      <c r="K86">
        <v>0.38487692423168901</v>
      </c>
      <c r="L86">
        <v>502.75629441735498</v>
      </c>
      <c r="M86">
        <v>7.42299379867538</v>
      </c>
      <c r="N86">
        <v>67.7295856506814</v>
      </c>
      <c r="O86">
        <v>63.335485167016103</v>
      </c>
      <c r="P86">
        <v>-2.9344065192852299E-2</v>
      </c>
      <c r="Q86">
        <v>0</v>
      </c>
      <c r="R86">
        <v>0.938452079650126</v>
      </c>
      <c r="S86" t="s">
        <v>6397</v>
      </c>
      <c r="T86" t="s">
        <v>12620</v>
      </c>
      <c r="U86" t="s">
        <v>12620</v>
      </c>
      <c r="V86" t="s">
        <v>12620</v>
      </c>
      <c r="W86" t="s">
        <v>12706</v>
      </c>
      <c r="X86">
        <v>3</v>
      </c>
      <c r="Y86" t="s">
        <v>18952</v>
      </c>
      <c r="Z86" t="s">
        <v>25033</v>
      </c>
      <c r="AA86">
        <v>0.79740482665605927</v>
      </c>
      <c r="AB86" t="str">
        <f>HYPERLINK("Melting_Curves/meltCurve_B3KNQ0_CCDC92.pdf", "Melting_Curves/meltCurve_B3KNQ0_CCDC92.pdf")</f>
        <v>Melting_Curves/meltCurve_B3KNQ0_CCDC92.pdf</v>
      </c>
    </row>
    <row r="87" spans="1:28" x14ac:dyDescent="0.25">
      <c r="A87" t="s">
        <v>91</v>
      </c>
      <c r="B87">
        <v>0.99987803227770999</v>
      </c>
      <c r="C87">
        <v>0.89232093925301104</v>
      </c>
      <c r="D87">
        <v>0.99755908027429596</v>
      </c>
      <c r="E87">
        <v>0.88224018149087902</v>
      </c>
      <c r="F87">
        <v>1.0301187616292</v>
      </c>
      <c r="G87">
        <v>0.67998929682181197</v>
      </c>
      <c r="H87">
        <v>0.84318725242145898</v>
      </c>
      <c r="I87">
        <v>0.67147723825470895</v>
      </c>
      <c r="J87">
        <v>0.76375084217269495</v>
      </c>
      <c r="K87">
        <v>0.56465753462242396</v>
      </c>
      <c r="L87">
        <v>349.44655072257399</v>
      </c>
      <c r="M87">
        <v>4.5085404327836498</v>
      </c>
      <c r="O87">
        <v>65.906730950120803</v>
      </c>
      <c r="P87">
        <v>-1.7250608545804701E-2</v>
      </c>
      <c r="Q87">
        <v>0</v>
      </c>
      <c r="R87">
        <v>0.67535315542180696</v>
      </c>
      <c r="S87" t="s">
        <v>6398</v>
      </c>
      <c r="T87" t="s">
        <v>12620</v>
      </c>
      <c r="U87" t="s">
        <v>12620</v>
      </c>
      <c r="V87" t="s">
        <v>12620</v>
      </c>
      <c r="W87" t="s">
        <v>12707</v>
      </c>
      <c r="X87">
        <v>1</v>
      </c>
      <c r="Y87" t="s">
        <v>18953</v>
      </c>
      <c r="Z87" t="s">
        <v>25034</v>
      </c>
      <c r="AA87">
        <v>0.84162378539610172</v>
      </c>
      <c r="AB87" t="str">
        <f>HYPERLINK("Melting_Curves/meltCurve_B3KP87_MDS025.pdf", "Melting_Curves/meltCurve_B3KP87_MDS025.pdf")</f>
        <v>Melting_Curves/meltCurve_B3KP87_MDS025.pdf</v>
      </c>
    </row>
    <row r="88" spans="1:28" x14ac:dyDescent="0.25">
      <c r="A88" t="s">
        <v>92</v>
      </c>
      <c r="B88">
        <v>0.99987803227770999</v>
      </c>
      <c r="C88">
        <v>1.0041242477458501</v>
      </c>
      <c r="D88">
        <v>0.8907432736141</v>
      </c>
      <c r="E88">
        <v>0.929661634753155</v>
      </c>
      <c r="F88">
        <v>0.549489633718235</v>
      </c>
      <c r="G88">
        <v>0.25975558092933199</v>
      </c>
      <c r="H88">
        <v>0.16392087406879599</v>
      </c>
      <c r="I88">
        <v>0.145590177041966</v>
      </c>
      <c r="J88">
        <v>0.103372556539888</v>
      </c>
      <c r="K88">
        <v>7.7828630690884595E-2</v>
      </c>
      <c r="L88">
        <v>1427.80520418633</v>
      </c>
      <c r="M88">
        <v>26.8036789725952</v>
      </c>
      <c r="N88">
        <v>53.781017025818599</v>
      </c>
      <c r="O88">
        <v>52.975143699693703</v>
      </c>
      <c r="P88">
        <v>-0.112248430889841</v>
      </c>
      <c r="Q88">
        <v>0.112611984399239</v>
      </c>
      <c r="R88">
        <v>0.98832481887225998</v>
      </c>
      <c r="S88" t="s">
        <v>6399</v>
      </c>
      <c r="T88" t="s">
        <v>12620</v>
      </c>
      <c r="U88" t="s">
        <v>12620</v>
      </c>
      <c r="V88" t="s">
        <v>12620</v>
      </c>
      <c r="W88" t="s">
        <v>12708</v>
      </c>
      <c r="X88">
        <v>10</v>
      </c>
      <c r="Y88" t="s">
        <v>18954</v>
      </c>
      <c r="Z88" t="s">
        <v>25035</v>
      </c>
      <c r="AA88">
        <v>0.51228181443655296</v>
      </c>
      <c r="AB88" t="str">
        <f>HYPERLINK("Melting_Curves/meltCurve_B3KRS5_HDAC2.pdf", "Melting_Curves/meltCurve_B3KRS5_HDAC2.pdf")</f>
        <v>Melting_Curves/meltCurve_B3KRS5_HDAC2.pdf</v>
      </c>
    </row>
    <row r="89" spans="1:28" x14ac:dyDescent="0.25">
      <c r="A89" t="s">
        <v>93</v>
      </c>
      <c r="B89">
        <v>0.99987803227770999</v>
      </c>
      <c r="C89">
        <v>0.94419644210790998</v>
      </c>
      <c r="D89">
        <v>1.0827071029055799</v>
      </c>
      <c r="E89">
        <v>0.94568486072437696</v>
      </c>
      <c r="F89">
        <v>1.0249063054001599</v>
      </c>
      <c r="G89">
        <v>0.52272835759728298</v>
      </c>
      <c r="H89">
        <v>0.28646372572979401</v>
      </c>
      <c r="I89">
        <v>0.21725305211735199</v>
      </c>
      <c r="J89">
        <v>0.168562808933613</v>
      </c>
      <c r="K89">
        <v>0.11687108660779399</v>
      </c>
      <c r="L89">
        <v>2350.1190172809002</v>
      </c>
      <c r="M89">
        <v>41.4343891514132</v>
      </c>
      <c r="N89">
        <v>57.340138547987301</v>
      </c>
      <c r="O89">
        <v>56.587409156633697</v>
      </c>
      <c r="P89">
        <v>-0.14995785079316901</v>
      </c>
      <c r="Q89">
        <v>0.18080504597290201</v>
      </c>
      <c r="R89">
        <v>0.98168769850458204</v>
      </c>
      <c r="S89" t="s">
        <v>6400</v>
      </c>
      <c r="T89" t="s">
        <v>12620</v>
      </c>
      <c r="U89" t="s">
        <v>12620</v>
      </c>
      <c r="V89" t="s">
        <v>12620</v>
      </c>
      <c r="W89" t="s">
        <v>12709</v>
      </c>
      <c r="X89">
        <v>14</v>
      </c>
      <c r="Y89" t="s">
        <v>18955</v>
      </c>
      <c r="Z89" t="s">
        <v>25036</v>
      </c>
      <c r="AA89">
        <v>0.64031252003747319</v>
      </c>
      <c r="AB89" t="str">
        <f>HYPERLINK("Melting_Curves/meltCurve_B3KSI9_LZTFL1.pdf", "Melting_Curves/meltCurve_B3KSI9_LZTFL1.pdf")</f>
        <v>Melting_Curves/meltCurve_B3KSI9_LZTFL1.pdf</v>
      </c>
    </row>
    <row r="90" spans="1:28" x14ac:dyDescent="0.25">
      <c r="A90" t="s">
        <v>94</v>
      </c>
      <c r="B90">
        <v>0.99987803227770999</v>
      </c>
      <c r="C90">
        <v>0.84528179391527702</v>
      </c>
      <c r="D90">
        <v>0.82538245632447504</v>
      </c>
      <c r="E90">
        <v>0.97104351086755503</v>
      </c>
      <c r="F90">
        <v>1.09076656200331</v>
      </c>
      <c r="G90">
        <v>1.8334775840197901</v>
      </c>
      <c r="H90">
        <v>1.3351784718297799</v>
      </c>
      <c r="I90">
        <v>0.94658826667203699</v>
      </c>
      <c r="J90">
        <v>0.80145178779182302</v>
      </c>
      <c r="K90">
        <v>0.57415779138157497</v>
      </c>
      <c r="L90">
        <v>4129.73679121022</v>
      </c>
      <c r="M90">
        <v>61.373224354824103</v>
      </c>
      <c r="O90">
        <v>67.217569920502399</v>
      </c>
      <c r="P90">
        <v>-0.106063852127165</v>
      </c>
      <c r="Q90">
        <v>0.53534449132267603</v>
      </c>
      <c r="R90">
        <v>0.19911693994832899</v>
      </c>
      <c r="S90" t="s">
        <v>6401</v>
      </c>
      <c r="T90" t="s">
        <v>12620</v>
      </c>
      <c r="U90" t="s">
        <v>12620</v>
      </c>
      <c r="V90" t="s">
        <v>12620</v>
      </c>
      <c r="W90" t="s">
        <v>12710</v>
      </c>
      <c r="X90">
        <v>6</v>
      </c>
      <c r="Y90" t="s">
        <v>18956</v>
      </c>
      <c r="Z90" t="s">
        <v>25037</v>
      </c>
      <c r="AA90">
        <v>0.95723169352843152</v>
      </c>
      <c r="AB90" t="str">
        <f>HYPERLINK("Melting_Curves/meltCurve_B3KUK2_SOD2.pdf", "Melting_Curves/meltCurve_B3KUK2_SOD2.pdf")</f>
        <v>Melting_Curves/meltCurve_B3KUK2_SOD2.pdf</v>
      </c>
    </row>
    <row r="91" spans="1:28" x14ac:dyDescent="0.25">
      <c r="A91" t="s">
        <v>95</v>
      </c>
      <c r="B91">
        <v>0.99987803227770999</v>
      </c>
      <c r="C91">
        <v>0.93193164448230603</v>
      </c>
      <c r="D91">
        <v>1.06099241399309</v>
      </c>
      <c r="E91">
        <v>0.92639327424186702</v>
      </c>
      <c r="F91">
        <v>1.05108553533486</v>
      </c>
      <c r="G91">
        <v>0.72704718959472603</v>
      </c>
      <c r="H91">
        <v>0.874113223388711</v>
      </c>
      <c r="I91">
        <v>0.89130222750232702</v>
      </c>
      <c r="J91">
        <v>0.91070168736080204</v>
      </c>
      <c r="K91">
        <v>0.76513596808251405</v>
      </c>
      <c r="L91">
        <v>4484.8238288468301</v>
      </c>
      <c r="M91">
        <v>81.971126083258596</v>
      </c>
      <c r="O91">
        <v>54.679701506092499</v>
      </c>
      <c r="P91">
        <v>-6.2178041253633701E-2</v>
      </c>
      <c r="Q91">
        <v>0.834093957186546</v>
      </c>
      <c r="R91">
        <v>0.57315436308993595</v>
      </c>
      <c r="S91" t="s">
        <v>6402</v>
      </c>
      <c r="T91" t="s">
        <v>12620</v>
      </c>
      <c r="U91" t="s">
        <v>12620</v>
      </c>
      <c r="V91" t="s">
        <v>12620</v>
      </c>
      <c r="W91" t="s">
        <v>12711</v>
      </c>
      <c r="X91">
        <v>11</v>
      </c>
      <c r="Y91" t="s">
        <v>18957</v>
      </c>
      <c r="Z91" t="s">
        <v>25038</v>
      </c>
      <c r="AA91">
        <v>0.9156040507569021</v>
      </c>
      <c r="AB91" t="str">
        <f>HYPERLINK("Melting_Curves/meltCurve_B3KVH8_PHF23.pdf", "Melting_Curves/meltCurve_B3KVH8_PHF23.pdf")</f>
        <v>Melting_Curves/meltCurve_B3KVH8_PHF23.pdf</v>
      </c>
    </row>
    <row r="92" spans="1:28" x14ac:dyDescent="0.25">
      <c r="A92" t="s">
        <v>96</v>
      </c>
      <c r="B92">
        <v>0.99987803227770999</v>
      </c>
      <c r="C92">
        <v>0.82637737917168597</v>
      </c>
      <c r="D92">
        <v>0.92903700863032501</v>
      </c>
      <c r="E92">
        <v>0.53504467479405504</v>
      </c>
      <c r="F92">
        <v>0.43789044644873498</v>
      </c>
      <c r="G92">
        <v>0.31342918385648499</v>
      </c>
      <c r="H92">
        <v>0.25081563939126</v>
      </c>
      <c r="I92">
        <v>0.24105096171777099</v>
      </c>
      <c r="J92">
        <v>0.225126767449669</v>
      </c>
      <c r="K92">
        <v>0.15625802450375501</v>
      </c>
      <c r="L92">
        <v>734.76339783307799</v>
      </c>
      <c r="M92">
        <v>14.7080447860669</v>
      </c>
      <c r="N92">
        <v>51.626611461117903</v>
      </c>
      <c r="O92">
        <v>49.060315367784803</v>
      </c>
      <c r="P92">
        <v>-6.0767598510648398E-2</v>
      </c>
      <c r="Q92">
        <v>0.18929988813125501</v>
      </c>
      <c r="R92">
        <v>0.96709740701589897</v>
      </c>
      <c r="S92" t="s">
        <v>6403</v>
      </c>
      <c r="T92" t="s">
        <v>12620</v>
      </c>
      <c r="U92" t="s">
        <v>12620</v>
      </c>
      <c r="V92" t="s">
        <v>12620</v>
      </c>
      <c r="W92" t="s">
        <v>12712</v>
      </c>
      <c r="X92">
        <v>3</v>
      </c>
      <c r="Y92" t="s">
        <v>18958</v>
      </c>
      <c r="Z92" t="s">
        <v>25039</v>
      </c>
      <c r="AA92">
        <v>0.47840344860803019</v>
      </c>
      <c r="AB92" t="str">
        <f>HYPERLINK("Melting_Curves/meltCurve_B3KVZ3_CENPH.pdf", "Melting_Curves/meltCurve_B3KVZ3_CENPH.pdf")</f>
        <v>Melting_Curves/meltCurve_B3KVZ3_CENPH.pdf</v>
      </c>
    </row>
    <row r="93" spans="1:28" x14ac:dyDescent="0.25">
      <c r="A93" t="s">
        <v>97</v>
      </c>
      <c r="B93">
        <v>0.99987803227770999</v>
      </c>
      <c r="C93">
        <v>0.94867287431354097</v>
      </c>
      <c r="D93">
        <v>0.977980146153138</v>
      </c>
      <c r="E93">
        <v>0.65900518048386802</v>
      </c>
      <c r="F93">
        <v>0.24551158258080699</v>
      </c>
      <c r="G93">
        <v>0.14346687552534901</v>
      </c>
      <c r="H93">
        <v>0.100680246006145</v>
      </c>
      <c r="I93">
        <v>0.108729900166376</v>
      </c>
      <c r="J93">
        <v>6.7173901342663198E-2</v>
      </c>
      <c r="K93">
        <v>4.7828265212019702E-2</v>
      </c>
      <c r="L93">
        <v>1730.5660956050001</v>
      </c>
      <c r="M93">
        <v>34.115114978838498</v>
      </c>
      <c r="N93">
        <v>51.011969142555898</v>
      </c>
      <c r="O93">
        <v>50.553901365816401</v>
      </c>
      <c r="P93">
        <v>-0.15408233258375101</v>
      </c>
      <c r="Q93">
        <v>8.6688387410439396E-2</v>
      </c>
      <c r="R93">
        <v>0.99585705882425901</v>
      </c>
      <c r="S93" t="s">
        <v>6404</v>
      </c>
      <c r="T93" t="s">
        <v>12620</v>
      </c>
      <c r="U93" t="s">
        <v>12620</v>
      </c>
      <c r="V93" t="s">
        <v>12620</v>
      </c>
      <c r="W93" t="s">
        <v>12713</v>
      </c>
      <c r="X93">
        <v>3</v>
      </c>
      <c r="Y93" t="s">
        <v>18959</v>
      </c>
      <c r="Z93" t="s">
        <v>25040</v>
      </c>
      <c r="AA93">
        <v>0.41767960658875758</v>
      </c>
      <c r="AB93" t="str">
        <f>HYPERLINK("Melting_Curves/meltCurve_B3KWN8_PYROXD1.pdf", "Melting_Curves/meltCurve_B3KWN8_PYROXD1.pdf")</f>
        <v>Melting_Curves/meltCurve_B3KWN8_PYROXD1.pdf</v>
      </c>
    </row>
    <row r="94" spans="1:28" x14ac:dyDescent="0.25">
      <c r="A94" t="s">
        <v>98</v>
      </c>
      <c r="B94">
        <v>0.99987803227770999</v>
      </c>
      <c r="C94">
        <v>0.93399798219742902</v>
      </c>
      <c r="D94">
        <v>1.0673714184242999</v>
      </c>
      <c r="E94">
        <v>0.616012563150933</v>
      </c>
      <c r="F94">
        <v>0.25184632761509601</v>
      </c>
      <c r="G94">
        <v>0.14463291684724899</v>
      </c>
      <c r="H94">
        <v>0.118370301558799</v>
      </c>
      <c r="I94">
        <v>0.109408139023211</v>
      </c>
      <c r="J94">
        <v>8.0775645788680503E-2</v>
      </c>
      <c r="K94">
        <v>4.8368797496773301E-2</v>
      </c>
      <c r="L94">
        <v>1863.3063361127799</v>
      </c>
      <c r="M94">
        <v>36.876941361968498</v>
      </c>
      <c r="N94">
        <v>50.830779757044901</v>
      </c>
      <c r="O94">
        <v>50.379795835746798</v>
      </c>
      <c r="P94">
        <v>-0.164935267601135</v>
      </c>
      <c r="Q94">
        <v>9.8691030323407203E-2</v>
      </c>
      <c r="R94">
        <v>0.98911177829562702</v>
      </c>
      <c r="S94" t="s">
        <v>6405</v>
      </c>
      <c r="T94" t="s">
        <v>12620</v>
      </c>
      <c r="U94" t="s">
        <v>12620</v>
      </c>
      <c r="V94" t="s">
        <v>12620</v>
      </c>
      <c r="W94" t="s">
        <v>12714</v>
      </c>
      <c r="X94">
        <v>7</v>
      </c>
      <c r="Y94" t="s">
        <v>18960</v>
      </c>
      <c r="Z94" t="s">
        <v>25041</v>
      </c>
      <c r="AA94">
        <v>0.41868992816251432</v>
      </c>
      <c r="AB94" t="str">
        <f>HYPERLINK("Melting_Curves/meltCurve_B3KY83_RXRA.pdf", "Melting_Curves/meltCurve_B3KY83_RXRA.pdf")</f>
        <v>Melting_Curves/meltCurve_B3KY83_RXRA.pdf</v>
      </c>
    </row>
    <row r="95" spans="1:28" x14ac:dyDescent="0.25">
      <c r="A95" t="s">
        <v>99</v>
      </c>
      <c r="B95">
        <v>0.99987803227770999</v>
      </c>
      <c r="C95">
        <v>0.80200689998740105</v>
      </c>
      <c r="D95">
        <v>1.04529729099776</v>
      </c>
      <c r="E95">
        <v>0.802642454220026</v>
      </c>
      <c r="F95">
        <v>0.88353947861922799</v>
      </c>
      <c r="G95">
        <v>0.399265692769599</v>
      </c>
      <c r="H95">
        <v>0.24203702892069301</v>
      </c>
      <c r="I95">
        <v>0.19364810136473101</v>
      </c>
      <c r="J95">
        <v>0.17602501999241099</v>
      </c>
      <c r="K95">
        <v>0.14104660062847599</v>
      </c>
      <c r="L95">
        <v>1336.26881088863</v>
      </c>
      <c r="M95">
        <v>24.090830426366999</v>
      </c>
      <c r="N95">
        <v>56.300283909415498</v>
      </c>
      <c r="O95">
        <v>55.089989103809401</v>
      </c>
      <c r="P95">
        <v>-9.2947420937960004E-2</v>
      </c>
      <c r="Q95">
        <v>0.14981892677688499</v>
      </c>
      <c r="R95">
        <v>0.94155389657410204</v>
      </c>
      <c r="S95" t="s">
        <v>6406</v>
      </c>
      <c r="T95" t="s">
        <v>12620</v>
      </c>
      <c r="U95" t="s">
        <v>12620</v>
      </c>
      <c r="V95" t="s">
        <v>12620</v>
      </c>
      <c r="W95" t="s">
        <v>12715</v>
      </c>
      <c r="X95">
        <v>15</v>
      </c>
      <c r="Y95" t="s">
        <v>18961</v>
      </c>
      <c r="Z95" t="s">
        <v>25042</v>
      </c>
      <c r="AA95">
        <v>0.59652408134048729</v>
      </c>
      <c r="AB95" t="str">
        <f>HYPERLINK("Melting_Curves/meltCurve_B4DDF4_CNN2.pdf", "Melting_Curves/meltCurve_B4DDF4_CNN2.pdf")</f>
        <v>Melting_Curves/meltCurve_B4DDF4_CNN2.pdf</v>
      </c>
    </row>
    <row r="96" spans="1:28" x14ac:dyDescent="0.25">
      <c r="A96" t="s">
        <v>100</v>
      </c>
      <c r="B96">
        <v>0.99987803227770999</v>
      </c>
      <c r="C96">
        <v>0.99852765112951103</v>
      </c>
      <c r="D96">
        <v>1.0677659362962399</v>
      </c>
      <c r="E96">
        <v>0.82591699787501704</v>
      </c>
      <c r="F96">
        <v>0.48000691040857701</v>
      </c>
      <c r="G96">
        <v>0.300687762341173</v>
      </c>
      <c r="H96">
        <v>0.26414603211365301</v>
      </c>
      <c r="I96">
        <v>0.20292051552208801</v>
      </c>
      <c r="J96">
        <v>0.11436704425734701</v>
      </c>
      <c r="K96">
        <v>0.10363217262532699</v>
      </c>
      <c r="L96">
        <v>1339.2417062940499</v>
      </c>
      <c r="M96">
        <v>25.5518837902545</v>
      </c>
      <c r="N96">
        <v>53.253726309218898</v>
      </c>
      <c r="O96">
        <v>52.094773486664899</v>
      </c>
      <c r="P96">
        <v>-0.10226409677664999</v>
      </c>
      <c r="Q96">
        <v>0.166032628407914</v>
      </c>
      <c r="R96">
        <v>0.98171231920095503</v>
      </c>
      <c r="S96" t="s">
        <v>6407</v>
      </c>
      <c r="T96" t="s">
        <v>12620</v>
      </c>
      <c r="U96" t="s">
        <v>12620</v>
      </c>
      <c r="V96" t="s">
        <v>12620</v>
      </c>
      <c r="W96" t="s">
        <v>12716</v>
      </c>
      <c r="X96">
        <v>34</v>
      </c>
      <c r="Y96" t="s">
        <v>18962</v>
      </c>
      <c r="Z96" t="s">
        <v>25043</v>
      </c>
      <c r="AA96">
        <v>0.51842074131963123</v>
      </c>
      <c r="AB96" t="str">
        <f>HYPERLINK("Melting_Curves/meltCurve_B4DDF9_ANXA4.pdf", "Melting_Curves/meltCurve_B4DDF9_ANXA4.pdf")</f>
        <v>Melting_Curves/meltCurve_B4DDF9_ANXA4.pdf</v>
      </c>
    </row>
    <row r="97" spans="1:28" x14ac:dyDescent="0.25">
      <c r="A97" t="s">
        <v>101</v>
      </c>
      <c r="B97">
        <v>0.99987803227770999</v>
      </c>
      <c r="C97">
        <v>1.1088984458981499</v>
      </c>
      <c r="D97">
        <v>0.91756372537891595</v>
      </c>
      <c r="E97">
        <v>1.2173938312825801</v>
      </c>
      <c r="F97">
        <v>0.91128478993852502</v>
      </c>
      <c r="G97">
        <v>0.72459170017026597</v>
      </c>
      <c r="H97">
        <v>0.27583526330837099</v>
      </c>
      <c r="I97">
        <v>0.163502095509658</v>
      </c>
      <c r="J97">
        <v>0.113703686267283</v>
      </c>
      <c r="K97">
        <v>8.3010199923811506E-2</v>
      </c>
      <c r="L97">
        <v>1832.07578968998</v>
      </c>
      <c r="M97">
        <v>31.345527712171702</v>
      </c>
      <c r="N97">
        <v>58.829169590509302</v>
      </c>
      <c r="O97">
        <v>58.211415304090103</v>
      </c>
      <c r="P97">
        <v>-0.122241615217082</v>
      </c>
      <c r="Q97">
        <v>9.1951054990871195E-2</v>
      </c>
      <c r="R97">
        <v>0.960042100390196</v>
      </c>
      <c r="S97" t="s">
        <v>6408</v>
      </c>
      <c r="T97" t="s">
        <v>12620</v>
      </c>
      <c r="U97" t="s">
        <v>12620</v>
      </c>
      <c r="V97" t="s">
        <v>12620</v>
      </c>
      <c r="W97" t="s">
        <v>12717</v>
      </c>
      <c r="X97">
        <v>16</v>
      </c>
      <c r="Y97" t="s">
        <v>18963</v>
      </c>
      <c r="Z97" t="s">
        <v>25044</v>
      </c>
      <c r="AA97">
        <v>0.65584565935339512</v>
      </c>
      <c r="AB97" t="str">
        <f>HYPERLINK("Melting_Curves/meltCurve_B4DDY8_HARS2.pdf", "Melting_Curves/meltCurve_B4DDY8_HARS2.pdf")</f>
        <v>Melting_Curves/meltCurve_B4DDY8_HARS2.pdf</v>
      </c>
    </row>
    <row r="98" spans="1:28" x14ac:dyDescent="0.25">
      <c r="A98" t="s">
        <v>102</v>
      </c>
      <c r="B98">
        <v>0.99987803227770999</v>
      </c>
      <c r="C98">
        <v>1.22511214049652</v>
      </c>
      <c r="D98">
        <v>1.1530430286995399</v>
      </c>
      <c r="E98">
        <v>1.01042826947327</v>
      </c>
      <c r="F98">
        <v>0.55111114581934095</v>
      </c>
      <c r="G98">
        <v>0.32020086459483998</v>
      </c>
      <c r="H98">
        <v>0.124864062265806</v>
      </c>
      <c r="I98">
        <v>0.114732234047051</v>
      </c>
      <c r="J98">
        <v>0.10136191679122999</v>
      </c>
      <c r="K98">
        <v>6.9414836787641696E-2</v>
      </c>
      <c r="L98">
        <v>1627.47887262123</v>
      </c>
      <c r="M98">
        <v>30.339359966080099</v>
      </c>
      <c r="N98">
        <v>54.071966546206397</v>
      </c>
      <c r="O98">
        <v>53.411060322536599</v>
      </c>
      <c r="P98">
        <v>-0.12680479068453501</v>
      </c>
      <c r="Q98">
        <v>0.107069370510124</v>
      </c>
      <c r="R98">
        <v>0.95129266452972405</v>
      </c>
      <c r="S98" t="s">
        <v>6409</v>
      </c>
      <c r="T98" t="s">
        <v>12620</v>
      </c>
      <c r="U98" t="s">
        <v>12620</v>
      </c>
      <c r="V98" t="s">
        <v>12620</v>
      </c>
      <c r="W98" t="s">
        <v>12718</v>
      </c>
      <c r="X98">
        <v>5</v>
      </c>
      <c r="Y98" t="s">
        <v>18964</v>
      </c>
      <c r="Z98" t="s">
        <v>25045</v>
      </c>
      <c r="AA98">
        <v>0.51884339467267626</v>
      </c>
      <c r="AB98" t="str">
        <f>HYPERLINK("Melting_Curves/meltCurve_B4DDZ0_MON1B.pdf", "Melting_Curves/meltCurve_B4DDZ0_MON1B.pdf")</f>
        <v>Melting_Curves/meltCurve_B4DDZ0_MON1B.pdf</v>
      </c>
    </row>
    <row r="99" spans="1:28" x14ac:dyDescent="0.25">
      <c r="A99" t="s">
        <v>103</v>
      </c>
      <c r="B99">
        <v>0.99987803227770999</v>
      </c>
      <c r="C99">
        <v>1.03070849938863</v>
      </c>
      <c r="D99">
        <v>1.00125976848721</v>
      </c>
      <c r="E99">
        <v>0.80050700422938004</v>
      </c>
      <c r="F99">
        <v>0.30627926800752497</v>
      </c>
      <c r="G99">
        <v>0.18333405655947799</v>
      </c>
      <c r="H99">
        <v>0.111733106814393</v>
      </c>
      <c r="I99">
        <v>9.3228508402342897E-2</v>
      </c>
      <c r="J99">
        <v>7.8132310213272799E-2</v>
      </c>
      <c r="K99">
        <v>5.4380176712183599E-2</v>
      </c>
      <c r="L99">
        <v>2042.2783524691999</v>
      </c>
      <c r="M99">
        <v>39.637918413424501</v>
      </c>
      <c r="N99">
        <v>51.806798873538199</v>
      </c>
      <c r="O99">
        <v>51.392729691481101</v>
      </c>
      <c r="P99">
        <v>-0.1740231043886</v>
      </c>
      <c r="Q99">
        <v>9.7480002086751699E-2</v>
      </c>
      <c r="R99">
        <v>0.99517505548975604</v>
      </c>
      <c r="S99" t="s">
        <v>6410</v>
      </c>
      <c r="T99" t="s">
        <v>12620</v>
      </c>
      <c r="U99" t="s">
        <v>12620</v>
      </c>
      <c r="V99" t="s">
        <v>12620</v>
      </c>
      <c r="W99" t="s">
        <v>12719</v>
      </c>
      <c r="X99">
        <v>25</v>
      </c>
      <c r="Y99" t="s">
        <v>18965</v>
      </c>
      <c r="Z99" t="s">
        <v>25046</v>
      </c>
      <c r="AA99">
        <v>0.44742123997986721</v>
      </c>
      <c r="AB99" t="str">
        <f>HYPERLINK("Melting_Curves/meltCurve_B4DEK4_SNX2.pdf", "Melting_Curves/meltCurve_B4DEK4_SNX2.pdf")</f>
        <v>Melting_Curves/meltCurve_B4DEK4_SNX2.pdf</v>
      </c>
    </row>
    <row r="100" spans="1:28" x14ac:dyDescent="0.25">
      <c r="A100" t="s">
        <v>104</v>
      </c>
      <c r="B100">
        <v>0.99987803227770999</v>
      </c>
      <c r="C100">
        <v>1.17484253322229</v>
      </c>
      <c r="D100">
        <v>0.98342236005814199</v>
      </c>
      <c r="E100">
        <v>1.20015911289388</v>
      </c>
      <c r="F100">
        <v>0.975578176626135</v>
      </c>
      <c r="G100">
        <v>0.91906600470567201</v>
      </c>
      <c r="H100">
        <v>0.52921982147455204</v>
      </c>
      <c r="I100">
        <v>0.22623671319174599</v>
      </c>
      <c r="J100">
        <v>0.13280812546916401</v>
      </c>
      <c r="K100">
        <v>9.2125430587676096E-2</v>
      </c>
      <c r="L100">
        <v>2105.0160873414402</v>
      </c>
      <c r="M100">
        <v>34.578516987648001</v>
      </c>
      <c r="N100">
        <v>61.217062093892402</v>
      </c>
      <c r="O100">
        <v>60.673889675454802</v>
      </c>
      <c r="P100">
        <v>-0.130007431203367</v>
      </c>
      <c r="Q100">
        <v>8.7522827723352195E-2</v>
      </c>
      <c r="R100">
        <v>0.95811845780982496</v>
      </c>
      <c r="S100" t="s">
        <v>6411</v>
      </c>
      <c r="T100" t="s">
        <v>12620</v>
      </c>
      <c r="U100" t="s">
        <v>12620</v>
      </c>
      <c r="V100" t="s">
        <v>12620</v>
      </c>
      <c r="W100" t="s">
        <v>12720</v>
      </c>
      <c r="X100">
        <v>20</v>
      </c>
      <c r="Y100" t="s">
        <v>18966</v>
      </c>
      <c r="Z100" t="s">
        <v>25047</v>
      </c>
      <c r="AA100">
        <v>0.72681830140504278</v>
      </c>
      <c r="AB100" t="str">
        <f>HYPERLINK("Melting_Curves/meltCurve_B4DGU4_CTNNB1.pdf", "Melting_Curves/meltCurve_B4DGU4_CTNNB1.pdf")</f>
        <v>Melting_Curves/meltCurve_B4DGU4_CTNNB1.pdf</v>
      </c>
    </row>
    <row r="101" spans="1:28" x14ac:dyDescent="0.25">
      <c r="A101" t="s">
        <v>105</v>
      </c>
      <c r="B101">
        <v>0.99987803227770999</v>
      </c>
      <c r="C101">
        <v>1.02089337045928</v>
      </c>
      <c r="D101">
        <v>0.91457025308154705</v>
      </c>
      <c r="E101">
        <v>0.81643255872224496</v>
      </c>
      <c r="F101">
        <v>0.52481159453897597</v>
      </c>
      <c r="G101">
        <v>0.27082859273082599</v>
      </c>
      <c r="H101">
        <v>0.18663103428640501</v>
      </c>
      <c r="I101">
        <v>0.15527460506048299</v>
      </c>
      <c r="J101">
        <v>0.11567940242449901</v>
      </c>
      <c r="K101">
        <v>7.3394669865848805E-2</v>
      </c>
      <c r="L101">
        <v>1028.80124900287</v>
      </c>
      <c r="M101">
        <v>19.432669182530201</v>
      </c>
      <c r="N101">
        <v>53.556987469135997</v>
      </c>
      <c r="O101">
        <v>52.390764114821401</v>
      </c>
      <c r="P101">
        <v>-8.3457442552307304E-2</v>
      </c>
      <c r="Q101">
        <v>0.100022881685753</v>
      </c>
      <c r="R101">
        <v>0.99533758097941905</v>
      </c>
      <c r="S101" t="s">
        <v>6412</v>
      </c>
      <c r="T101" t="s">
        <v>12620</v>
      </c>
      <c r="U101" t="s">
        <v>12620</v>
      </c>
      <c r="V101" t="s">
        <v>12620</v>
      </c>
      <c r="W101" t="s">
        <v>12721</v>
      </c>
      <c r="X101">
        <v>9</v>
      </c>
      <c r="Y101" t="s">
        <v>18967</v>
      </c>
      <c r="Z101" t="s">
        <v>25048</v>
      </c>
      <c r="AA101">
        <v>0.50127267853167579</v>
      </c>
      <c r="AB101" t="str">
        <f>HYPERLINK("Melting_Curves/meltCurve_B4DGX2_PIP4K2A.pdf", "Melting_Curves/meltCurve_B4DGX2_PIP4K2A.pdf")</f>
        <v>Melting_Curves/meltCurve_B4DGX2_PIP4K2A.pdf</v>
      </c>
    </row>
    <row r="102" spans="1:28" x14ac:dyDescent="0.25">
      <c r="A102" t="s">
        <v>106</v>
      </c>
      <c r="B102">
        <v>0.99987803227770999</v>
      </c>
      <c r="C102">
        <v>1.27938308146646</v>
      </c>
      <c r="D102">
        <v>0.96293718151132501</v>
      </c>
      <c r="E102">
        <v>0.95431212102541496</v>
      </c>
      <c r="F102">
        <v>0.54267309271716202</v>
      </c>
      <c r="G102">
        <v>1.5949394956227101</v>
      </c>
      <c r="H102">
        <v>0.68768359709987603</v>
      </c>
      <c r="I102">
        <v>1.39548155874361</v>
      </c>
      <c r="J102">
        <v>0.21627059663241099</v>
      </c>
      <c r="K102">
        <v>0.11131347994954301</v>
      </c>
      <c r="L102">
        <v>15000</v>
      </c>
      <c r="M102">
        <v>225.87717790607701</v>
      </c>
      <c r="N102">
        <v>66.4814371203544</v>
      </c>
      <c r="O102">
        <v>66.402575127252703</v>
      </c>
      <c r="P102">
        <v>-0.75625849353812502</v>
      </c>
      <c r="Q102">
        <v>0.11071132176700001</v>
      </c>
      <c r="R102">
        <v>0.581026592911978</v>
      </c>
      <c r="S102" t="s">
        <v>6413</v>
      </c>
      <c r="T102" t="s">
        <v>12620</v>
      </c>
      <c r="U102" t="s">
        <v>12620</v>
      </c>
      <c r="V102" t="s">
        <v>12620</v>
      </c>
      <c r="W102" t="s">
        <v>12722</v>
      </c>
      <c r="X102">
        <v>2</v>
      </c>
      <c r="Y102" t="s">
        <v>18968</v>
      </c>
      <c r="Z102" t="s">
        <v>25049</v>
      </c>
      <c r="AA102">
        <v>0.89364260348360824</v>
      </c>
      <c r="AB102" t="str">
        <f>HYPERLINK("Melting_Curves/meltCurve_B4DH42_HECW1.pdf", "Melting_Curves/meltCurve_B4DH42_HECW1.pdf")</f>
        <v>Melting_Curves/meltCurve_B4DH42_HECW1.pdf</v>
      </c>
    </row>
    <row r="103" spans="1:28" x14ac:dyDescent="0.25">
      <c r="A103" t="s">
        <v>107</v>
      </c>
      <c r="B103">
        <v>0.99987803227770999</v>
      </c>
      <c r="C103">
        <v>1.17856615785804</v>
      </c>
      <c r="D103">
        <v>0.92068177944784602</v>
      </c>
      <c r="E103">
        <v>0.77120057643302298</v>
      </c>
      <c r="F103">
        <v>0.32202825056984602</v>
      </c>
      <c r="G103">
        <v>0.18342820612221</v>
      </c>
      <c r="H103">
        <v>0.13495928018193801</v>
      </c>
      <c r="I103">
        <v>0.12501827282831601</v>
      </c>
      <c r="J103">
        <v>0.111746784100586</v>
      </c>
      <c r="K103">
        <v>9.0253451282478497E-2</v>
      </c>
      <c r="L103">
        <v>1809.26523125689</v>
      </c>
      <c r="M103">
        <v>35.234697755231501</v>
      </c>
      <c r="N103">
        <v>51.754802599036402</v>
      </c>
      <c r="O103">
        <v>51.184403096450403</v>
      </c>
      <c r="P103">
        <v>-0.151323898543029</v>
      </c>
      <c r="Q103">
        <v>0.120708012974536</v>
      </c>
      <c r="R103">
        <v>0.97651070756646596</v>
      </c>
      <c r="S103" t="s">
        <v>6414</v>
      </c>
      <c r="T103" t="s">
        <v>12620</v>
      </c>
      <c r="U103" t="s">
        <v>12620</v>
      </c>
      <c r="V103" t="s">
        <v>12620</v>
      </c>
      <c r="W103" t="s">
        <v>12723</v>
      </c>
      <c r="X103">
        <v>16</v>
      </c>
      <c r="Y103" t="s">
        <v>18969</v>
      </c>
      <c r="Z103" t="s">
        <v>25050</v>
      </c>
      <c r="AA103">
        <v>0.45737081735645202</v>
      </c>
      <c r="AB103" t="str">
        <f>HYPERLINK("Melting_Curves/meltCurve_B4DH53_MAP1S.pdf", "Melting_Curves/meltCurve_B4DH53_MAP1S.pdf")</f>
        <v>Melting_Curves/meltCurve_B4DH53_MAP1S.pdf</v>
      </c>
    </row>
    <row r="104" spans="1:28" x14ac:dyDescent="0.25">
      <c r="A104" t="s">
        <v>108</v>
      </c>
      <c r="B104">
        <v>0.99987803227770999</v>
      </c>
      <c r="C104">
        <v>1.15842677310136</v>
      </c>
      <c r="D104">
        <v>1.0455961657728701</v>
      </c>
      <c r="E104">
        <v>0.63707299627328695</v>
      </c>
      <c r="F104">
        <v>0.36184290344101999</v>
      </c>
      <c r="G104">
        <v>0.225824118309568</v>
      </c>
      <c r="H104">
        <v>0.17651634700362601</v>
      </c>
      <c r="I104">
        <v>0.142851903723963</v>
      </c>
      <c r="J104">
        <v>9.5245786231137497E-2</v>
      </c>
      <c r="K104">
        <v>6.6249593543081103E-2</v>
      </c>
      <c r="L104">
        <v>1418.9284351755</v>
      </c>
      <c r="M104">
        <v>27.842336812511199</v>
      </c>
      <c r="N104">
        <v>51.514480229881599</v>
      </c>
      <c r="O104">
        <v>50.702251711151298</v>
      </c>
      <c r="P104">
        <v>-0.11959141018298</v>
      </c>
      <c r="Q104">
        <v>0.12888052411043499</v>
      </c>
      <c r="R104">
        <v>0.972803610157147</v>
      </c>
      <c r="S104" t="s">
        <v>6415</v>
      </c>
      <c r="T104" t="s">
        <v>12620</v>
      </c>
      <c r="U104" t="s">
        <v>12620</v>
      </c>
      <c r="V104" t="s">
        <v>12620</v>
      </c>
      <c r="W104" t="s">
        <v>12724</v>
      </c>
      <c r="X104">
        <v>15</v>
      </c>
      <c r="Y104" t="s">
        <v>18970</v>
      </c>
      <c r="Z104" t="s">
        <v>25051</v>
      </c>
      <c r="AA104">
        <v>0.45357052652547841</v>
      </c>
      <c r="AB104" t="str">
        <f>HYPERLINK("Melting_Curves/meltCurve_B4DJ25_NCOR1.pdf", "Melting_Curves/meltCurve_B4DJ25_NCOR1.pdf")</f>
        <v>Melting_Curves/meltCurve_B4DJ25_NCOR1.pdf</v>
      </c>
    </row>
    <row r="105" spans="1:28" x14ac:dyDescent="0.25">
      <c r="A105" t="s">
        <v>109</v>
      </c>
      <c r="B105">
        <v>0.99987803227770999</v>
      </c>
      <c r="C105">
        <v>1.05761023087627</v>
      </c>
      <c r="D105">
        <v>1.0351300382330799</v>
      </c>
      <c r="E105">
        <v>0.80650438735817997</v>
      </c>
      <c r="F105">
        <v>0.93580194229649905</v>
      </c>
      <c r="G105">
        <v>0.71425585752915399</v>
      </c>
      <c r="H105">
        <v>0.2900673459125</v>
      </c>
      <c r="I105">
        <v>0.20376865587156101</v>
      </c>
      <c r="J105">
        <v>0.12249270930504901</v>
      </c>
      <c r="K105">
        <v>8.1516722594802402E-2</v>
      </c>
      <c r="L105">
        <v>1287.78141470125</v>
      </c>
      <c r="M105">
        <v>21.9674276607678</v>
      </c>
      <c r="N105">
        <v>58.950584787000203</v>
      </c>
      <c r="O105">
        <v>58.1430140341052</v>
      </c>
      <c r="P105">
        <v>-8.9018158654487395E-2</v>
      </c>
      <c r="Q105">
        <v>5.7574379237212703E-2</v>
      </c>
      <c r="R105">
        <v>0.97315258582408704</v>
      </c>
      <c r="S105" t="s">
        <v>6416</v>
      </c>
      <c r="T105" t="s">
        <v>12620</v>
      </c>
      <c r="U105" t="s">
        <v>12620</v>
      </c>
      <c r="V105" t="s">
        <v>12620</v>
      </c>
      <c r="W105" t="s">
        <v>12725</v>
      </c>
      <c r="X105">
        <v>7</v>
      </c>
      <c r="Y105" t="s">
        <v>18971</v>
      </c>
      <c r="Z105" t="s">
        <v>25052</v>
      </c>
      <c r="AA105">
        <v>0.65176331225079676</v>
      </c>
      <c r="AB105" t="str">
        <f>HYPERLINK("Melting_Curves/meltCurve_B4DJA5_RAB5A.pdf", "Melting_Curves/meltCurve_B4DJA5_RAB5A.pdf")</f>
        <v>Melting_Curves/meltCurve_B4DJA5_RAB5A.pdf</v>
      </c>
    </row>
    <row r="106" spans="1:28" x14ac:dyDescent="0.25">
      <c r="A106" t="s">
        <v>110</v>
      </c>
      <c r="B106">
        <v>0.99987803227770999</v>
      </c>
      <c r="C106">
        <v>0.89990214220396503</v>
      </c>
      <c r="D106">
        <v>0.93119435306016296</v>
      </c>
      <c r="E106">
        <v>1.10437365979998</v>
      </c>
      <c r="F106">
        <v>1.0586426492130401</v>
      </c>
      <c r="G106">
        <v>0.93469862634185696</v>
      </c>
      <c r="H106">
        <v>0.93694609072899904</v>
      </c>
      <c r="I106">
        <v>0.86047871740391102</v>
      </c>
      <c r="J106">
        <v>0.72468549367750901</v>
      </c>
      <c r="K106">
        <v>0.463919140782592</v>
      </c>
      <c r="L106">
        <v>1455.0521749986201</v>
      </c>
      <c r="M106">
        <v>20.872683492453401</v>
      </c>
      <c r="N106">
        <v>69.710828684172796</v>
      </c>
      <c r="O106">
        <v>69.080424033082394</v>
      </c>
      <c r="P106">
        <v>-7.5539698000784805E-2</v>
      </c>
      <c r="Q106">
        <v>0</v>
      </c>
      <c r="R106">
        <v>0.88908100598249296</v>
      </c>
      <c r="S106" t="s">
        <v>6417</v>
      </c>
      <c r="T106" t="s">
        <v>12620</v>
      </c>
      <c r="U106" t="s">
        <v>12620</v>
      </c>
      <c r="V106" t="s">
        <v>12620</v>
      </c>
      <c r="W106" t="s">
        <v>12726</v>
      </c>
      <c r="X106">
        <v>5</v>
      </c>
      <c r="Y106" t="s">
        <v>18972</v>
      </c>
      <c r="Z106" t="s">
        <v>25053</v>
      </c>
      <c r="AA106">
        <v>0.92552662975015165</v>
      </c>
      <c r="AB106" t="str">
        <f>HYPERLINK("Melting_Curves/meltCurve_B4DJP7_SNRPD3.pdf", "Melting_Curves/meltCurve_B4DJP7_SNRPD3.pdf")</f>
        <v>Melting_Curves/meltCurve_B4DJP7_SNRPD3.pdf</v>
      </c>
    </row>
    <row r="107" spans="1:28" x14ac:dyDescent="0.25">
      <c r="A107" t="s">
        <v>111</v>
      </c>
      <c r="B107">
        <v>0.99987803227770999</v>
      </c>
      <c r="C107">
        <v>1.1085374452818799</v>
      </c>
      <c r="D107">
        <v>1.02540473426982</v>
      </c>
      <c r="E107">
        <v>0.87355291807703295</v>
      </c>
      <c r="F107">
        <v>0.40365924397856101</v>
      </c>
      <c r="G107">
        <v>0.15050434200097601</v>
      </c>
      <c r="H107">
        <v>0.101191589374166</v>
      </c>
      <c r="I107">
        <v>7.7356953795362005E-2</v>
      </c>
      <c r="J107">
        <v>6.6280005233062503E-2</v>
      </c>
      <c r="K107">
        <v>4.7493622527063101E-2</v>
      </c>
      <c r="L107">
        <v>2036.01019097064</v>
      </c>
      <c r="M107">
        <v>38.9680021376547</v>
      </c>
      <c r="N107">
        <v>52.480925569832102</v>
      </c>
      <c r="O107">
        <v>52.111231880982999</v>
      </c>
      <c r="P107">
        <v>-0.172116881511678</v>
      </c>
      <c r="Q107">
        <v>7.93265393946819E-2</v>
      </c>
      <c r="R107">
        <v>0.99164057542281303</v>
      </c>
      <c r="S107" t="s">
        <v>6418</v>
      </c>
      <c r="T107" t="s">
        <v>12620</v>
      </c>
      <c r="U107" t="s">
        <v>12620</v>
      </c>
      <c r="V107" t="s">
        <v>12620</v>
      </c>
      <c r="W107" t="s">
        <v>12727</v>
      </c>
      <c r="X107">
        <v>20</v>
      </c>
      <c r="Y107" t="s">
        <v>18973</v>
      </c>
      <c r="Z107" t="s">
        <v>25054</v>
      </c>
      <c r="AA107">
        <v>0.45871699596558407</v>
      </c>
      <c r="AB107" t="str">
        <f>HYPERLINK("Melting_Curves/meltCurve_B4DJV2_CS.pdf", "Melting_Curves/meltCurve_B4DJV2_CS.pdf")</f>
        <v>Melting_Curves/meltCurve_B4DJV2_CS.pdf</v>
      </c>
    </row>
    <row r="108" spans="1:28" x14ac:dyDescent="0.25">
      <c r="A108" t="s">
        <v>112</v>
      </c>
      <c r="B108">
        <v>0.99987803227770999</v>
      </c>
      <c r="C108">
        <v>1.16618732770626</v>
      </c>
      <c r="D108">
        <v>1.22878669948202</v>
      </c>
      <c r="E108">
        <v>1.3661734795927001</v>
      </c>
      <c r="F108">
        <v>1.5897947079349699</v>
      </c>
      <c r="G108">
        <v>1.7670050545688301</v>
      </c>
      <c r="H108">
        <v>1.8100844055304399</v>
      </c>
      <c r="I108">
        <v>0.69122724355533105</v>
      </c>
      <c r="J108">
        <v>0.35871690545324603</v>
      </c>
      <c r="K108">
        <v>0.18874967398388501</v>
      </c>
      <c r="L108">
        <v>15000</v>
      </c>
      <c r="M108">
        <v>234.07307773143799</v>
      </c>
      <c r="N108">
        <v>64.300351365879393</v>
      </c>
      <c r="O108">
        <v>64.077873429640803</v>
      </c>
      <c r="P108">
        <v>-0.66327185214210904</v>
      </c>
      <c r="Q108">
        <v>0.27371314763561699</v>
      </c>
      <c r="R108">
        <v>0.35772437820234698</v>
      </c>
      <c r="S108" t="s">
        <v>6419</v>
      </c>
      <c r="T108" t="s">
        <v>12620</v>
      </c>
      <c r="U108" t="s">
        <v>12620</v>
      </c>
      <c r="V108" t="s">
        <v>12620</v>
      </c>
      <c r="W108" t="s">
        <v>12728</v>
      </c>
      <c r="X108">
        <v>3</v>
      </c>
      <c r="Y108" t="s">
        <v>18974</v>
      </c>
      <c r="Z108" t="s">
        <v>25055</v>
      </c>
      <c r="AA108">
        <v>0.85683433676543397</v>
      </c>
      <c r="AB108" t="str">
        <f>HYPERLINK("Melting_Curves/meltCurve_B4DJV5_PWP1.pdf", "Melting_Curves/meltCurve_B4DJV5_PWP1.pdf")</f>
        <v>Melting_Curves/meltCurve_B4DJV5_PWP1.pdf</v>
      </c>
    </row>
    <row r="109" spans="1:28" x14ac:dyDescent="0.25">
      <c r="A109" t="s">
        <v>113</v>
      </c>
      <c r="B109">
        <v>0.99987803227770999</v>
      </c>
      <c r="C109">
        <v>0.942971381956064</v>
      </c>
      <c r="D109">
        <v>0.93053244472821794</v>
      </c>
      <c r="E109">
        <v>0.81947444584471196</v>
      </c>
      <c r="F109">
        <v>0.958338391711408</v>
      </c>
      <c r="G109">
        <v>0.73860052850318902</v>
      </c>
      <c r="H109">
        <v>0.783948638534957</v>
      </c>
      <c r="I109">
        <v>0.72293917128586604</v>
      </c>
      <c r="J109">
        <v>0.78883258680676505</v>
      </c>
      <c r="K109">
        <v>0.64925935448559802</v>
      </c>
      <c r="L109">
        <v>311.63073972825401</v>
      </c>
      <c r="M109">
        <v>5.07440835008431</v>
      </c>
      <c r="O109">
        <v>53.782291200514997</v>
      </c>
      <c r="P109">
        <v>-1.11484398014769E-2</v>
      </c>
      <c r="Q109">
        <v>0.53010002094580699</v>
      </c>
      <c r="R109">
        <v>0.764186729399147</v>
      </c>
      <c r="S109" t="s">
        <v>6420</v>
      </c>
      <c r="T109" t="s">
        <v>12620</v>
      </c>
      <c r="U109" t="s">
        <v>12620</v>
      </c>
      <c r="V109" t="s">
        <v>12620</v>
      </c>
      <c r="W109" t="s">
        <v>12729</v>
      </c>
      <c r="X109">
        <v>4</v>
      </c>
      <c r="Y109" t="s">
        <v>18975</v>
      </c>
      <c r="Z109" t="s">
        <v>25056</v>
      </c>
      <c r="AA109">
        <v>0.83350704958951782</v>
      </c>
      <c r="AB109" t="str">
        <f>HYPERLINK("Melting_Curves/meltCurve_B4DKF9_ZNF286A.pdf", "Melting_Curves/meltCurve_B4DKF9_ZNF286A.pdf")</f>
        <v>Melting_Curves/meltCurve_B4DKF9_ZNF286A.pdf</v>
      </c>
    </row>
    <row r="110" spans="1:28" x14ac:dyDescent="0.25">
      <c r="A110" t="s">
        <v>114</v>
      </c>
      <c r="B110">
        <v>0.99987803227770999</v>
      </c>
      <c r="C110">
        <v>0.75961904332997299</v>
      </c>
      <c r="D110">
        <v>0.93209846160095</v>
      </c>
      <c r="E110">
        <v>0.74504747475367705</v>
      </c>
      <c r="F110">
        <v>0.96103937170537201</v>
      </c>
      <c r="G110">
        <v>0.818552648699995</v>
      </c>
      <c r="H110">
        <v>0.95328870828492296</v>
      </c>
      <c r="I110">
        <v>0.81598281318375898</v>
      </c>
      <c r="J110">
        <v>1.1218173986625399</v>
      </c>
      <c r="K110">
        <v>0.97209653426091802</v>
      </c>
      <c r="L110">
        <v>10222.168041671999</v>
      </c>
      <c r="M110">
        <v>250</v>
      </c>
      <c r="O110">
        <v>40.886055574850303</v>
      </c>
      <c r="P110">
        <v>-0.156338313644724</v>
      </c>
      <c r="Q110">
        <v>0.89772708846732097</v>
      </c>
      <c r="R110">
        <v>7.2939579974807003E-2</v>
      </c>
      <c r="S110" t="s">
        <v>6421</v>
      </c>
      <c r="T110" t="s">
        <v>12620</v>
      </c>
      <c r="U110" t="s">
        <v>12620</v>
      </c>
      <c r="V110" t="s">
        <v>12620</v>
      </c>
      <c r="W110" t="s">
        <v>12730</v>
      </c>
      <c r="X110">
        <v>3</v>
      </c>
      <c r="Y110" t="s">
        <v>18976</v>
      </c>
      <c r="Z110" t="s">
        <v>25057</v>
      </c>
      <c r="AA110">
        <v>0.90076604283215778</v>
      </c>
      <c r="AB110" t="str">
        <f>HYPERLINK("Melting_Curves/meltCurve_B4DKL4_LSR.pdf", "Melting_Curves/meltCurve_B4DKL4_LSR.pdf")</f>
        <v>Melting_Curves/meltCurve_B4DKL4_LSR.pdf</v>
      </c>
    </row>
    <row r="111" spans="1:28" x14ac:dyDescent="0.25">
      <c r="A111" t="s">
        <v>115</v>
      </c>
      <c r="B111">
        <v>0.99987803227770999</v>
      </c>
      <c r="C111">
        <v>0.86066618028866804</v>
      </c>
      <c r="D111">
        <v>0.733583935030515</v>
      </c>
      <c r="E111">
        <v>0.58954715734659802</v>
      </c>
      <c r="F111">
        <v>0.62009613255999396</v>
      </c>
      <c r="G111">
        <v>0.38883781097514802</v>
      </c>
      <c r="H111">
        <v>0.45240093263146502</v>
      </c>
      <c r="I111">
        <v>0.38801723762587598</v>
      </c>
      <c r="J111">
        <v>0.49569894169683199</v>
      </c>
      <c r="K111">
        <v>0.40873563708453398</v>
      </c>
      <c r="L111">
        <v>623.00685152009601</v>
      </c>
      <c r="M111">
        <v>13.2028977869318</v>
      </c>
      <c r="N111">
        <v>54.538499147297998</v>
      </c>
      <c r="O111">
        <v>46.144006396392598</v>
      </c>
      <c r="P111">
        <v>-4.18059680482629E-2</v>
      </c>
      <c r="Q111">
        <v>0.41565130019026802</v>
      </c>
      <c r="R111">
        <v>0.93610434701462897</v>
      </c>
      <c r="S111" t="s">
        <v>6422</v>
      </c>
      <c r="T111" t="s">
        <v>12620</v>
      </c>
      <c r="U111" t="s">
        <v>12620</v>
      </c>
      <c r="V111" t="s">
        <v>12620</v>
      </c>
      <c r="W111" t="s">
        <v>12731</v>
      </c>
      <c r="X111">
        <v>1</v>
      </c>
      <c r="Y111" t="s">
        <v>18977</v>
      </c>
      <c r="Z111" t="s">
        <v>25058</v>
      </c>
      <c r="AA111">
        <v>0.57587323076336139</v>
      </c>
      <c r="AB111" t="str">
        <f>HYPERLINK("Melting_Curves/meltCurve_B4DL05_SHQ1.pdf", "Melting_Curves/meltCurve_B4DL05_SHQ1.pdf")</f>
        <v>Melting_Curves/meltCurve_B4DL05_SHQ1.pdf</v>
      </c>
    </row>
    <row r="112" spans="1:28" x14ac:dyDescent="0.25">
      <c r="A112" t="s">
        <v>116</v>
      </c>
      <c r="B112">
        <v>0.99987803227770999</v>
      </c>
      <c r="C112">
        <v>1.4324341340986899</v>
      </c>
      <c r="D112">
        <v>1.4410311391766999</v>
      </c>
      <c r="E112">
        <v>1.25270173244865</v>
      </c>
      <c r="F112">
        <v>0.14911987281236999</v>
      </c>
      <c r="G112">
        <v>8.79200053939488E-2</v>
      </c>
      <c r="H112">
        <v>4.2787533204035597E-2</v>
      </c>
      <c r="I112">
        <v>3.5533289207391398E-2</v>
      </c>
      <c r="J112">
        <v>2.78224882882687E-2</v>
      </c>
      <c r="K112">
        <v>8.8995989030008008E-3</v>
      </c>
      <c r="L112">
        <v>13140.863261353201</v>
      </c>
      <c r="M112">
        <v>250</v>
      </c>
      <c r="N112">
        <v>52.581261481515398</v>
      </c>
      <c r="O112">
        <v>52.560090436734001</v>
      </c>
      <c r="P112">
        <v>-1.1408472868985999</v>
      </c>
      <c r="Q112">
        <v>4.0591436081697699E-2</v>
      </c>
      <c r="R112">
        <v>0.87968921304316094</v>
      </c>
      <c r="S112" t="s">
        <v>6423</v>
      </c>
      <c r="T112" t="s">
        <v>12620</v>
      </c>
      <c r="U112" t="s">
        <v>12620</v>
      </c>
      <c r="V112" t="s">
        <v>12620</v>
      </c>
      <c r="W112" t="s">
        <v>12732</v>
      </c>
      <c r="X112">
        <v>2</v>
      </c>
      <c r="Y112" t="s">
        <v>18978</v>
      </c>
      <c r="Z112" t="s">
        <v>25059</v>
      </c>
      <c r="AA112">
        <v>0.44246275444837352</v>
      </c>
      <c r="AB112" t="str">
        <f>HYPERLINK("Melting_Curves/meltCurve_B4DL14_ATP5C1.pdf", "Melting_Curves/meltCurve_B4DL14_ATP5C1.pdf")</f>
        <v>Melting_Curves/meltCurve_B4DL14_ATP5C1.pdf</v>
      </c>
    </row>
    <row r="113" spans="1:28" x14ac:dyDescent="0.25">
      <c r="A113" t="s">
        <v>117</v>
      </c>
      <c r="B113">
        <v>0.99987803227770999</v>
      </c>
      <c r="C113">
        <v>0.72306992054563302</v>
      </c>
      <c r="D113">
        <v>0.91520044107468701</v>
      </c>
      <c r="E113">
        <v>0.82999540171831399</v>
      </c>
      <c r="F113">
        <v>0.69310575319863399</v>
      </c>
      <c r="G113">
        <v>0.48851015265916897</v>
      </c>
      <c r="H113">
        <v>0.27914467022663397</v>
      </c>
      <c r="I113">
        <v>0.228153663562813</v>
      </c>
      <c r="J113">
        <v>0.146387756412349</v>
      </c>
      <c r="K113">
        <v>0.103024200305196</v>
      </c>
      <c r="L113">
        <v>580.48224336410203</v>
      </c>
      <c r="M113">
        <v>10.298378784266101</v>
      </c>
      <c r="N113">
        <v>56.366380176117602</v>
      </c>
      <c r="O113">
        <v>54.365123176337796</v>
      </c>
      <c r="P113">
        <v>-4.73780522545953E-2</v>
      </c>
      <c r="Q113">
        <v>0</v>
      </c>
      <c r="R113">
        <v>0.93805473340894197</v>
      </c>
      <c r="S113" t="s">
        <v>6424</v>
      </c>
      <c r="T113" t="s">
        <v>12620</v>
      </c>
      <c r="U113" t="s">
        <v>12620</v>
      </c>
      <c r="V113" t="s">
        <v>12620</v>
      </c>
      <c r="W113" t="s">
        <v>12733</v>
      </c>
      <c r="X113">
        <v>7</v>
      </c>
      <c r="Y113" t="s">
        <v>18979</v>
      </c>
      <c r="Z113" t="s">
        <v>25060</v>
      </c>
      <c r="AA113">
        <v>0.56487026968784604</v>
      </c>
      <c r="AB113" t="str">
        <f>HYPERLINK("Melting_Curves/meltCurve_B4DL54_CHURC1_FNTB.pdf", "Melting_Curves/meltCurve_B4DL54_CHURC1_FNTB.pdf")</f>
        <v>Melting_Curves/meltCurve_B4DL54_CHURC1_FNTB.pdf</v>
      </c>
    </row>
    <row r="114" spans="1:28" x14ac:dyDescent="0.25">
      <c r="A114" t="s">
        <v>118</v>
      </c>
      <c r="B114">
        <v>0.99987803227770999</v>
      </c>
      <c r="C114">
        <v>0.89842638072754799</v>
      </c>
      <c r="D114">
        <v>0.88507621484985899</v>
      </c>
      <c r="E114">
        <v>0.77261855959370196</v>
      </c>
      <c r="F114">
        <v>0.80641149618832397</v>
      </c>
      <c r="G114">
        <v>0.68736273767114697</v>
      </c>
      <c r="H114">
        <v>0.70341987089984803</v>
      </c>
      <c r="I114">
        <v>0.64261266350812996</v>
      </c>
      <c r="J114">
        <v>0.72147553828569</v>
      </c>
      <c r="K114">
        <v>0.59640719250903795</v>
      </c>
      <c r="L114">
        <v>432.442185962721</v>
      </c>
      <c r="M114">
        <v>8.6513797282413698</v>
      </c>
      <c r="O114">
        <v>47.529917431284403</v>
      </c>
      <c r="P114">
        <v>-1.7457982186810699E-2</v>
      </c>
      <c r="Q114">
        <v>0.61667272679315599</v>
      </c>
      <c r="R114">
        <v>0.90070061579524896</v>
      </c>
      <c r="S114" t="s">
        <v>6425</v>
      </c>
      <c r="T114" t="s">
        <v>12620</v>
      </c>
      <c r="U114" t="s">
        <v>12620</v>
      </c>
      <c r="V114" t="s">
        <v>12620</v>
      </c>
      <c r="W114" t="s">
        <v>12734</v>
      </c>
      <c r="X114">
        <v>21</v>
      </c>
      <c r="Y114" t="s">
        <v>18980</v>
      </c>
      <c r="Z114" t="s">
        <v>25061</v>
      </c>
      <c r="AA114">
        <v>0.7651640000672586</v>
      </c>
      <c r="AB114" t="str">
        <f>HYPERLINK("Melting_Curves/meltCurve_B4DLE8_CRYBG3.pdf", "Melting_Curves/meltCurve_B4DLE8_CRYBG3.pdf")</f>
        <v>Melting_Curves/meltCurve_B4DLE8_CRYBG3.pdf</v>
      </c>
    </row>
    <row r="115" spans="1:28" x14ac:dyDescent="0.25">
      <c r="A115" t="s">
        <v>119</v>
      </c>
      <c r="B115">
        <v>0.99987803227770999</v>
      </c>
      <c r="C115">
        <v>1.1056783818565199</v>
      </c>
      <c r="D115">
        <v>1.0284794177544001</v>
      </c>
      <c r="E115">
        <v>0.91668487809225396</v>
      </c>
      <c r="F115">
        <v>0.40757609305272102</v>
      </c>
      <c r="G115">
        <v>0.21799504094320901</v>
      </c>
      <c r="H115">
        <v>0.117902449751857</v>
      </c>
      <c r="I115">
        <v>8.1212984803672603E-2</v>
      </c>
      <c r="J115">
        <v>6.1005388238158702E-2</v>
      </c>
      <c r="K115">
        <v>4.43545678518978E-2</v>
      </c>
      <c r="L115">
        <v>2165.8714167786702</v>
      </c>
      <c r="M115">
        <v>41.372301650526403</v>
      </c>
      <c r="N115">
        <v>52.617467880663398</v>
      </c>
      <c r="O115">
        <v>52.228899773598499</v>
      </c>
      <c r="P115">
        <v>-0.17930195956640199</v>
      </c>
      <c r="Q115">
        <v>9.4589766711739603E-2</v>
      </c>
      <c r="R115">
        <v>0.98571850561387597</v>
      </c>
      <c r="S115" t="s">
        <v>6426</v>
      </c>
      <c r="T115" t="s">
        <v>12620</v>
      </c>
      <c r="U115" t="s">
        <v>12620</v>
      </c>
      <c r="V115" t="s">
        <v>12620</v>
      </c>
      <c r="W115" t="s">
        <v>12735</v>
      </c>
      <c r="X115">
        <v>31</v>
      </c>
      <c r="Y115" t="s">
        <v>18981</v>
      </c>
      <c r="Z115" t="s">
        <v>25062</v>
      </c>
      <c r="AA115">
        <v>0.47039951327423191</v>
      </c>
      <c r="AB115" t="str">
        <f>HYPERLINK("Melting_Curves/meltCurve_B4DLW8_DDX5.pdf", "Melting_Curves/meltCurve_B4DLW8_DDX5.pdf")</f>
        <v>Melting_Curves/meltCurve_B4DLW8_DDX5.pdf</v>
      </c>
    </row>
    <row r="116" spans="1:28" x14ac:dyDescent="0.25">
      <c r="A116" t="s">
        <v>120</v>
      </c>
      <c r="B116">
        <v>0.99987803227770999</v>
      </c>
      <c r="C116">
        <v>1.19537797816395</v>
      </c>
      <c r="D116">
        <v>1.4668966803415799</v>
      </c>
      <c r="E116">
        <v>1.06350426642503</v>
      </c>
      <c r="F116">
        <v>1.0442286411964099</v>
      </c>
      <c r="G116">
        <v>0.78521796193432303</v>
      </c>
      <c r="H116">
        <v>0.63883547435606503</v>
      </c>
      <c r="I116">
        <v>0.59532568314095102</v>
      </c>
      <c r="J116">
        <v>0.48842399887200899</v>
      </c>
      <c r="K116">
        <v>0.40065424472309902</v>
      </c>
      <c r="L116">
        <v>1281.2609262875601</v>
      </c>
      <c r="M116">
        <v>21.433417985677298</v>
      </c>
      <c r="N116">
        <v>65.466798514590906</v>
      </c>
      <c r="O116">
        <v>59.2655917209526</v>
      </c>
      <c r="P116">
        <v>-5.2229032087608603E-2</v>
      </c>
      <c r="Q116">
        <v>0.42233993647804602</v>
      </c>
      <c r="R116">
        <v>0.73420611392504598</v>
      </c>
      <c r="S116" t="s">
        <v>6427</v>
      </c>
      <c r="T116" t="s">
        <v>12620</v>
      </c>
      <c r="U116" t="s">
        <v>12620</v>
      </c>
      <c r="V116" t="s">
        <v>12620</v>
      </c>
      <c r="W116" t="s">
        <v>12736</v>
      </c>
      <c r="X116">
        <v>7</v>
      </c>
      <c r="Y116" t="s">
        <v>18982</v>
      </c>
      <c r="Z116" t="s">
        <v>25063</v>
      </c>
      <c r="AA116">
        <v>0.80812040909681315</v>
      </c>
      <c r="AB116" t="str">
        <f>HYPERLINK("Melting_Curves/meltCurve_B4DLZ9_RNF220.pdf", "Melting_Curves/meltCurve_B4DLZ9_RNF220.pdf")</f>
        <v>Melting_Curves/meltCurve_B4DLZ9_RNF220.pdf</v>
      </c>
    </row>
    <row r="117" spans="1:28" x14ac:dyDescent="0.25">
      <c r="A117" t="s">
        <v>121</v>
      </c>
      <c r="B117">
        <v>0.99987803227770999</v>
      </c>
      <c r="C117">
        <v>0.94426878100705103</v>
      </c>
      <c r="D117">
        <v>0.78401349880230298</v>
      </c>
      <c r="E117">
        <v>0.69991940896809202</v>
      </c>
      <c r="F117">
        <v>0.64756922179586995</v>
      </c>
      <c r="G117">
        <v>0.42882024711887101</v>
      </c>
      <c r="H117">
        <v>0.35593134605688498</v>
      </c>
      <c r="I117">
        <v>0.28891267372409202</v>
      </c>
      <c r="J117">
        <v>0.227599972341201</v>
      </c>
      <c r="K117">
        <v>0.224737416701144</v>
      </c>
      <c r="L117">
        <v>472.54955266095601</v>
      </c>
      <c r="M117">
        <v>8.7137295705709104</v>
      </c>
      <c r="N117">
        <v>55.669551403084498</v>
      </c>
      <c r="O117">
        <v>51.601492300401098</v>
      </c>
      <c r="P117">
        <v>-3.7990336075081503E-2</v>
      </c>
      <c r="Q117">
        <v>0.10084391252222299</v>
      </c>
      <c r="R117">
        <v>0.98734085189829202</v>
      </c>
      <c r="S117" t="s">
        <v>6428</v>
      </c>
      <c r="T117" t="s">
        <v>12620</v>
      </c>
      <c r="U117" t="s">
        <v>12620</v>
      </c>
      <c r="V117" t="s">
        <v>12620</v>
      </c>
      <c r="W117" t="s">
        <v>12737</v>
      </c>
      <c r="X117">
        <v>2</v>
      </c>
      <c r="Y117" t="s">
        <v>18983</v>
      </c>
      <c r="Z117" t="s">
        <v>25064</v>
      </c>
      <c r="AA117">
        <v>0.55564116063874947</v>
      </c>
      <c r="AB117" t="str">
        <f>HYPERLINK("Melting_Curves/meltCurve_B4DNX9_ZNF460.pdf", "Melting_Curves/meltCurve_B4DNX9_ZNF460.pdf")</f>
        <v>Melting_Curves/meltCurve_B4DNX9_ZNF460.pdf</v>
      </c>
    </row>
    <row r="118" spans="1:28" x14ac:dyDescent="0.25">
      <c r="A118" t="s">
        <v>122</v>
      </c>
      <c r="B118">
        <v>0.99987803227770999</v>
      </c>
      <c r="C118">
        <v>0.66611762973606403</v>
      </c>
      <c r="D118">
        <v>1.0012485851486399</v>
      </c>
      <c r="E118">
        <v>0.77504570857348498</v>
      </c>
      <c r="F118">
        <v>0.85507791089367402</v>
      </c>
      <c r="G118">
        <v>0.46084510829804798</v>
      </c>
      <c r="H118">
        <v>0.244448432324675</v>
      </c>
      <c r="I118">
        <v>0.201138617965226</v>
      </c>
      <c r="J118">
        <v>0.15168723478652801</v>
      </c>
      <c r="K118">
        <v>0.13672210871005699</v>
      </c>
      <c r="L118">
        <v>773.002417110843</v>
      </c>
      <c r="M118">
        <v>13.711840229122901</v>
      </c>
      <c r="N118">
        <v>56.795368592465401</v>
      </c>
      <c r="O118">
        <v>55.216327303489898</v>
      </c>
      <c r="P118">
        <v>-5.9093891613810401E-2</v>
      </c>
      <c r="Q118">
        <v>4.82741975575973E-2</v>
      </c>
      <c r="R118">
        <v>0.87930167151365801</v>
      </c>
      <c r="S118" t="s">
        <v>6429</v>
      </c>
      <c r="T118" t="s">
        <v>12620</v>
      </c>
      <c r="U118" t="s">
        <v>12620</v>
      </c>
      <c r="V118" t="s">
        <v>12620</v>
      </c>
      <c r="W118" t="s">
        <v>12738</v>
      </c>
      <c r="X118">
        <v>9</v>
      </c>
      <c r="Y118" t="s">
        <v>18984</v>
      </c>
      <c r="Z118" t="s">
        <v>25065</v>
      </c>
      <c r="AA118">
        <v>0.58498530785596381</v>
      </c>
      <c r="AB118" t="str">
        <f>HYPERLINK("Melting_Curves/meltCurve_B4DP21_PTGES3.pdf", "Melting_Curves/meltCurve_B4DP21_PTGES3.pdf")</f>
        <v>Melting_Curves/meltCurve_B4DP21_PTGES3.pdf</v>
      </c>
    </row>
    <row r="119" spans="1:28" x14ac:dyDescent="0.25">
      <c r="A119" t="s">
        <v>123</v>
      </c>
      <c r="B119">
        <v>0.99987803227770999</v>
      </c>
      <c r="C119">
        <v>0.85601250724492695</v>
      </c>
      <c r="D119">
        <v>0.97314909021636697</v>
      </c>
      <c r="E119">
        <v>0.772646343578682</v>
      </c>
      <c r="F119">
        <v>0.65295326347941196</v>
      </c>
      <c r="G119">
        <v>0.33721871602839298</v>
      </c>
      <c r="H119">
        <v>0.46525908201281402</v>
      </c>
      <c r="I119">
        <v>7.0920204912508805E-2</v>
      </c>
      <c r="J119">
        <v>5.1522188059137303E-2</v>
      </c>
      <c r="K119">
        <v>4.7294883613053201E-2</v>
      </c>
      <c r="L119">
        <v>663.71518197613898</v>
      </c>
      <c r="M119">
        <v>11.965610373447699</v>
      </c>
      <c r="N119">
        <v>55.468557094217303</v>
      </c>
      <c r="O119">
        <v>53.987393037708998</v>
      </c>
      <c r="P119">
        <v>-5.5422786743536498E-2</v>
      </c>
      <c r="Q119">
        <v>0</v>
      </c>
      <c r="R119">
        <v>0.93681679757543501</v>
      </c>
      <c r="S119" t="s">
        <v>6430</v>
      </c>
      <c r="T119" t="s">
        <v>12620</v>
      </c>
      <c r="U119" t="s">
        <v>12620</v>
      </c>
      <c r="V119" t="s">
        <v>12620</v>
      </c>
      <c r="W119" t="s">
        <v>12739</v>
      </c>
      <c r="X119">
        <v>5</v>
      </c>
      <c r="Y119" t="s">
        <v>18985</v>
      </c>
      <c r="Z119" t="s">
        <v>25066</v>
      </c>
      <c r="AA119">
        <v>0.537723459051347</v>
      </c>
      <c r="AB119" t="str">
        <f>HYPERLINK("Melting_Curves/meltCurve_B4DPR4_MKRN2.pdf", "Melting_Curves/meltCurve_B4DPR4_MKRN2.pdf")</f>
        <v>Melting_Curves/meltCurve_B4DPR4_MKRN2.pdf</v>
      </c>
    </row>
    <row r="120" spans="1:28" x14ac:dyDescent="0.25">
      <c r="A120" t="s">
        <v>124</v>
      </c>
      <c r="B120">
        <v>0.99987803227770999</v>
      </c>
      <c r="C120">
        <v>0.83367274221596099</v>
      </c>
      <c r="D120">
        <v>0.84287235996026</v>
      </c>
      <c r="E120">
        <v>0.63134633395578499</v>
      </c>
      <c r="F120">
        <v>0.81912046693678997</v>
      </c>
      <c r="G120">
        <v>0.48364641331397201</v>
      </c>
      <c r="H120">
        <v>0.68942816164875997</v>
      </c>
      <c r="I120">
        <v>0.63945530521037997</v>
      </c>
      <c r="J120">
        <v>0.66032773696192604</v>
      </c>
      <c r="K120">
        <v>0.55394160413040405</v>
      </c>
      <c r="L120">
        <v>599.33249965944003</v>
      </c>
      <c r="M120">
        <v>13.0404427718049</v>
      </c>
      <c r="O120">
        <v>44.919027300809702</v>
      </c>
      <c r="P120">
        <v>-2.8312671483891199E-2</v>
      </c>
      <c r="Q120">
        <v>0.60996559591385102</v>
      </c>
      <c r="R120">
        <v>0.678252456596252</v>
      </c>
      <c r="S120" t="s">
        <v>6431</v>
      </c>
      <c r="T120" t="s">
        <v>12620</v>
      </c>
      <c r="U120" t="s">
        <v>12620</v>
      </c>
      <c r="V120" t="s">
        <v>12620</v>
      </c>
      <c r="W120" t="s">
        <v>12740</v>
      </c>
      <c r="X120">
        <v>2</v>
      </c>
      <c r="Y120" t="s">
        <v>18986</v>
      </c>
      <c r="Z120" t="s">
        <v>25067</v>
      </c>
      <c r="AA120">
        <v>0.70264051386173176</v>
      </c>
      <c r="AB120" t="str">
        <f>HYPERLINK("Melting_Curves/meltCurve_B4DPY5_SNX11.pdf", "Melting_Curves/meltCurve_B4DPY5_SNX11.pdf")</f>
        <v>Melting_Curves/meltCurve_B4DPY5_SNX11.pdf</v>
      </c>
    </row>
    <row r="121" spans="1:28" x14ac:dyDescent="0.25">
      <c r="A121" t="s">
        <v>125</v>
      </c>
      <c r="B121">
        <v>0.99987803227770999</v>
      </c>
      <c r="C121">
        <v>0.93203237104217396</v>
      </c>
      <c r="D121">
        <v>1.0190967727798299</v>
      </c>
      <c r="E121">
        <v>0.93199620821437001</v>
      </c>
      <c r="F121">
        <v>0.98853402561105097</v>
      </c>
      <c r="G121">
        <v>0.84025011083672996</v>
      </c>
      <c r="H121">
        <v>0.87950446064834198</v>
      </c>
      <c r="I121">
        <v>0.85304715053172997</v>
      </c>
      <c r="J121">
        <v>0.873152399438622</v>
      </c>
      <c r="K121">
        <v>0.72120797923211999</v>
      </c>
      <c r="L121">
        <v>332.54958150146598</v>
      </c>
      <c r="M121">
        <v>3.5298099046368199</v>
      </c>
      <c r="Q121">
        <v>0</v>
      </c>
      <c r="R121">
        <v>0.728941534868079</v>
      </c>
      <c r="S121" t="s">
        <v>6432</v>
      </c>
      <c r="T121" t="s">
        <v>12620</v>
      </c>
      <c r="U121" t="s">
        <v>12620</v>
      </c>
      <c r="V121" t="s">
        <v>12620</v>
      </c>
      <c r="W121" t="s">
        <v>12741</v>
      </c>
      <c r="X121">
        <v>8</v>
      </c>
      <c r="Y121" t="s">
        <v>18987</v>
      </c>
      <c r="Z121" t="s">
        <v>25068</v>
      </c>
      <c r="AA121">
        <v>0.91014650299567768</v>
      </c>
      <c r="AB121" t="str">
        <f>HYPERLINK("Melting_Curves/meltCurve_B4DPY8_TOX4.pdf", "Melting_Curves/meltCurve_B4DPY8_TOX4.pdf")</f>
        <v>Melting_Curves/meltCurve_B4DPY8_TOX4.pdf</v>
      </c>
    </row>
    <row r="122" spans="1:28" x14ac:dyDescent="0.25">
      <c r="A122" t="s">
        <v>126</v>
      </c>
      <c r="B122">
        <v>0.99987803227770999</v>
      </c>
      <c r="C122">
        <v>0.96732369924314798</v>
      </c>
      <c r="D122">
        <v>1.0849764386082701</v>
      </c>
      <c r="E122">
        <v>1.00012077113746</v>
      </c>
      <c r="F122">
        <v>0.88895478371775705</v>
      </c>
      <c r="G122">
        <v>0.35139210050700098</v>
      </c>
      <c r="H122">
        <v>0.222367073064514</v>
      </c>
      <c r="I122">
        <v>0.190900657552113</v>
      </c>
      <c r="J122">
        <v>0.18887510247608899</v>
      </c>
      <c r="K122">
        <v>0.149784181701547</v>
      </c>
      <c r="L122">
        <v>2379.4792466292301</v>
      </c>
      <c r="M122">
        <v>43.0611037961527</v>
      </c>
      <c r="N122">
        <v>55.848851720412803</v>
      </c>
      <c r="O122">
        <v>55.139430517608197</v>
      </c>
      <c r="P122">
        <v>-0.15952769950336201</v>
      </c>
      <c r="Q122">
        <v>0.182905061815864</v>
      </c>
      <c r="R122">
        <v>0.99325650466204196</v>
      </c>
      <c r="S122" t="s">
        <v>6433</v>
      </c>
      <c r="T122" t="s">
        <v>12620</v>
      </c>
      <c r="U122" t="s">
        <v>12620</v>
      </c>
      <c r="V122" t="s">
        <v>12620</v>
      </c>
      <c r="W122" t="s">
        <v>12742</v>
      </c>
      <c r="X122">
        <v>18</v>
      </c>
      <c r="Y122" t="s">
        <v>18988</v>
      </c>
      <c r="Z122" t="s">
        <v>25069</v>
      </c>
      <c r="AA122">
        <v>0.60116873670830917</v>
      </c>
      <c r="AB122" t="str">
        <f>HYPERLINK("Melting_Curves/meltCurve_B4DQ14_EIF2A.pdf", "Melting_Curves/meltCurve_B4DQ14_EIF2A.pdf")</f>
        <v>Melting_Curves/meltCurve_B4DQ14_EIF2A.pdf</v>
      </c>
    </row>
    <row r="123" spans="1:28" x14ac:dyDescent="0.25">
      <c r="A123" t="s">
        <v>127</v>
      </c>
      <c r="B123">
        <v>0.99987803227770999</v>
      </c>
      <c r="C123">
        <v>0.73331022848142202</v>
      </c>
      <c r="D123">
        <v>0.33659994543390898</v>
      </c>
      <c r="E123">
        <v>0.25399877879968502</v>
      </c>
      <c r="F123">
        <v>0.21791624908416099</v>
      </c>
      <c r="G123">
        <v>0.12935483887789301</v>
      </c>
      <c r="H123">
        <v>0.124443871052469</v>
      </c>
      <c r="I123">
        <v>9.5038273745791796E-2</v>
      </c>
      <c r="J123">
        <v>0.111091194240954</v>
      </c>
      <c r="K123">
        <v>6.2518260253030394E-2</v>
      </c>
      <c r="L123">
        <v>1107.0890548387499</v>
      </c>
      <c r="M123">
        <v>24.981891570103802</v>
      </c>
      <c r="N123">
        <v>44.8462099372545</v>
      </c>
      <c r="O123">
        <v>44.034624967492803</v>
      </c>
      <c r="P123">
        <v>-0.12368715464612599</v>
      </c>
      <c r="Q123">
        <v>0.12793724235345</v>
      </c>
      <c r="R123">
        <v>0.97480740206517502</v>
      </c>
      <c r="S123" t="s">
        <v>6434</v>
      </c>
      <c r="T123" t="s">
        <v>12620</v>
      </c>
      <c r="U123" t="s">
        <v>12620</v>
      </c>
      <c r="V123" t="s">
        <v>12620</v>
      </c>
      <c r="W123" t="s">
        <v>12743</v>
      </c>
      <c r="X123">
        <v>1</v>
      </c>
      <c r="Y123" t="s">
        <v>18989</v>
      </c>
      <c r="Z123" t="s">
        <v>25070</v>
      </c>
      <c r="AA123">
        <v>0.26288452634048021</v>
      </c>
      <c r="AB123" t="str">
        <f>HYPERLINK("Melting_Curves/meltCurve_B4DQE7_HDAC8.pdf", "Melting_Curves/meltCurve_B4DQE7_HDAC8.pdf")</f>
        <v>Melting_Curves/meltCurve_B4DQE7_HDAC8.pdf</v>
      </c>
    </row>
    <row r="124" spans="1:28" x14ac:dyDescent="0.25">
      <c r="A124" t="s">
        <v>128</v>
      </c>
      <c r="B124">
        <v>0.99987803227770999</v>
      </c>
      <c r="C124">
        <v>0.67748638536514305</v>
      </c>
      <c r="D124">
        <v>0.60513317162964098</v>
      </c>
      <c r="E124">
        <v>1.0807007144140599</v>
      </c>
      <c r="F124">
        <v>0.97273681156740099</v>
      </c>
      <c r="G124">
        <v>0.76037847876544296</v>
      </c>
      <c r="H124">
        <v>0.15592756931841101</v>
      </c>
      <c r="I124">
        <v>0.18393483731292001</v>
      </c>
      <c r="J124">
        <v>9.2155873677012695E-2</v>
      </c>
      <c r="K124">
        <v>8.6605571570302797E-2</v>
      </c>
      <c r="L124">
        <v>3279.1322939287102</v>
      </c>
      <c r="M124">
        <v>56.550726235183497</v>
      </c>
      <c r="N124">
        <v>58.257343289648901</v>
      </c>
      <c r="O124">
        <v>57.913306215528799</v>
      </c>
      <c r="P124">
        <v>-0.21582274326773601</v>
      </c>
      <c r="Q124">
        <v>0.115908693716404</v>
      </c>
      <c r="R124">
        <v>0.81049997582497202</v>
      </c>
      <c r="S124" t="s">
        <v>6435</v>
      </c>
      <c r="T124" t="s">
        <v>12620</v>
      </c>
      <c r="U124" t="s">
        <v>12620</v>
      </c>
      <c r="V124" t="s">
        <v>12620</v>
      </c>
      <c r="W124" t="s">
        <v>12744</v>
      </c>
      <c r="X124">
        <v>4</v>
      </c>
      <c r="Y124" t="s">
        <v>18990</v>
      </c>
      <c r="Z124" t="s">
        <v>25071</v>
      </c>
      <c r="AA124">
        <v>0.64770424440223262</v>
      </c>
      <c r="AB124" t="str">
        <f>HYPERLINK("Melting_Curves/meltCurve_B4DQH9_RANBP10.pdf", "Melting_Curves/meltCurve_B4DQH9_RANBP10.pdf")</f>
        <v>Melting_Curves/meltCurve_B4DQH9_RANBP10.pdf</v>
      </c>
    </row>
    <row r="125" spans="1:28" x14ac:dyDescent="0.25">
      <c r="A125" t="s">
        <v>129</v>
      </c>
      <c r="B125">
        <v>0.99987803227770999</v>
      </c>
      <c r="C125">
        <v>1.0096173808684701</v>
      </c>
      <c r="D125">
        <v>0.66932461924643105</v>
      </c>
      <c r="E125">
        <v>0.65769184196665997</v>
      </c>
      <c r="F125">
        <v>0.50937395354361403</v>
      </c>
      <c r="G125">
        <v>0.32225876481368099</v>
      </c>
      <c r="H125">
        <v>0.29528929401232301</v>
      </c>
      <c r="I125">
        <v>0.28421017183540198</v>
      </c>
      <c r="J125">
        <v>0.158629983865721</v>
      </c>
      <c r="K125">
        <v>0.14114198145489701</v>
      </c>
      <c r="L125">
        <v>526.99819069229602</v>
      </c>
      <c r="M125">
        <v>10.2218981039646</v>
      </c>
      <c r="N125">
        <v>52.912326795042802</v>
      </c>
      <c r="O125">
        <v>49.699480510524197</v>
      </c>
      <c r="P125">
        <v>-4.5511987747988501E-2</v>
      </c>
      <c r="Q125">
        <v>0.11526763237757399</v>
      </c>
      <c r="R125">
        <v>0.95670874095190295</v>
      </c>
      <c r="S125" t="s">
        <v>6436</v>
      </c>
      <c r="T125" t="s">
        <v>12620</v>
      </c>
      <c r="U125" t="s">
        <v>12620</v>
      </c>
      <c r="V125" t="s">
        <v>12620</v>
      </c>
      <c r="W125" t="s">
        <v>12745</v>
      </c>
      <c r="X125">
        <v>2</v>
      </c>
      <c r="Y125" t="s">
        <v>18991</v>
      </c>
      <c r="Z125" t="s">
        <v>25072</v>
      </c>
      <c r="AA125">
        <v>0.49019930485063529</v>
      </c>
      <c r="AB125" t="str">
        <f>HYPERLINK("Melting_Curves/meltCurve_B4DQI6_TRA2A.pdf", "Melting_Curves/meltCurve_B4DQI6_TRA2A.pdf")</f>
        <v>Melting_Curves/meltCurve_B4DQI6_TRA2A.pdf</v>
      </c>
    </row>
    <row r="126" spans="1:28" x14ac:dyDescent="0.25">
      <c r="A126" t="s">
        <v>130</v>
      </c>
      <c r="B126">
        <v>0.99987803227770999</v>
      </c>
      <c r="C126">
        <v>1.01652206322812</v>
      </c>
      <c r="D126">
        <v>1.13645869331279</v>
      </c>
      <c r="E126">
        <v>1.2169080891895501</v>
      </c>
      <c r="F126">
        <v>0.90783768646651597</v>
      </c>
      <c r="G126">
        <v>0.26371035681862998</v>
      </c>
      <c r="H126">
        <v>0.13891540672228</v>
      </c>
      <c r="I126">
        <v>0.120003783946415</v>
      </c>
      <c r="J126">
        <v>7.2886104769206705E-2</v>
      </c>
      <c r="K126">
        <v>5.14764540794478E-2</v>
      </c>
      <c r="L126">
        <v>2897.57866365978</v>
      </c>
      <c r="M126">
        <v>52.302049128352103</v>
      </c>
      <c r="N126">
        <v>55.621300166420802</v>
      </c>
      <c r="O126">
        <v>55.320037633718201</v>
      </c>
      <c r="P126">
        <v>-0.21423790420106401</v>
      </c>
      <c r="Q126">
        <v>9.3600091879987898E-2</v>
      </c>
      <c r="R126">
        <v>0.96778935486800099</v>
      </c>
      <c r="S126" t="s">
        <v>6437</v>
      </c>
      <c r="T126" t="s">
        <v>12620</v>
      </c>
      <c r="U126" t="s">
        <v>12620</v>
      </c>
      <c r="V126" t="s">
        <v>12620</v>
      </c>
      <c r="W126" t="s">
        <v>12746</v>
      </c>
      <c r="X126">
        <v>38</v>
      </c>
      <c r="Y126" t="s">
        <v>18992</v>
      </c>
      <c r="Z126" t="s">
        <v>25073</v>
      </c>
      <c r="AA126">
        <v>0.56093381533576647</v>
      </c>
      <c r="AB126" t="str">
        <f>HYPERLINK("Melting_Curves/meltCurve_B4DQJ8_PGD.pdf", "Melting_Curves/meltCurve_B4DQJ8_PGD.pdf")</f>
        <v>Melting_Curves/meltCurve_B4DQJ8_PGD.pdf</v>
      </c>
    </row>
    <row r="127" spans="1:28" x14ac:dyDescent="0.25">
      <c r="A127" t="s">
        <v>131</v>
      </c>
      <c r="B127">
        <v>0.99987803227770999</v>
      </c>
      <c r="C127">
        <v>1.0680441389142801</v>
      </c>
      <c r="D127">
        <v>1.1104372952805199</v>
      </c>
      <c r="E127">
        <v>1.0259355666016601</v>
      </c>
      <c r="F127">
        <v>0.84073076730240803</v>
      </c>
      <c r="G127">
        <v>0.43523079774982498</v>
      </c>
      <c r="H127">
        <v>0.27964312607327102</v>
      </c>
      <c r="I127">
        <v>0.21005608969744999</v>
      </c>
      <c r="J127">
        <v>0.164468553475387</v>
      </c>
      <c r="K127">
        <v>0.10809605579220399</v>
      </c>
      <c r="L127">
        <v>1570.92975383982</v>
      </c>
      <c r="M127">
        <v>28.145690981379701</v>
      </c>
      <c r="N127">
        <v>56.589298899248497</v>
      </c>
      <c r="O127">
        <v>55.534723345565098</v>
      </c>
      <c r="P127">
        <v>-0.106438947325591</v>
      </c>
      <c r="Q127">
        <v>0.15994106171567099</v>
      </c>
      <c r="R127">
        <v>0.98274180342376705</v>
      </c>
      <c r="S127" t="s">
        <v>6438</v>
      </c>
      <c r="T127" t="s">
        <v>12620</v>
      </c>
      <c r="U127" t="s">
        <v>12620</v>
      </c>
      <c r="V127" t="s">
        <v>12620</v>
      </c>
      <c r="W127" t="s">
        <v>12747</v>
      </c>
      <c r="X127">
        <v>11</v>
      </c>
      <c r="Y127" t="s">
        <v>18993</v>
      </c>
      <c r="Z127" t="s">
        <v>25074</v>
      </c>
      <c r="AA127">
        <v>0.60905849495211162</v>
      </c>
      <c r="AB127" t="str">
        <f>HYPERLINK("Melting_Curves/meltCurve_B4DRL9_CHM.pdf", "Melting_Curves/meltCurve_B4DRL9_CHM.pdf")</f>
        <v>Melting_Curves/meltCurve_B4DRL9_CHM.pdf</v>
      </c>
    </row>
    <row r="128" spans="1:28" x14ac:dyDescent="0.25">
      <c r="A128" t="s">
        <v>132</v>
      </c>
      <c r="B128">
        <v>0.99987803227770999</v>
      </c>
      <c r="C128">
        <v>0.93632449865092904</v>
      </c>
      <c r="D128">
        <v>0.87386589943989901</v>
      </c>
      <c r="E128">
        <v>0.80147034736728795</v>
      </c>
      <c r="F128">
        <v>0.85446208110427502</v>
      </c>
      <c r="G128">
        <v>0.60619380551489799</v>
      </c>
      <c r="H128">
        <v>0.54325736058392504</v>
      </c>
      <c r="I128">
        <v>0.52086537797174404</v>
      </c>
      <c r="J128">
        <v>0.37601643787838201</v>
      </c>
      <c r="K128">
        <v>0.28539927047177899</v>
      </c>
      <c r="L128">
        <v>418.03343822269198</v>
      </c>
      <c r="M128">
        <v>6.6945567809528903</v>
      </c>
      <c r="N128">
        <v>62.443781086340799</v>
      </c>
      <c r="O128">
        <v>57.579387443436403</v>
      </c>
      <c r="P128">
        <v>-2.9130051131685701E-2</v>
      </c>
      <c r="Q128">
        <v>0</v>
      </c>
      <c r="R128">
        <v>0.96384384548362101</v>
      </c>
      <c r="S128" t="s">
        <v>6439</v>
      </c>
      <c r="T128" t="s">
        <v>12620</v>
      </c>
      <c r="U128" t="s">
        <v>12620</v>
      </c>
      <c r="V128" t="s">
        <v>12620</v>
      </c>
      <c r="W128" t="s">
        <v>12748</v>
      </c>
      <c r="X128">
        <v>5</v>
      </c>
      <c r="Y128" t="s">
        <v>18994</v>
      </c>
      <c r="Z128" t="s">
        <v>25075</v>
      </c>
      <c r="AA128">
        <v>0.6905830045460587</v>
      </c>
      <c r="AB128" t="str">
        <f>HYPERLINK("Melting_Curves/meltCurve_B4DRM7_SIMC1.pdf", "Melting_Curves/meltCurve_B4DRM7_SIMC1.pdf")</f>
        <v>Melting_Curves/meltCurve_B4DRM7_SIMC1.pdf</v>
      </c>
    </row>
    <row r="129" spans="1:28" x14ac:dyDescent="0.25">
      <c r="A129" t="s">
        <v>133</v>
      </c>
      <c r="B129">
        <v>0.99987803227770999</v>
      </c>
      <c r="C129">
        <v>0.93766182851074997</v>
      </c>
      <c r="D129">
        <v>1.0722791352838801</v>
      </c>
      <c r="E129">
        <v>0.850789689889625</v>
      </c>
      <c r="F129">
        <v>0.40508785269912501</v>
      </c>
      <c r="G129">
        <v>0.15449984066483799</v>
      </c>
      <c r="H129">
        <v>9.7092347974742699E-2</v>
      </c>
      <c r="I129">
        <v>0.100571029176436</v>
      </c>
      <c r="J129">
        <v>5.5643305004186697E-2</v>
      </c>
      <c r="K129">
        <v>4.1288553244959503E-2</v>
      </c>
      <c r="L129">
        <v>1906.4793338320001</v>
      </c>
      <c r="M129">
        <v>36.518206857239598</v>
      </c>
      <c r="N129">
        <v>52.452890652008698</v>
      </c>
      <c r="O129">
        <v>52.050459103625798</v>
      </c>
      <c r="P129">
        <v>-0.16156314277675701</v>
      </c>
      <c r="Q129">
        <v>7.88802426886452E-2</v>
      </c>
      <c r="R129">
        <v>0.991958155169268</v>
      </c>
      <c r="S129" t="s">
        <v>6440</v>
      </c>
      <c r="T129" t="s">
        <v>12620</v>
      </c>
      <c r="U129" t="s">
        <v>12620</v>
      </c>
      <c r="V129" t="s">
        <v>12620</v>
      </c>
      <c r="W129" t="s">
        <v>12716</v>
      </c>
      <c r="X129">
        <v>28</v>
      </c>
      <c r="Y129" t="s">
        <v>18995</v>
      </c>
      <c r="Z129" t="s">
        <v>25076</v>
      </c>
      <c r="AA129">
        <v>0.45765018228131021</v>
      </c>
      <c r="AB129" t="str">
        <f>HYPERLINK("Melting_Curves/meltCurve_B4DT77_ANXA7.pdf", "Melting_Curves/meltCurve_B4DT77_ANXA7.pdf")</f>
        <v>Melting_Curves/meltCurve_B4DT77_ANXA7.pdf</v>
      </c>
    </row>
    <row r="130" spans="1:28" x14ac:dyDescent="0.25">
      <c r="A130" t="s">
        <v>134</v>
      </c>
      <c r="B130">
        <v>0.99987803227770999</v>
      </c>
      <c r="C130">
        <v>1.08554533262881</v>
      </c>
      <c r="D130">
        <v>0.86357941012790396</v>
      </c>
      <c r="E130">
        <v>1.1250584934412799</v>
      </c>
      <c r="F130">
        <v>0.569604912736415</v>
      </c>
      <c r="G130">
        <v>0.367219620537236</v>
      </c>
      <c r="H130">
        <v>0.17871055928093199</v>
      </c>
      <c r="I130">
        <v>0.15728146908746801</v>
      </c>
      <c r="J130">
        <v>0.102400204746982</v>
      </c>
      <c r="K130">
        <v>6.00724928199192E-2</v>
      </c>
      <c r="L130">
        <v>1458.2119896151601</v>
      </c>
      <c r="M130">
        <v>26.875226542948202</v>
      </c>
      <c r="N130">
        <v>54.786139321843798</v>
      </c>
      <c r="O130">
        <v>53.96085182473</v>
      </c>
      <c r="P130">
        <v>-0.110318520958363</v>
      </c>
      <c r="Q130">
        <v>0.11400615946390499</v>
      </c>
      <c r="R130">
        <v>0.94605226607480597</v>
      </c>
      <c r="S130" t="s">
        <v>6441</v>
      </c>
      <c r="T130" t="s">
        <v>12620</v>
      </c>
      <c r="U130" t="s">
        <v>12620</v>
      </c>
      <c r="V130" t="s">
        <v>12620</v>
      </c>
      <c r="W130" t="s">
        <v>12749</v>
      </c>
      <c r="X130">
        <v>35</v>
      </c>
      <c r="Y130" t="s">
        <v>18996</v>
      </c>
      <c r="Z130" t="s">
        <v>25077</v>
      </c>
      <c r="AA130">
        <v>0.54229226868896396</v>
      </c>
      <c r="AB130" t="str">
        <f>HYPERLINK("Melting_Curves/meltCurve_B4DTU4_LIG1.pdf", "Melting_Curves/meltCurve_B4DTU4_LIG1.pdf")</f>
        <v>Melting_Curves/meltCurve_B4DTU4_LIG1.pdf</v>
      </c>
    </row>
    <row r="131" spans="1:28" x14ac:dyDescent="0.25">
      <c r="A131" t="s">
        <v>135</v>
      </c>
      <c r="B131">
        <v>0.99987803227770999</v>
      </c>
      <c r="C131">
        <v>0.87458426882362295</v>
      </c>
      <c r="D131">
        <v>0.90997247038787699</v>
      </c>
      <c r="E131">
        <v>0.99210343959755098</v>
      </c>
      <c r="F131">
        <v>1.0154428875091299</v>
      </c>
      <c r="G131">
        <v>1.2679409974381</v>
      </c>
      <c r="H131">
        <v>1.0787315506511199</v>
      </c>
      <c r="I131">
        <v>0.98537460971909796</v>
      </c>
      <c r="J131">
        <v>0.79516733151080399</v>
      </c>
      <c r="K131">
        <v>0.57734645889009195</v>
      </c>
      <c r="L131">
        <v>5050.0320492237197</v>
      </c>
      <c r="M131">
        <v>75.229215880475493</v>
      </c>
      <c r="O131">
        <v>67.0812118377671</v>
      </c>
      <c r="P131">
        <v>-0.12389869634973701</v>
      </c>
      <c r="Q131">
        <v>0.55808268298883701</v>
      </c>
      <c r="R131">
        <v>0.65664769428303904</v>
      </c>
      <c r="S131" t="s">
        <v>6442</v>
      </c>
      <c r="T131" t="s">
        <v>12620</v>
      </c>
      <c r="U131" t="s">
        <v>12620</v>
      </c>
      <c r="V131" t="s">
        <v>12620</v>
      </c>
      <c r="W131" t="s">
        <v>12750</v>
      </c>
      <c r="X131">
        <v>7</v>
      </c>
      <c r="Y131" t="s">
        <v>18997</v>
      </c>
      <c r="Z131" t="s">
        <v>25078</v>
      </c>
      <c r="AA131">
        <v>0.957621630255028</v>
      </c>
      <c r="AB131" t="str">
        <f>HYPERLINK("Melting_Curves/meltCurve_B4DV96_RBKS.pdf", "Melting_Curves/meltCurve_B4DV96_RBKS.pdf")</f>
        <v>Melting_Curves/meltCurve_B4DV96_RBKS.pdf</v>
      </c>
    </row>
    <row r="132" spans="1:28" x14ac:dyDescent="0.25">
      <c r="A132" t="s">
        <v>136</v>
      </c>
      <c r="B132">
        <v>0.99987803227770999</v>
      </c>
      <c r="C132">
        <v>0.83957690508809402</v>
      </c>
      <c r="D132">
        <v>0.946588703420156</v>
      </c>
      <c r="E132">
        <v>0.42974527597415302</v>
      </c>
      <c r="F132">
        <v>0.15333873508187701</v>
      </c>
      <c r="G132">
        <v>9.2177553787199606E-2</v>
      </c>
      <c r="H132">
        <v>6.8466614074233295E-2</v>
      </c>
      <c r="I132">
        <v>6.0982657989185701E-2</v>
      </c>
      <c r="J132">
        <v>4.7671774839732103E-2</v>
      </c>
      <c r="K132">
        <v>3.4978440028597499E-2</v>
      </c>
      <c r="L132">
        <v>1533.2499112477799</v>
      </c>
      <c r="M132">
        <v>31.058358333323401</v>
      </c>
      <c r="N132">
        <v>49.556839606725099</v>
      </c>
      <c r="O132">
        <v>49.163434692926998</v>
      </c>
      <c r="P132">
        <v>-0.14906605045267499</v>
      </c>
      <c r="Q132">
        <v>5.61564949124784E-2</v>
      </c>
      <c r="R132">
        <v>0.98283947661285798</v>
      </c>
      <c r="S132" t="s">
        <v>6443</v>
      </c>
      <c r="T132" t="s">
        <v>12620</v>
      </c>
      <c r="U132" t="s">
        <v>12620</v>
      </c>
      <c r="V132" t="s">
        <v>12620</v>
      </c>
      <c r="W132" t="s">
        <v>12716</v>
      </c>
      <c r="X132">
        <v>24</v>
      </c>
      <c r="Y132" t="s">
        <v>18998</v>
      </c>
      <c r="Z132" t="s">
        <v>25079</v>
      </c>
      <c r="AA132">
        <v>0.35623319078210552</v>
      </c>
      <c r="AB132" t="str">
        <f>HYPERLINK("Melting_Curves/meltCurve_B4DVE7_ANXA11.pdf", "Melting_Curves/meltCurve_B4DVE7_ANXA11.pdf")</f>
        <v>Melting_Curves/meltCurve_B4DVE7_ANXA11.pdf</v>
      </c>
    </row>
    <row r="133" spans="1:28" x14ac:dyDescent="0.25">
      <c r="A133" t="s">
        <v>137</v>
      </c>
      <c r="B133">
        <v>0.99987803227770999</v>
      </c>
      <c r="C133">
        <v>0.84959731721286502</v>
      </c>
      <c r="D133">
        <v>0.85188180419185799</v>
      </c>
      <c r="E133">
        <v>0.45331845734691301</v>
      </c>
      <c r="F133">
        <v>0.27684252724368602</v>
      </c>
      <c r="G133">
        <v>0.174231374129345</v>
      </c>
      <c r="H133">
        <v>0.137128044849926</v>
      </c>
      <c r="I133">
        <v>0.13903688613550499</v>
      </c>
      <c r="J133">
        <v>8.8997194943822105E-2</v>
      </c>
      <c r="K133">
        <v>6.1721024152277898E-2</v>
      </c>
      <c r="L133">
        <v>863.52890253957003</v>
      </c>
      <c r="M133">
        <v>17.5797884055455</v>
      </c>
      <c r="N133">
        <v>49.690441985996301</v>
      </c>
      <c r="O133">
        <v>48.498174391557797</v>
      </c>
      <c r="P133">
        <v>-8.2351938276314596E-2</v>
      </c>
      <c r="Q133">
        <v>9.1296907741053202E-2</v>
      </c>
      <c r="R133">
        <v>0.98748631013809596</v>
      </c>
      <c r="S133" t="s">
        <v>6444</v>
      </c>
      <c r="T133" t="s">
        <v>12620</v>
      </c>
      <c r="U133" t="s">
        <v>12620</v>
      </c>
      <c r="V133" t="s">
        <v>12620</v>
      </c>
      <c r="W133" t="s">
        <v>12751</v>
      </c>
      <c r="X133">
        <v>18</v>
      </c>
      <c r="Y133" t="s">
        <v>18999</v>
      </c>
      <c r="Z133" t="s">
        <v>25080</v>
      </c>
      <c r="AA133">
        <v>0.38401471857227421</v>
      </c>
      <c r="AB133" t="str">
        <f>HYPERLINK("Melting_Curves/meltCurve_B4DVY1_EIF3D.pdf", "Melting_Curves/meltCurve_B4DVY1_EIF3D.pdf")</f>
        <v>Melting_Curves/meltCurve_B4DVY1_EIF3D.pdf</v>
      </c>
    </row>
    <row r="134" spans="1:28" x14ac:dyDescent="0.25">
      <c r="A134" t="s">
        <v>138</v>
      </c>
      <c r="B134">
        <v>0.99987803227770999</v>
      </c>
      <c r="C134">
        <v>0.76924380222635702</v>
      </c>
      <c r="D134">
        <v>0.99239865859929299</v>
      </c>
      <c r="E134">
        <v>0.66857891984736295</v>
      </c>
      <c r="F134">
        <v>0.48382229352350398</v>
      </c>
      <c r="G134">
        <v>0.25245870722489</v>
      </c>
      <c r="H134">
        <v>0.165286599140995</v>
      </c>
      <c r="I134">
        <v>0.11612281730947099</v>
      </c>
      <c r="J134">
        <v>6.3940488177872595E-2</v>
      </c>
      <c r="K134">
        <v>4.4306791429777601E-2</v>
      </c>
      <c r="L134">
        <v>707.17209182761906</v>
      </c>
      <c r="M134">
        <v>13.4297387898028</v>
      </c>
      <c r="N134">
        <v>52.789286871979598</v>
      </c>
      <c r="O134">
        <v>51.530743748478102</v>
      </c>
      <c r="P134">
        <v>-6.4087078670902797E-2</v>
      </c>
      <c r="Q134">
        <v>1.6528596055219801E-2</v>
      </c>
      <c r="R134">
        <v>0.961700989969965</v>
      </c>
      <c r="S134" t="s">
        <v>6445</v>
      </c>
      <c r="T134" t="s">
        <v>12620</v>
      </c>
      <c r="U134" t="s">
        <v>12620</v>
      </c>
      <c r="V134" t="s">
        <v>12620</v>
      </c>
      <c r="W134" t="s">
        <v>12752</v>
      </c>
      <c r="X134">
        <v>4</v>
      </c>
      <c r="Y134" t="s">
        <v>19000</v>
      </c>
      <c r="Z134" t="s">
        <v>25081</v>
      </c>
      <c r="AA134">
        <v>0.45644643993755291</v>
      </c>
      <c r="AB134" t="str">
        <f>HYPERLINK("Melting_Curves/meltCurve_B4DWW1_ARL1.pdf", "Melting_Curves/meltCurve_B4DWW1_ARL1.pdf")</f>
        <v>Melting_Curves/meltCurve_B4DWW1_ARL1.pdf</v>
      </c>
    </row>
    <row r="135" spans="1:28" x14ac:dyDescent="0.25">
      <c r="A135" t="s">
        <v>139</v>
      </c>
      <c r="B135">
        <v>0.99987803227770999</v>
      </c>
      <c r="C135">
        <v>0.86577289553425696</v>
      </c>
      <c r="D135">
        <v>0.8209027736865</v>
      </c>
      <c r="E135">
        <v>0.41262916047150799</v>
      </c>
      <c r="F135">
        <v>0.30977416234875099</v>
      </c>
      <c r="G135">
        <v>0.172114616627386</v>
      </c>
      <c r="H135">
        <v>0.164567460946938</v>
      </c>
      <c r="I135">
        <v>0.14002146430016599</v>
      </c>
      <c r="J135">
        <v>0.11690975381308701</v>
      </c>
      <c r="K135">
        <v>9.8106325640189507E-2</v>
      </c>
      <c r="L135">
        <v>858.99103451563406</v>
      </c>
      <c r="M135">
        <v>17.650985190838899</v>
      </c>
      <c r="N135">
        <v>49.410171674325497</v>
      </c>
      <c r="O135">
        <v>48.053578005914702</v>
      </c>
      <c r="P135">
        <v>-8.11072279177531E-2</v>
      </c>
      <c r="Q135">
        <v>0.116811951798325</v>
      </c>
      <c r="R135">
        <v>0.990465574730517</v>
      </c>
      <c r="S135" t="s">
        <v>6446</v>
      </c>
      <c r="T135" t="s">
        <v>12620</v>
      </c>
      <c r="U135" t="s">
        <v>12620</v>
      </c>
      <c r="V135" t="s">
        <v>12620</v>
      </c>
      <c r="W135" t="s">
        <v>12753</v>
      </c>
      <c r="X135">
        <v>4</v>
      </c>
      <c r="Y135" t="s">
        <v>19001</v>
      </c>
      <c r="Z135" t="s">
        <v>25082</v>
      </c>
      <c r="AA135">
        <v>0.3879398123224343</v>
      </c>
      <c r="AB135" t="str">
        <f>HYPERLINK("Melting_Curves/meltCurve_B4DX32_KIN.pdf", "Melting_Curves/meltCurve_B4DX32_KIN.pdf")</f>
        <v>Melting_Curves/meltCurve_B4DX32_KIN.pdf</v>
      </c>
    </row>
    <row r="136" spans="1:28" x14ac:dyDescent="0.25">
      <c r="A136" t="s">
        <v>140</v>
      </c>
      <c r="B136">
        <v>0.99987803227770999</v>
      </c>
      <c r="C136">
        <v>0.76386238883678403</v>
      </c>
      <c r="D136">
        <v>0.86535823927257804</v>
      </c>
      <c r="E136">
        <v>0.60236802856511595</v>
      </c>
      <c r="F136">
        <v>0.77129712992842203</v>
      </c>
      <c r="G136">
        <v>0.58778020551420396</v>
      </c>
      <c r="H136">
        <v>0.64015654755926499</v>
      </c>
      <c r="I136">
        <v>0.60873616230386196</v>
      </c>
      <c r="J136">
        <v>0.66347674843322901</v>
      </c>
      <c r="K136">
        <v>0.55641419133213699</v>
      </c>
      <c r="L136">
        <v>537.35191497100698</v>
      </c>
      <c r="M136">
        <v>11.8727069293911</v>
      </c>
      <c r="O136">
        <v>44.032727195065497</v>
      </c>
      <c r="P136">
        <v>-2.6658578183115299E-2</v>
      </c>
      <c r="Q136">
        <v>0.60462085826582901</v>
      </c>
      <c r="R136">
        <v>0.71930966058759205</v>
      </c>
      <c r="S136" t="s">
        <v>6447</v>
      </c>
      <c r="T136" t="s">
        <v>12620</v>
      </c>
      <c r="U136" t="s">
        <v>12620</v>
      </c>
      <c r="V136" t="s">
        <v>12620</v>
      </c>
      <c r="W136" t="s">
        <v>12754</v>
      </c>
      <c r="X136">
        <v>12</v>
      </c>
      <c r="Y136" t="s">
        <v>19002</v>
      </c>
      <c r="Z136" t="s">
        <v>25083</v>
      </c>
      <c r="AA136">
        <v>0.69357125240673212</v>
      </c>
      <c r="AB136" t="str">
        <f>HYPERLINK("Melting_Curves/meltCurve_B4DXZ6_FXR1.pdf", "Melting_Curves/meltCurve_B4DXZ6_FXR1.pdf")</f>
        <v>Melting_Curves/meltCurve_B4DXZ6_FXR1.pdf</v>
      </c>
    </row>
    <row r="137" spans="1:28" x14ac:dyDescent="0.25">
      <c r="A137" t="s">
        <v>141</v>
      </c>
      <c r="B137">
        <v>0.99987803227770999</v>
      </c>
      <c r="C137">
        <v>0.91546405125626096</v>
      </c>
      <c r="D137">
        <v>0.906716450546599</v>
      </c>
      <c r="E137">
        <v>0.59151754507917698</v>
      </c>
      <c r="F137">
        <v>0.49270719102070398</v>
      </c>
      <c r="G137">
        <v>0.30773481756131199</v>
      </c>
      <c r="H137">
        <v>0.28468251907811698</v>
      </c>
      <c r="I137">
        <v>0.31089166626744702</v>
      </c>
      <c r="J137">
        <v>0.25795594198813698</v>
      </c>
      <c r="K137">
        <v>0.224571536008597</v>
      </c>
      <c r="L137">
        <v>851.96955994092696</v>
      </c>
      <c r="M137">
        <v>17.0187125476983</v>
      </c>
      <c r="N137">
        <v>52.179181865980397</v>
      </c>
      <c r="O137">
        <v>49.384893776875103</v>
      </c>
      <c r="P137">
        <v>-6.4666538206179902E-2</v>
      </c>
      <c r="Q137">
        <v>0.24944880168016501</v>
      </c>
      <c r="R137">
        <v>0.98834736042641202</v>
      </c>
      <c r="S137" t="s">
        <v>6448</v>
      </c>
      <c r="T137" t="s">
        <v>12620</v>
      </c>
      <c r="U137" t="s">
        <v>12620</v>
      </c>
      <c r="V137" t="s">
        <v>12620</v>
      </c>
      <c r="W137" t="s">
        <v>12755</v>
      </c>
      <c r="X137">
        <v>4</v>
      </c>
      <c r="Y137" t="s">
        <v>19003</v>
      </c>
      <c r="Z137" t="s">
        <v>25084</v>
      </c>
      <c r="AA137">
        <v>0.51536031390105963</v>
      </c>
      <c r="AB137" t="str">
        <f>HYPERLINK("Melting_Curves/meltCurve_B4DYB4_NUP35.pdf", "Melting_Curves/meltCurve_B4DYB4_NUP35.pdf")</f>
        <v>Melting_Curves/meltCurve_B4DYB4_NUP35.pdf</v>
      </c>
    </row>
    <row r="138" spans="1:28" x14ac:dyDescent="0.25">
      <c r="A138" t="s">
        <v>142</v>
      </c>
      <c r="B138">
        <v>0.99987803227770999</v>
      </c>
      <c r="C138">
        <v>0.98349651732177201</v>
      </c>
      <c r="D138">
        <v>0.78125637552184202</v>
      </c>
      <c r="E138">
        <v>0.52965694828059795</v>
      </c>
      <c r="F138">
        <v>0.368693639271231</v>
      </c>
      <c r="G138">
        <v>0.22633854677500601</v>
      </c>
      <c r="H138">
        <v>0.20754109853104899</v>
      </c>
      <c r="I138">
        <v>0.18000638355705301</v>
      </c>
      <c r="J138">
        <v>0.15995338817456101</v>
      </c>
      <c r="K138">
        <v>0.12781207821569901</v>
      </c>
      <c r="L138">
        <v>824.31790567732401</v>
      </c>
      <c r="M138">
        <v>16.6840593265532</v>
      </c>
      <c r="N138">
        <v>50.491475036092801</v>
      </c>
      <c r="O138">
        <v>48.7140776147926</v>
      </c>
      <c r="P138">
        <v>-7.27389278008055E-2</v>
      </c>
      <c r="Q138">
        <v>0.150524712029834</v>
      </c>
      <c r="R138">
        <v>0.99553820128790205</v>
      </c>
      <c r="S138" t="s">
        <v>6449</v>
      </c>
      <c r="T138" t="s">
        <v>12620</v>
      </c>
      <c r="U138" t="s">
        <v>12620</v>
      </c>
      <c r="V138" t="s">
        <v>12620</v>
      </c>
      <c r="W138" t="s">
        <v>12756</v>
      </c>
      <c r="X138">
        <v>10</v>
      </c>
      <c r="Y138" t="s">
        <v>19004</v>
      </c>
      <c r="Z138" t="s">
        <v>25085</v>
      </c>
      <c r="AA138">
        <v>0.43382804803503711</v>
      </c>
      <c r="AB138" t="str">
        <f>HYPERLINK("Melting_Curves/meltCurve_B4DZH6_HDAC6.pdf", "Melting_Curves/meltCurve_B4DZH6_HDAC6.pdf")</f>
        <v>Melting_Curves/meltCurve_B4DZH6_HDAC6.pdf</v>
      </c>
    </row>
    <row r="139" spans="1:28" x14ac:dyDescent="0.25">
      <c r="A139" t="s">
        <v>143</v>
      </c>
      <c r="B139">
        <v>0.99987803227770999</v>
      </c>
      <c r="C139">
        <v>0.89039609513148499</v>
      </c>
      <c r="D139">
        <v>0.81526582238882395</v>
      </c>
      <c r="E139">
        <v>0.59496445136779297</v>
      </c>
      <c r="F139">
        <v>0.36059230497924299</v>
      </c>
      <c r="G139">
        <v>0.25228238617786902</v>
      </c>
      <c r="H139">
        <v>0.24740810387607301</v>
      </c>
      <c r="I139">
        <v>0.19522766966930899</v>
      </c>
      <c r="J139">
        <v>0.19265803260668299</v>
      </c>
      <c r="K139">
        <v>0.100886797576814</v>
      </c>
      <c r="L139">
        <v>720.745338839944</v>
      </c>
      <c r="M139">
        <v>14.450458102996301</v>
      </c>
      <c r="N139">
        <v>51.0942362921244</v>
      </c>
      <c r="O139">
        <v>48.950986558813803</v>
      </c>
      <c r="P139">
        <v>-6.3060585468755398E-2</v>
      </c>
      <c r="Q139">
        <v>0.145627919643256</v>
      </c>
      <c r="R139">
        <v>0.98898125547736904</v>
      </c>
      <c r="S139" t="s">
        <v>6450</v>
      </c>
      <c r="T139" t="s">
        <v>12620</v>
      </c>
      <c r="U139" t="s">
        <v>12620</v>
      </c>
      <c r="V139" t="s">
        <v>12620</v>
      </c>
      <c r="W139" t="s">
        <v>12757</v>
      </c>
      <c r="X139">
        <v>9</v>
      </c>
      <c r="Y139" t="s">
        <v>19005</v>
      </c>
      <c r="Z139" t="s">
        <v>25086</v>
      </c>
      <c r="AA139">
        <v>0.44876717094520369</v>
      </c>
      <c r="AB139" t="str">
        <f>HYPERLINK("Melting_Curves/meltCurve_B4E0G4_PHF6.pdf", "Melting_Curves/meltCurve_B4E0G4_PHF6.pdf")</f>
        <v>Melting_Curves/meltCurve_B4E0G4_PHF6.pdf</v>
      </c>
    </row>
    <row r="140" spans="1:28" x14ac:dyDescent="0.25">
      <c r="A140" t="s">
        <v>144</v>
      </c>
      <c r="B140">
        <v>0.99987803227770999</v>
      </c>
      <c r="C140">
        <v>0.942386341794197</v>
      </c>
      <c r="D140">
        <v>1.0168516174791999</v>
      </c>
      <c r="E140">
        <v>0.72480677395460602</v>
      </c>
      <c r="F140">
        <v>0.56880617469802597</v>
      </c>
      <c r="G140">
        <v>0.366815994813038</v>
      </c>
      <c r="H140">
        <v>0.33360630404650898</v>
      </c>
      <c r="I140">
        <v>0.300070218703333</v>
      </c>
      <c r="J140">
        <v>0.26633605208446898</v>
      </c>
      <c r="K140">
        <v>0.225526902315175</v>
      </c>
      <c r="L140">
        <v>995.79298756768799</v>
      </c>
      <c r="M140">
        <v>19.1781183804144</v>
      </c>
      <c r="N140">
        <v>53.996096818078499</v>
      </c>
      <c r="O140">
        <v>51.368728784758801</v>
      </c>
      <c r="P140">
        <v>-6.9021459240084307E-2</v>
      </c>
      <c r="Q140">
        <v>0.260530501875188</v>
      </c>
      <c r="R140">
        <v>0.98693878739267304</v>
      </c>
      <c r="S140" t="s">
        <v>6451</v>
      </c>
      <c r="T140" t="s">
        <v>12620</v>
      </c>
      <c r="U140" t="s">
        <v>12620</v>
      </c>
      <c r="V140" t="s">
        <v>12620</v>
      </c>
      <c r="W140" t="s">
        <v>12758</v>
      </c>
      <c r="X140">
        <v>5</v>
      </c>
      <c r="Y140" t="s">
        <v>19006</v>
      </c>
      <c r="Z140" t="s">
        <v>25087</v>
      </c>
      <c r="AA140">
        <v>0.56546156442123907</v>
      </c>
      <c r="AB140" t="str">
        <f>HYPERLINK("Melting_Curves/meltCurve_B4E0T7_LRCH3.pdf", "Melting_Curves/meltCurve_B4E0T7_LRCH3.pdf")</f>
        <v>Melting_Curves/meltCurve_B4E0T7_LRCH3.pdf</v>
      </c>
    </row>
    <row r="141" spans="1:28" x14ac:dyDescent="0.25">
      <c r="A141" t="s">
        <v>145</v>
      </c>
      <c r="B141">
        <v>0.99987803227770999</v>
      </c>
      <c r="C141">
        <v>0.92694824773996498</v>
      </c>
      <c r="D141">
        <v>0.81199428180641697</v>
      </c>
      <c r="E141">
        <v>0.66630682538146102</v>
      </c>
      <c r="F141">
        <v>0.74196071357100501</v>
      </c>
      <c r="G141">
        <v>0.54049462666565895</v>
      </c>
      <c r="H141">
        <v>0.65432915982490003</v>
      </c>
      <c r="I141">
        <v>0.64386557082959806</v>
      </c>
      <c r="J141">
        <v>0.32594352641665802</v>
      </c>
      <c r="K141">
        <v>0.28907475769156599</v>
      </c>
      <c r="L141">
        <v>299.57892305390197</v>
      </c>
      <c r="M141">
        <v>4.77972498384967</v>
      </c>
      <c r="N141">
        <v>62.6770222757808</v>
      </c>
      <c r="O141">
        <v>54.111099751397802</v>
      </c>
      <c r="P141">
        <v>-2.2240669360729999E-2</v>
      </c>
      <c r="Q141">
        <v>0</v>
      </c>
      <c r="R141">
        <v>0.82394974812116595</v>
      </c>
      <c r="S141" t="s">
        <v>6452</v>
      </c>
      <c r="T141" t="s">
        <v>12620</v>
      </c>
      <c r="U141" t="s">
        <v>12620</v>
      </c>
      <c r="V141" t="s">
        <v>12620</v>
      </c>
      <c r="W141" t="s">
        <v>12759</v>
      </c>
      <c r="X141">
        <v>3</v>
      </c>
      <c r="Y141" t="s">
        <v>19007</v>
      </c>
      <c r="Z141" t="s">
        <v>25088</v>
      </c>
      <c r="AA141">
        <v>0.66138842909256179</v>
      </c>
      <c r="AB141" t="str">
        <f>HYPERLINK("Melting_Curves/meltCurve_B4E1K7_STOML2.pdf", "Melting_Curves/meltCurve_B4E1K7_STOML2.pdf")</f>
        <v>Melting_Curves/meltCurve_B4E1K7_STOML2.pdf</v>
      </c>
    </row>
    <row r="142" spans="1:28" x14ac:dyDescent="0.25">
      <c r="A142" t="s">
        <v>146</v>
      </c>
      <c r="B142">
        <v>0.99987803227770999</v>
      </c>
      <c r="C142">
        <v>1.08028276363764</v>
      </c>
      <c r="D142">
        <v>0.88911242068929697</v>
      </c>
      <c r="E142">
        <v>1.0639543886673499</v>
      </c>
      <c r="F142">
        <v>0.72767078532722795</v>
      </c>
      <c r="G142">
        <v>0.84844796906825903</v>
      </c>
      <c r="H142">
        <v>0.78189255861501405</v>
      </c>
      <c r="I142">
        <v>0.78984988570681303</v>
      </c>
      <c r="J142">
        <v>0.683666611862769</v>
      </c>
      <c r="K142">
        <v>0.53175183215877897</v>
      </c>
      <c r="L142">
        <v>402.65810325461803</v>
      </c>
      <c r="M142">
        <v>5.3696976897516198</v>
      </c>
      <c r="O142">
        <v>66.4899256944678</v>
      </c>
      <c r="P142">
        <v>-2.0286594468496899E-2</v>
      </c>
      <c r="Q142">
        <v>0</v>
      </c>
      <c r="R142">
        <v>0.73289581928030201</v>
      </c>
      <c r="S142" t="s">
        <v>6453</v>
      </c>
      <c r="T142" t="s">
        <v>12620</v>
      </c>
      <c r="U142" t="s">
        <v>12620</v>
      </c>
      <c r="V142" t="s">
        <v>12620</v>
      </c>
      <c r="W142" t="s">
        <v>12760</v>
      </c>
      <c r="X142">
        <v>2</v>
      </c>
      <c r="Y142" t="s">
        <v>19008</v>
      </c>
      <c r="Z142" t="s">
        <v>25089</v>
      </c>
      <c r="AA142">
        <v>0.84542289794251013</v>
      </c>
      <c r="AB142" t="str">
        <f>HYPERLINK("Melting_Curves/meltCurve_B4E1M0_MSANTD2.pdf", "Melting_Curves/meltCurve_B4E1M0_MSANTD2.pdf")</f>
        <v>Melting_Curves/meltCurve_B4E1M0_MSANTD2.pdf</v>
      </c>
    </row>
    <row r="143" spans="1:28" x14ac:dyDescent="0.25">
      <c r="A143" t="s">
        <v>147</v>
      </c>
      <c r="B143">
        <v>0.99987803227770999</v>
      </c>
      <c r="C143">
        <v>0.89365467422654798</v>
      </c>
      <c r="D143">
        <v>0.78265018095224503</v>
      </c>
      <c r="E143">
        <v>0.79650323985464999</v>
      </c>
      <c r="F143">
        <v>0.63113449275193201</v>
      </c>
      <c r="G143">
        <v>0.47921602107584799</v>
      </c>
      <c r="H143">
        <v>0.39641211943704302</v>
      </c>
      <c r="I143">
        <v>0.35174185608187802</v>
      </c>
      <c r="J143">
        <v>0.28517679620181902</v>
      </c>
      <c r="K143">
        <v>0.259008474913201</v>
      </c>
      <c r="L143">
        <v>423.815729178494</v>
      </c>
      <c r="M143">
        <v>7.6347825682949999</v>
      </c>
      <c r="N143">
        <v>57.1876424783812</v>
      </c>
      <c r="O143">
        <v>52.087192133919899</v>
      </c>
      <c r="P143">
        <v>-3.3014349581088599E-2</v>
      </c>
      <c r="Q143">
        <v>0.10026873495705201</v>
      </c>
      <c r="R143">
        <v>0.98176428291505502</v>
      </c>
      <c r="S143" t="s">
        <v>6454</v>
      </c>
      <c r="T143" t="s">
        <v>12620</v>
      </c>
      <c r="U143" t="s">
        <v>12620</v>
      </c>
      <c r="V143" t="s">
        <v>12620</v>
      </c>
      <c r="W143" t="s">
        <v>12761</v>
      </c>
      <c r="X143">
        <v>3</v>
      </c>
      <c r="Y143" t="s">
        <v>19009</v>
      </c>
      <c r="Z143" t="s">
        <v>25090</v>
      </c>
      <c r="AA143">
        <v>0.58632451447849721</v>
      </c>
      <c r="AB143" t="str">
        <f>HYPERLINK("Melting_Curves/meltCurve_B4E1N6_RAF1.pdf", "Melting_Curves/meltCurve_B4E1N6_RAF1.pdf")</f>
        <v>Melting_Curves/meltCurve_B4E1N6_RAF1.pdf</v>
      </c>
    </row>
    <row r="144" spans="1:28" x14ac:dyDescent="0.25">
      <c r="A144" t="s">
        <v>148</v>
      </c>
      <c r="B144">
        <v>0.99987803227770999</v>
      </c>
      <c r="C144">
        <v>0.76462372621456198</v>
      </c>
      <c r="D144">
        <v>0.67672733139354202</v>
      </c>
      <c r="E144">
        <v>0.51988876615263102</v>
      </c>
      <c r="F144">
        <v>0.52333316636375904</v>
      </c>
      <c r="G144">
        <v>0.38820939570276503</v>
      </c>
      <c r="H144">
        <v>0.40267676091750398</v>
      </c>
      <c r="I144">
        <v>0.34187446860222798</v>
      </c>
      <c r="J144">
        <v>0.41268891621131998</v>
      </c>
      <c r="K144">
        <v>0.326279951232605</v>
      </c>
      <c r="L144">
        <v>578.42673052631403</v>
      </c>
      <c r="M144">
        <v>12.535554688752001</v>
      </c>
      <c r="N144">
        <v>51.241037535385701</v>
      </c>
      <c r="O144">
        <v>45.015861204206701</v>
      </c>
      <c r="P144">
        <v>-4.4818643318511597E-2</v>
      </c>
      <c r="Q144">
        <v>0.35634650868558199</v>
      </c>
      <c r="R144">
        <v>0.95507978020432804</v>
      </c>
      <c r="S144" t="s">
        <v>6455</v>
      </c>
      <c r="T144" t="s">
        <v>12620</v>
      </c>
      <c r="U144" t="s">
        <v>12620</v>
      </c>
      <c r="V144" t="s">
        <v>12620</v>
      </c>
      <c r="W144" t="s">
        <v>12762</v>
      </c>
      <c r="X144">
        <v>1</v>
      </c>
      <c r="Y144" t="s">
        <v>19010</v>
      </c>
      <c r="Z144" t="s">
        <v>25091</v>
      </c>
      <c r="AA144">
        <v>0.51478924558921269</v>
      </c>
      <c r="AB144" t="str">
        <f>HYPERLINK("Melting_Curves/meltCurve_B4E1Q4_RIOK3.pdf", "Melting_Curves/meltCurve_B4E1Q4_RIOK3.pdf")</f>
        <v>Melting_Curves/meltCurve_B4E1Q4_RIOK3.pdf</v>
      </c>
    </row>
    <row r="145" spans="1:28" x14ac:dyDescent="0.25">
      <c r="A145" t="s">
        <v>149</v>
      </c>
      <c r="B145">
        <v>0.99987803227770999</v>
      </c>
      <c r="C145">
        <v>0.89292295135855904</v>
      </c>
      <c r="D145">
        <v>0.98178097570593503</v>
      </c>
      <c r="E145">
        <v>0.93296039584469403</v>
      </c>
      <c r="F145">
        <v>0.89369799885168499</v>
      </c>
      <c r="G145">
        <v>0.73744756734821904</v>
      </c>
      <c r="H145">
        <v>1.0293160298950099</v>
      </c>
      <c r="I145">
        <v>0.90211232882151404</v>
      </c>
      <c r="J145">
        <v>1.27162058242187</v>
      </c>
      <c r="K145">
        <v>1.02523117461666</v>
      </c>
      <c r="L145">
        <v>10209.628318864899</v>
      </c>
      <c r="M145">
        <v>250</v>
      </c>
      <c r="O145">
        <v>40.835899893780301</v>
      </c>
      <c r="P145">
        <v>-5.66136883384116E-2</v>
      </c>
      <c r="Q145">
        <v>0.96301006550081303</v>
      </c>
      <c r="R145">
        <v>7.1835515359740497E-3</v>
      </c>
      <c r="S145" t="s">
        <v>6456</v>
      </c>
      <c r="T145" t="s">
        <v>12620</v>
      </c>
      <c r="U145" t="s">
        <v>12620</v>
      </c>
      <c r="V145" t="s">
        <v>12620</v>
      </c>
      <c r="W145" t="s">
        <v>12763</v>
      </c>
      <c r="X145">
        <v>6</v>
      </c>
      <c r="Y145" t="s">
        <v>19011</v>
      </c>
      <c r="Z145" t="s">
        <v>25092</v>
      </c>
      <c r="AA145">
        <v>0.96404761446439347</v>
      </c>
      <c r="AB145" t="str">
        <f>HYPERLINK("Melting_Curves/meltCurve_B4E241_SFRS3.pdf", "Melting_Curves/meltCurve_B4E241_SFRS3.pdf")</f>
        <v>Melting_Curves/meltCurve_B4E241_SFRS3.pdf</v>
      </c>
    </row>
    <row r="146" spans="1:28" x14ac:dyDescent="0.25">
      <c r="A146" t="s">
        <v>150</v>
      </c>
      <c r="B146">
        <v>0.99987803227770999</v>
      </c>
      <c r="C146">
        <v>1.0178559523317301</v>
      </c>
      <c r="D146">
        <v>1.0795607927937301</v>
      </c>
      <c r="E146">
        <v>1.03763491000441</v>
      </c>
      <c r="F146">
        <v>1.1511780304964101</v>
      </c>
      <c r="G146">
        <v>0.85039052312483099</v>
      </c>
      <c r="H146">
        <v>0.926735661244806</v>
      </c>
      <c r="I146">
        <v>1.2419571574853401</v>
      </c>
      <c r="J146">
        <v>1.4899579993682599</v>
      </c>
      <c r="K146">
        <v>1.56571247786618</v>
      </c>
      <c r="L146">
        <v>15000</v>
      </c>
      <c r="M146">
        <v>234.310603827824</v>
      </c>
      <c r="O146">
        <v>64.012925677650998</v>
      </c>
      <c r="P146">
        <v>0.45754549140853601</v>
      </c>
      <c r="Q146">
        <v>1.5</v>
      </c>
      <c r="R146">
        <v>0.87179674457039202</v>
      </c>
      <c r="S146" t="s">
        <v>6457</v>
      </c>
      <c r="T146" t="s">
        <v>12620</v>
      </c>
      <c r="U146" t="s">
        <v>12620</v>
      </c>
      <c r="V146" t="s">
        <v>12620</v>
      </c>
      <c r="W146" t="s">
        <v>12764</v>
      </c>
      <c r="X146">
        <v>2</v>
      </c>
      <c r="Y146" t="s">
        <v>19012</v>
      </c>
      <c r="Z146" t="s">
        <v>25093</v>
      </c>
      <c r="AA146">
        <v>1.0996428936408671</v>
      </c>
      <c r="AB146" t="str">
        <f>HYPERLINK("Melting_Curves/meltCurve_B4E2S7_LAMP2.pdf", "Melting_Curves/meltCurve_B4E2S7_LAMP2.pdf")</f>
        <v>Melting_Curves/meltCurve_B4E2S7_LAMP2.pdf</v>
      </c>
    </row>
    <row r="147" spans="1:28" x14ac:dyDescent="0.25">
      <c r="A147" t="s">
        <v>151</v>
      </c>
      <c r="B147">
        <v>0.99987803227770999</v>
      </c>
      <c r="C147">
        <v>1.04570394381333</v>
      </c>
      <c r="D147">
        <v>0.83855985713571202</v>
      </c>
      <c r="E147">
        <v>0.88547635063702401</v>
      </c>
      <c r="F147">
        <v>0.35737927582961998</v>
      </c>
      <c r="G147">
        <v>0.20034098608263701</v>
      </c>
      <c r="H147">
        <v>0.11227323819365299</v>
      </c>
      <c r="I147">
        <v>9.0680726512272006E-2</v>
      </c>
      <c r="J147">
        <v>6.5757177571226094E-2</v>
      </c>
      <c r="K147">
        <v>4.8024328325554901E-2</v>
      </c>
      <c r="L147">
        <v>2101.0700394832502</v>
      </c>
      <c r="M147">
        <v>40.390662378406702</v>
      </c>
      <c r="N147">
        <v>52.289443624279897</v>
      </c>
      <c r="O147">
        <v>51.891684827418104</v>
      </c>
      <c r="P147">
        <v>-0.17623098319797301</v>
      </c>
      <c r="Q147">
        <v>9.4354635536248302E-2</v>
      </c>
      <c r="R147">
        <v>0.97634553070403796</v>
      </c>
      <c r="S147" t="s">
        <v>6458</v>
      </c>
      <c r="T147" t="s">
        <v>12620</v>
      </c>
      <c r="U147" t="s">
        <v>12620</v>
      </c>
      <c r="V147" t="s">
        <v>12620</v>
      </c>
      <c r="W147" t="s">
        <v>12765</v>
      </c>
      <c r="X147">
        <v>15</v>
      </c>
      <c r="Y147" t="s">
        <v>19013</v>
      </c>
      <c r="Z147" t="s">
        <v>25094</v>
      </c>
      <c r="AA147">
        <v>0.46036937471066791</v>
      </c>
      <c r="AB147" t="str">
        <f>HYPERLINK("Melting_Curves/meltCurve_B4E2W0_HADHB.pdf", "Melting_Curves/meltCurve_B4E2W0_HADHB.pdf")</f>
        <v>Melting_Curves/meltCurve_B4E2W0_HADHB.pdf</v>
      </c>
    </row>
    <row r="148" spans="1:28" x14ac:dyDescent="0.25">
      <c r="A148" t="s">
        <v>152</v>
      </c>
      <c r="B148">
        <v>0.99987803227770999</v>
      </c>
      <c r="C148">
        <v>0.96083765888169004</v>
      </c>
      <c r="D148">
        <v>0.71234957817544797</v>
      </c>
      <c r="E148">
        <v>0.49364848350170198</v>
      </c>
      <c r="F148">
        <v>0.33466570809747398</v>
      </c>
      <c r="G148">
        <v>0.25205459942285202</v>
      </c>
      <c r="H148">
        <v>0.14067683488702301</v>
      </c>
      <c r="I148">
        <v>0.10059115990176801</v>
      </c>
      <c r="J148">
        <v>5.5904846136322003E-2</v>
      </c>
      <c r="K148">
        <v>4.4022549167718299E-2</v>
      </c>
      <c r="L148">
        <v>647.04876595909604</v>
      </c>
      <c r="M148">
        <v>12.9886074878578</v>
      </c>
      <c r="N148">
        <v>50.178539352205803</v>
      </c>
      <c r="O148">
        <v>48.680128682452199</v>
      </c>
      <c r="P148">
        <v>-6.3732704752644295E-2</v>
      </c>
      <c r="Q148">
        <v>4.4711678082120503E-2</v>
      </c>
      <c r="R148">
        <v>0.98999392862267399</v>
      </c>
      <c r="S148" t="s">
        <v>6459</v>
      </c>
      <c r="T148" t="s">
        <v>12620</v>
      </c>
      <c r="U148" t="s">
        <v>12620</v>
      </c>
      <c r="V148" t="s">
        <v>12620</v>
      </c>
      <c r="W148" t="s">
        <v>12766</v>
      </c>
      <c r="X148">
        <v>12</v>
      </c>
      <c r="Y148" t="s">
        <v>19014</v>
      </c>
      <c r="Z148" t="s">
        <v>25095</v>
      </c>
      <c r="AA148">
        <v>0.38669820246285941</v>
      </c>
      <c r="AB148" t="str">
        <f>HYPERLINK("Melting_Curves/meltCurve_B4E2X3_METTL13.pdf", "Melting_Curves/meltCurve_B4E2X3_METTL13.pdf")</f>
        <v>Melting_Curves/meltCurve_B4E2X3_METTL13.pdf</v>
      </c>
    </row>
    <row r="149" spans="1:28" x14ac:dyDescent="0.25">
      <c r="A149" t="s">
        <v>153</v>
      </c>
      <c r="B149">
        <v>0.99987803227770999</v>
      </c>
      <c r="C149">
        <v>1.0605748740491401</v>
      </c>
      <c r="D149">
        <v>0.72524936250563299</v>
      </c>
      <c r="E149">
        <v>0.42915914260059601</v>
      </c>
      <c r="F149">
        <v>0.29380358682269098</v>
      </c>
      <c r="G149">
        <v>0.21467346880864499</v>
      </c>
      <c r="H149">
        <v>0.15457837242807501</v>
      </c>
      <c r="I149">
        <v>0.14834399981034399</v>
      </c>
      <c r="J149">
        <v>0.114526261096269</v>
      </c>
      <c r="K149">
        <v>8.1842386302392003E-2</v>
      </c>
      <c r="L149">
        <v>957.76931078775499</v>
      </c>
      <c r="M149">
        <v>19.732660938661098</v>
      </c>
      <c r="N149">
        <v>49.285155152366798</v>
      </c>
      <c r="O149">
        <v>48.047015870848497</v>
      </c>
      <c r="P149">
        <v>-8.9392500012673098E-2</v>
      </c>
      <c r="Q149">
        <v>0.12938335907585399</v>
      </c>
      <c r="R149">
        <v>0.98121920919802197</v>
      </c>
      <c r="S149" t="s">
        <v>6460</v>
      </c>
      <c r="T149" t="s">
        <v>12620</v>
      </c>
      <c r="U149" t="s">
        <v>12620</v>
      </c>
      <c r="V149" t="s">
        <v>12620</v>
      </c>
      <c r="W149" t="s">
        <v>12767</v>
      </c>
      <c r="X149">
        <v>10</v>
      </c>
      <c r="Y149" t="s">
        <v>19015</v>
      </c>
      <c r="Z149" t="s">
        <v>25096</v>
      </c>
      <c r="AA149">
        <v>0.38974589495426731</v>
      </c>
      <c r="AB149" t="str">
        <f>HYPERLINK("Melting_Curves/meltCurve_B5MCF9_PES1.pdf", "Melting_Curves/meltCurve_B5MCF9_PES1.pdf")</f>
        <v>Melting_Curves/meltCurve_B5MCF9_PES1.pdf</v>
      </c>
    </row>
    <row r="150" spans="1:28" x14ac:dyDescent="0.25">
      <c r="A150" t="s">
        <v>154</v>
      </c>
      <c r="B150">
        <v>0.99987803227770999</v>
      </c>
      <c r="C150">
        <v>0.88681429292755898</v>
      </c>
      <c r="D150">
        <v>1.0483785832921599</v>
      </c>
      <c r="E150">
        <v>0.73183044230734995</v>
      </c>
      <c r="F150">
        <v>0.26112455617882302</v>
      </c>
      <c r="G150">
        <v>0.16681493059960401</v>
      </c>
      <c r="H150">
        <v>0.105877363920917</v>
      </c>
      <c r="I150">
        <v>7.8988519819003206E-2</v>
      </c>
      <c r="J150">
        <v>5.8458334563023302E-2</v>
      </c>
      <c r="K150">
        <v>4.4221038751509102E-2</v>
      </c>
      <c r="L150">
        <v>1992.4040376769301</v>
      </c>
      <c r="M150">
        <v>38.961276940562499</v>
      </c>
      <c r="N150">
        <v>51.385195528558697</v>
      </c>
      <c r="O150">
        <v>51.0038942930262</v>
      </c>
      <c r="P150">
        <v>-0.17465693883154501</v>
      </c>
      <c r="Q150">
        <v>8.5434133887689598E-2</v>
      </c>
      <c r="R150">
        <v>0.98551364979049305</v>
      </c>
      <c r="S150" t="s">
        <v>6461</v>
      </c>
      <c r="T150" t="s">
        <v>12620</v>
      </c>
      <c r="U150" t="s">
        <v>12620</v>
      </c>
      <c r="V150" t="s">
        <v>12620</v>
      </c>
      <c r="W150" t="s">
        <v>12768</v>
      </c>
      <c r="X150">
        <v>7</v>
      </c>
      <c r="Y150" t="s">
        <v>19016</v>
      </c>
      <c r="Z150" t="s">
        <v>25097</v>
      </c>
      <c r="AA150">
        <v>0.42839206320173251</v>
      </c>
      <c r="AB150" t="str">
        <f>HYPERLINK("Melting_Curves/meltCurve_B5MCT7_PPM1F.pdf", "Melting_Curves/meltCurve_B5MCT7_PPM1F.pdf")</f>
        <v>Melting_Curves/meltCurve_B5MCT7_PPM1F.pdf</v>
      </c>
    </row>
    <row r="151" spans="1:28" x14ac:dyDescent="0.25">
      <c r="A151" t="s">
        <v>155</v>
      </c>
      <c r="B151">
        <v>0.99987803227770999</v>
      </c>
      <c r="C151">
        <v>0.97279279626984905</v>
      </c>
      <c r="D151">
        <v>0.940019411542108</v>
      </c>
      <c r="E151">
        <v>0.79484234748961002</v>
      </c>
      <c r="F151">
        <v>0.64002312900910696</v>
      </c>
      <c r="G151">
        <v>0.53205843542068998</v>
      </c>
      <c r="H151">
        <v>0.33697869877737502</v>
      </c>
      <c r="I151">
        <v>0.31459532501471998</v>
      </c>
      <c r="J151">
        <v>0.21619838770046301</v>
      </c>
      <c r="K151">
        <v>0.191249938284132</v>
      </c>
      <c r="L151">
        <v>601.00970066305899</v>
      </c>
      <c r="M151">
        <v>10.782232338834101</v>
      </c>
      <c r="N151">
        <v>56.994601576649501</v>
      </c>
      <c r="O151">
        <v>53.926086039959202</v>
      </c>
      <c r="P151">
        <v>-4.47246762664932E-2</v>
      </c>
      <c r="Q151">
        <v>0.10558475148119401</v>
      </c>
      <c r="R151">
        <v>0.99499257107239503</v>
      </c>
      <c r="S151" t="s">
        <v>6462</v>
      </c>
      <c r="T151" t="s">
        <v>12620</v>
      </c>
      <c r="U151" t="s">
        <v>12620</v>
      </c>
      <c r="V151" t="s">
        <v>12620</v>
      </c>
      <c r="W151" t="s">
        <v>12769</v>
      </c>
      <c r="X151">
        <v>8</v>
      </c>
      <c r="Y151" t="s">
        <v>19017</v>
      </c>
      <c r="Z151" t="s">
        <v>25098</v>
      </c>
      <c r="AA151">
        <v>0.59462205660672041</v>
      </c>
      <c r="AB151" t="str">
        <f>HYPERLINK("Melting_Curves/meltCurve_B5MCU0_R3HDM2.pdf", "Melting_Curves/meltCurve_B5MCU0_R3HDM2.pdf")</f>
        <v>Melting_Curves/meltCurve_B5MCU0_R3HDM2.pdf</v>
      </c>
    </row>
    <row r="152" spans="1:28" x14ac:dyDescent="0.25">
      <c r="A152" t="s">
        <v>156</v>
      </c>
      <c r="B152">
        <v>0.99987803227770999</v>
      </c>
      <c r="C152">
        <v>0.918801465165755</v>
      </c>
      <c r="D152">
        <v>0.99624510953952405</v>
      </c>
      <c r="E152">
        <v>0.78136707001843697</v>
      </c>
      <c r="F152">
        <v>0.93211509405293302</v>
      </c>
      <c r="G152">
        <v>0.68667220059822898</v>
      </c>
      <c r="H152">
        <v>0.77689490586522103</v>
      </c>
      <c r="I152">
        <v>0.67675545848720098</v>
      </c>
      <c r="J152">
        <v>0.78991982894787405</v>
      </c>
      <c r="K152">
        <v>0.64612546256955905</v>
      </c>
      <c r="L152">
        <v>517.06238362540398</v>
      </c>
      <c r="M152">
        <v>9.9007528424062503</v>
      </c>
      <c r="O152">
        <v>50.227936329947099</v>
      </c>
      <c r="P152">
        <v>-1.6170618009020001E-2</v>
      </c>
      <c r="Q152">
        <v>0.67202230022182396</v>
      </c>
      <c r="R152">
        <v>0.70553597359041698</v>
      </c>
      <c r="S152" t="s">
        <v>6463</v>
      </c>
      <c r="T152" t="s">
        <v>12620</v>
      </c>
      <c r="U152" t="s">
        <v>12620</v>
      </c>
      <c r="V152" t="s">
        <v>12620</v>
      </c>
      <c r="W152" t="s">
        <v>12770</v>
      </c>
      <c r="X152">
        <v>4</v>
      </c>
      <c r="Y152" t="s">
        <v>19018</v>
      </c>
      <c r="Z152" t="s">
        <v>25099</v>
      </c>
      <c r="AA152">
        <v>0.8179758206153388</v>
      </c>
      <c r="AB152" t="str">
        <f>HYPERLINK("Melting_Curves/meltCurve_B5MEB3_CABIN1.pdf", "Melting_Curves/meltCurve_B5MEB3_CABIN1.pdf")</f>
        <v>Melting_Curves/meltCurve_B5MEB3_CABIN1.pdf</v>
      </c>
    </row>
    <row r="153" spans="1:28" x14ac:dyDescent="0.25">
      <c r="A153" t="s">
        <v>157</v>
      </c>
      <c r="B153">
        <v>0.99987803227770999</v>
      </c>
      <c r="C153">
        <v>0.91458875697252495</v>
      </c>
      <c r="D153">
        <v>0.83585088929447704</v>
      </c>
      <c r="E153">
        <v>0.69302439566577501</v>
      </c>
      <c r="F153">
        <v>0.73120467455747395</v>
      </c>
      <c r="G153">
        <v>0.50016433658814297</v>
      </c>
      <c r="H153">
        <v>0.58634752623704001</v>
      </c>
      <c r="I153">
        <v>0.49220538294508298</v>
      </c>
      <c r="J153">
        <v>0.61846713022592403</v>
      </c>
      <c r="K153">
        <v>0.47950627274714902</v>
      </c>
      <c r="L153">
        <v>599.40611116324396</v>
      </c>
      <c r="M153">
        <v>12.2756301649355</v>
      </c>
      <c r="O153">
        <v>47.587384649387602</v>
      </c>
      <c r="P153">
        <v>-3.1414253106471599E-2</v>
      </c>
      <c r="Q153">
        <v>0.51298884250745502</v>
      </c>
      <c r="R153">
        <v>0.90387566037287403</v>
      </c>
      <c r="S153" t="s">
        <v>6464</v>
      </c>
      <c r="T153" t="s">
        <v>12620</v>
      </c>
      <c r="U153" t="s">
        <v>12620</v>
      </c>
      <c r="V153" t="s">
        <v>12620</v>
      </c>
      <c r="W153" t="s">
        <v>12771</v>
      </c>
      <c r="X153">
        <v>9</v>
      </c>
      <c r="Y153" t="s">
        <v>19019</v>
      </c>
      <c r="Z153" t="s">
        <v>25100</v>
      </c>
      <c r="AA153">
        <v>0.67370901384627013</v>
      </c>
      <c r="AB153" t="str">
        <f>HYPERLINK("Melting_Curves/meltCurve_B7WP27_CWC22.pdf", "Melting_Curves/meltCurve_B7WP27_CWC22.pdf")</f>
        <v>Melting_Curves/meltCurve_B7WP27_CWC22.pdf</v>
      </c>
    </row>
    <row r="154" spans="1:28" x14ac:dyDescent="0.25">
      <c r="A154" t="s">
        <v>158</v>
      </c>
      <c r="B154">
        <v>0.99987803227770999</v>
      </c>
      <c r="C154">
        <v>0.92803478508437398</v>
      </c>
      <c r="D154">
        <v>1.00542052620088</v>
      </c>
      <c r="E154">
        <v>0.975654735215294</v>
      </c>
      <c r="F154">
        <v>1.0857240172285001</v>
      </c>
      <c r="G154">
        <v>0.642013083322029</v>
      </c>
      <c r="H154">
        <v>0.14482468258650599</v>
      </c>
      <c r="I154">
        <v>0.115899631897877</v>
      </c>
      <c r="J154">
        <v>6.2432019559435899E-2</v>
      </c>
      <c r="K154">
        <v>4.3739652951544701E-2</v>
      </c>
      <c r="L154">
        <v>2985.0139379590801</v>
      </c>
      <c r="M154">
        <v>51.870050914625303</v>
      </c>
      <c r="N154">
        <v>57.736105303361903</v>
      </c>
      <c r="O154">
        <v>57.462582263985297</v>
      </c>
      <c r="P154">
        <v>-0.20811871183135799</v>
      </c>
      <c r="Q154">
        <v>7.77699629126785E-2</v>
      </c>
      <c r="R154">
        <v>0.99021791429796402</v>
      </c>
      <c r="S154" t="s">
        <v>6465</v>
      </c>
      <c r="T154" t="s">
        <v>12620</v>
      </c>
      <c r="U154" t="s">
        <v>12620</v>
      </c>
      <c r="V154" t="s">
        <v>12620</v>
      </c>
      <c r="W154" t="s">
        <v>12772</v>
      </c>
      <c r="X154">
        <v>22</v>
      </c>
      <c r="Y154" t="s">
        <v>19020</v>
      </c>
      <c r="Z154" t="s">
        <v>25101</v>
      </c>
      <c r="AA154">
        <v>0.61938003732929736</v>
      </c>
      <c r="AB154" t="str">
        <f>HYPERLINK("Melting_Curves/meltCurve_B7Z254_PDIA6.pdf", "Melting_Curves/meltCurve_B7Z254_PDIA6.pdf")</f>
        <v>Melting_Curves/meltCurve_B7Z254_PDIA6.pdf</v>
      </c>
    </row>
    <row r="155" spans="1:28" x14ac:dyDescent="0.25">
      <c r="A155" t="s">
        <v>159</v>
      </c>
      <c r="B155">
        <v>0.99987803227770999</v>
      </c>
      <c r="C155">
        <v>1.3015533737924501</v>
      </c>
      <c r="D155">
        <v>0.842379507480287</v>
      </c>
      <c r="E155">
        <v>0.64600920595583899</v>
      </c>
      <c r="F155">
        <v>0.31815342100560601</v>
      </c>
      <c r="G155">
        <v>0.19425909663751401</v>
      </c>
      <c r="H155">
        <v>0.12325957559134899</v>
      </c>
      <c r="I155">
        <v>0.133451978857896</v>
      </c>
      <c r="J155">
        <v>0.104345080425153</v>
      </c>
      <c r="K155">
        <v>7.8345950588489199E-2</v>
      </c>
      <c r="L155">
        <v>1245.1169470989601</v>
      </c>
      <c r="M155">
        <v>24.5679872913419</v>
      </c>
      <c r="N155">
        <v>51.1934403280693</v>
      </c>
      <c r="O155">
        <v>50.348252260707902</v>
      </c>
      <c r="P155">
        <v>-0.108681655030905</v>
      </c>
      <c r="Q155">
        <v>0.109108352590213</v>
      </c>
      <c r="R155">
        <v>0.93853066306376598</v>
      </c>
      <c r="S155" t="s">
        <v>6466</v>
      </c>
      <c r="T155" t="s">
        <v>12620</v>
      </c>
      <c r="U155" t="s">
        <v>12620</v>
      </c>
      <c r="V155" t="s">
        <v>12620</v>
      </c>
      <c r="W155" t="s">
        <v>12773</v>
      </c>
      <c r="X155">
        <v>2</v>
      </c>
      <c r="Y155" t="s">
        <v>19021</v>
      </c>
      <c r="Z155" t="s">
        <v>25102</v>
      </c>
      <c r="AA155">
        <v>0.43458123022878681</v>
      </c>
      <c r="AB155" t="str">
        <f>HYPERLINK("Melting_Curves/meltCurve_B7Z2G1_KLHL22.pdf", "Melting_Curves/meltCurve_B7Z2G1_KLHL22.pdf")</f>
        <v>Melting_Curves/meltCurve_B7Z2G1_KLHL22.pdf</v>
      </c>
    </row>
    <row r="156" spans="1:28" x14ac:dyDescent="0.25">
      <c r="A156" t="s">
        <v>160</v>
      </c>
      <c r="B156">
        <v>0.99987803227770999</v>
      </c>
      <c r="C156">
        <v>1.2004785998672001</v>
      </c>
      <c r="D156">
        <v>1.02488327914533</v>
      </c>
      <c r="E156">
        <v>1.2037123554681199</v>
      </c>
      <c r="F156">
        <v>0.89381964763600996</v>
      </c>
      <c r="G156">
        <v>0.97428569989031499</v>
      </c>
      <c r="H156">
        <v>0.99661188923904498</v>
      </c>
      <c r="I156">
        <v>0.86599499829094995</v>
      </c>
      <c r="J156">
        <v>0.679748293267884</v>
      </c>
      <c r="K156">
        <v>0.42939611671518502</v>
      </c>
      <c r="L156">
        <v>1914.6110134242899</v>
      </c>
      <c r="M156">
        <v>28.135485158275301</v>
      </c>
      <c r="N156">
        <v>69.071574976052901</v>
      </c>
      <c r="O156">
        <v>67.708700671374899</v>
      </c>
      <c r="P156">
        <v>-8.6199582728932203E-2</v>
      </c>
      <c r="Q156">
        <v>0.17024176215251999</v>
      </c>
      <c r="R156">
        <v>0.80485805894782103</v>
      </c>
      <c r="S156" t="s">
        <v>6467</v>
      </c>
      <c r="T156" t="s">
        <v>12620</v>
      </c>
      <c r="U156" t="s">
        <v>12620</v>
      </c>
      <c r="V156" t="s">
        <v>12620</v>
      </c>
      <c r="W156" t="s">
        <v>12704</v>
      </c>
      <c r="X156">
        <v>42</v>
      </c>
      <c r="Y156" t="s">
        <v>18950</v>
      </c>
      <c r="Z156" t="s">
        <v>25103</v>
      </c>
      <c r="AA156">
        <v>0.92496823924793981</v>
      </c>
      <c r="AB156" t="str">
        <f>HYPERLINK("Melting_Curves/meltCurve_B7Z2S5_TXNRD1.pdf", "Melting_Curves/meltCurve_B7Z2S5_TXNRD1.pdf")</f>
        <v>Melting_Curves/meltCurve_B7Z2S5_TXNRD1.pdf</v>
      </c>
    </row>
    <row r="157" spans="1:28" x14ac:dyDescent="0.25">
      <c r="A157" t="s">
        <v>161</v>
      </c>
      <c r="B157">
        <v>0.99987803227770999</v>
      </c>
      <c r="C157">
        <v>0.90249536951030296</v>
      </c>
      <c r="D157">
        <v>0.62267569181127502</v>
      </c>
      <c r="E157">
        <v>0.87561068544321496</v>
      </c>
      <c r="F157">
        <v>0.49468840031731398</v>
      </c>
      <c r="G157">
        <v>0.19114078468942</v>
      </c>
      <c r="H157">
        <v>0.17469614740117601</v>
      </c>
      <c r="I157">
        <v>2.5339270940800501E-2</v>
      </c>
      <c r="J157">
        <v>3.0185516552617E-2</v>
      </c>
      <c r="K157">
        <v>1.9756258714994701E-2</v>
      </c>
      <c r="L157">
        <v>690.55130763019497</v>
      </c>
      <c r="M157">
        <v>13.1065693399847</v>
      </c>
      <c r="N157">
        <v>52.687431635792997</v>
      </c>
      <c r="O157">
        <v>51.506156448811304</v>
      </c>
      <c r="P157">
        <v>-6.3627405041843499E-2</v>
      </c>
      <c r="Q157">
        <v>0</v>
      </c>
      <c r="R157">
        <v>0.91481921990799098</v>
      </c>
      <c r="S157" t="s">
        <v>6468</v>
      </c>
      <c r="T157" t="s">
        <v>12620</v>
      </c>
      <c r="U157" t="s">
        <v>12620</v>
      </c>
      <c r="V157" t="s">
        <v>12620</v>
      </c>
      <c r="W157" t="s">
        <v>12774</v>
      </c>
      <c r="X157">
        <v>2</v>
      </c>
      <c r="Y157" t="s">
        <v>19022</v>
      </c>
      <c r="Z157" t="s">
        <v>25104</v>
      </c>
      <c r="AA157">
        <v>0.4490870303136098</v>
      </c>
      <c r="AB157" t="str">
        <f>HYPERLINK("Melting_Curves/meltCurve_B7Z2T3_TTC26.pdf", "Melting_Curves/meltCurve_B7Z2T3_TTC26.pdf")</f>
        <v>Melting_Curves/meltCurve_B7Z2T3_TTC26.pdf</v>
      </c>
    </row>
    <row r="158" spans="1:28" x14ac:dyDescent="0.25">
      <c r="A158" t="s">
        <v>162</v>
      </c>
      <c r="B158">
        <v>0.99987803227770999</v>
      </c>
      <c r="C158">
        <v>1.18662437408142</v>
      </c>
      <c r="D158">
        <v>1.1292238306742199</v>
      </c>
      <c r="E158">
        <v>1.19638117007662</v>
      </c>
      <c r="F158">
        <v>1.02624440968286</v>
      </c>
      <c r="G158">
        <v>0.92007444334935395</v>
      </c>
      <c r="H158">
        <v>0.51529786160018598</v>
      </c>
      <c r="I158">
        <v>0.148926357134579</v>
      </c>
      <c r="J158">
        <v>7.4389521431032904E-2</v>
      </c>
      <c r="K158">
        <v>5.8235376327551998E-2</v>
      </c>
      <c r="L158">
        <v>2444.2336993571598</v>
      </c>
      <c r="M158">
        <v>40.150366722374997</v>
      </c>
      <c r="N158">
        <v>61.027543474508001</v>
      </c>
      <c r="O158">
        <v>60.726583344919497</v>
      </c>
      <c r="P158">
        <v>-0.157499590061388</v>
      </c>
      <c r="Q158">
        <v>4.7143027933932199E-2</v>
      </c>
      <c r="R158">
        <v>0.95511494393779395</v>
      </c>
      <c r="S158" t="s">
        <v>6469</v>
      </c>
      <c r="T158" t="s">
        <v>12620</v>
      </c>
      <c r="U158" t="s">
        <v>12620</v>
      </c>
      <c r="V158" t="s">
        <v>12620</v>
      </c>
      <c r="W158" t="s">
        <v>12775</v>
      </c>
      <c r="X158">
        <v>16</v>
      </c>
      <c r="Y158" t="s">
        <v>19023</v>
      </c>
      <c r="Z158" t="s">
        <v>25105</v>
      </c>
      <c r="AA158">
        <v>0.7138561938007536</v>
      </c>
      <c r="AB158" t="str">
        <f>HYPERLINK("Melting_Curves/meltCurve_B7Z2X9_ENO2.pdf", "Melting_Curves/meltCurve_B7Z2X9_ENO2.pdf")</f>
        <v>Melting_Curves/meltCurve_B7Z2X9_ENO2.pdf</v>
      </c>
    </row>
    <row r="159" spans="1:28" x14ac:dyDescent="0.25">
      <c r="A159" t="s">
        <v>163</v>
      </c>
      <c r="B159">
        <v>0.99987803227770999</v>
      </c>
      <c r="C159">
        <v>0.97460801374930295</v>
      </c>
      <c r="D159">
        <v>0.54208145097432403</v>
      </c>
      <c r="E159">
        <v>0.34929072996357602</v>
      </c>
      <c r="F159">
        <v>0.16460373318781801</v>
      </c>
      <c r="G159">
        <v>0.108926212631553</v>
      </c>
      <c r="H159">
        <v>8.3745357398060702E-2</v>
      </c>
      <c r="I159">
        <v>5.53346140818545E-2</v>
      </c>
      <c r="J159">
        <v>4.6948903176937902E-2</v>
      </c>
      <c r="K159">
        <v>1.65737852763823E-2</v>
      </c>
      <c r="L159">
        <v>886.06870229755498</v>
      </c>
      <c r="M159">
        <v>18.770095482938999</v>
      </c>
      <c r="N159">
        <v>47.490786541503397</v>
      </c>
      <c r="O159">
        <v>46.680374524932098</v>
      </c>
      <c r="P159">
        <v>-9.5185128950312906E-2</v>
      </c>
      <c r="Q159">
        <v>5.3155240550597199E-2</v>
      </c>
      <c r="R159">
        <v>0.980415234898112</v>
      </c>
      <c r="S159" t="s">
        <v>6470</v>
      </c>
      <c r="T159" t="s">
        <v>12620</v>
      </c>
      <c r="U159" t="s">
        <v>12620</v>
      </c>
      <c r="V159" t="s">
        <v>12620</v>
      </c>
      <c r="W159" t="s">
        <v>12776</v>
      </c>
      <c r="X159">
        <v>6</v>
      </c>
      <c r="Y159" t="s">
        <v>19024</v>
      </c>
      <c r="Z159" t="s">
        <v>25106</v>
      </c>
      <c r="AA159">
        <v>0.29639897759367589</v>
      </c>
      <c r="AB159" t="str">
        <f>HYPERLINK("Melting_Curves/meltCurve_B7Z2Y2_COG2.pdf", "Melting_Curves/meltCurve_B7Z2Y2_COG2.pdf")</f>
        <v>Melting_Curves/meltCurve_B7Z2Y2_COG2.pdf</v>
      </c>
    </row>
    <row r="160" spans="1:28" x14ac:dyDescent="0.25">
      <c r="A160" t="s">
        <v>164</v>
      </c>
      <c r="B160">
        <v>0.99987803227770999</v>
      </c>
      <c r="C160">
        <v>0.86872628300979204</v>
      </c>
      <c r="D160">
        <v>0.93028653000446404</v>
      </c>
      <c r="E160">
        <v>0.70482867950289796</v>
      </c>
      <c r="F160">
        <v>0.66351927684648404</v>
      </c>
      <c r="G160">
        <v>0.32316398912383998</v>
      </c>
      <c r="H160">
        <v>0.28116692552935002</v>
      </c>
      <c r="I160">
        <v>0.24209658602223399</v>
      </c>
      <c r="J160">
        <v>0.20706198249222399</v>
      </c>
      <c r="K160">
        <v>0.164640142443439</v>
      </c>
      <c r="L160">
        <v>665.55079074320702</v>
      </c>
      <c r="M160">
        <v>12.4786123559829</v>
      </c>
      <c r="N160">
        <v>54.6455858351815</v>
      </c>
      <c r="O160">
        <v>52.021160524465103</v>
      </c>
      <c r="P160">
        <v>-5.2225960274502901E-2</v>
      </c>
      <c r="Q160">
        <v>0.12929664583363701</v>
      </c>
      <c r="R160">
        <v>0.97560178113255902</v>
      </c>
      <c r="S160" t="s">
        <v>6471</v>
      </c>
      <c r="T160" t="s">
        <v>12620</v>
      </c>
      <c r="U160" t="s">
        <v>12620</v>
      </c>
      <c r="V160" t="s">
        <v>12620</v>
      </c>
      <c r="W160" t="s">
        <v>12777</v>
      </c>
      <c r="X160">
        <v>1</v>
      </c>
      <c r="Y160" t="s">
        <v>19025</v>
      </c>
      <c r="Z160" t="s">
        <v>25107</v>
      </c>
      <c r="AA160">
        <v>0.53946343142890496</v>
      </c>
      <c r="AB160" t="str">
        <f>HYPERLINK("Melting_Curves/meltCurve_B7Z367_ZNF346.pdf", "Melting_Curves/meltCurve_B7Z367_ZNF346.pdf")</f>
        <v>Melting_Curves/meltCurve_B7Z367_ZNF346.pdf</v>
      </c>
    </row>
    <row r="161" spans="1:28" x14ac:dyDescent="0.25">
      <c r="A161" t="s">
        <v>165</v>
      </c>
      <c r="B161">
        <v>0.99987803227770999</v>
      </c>
      <c r="C161">
        <v>1.1153491626027501</v>
      </c>
      <c r="D161">
        <v>0.97687565055070602</v>
      </c>
      <c r="E161">
        <v>1.1630549589300501</v>
      </c>
      <c r="F161">
        <v>0.89172615357257701</v>
      </c>
      <c r="G161">
        <v>0.88973564117182102</v>
      </c>
      <c r="H161">
        <v>1.13920296533381</v>
      </c>
      <c r="I161">
        <v>1.21524969355214</v>
      </c>
      <c r="J161">
        <v>0.91080896341595197</v>
      </c>
      <c r="K161">
        <v>0.677145188822043</v>
      </c>
      <c r="L161">
        <v>15000</v>
      </c>
      <c r="M161">
        <v>222.91706787941499</v>
      </c>
      <c r="O161">
        <v>67.284182769873397</v>
      </c>
      <c r="P161">
        <v>-0.26745841222431699</v>
      </c>
      <c r="Q161">
        <v>0.67708671555673505</v>
      </c>
      <c r="R161">
        <v>0.46309308373205899</v>
      </c>
      <c r="S161" t="s">
        <v>6472</v>
      </c>
      <c r="T161" t="s">
        <v>12620</v>
      </c>
      <c r="U161" t="s">
        <v>12620</v>
      </c>
      <c r="V161" t="s">
        <v>12620</v>
      </c>
      <c r="W161" t="s">
        <v>12778</v>
      </c>
      <c r="X161">
        <v>11</v>
      </c>
      <c r="Y161" t="s">
        <v>19026</v>
      </c>
      <c r="Z161" t="s">
        <v>25108</v>
      </c>
      <c r="AA161">
        <v>0.97087317699821229</v>
      </c>
      <c r="AB161" t="str">
        <f>HYPERLINK("Melting_Curves/meltCurve_B7Z3I9_ALAD.pdf", "Melting_Curves/meltCurve_B7Z3I9_ALAD.pdf")</f>
        <v>Melting_Curves/meltCurve_B7Z3I9_ALAD.pdf</v>
      </c>
    </row>
    <row r="162" spans="1:28" x14ac:dyDescent="0.25">
      <c r="A162" t="s">
        <v>166</v>
      </c>
      <c r="B162">
        <v>0.99987803227770999</v>
      </c>
      <c r="C162">
        <v>1.09564292281769</v>
      </c>
      <c r="D162">
        <v>0.72913680640289902</v>
      </c>
      <c r="E162">
        <v>0.29334809827243802</v>
      </c>
      <c r="F162">
        <v>0.17438469651362101</v>
      </c>
      <c r="G162">
        <v>0.113643273042442</v>
      </c>
      <c r="H162">
        <v>8.5790634896028298E-2</v>
      </c>
      <c r="I162">
        <v>7.4330693351001606E-2</v>
      </c>
      <c r="J162">
        <v>5.4094283973663601E-2</v>
      </c>
      <c r="K162">
        <v>3.6365364847923597E-2</v>
      </c>
      <c r="L162">
        <v>1316.7639633333199</v>
      </c>
      <c r="M162">
        <v>27.515602411940499</v>
      </c>
      <c r="N162">
        <v>48.143800442009898</v>
      </c>
      <c r="O162">
        <v>47.604543443098599</v>
      </c>
      <c r="P162">
        <v>-0.133514978240585</v>
      </c>
      <c r="Q162">
        <v>7.6035243430059601E-2</v>
      </c>
      <c r="R162">
        <v>0.98463599385549805</v>
      </c>
      <c r="S162" t="s">
        <v>6473</v>
      </c>
      <c r="T162" t="s">
        <v>12620</v>
      </c>
      <c r="U162" t="s">
        <v>12620</v>
      </c>
      <c r="V162" t="s">
        <v>12620</v>
      </c>
      <c r="W162" t="s">
        <v>12779</v>
      </c>
      <c r="X162">
        <v>26</v>
      </c>
      <c r="Y162" t="s">
        <v>19027</v>
      </c>
      <c r="Z162" t="s">
        <v>25109</v>
      </c>
      <c r="AA162">
        <v>0.32462922058943078</v>
      </c>
      <c r="AB162" t="str">
        <f>HYPERLINK("Melting_Curves/meltCurve_B7Z3P1_TBCE.pdf", "Melting_Curves/meltCurve_B7Z3P1_TBCE.pdf")</f>
        <v>Melting_Curves/meltCurve_B7Z3P1_TBCE.pdf</v>
      </c>
    </row>
    <row r="163" spans="1:28" x14ac:dyDescent="0.25">
      <c r="A163" t="s">
        <v>167</v>
      </c>
      <c r="B163">
        <v>0.99987803227770999</v>
      </c>
      <c r="C163">
        <v>1.0164172683030701</v>
      </c>
      <c r="D163">
        <v>0.79920116732913105</v>
      </c>
      <c r="E163">
        <v>0.81290925104746803</v>
      </c>
      <c r="F163">
        <v>0.60490720193879899</v>
      </c>
      <c r="G163">
        <v>0.54401267086041205</v>
      </c>
      <c r="H163">
        <v>0.28439031678176302</v>
      </c>
      <c r="I163">
        <v>0.38515191255163</v>
      </c>
      <c r="J163">
        <v>0.15103865150450899</v>
      </c>
      <c r="K163">
        <v>0.120681983020721</v>
      </c>
      <c r="L163">
        <v>507.68830322244997</v>
      </c>
      <c r="M163">
        <v>8.9431839462532192</v>
      </c>
      <c r="N163">
        <v>56.768201368386599</v>
      </c>
      <c r="O163">
        <v>54.145116961884199</v>
      </c>
      <c r="P163">
        <v>-4.1323376602020498E-2</v>
      </c>
      <c r="Q163">
        <v>0</v>
      </c>
      <c r="R163">
        <v>0.95678361823103597</v>
      </c>
      <c r="S163" t="s">
        <v>6474</v>
      </c>
      <c r="T163" t="s">
        <v>12620</v>
      </c>
      <c r="U163" t="s">
        <v>12620</v>
      </c>
      <c r="V163" t="s">
        <v>12620</v>
      </c>
      <c r="W163" t="s">
        <v>12780</v>
      </c>
      <c r="X163">
        <v>1</v>
      </c>
      <c r="Y163" t="s">
        <v>19028</v>
      </c>
      <c r="Z163" t="s">
        <v>25110</v>
      </c>
      <c r="AA163">
        <v>0.57474210951310711</v>
      </c>
      <c r="AB163" t="str">
        <f>HYPERLINK("Melting_Curves/meltCurve_B7Z3Y2_PCYOX1.pdf", "Melting_Curves/meltCurve_B7Z3Y2_PCYOX1.pdf")</f>
        <v>Melting_Curves/meltCurve_B7Z3Y2_PCYOX1.pdf</v>
      </c>
    </row>
    <row r="164" spans="1:28" x14ac:dyDescent="0.25">
      <c r="A164" t="s">
        <v>168</v>
      </c>
      <c r="B164">
        <v>0.99987803227770999</v>
      </c>
      <c r="C164">
        <v>0.96476473389220996</v>
      </c>
      <c r="D164">
        <v>1.11030833875435</v>
      </c>
      <c r="E164">
        <v>0.96894189486286197</v>
      </c>
      <c r="F164">
        <v>1.0816354616781001</v>
      </c>
      <c r="G164">
        <v>1.0059706014877501</v>
      </c>
      <c r="H164">
        <v>1.0948256775499301</v>
      </c>
      <c r="I164">
        <v>0.94821782618071304</v>
      </c>
      <c r="J164">
        <v>0.89902313828514702</v>
      </c>
      <c r="K164">
        <v>0.64376500647003798</v>
      </c>
      <c r="L164">
        <v>2586.33092022952</v>
      </c>
      <c r="M164">
        <v>36.6992333411402</v>
      </c>
      <c r="Q164">
        <v>0.18778728607780701</v>
      </c>
      <c r="R164">
        <v>0.80439275470448501</v>
      </c>
      <c r="S164" t="s">
        <v>6475</v>
      </c>
      <c r="T164" t="s">
        <v>12620</v>
      </c>
      <c r="U164" t="s">
        <v>12620</v>
      </c>
      <c r="V164" t="s">
        <v>12620</v>
      </c>
      <c r="W164" t="s">
        <v>12781</v>
      </c>
      <c r="X164">
        <v>6</v>
      </c>
      <c r="Y164" t="s">
        <v>19029</v>
      </c>
      <c r="Z164" t="s">
        <v>25111</v>
      </c>
      <c r="AA164">
        <v>0.97212214275214615</v>
      </c>
      <c r="AB164" t="str">
        <f>HYPERLINK("Melting_Curves/meltCurve_B7Z4K6_DNASE2.pdf", "Melting_Curves/meltCurve_B7Z4K6_DNASE2.pdf")</f>
        <v>Melting_Curves/meltCurve_B7Z4K6_DNASE2.pdf</v>
      </c>
    </row>
    <row r="165" spans="1:28" x14ac:dyDescent="0.25">
      <c r="A165" t="s">
        <v>169</v>
      </c>
      <c r="B165">
        <v>0.99987803227770999</v>
      </c>
      <c r="C165">
        <v>0.82656883748754795</v>
      </c>
      <c r="D165">
        <v>0.95604818782535295</v>
      </c>
      <c r="E165">
        <v>0.81520213130267705</v>
      </c>
      <c r="F165">
        <v>0.965709050249145</v>
      </c>
      <c r="G165">
        <v>0.80840027614186805</v>
      </c>
      <c r="H165">
        <v>0.78414125700205695</v>
      </c>
      <c r="I165">
        <v>0.78767153258015599</v>
      </c>
      <c r="J165">
        <v>0.73825755034516605</v>
      </c>
      <c r="K165">
        <v>0.63769588157050705</v>
      </c>
      <c r="L165">
        <v>221.42892513005</v>
      </c>
      <c r="M165">
        <v>2.3535792333998899</v>
      </c>
      <c r="O165">
        <v>61.4331695432682</v>
      </c>
      <c r="P165">
        <v>-1.01517975400316E-2</v>
      </c>
      <c r="Q165">
        <v>0</v>
      </c>
      <c r="R165">
        <v>0.66914912577598296</v>
      </c>
      <c r="S165" t="s">
        <v>6476</v>
      </c>
      <c r="T165" t="s">
        <v>12620</v>
      </c>
      <c r="U165" t="s">
        <v>12620</v>
      </c>
      <c r="V165" t="s">
        <v>12620</v>
      </c>
      <c r="W165" t="s">
        <v>12782</v>
      </c>
      <c r="X165">
        <v>9</v>
      </c>
      <c r="Y165" t="s">
        <v>19030</v>
      </c>
      <c r="Z165" t="s">
        <v>25112</v>
      </c>
      <c r="AA165">
        <v>0.83671649897313827</v>
      </c>
      <c r="AB165" t="str">
        <f>HYPERLINK("Melting_Curves/meltCurve_B7Z4R0_ERF.pdf", "Melting_Curves/meltCurve_B7Z4R0_ERF.pdf")</f>
        <v>Melting_Curves/meltCurve_B7Z4R0_ERF.pdf</v>
      </c>
    </row>
    <row r="166" spans="1:28" x14ac:dyDescent="0.25">
      <c r="A166" t="s">
        <v>170</v>
      </c>
      <c r="B166">
        <v>0.99987803227770999</v>
      </c>
      <c r="C166">
        <v>1.0673288061031601</v>
      </c>
      <c r="D166">
        <v>1.22046299314545</v>
      </c>
      <c r="E166">
        <v>1.0992474684687199</v>
      </c>
      <c r="F166">
        <v>1.1433992610750501</v>
      </c>
      <c r="G166">
        <v>0.85203172046879605</v>
      </c>
      <c r="H166">
        <v>0.823076119614359</v>
      </c>
      <c r="I166">
        <v>0.87740386527501302</v>
      </c>
      <c r="J166">
        <v>0.78882838314966996</v>
      </c>
      <c r="K166">
        <v>0.578451400477344</v>
      </c>
      <c r="L166">
        <v>863.80921781256302</v>
      </c>
      <c r="M166">
        <v>11.879356620457401</v>
      </c>
      <c r="Q166">
        <v>0</v>
      </c>
      <c r="R166">
        <v>0.66805636217615405</v>
      </c>
      <c r="S166" t="s">
        <v>6477</v>
      </c>
      <c r="T166" t="s">
        <v>12620</v>
      </c>
      <c r="U166" t="s">
        <v>12620</v>
      </c>
      <c r="V166" t="s">
        <v>12620</v>
      </c>
      <c r="W166" t="s">
        <v>12783</v>
      </c>
      <c r="X166">
        <v>3</v>
      </c>
      <c r="Y166" t="s">
        <v>19031</v>
      </c>
      <c r="Z166" t="s">
        <v>25113</v>
      </c>
      <c r="AA166">
        <v>0.92111983563283562</v>
      </c>
      <c r="AB166" t="str">
        <f>HYPERLINK("Melting_Curves/meltCurve_B7Z5G4_STMN3.pdf", "Melting_Curves/meltCurve_B7Z5G4_STMN3.pdf")</f>
        <v>Melting_Curves/meltCurve_B7Z5G4_STMN3.pdf</v>
      </c>
    </row>
    <row r="167" spans="1:28" x14ac:dyDescent="0.25">
      <c r="A167" t="s">
        <v>171</v>
      </c>
      <c r="B167">
        <v>0.99987803227770999</v>
      </c>
      <c r="C167">
        <v>0.92355461132213501</v>
      </c>
      <c r="D167">
        <v>0.83623962675055896</v>
      </c>
      <c r="E167">
        <v>0.69264304930254394</v>
      </c>
      <c r="F167">
        <v>0.56918167040249601</v>
      </c>
      <c r="G167">
        <v>0.28398585617309402</v>
      </c>
      <c r="H167">
        <v>0.26664085091136502</v>
      </c>
      <c r="I167">
        <v>0.24100159768760701</v>
      </c>
      <c r="J167">
        <v>0.22815697130235399</v>
      </c>
      <c r="K167">
        <v>0.176600289266195</v>
      </c>
      <c r="L167">
        <v>674.17853198290402</v>
      </c>
      <c r="M167">
        <v>13.015430987081199</v>
      </c>
      <c r="N167">
        <v>53.398380370167402</v>
      </c>
      <c r="O167">
        <v>50.621362396219403</v>
      </c>
      <c r="P167">
        <v>-5.39091837699055E-2</v>
      </c>
      <c r="Q167">
        <v>0.161464104003229</v>
      </c>
      <c r="R167">
        <v>0.98839173530862801</v>
      </c>
      <c r="S167" t="s">
        <v>6478</v>
      </c>
      <c r="T167" t="s">
        <v>12620</v>
      </c>
      <c r="U167" t="s">
        <v>12620</v>
      </c>
      <c r="V167" t="s">
        <v>12620</v>
      </c>
      <c r="W167" t="s">
        <v>12784</v>
      </c>
      <c r="X167">
        <v>2</v>
      </c>
      <c r="Y167" t="s">
        <v>19032</v>
      </c>
      <c r="Z167" t="s">
        <v>25114</v>
      </c>
      <c r="AA167">
        <v>0.51453209015061729</v>
      </c>
      <c r="AB167" t="str">
        <f>HYPERLINK("Melting_Curves/meltCurve_B7Z652_RPL7L1.pdf", "Melting_Curves/meltCurve_B7Z652_RPL7L1.pdf")</f>
        <v>Melting_Curves/meltCurve_B7Z652_RPL7L1.pdf</v>
      </c>
    </row>
    <row r="168" spans="1:28" x14ac:dyDescent="0.25">
      <c r="A168" t="s">
        <v>172</v>
      </c>
      <c r="B168">
        <v>0.99987803227770999</v>
      </c>
      <c r="C168">
        <v>1.2459570701909799</v>
      </c>
      <c r="D168">
        <v>1.0511320864350699</v>
      </c>
      <c r="E168">
        <v>1.09797754175161</v>
      </c>
      <c r="F168">
        <v>0.65831294655691297</v>
      </c>
      <c r="G168">
        <v>0.26712581804529301</v>
      </c>
      <c r="H168">
        <v>0.183407378810484</v>
      </c>
      <c r="I168">
        <v>0.196908275327046</v>
      </c>
      <c r="J168">
        <v>0.117488560409091</v>
      </c>
      <c r="K168">
        <v>6.2299171742599399E-2</v>
      </c>
      <c r="L168">
        <v>2334.6034422848202</v>
      </c>
      <c r="M168">
        <v>43.458797097204197</v>
      </c>
      <c r="N168">
        <v>54.160226499961503</v>
      </c>
      <c r="O168">
        <v>53.606555363890699</v>
      </c>
      <c r="P168">
        <v>-0.172513662958868</v>
      </c>
      <c r="Q168">
        <v>0.148816815290438</v>
      </c>
      <c r="R168">
        <v>0.95193178146363899</v>
      </c>
      <c r="S168" t="s">
        <v>6479</v>
      </c>
      <c r="T168" t="s">
        <v>12620</v>
      </c>
      <c r="U168" t="s">
        <v>12620</v>
      </c>
      <c r="V168" t="s">
        <v>12620</v>
      </c>
      <c r="W168" t="s">
        <v>12785</v>
      </c>
      <c r="X168">
        <v>10</v>
      </c>
      <c r="Y168" t="s">
        <v>19033</v>
      </c>
      <c r="Z168" t="s">
        <v>25115</v>
      </c>
      <c r="AA168">
        <v>0.54076135623314792</v>
      </c>
      <c r="AB168" t="str">
        <f>HYPERLINK("Melting_Curves/meltCurve_B7Z6B8_DECR1.pdf", "Melting_Curves/meltCurve_B7Z6B8_DECR1.pdf")</f>
        <v>Melting_Curves/meltCurve_B7Z6B8_DECR1.pdf</v>
      </c>
    </row>
    <row r="169" spans="1:28" x14ac:dyDescent="0.25">
      <c r="A169" t="s">
        <v>173</v>
      </c>
      <c r="B169">
        <v>0.99987803227770999</v>
      </c>
      <c r="C169">
        <v>1.0849452197453999</v>
      </c>
      <c r="D169">
        <v>1.0430114461991999</v>
      </c>
      <c r="E169">
        <v>0.90826405538014898</v>
      </c>
      <c r="F169">
        <v>0.52909972724989196</v>
      </c>
      <c r="G169">
        <v>0.30448470626966201</v>
      </c>
      <c r="H169">
        <v>0.17678304921254501</v>
      </c>
      <c r="I169">
        <v>0.16492973434053301</v>
      </c>
      <c r="J169">
        <v>9.1769177597110604E-2</v>
      </c>
      <c r="K169">
        <v>5.5905031180584701E-2</v>
      </c>
      <c r="L169">
        <v>1328.19827467134</v>
      </c>
      <c r="M169">
        <v>24.8996745486272</v>
      </c>
      <c r="N169">
        <v>53.887539914384703</v>
      </c>
      <c r="O169">
        <v>53.001502535175497</v>
      </c>
      <c r="P169">
        <v>-0.104364586917904</v>
      </c>
      <c r="Q169">
        <v>0.111409361866638</v>
      </c>
      <c r="R169">
        <v>0.98453282296417299</v>
      </c>
      <c r="S169" t="s">
        <v>6480</v>
      </c>
      <c r="T169" t="s">
        <v>12620</v>
      </c>
      <c r="U169" t="s">
        <v>12620</v>
      </c>
      <c r="V169" t="s">
        <v>12620</v>
      </c>
      <c r="W169" t="s">
        <v>12786</v>
      </c>
      <c r="X169">
        <v>6</v>
      </c>
      <c r="Y169" t="s">
        <v>19034</v>
      </c>
      <c r="Z169" t="s">
        <v>25116</v>
      </c>
      <c r="AA169">
        <v>0.51485595972438924</v>
      </c>
      <c r="AB169" t="str">
        <f>HYPERLINK("Melting_Curves/meltCurve_B7Z6J6_TRIML2.pdf", "Melting_Curves/meltCurve_B7Z6J6_TRIML2.pdf")</f>
        <v>Melting_Curves/meltCurve_B7Z6J6_TRIML2.pdf</v>
      </c>
    </row>
    <row r="170" spans="1:28" x14ac:dyDescent="0.25">
      <c r="A170" t="s">
        <v>174</v>
      </c>
      <c r="B170">
        <v>0.99987803227770999</v>
      </c>
      <c r="C170">
        <v>0.943317970283851</v>
      </c>
      <c r="D170">
        <v>1.0112854741447099</v>
      </c>
      <c r="E170">
        <v>0.9256903315935</v>
      </c>
      <c r="F170">
        <v>0.84353069551103299</v>
      </c>
      <c r="G170">
        <v>0.59561224604976504</v>
      </c>
      <c r="H170">
        <v>0.55091739262793504</v>
      </c>
      <c r="I170">
        <v>0.46524710309742701</v>
      </c>
      <c r="J170">
        <v>0.47108009277250601</v>
      </c>
      <c r="K170">
        <v>0.38150641794356699</v>
      </c>
      <c r="L170">
        <v>973.91134576027696</v>
      </c>
      <c r="M170">
        <v>17.533737792055302</v>
      </c>
      <c r="N170">
        <v>61.597573185965302</v>
      </c>
      <c r="O170">
        <v>54.837587649354298</v>
      </c>
      <c r="P170">
        <v>-4.7106336293622299E-2</v>
      </c>
      <c r="Q170">
        <v>0.410723141055234</v>
      </c>
      <c r="R170">
        <v>0.98108364545751503</v>
      </c>
      <c r="S170" t="s">
        <v>6481</v>
      </c>
      <c r="T170" t="s">
        <v>12620</v>
      </c>
      <c r="U170" t="s">
        <v>12620</v>
      </c>
      <c r="V170" t="s">
        <v>12620</v>
      </c>
      <c r="W170" t="s">
        <v>12787</v>
      </c>
      <c r="X170">
        <v>5</v>
      </c>
      <c r="Y170" t="s">
        <v>19035</v>
      </c>
      <c r="Z170" t="s">
        <v>25117</v>
      </c>
      <c r="AA170">
        <v>0.72525786251858881</v>
      </c>
      <c r="AB170" t="str">
        <f>HYPERLINK("Melting_Curves/meltCurve_B7Z755_MLLT3.pdf", "Melting_Curves/meltCurve_B7Z755_MLLT3.pdf")</f>
        <v>Melting_Curves/meltCurve_B7Z755_MLLT3.pdf</v>
      </c>
    </row>
    <row r="171" spans="1:28" x14ac:dyDescent="0.25">
      <c r="A171" t="s">
        <v>175</v>
      </c>
      <c r="B171">
        <v>0.99987803227770999</v>
      </c>
      <c r="C171">
        <v>0.941675804731268</v>
      </c>
      <c r="D171">
        <v>0.90633111293158997</v>
      </c>
      <c r="E171">
        <v>0.52962886230087103</v>
      </c>
      <c r="F171">
        <v>0.209241332953541</v>
      </c>
      <c r="G171">
        <v>0.167756487933334</v>
      </c>
      <c r="H171">
        <v>0.12955694055418401</v>
      </c>
      <c r="I171">
        <v>0.111206079008302</v>
      </c>
      <c r="J171">
        <v>8.4790811346742601E-2</v>
      </c>
      <c r="K171">
        <v>6.8644655324323595E-2</v>
      </c>
      <c r="L171">
        <v>1318.60099077823</v>
      </c>
      <c r="M171">
        <v>26.532143314301099</v>
      </c>
      <c r="N171">
        <v>50.119269292357302</v>
      </c>
      <c r="O171">
        <v>49.418500305934401</v>
      </c>
      <c r="P171">
        <v>-0.12081537916476701</v>
      </c>
      <c r="Q171">
        <v>9.9891628585837097E-2</v>
      </c>
      <c r="R171">
        <v>0.99499717455282299</v>
      </c>
      <c r="S171" t="s">
        <v>6482</v>
      </c>
      <c r="T171" t="s">
        <v>12620</v>
      </c>
      <c r="U171" t="s">
        <v>12620</v>
      </c>
      <c r="V171" t="s">
        <v>12620</v>
      </c>
      <c r="W171" t="s">
        <v>12788</v>
      </c>
      <c r="X171">
        <v>1</v>
      </c>
      <c r="Y171" t="s">
        <v>19036</v>
      </c>
      <c r="Z171" t="s">
        <v>25118</v>
      </c>
      <c r="AA171">
        <v>0.39798410611669982</v>
      </c>
      <c r="AB171" t="str">
        <f>HYPERLINK("Melting_Curves/meltCurve_B7Z7J3_AMN1.pdf", "Melting_Curves/meltCurve_B7Z7J3_AMN1.pdf")</f>
        <v>Melting_Curves/meltCurve_B7Z7J3_AMN1.pdf</v>
      </c>
    </row>
    <row r="172" spans="1:28" x14ac:dyDescent="0.25">
      <c r="A172" t="s">
        <v>176</v>
      </c>
      <c r="B172">
        <v>0.99987803227770999</v>
      </c>
      <c r="C172">
        <v>0.60414967337032399</v>
      </c>
      <c r="D172">
        <v>1.1541314230998201</v>
      </c>
      <c r="E172">
        <v>1.27505625380228</v>
      </c>
      <c r="F172">
        <v>1.0722441275497201</v>
      </c>
      <c r="G172">
        <v>1.10351272368774</v>
      </c>
      <c r="H172">
        <v>1.3636086034102299</v>
      </c>
      <c r="I172">
        <v>1.3372633563539</v>
      </c>
      <c r="J172">
        <v>1.05959004340976</v>
      </c>
      <c r="K172">
        <v>0.67318594112628904</v>
      </c>
      <c r="L172">
        <v>15000</v>
      </c>
      <c r="M172">
        <v>213.56304337599099</v>
      </c>
      <c r="Q172">
        <v>0</v>
      </c>
      <c r="R172">
        <v>0.111584771573137</v>
      </c>
      <c r="S172" t="s">
        <v>6483</v>
      </c>
      <c r="T172" t="s">
        <v>12620</v>
      </c>
      <c r="U172" t="s">
        <v>12620</v>
      </c>
      <c r="V172" t="s">
        <v>12620</v>
      </c>
      <c r="W172" t="s">
        <v>12789</v>
      </c>
      <c r="X172">
        <v>2</v>
      </c>
      <c r="Y172" t="s">
        <v>19037</v>
      </c>
      <c r="Z172" t="s">
        <v>25119</v>
      </c>
      <c r="AA172">
        <v>0.99573477324611592</v>
      </c>
      <c r="AB172" t="str">
        <f>HYPERLINK("Melting_Curves/meltCurve_B7Z7U4_NTRK3.pdf", "Melting_Curves/meltCurve_B7Z7U4_NTRK3.pdf")</f>
        <v>Melting_Curves/meltCurve_B7Z7U4_NTRK3.pdf</v>
      </c>
    </row>
    <row r="173" spans="1:28" x14ac:dyDescent="0.25">
      <c r="A173" t="s">
        <v>177</v>
      </c>
      <c r="B173">
        <v>0.99987803227770999</v>
      </c>
      <c r="C173">
        <v>1.0763298963285599</v>
      </c>
      <c r="D173">
        <v>0.71653961351321904</v>
      </c>
      <c r="E173">
        <v>0.48027012001765201</v>
      </c>
      <c r="F173">
        <v>0.25787128472792198</v>
      </c>
      <c r="G173">
        <v>0.17404282034417101</v>
      </c>
      <c r="H173">
        <v>0.10965601379319199</v>
      </c>
      <c r="I173">
        <v>9.0205972084364802E-2</v>
      </c>
      <c r="J173">
        <v>7.9340487727221104E-2</v>
      </c>
      <c r="K173">
        <v>5.6428141334602298E-2</v>
      </c>
      <c r="L173">
        <v>917.12337628868295</v>
      </c>
      <c r="M173">
        <v>18.683551521727299</v>
      </c>
      <c r="N173">
        <v>49.543950221490498</v>
      </c>
      <c r="O173">
        <v>48.535236207036803</v>
      </c>
      <c r="P173">
        <v>-8.8627280542942694E-2</v>
      </c>
      <c r="Q173">
        <v>7.9112390109731298E-2</v>
      </c>
      <c r="R173">
        <v>0.98092119821629697</v>
      </c>
      <c r="S173" t="s">
        <v>6484</v>
      </c>
      <c r="T173" t="s">
        <v>12620</v>
      </c>
      <c r="U173" t="s">
        <v>12620</v>
      </c>
      <c r="V173" t="s">
        <v>12620</v>
      </c>
      <c r="W173" t="s">
        <v>12790</v>
      </c>
      <c r="X173">
        <v>31</v>
      </c>
      <c r="Y173" t="s">
        <v>19038</v>
      </c>
      <c r="Z173" t="s">
        <v>25120</v>
      </c>
      <c r="AA173">
        <v>0.37283983638313489</v>
      </c>
      <c r="AB173" t="str">
        <f>HYPERLINK("Melting_Curves/meltCurve_B7Z815_USP7.pdf", "Melting_Curves/meltCurve_B7Z815_USP7.pdf")</f>
        <v>Melting_Curves/meltCurve_B7Z815_USP7.pdf</v>
      </c>
    </row>
    <row r="174" spans="1:28" x14ac:dyDescent="0.25">
      <c r="A174" t="s">
        <v>178</v>
      </c>
      <c r="B174">
        <v>0.99987803227770999</v>
      </c>
      <c r="C174">
        <v>0.76458999099922598</v>
      </c>
      <c r="D174">
        <v>0.97093945760495004</v>
      </c>
      <c r="E174">
        <v>0.77773686481568904</v>
      </c>
      <c r="F174">
        <v>1.07583660055083</v>
      </c>
      <c r="G174">
        <v>0.71745833393374803</v>
      </c>
      <c r="H174">
        <v>0.84540780754803302</v>
      </c>
      <c r="I174">
        <v>0.72947550251976301</v>
      </c>
      <c r="J174">
        <v>0.96252216601782004</v>
      </c>
      <c r="K174">
        <v>0.76640874512025303</v>
      </c>
      <c r="L174">
        <v>179.41273341669</v>
      </c>
      <c r="M174">
        <v>3.5775408109294999</v>
      </c>
      <c r="Q174">
        <v>0.74683265321464098</v>
      </c>
      <c r="R174">
        <v>9.54739712098088E-2</v>
      </c>
      <c r="S174" t="s">
        <v>6485</v>
      </c>
      <c r="T174" t="s">
        <v>12620</v>
      </c>
      <c r="U174" t="s">
        <v>12620</v>
      </c>
      <c r="V174" t="s">
        <v>12620</v>
      </c>
      <c r="W174" t="s">
        <v>12791</v>
      </c>
      <c r="X174">
        <v>8</v>
      </c>
      <c r="Y174" t="s">
        <v>19039</v>
      </c>
      <c r="Z174" t="s">
        <v>25121</v>
      </c>
      <c r="AA174">
        <v>0.8595629634016827</v>
      </c>
      <c r="AB174" t="str">
        <f>HYPERLINK("Melting_Curves/meltCurve_B7Z848_RFX5.pdf", "Melting_Curves/meltCurve_B7Z848_RFX5.pdf")</f>
        <v>Melting_Curves/meltCurve_B7Z848_RFX5.pdf</v>
      </c>
    </row>
    <row r="175" spans="1:28" x14ac:dyDescent="0.25">
      <c r="A175" t="s">
        <v>179</v>
      </c>
      <c r="B175">
        <v>0.99987803227770999</v>
      </c>
      <c r="C175">
        <v>0.97041773279028798</v>
      </c>
      <c r="D175">
        <v>0.88483368836997101</v>
      </c>
      <c r="E175">
        <v>0.75908436865134399</v>
      </c>
      <c r="F175">
        <v>0.473282303706416</v>
      </c>
      <c r="G175">
        <v>0.35817328691415001</v>
      </c>
      <c r="H175">
        <v>0.17902152440644101</v>
      </c>
      <c r="I175">
        <v>0.142881918305444</v>
      </c>
      <c r="J175">
        <v>9.49839532481975E-2</v>
      </c>
      <c r="K175">
        <v>0.103907704773457</v>
      </c>
      <c r="L175">
        <v>748.35222612792199</v>
      </c>
      <c r="M175">
        <v>14.1316139083411</v>
      </c>
      <c r="N175">
        <v>53.484180538169198</v>
      </c>
      <c r="O175">
        <v>51.929298161469802</v>
      </c>
      <c r="P175">
        <v>-6.3609384332090596E-2</v>
      </c>
      <c r="Q175">
        <v>6.5140237638653301E-2</v>
      </c>
      <c r="R175">
        <v>0.99396874169621996</v>
      </c>
      <c r="S175" t="s">
        <v>6486</v>
      </c>
      <c r="T175" t="s">
        <v>12620</v>
      </c>
      <c r="U175" t="s">
        <v>12620</v>
      </c>
      <c r="V175" t="s">
        <v>12620</v>
      </c>
      <c r="W175" t="s">
        <v>12792</v>
      </c>
      <c r="X175">
        <v>1</v>
      </c>
      <c r="Y175" t="s">
        <v>19040</v>
      </c>
      <c r="Z175" t="s">
        <v>25122</v>
      </c>
      <c r="AA175">
        <v>0.49073131619079119</v>
      </c>
      <c r="AB175" t="str">
        <f>HYPERLINK("Melting_Curves/meltCurve_B7Z9U0_CNOT8.pdf", "Melting_Curves/meltCurve_B7Z9U0_CNOT8.pdf")</f>
        <v>Melting_Curves/meltCurve_B7Z9U0_CNOT8.pdf</v>
      </c>
    </row>
    <row r="176" spans="1:28" x14ac:dyDescent="0.25">
      <c r="A176" t="s">
        <v>180</v>
      </c>
      <c r="B176">
        <v>0.99987803227770999</v>
      </c>
      <c r="C176">
        <v>0.88740359382996603</v>
      </c>
      <c r="D176">
        <v>1.0425595887660699</v>
      </c>
      <c r="E176">
        <v>0.90427735128653397</v>
      </c>
      <c r="F176">
        <v>0.75102737695956601</v>
      </c>
      <c r="G176">
        <v>0.28436661435539101</v>
      </c>
      <c r="H176">
        <v>0.13915078214665899</v>
      </c>
      <c r="I176">
        <v>8.8808940667863101E-2</v>
      </c>
      <c r="J176">
        <v>6.6397106946720699E-2</v>
      </c>
      <c r="K176">
        <v>7.2457652746783202E-2</v>
      </c>
      <c r="L176">
        <v>1519.4997588840499</v>
      </c>
      <c r="M176">
        <v>27.769568868624599</v>
      </c>
      <c r="N176">
        <v>55.020122416171603</v>
      </c>
      <c r="O176">
        <v>54.436764552829899</v>
      </c>
      <c r="P176">
        <v>-0.118518622880814</v>
      </c>
      <c r="Q176">
        <v>7.0678663309241996E-2</v>
      </c>
      <c r="R176">
        <v>0.98959904441583602</v>
      </c>
      <c r="S176" t="s">
        <v>6487</v>
      </c>
      <c r="T176" t="s">
        <v>12620</v>
      </c>
      <c r="U176" t="s">
        <v>12620</v>
      </c>
      <c r="V176" t="s">
        <v>12620</v>
      </c>
      <c r="W176" t="s">
        <v>12793</v>
      </c>
      <c r="X176">
        <v>2</v>
      </c>
      <c r="Y176" t="s">
        <v>19041</v>
      </c>
      <c r="Z176" t="s">
        <v>25123</v>
      </c>
      <c r="AA176">
        <v>0.53371894465095704</v>
      </c>
      <c r="AB176" t="str">
        <f>HYPERLINK("Melting_Curves/meltCurve_B7Z9X4_NDRG4.pdf", "Melting_Curves/meltCurve_B7Z9X4_NDRG4.pdf")</f>
        <v>Melting_Curves/meltCurve_B7Z9X4_NDRG4.pdf</v>
      </c>
    </row>
    <row r="177" spans="1:28" x14ac:dyDescent="0.25">
      <c r="A177" t="s">
        <v>181</v>
      </c>
      <c r="B177">
        <v>0.99987803227770999</v>
      </c>
      <c r="C177">
        <v>0.94052230923779201</v>
      </c>
      <c r="D177">
        <v>1.0056147087605301</v>
      </c>
      <c r="E177">
        <v>0.91129350895522998</v>
      </c>
      <c r="F177">
        <v>0.90273556464066995</v>
      </c>
      <c r="G177">
        <v>0.40500376281259298</v>
      </c>
      <c r="H177">
        <v>8.0893930140367207E-2</v>
      </c>
      <c r="I177">
        <v>5.7392021377820797E-2</v>
      </c>
      <c r="J177">
        <v>3.7003823681611599E-2</v>
      </c>
      <c r="K177">
        <v>2.83525347606262E-2</v>
      </c>
      <c r="L177">
        <v>1882.0973214944299</v>
      </c>
      <c r="M177">
        <v>33.483256413678397</v>
      </c>
      <c r="N177">
        <v>56.312675691393103</v>
      </c>
      <c r="O177">
        <v>56.010740046073202</v>
      </c>
      <c r="P177">
        <v>-0.14502952706383801</v>
      </c>
      <c r="Q177">
        <v>2.9583400319572298E-2</v>
      </c>
      <c r="R177">
        <v>0.99476526550269795</v>
      </c>
      <c r="S177" t="s">
        <v>6488</v>
      </c>
      <c r="T177" t="s">
        <v>12620</v>
      </c>
      <c r="U177" t="s">
        <v>12620</v>
      </c>
      <c r="V177" t="s">
        <v>12620</v>
      </c>
      <c r="W177" t="s">
        <v>12794</v>
      </c>
      <c r="X177">
        <v>8</v>
      </c>
      <c r="Y177" t="s">
        <v>19042</v>
      </c>
      <c r="Z177" t="s">
        <v>25124</v>
      </c>
      <c r="AA177">
        <v>0.55921380261450959</v>
      </c>
      <c r="AB177" t="str">
        <f>HYPERLINK("Melting_Curves/meltCurve_B7ZAX5_GALK2.pdf", "Melting_Curves/meltCurve_B7ZAX5_GALK2.pdf")</f>
        <v>Melting_Curves/meltCurve_B7ZAX5_GALK2.pdf</v>
      </c>
    </row>
    <row r="178" spans="1:28" x14ac:dyDescent="0.25">
      <c r="A178" t="s">
        <v>182</v>
      </c>
      <c r="B178">
        <v>0.99987803227770999</v>
      </c>
      <c r="C178">
        <v>1.1398506354406199</v>
      </c>
      <c r="D178">
        <v>0.87695924360158695</v>
      </c>
      <c r="E178">
        <v>0.712610876421373</v>
      </c>
      <c r="F178">
        <v>0.23855244753086899</v>
      </c>
      <c r="G178">
        <v>0.136927157107018</v>
      </c>
      <c r="H178">
        <v>8.9537783122176806E-2</v>
      </c>
      <c r="I178">
        <v>7.6730515260299295E-2</v>
      </c>
      <c r="J178">
        <v>5.7558688364558401E-2</v>
      </c>
      <c r="K178">
        <v>4.1793607810474503E-2</v>
      </c>
      <c r="L178">
        <v>1718.1002817722899</v>
      </c>
      <c r="M178">
        <v>33.7038321105005</v>
      </c>
      <c r="N178">
        <v>51.207406455555898</v>
      </c>
      <c r="O178">
        <v>50.797953138726797</v>
      </c>
      <c r="P178">
        <v>-0.1541748622578</v>
      </c>
      <c r="Q178">
        <v>7.0522896749085406E-2</v>
      </c>
      <c r="R178">
        <v>0.98022894279437001</v>
      </c>
      <c r="S178" t="s">
        <v>6489</v>
      </c>
      <c r="T178" t="s">
        <v>12620</v>
      </c>
      <c r="U178" t="s">
        <v>12620</v>
      </c>
      <c r="V178" t="s">
        <v>12620</v>
      </c>
      <c r="W178" t="s">
        <v>12795</v>
      </c>
      <c r="X178">
        <v>13</v>
      </c>
      <c r="Y178" t="s">
        <v>19043</v>
      </c>
      <c r="Z178" t="s">
        <v>25125</v>
      </c>
      <c r="AA178">
        <v>0.41522406410582152</v>
      </c>
      <c r="AB178" t="str">
        <f>HYPERLINK("Melting_Curves/meltCurve_B7ZKK9_PPP2R5E.pdf", "Melting_Curves/meltCurve_B7ZKK9_PPP2R5E.pdf")</f>
        <v>Melting_Curves/meltCurve_B7ZKK9_PPP2R5E.pdf</v>
      </c>
    </row>
    <row r="179" spans="1:28" x14ac:dyDescent="0.25">
      <c r="A179" t="s">
        <v>183</v>
      </c>
      <c r="B179">
        <v>0.99987803227770999</v>
      </c>
      <c r="C179">
        <v>0.89820179151138702</v>
      </c>
      <c r="D179">
        <v>0.73417646855694296</v>
      </c>
      <c r="E179">
        <v>0.81040124463609398</v>
      </c>
      <c r="F179">
        <v>0.40989020449628</v>
      </c>
      <c r="G179">
        <v>0.33746706695323803</v>
      </c>
      <c r="H179">
        <v>0.20182367951702801</v>
      </c>
      <c r="I179">
        <v>0.164700207580425</v>
      </c>
      <c r="J179">
        <v>0.174049356474346</v>
      </c>
      <c r="K179">
        <v>0.13314672479068501</v>
      </c>
      <c r="L179">
        <v>587.32709682872201</v>
      </c>
      <c r="M179">
        <v>11.2625902651584</v>
      </c>
      <c r="N179">
        <v>52.922703019846601</v>
      </c>
      <c r="O179">
        <v>50.585537882834402</v>
      </c>
      <c r="P179">
        <v>-5.1449388845029198E-2</v>
      </c>
      <c r="Q179">
        <v>7.5951996121828694E-2</v>
      </c>
      <c r="R179">
        <v>0.95476657944309595</v>
      </c>
      <c r="S179" t="s">
        <v>6490</v>
      </c>
      <c r="T179" t="s">
        <v>12620</v>
      </c>
      <c r="U179" t="s">
        <v>12620</v>
      </c>
      <c r="V179" t="s">
        <v>12620</v>
      </c>
      <c r="W179" t="s">
        <v>12796</v>
      </c>
      <c r="X179">
        <v>2</v>
      </c>
      <c r="Y179" t="s">
        <v>19044</v>
      </c>
      <c r="Z179" t="s">
        <v>25126</v>
      </c>
      <c r="AA179">
        <v>0.48040140167027678</v>
      </c>
      <c r="AB179" t="str">
        <f>HYPERLINK("Melting_Curves/meltCurve_B7ZKP8_UBXN2A.pdf", "Melting_Curves/meltCurve_B7ZKP8_UBXN2A.pdf")</f>
        <v>Melting_Curves/meltCurve_B7ZKP8_UBXN2A.pdf</v>
      </c>
    </row>
    <row r="180" spans="1:28" x14ac:dyDescent="0.25">
      <c r="A180" t="s">
        <v>184</v>
      </c>
      <c r="B180">
        <v>0.99987803227770999</v>
      </c>
      <c r="C180">
        <v>0.87318163189838105</v>
      </c>
      <c r="D180">
        <v>0.90506746510910796</v>
      </c>
      <c r="E180">
        <v>0.72037042876568602</v>
      </c>
      <c r="F180">
        <v>0.59627790986447704</v>
      </c>
      <c r="G180">
        <v>0.52627629742439497</v>
      </c>
      <c r="H180">
        <v>0.38080513213948097</v>
      </c>
      <c r="I180">
        <v>0.43769909556523801</v>
      </c>
      <c r="J180">
        <v>0.31263901334712302</v>
      </c>
      <c r="K180">
        <v>0.237498867445326</v>
      </c>
      <c r="L180">
        <v>444.323724094922</v>
      </c>
      <c r="M180">
        <v>8.1144354235110505</v>
      </c>
      <c r="N180">
        <v>57.407352817734797</v>
      </c>
      <c r="O180">
        <v>51.732573257024399</v>
      </c>
      <c r="P180">
        <v>-3.31230902207841E-2</v>
      </c>
      <c r="Q180">
        <v>0.15621636224690799</v>
      </c>
      <c r="R180">
        <v>0.97188568608049197</v>
      </c>
      <c r="S180" t="s">
        <v>6491</v>
      </c>
      <c r="T180" t="s">
        <v>12620</v>
      </c>
      <c r="U180" t="s">
        <v>12620</v>
      </c>
      <c r="V180" t="s">
        <v>12620</v>
      </c>
      <c r="W180" t="s">
        <v>12797</v>
      </c>
      <c r="X180">
        <v>5</v>
      </c>
      <c r="Y180" t="s">
        <v>19045</v>
      </c>
      <c r="Z180" t="s">
        <v>25127</v>
      </c>
      <c r="AA180">
        <v>0.59559124728909896</v>
      </c>
      <c r="AB180" t="str">
        <f>HYPERLINK("Melting_Curves/meltCurve_B7ZKT6_SOS2.pdf", "Melting_Curves/meltCurve_B7ZKT6_SOS2.pdf")</f>
        <v>Melting_Curves/meltCurve_B7ZKT6_SOS2.pdf</v>
      </c>
    </row>
    <row r="181" spans="1:28" x14ac:dyDescent="0.25">
      <c r="A181" t="s">
        <v>185</v>
      </c>
      <c r="B181">
        <v>0.99987803227770999</v>
      </c>
      <c r="C181">
        <v>0.86097043616598201</v>
      </c>
      <c r="D181">
        <v>0.96782197347268994</v>
      </c>
      <c r="E181">
        <v>0.78722547623088801</v>
      </c>
      <c r="F181">
        <v>0.86892050076163696</v>
      </c>
      <c r="G181">
        <v>0.44798989646563397</v>
      </c>
      <c r="H181">
        <v>0.18038520073802899</v>
      </c>
      <c r="I181">
        <v>0.133247024994019</v>
      </c>
      <c r="J181">
        <v>0.10393396965907201</v>
      </c>
      <c r="K181">
        <v>8.1526859152156003E-2</v>
      </c>
      <c r="L181">
        <v>1069.10985375325</v>
      </c>
      <c r="M181">
        <v>19.035083353740099</v>
      </c>
      <c r="N181">
        <v>56.4639982002099</v>
      </c>
      <c r="O181">
        <v>55.556365058615903</v>
      </c>
      <c r="P181">
        <v>-8.1556156368718893E-2</v>
      </c>
      <c r="Q181">
        <v>4.7908700820345901E-2</v>
      </c>
      <c r="R181">
        <v>0.96509792386774795</v>
      </c>
      <c r="S181" t="s">
        <v>6492</v>
      </c>
      <c r="T181" t="s">
        <v>12620</v>
      </c>
      <c r="U181" t="s">
        <v>12620</v>
      </c>
      <c r="V181" t="s">
        <v>12620</v>
      </c>
      <c r="W181" t="s">
        <v>12798</v>
      </c>
      <c r="X181">
        <v>4</v>
      </c>
      <c r="Y181" t="s">
        <v>19046</v>
      </c>
      <c r="Z181" t="s">
        <v>25128</v>
      </c>
      <c r="AA181">
        <v>0.57391713020798363</v>
      </c>
      <c r="AB181" t="str">
        <f>HYPERLINK("Melting_Curves/meltCurve_B7ZLQ8_CPEB4.pdf", "Melting_Curves/meltCurve_B7ZLQ8_CPEB4.pdf")</f>
        <v>Melting_Curves/meltCurve_B7ZLQ8_CPEB4.pdf</v>
      </c>
    </row>
    <row r="182" spans="1:28" x14ac:dyDescent="0.25">
      <c r="A182" t="s">
        <v>186</v>
      </c>
      <c r="B182">
        <v>0.99987803227770999</v>
      </c>
      <c r="C182">
        <v>0.98401804529933901</v>
      </c>
      <c r="D182">
        <v>0.99035358631437398</v>
      </c>
      <c r="E182">
        <v>0.86903979587378599</v>
      </c>
      <c r="F182">
        <v>1.0172306506377999</v>
      </c>
      <c r="G182">
        <v>0.92529493406997498</v>
      </c>
      <c r="H182">
        <v>0.70450188639250899</v>
      </c>
      <c r="I182">
        <v>0.826568867205556</v>
      </c>
      <c r="J182">
        <v>0.65477330984770998</v>
      </c>
      <c r="K182">
        <v>0.54564175649609703</v>
      </c>
      <c r="L182">
        <v>561.63556487066899</v>
      </c>
      <c r="M182">
        <v>7.7486382058756202</v>
      </c>
      <c r="O182">
        <v>68.128859426010905</v>
      </c>
      <c r="P182">
        <v>-2.8469985801094E-2</v>
      </c>
      <c r="Q182">
        <v>0</v>
      </c>
      <c r="R182">
        <v>0.85085317816073502</v>
      </c>
      <c r="S182" t="s">
        <v>6493</v>
      </c>
      <c r="T182" t="s">
        <v>12620</v>
      </c>
      <c r="U182" t="s">
        <v>12620</v>
      </c>
      <c r="V182" t="s">
        <v>12620</v>
      </c>
      <c r="W182" t="s">
        <v>12799</v>
      </c>
      <c r="X182">
        <v>7</v>
      </c>
      <c r="Y182" t="s">
        <v>19047</v>
      </c>
      <c r="Z182" t="s">
        <v>25129</v>
      </c>
      <c r="AA182">
        <v>0.87010961190068581</v>
      </c>
      <c r="AB182" t="str">
        <f>HYPERLINK("Melting_Curves/meltCurve_B7ZM82_WIZ.pdf", "Melting_Curves/meltCurve_B7ZM82_WIZ.pdf")</f>
        <v>Melting_Curves/meltCurve_B7ZM82_WIZ.pdf</v>
      </c>
    </row>
    <row r="183" spans="1:28" x14ac:dyDescent="0.25">
      <c r="A183" t="s">
        <v>187</v>
      </c>
      <c r="B183">
        <v>0.99987803227770999</v>
      </c>
      <c r="C183">
        <v>0.91475658720852204</v>
      </c>
      <c r="D183">
        <v>0.86696289679334004</v>
      </c>
      <c r="E183">
        <v>0.84403607522406798</v>
      </c>
      <c r="F183">
        <v>0.85217097943470299</v>
      </c>
      <c r="G183">
        <v>0.69736747798917598</v>
      </c>
      <c r="H183">
        <v>0.679441337716859</v>
      </c>
      <c r="I183">
        <v>0.59671596639810198</v>
      </c>
      <c r="J183">
        <v>0.44772239087629101</v>
      </c>
      <c r="K183">
        <v>0.47806849969165799</v>
      </c>
      <c r="L183">
        <v>336.34418639267699</v>
      </c>
      <c r="M183">
        <v>4.9548478797314202</v>
      </c>
      <c r="N183">
        <v>67.881843607450904</v>
      </c>
      <c r="O183">
        <v>59.119250224595497</v>
      </c>
      <c r="P183">
        <v>-2.1085205427755299E-2</v>
      </c>
      <c r="Q183">
        <v>0</v>
      </c>
      <c r="R183">
        <v>0.95363942055064099</v>
      </c>
      <c r="S183" t="s">
        <v>6494</v>
      </c>
      <c r="T183" t="s">
        <v>12620</v>
      </c>
      <c r="U183" t="s">
        <v>12620</v>
      </c>
      <c r="V183" t="s">
        <v>12620</v>
      </c>
      <c r="W183" t="s">
        <v>12800</v>
      </c>
      <c r="X183">
        <v>2</v>
      </c>
      <c r="Y183" t="s">
        <v>19048</v>
      </c>
      <c r="Z183" t="s">
        <v>25130</v>
      </c>
      <c r="AA183">
        <v>0.74567098947606414</v>
      </c>
      <c r="AB183" t="str">
        <f>HYPERLINK("Melting_Curves/meltCurve_B8X2Z3_RLTPR.pdf", "Melting_Curves/meltCurve_B8X2Z3_RLTPR.pdf")</f>
        <v>Melting_Curves/meltCurve_B8X2Z3_RLTPR.pdf</v>
      </c>
    </row>
    <row r="184" spans="1:28" x14ac:dyDescent="0.25">
      <c r="A184" t="s">
        <v>188</v>
      </c>
      <c r="B184">
        <v>0.99987803227770999</v>
      </c>
      <c r="C184">
        <v>0.85956744204962099</v>
      </c>
      <c r="D184">
        <v>0.77869669413438203</v>
      </c>
      <c r="E184">
        <v>1.10022366385338</v>
      </c>
      <c r="F184">
        <v>1.2387440872929401</v>
      </c>
      <c r="G184">
        <v>0.93335800964568905</v>
      </c>
      <c r="H184">
        <v>0.89793811281565294</v>
      </c>
      <c r="I184">
        <v>0.90666770021550303</v>
      </c>
      <c r="J184">
        <v>0.71381323217378101</v>
      </c>
      <c r="K184">
        <v>0.56222205218792998</v>
      </c>
      <c r="L184">
        <v>1304.8160911714599</v>
      </c>
      <c r="M184">
        <v>18.729763786740101</v>
      </c>
      <c r="O184">
        <v>68.885800719926294</v>
      </c>
      <c r="P184">
        <v>-5.7296890080904397E-2</v>
      </c>
      <c r="Q184">
        <v>0.15711148863528901</v>
      </c>
      <c r="R184">
        <v>0.56509905031282304</v>
      </c>
      <c r="S184" t="s">
        <v>6495</v>
      </c>
      <c r="T184" t="s">
        <v>12620</v>
      </c>
      <c r="U184" t="s">
        <v>12620</v>
      </c>
      <c r="V184" t="s">
        <v>12620</v>
      </c>
      <c r="W184" t="s">
        <v>12801</v>
      </c>
      <c r="X184">
        <v>1</v>
      </c>
      <c r="Y184" t="s">
        <v>19049</v>
      </c>
      <c r="Z184" t="s">
        <v>25131</v>
      </c>
      <c r="AA184">
        <v>0.930609780999193</v>
      </c>
      <c r="AB184" t="str">
        <f>HYPERLINK("Melting_Curves/meltCurve_B8ZZF8_LSM5.pdf", "Melting_Curves/meltCurve_B8ZZF8_LSM5.pdf")</f>
        <v>Melting_Curves/meltCurve_B8ZZF8_LSM5.pdf</v>
      </c>
    </row>
    <row r="185" spans="1:28" x14ac:dyDescent="0.25">
      <c r="A185" t="s">
        <v>189</v>
      </c>
      <c r="B185">
        <v>0.99987803227770999</v>
      </c>
      <c r="C185">
        <v>0.81644083587387595</v>
      </c>
      <c r="D185">
        <v>0.89016661230005401</v>
      </c>
      <c r="E185">
        <v>0.84544315945821003</v>
      </c>
      <c r="F185">
        <v>0.478290256830328</v>
      </c>
      <c r="G185">
        <v>0.19001599054385099</v>
      </c>
      <c r="H185">
        <v>0.101105878800597</v>
      </c>
      <c r="I185">
        <v>8.6528013339031998E-2</v>
      </c>
      <c r="J185">
        <v>5.9738990035039401E-2</v>
      </c>
      <c r="K185">
        <v>4.3104044985743398E-2</v>
      </c>
      <c r="L185">
        <v>1185.69395618316</v>
      </c>
      <c r="M185">
        <v>22.475265093824099</v>
      </c>
      <c r="N185">
        <v>53.010646012026903</v>
      </c>
      <c r="O185">
        <v>52.343160710469299</v>
      </c>
      <c r="P185">
        <v>-0.10184515843874101</v>
      </c>
      <c r="Q185">
        <v>5.1260927975621297E-2</v>
      </c>
      <c r="R185">
        <v>0.97049954939877503</v>
      </c>
      <c r="S185" t="s">
        <v>6496</v>
      </c>
      <c r="T185" t="s">
        <v>12620</v>
      </c>
      <c r="U185" t="s">
        <v>12620</v>
      </c>
      <c r="V185" t="s">
        <v>12620</v>
      </c>
      <c r="W185" t="s">
        <v>12802</v>
      </c>
      <c r="X185">
        <v>6</v>
      </c>
      <c r="Y185" t="s">
        <v>19050</v>
      </c>
      <c r="Z185" t="s">
        <v>25132</v>
      </c>
      <c r="AA185">
        <v>0.46527491323436942</v>
      </c>
      <c r="AB185" t="str">
        <f>HYPERLINK("Melting_Curves/meltCurve_B8ZZJ9_EIF4E2.pdf", "Melting_Curves/meltCurve_B8ZZJ9_EIF4E2.pdf")</f>
        <v>Melting_Curves/meltCurve_B8ZZJ9_EIF4E2.pdf</v>
      </c>
    </row>
    <row r="186" spans="1:28" x14ac:dyDescent="0.25">
      <c r="A186" t="s">
        <v>190</v>
      </c>
      <c r="B186">
        <v>0.99987803227770999</v>
      </c>
      <c r="C186">
        <v>1.5323493010357401</v>
      </c>
      <c r="D186">
        <v>1.2276795566002101</v>
      </c>
      <c r="E186">
        <v>1.31677178869269</v>
      </c>
      <c r="F186">
        <v>0.90520900109413405</v>
      </c>
      <c r="G186">
        <v>0.44090775748875199</v>
      </c>
      <c r="H186">
        <v>0.26379873042746499</v>
      </c>
      <c r="I186">
        <v>0.20558541927473301</v>
      </c>
      <c r="J186">
        <v>0.225219345657521</v>
      </c>
      <c r="K186">
        <v>0.16254913333743601</v>
      </c>
      <c r="L186">
        <v>2508.6948865129498</v>
      </c>
      <c r="M186">
        <v>44.886636281704703</v>
      </c>
      <c r="N186">
        <v>56.569380424808998</v>
      </c>
      <c r="O186">
        <v>55.778966642123699</v>
      </c>
      <c r="P186">
        <v>-0.15924384526312199</v>
      </c>
      <c r="Q186">
        <v>0.20845504071189599</v>
      </c>
      <c r="R186">
        <v>0.82224705951083099</v>
      </c>
      <c r="S186" t="s">
        <v>6497</v>
      </c>
      <c r="T186" t="s">
        <v>12620</v>
      </c>
      <c r="U186" t="s">
        <v>12620</v>
      </c>
      <c r="V186" t="s">
        <v>12620</v>
      </c>
      <c r="W186" t="s">
        <v>12803</v>
      </c>
      <c r="X186">
        <v>5</v>
      </c>
      <c r="Y186" t="s">
        <v>19051</v>
      </c>
      <c r="Z186" t="s">
        <v>25133</v>
      </c>
      <c r="AA186">
        <v>0.63011692186984591</v>
      </c>
      <c r="AB186" t="str">
        <f>HYPERLINK("Melting_Curves/meltCurve_B8ZZK4_RPL31.pdf", "Melting_Curves/meltCurve_B8ZZK4_RPL31.pdf")</f>
        <v>Melting_Curves/meltCurve_B8ZZK4_RPL31.pdf</v>
      </c>
    </row>
    <row r="187" spans="1:28" x14ac:dyDescent="0.25">
      <c r="A187" t="s">
        <v>191</v>
      </c>
      <c r="B187">
        <v>0.99987803227770999</v>
      </c>
      <c r="C187">
        <v>0.70260808892981397</v>
      </c>
      <c r="D187">
        <v>0.78587212308951004</v>
      </c>
      <c r="E187">
        <v>0.74727827343492004</v>
      </c>
      <c r="F187">
        <v>1.0342149291418701</v>
      </c>
      <c r="G187">
        <v>0.67149654699450201</v>
      </c>
      <c r="H187">
        <v>0.87662020633245397</v>
      </c>
      <c r="I187">
        <v>0.89177512714914897</v>
      </c>
      <c r="J187">
        <v>1.0190934967357701</v>
      </c>
      <c r="K187">
        <v>0.802009171533687</v>
      </c>
      <c r="L187">
        <v>10230.292730519401</v>
      </c>
      <c r="M187">
        <v>250</v>
      </c>
      <c r="O187">
        <v>40.918553432954802</v>
      </c>
      <c r="P187">
        <v>-0.24931490047624699</v>
      </c>
      <c r="Q187">
        <v>0.83677432372534799</v>
      </c>
      <c r="R187">
        <v>0.15162277472119701</v>
      </c>
      <c r="S187" t="s">
        <v>6498</v>
      </c>
      <c r="T187" t="s">
        <v>12620</v>
      </c>
      <c r="U187" t="s">
        <v>12620</v>
      </c>
      <c r="V187" t="s">
        <v>12620</v>
      </c>
      <c r="W187" t="s">
        <v>12804</v>
      </c>
      <c r="X187">
        <v>9</v>
      </c>
      <c r="Y187" t="s">
        <v>19052</v>
      </c>
      <c r="Z187" t="s">
        <v>25134</v>
      </c>
      <c r="AA187">
        <v>0.84180066777227325</v>
      </c>
      <c r="AB187" t="str">
        <f>HYPERLINK("Melting_Curves/meltCurve_B8ZZQ6_PTMA.pdf", "Melting_Curves/meltCurve_B8ZZQ6_PTMA.pdf")</f>
        <v>Melting_Curves/meltCurve_B8ZZQ6_PTMA.pdf</v>
      </c>
    </row>
    <row r="188" spans="1:28" x14ac:dyDescent="0.25">
      <c r="A188" t="s">
        <v>192</v>
      </c>
      <c r="B188">
        <v>0.99987803227770999</v>
      </c>
      <c r="C188">
        <v>0.85102567992450595</v>
      </c>
      <c r="D188">
        <v>0.96667267974759896</v>
      </c>
      <c r="E188">
        <v>0.85515390557585302</v>
      </c>
      <c r="F188">
        <v>1.07451178852771</v>
      </c>
      <c r="G188">
        <v>0.96440106969766803</v>
      </c>
      <c r="H188">
        <v>0.95949245845687003</v>
      </c>
      <c r="I188">
        <v>1.02714538193204</v>
      </c>
      <c r="J188">
        <v>0.88130854927784696</v>
      </c>
      <c r="K188">
        <v>0.795809172024324</v>
      </c>
      <c r="L188">
        <v>15000</v>
      </c>
      <c r="M188">
        <v>224.20839486529999</v>
      </c>
      <c r="O188">
        <v>66.896745889312896</v>
      </c>
      <c r="P188">
        <v>-0.17109907245192499</v>
      </c>
      <c r="Q188">
        <v>0.79579770809460404</v>
      </c>
      <c r="R188">
        <v>0.23869558737991001</v>
      </c>
      <c r="S188" t="s">
        <v>6499</v>
      </c>
      <c r="T188" t="s">
        <v>12620</v>
      </c>
      <c r="U188" t="s">
        <v>12620</v>
      </c>
      <c r="V188" t="s">
        <v>12620</v>
      </c>
      <c r="W188" t="s">
        <v>12805</v>
      </c>
      <c r="X188">
        <v>1</v>
      </c>
      <c r="Y188" t="s">
        <v>19053</v>
      </c>
      <c r="Z188" t="s">
        <v>25135</v>
      </c>
      <c r="AA188">
        <v>0.9789427132277948</v>
      </c>
      <c r="AB188" t="str">
        <f>HYPERLINK("Melting_Curves/meltCurve_B8ZZT4_VAMP8.pdf", "Melting_Curves/meltCurve_B8ZZT4_VAMP8.pdf")</f>
        <v>Melting_Curves/meltCurve_B8ZZT4_VAMP8.pdf</v>
      </c>
    </row>
    <row r="189" spans="1:28" x14ac:dyDescent="0.25">
      <c r="A189" t="s">
        <v>193</v>
      </c>
      <c r="B189">
        <v>0.99987803227770999</v>
      </c>
      <c r="C189">
        <v>0.98273857053334202</v>
      </c>
      <c r="D189">
        <v>1.0614258947162101</v>
      </c>
      <c r="E189">
        <v>1.10234839771821</v>
      </c>
      <c r="F189">
        <v>0.41430360438262498</v>
      </c>
      <c r="G189">
        <v>0.182044223719522</v>
      </c>
      <c r="H189">
        <v>0.13482846549064001</v>
      </c>
      <c r="I189">
        <v>0.112009253417579</v>
      </c>
      <c r="J189">
        <v>9.5040704997728404E-2</v>
      </c>
      <c r="K189">
        <v>6.8682010793883003E-2</v>
      </c>
      <c r="L189">
        <v>13213.7917300679</v>
      </c>
      <c r="M189">
        <v>250</v>
      </c>
      <c r="N189">
        <v>52.9124299152055</v>
      </c>
      <c r="O189">
        <v>52.851761363980302</v>
      </c>
      <c r="P189">
        <v>-1.0423951447434401</v>
      </c>
      <c r="Q189">
        <v>0.118520900850879</v>
      </c>
      <c r="R189">
        <v>0.98846613208526801</v>
      </c>
      <c r="S189" t="s">
        <v>6500</v>
      </c>
      <c r="T189" t="s">
        <v>12620</v>
      </c>
      <c r="U189" t="s">
        <v>12620</v>
      </c>
      <c r="V189" t="s">
        <v>12620</v>
      </c>
      <c r="W189" t="s">
        <v>12806</v>
      </c>
      <c r="X189">
        <v>17</v>
      </c>
      <c r="Y189" t="s">
        <v>19054</v>
      </c>
      <c r="Z189" t="s">
        <v>25136</v>
      </c>
      <c r="AA189">
        <v>0.49632136539109201</v>
      </c>
      <c r="AB189" t="str">
        <f>HYPERLINK("Melting_Curves/meltCurve_B9A018_USP39.pdf", "Melting_Curves/meltCurve_B9A018_USP39.pdf")</f>
        <v>Melting_Curves/meltCurve_B9A018_USP39.pdf</v>
      </c>
    </row>
    <row r="190" spans="1:28" x14ac:dyDescent="0.25">
      <c r="A190" t="s">
        <v>194</v>
      </c>
      <c r="B190">
        <v>0.99987803227770999</v>
      </c>
      <c r="C190">
        <v>0.71281317990905102</v>
      </c>
      <c r="D190">
        <v>0.72524680632293104</v>
      </c>
      <c r="E190">
        <v>0.55527148786283198</v>
      </c>
      <c r="F190">
        <v>0.53633725590010595</v>
      </c>
      <c r="G190">
        <v>0.34720540851642701</v>
      </c>
      <c r="H190">
        <v>0.307714569693748</v>
      </c>
      <c r="I190">
        <v>0.31885088766469899</v>
      </c>
      <c r="J190">
        <v>0.307648569577882</v>
      </c>
      <c r="K190">
        <v>0.20848298856251499</v>
      </c>
      <c r="L190">
        <v>409.893332254364</v>
      </c>
      <c r="M190">
        <v>8.3163059120657401</v>
      </c>
      <c r="N190">
        <v>52.236304944099601</v>
      </c>
      <c r="O190">
        <v>46.684781709217603</v>
      </c>
      <c r="P190">
        <v>-3.6227957681921399E-2</v>
      </c>
      <c r="Q190">
        <v>0.18731147540438101</v>
      </c>
      <c r="R190">
        <v>0.94491480995181198</v>
      </c>
      <c r="S190" t="s">
        <v>6501</v>
      </c>
      <c r="T190" t="s">
        <v>12620</v>
      </c>
      <c r="U190" t="s">
        <v>12620</v>
      </c>
      <c r="V190" t="s">
        <v>12620</v>
      </c>
      <c r="W190" t="s">
        <v>12807</v>
      </c>
      <c r="X190">
        <v>1</v>
      </c>
      <c r="Y190" t="s">
        <v>19055</v>
      </c>
      <c r="Z190" t="s">
        <v>25137</v>
      </c>
      <c r="AA190">
        <v>0.48866932329476659</v>
      </c>
      <c r="AB190" t="str">
        <f>HYPERLINK("Melting_Curves/meltCurve_B9A047_ASB1.pdf", "Melting_Curves/meltCurve_B9A047_ASB1.pdf")</f>
        <v>Melting_Curves/meltCurve_B9A047_ASB1.pdf</v>
      </c>
    </row>
    <row r="191" spans="1:28" x14ac:dyDescent="0.25">
      <c r="A191" t="s">
        <v>195</v>
      </c>
      <c r="B191">
        <v>0.99987803227770999</v>
      </c>
      <c r="C191">
        <v>1.04294996100044</v>
      </c>
      <c r="D191">
        <v>0.92633111166172299</v>
      </c>
      <c r="E191">
        <v>1.3713686313440001</v>
      </c>
      <c r="F191">
        <v>1.0228574999340001</v>
      </c>
      <c r="G191">
        <v>1.04689963634784</v>
      </c>
      <c r="H191">
        <v>0.94459803058457303</v>
      </c>
      <c r="I191">
        <v>0.80378906525456395</v>
      </c>
      <c r="J191">
        <v>0.48253070666186998</v>
      </c>
      <c r="K191">
        <v>0.27426405213583499</v>
      </c>
      <c r="L191">
        <v>2367.6735517433699</v>
      </c>
      <c r="M191">
        <v>35.866517200371902</v>
      </c>
      <c r="N191">
        <v>66.843157690829599</v>
      </c>
      <c r="O191">
        <v>65.809272939428894</v>
      </c>
      <c r="P191">
        <v>-0.111774817745149</v>
      </c>
      <c r="Q191">
        <v>0.17964761398932599</v>
      </c>
      <c r="R191">
        <v>0.82867352470626099</v>
      </c>
      <c r="S191" t="s">
        <v>6502</v>
      </c>
      <c r="T191" t="s">
        <v>12620</v>
      </c>
      <c r="U191" t="s">
        <v>12620</v>
      </c>
      <c r="V191" t="s">
        <v>12620</v>
      </c>
      <c r="W191" t="s">
        <v>12808</v>
      </c>
      <c r="X191">
        <v>13</v>
      </c>
      <c r="Y191" t="s">
        <v>19056</v>
      </c>
      <c r="Z191" t="s">
        <v>25138</v>
      </c>
      <c r="AA191">
        <v>0.88829071039230234</v>
      </c>
      <c r="AB191" t="str">
        <f>HYPERLINK("Melting_Curves/meltCurve_C4AMC7_WASH3P.pdf", "Melting_Curves/meltCurve_C4AMC7_WASH3P.pdf")</f>
        <v>Melting_Curves/meltCurve_C4AMC7_WASH3P.pdf</v>
      </c>
    </row>
    <row r="192" spans="1:28" x14ac:dyDescent="0.25">
      <c r="A192" t="s">
        <v>196</v>
      </c>
      <c r="B192">
        <v>0.99987803227770999</v>
      </c>
      <c r="C192">
        <v>0.79282268196349404</v>
      </c>
      <c r="D192">
        <v>0.64555612150350805</v>
      </c>
      <c r="E192">
        <v>0.80403014318782995</v>
      </c>
      <c r="F192">
        <v>0.68271905262909105</v>
      </c>
      <c r="G192">
        <v>0.32486781077168098</v>
      </c>
      <c r="H192">
        <v>0.30985969882032399</v>
      </c>
      <c r="I192">
        <v>0.39201305176699702</v>
      </c>
      <c r="J192">
        <v>0.26739156425101801</v>
      </c>
      <c r="K192">
        <v>0.205827047765859</v>
      </c>
      <c r="L192">
        <v>341.11139538947901</v>
      </c>
      <c r="M192">
        <v>6.1318212596637602</v>
      </c>
      <c r="N192">
        <v>55.629702970394597</v>
      </c>
      <c r="O192">
        <v>50.584712225639599</v>
      </c>
      <c r="P192">
        <v>-3.0395516324309601E-2</v>
      </c>
      <c r="Q192">
        <v>0</v>
      </c>
      <c r="R192">
        <v>0.867501113922587</v>
      </c>
      <c r="S192" t="s">
        <v>6503</v>
      </c>
      <c r="T192" t="s">
        <v>12620</v>
      </c>
      <c r="U192" t="s">
        <v>12620</v>
      </c>
      <c r="V192" t="s">
        <v>12620</v>
      </c>
      <c r="W192" t="s">
        <v>12809</v>
      </c>
      <c r="X192">
        <v>21</v>
      </c>
      <c r="Y192" t="s">
        <v>19057</v>
      </c>
      <c r="Z192" t="s">
        <v>25139</v>
      </c>
      <c r="AA192">
        <v>0.54048752621509533</v>
      </c>
      <c r="AB192" t="str">
        <f>HYPERLINK("Melting_Curves/meltCurve_C9IZE4_PSMD6.pdf", "Melting_Curves/meltCurve_C9IZE4_PSMD6.pdf")</f>
        <v>Melting_Curves/meltCurve_C9IZE4_PSMD6.pdf</v>
      </c>
    </row>
    <row r="193" spans="1:28" x14ac:dyDescent="0.25">
      <c r="A193" t="s">
        <v>197</v>
      </c>
      <c r="B193">
        <v>0.99987803227770999</v>
      </c>
      <c r="C193">
        <v>0.80606305546718104</v>
      </c>
      <c r="D193">
        <v>0.87365341531166196</v>
      </c>
      <c r="E193">
        <v>0.58512625645556704</v>
      </c>
      <c r="F193">
        <v>0.34104142867604198</v>
      </c>
      <c r="G193">
        <v>0.23128835601519601</v>
      </c>
      <c r="H193">
        <v>0.16621804509386301</v>
      </c>
      <c r="I193">
        <v>0.14125261748217999</v>
      </c>
      <c r="J193">
        <v>0.130884686014348</v>
      </c>
      <c r="K193">
        <v>0.10367032113156401</v>
      </c>
      <c r="L193">
        <v>723.88904980929397</v>
      </c>
      <c r="M193">
        <v>14.4234390818186</v>
      </c>
      <c r="N193">
        <v>50.944387339510797</v>
      </c>
      <c r="O193">
        <v>49.253210568075403</v>
      </c>
      <c r="P193">
        <v>-6.61651478662829E-2</v>
      </c>
      <c r="Q193">
        <v>9.6342520461824399E-2</v>
      </c>
      <c r="R193">
        <v>0.979395170732139</v>
      </c>
      <c r="S193" t="s">
        <v>6504</v>
      </c>
      <c r="T193" t="s">
        <v>12620</v>
      </c>
      <c r="U193" t="s">
        <v>12620</v>
      </c>
      <c r="V193" t="s">
        <v>12620</v>
      </c>
      <c r="W193" t="s">
        <v>12810</v>
      </c>
      <c r="X193">
        <v>12</v>
      </c>
      <c r="Y193" t="s">
        <v>19058</v>
      </c>
      <c r="Z193" t="s">
        <v>25140</v>
      </c>
      <c r="AA193">
        <v>0.42616071370819592</v>
      </c>
      <c r="AB193" t="str">
        <f>HYPERLINK("Melting_Curves/meltCurve_C9J0I9_ZC3HC1.pdf", "Melting_Curves/meltCurve_C9J0I9_ZC3HC1.pdf")</f>
        <v>Melting_Curves/meltCurve_C9J0I9_ZC3HC1.pdf</v>
      </c>
    </row>
    <row r="194" spans="1:28" x14ac:dyDescent="0.25">
      <c r="A194" t="s">
        <v>198</v>
      </c>
      <c r="B194">
        <v>0.99987803227770999</v>
      </c>
      <c r="C194">
        <v>0.92805846763166</v>
      </c>
      <c r="D194">
        <v>0.97975419800459596</v>
      </c>
      <c r="E194">
        <v>0.63567342280970396</v>
      </c>
      <c r="F194">
        <v>0.39329264331311897</v>
      </c>
      <c r="G194">
        <v>0.17358049089545</v>
      </c>
      <c r="H194">
        <v>8.7127867606406603E-2</v>
      </c>
      <c r="I194">
        <v>6.8880530678107302E-2</v>
      </c>
      <c r="J194">
        <v>5.5264997349684097E-2</v>
      </c>
      <c r="K194">
        <v>4.1843209631809403E-2</v>
      </c>
      <c r="L194">
        <v>1050.67236546912</v>
      </c>
      <c r="M194">
        <v>20.4181541390159</v>
      </c>
      <c r="N194">
        <v>51.715628894730798</v>
      </c>
      <c r="O194">
        <v>50.971789076519499</v>
      </c>
      <c r="P194">
        <v>-9.5300219921493401E-2</v>
      </c>
      <c r="Q194">
        <v>4.84003414355531E-2</v>
      </c>
      <c r="R194">
        <v>0.99515128855627999</v>
      </c>
      <c r="S194" t="s">
        <v>6505</v>
      </c>
      <c r="T194" t="s">
        <v>12620</v>
      </c>
      <c r="U194" t="s">
        <v>12620</v>
      </c>
      <c r="V194" t="s">
        <v>12620</v>
      </c>
      <c r="W194" t="s">
        <v>12811</v>
      </c>
      <c r="X194">
        <v>10</v>
      </c>
      <c r="Y194" t="s">
        <v>19059</v>
      </c>
      <c r="Z194" t="s">
        <v>25141</v>
      </c>
      <c r="AA194">
        <v>0.4245404480729108</v>
      </c>
      <c r="AB194" t="str">
        <f>HYPERLINK("Melting_Curves/meltCurve_C9J0J7_PFN2.pdf", "Melting_Curves/meltCurve_C9J0J7_PFN2.pdf")</f>
        <v>Melting_Curves/meltCurve_C9J0J7_PFN2.pdf</v>
      </c>
    </row>
    <row r="195" spans="1:28" x14ac:dyDescent="0.25">
      <c r="A195" t="s">
        <v>199</v>
      </c>
      <c r="B195">
        <v>0.99987803227770999</v>
      </c>
      <c r="C195">
        <v>0.58054466423630902</v>
      </c>
      <c r="D195">
        <v>1.25932513524124</v>
      </c>
      <c r="E195">
        <v>1.1484755000173099</v>
      </c>
      <c r="F195">
        <v>0.71027829964142797</v>
      </c>
      <c r="G195">
        <v>0.59757823624234896</v>
      </c>
      <c r="H195">
        <v>0.28245547861592701</v>
      </c>
      <c r="I195">
        <v>0.16210955184356099</v>
      </c>
      <c r="J195">
        <v>0.110085642953656</v>
      </c>
      <c r="K195">
        <v>7.3214102309763607E-2</v>
      </c>
      <c r="L195">
        <v>1169.6398616311501</v>
      </c>
      <c r="M195">
        <v>20.3728891902432</v>
      </c>
      <c r="N195">
        <v>57.7699789018262</v>
      </c>
      <c r="O195">
        <v>56.867022327811902</v>
      </c>
      <c r="P195">
        <v>-8.4249378569485195E-2</v>
      </c>
      <c r="Q195">
        <v>5.9364431373874003E-2</v>
      </c>
      <c r="R195">
        <v>0.82274955903577296</v>
      </c>
      <c r="S195" t="s">
        <v>6506</v>
      </c>
      <c r="T195" t="s">
        <v>12620</v>
      </c>
      <c r="U195" t="s">
        <v>12620</v>
      </c>
      <c r="V195" t="s">
        <v>12620</v>
      </c>
      <c r="W195" t="s">
        <v>12812</v>
      </c>
      <c r="X195">
        <v>11</v>
      </c>
      <c r="Y195" t="s">
        <v>19060</v>
      </c>
      <c r="Z195" t="s">
        <v>25142</v>
      </c>
      <c r="AA195">
        <v>0.61626389654182057</v>
      </c>
      <c r="AB195" t="str">
        <f>HYPERLINK("Melting_Curves/meltCurve_C9J0K6_SRI.pdf", "Melting_Curves/meltCurve_C9J0K6_SRI.pdf")</f>
        <v>Melting_Curves/meltCurve_C9J0K6_SRI.pdf</v>
      </c>
    </row>
    <row r="196" spans="1:28" x14ac:dyDescent="0.25">
      <c r="A196" t="s">
        <v>200</v>
      </c>
      <c r="B196">
        <v>0.99987803227770999</v>
      </c>
      <c r="C196">
        <v>0.82403849470731605</v>
      </c>
      <c r="D196">
        <v>0.99100990703128</v>
      </c>
      <c r="E196">
        <v>0.67638477901285998</v>
      </c>
      <c r="F196">
        <v>0.75192889428506904</v>
      </c>
      <c r="G196">
        <v>0.59459053651762095</v>
      </c>
      <c r="H196">
        <v>0.57175130911716898</v>
      </c>
      <c r="I196">
        <v>0.57992866820433797</v>
      </c>
      <c r="J196">
        <v>0.40191811300567698</v>
      </c>
      <c r="K196">
        <v>0.41434342642100103</v>
      </c>
      <c r="L196">
        <v>339.08109033968498</v>
      </c>
      <c r="M196">
        <v>5.7706680370250902</v>
      </c>
      <c r="N196">
        <v>64.068123935638496</v>
      </c>
      <c r="O196">
        <v>52.852514480676902</v>
      </c>
      <c r="P196">
        <v>-2.2191001837964901E-2</v>
      </c>
      <c r="Q196">
        <v>0.19003898953578099</v>
      </c>
      <c r="R196">
        <v>0.87429349572715398</v>
      </c>
      <c r="S196" t="s">
        <v>6507</v>
      </c>
      <c r="T196" t="s">
        <v>12620</v>
      </c>
      <c r="U196" t="s">
        <v>12620</v>
      </c>
      <c r="V196" t="s">
        <v>12620</v>
      </c>
      <c r="W196" t="s">
        <v>12813</v>
      </c>
      <c r="X196">
        <v>1</v>
      </c>
      <c r="Y196" t="s">
        <v>19061</v>
      </c>
      <c r="Z196" t="s">
        <v>25143</v>
      </c>
      <c r="AA196">
        <v>0.68015251475132765</v>
      </c>
      <c r="AB196" t="str">
        <f>HYPERLINK("Melting_Curves/meltCurve_C9J0V9_ZNF655.pdf", "Melting_Curves/meltCurve_C9J0V9_ZNF655.pdf")</f>
        <v>Melting_Curves/meltCurve_C9J0V9_ZNF655.pdf</v>
      </c>
    </row>
    <row r="197" spans="1:28" x14ac:dyDescent="0.25">
      <c r="A197" t="s">
        <v>201</v>
      </c>
      <c r="B197">
        <v>0.99987803227770999</v>
      </c>
      <c r="C197">
        <v>0.90098119756214401</v>
      </c>
      <c r="D197">
        <v>0.87497396621607604</v>
      </c>
      <c r="E197">
        <v>0.65489018756772899</v>
      </c>
      <c r="F197">
        <v>0.62215310427071802</v>
      </c>
      <c r="G197">
        <v>0.28485189503743802</v>
      </c>
      <c r="H197">
        <v>0.38048093470799199</v>
      </c>
      <c r="I197">
        <v>0.37073477244597203</v>
      </c>
      <c r="J197">
        <v>0.61177501081914998</v>
      </c>
      <c r="K197">
        <v>0.41094854839536199</v>
      </c>
      <c r="L197">
        <v>928.07757383988496</v>
      </c>
      <c r="M197">
        <v>18.910766772906399</v>
      </c>
      <c r="N197">
        <v>54.142184902604598</v>
      </c>
      <c r="O197">
        <v>48.537764731895997</v>
      </c>
      <c r="P197">
        <v>-5.7004908183879897E-2</v>
      </c>
      <c r="Q197">
        <v>0.41477181199803398</v>
      </c>
      <c r="R197">
        <v>0.85210619850063396</v>
      </c>
      <c r="S197" t="s">
        <v>6508</v>
      </c>
      <c r="T197" t="s">
        <v>12620</v>
      </c>
      <c r="U197" t="s">
        <v>12620</v>
      </c>
      <c r="V197" t="s">
        <v>12620</v>
      </c>
      <c r="W197" t="s">
        <v>12814</v>
      </c>
      <c r="X197">
        <v>3</v>
      </c>
      <c r="Y197" t="s">
        <v>19021</v>
      </c>
      <c r="Z197" t="s">
        <v>25144</v>
      </c>
      <c r="AA197">
        <v>0.60100788604632993</v>
      </c>
      <c r="AB197" t="str">
        <f>HYPERLINK("Melting_Curves/meltCurve_C9J191_KLHL22.pdf", "Melting_Curves/meltCurve_C9J191_KLHL22.pdf")</f>
        <v>Melting_Curves/meltCurve_C9J191_KLHL22.pdf</v>
      </c>
    </row>
    <row r="198" spans="1:28" x14ac:dyDescent="0.25">
      <c r="A198" t="s">
        <v>202</v>
      </c>
      <c r="B198">
        <v>0.99987803227770999</v>
      </c>
      <c r="C198">
        <v>0.77241874508522501</v>
      </c>
      <c r="D198">
        <v>0.88595337829649901</v>
      </c>
      <c r="E198">
        <v>0.75361938074254298</v>
      </c>
      <c r="F198">
        <v>1.01228566025491</v>
      </c>
      <c r="G198">
        <v>0.70901278735906603</v>
      </c>
      <c r="H198">
        <v>0.34874622715432602</v>
      </c>
      <c r="I198">
        <v>0.22868733498678701</v>
      </c>
      <c r="J198">
        <v>0.21057093718957701</v>
      </c>
      <c r="K198">
        <v>0.15183048737419899</v>
      </c>
      <c r="L198">
        <v>1505.71712361704</v>
      </c>
      <c r="M198">
        <v>25.797419182706602</v>
      </c>
      <c r="N198">
        <v>59.214441352929299</v>
      </c>
      <c r="O198">
        <v>58.019629442831899</v>
      </c>
      <c r="P198">
        <v>-9.4000537224494501E-2</v>
      </c>
      <c r="Q198">
        <v>0.154363224240809</v>
      </c>
      <c r="R198">
        <v>0.87764120037832605</v>
      </c>
      <c r="S198" t="s">
        <v>6509</v>
      </c>
      <c r="T198" t="s">
        <v>12620</v>
      </c>
      <c r="U198" t="s">
        <v>12620</v>
      </c>
      <c r="V198" t="s">
        <v>12620</v>
      </c>
      <c r="W198" t="s">
        <v>12815</v>
      </c>
      <c r="X198">
        <v>6</v>
      </c>
      <c r="Y198" t="s">
        <v>19062</v>
      </c>
      <c r="Z198" t="s">
        <v>25145</v>
      </c>
      <c r="AA198">
        <v>0.67901087116734726</v>
      </c>
      <c r="AB198" t="str">
        <f>HYPERLINK("Melting_Curves/meltCurve_C9J212_UBE2F.pdf", "Melting_Curves/meltCurve_C9J212_UBE2F.pdf")</f>
        <v>Melting_Curves/meltCurve_C9J212_UBE2F.pdf</v>
      </c>
    </row>
    <row r="199" spans="1:28" x14ac:dyDescent="0.25">
      <c r="A199" t="s">
        <v>203</v>
      </c>
      <c r="B199">
        <v>0.99987803227770999</v>
      </c>
      <c r="C199">
        <v>1.0447741692562</v>
      </c>
      <c r="D199">
        <v>1.09261371059558</v>
      </c>
      <c r="E199">
        <v>0.96371629188448604</v>
      </c>
      <c r="F199">
        <v>0.80434314507670901</v>
      </c>
      <c r="G199">
        <v>0.637134475165262</v>
      </c>
      <c r="H199">
        <v>0.549022719768261</v>
      </c>
      <c r="I199">
        <v>0.28398610462238899</v>
      </c>
      <c r="J199">
        <v>0.124601146090104</v>
      </c>
      <c r="K199">
        <v>7.1250980391382807E-2</v>
      </c>
      <c r="L199">
        <v>875.301362191664</v>
      </c>
      <c r="M199">
        <v>14.594109972782899</v>
      </c>
      <c r="N199">
        <v>59.976344328402398</v>
      </c>
      <c r="O199">
        <v>58.883996116029401</v>
      </c>
      <c r="P199">
        <v>-6.1968244188811701E-2</v>
      </c>
      <c r="Q199">
        <v>0</v>
      </c>
      <c r="R199">
        <v>0.973017389366999</v>
      </c>
      <c r="S199" t="s">
        <v>6510</v>
      </c>
      <c r="T199" t="s">
        <v>12620</v>
      </c>
      <c r="U199" t="s">
        <v>12620</v>
      </c>
      <c r="V199" t="s">
        <v>12620</v>
      </c>
      <c r="W199" t="s">
        <v>12816</v>
      </c>
      <c r="X199">
        <v>2</v>
      </c>
      <c r="Y199" t="s">
        <v>19063</v>
      </c>
      <c r="Z199" t="s">
        <v>25146</v>
      </c>
      <c r="AA199">
        <v>0.6724757781602082</v>
      </c>
      <c r="AB199" t="str">
        <f>HYPERLINK("Melting_Curves/meltCurve_C9J2U0_CCNE1.pdf", "Melting_Curves/meltCurve_C9J2U0_CCNE1.pdf")</f>
        <v>Melting_Curves/meltCurve_C9J2U0_CCNE1.pdf</v>
      </c>
    </row>
    <row r="200" spans="1:28" x14ac:dyDescent="0.25">
      <c r="A200" t="s">
        <v>204</v>
      </c>
      <c r="B200">
        <v>0.99987803227770999</v>
      </c>
      <c r="C200">
        <v>0.75714851616811996</v>
      </c>
      <c r="D200">
        <v>0.67261395381336297</v>
      </c>
      <c r="E200">
        <v>0.595248826425962</v>
      </c>
      <c r="F200">
        <v>0.30439380437211</v>
      </c>
      <c r="G200">
        <v>0.16285738386748599</v>
      </c>
      <c r="H200">
        <v>8.8370092591765106E-2</v>
      </c>
      <c r="I200">
        <v>6.7927524732843997E-2</v>
      </c>
      <c r="J200">
        <v>6.2241887118879798E-2</v>
      </c>
      <c r="K200">
        <v>4.2332149033477998E-2</v>
      </c>
      <c r="L200">
        <v>544.92468273801796</v>
      </c>
      <c r="M200">
        <v>10.976971869595401</v>
      </c>
      <c r="N200">
        <v>49.642529770791398</v>
      </c>
      <c r="O200">
        <v>48.080302562595399</v>
      </c>
      <c r="P200">
        <v>-5.7095655948440502E-2</v>
      </c>
      <c r="Q200">
        <v>0</v>
      </c>
      <c r="R200">
        <v>0.97320575283871802</v>
      </c>
      <c r="S200" t="s">
        <v>6511</v>
      </c>
      <c r="T200" t="s">
        <v>12620</v>
      </c>
      <c r="U200" t="s">
        <v>12620</v>
      </c>
      <c r="V200" t="s">
        <v>12620</v>
      </c>
      <c r="W200" t="s">
        <v>12817</v>
      </c>
      <c r="X200">
        <v>12</v>
      </c>
      <c r="Y200" t="s">
        <v>19064</v>
      </c>
      <c r="Z200" t="s">
        <v>25147</v>
      </c>
      <c r="AA200">
        <v>0.36203081636594991</v>
      </c>
      <c r="AB200" t="str">
        <f>HYPERLINK("Melting_Curves/meltCurve_C9J2Y9_POLR2B.pdf", "Melting_Curves/meltCurve_C9J2Y9_POLR2B.pdf")</f>
        <v>Melting_Curves/meltCurve_C9J2Y9_POLR2B.pdf</v>
      </c>
    </row>
    <row r="201" spans="1:28" x14ac:dyDescent="0.25">
      <c r="A201" t="s">
        <v>205</v>
      </c>
      <c r="B201">
        <v>0.99987803227770999</v>
      </c>
      <c r="C201">
        <v>0.96584823789025098</v>
      </c>
      <c r="D201">
        <v>1.0636260491243501</v>
      </c>
      <c r="E201">
        <v>0.92539366276839696</v>
      </c>
      <c r="F201">
        <v>0.86603968827905198</v>
      </c>
      <c r="G201">
        <v>0.619335175330605</v>
      </c>
      <c r="H201">
        <v>0.75427322333118096</v>
      </c>
      <c r="I201">
        <v>0.61899151608497105</v>
      </c>
      <c r="J201">
        <v>0.81994562672070903</v>
      </c>
      <c r="K201">
        <v>0.63276212823645706</v>
      </c>
      <c r="L201">
        <v>2516.1655143225298</v>
      </c>
      <c r="M201">
        <v>47.4795412791891</v>
      </c>
      <c r="O201">
        <v>52.900976472716998</v>
      </c>
      <c r="P201">
        <v>-6.9807257363475705E-2</v>
      </c>
      <c r="Q201">
        <v>0.68888763186675395</v>
      </c>
      <c r="R201">
        <v>0.81740504938361502</v>
      </c>
      <c r="S201" t="s">
        <v>6512</v>
      </c>
      <c r="T201" t="s">
        <v>12620</v>
      </c>
      <c r="U201" t="s">
        <v>12620</v>
      </c>
      <c r="V201" t="s">
        <v>12620</v>
      </c>
      <c r="W201" t="s">
        <v>12818</v>
      </c>
      <c r="X201">
        <v>3</v>
      </c>
      <c r="Y201" t="s">
        <v>19065</v>
      </c>
      <c r="Z201" t="s">
        <v>25148</v>
      </c>
      <c r="AA201">
        <v>0.82445516283830034</v>
      </c>
      <c r="AB201" t="str">
        <f>HYPERLINK("Melting_Curves/meltCurve_C9J366_IQCJ_SCHIP1.pdf", "Melting_Curves/meltCurve_C9J366_IQCJ_SCHIP1.pdf")</f>
        <v>Melting_Curves/meltCurve_C9J366_IQCJ_SCHIP1.pdf</v>
      </c>
    </row>
    <row r="202" spans="1:28" x14ac:dyDescent="0.25">
      <c r="A202" t="s">
        <v>206</v>
      </c>
      <c r="B202">
        <v>0.99987803227770999</v>
      </c>
      <c r="C202">
        <v>0.89706491658492105</v>
      </c>
      <c r="D202">
        <v>1.0888003349134501</v>
      </c>
      <c r="E202">
        <v>1.09789586293382</v>
      </c>
      <c r="F202">
        <v>0.82315060147943697</v>
      </c>
      <c r="G202">
        <v>0.53941544053879797</v>
      </c>
      <c r="H202">
        <v>0.54120837043975201</v>
      </c>
      <c r="I202">
        <v>0.44930162975018401</v>
      </c>
      <c r="J202">
        <v>0.47250467632147197</v>
      </c>
      <c r="K202">
        <v>0.387170591093071</v>
      </c>
      <c r="L202">
        <v>2289.3744309394301</v>
      </c>
      <c r="M202">
        <v>42.250168726957597</v>
      </c>
      <c r="N202">
        <v>57.767434261021897</v>
      </c>
      <c r="O202">
        <v>54.065191318618098</v>
      </c>
      <c r="P202">
        <v>-0.104800277837736</v>
      </c>
      <c r="Q202">
        <v>0.46357253809509003</v>
      </c>
      <c r="R202">
        <v>0.93819178305624096</v>
      </c>
      <c r="S202" t="s">
        <v>6513</v>
      </c>
      <c r="T202" t="s">
        <v>12620</v>
      </c>
      <c r="U202" t="s">
        <v>12620</v>
      </c>
      <c r="V202" t="s">
        <v>12620</v>
      </c>
      <c r="W202" t="s">
        <v>12819</v>
      </c>
      <c r="X202">
        <v>1</v>
      </c>
      <c r="Y202" t="s">
        <v>19066</v>
      </c>
      <c r="Z202" t="s">
        <v>25149</v>
      </c>
      <c r="AA202">
        <v>0.71903089223042682</v>
      </c>
      <c r="AB202" t="str">
        <f>HYPERLINK("Melting_Curves/meltCurve_C9J384_CMSS1.pdf", "Melting_Curves/meltCurve_C9J384_CMSS1.pdf")</f>
        <v>Melting_Curves/meltCurve_C9J384_CMSS1.pdf</v>
      </c>
    </row>
    <row r="203" spans="1:28" x14ac:dyDescent="0.25">
      <c r="A203" t="s">
        <v>207</v>
      </c>
      <c r="B203">
        <v>0.99987803227770999</v>
      </c>
      <c r="C203">
        <v>0.84546386173076005</v>
      </c>
      <c r="D203">
        <v>0.89937070220288495</v>
      </c>
      <c r="E203">
        <v>0.91351276490357403</v>
      </c>
      <c r="F203">
        <v>0.94900957738168201</v>
      </c>
      <c r="G203">
        <v>0.93935839803872501</v>
      </c>
      <c r="H203">
        <v>0.92512009491950298</v>
      </c>
      <c r="I203">
        <v>0.96706174266296396</v>
      </c>
      <c r="J203">
        <v>0.80471670197738199</v>
      </c>
      <c r="K203">
        <v>0.66748044774123505</v>
      </c>
      <c r="L203">
        <v>1191.0199489347001</v>
      </c>
      <c r="M203">
        <v>16.294611671648099</v>
      </c>
      <c r="Q203">
        <v>0</v>
      </c>
      <c r="R203">
        <v>0.39608397495858499</v>
      </c>
      <c r="S203" t="s">
        <v>6514</v>
      </c>
      <c r="T203" t="s">
        <v>12620</v>
      </c>
      <c r="U203" t="s">
        <v>12620</v>
      </c>
      <c r="V203" t="s">
        <v>12620</v>
      </c>
      <c r="W203" t="s">
        <v>12820</v>
      </c>
      <c r="X203">
        <v>3</v>
      </c>
      <c r="Y203" t="s">
        <v>19067</v>
      </c>
      <c r="Z203" t="s">
        <v>25150</v>
      </c>
      <c r="AA203">
        <v>0.95160191067784894</v>
      </c>
      <c r="AB203" t="str">
        <f>HYPERLINK("Melting_Curves/meltCurve_C9J406_IMMT.pdf", "Melting_Curves/meltCurve_C9J406_IMMT.pdf")</f>
        <v>Melting_Curves/meltCurve_C9J406_IMMT.pdf</v>
      </c>
    </row>
    <row r="204" spans="1:28" x14ac:dyDescent="0.25">
      <c r="A204" t="s">
        <v>208</v>
      </c>
      <c r="B204">
        <v>0.99987803227770999</v>
      </c>
      <c r="C204">
        <v>0.86830347039294498</v>
      </c>
      <c r="D204">
        <v>0.94975679847861605</v>
      </c>
      <c r="E204">
        <v>0.88754082139629598</v>
      </c>
      <c r="F204">
        <v>1.01670502850953</v>
      </c>
      <c r="G204">
        <v>0.93123553698858696</v>
      </c>
      <c r="H204">
        <v>0.703388556332467</v>
      </c>
      <c r="I204">
        <v>0.76502197295035601</v>
      </c>
      <c r="J204">
        <v>0.56345572152355095</v>
      </c>
      <c r="K204">
        <v>0.42852057259867898</v>
      </c>
      <c r="L204">
        <v>722.87511591160103</v>
      </c>
      <c r="M204">
        <v>10.521790443102599</v>
      </c>
      <c r="N204">
        <v>68.702671869161506</v>
      </c>
      <c r="O204">
        <v>66.360217464063396</v>
      </c>
      <c r="P204">
        <v>-3.9654802856958597E-2</v>
      </c>
      <c r="Q204">
        <v>0</v>
      </c>
      <c r="R204">
        <v>0.86276888569260202</v>
      </c>
      <c r="S204" t="s">
        <v>6515</v>
      </c>
      <c r="T204" t="s">
        <v>12620</v>
      </c>
      <c r="U204" t="s">
        <v>12620</v>
      </c>
      <c r="V204" t="s">
        <v>12620</v>
      </c>
      <c r="W204" t="s">
        <v>12821</v>
      </c>
      <c r="X204">
        <v>8</v>
      </c>
      <c r="Y204" t="s">
        <v>19068</v>
      </c>
      <c r="Z204" t="s">
        <v>25151</v>
      </c>
      <c r="AA204">
        <v>0.85278903166146947</v>
      </c>
      <c r="AB204" t="str">
        <f>HYPERLINK("Melting_Curves/meltCurve_C9J4W5_EIF5A2.pdf", "Melting_Curves/meltCurve_C9J4W5_EIF5A2.pdf")</f>
        <v>Melting_Curves/meltCurve_C9J4W5_EIF5A2.pdf</v>
      </c>
    </row>
    <row r="205" spans="1:28" x14ac:dyDescent="0.25">
      <c r="A205" t="s">
        <v>209</v>
      </c>
      <c r="B205">
        <v>0.99987803227770999</v>
      </c>
      <c r="C205">
        <v>0.96093776524924401</v>
      </c>
      <c r="D205">
        <v>0.87923832520364398</v>
      </c>
      <c r="E205">
        <v>0.73647563429534901</v>
      </c>
      <c r="F205">
        <v>0.52255106065616996</v>
      </c>
      <c r="G205">
        <v>0.459807676576799</v>
      </c>
      <c r="H205">
        <v>0.28499113627957301</v>
      </c>
      <c r="I205">
        <v>0.12860537473818701</v>
      </c>
      <c r="J205">
        <v>6.2049203192683498E-2</v>
      </c>
      <c r="K205">
        <v>4.21850152268885E-2</v>
      </c>
      <c r="L205">
        <v>610.60700113946496</v>
      </c>
      <c r="M205">
        <v>11.1874010910518</v>
      </c>
      <c r="N205">
        <v>54.579879239289902</v>
      </c>
      <c r="O205">
        <v>52.923089828667102</v>
      </c>
      <c r="P205">
        <v>-5.2864153885705797E-2</v>
      </c>
      <c r="Q205">
        <v>0</v>
      </c>
      <c r="R205">
        <v>0.98625683922877105</v>
      </c>
      <c r="S205" t="s">
        <v>6516</v>
      </c>
      <c r="T205" t="s">
        <v>12620</v>
      </c>
      <c r="U205" t="s">
        <v>12620</v>
      </c>
      <c r="V205" t="s">
        <v>12620</v>
      </c>
      <c r="W205" t="s">
        <v>12822</v>
      </c>
      <c r="X205">
        <v>9</v>
      </c>
      <c r="Y205" t="s">
        <v>19069</v>
      </c>
      <c r="Z205" t="s">
        <v>25152</v>
      </c>
      <c r="AA205">
        <v>0.51192271454831562</v>
      </c>
      <c r="AB205" t="str">
        <f>HYPERLINK("Melting_Curves/meltCurve_C9J5C3_PDCD10.pdf", "Melting_Curves/meltCurve_C9J5C3_PDCD10.pdf")</f>
        <v>Melting_Curves/meltCurve_C9J5C3_PDCD10.pdf</v>
      </c>
    </row>
    <row r="206" spans="1:28" x14ac:dyDescent="0.25">
      <c r="A206" t="s">
        <v>210</v>
      </c>
      <c r="B206">
        <v>0.99987803227770999</v>
      </c>
      <c r="C206">
        <v>0.94979852082085103</v>
      </c>
      <c r="D206">
        <v>0.873853787763333</v>
      </c>
      <c r="E206">
        <v>0.75782665666803195</v>
      </c>
      <c r="F206">
        <v>0.77258024955209903</v>
      </c>
      <c r="G206">
        <v>0.62881256580590505</v>
      </c>
      <c r="H206">
        <v>0.58463854800658199</v>
      </c>
      <c r="I206">
        <v>0.46317290070125</v>
      </c>
      <c r="J206">
        <v>0.57056934158218897</v>
      </c>
      <c r="K206">
        <v>0.42629409344206198</v>
      </c>
      <c r="L206">
        <v>432.87734667073801</v>
      </c>
      <c r="M206">
        <v>7.8745864139306398</v>
      </c>
      <c r="N206">
        <v>66.008940812256</v>
      </c>
      <c r="O206">
        <v>51.764930999541903</v>
      </c>
      <c r="P206">
        <v>-2.4140482898409601E-2</v>
      </c>
      <c r="Q206">
        <v>0.36599430856222198</v>
      </c>
      <c r="R206">
        <v>0.95210648014958399</v>
      </c>
      <c r="S206" t="s">
        <v>6517</v>
      </c>
      <c r="T206" t="s">
        <v>12620</v>
      </c>
      <c r="U206" t="s">
        <v>12620</v>
      </c>
      <c r="V206" t="s">
        <v>12620</v>
      </c>
      <c r="W206" t="s">
        <v>12823</v>
      </c>
      <c r="X206">
        <v>5</v>
      </c>
      <c r="Y206" t="s">
        <v>19070</v>
      </c>
      <c r="Z206" t="s">
        <v>25153</v>
      </c>
      <c r="AA206">
        <v>0.69975872219556357</v>
      </c>
      <c r="AB206" t="str">
        <f>HYPERLINK("Melting_Curves/meltCurve_C9J5X1_IGF1R.pdf", "Melting_Curves/meltCurve_C9J5X1_IGF1R.pdf")</f>
        <v>Melting_Curves/meltCurve_C9J5X1_IGF1R.pdf</v>
      </c>
    </row>
    <row r="207" spans="1:28" x14ac:dyDescent="0.25">
      <c r="A207" t="s">
        <v>211</v>
      </c>
      <c r="B207">
        <v>0.99987803227770999</v>
      </c>
      <c r="C207">
        <v>1.2203337972433099</v>
      </c>
      <c r="D207">
        <v>1.12820962641567</v>
      </c>
      <c r="E207">
        <v>1.2310417136624201</v>
      </c>
      <c r="F207">
        <v>0.89586584893173205</v>
      </c>
      <c r="G207">
        <v>0.60923120107101203</v>
      </c>
      <c r="H207">
        <v>0.63453636079708398</v>
      </c>
      <c r="I207">
        <v>0.75162967443596396</v>
      </c>
      <c r="J207">
        <v>0.35257370255326198</v>
      </c>
      <c r="K207">
        <v>0.16383618225728999</v>
      </c>
      <c r="L207">
        <v>796.16579289825802</v>
      </c>
      <c r="M207">
        <v>12.3730371978119</v>
      </c>
      <c r="N207">
        <v>64.346851393114903</v>
      </c>
      <c r="O207">
        <v>62.735305108573499</v>
      </c>
      <c r="P207">
        <v>-4.9317072064823803E-2</v>
      </c>
      <c r="Q207">
        <v>0</v>
      </c>
      <c r="R207">
        <v>0.78709863578294703</v>
      </c>
      <c r="S207" t="s">
        <v>6518</v>
      </c>
      <c r="T207" t="s">
        <v>12620</v>
      </c>
      <c r="U207" t="s">
        <v>12620</v>
      </c>
      <c r="V207" t="s">
        <v>12620</v>
      </c>
      <c r="W207" t="s">
        <v>12824</v>
      </c>
      <c r="X207">
        <v>6</v>
      </c>
      <c r="Y207" t="s">
        <v>19071</v>
      </c>
      <c r="Z207" t="s">
        <v>25154</v>
      </c>
      <c r="AA207">
        <v>0.78083567620898242</v>
      </c>
      <c r="AB207" t="str">
        <f>HYPERLINK("Melting_Curves/meltCurve_C9J5X9_FANCB.pdf", "Melting_Curves/meltCurve_C9J5X9_FANCB.pdf")</f>
        <v>Melting_Curves/meltCurve_C9J5X9_FANCB.pdf</v>
      </c>
    </row>
    <row r="208" spans="1:28" x14ac:dyDescent="0.25">
      <c r="A208" t="s">
        <v>212</v>
      </c>
      <c r="B208">
        <v>0.99987803227770999</v>
      </c>
      <c r="C208">
        <v>0.92011001113011703</v>
      </c>
      <c r="D208">
        <v>0.89890838670281104</v>
      </c>
      <c r="E208">
        <v>0.64731518272335398</v>
      </c>
      <c r="F208">
        <v>0.27599158770224802</v>
      </c>
      <c r="G208">
        <v>7.4756771936428296E-2</v>
      </c>
      <c r="H208">
        <v>4.5178463749886301E-2</v>
      </c>
      <c r="I208">
        <v>4.16198253279065E-2</v>
      </c>
      <c r="J208">
        <v>3.9228512935932401E-2</v>
      </c>
      <c r="K208">
        <v>2.7105143130483102E-2</v>
      </c>
      <c r="L208">
        <v>1241.71041274501</v>
      </c>
      <c r="M208">
        <v>24.402642292436798</v>
      </c>
      <c r="N208">
        <v>50.997708592555703</v>
      </c>
      <c r="O208">
        <v>50.546222154125701</v>
      </c>
      <c r="P208">
        <v>-0.11750776170763599</v>
      </c>
      <c r="Q208">
        <v>2.6418928364729099E-2</v>
      </c>
      <c r="R208">
        <v>0.99514867032177301</v>
      </c>
      <c r="S208" t="s">
        <v>6519</v>
      </c>
      <c r="T208" t="s">
        <v>12620</v>
      </c>
      <c r="U208" t="s">
        <v>12620</v>
      </c>
      <c r="V208" t="s">
        <v>12620</v>
      </c>
      <c r="W208" t="s">
        <v>12825</v>
      </c>
      <c r="X208">
        <v>1</v>
      </c>
      <c r="Y208" t="s">
        <v>19072</v>
      </c>
      <c r="Z208" t="s">
        <v>25155</v>
      </c>
      <c r="AA208">
        <v>0.38885520375045618</v>
      </c>
      <c r="AB208" t="str">
        <f>HYPERLINK("Melting_Curves/meltCurve_C9J710_CEP70.pdf", "Melting_Curves/meltCurve_C9J710_CEP70.pdf")</f>
        <v>Melting_Curves/meltCurve_C9J710_CEP70.pdf</v>
      </c>
    </row>
    <row r="209" spans="1:28" x14ac:dyDescent="0.25">
      <c r="A209" t="s">
        <v>213</v>
      </c>
      <c r="B209">
        <v>0.99987803227770999</v>
      </c>
      <c r="C209">
        <v>0.40770324021798299</v>
      </c>
      <c r="D209">
        <v>0.72097789107751498</v>
      </c>
      <c r="E209">
        <v>0.46945409263460802</v>
      </c>
      <c r="F209">
        <v>1.73862742218828</v>
      </c>
      <c r="G209">
        <v>0.62020534302200703</v>
      </c>
      <c r="H209">
        <v>8.8360602477681197E-2</v>
      </c>
      <c r="I209">
        <v>4.0348937160657003E-2</v>
      </c>
      <c r="J209">
        <v>2.2504885360749401E-2</v>
      </c>
      <c r="K209">
        <v>2.3721231268662199E-2</v>
      </c>
      <c r="L209">
        <v>12146.2422823168</v>
      </c>
      <c r="M209">
        <v>212.67467223038699</v>
      </c>
      <c r="N209">
        <v>57.136432558041797</v>
      </c>
      <c r="O209">
        <v>57.106774417186301</v>
      </c>
      <c r="P209">
        <v>-0.89032164391857105</v>
      </c>
      <c r="Q209">
        <v>4.3733560783748203E-2</v>
      </c>
      <c r="R209">
        <v>0.532240637248244</v>
      </c>
      <c r="S209" t="s">
        <v>6520</v>
      </c>
      <c r="T209" t="s">
        <v>12620</v>
      </c>
      <c r="U209" t="s">
        <v>12620</v>
      </c>
      <c r="V209" t="s">
        <v>12620</v>
      </c>
      <c r="W209" t="s">
        <v>12811</v>
      </c>
      <c r="X209">
        <v>8</v>
      </c>
      <c r="Y209" t="s">
        <v>19059</v>
      </c>
      <c r="Z209" t="s">
        <v>25156</v>
      </c>
      <c r="AA209">
        <v>0.58931535557349979</v>
      </c>
      <c r="AB209" t="str">
        <f>HYPERLINK("Melting_Curves/meltCurve_C9J712_PFN2.pdf", "Melting_Curves/meltCurve_C9J712_PFN2.pdf")</f>
        <v>Melting_Curves/meltCurve_C9J712_PFN2.pdf</v>
      </c>
    </row>
    <row r="210" spans="1:28" x14ac:dyDescent="0.25">
      <c r="A210" t="s">
        <v>214</v>
      </c>
      <c r="B210">
        <v>0.99987803227770999</v>
      </c>
      <c r="C210">
        <v>1.1941598028425</v>
      </c>
      <c r="D210">
        <v>0.88969124700611502</v>
      </c>
      <c r="E210">
        <v>0.728518309150892</v>
      </c>
      <c r="F210">
        <v>0.33536961933042198</v>
      </c>
      <c r="G210">
        <v>0.45556961863976803</v>
      </c>
      <c r="H210">
        <v>5.4451426290451299E-2</v>
      </c>
      <c r="I210">
        <v>0.20621474996053299</v>
      </c>
      <c r="J210">
        <v>3.6360706126973098E-2</v>
      </c>
      <c r="K210">
        <v>0</v>
      </c>
      <c r="L210">
        <v>797.07362063154596</v>
      </c>
      <c r="M210">
        <v>15.132873614413899</v>
      </c>
      <c r="N210">
        <v>52.936459997449703</v>
      </c>
      <c r="O210">
        <v>51.777565662944099</v>
      </c>
      <c r="P210">
        <v>-7.0410226484748706E-2</v>
      </c>
      <c r="Q210">
        <v>3.6451520831539103E-2</v>
      </c>
      <c r="R210">
        <v>0.92043353452959398</v>
      </c>
      <c r="S210" t="s">
        <v>6521</v>
      </c>
      <c r="T210" t="s">
        <v>12620</v>
      </c>
      <c r="U210" t="s">
        <v>12620</v>
      </c>
      <c r="V210" t="s">
        <v>12620</v>
      </c>
      <c r="W210" t="s">
        <v>12826</v>
      </c>
      <c r="X210">
        <v>1</v>
      </c>
      <c r="Y210" t="s">
        <v>19073</v>
      </c>
      <c r="Z210" t="s">
        <v>25157</v>
      </c>
      <c r="AA210">
        <v>0.46419123298841258</v>
      </c>
      <c r="AB210" t="str">
        <f>HYPERLINK("Melting_Curves/meltCurve_C9J718_KRIT1.pdf", "Melting_Curves/meltCurve_C9J718_KRIT1.pdf")</f>
        <v>Melting_Curves/meltCurve_C9J718_KRIT1.pdf</v>
      </c>
    </row>
    <row r="211" spans="1:28" x14ac:dyDescent="0.25">
      <c r="A211" t="s">
        <v>215</v>
      </c>
      <c r="B211">
        <v>0.99987803227770999</v>
      </c>
      <c r="C211">
        <v>1.5159462075852199</v>
      </c>
      <c r="D211">
        <v>1.3543370434394499</v>
      </c>
      <c r="E211">
        <v>2.1712266288114499</v>
      </c>
      <c r="F211">
        <v>1.2120505997167601</v>
      </c>
      <c r="G211">
        <v>1.0641795923683299</v>
      </c>
      <c r="H211">
        <v>1.36251407178887</v>
      </c>
      <c r="I211">
        <v>1.02833646396261</v>
      </c>
      <c r="J211">
        <v>0.29352180250023102</v>
      </c>
      <c r="K211">
        <v>0.23399982419596599</v>
      </c>
      <c r="L211">
        <v>15000</v>
      </c>
      <c r="M211">
        <v>226.35025463238301</v>
      </c>
      <c r="N211">
        <v>66.454136297313099</v>
      </c>
      <c r="O211">
        <v>66.263804489875895</v>
      </c>
      <c r="P211">
        <v>-0.65424230684775897</v>
      </c>
      <c r="Q211">
        <v>0.23388494658685499</v>
      </c>
      <c r="R211">
        <v>0.32422114027001198</v>
      </c>
      <c r="S211" t="s">
        <v>6522</v>
      </c>
      <c r="T211" t="s">
        <v>12620</v>
      </c>
      <c r="U211" t="s">
        <v>12620</v>
      </c>
      <c r="V211" t="s">
        <v>12620</v>
      </c>
      <c r="W211" t="s">
        <v>12827</v>
      </c>
      <c r="X211">
        <v>13</v>
      </c>
      <c r="Y211" t="s">
        <v>19074</v>
      </c>
      <c r="Z211" t="s">
        <v>25158</v>
      </c>
      <c r="AA211">
        <v>0.90482890596306198</v>
      </c>
      <c r="AB211" t="str">
        <f>HYPERLINK("Melting_Curves/meltCurve_C9J7H8_LDHB.pdf", "Melting_Curves/meltCurve_C9J7H8_LDHB.pdf")</f>
        <v>Melting_Curves/meltCurve_C9J7H8_LDHB.pdf</v>
      </c>
    </row>
    <row r="212" spans="1:28" x14ac:dyDescent="0.25">
      <c r="A212" t="s">
        <v>216</v>
      </c>
      <c r="B212">
        <v>0.99987803227770999</v>
      </c>
      <c r="C212">
        <v>0.80520473654034996</v>
      </c>
      <c r="D212">
        <v>0.424062529136643</v>
      </c>
      <c r="E212">
        <v>0.31937291137969198</v>
      </c>
      <c r="F212">
        <v>0.14729319089694001</v>
      </c>
      <c r="G212">
        <v>0.101533232162275</v>
      </c>
      <c r="H212">
        <v>6.1469963597030899E-2</v>
      </c>
      <c r="I212">
        <v>4.6251814590580101E-2</v>
      </c>
      <c r="J212">
        <v>3.4695034851956102E-2</v>
      </c>
      <c r="K212">
        <v>2.4879161766391999E-2</v>
      </c>
      <c r="L212">
        <v>766.43505463942995</v>
      </c>
      <c r="M212">
        <v>16.677370635891499</v>
      </c>
      <c r="N212">
        <v>46.225901672301703</v>
      </c>
      <c r="O212">
        <v>45.311079532187698</v>
      </c>
      <c r="P212">
        <v>-8.7761846574011093E-2</v>
      </c>
      <c r="Q212">
        <v>4.6295937131929803E-2</v>
      </c>
      <c r="R212">
        <v>0.97939973573944605</v>
      </c>
      <c r="S212" t="s">
        <v>6523</v>
      </c>
      <c r="T212" t="s">
        <v>12620</v>
      </c>
      <c r="U212" t="s">
        <v>12620</v>
      </c>
      <c r="V212" t="s">
        <v>12620</v>
      </c>
      <c r="W212" t="s">
        <v>12828</v>
      </c>
      <c r="X212">
        <v>10</v>
      </c>
      <c r="Y212" t="s">
        <v>19075</v>
      </c>
      <c r="Z212" t="s">
        <v>25159</v>
      </c>
      <c r="AA212">
        <v>0.25791180805213682</v>
      </c>
      <c r="AB212" t="str">
        <f>HYPERLINK("Melting_Curves/meltCurve_C9J9K3_RPSA.pdf", "Melting_Curves/meltCurve_C9J9K3_RPSA.pdf")</f>
        <v>Melting_Curves/meltCurve_C9J9K3_RPSA.pdf</v>
      </c>
    </row>
    <row r="213" spans="1:28" x14ac:dyDescent="0.25">
      <c r="A213" t="s">
        <v>217</v>
      </c>
      <c r="B213">
        <v>0.99987803227770999</v>
      </c>
      <c r="C213">
        <v>1.01784975213902</v>
      </c>
      <c r="D213">
        <v>1.00926354533429</v>
      </c>
      <c r="E213">
        <v>0.889822266354095</v>
      </c>
      <c r="F213">
        <v>0.73014970467705798</v>
      </c>
      <c r="G213">
        <v>0.69822196324902597</v>
      </c>
      <c r="H213">
        <v>0.57906682012265898</v>
      </c>
      <c r="I213">
        <v>0.49753964756670399</v>
      </c>
      <c r="J213">
        <v>0.43655460474122398</v>
      </c>
      <c r="K213">
        <v>0.35035950835752999</v>
      </c>
      <c r="L213">
        <v>554.55784266108105</v>
      </c>
      <c r="M213">
        <v>9.3630524778341009</v>
      </c>
      <c r="N213">
        <v>63.355004602270903</v>
      </c>
      <c r="O213">
        <v>56.714926161096599</v>
      </c>
      <c r="P213">
        <v>-3.18703102657035E-2</v>
      </c>
      <c r="Q213">
        <v>0.228288746311817</v>
      </c>
      <c r="R213">
        <v>0.97796754669330599</v>
      </c>
      <c r="S213" t="s">
        <v>6524</v>
      </c>
      <c r="T213" t="s">
        <v>12620</v>
      </c>
      <c r="U213" t="s">
        <v>12620</v>
      </c>
      <c r="V213" t="s">
        <v>12620</v>
      </c>
      <c r="W213" t="s">
        <v>12829</v>
      </c>
      <c r="X213">
        <v>3</v>
      </c>
      <c r="Y213" t="s">
        <v>19076</v>
      </c>
      <c r="Z213" t="s">
        <v>25160</v>
      </c>
      <c r="AA213">
        <v>0.72240828048989814</v>
      </c>
      <c r="AB213" t="str">
        <f>HYPERLINK("Melting_Curves/meltCurve_C9JA69_BBX.pdf", "Melting_Curves/meltCurve_C9JA69_BBX.pdf")</f>
        <v>Melting_Curves/meltCurve_C9JA69_BBX.pdf</v>
      </c>
    </row>
    <row r="214" spans="1:28" x14ac:dyDescent="0.25">
      <c r="A214" t="s">
        <v>218</v>
      </c>
      <c r="B214">
        <v>0.99987803227770999</v>
      </c>
      <c r="C214">
        <v>0.85330102909943895</v>
      </c>
      <c r="D214">
        <v>1.0435051873194201</v>
      </c>
      <c r="E214">
        <v>0.86331231362602601</v>
      </c>
      <c r="F214">
        <v>0.95996791636905998</v>
      </c>
      <c r="G214">
        <v>0.84505270220281803</v>
      </c>
      <c r="H214">
        <v>0.82196669845433201</v>
      </c>
      <c r="I214">
        <v>0.679579530554833</v>
      </c>
      <c r="J214">
        <v>0.68884429177406303</v>
      </c>
      <c r="K214">
        <v>0.54318077074496496</v>
      </c>
      <c r="L214">
        <v>443.75052860629103</v>
      </c>
      <c r="M214">
        <v>6.0200741488829896</v>
      </c>
      <c r="O214">
        <v>66.813773913152801</v>
      </c>
      <c r="P214">
        <v>-2.2597654186346901E-2</v>
      </c>
      <c r="Q214">
        <v>0</v>
      </c>
      <c r="R214">
        <v>0.82605027216071003</v>
      </c>
      <c r="S214" t="s">
        <v>6525</v>
      </c>
      <c r="T214" t="s">
        <v>12620</v>
      </c>
      <c r="U214" t="s">
        <v>12620</v>
      </c>
      <c r="V214" t="s">
        <v>12620</v>
      </c>
      <c r="W214" t="s">
        <v>12830</v>
      </c>
      <c r="X214">
        <v>5</v>
      </c>
      <c r="Y214" t="s">
        <v>19077</v>
      </c>
      <c r="Z214" t="s">
        <v>25161</v>
      </c>
      <c r="AA214">
        <v>0.84917096660707059</v>
      </c>
      <c r="AB214" t="str">
        <f>HYPERLINK("Melting_Curves/meltCurve_C9JAX1_FXN.pdf", "Melting_Curves/meltCurve_C9JAX1_FXN.pdf")</f>
        <v>Melting_Curves/meltCurve_C9JAX1_FXN.pdf</v>
      </c>
    </row>
    <row r="215" spans="1:28" x14ac:dyDescent="0.25">
      <c r="A215" t="s">
        <v>219</v>
      </c>
      <c r="B215">
        <v>0.99987803227770999</v>
      </c>
      <c r="C215">
        <v>0.87552719209728402</v>
      </c>
      <c r="D215">
        <v>0.98622912407225105</v>
      </c>
      <c r="E215">
        <v>0.88070121958611103</v>
      </c>
      <c r="F215">
        <v>1.0225513712526699</v>
      </c>
      <c r="G215">
        <v>0.82801673940116904</v>
      </c>
      <c r="H215">
        <v>0.85948529526613404</v>
      </c>
      <c r="I215">
        <v>0.85351827544894698</v>
      </c>
      <c r="J215">
        <v>0.78034269054843497</v>
      </c>
      <c r="K215">
        <v>0.66426709050574095</v>
      </c>
      <c r="L215">
        <v>342.78113636288401</v>
      </c>
      <c r="M215">
        <v>3.9612854958278101</v>
      </c>
      <c r="Q215">
        <v>0</v>
      </c>
      <c r="R215">
        <v>0.66377320632512105</v>
      </c>
      <c r="S215" t="s">
        <v>6526</v>
      </c>
      <c r="T215" t="s">
        <v>12620</v>
      </c>
      <c r="U215" t="s">
        <v>12620</v>
      </c>
      <c r="V215" t="s">
        <v>12620</v>
      </c>
      <c r="W215" t="s">
        <v>12831</v>
      </c>
      <c r="X215">
        <v>6</v>
      </c>
      <c r="Y215" t="s">
        <v>19078</v>
      </c>
      <c r="Z215" t="s">
        <v>25162</v>
      </c>
      <c r="AA215">
        <v>0.8880180800018912</v>
      </c>
      <c r="AB215" t="str">
        <f>HYPERLINK("Melting_Curves/meltCurve_C9JB13_BSDC1.pdf", "Melting_Curves/meltCurve_C9JB13_BSDC1.pdf")</f>
        <v>Melting_Curves/meltCurve_C9JB13_BSDC1.pdf</v>
      </c>
    </row>
    <row r="216" spans="1:28" x14ac:dyDescent="0.25">
      <c r="A216" t="s">
        <v>220</v>
      </c>
      <c r="B216">
        <v>0.99987803227770999</v>
      </c>
      <c r="C216">
        <v>0.94713246978313403</v>
      </c>
      <c r="D216">
        <v>0.93733554836196797</v>
      </c>
      <c r="E216">
        <v>0.91854521928605104</v>
      </c>
      <c r="F216">
        <v>0.83875211139892702</v>
      </c>
      <c r="G216">
        <v>0.70105974454734499</v>
      </c>
      <c r="H216">
        <v>0.59368380570413903</v>
      </c>
      <c r="I216">
        <v>0.70335698486628495</v>
      </c>
      <c r="J216">
        <v>0.50272226887296301</v>
      </c>
      <c r="K216">
        <v>0.42124015808014398</v>
      </c>
      <c r="L216">
        <v>391.98962235528597</v>
      </c>
      <c r="M216">
        <v>5.7910389208074102</v>
      </c>
      <c r="N216">
        <v>67.688998073341594</v>
      </c>
      <c r="O216">
        <v>60.924647506355697</v>
      </c>
      <c r="P216">
        <v>-2.3850407291794499E-2</v>
      </c>
      <c r="Q216">
        <v>0</v>
      </c>
      <c r="R216">
        <v>0.93733632815949097</v>
      </c>
      <c r="S216" t="s">
        <v>6527</v>
      </c>
      <c r="T216" t="s">
        <v>12620</v>
      </c>
      <c r="U216" t="s">
        <v>12620</v>
      </c>
      <c r="V216" t="s">
        <v>12620</v>
      </c>
      <c r="W216" t="s">
        <v>12832</v>
      </c>
      <c r="X216">
        <v>2</v>
      </c>
      <c r="Y216" t="s">
        <v>19079</v>
      </c>
      <c r="Z216" t="s">
        <v>25163</v>
      </c>
      <c r="AA216">
        <v>0.7645490451730601</v>
      </c>
      <c r="AB216" t="str">
        <f>HYPERLINK("Melting_Curves/meltCurve_C9JBM0_NFE2L2.pdf", "Melting_Curves/meltCurve_C9JBM0_NFE2L2.pdf")</f>
        <v>Melting_Curves/meltCurve_C9JBM0_NFE2L2.pdf</v>
      </c>
    </row>
    <row r="217" spans="1:28" x14ac:dyDescent="0.25">
      <c r="A217" t="s">
        <v>221</v>
      </c>
      <c r="B217">
        <v>0.99987803227770999</v>
      </c>
      <c r="C217">
        <v>0.90333539358558601</v>
      </c>
      <c r="D217">
        <v>1.12713578438946</v>
      </c>
      <c r="E217">
        <v>1.01815689994713</v>
      </c>
      <c r="F217">
        <v>1.24702928940688</v>
      </c>
      <c r="G217">
        <v>1.30369528112198</v>
      </c>
      <c r="H217">
        <v>1.2950429680279001</v>
      </c>
      <c r="I217">
        <v>1.32644628009592</v>
      </c>
      <c r="J217">
        <v>1.12355202376177</v>
      </c>
      <c r="K217">
        <v>0.92858948008958297</v>
      </c>
      <c r="L217">
        <v>12616.298872773499</v>
      </c>
      <c r="M217">
        <v>250</v>
      </c>
      <c r="O217">
        <v>50.4619668669026</v>
      </c>
      <c r="P217">
        <v>0.25273904454954199</v>
      </c>
      <c r="Q217">
        <v>1.2040593451441099</v>
      </c>
      <c r="R217">
        <v>0.38152192010394298</v>
      </c>
      <c r="S217" t="s">
        <v>6528</v>
      </c>
      <c r="T217" t="s">
        <v>12620</v>
      </c>
      <c r="U217" t="s">
        <v>12620</v>
      </c>
      <c r="V217" t="s">
        <v>12620</v>
      </c>
      <c r="W217" t="s">
        <v>12833</v>
      </c>
      <c r="X217">
        <v>2</v>
      </c>
      <c r="Y217" t="s">
        <v>19080</v>
      </c>
      <c r="Z217" t="s">
        <v>25164</v>
      </c>
      <c r="AA217">
        <v>1.1328572412085129</v>
      </c>
      <c r="AB217" t="str">
        <f>HYPERLINK("Melting_Curves/meltCurve_C9JCN8_FOSL2.pdf", "Melting_Curves/meltCurve_C9JCN8_FOSL2.pdf")</f>
        <v>Melting_Curves/meltCurve_C9JCN8_FOSL2.pdf</v>
      </c>
    </row>
    <row r="218" spans="1:28" x14ac:dyDescent="0.25">
      <c r="A218" t="s">
        <v>222</v>
      </c>
      <c r="B218">
        <v>0.99987803227770999</v>
      </c>
      <c r="C218">
        <v>1.0533295145492401</v>
      </c>
      <c r="D218">
        <v>0.862544491008301</v>
      </c>
      <c r="E218">
        <v>0.85570649068747096</v>
      </c>
      <c r="F218">
        <v>0.76494530848068798</v>
      </c>
      <c r="G218">
        <v>0.70643924260893798</v>
      </c>
      <c r="H218">
        <v>0.54546029643125404</v>
      </c>
      <c r="I218">
        <v>0.542176870517593</v>
      </c>
      <c r="J218">
        <v>0.34624951596661901</v>
      </c>
      <c r="K218">
        <v>0.28214849417469601</v>
      </c>
      <c r="L218">
        <v>464.18635408240402</v>
      </c>
      <c r="M218">
        <v>7.4006858778934896</v>
      </c>
      <c r="N218">
        <v>62.722071765856199</v>
      </c>
      <c r="O218">
        <v>58.630844940115502</v>
      </c>
      <c r="P218">
        <v>-3.1603940533815801E-2</v>
      </c>
      <c r="Q218">
        <v>0</v>
      </c>
      <c r="R218">
        <v>0.96163000999699499</v>
      </c>
      <c r="S218" t="s">
        <v>6529</v>
      </c>
      <c r="T218" t="s">
        <v>12620</v>
      </c>
      <c r="U218" t="s">
        <v>12620</v>
      </c>
      <c r="V218" t="s">
        <v>12620</v>
      </c>
      <c r="W218" t="s">
        <v>12834</v>
      </c>
      <c r="X218">
        <v>8</v>
      </c>
      <c r="Y218" t="s">
        <v>19081</v>
      </c>
      <c r="Z218" t="s">
        <v>25165</v>
      </c>
      <c r="AA218">
        <v>0.70527043649012955</v>
      </c>
      <c r="AB218" t="str">
        <f>HYPERLINK("Melting_Curves/meltCurve_C9JDG0_DIAPH3.pdf", "Melting_Curves/meltCurve_C9JDG0_DIAPH3.pdf")</f>
        <v>Melting_Curves/meltCurve_C9JDG0_DIAPH3.pdf</v>
      </c>
    </row>
    <row r="219" spans="1:28" x14ac:dyDescent="0.25">
      <c r="A219" t="s">
        <v>223</v>
      </c>
      <c r="B219">
        <v>0.99987803227770999</v>
      </c>
      <c r="C219">
        <v>0.94633927020923003</v>
      </c>
      <c r="D219">
        <v>1.0402571978213699</v>
      </c>
      <c r="E219">
        <v>0.93281290143951101</v>
      </c>
      <c r="F219">
        <v>0.93494035511223095</v>
      </c>
      <c r="G219">
        <v>0.75459695060597398</v>
      </c>
      <c r="H219">
        <v>0.76397614102206501</v>
      </c>
      <c r="I219">
        <v>0.77691187796879002</v>
      </c>
      <c r="J219">
        <v>0.73782510716060601</v>
      </c>
      <c r="K219">
        <v>0.63141952957973202</v>
      </c>
      <c r="L219">
        <v>793.19422901575103</v>
      </c>
      <c r="M219">
        <v>14.1844649649213</v>
      </c>
      <c r="O219">
        <v>54.843676438608497</v>
      </c>
      <c r="P219">
        <v>-2.0889692303723301E-2</v>
      </c>
      <c r="Q219">
        <v>0.67696390746138402</v>
      </c>
      <c r="R219">
        <v>0.88441789738418897</v>
      </c>
      <c r="S219" t="s">
        <v>6530</v>
      </c>
      <c r="T219" t="s">
        <v>12620</v>
      </c>
      <c r="U219" t="s">
        <v>12620</v>
      </c>
      <c r="V219" t="s">
        <v>12620</v>
      </c>
      <c r="W219" t="s">
        <v>12835</v>
      </c>
      <c r="X219">
        <v>54</v>
      </c>
      <c r="Y219" t="s">
        <v>19082</v>
      </c>
      <c r="Z219" t="s">
        <v>25166</v>
      </c>
      <c r="AA219">
        <v>0.85443149591999978</v>
      </c>
      <c r="AB219" t="str">
        <f>HYPERLINK("Melting_Curves/meltCurve_C9JE98_NCOR2.pdf", "Melting_Curves/meltCurve_C9JE98_NCOR2.pdf")</f>
        <v>Melting_Curves/meltCurve_C9JE98_NCOR2.pdf</v>
      </c>
    </row>
    <row r="220" spans="1:28" x14ac:dyDescent="0.25">
      <c r="A220" t="s">
        <v>224</v>
      </c>
      <c r="B220">
        <v>0.99987803227770999</v>
      </c>
      <c r="C220">
        <v>1.0663624984881599</v>
      </c>
      <c r="D220">
        <v>0.992838174035784</v>
      </c>
      <c r="E220">
        <v>0.953431443566226</v>
      </c>
      <c r="F220">
        <v>0.85991865750733598</v>
      </c>
      <c r="G220">
        <v>0.68676034961457</v>
      </c>
      <c r="H220">
        <v>0.54255937654335795</v>
      </c>
      <c r="I220">
        <v>0.51664454707949203</v>
      </c>
      <c r="J220">
        <v>0.32913189742557403</v>
      </c>
      <c r="K220">
        <v>0.33704766194103802</v>
      </c>
      <c r="L220">
        <v>768.85963935681298</v>
      </c>
      <c r="M220">
        <v>12.985700876158999</v>
      </c>
      <c r="N220">
        <v>62.375396142762703</v>
      </c>
      <c r="O220">
        <v>57.856822796855496</v>
      </c>
      <c r="P220">
        <v>-4.2572958350609397E-2</v>
      </c>
      <c r="Q220">
        <v>0.24141201619838901</v>
      </c>
      <c r="R220">
        <v>0.98145311167425897</v>
      </c>
      <c r="S220" t="s">
        <v>6531</v>
      </c>
      <c r="T220" t="s">
        <v>12620</v>
      </c>
      <c r="U220" t="s">
        <v>12620</v>
      </c>
      <c r="V220" t="s">
        <v>12620</v>
      </c>
      <c r="W220" t="s">
        <v>12836</v>
      </c>
      <c r="X220">
        <v>1</v>
      </c>
      <c r="Y220" t="s">
        <v>19083</v>
      </c>
      <c r="Z220" t="s">
        <v>25167</v>
      </c>
      <c r="AA220">
        <v>0.73336544824001593</v>
      </c>
      <c r="AB220" t="str">
        <f>HYPERLINK("Melting_Curves/meltCurve_C9JEV0_AZGP1.pdf", "Melting_Curves/meltCurve_C9JEV0_AZGP1.pdf")</f>
        <v>Melting_Curves/meltCurve_C9JEV0_AZGP1.pdf</v>
      </c>
    </row>
    <row r="221" spans="1:28" x14ac:dyDescent="0.25">
      <c r="A221" t="s">
        <v>225</v>
      </c>
      <c r="B221">
        <v>0.99987803227770999</v>
      </c>
      <c r="C221">
        <v>0.86928953396234299</v>
      </c>
      <c r="D221">
        <v>1.0554560805130899</v>
      </c>
      <c r="E221">
        <v>0.91100401080694604</v>
      </c>
      <c r="F221">
        <v>1.0800946052648399</v>
      </c>
      <c r="G221">
        <v>1.24634639596403</v>
      </c>
      <c r="H221">
        <v>0.82106121907674201</v>
      </c>
      <c r="I221">
        <v>0.82485563314250498</v>
      </c>
      <c r="J221">
        <v>0.66818635365177104</v>
      </c>
      <c r="K221">
        <v>0.73003005753009498</v>
      </c>
      <c r="L221">
        <v>8039.8121102638797</v>
      </c>
      <c r="M221">
        <v>132.59090159575601</v>
      </c>
      <c r="O221">
        <v>60.622436557504699</v>
      </c>
      <c r="P221">
        <v>-0.14173120559955399</v>
      </c>
      <c r="Q221">
        <v>0.74079395253437297</v>
      </c>
      <c r="R221">
        <v>0.61265623025949201</v>
      </c>
      <c r="S221" t="s">
        <v>6532</v>
      </c>
      <c r="T221" t="s">
        <v>12620</v>
      </c>
      <c r="U221" t="s">
        <v>12620</v>
      </c>
      <c r="V221" t="s">
        <v>12620</v>
      </c>
      <c r="W221" t="s">
        <v>12837</v>
      </c>
      <c r="X221">
        <v>4</v>
      </c>
      <c r="Y221" t="s">
        <v>19084</v>
      </c>
      <c r="Z221" t="s">
        <v>25168</v>
      </c>
      <c r="AA221">
        <v>0.91919323836312938</v>
      </c>
      <c r="AB221" t="str">
        <f>HYPERLINK("Melting_Curves/meltCurve_C9JEZ4_CDC42EP3.pdf", "Melting_Curves/meltCurve_C9JEZ4_CDC42EP3.pdf")</f>
        <v>Melting_Curves/meltCurve_C9JEZ4_CDC42EP3.pdf</v>
      </c>
    </row>
    <row r="222" spans="1:28" x14ac:dyDescent="0.25">
      <c r="A222" t="s">
        <v>226</v>
      </c>
      <c r="B222">
        <v>0.99987803227770999</v>
      </c>
      <c r="C222">
        <v>1.12168328156694</v>
      </c>
      <c r="D222">
        <v>1.1314798294960799</v>
      </c>
      <c r="E222">
        <v>0.95022856968706404</v>
      </c>
      <c r="F222">
        <v>0.68454880291804499</v>
      </c>
      <c r="G222">
        <v>0.50556048322617897</v>
      </c>
      <c r="H222">
        <v>0.345024957911088</v>
      </c>
      <c r="I222">
        <v>0.27749496993998202</v>
      </c>
      <c r="J222">
        <v>0.18781030838454299</v>
      </c>
      <c r="K222">
        <v>0.17549942076207301</v>
      </c>
      <c r="L222">
        <v>1038.4633075393999</v>
      </c>
      <c r="M222">
        <v>18.711968730744999</v>
      </c>
      <c r="N222">
        <v>56.890388591918899</v>
      </c>
      <c r="O222">
        <v>54.875067213030697</v>
      </c>
      <c r="P222">
        <v>-6.9582947047153704E-2</v>
      </c>
      <c r="Q222">
        <v>0.18379332637165599</v>
      </c>
      <c r="R222">
        <v>0.96397711208788195</v>
      </c>
      <c r="S222" t="s">
        <v>6533</v>
      </c>
      <c r="T222" t="s">
        <v>12620</v>
      </c>
      <c r="U222" t="s">
        <v>12620</v>
      </c>
      <c r="V222" t="s">
        <v>12620</v>
      </c>
      <c r="W222" t="s">
        <v>12838</v>
      </c>
      <c r="X222">
        <v>2</v>
      </c>
      <c r="Y222" t="s">
        <v>19085</v>
      </c>
      <c r="Z222" t="s">
        <v>25169</v>
      </c>
      <c r="AA222">
        <v>0.61716874885404382</v>
      </c>
      <c r="AB222" t="str">
        <f>HYPERLINK("Melting_Curves/meltCurve_C9JF58_OSCP1.pdf", "Melting_Curves/meltCurve_C9JF58_OSCP1.pdf")</f>
        <v>Melting_Curves/meltCurve_C9JF58_OSCP1.pdf</v>
      </c>
    </row>
    <row r="223" spans="1:28" x14ac:dyDescent="0.25">
      <c r="A223" t="s">
        <v>227</v>
      </c>
      <c r="B223">
        <v>0.99987803227770999</v>
      </c>
      <c r="C223">
        <v>1.0256870466099699</v>
      </c>
      <c r="D223">
        <v>0.89448404396023395</v>
      </c>
      <c r="E223">
        <v>1.0946156283680899</v>
      </c>
      <c r="F223">
        <v>0.66878737818434297</v>
      </c>
      <c r="G223">
        <v>0.49574808848156698</v>
      </c>
      <c r="H223">
        <v>0.190874540943656</v>
      </c>
      <c r="I223">
        <v>0.13610576491378401</v>
      </c>
      <c r="J223">
        <v>9.7189914919694906E-2</v>
      </c>
      <c r="K223">
        <v>7.0346071015820605E-2</v>
      </c>
      <c r="L223">
        <v>1162.30765711237</v>
      </c>
      <c r="M223">
        <v>20.747475560424899</v>
      </c>
      <c r="N223">
        <v>56.390302057652697</v>
      </c>
      <c r="O223">
        <v>55.508986556281698</v>
      </c>
      <c r="P223">
        <v>-8.7518258196385104E-2</v>
      </c>
      <c r="Q223">
        <v>6.3420895481293399E-2</v>
      </c>
      <c r="R223">
        <v>0.96712364293832098</v>
      </c>
      <c r="S223" t="s">
        <v>6534</v>
      </c>
      <c r="T223" t="s">
        <v>12620</v>
      </c>
      <c r="U223" t="s">
        <v>12620</v>
      </c>
      <c r="V223" t="s">
        <v>12620</v>
      </c>
      <c r="W223" t="s">
        <v>12839</v>
      </c>
      <c r="X223">
        <v>22</v>
      </c>
      <c r="Y223" t="s">
        <v>19086</v>
      </c>
      <c r="Z223" t="s">
        <v>25170</v>
      </c>
      <c r="AA223">
        <v>0.57506235833946429</v>
      </c>
      <c r="AB223" t="str">
        <f>HYPERLINK("Melting_Curves/meltCurve_C9JFE4_GPS1.pdf", "Melting_Curves/meltCurve_C9JFE4_GPS1.pdf")</f>
        <v>Melting_Curves/meltCurve_C9JFE4_GPS1.pdf</v>
      </c>
    </row>
    <row r="224" spans="1:28" x14ac:dyDescent="0.25">
      <c r="A224" t="s">
        <v>228</v>
      </c>
      <c r="B224">
        <v>0.99987803227770999</v>
      </c>
      <c r="C224">
        <v>0.80273146694215602</v>
      </c>
      <c r="D224">
        <v>2.21179750772251</v>
      </c>
      <c r="E224">
        <v>0.78280481396316104</v>
      </c>
      <c r="F224">
        <v>0.76987468070220599</v>
      </c>
      <c r="G224">
        <v>0.70337418345063696</v>
      </c>
      <c r="H224">
        <v>0.67337183990927896</v>
      </c>
      <c r="I224">
        <v>0.77141677954515597</v>
      </c>
      <c r="J224">
        <v>0.740072359624661</v>
      </c>
      <c r="K224">
        <v>0.54965349650034101</v>
      </c>
      <c r="L224">
        <v>8668.9277122267795</v>
      </c>
      <c r="M224">
        <v>174.35838419570601</v>
      </c>
      <c r="O224">
        <v>49.712478179987301</v>
      </c>
      <c r="P224">
        <v>-0.26191792268101599</v>
      </c>
      <c r="Q224">
        <v>0.70129136112684498</v>
      </c>
      <c r="R224">
        <v>0.238681578031434</v>
      </c>
      <c r="S224" t="s">
        <v>6535</v>
      </c>
      <c r="T224" t="s">
        <v>12620</v>
      </c>
      <c r="U224" t="s">
        <v>12620</v>
      </c>
      <c r="V224" t="s">
        <v>12620</v>
      </c>
      <c r="W224" t="s">
        <v>12840</v>
      </c>
      <c r="X224">
        <v>16</v>
      </c>
      <c r="Y224" t="s">
        <v>19087</v>
      </c>
      <c r="Z224" t="s">
        <v>25171</v>
      </c>
      <c r="AA224">
        <v>0.79811678325857449</v>
      </c>
      <c r="AB224" t="str">
        <f>HYPERLINK("Melting_Curves/meltCurve_C9JFK9_BAG3.pdf", "Melting_Curves/meltCurve_C9JFK9_BAG3.pdf")</f>
        <v>Melting_Curves/meltCurve_C9JFK9_BAG3.pdf</v>
      </c>
    </row>
    <row r="225" spans="1:28" x14ac:dyDescent="0.25">
      <c r="A225" t="s">
        <v>229</v>
      </c>
      <c r="B225">
        <v>0.99987803227770999</v>
      </c>
      <c r="C225">
        <v>0.84121447813357897</v>
      </c>
      <c r="D225">
        <v>0.92723216531859298</v>
      </c>
      <c r="E225">
        <v>0.77314655804244203</v>
      </c>
      <c r="F225">
        <v>0.79018599077578699</v>
      </c>
      <c r="G225">
        <v>0.648865629165158</v>
      </c>
      <c r="H225">
        <v>0.62518572920687498</v>
      </c>
      <c r="I225">
        <v>0.58451523737959699</v>
      </c>
      <c r="J225">
        <v>0.66503212211446305</v>
      </c>
      <c r="K225">
        <v>0.50176172539950104</v>
      </c>
      <c r="L225">
        <v>363.62011891571899</v>
      </c>
      <c r="M225">
        <v>6.7131016606018097</v>
      </c>
      <c r="O225">
        <v>49.966627740003901</v>
      </c>
      <c r="P225">
        <v>-1.8215690091605102E-2</v>
      </c>
      <c r="Q225">
        <v>0.45884060833719298</v>
      </c>
      <c r="R225">
        <v>0.88268801008105902</v>
      </c>
      <c r="S225" t="s">
        <v>6536</v>
      </c>
      <c r="T225" t="s">
        <v>12620</v>
      </c>
      <c r="U225" t="s">
        <v>12620</v>
      </c>
      <c r="V225" t="s">
        <v>12620</v>
      </c>
      <c r="W225" t="s">
        <v>12841</v>
      </c>
      <c r="X225">
        <v>1</v>
      </c>
      <c r="Y225" t="s">
        <v>19088</v>
      </c>
      <c r="Z225" t="s">
        <v>25172</v>
      </c>
      <c r="AA225">
        <v>0.73311478611581149</v>
      </c>
      <c r="AB225" t="str">
        <f>HYPERLINK("Melting_Curves/meltCurve_C9JG15_ATAD2B.pdf", "Melting_Curves/meltCurve_C9JG15_ATAD2B.pdf")</f>
        <v>Melting_Curves/meltCurve_C9JG15_ATAD2B.pdf</v>
      </c>
    </row>
    <row r="226" spans="1:28" x14ac:dyDescent="0.25">
      <c r="A226" t="s">
        <v>230</v>
      </c>
      <c r="B226">
        <v>0.99987803227770999</v>
      </c>
      <c r="C226">
        <v>1.1024674193783599</v>
      </c>
      <c r="D226">
        <v>1.0066283674782299</v>
      </c>
      <c r="E226">
        <v>0.56699748294988594</v>
      </c>
      <c r="F226">
        <v>0.37971002560744099</v>
      </c>
      <c r="G226">
        <v>0.23351039903957099</v>
      </c>
      <c r="H226">
        <v>0.136722032411182</v>
      </c>
      <c r="I226">
        <v>0.10602364953905</v>
      </c>
      <c r="J226">
        <v>7.1244677147266303E-2</v>
      </c>
      <c r="K226">
        <v>5.33235393657054E-2</v>
      </c>
      <c r="L226">
        <v>1137.97401038936</v>
      </c>
      <c r="M226">
        <v>22.351405322124901</v>
      </c>
      <c r="N226">
        <v>51.398025912165799</v>
      </c>
      <c r="O226">
        <v>50.510577700513103</v>
      </c>
      <c r="P226">
        <v>-0.100108131301562</v>
      </c>
      <c r="Q226">
        <v>9.5105919252588406E-2</v>
      </c>
      <c r="R226">
        <v>0.97971432583671003</v>
      </c>
      <c r="S226" t="s">
        <v>6537</v>
      </c>
      <c r="T226" t="s">
        <v>12620</v>
      </c>
      <c r="U226" t="s">
        <v>12620</v>
      </c>
      <c r="V226" t="s">
        <v>12620</v>
      </c>
      <c r="W226" t="s">
        <v>12842</v>
      </c>
      <c r="X226">
        <v>5</v>
      </c>
      <c r="Y226" t="s">
        <v>19089</v>
      </c>
      <c r="Z226" t="s">
        <v>25173</v>
      </c>
      <c r="AA226">
        <v>0.43443599519975962</v>
      </c>
      <c r="AB226" t="str">
        <f>HYPERLINK("Melting_Curves/meltCurve_C9JG87_MRPL39.pdf", "Melting_Curves/meltCurve_C9JG87_MRPL39.pdf")</f>
        <v>Melting_Curves/meltCurve_C9JG87_MRPL39.pdf</v>
      </c>
    </row>
    <row r="227" spans="1:28" x14ac:dyDescent="0.25">
      <c r="A227" t="s">
        <v>231</v>
      </c>
      <c r="B227">
        <v>0.99987803227770999</v>
      </c>
      <c r="C227">
        <v>0.99175390834015498</v>
      </c>
      <c r="D227">
        <v>1.0269752620477199</v>
      </c>
      <c r="E227">
        <v>0.92627968765937996</v>
      </c>
      <c r="F227">
        <v>1.0094868987404499</v>
      </c>
      <c r="G227">
        <v>0.83124632405987398</v>
      </c>
      <c r="H227">
        <v>0.34614746321982198</v>
      </c>
      <c r="I227">
        <v>0.14672408925442901</v>
      </c>
      <c r="J227">
        <v>9.4518632439376304E-2</v>
      </c>
      <c r="K227">
        <v>6.9479522752627795E-2</v>
      </c>
      <c r="L227">
        <v>2063.7997470067598</v>
      </c>
      <c r="M227">
        <v>34.691379304832402</v>
      </c>
      <c r="N227">
        <v>59.752468016736302</v>
      </c>
      <c r="O227">
        <v>59.293643686017496</v>
      </c>
      <c r="P227">
        <v>-0.13594298255832901</v>
      </c>
      <c r="Q227">
        <v>7.0601989871038703E-2</v>
      </c>
      <c r="R227">
        <v>0.99588512662773399</v>
      </c>
      <c r="S227" t="s">
        <v>6538</v>
      </c>
      <c r="T227" t="s">
        <v>12620</v>
      </c>
      <c r="U227" t="s">
        <v>12620</v>
      </c>
      <c r="V227" t="s">
        <v>12620</v>
      </c>
      <c r="W227" t="s">
        <v>12843</v>
      </c>
      <c r="X227">
        <v>9</v>
      </c>
      <c r="Y227" t="s">
        <v>19090</v>
      </c>
      <c r="Z227" t="s">
        <v>25174</v>
      </c>
      <c r="AA227">
        <v>0.67907521147613581</v>
      </c>
      <c r="AB227" t="str">
        <f>HYPERLINK("Melting_Curves/meltCurve_C9JG97_AAMP.pdf", "Melting_Curves/meltCurve_C9JG97_AAMP.pdf")</f>
        <v>Melting_Curves/meltCurve_C9JG97_AAMP.pdf</v>
      </c>
    </row>
    <row r="228" spans="1:28" x14ac:dyDescent="0.25">
      <c r="A228" t="s">
        <v>232</v>
      </c>
      <c r="B228">
        <v>0.99987803227770999</v>
      </c>
      <c r="C228">
        <v>1.05363546876061</v>
      </c>
      <c r="D228">
        <v>0.87134938327110401</v>
      </c>
      <c r="E228">
        <v>0.69441912050092203</v>
      </c>
      <c r="F228">
        <v>0.27884656312532502</v>
      </c>
      <c r="G228">
        <v>0.18081733147172699</v>
      </c>
      <c r="H228">
        <v>0.114225157431698</v>
      </c>
      <c r="I228">
        <v>9.0462282000611405E-2</v>
      </c>
      <c r="J228">
        <v>7.7198438625349405E-2</v>
      </c>
      <c r="K228">
        <v>6.2754237133889307E-2</v>
      </c>
      <c r="L228">
        <v>1281.95009140412</v>
      </c>
      <c r="M228">
        <v>25.1780031773554</v>
      </c>
      <c r="N228">
        <v>51.288408645994402</v>
      </c>
      <c r="O228">
        <v>50.597549309132702</v>
      </c>
      <c r="P228">
        <v>-0.113998790549406</v>
      </c>
      <c r="Q228">
        <v>8.3647106027938206E-2</v>
      </c>
      <c r="R228">
        <v>0.98938119121659995</v>
      </c>
      <c r="S228" t="s">
        <v>6539</v>
      </c>
      <c r="T228" t="s">
        <v>12620</v>
      </c>
      <c r="U228" t="s">
        <v>12620</v>
      </c>
      <c r="V228" t="s">
        <v>12620</v>
      </c>
      <c r="W228" t="s">
        <v>12844</v>
      </c>
      <c r="X228">
        <v>3</v>
      </c>
      <c r="Y228" t="s">
        <v>19091</v>
      </c>
      <c r="Z228" t="s">
        <v>25175</v>
      </c>
      <c r="AA228">
        <v>0.42521720936294022</v>
      </c>
      <c r="AB228" t="str">
        <f>HYPERLINK("Melting_Curves/meltCurve_C9JIS1_GNB2.pdf", "Melting_Curves/meltCurve_C9JIS1_GNB2.pdf")</f>
        <v>Melting_Curves/meltCurve_C9JIS1_GNB2.pdf</v>
      </c>
    </row>
    <row r="229" spans="1:28" x14ac:dyDescent="0.25">
      <c r="A229" t="s">
        <v>233</v>
      </c>
      <c r="B229">
        <v>0.99987803227770999</v>
      </c>
      <c r="C229">
        <v>1.12561967809539</v>
      </c>
      <c r="D229">
        <v>0.67728705114819099</v>
      </c>
      <c r="E229">
        <v>0.37410986821314401</v>
      </c>
      <c r="F229">
        <v>0.23919376536227699</v>
      </c>
      <c r="G229">
        <v>0.135063969869918</v>
      </c>
      <c r="H229">
        <v>8.3870392186375098E-2</v>
      </c>
      <c r="I229">
        <v>0.29910481871223799</v>
      </c>
      <c r="J229">
        <v>2.4142205458211202E-2</v>
      </c>
      <c r="K229">
        <v>2.07532833224248E-2</v>
      </c>
      <c r="L229">
        <v>1123.9349465364901</v>
      </c>
      <c r="M229">
        <v>23.434083793104701</v>
      </c>
      <c r="N229">
        <v>48.492793274003397</v>
      </c>
      <c r="O229">
        <v>47.616383893918702</v>
      </c>
      <c r="P229">
        <v>-0.109109026898126</v>
      </c>
      <c r="Q229">
        <v>0.113208425768365</v>
      </c>
      <c r="R229">
        <v>0.936545795953173</v>
      </c>
      <c r="S229" t="s">
        <v>6540</v>
      </c>
      <c r="T229" t="s">
        <v>12620</v>
      </c>
      <c r="U229" t="s">
        <v>12620</v>
      </c>
      <c r="V229" t="s">
        <v>12620</v>
      </c>
      <c r="W229" t="s">
        <v>12845</v>
      </c>
      <c r="X229">
        <v>1</v>
      </c>
      <c r="Y229" t="s">
        <v>19092</v>
      </c>
      <c r="Z229" t="s">
        <v>25176</v>
      </c>
      <c r="AA229">
        <v>0.35754637679499679</v>
      </c>
      <c r="AB229" t="str">
        <f>HYPERLINK("Melting_Curves/meltCurve_C9JKT3_PDK1.pdf", "Melting_Curves/meltCurve_C9JKT3_PDK1.pdf")</f>
        <v>Melting_Curves/meltCurve_C9JKT3_PDK1.pdf</v>
      </c>
    </row>
    <row r="230" spans="1:28" x14ac:dyDescent="0.25">
      <c r="A230" t="s">
        <v>234</v>
      </c>
      <c r="B230">
        <v>0.99987803227770999</v>
      </c>
      <c r="C230">
        <v>0.83860058468083198</v>
      </c>
      <c r="D230">
        <v>0.97634360790709596</v>
      </c>
      <c r="E230">
        <v>0.93770515024358503</v>
      </c>
      <c r="F230">
        <v>1.1410777112798101</v>
      </c>
      <c r="G230">
        <v>0.74569786059008003</v>
      </c>
      <c r="H230">
        <v>0.34521361592287902</v>
      </c>
      <c r="I230">
        <v>0.26489222791744799</v>
      </c>
      <c r="J230">
        <v>0.17042092191175301</v>
      </c>
      <c r="K230">
        <v>0.113241621868057</v>
      </c>
      <c r="L230">
        <v>1963.03399417833</v>
      </c>
      <c r="M230">
        <v>33.403611323852203</v>
      </c>
      <c r="N230">
        <v>59.434258506483403</v>
      </c>
      <c r="O230">
        <v>58.557695744802999</v>
      </c>
      <c r="P230">
        <v>-0.12031498725107601</v>
      </c>
      <c r="Q230">
        <v>0.15633809510751401</v>
      </c>
      <c r="R230">
        <v>0.95337621504695103</v>
      </c>
      <c r="S230" t="s">
        <v>6541</v>
      </c>
      <c r="T230" t="s">
        <v>12620</v>
      </c>
      <c r="U230" t="s">
        <v>12620</v>
      </c>
      <c r="V230" t="s">
        <v>12620</v>
      </c>
      <c r="W230" t="s">
        <v>12846</v>
      </c>
      <c r="X230">
        <v>4</v>
      </c>
      <c r="Y230" t="s">
        <v>19093</v>
      </c>
      <c r="Z230" t="s">
        <v>25177</v>
      </c>
      <c r="AA230">
        <v>0.68868748456122064</v>
      </c>
      <c r="AB230" t="str">
        <f>HYPERLINK("Melting_Curves/meltCurve_C9JLU1_POLR2H.pdf", "Melting_Curves/meltCurve_C9JLU1_POLR2H.pdf")</f>
        <v>Melting_Curves/meltCurve_C9JLU1_POLR2H.pdf</v>
      </c>
    </row>
    <row r="231" spans="1:28" x14ac:dyDescent="0.25">
      <c r="A231" t="s">
        <v>235</v>
      </c>
      <c r="B231">
        <v>0.99987803227770999</v>
      </c>
      <c r="C231">
        <v>0.79219795728375297</v>
      </c>
      <c r="D231">
        <v>0.50749662573726595</v>
      </c>
      <c r="E231">
        <v>0.43566430759217001</v>
      </c>
      <c r="F231">
        <v>0.24089488337079801</v>
      </c>
      <c r="G231">
        <v>0.14573706170808801</v>
      </c>
      <c r="H231">
        <v>0.101712124984413</v>
      </c>
      <c r="I231">
        <v>8.3488227538733695E-2</v>
      </c>
      <c r="J231">
        <v>6.0082870367819501E-2</v>
      </c>
      <c r="K231">
        <v>4.8972821118170702E-2</v>
      </c>
      <c r="L231">
        <v>589.969788264371</v>
      </c>
      <c r="M231">
        <v>12.483003647043599</v>
      </c>
      <c r="N231">
        <v>47.621830279014702</v>
      </c>
      <c r="O231">
        <v>46.098120412237897</v>
      </c>
      <c r="P231">
        <v>-6.4663211324262698E-2</v>
      </c>
      <c r="Q231">
        <v>4.5026014522541298E-2</v>
      </c>
      <c r="R231">
        <v>0.97780233267868399</v>
      </c>
      <c r="S231" t="s">
        <v>6542</v>
      </c>
      <c r="T231" t="s">
        <v>12620</v>
      </c>
      <c r="U231" t="s">
        <v>12620</v>
      </c>
      <c r="V231" t="s">
        <v>12620</v>
      </c>
      <c r="W231" t="s">
        <v>12847</v>
      </c>
      <c r="X231">
        <v>4</v>
      </c>
      <c r="Y231" t="s">
        <v>19094</v>
      </c>
      <c r="Z231" t="s">
        <v>25178</v>
      </c>
      <c r="AA231">
        <v>0.31276213765764721</v>
      </c>
      <c r="AB231" t="str">
        <f>HYPERLINK("Melting_Curves/meltCurve_C9JLV4_APAF1.pdf", "Melting_Curves/meltCurve_C9JLV4_APAF1.pdf")</f>
        <v>Melting_Curves/meltCurve_C9JLV4_APAF1.pdf</v>
      </c>
    </row>
    <row r="232" spans="1:28" x14ac:dyDescent="0.25">
      <c r="A232" t="s">
        <v>236</v>
      </c>
      <c r="B232">
        <v>0.99987803227770999</v>
      </c>
      <c r="C232">
        <v>1.1450638477713899</v>
      </c>
      <c r="D232">
        <v>0.93991011289835003</v>
      </c>
      <c r="E232">
        <v>1.11825259514551</v>
      </c>
      <c r="F232">
        <v>1.0864512529994099</v>
      </c>
      <c r="G232">
        <v>1.3346371559574901</v>
      </c>
      <c r="H232">
        <v>1.0381501024097699</v>
      </c>
      <c r="I232">
        <v>1.12089087401621</v>
      </c>
      <c r="J232">
        <v>0.77915197115615797</v>
      </c>
      <c r="K232">
        <v>0.57123784783778597</v>
      </c>
      <c r="L232">
        <v>15000</v>
      </c>
      <c r="M232">
        <v>223.940663446119</v>
      </c>
      <c r="O232">
        <v>66.976706285390605</v>
      </c>
      <c r="P232">
        <v>-0.35842427522044201</v>
      </c>
      <c r="Q232">
        <v>0.57120658448141604</v>
      </c>
      <c r="R232">
        <v>0.56994670786468904</v>
      </c>
      <c r="S232" t="s">
        <v>6543</v>
      </c>
      <c r="T232" t="s">
        <v>12620</v>
      </c>
      <c r="U232" t="s">
        <v>12620</v>
      </c>
      <c r="V232" t="s">
        <v>12620</v>
      </c>
      <c r="W232" t="s">
        <v>12848</v>
      </c>
      <c r="X232">
        <v>1</v>
      </c>
      <c r="Y232" t="s">
        <v>19095</v>
      </c>
      <c r="Z232" t="s">
        <v>25179</v>
      </c>
      <c r="AA232">
        <v>0.9569263167293367</v>
      </c>
      <c r="AB232" t="str">
        <f>HYPERLINK("Melting_Curves/meltCurve_C9JMH6_SERPINF2.pdf", "Melting_Curves/meltCurve_C9JMH6_SERPINF2.pdf")</f>
        <v>Melting_Curves/meltCurve_C9JMH6_SERPINF2.pdf</v>
      </c>
    </row>
    <row r="233" spans="1:28" x14ac:dyDescent="0.25">
      <c r="A233" t="s">
        <v>237</v>
      </c>
      <c r="B233">
        <v>0.99987803227770999</v>
      </c>
      <c r="C233">
        <v>0.81236798254029197</v>
      </c>
      <c r="D233">
        <v>0.76818939837865496</v>
      </c>
      <c r="E233">
        <v>0.33237732907727402</v>
      </c>
      <c r="F233">
        <v>0.21557241048249001</v>
      </c>
      <c r="G233">
        <v>0.140308570614772</v>
      </c>
      <c r="H233">
        <v>0.10615537735821901</v>
      </c>
      <c r="I233">
        <v>9.6207063005615101E-2</v>
      </c>
      <c r="J233">
        <v>5.9477457586517402E-2</v>
      </c>
      <c r="K233">
        <v>4.3712867656088297E-2</v>
      </c>
      <c r="L233">
        <v>830.653079926489</v>
      </c>
      <c r="M233">
        <v>17.317737092671901</v>
      </c>
      <c r="N233">
        <v>48.357628657337997</v>
      </c>
      <c r="O233">
        <v>47.339584825854701</v>
      </c>
      <c r="P233">
        <v>-8.5467997298106099E-2</v>
      </c>
      <c r="Q233">
        <v>6.5516210553294596E-2</v>
      </c>
      <c r="R233">
        <v>0.98651231540614304</v>
      </c>
      <c r="S233" t="s">
        <v>6544</v>
      </c>
      <c r="T233" t="s">
        <v>12620</v>
      </c>
      <c r="U233" t="s">
        <v>12620</v>
      </c>
      <c r="V233" t="s">
        <v>12620</v>
      </c>
      <c r="W233" t="s">
        <v>12849</v>
      </c>
      <c r="X233">
        <v>5</v>
      </c>
      <c r="Y233" t="s">
        <v>19096</v>
      </c>
      <c r="Z233" t="s">
        <v>25180</v>
      </c>
      <c r="AA233">
        <v>0.3316246461728391</v>
      </c>
      <c r="AB233" t="str">
        <f>HYPERLINK("Melting_Curves/meltCurve_C9JNE2_OARD1.pdf", "Melting_Curves/meltCurve_C9JNE2_OARD1.pdf")</f>
        <v>Melting_Curves/meltCurve_C9JNE2_OARD1.pdf</v>
      </c>
    </row>
    <row r="234" spans="1:28" x14ac:dyDescent="0.25">
      <c r="A234" t="s">
        <v>238</v>
      </c>
      <c r="B234">
        <v>0.99987803227770999</v>
      </c>
      <c r="C234">
        <v>1.05423769767176</v>
      </c>
      <c r="D234">
        <v>1.0725910571216699</v>
      </c>
      <c r="E234">
        <v>0.84964197024160704</v>
      </c>
      <c r="F234">
        <v>0.82541473702968104</v>
      </c>
      <c r="G234">
        <v>0.46852649878170399</v>
      </c>
      <c r="H234">
        <v>0.179958826131948</v>
      </c>
      <c r="I234">
        <v>0.11166835881767399</v>
      </c>
      <c r="J234">
        <v>0.112607025827546</v>
      </c>
      <c r="K234">
        <v>7.5292356009624695E-2</v>
      </c>
      <c r="L234">
        <v>1206.5033631331701</v>
      </c>
      <c r="M234">
        <v>21.484430381092</v>
      </c>
      <c r="N234">
        <v>56.497989407888397</v>
      </c>
      <c r="O234">
        <v>55.677366366934898</v>
      </c>
      <c r="P234">
        <v>-9.0606246075914706E-2</v>
      </c>
      <c r="Q234">
        <v>6.0790841837410098E-2</v>
      </c>
      <c r="R234">
        <v>0.98797975894902101</v>
      </c>
      <c r="S234" t="s">
        <v>6545</v>
      </c>
      <c r="T234" t="s">
        <v>12620</v>
      </c>
      <c r="U234" t="s">
        <v>12620</v>
      </c>
      <c r="V234" t="s">
        <v>12620</v>
      </c>
      <c r="W234" t="s">
        <v>12850</v>
      </c>
      <c r="X234">
        <v>9</v>
      </c>
      <c r="Y234" t="s">
        <v>19097</v>
      </c>
      <c r="Z234" t="s">
        <v>25181</v>
      </c>
      <c r="AA234">
        <v>0.57750027917289193</v>
      </c>
      <c r="AB234" t="str">
        <f>HYPERLINK("Melting_Curves/meltCurve_C9JNI7_HSPBP1.pdf", "Melting_Curves/meltCurve_C9JNI7_HSPBP1.pdf")</f>
        <v>Melting_Curves/meltCurve_C9JNI7_HSPBP1.pdf</v>
      </c>
    </row>
    <row r="235" spans="1:28" x14ac:dyDescent="0.25">
      <c r="A235" t="s">
        <v>239</v>
      </c>
      <c r="B235">
        <v>0.99987803227770999</v>
      </c>
      <c r="C235">
        <v>1.01812353993437</v>
      </c>
      <c r="D235">
        <v>1.06922539917971</v>
      </c>
      <c r="E235">
        <v>0.96578659410243795</v>
      </c>
      <c r="F235">
        <v>0.87559550921164997</v>
      </c>
      <c r="G235">
        <v>0.319823852340686</v>
      </c>
      <c r="H235">
        <v>0.29712510512436802</v>
      </c>
      <c r="I235">
        <v>0.28471662652867802</v>
      </c>
      <c r="J235">
        <v>0.18474632985479</v>
      </c>
      <c r="K235">
        <v>0.16388125489531299</v>
      </c>
      <c r="L235">
        <v>2625.4764251483798</v>
      </c>
      <c r="M235">
        <v>47.9507768860216</v>
      </c>
      <c r="N235">
        <v>55.461326286306097</v>
      </c>
      <c r="O235">
        <v>54.658597484421598</v>
      </c>
      <c r="P235">
        <v>-0.16912961409543001</v>
      </c>
      <c r="Q235">
        <v>0.228844363760974</v>
      </c>
      <c r="R235">
        <v>0.98628989215357199</v>
      </c>
      <c r="S235" t="s">
        <v>6546</v>
      </c>
      <c r="T235" t="s">
        <v>12620</v>
      </c>
      <c r="U235" t="s">
        <v>12620</v>
      </c>
      <c r="V235" t="s">
        <v>12620</v>
      </c>
      <c r="W235" t="s">
        <v>12851</v>
      </c>
      <c r="X235">
        <v>4</v>
      </c>
      <c r="Y235" t="s">
        <v>19098</v>
      </c>
      <c r="Z235" t="s">
        <v>25182</v>
      </c>
      <c r="AA235">
        <v>0.61011237464480184</v>
      </c>
      <c r="AB235" t="str">
        <f>HYPERLINK("Melting_Curves/meltCurve_C9JNT3_GSTK1.pdf", "Melting_Curves/meltCurve_C9JNT3_GSTK1.pdf")</f>
        <v>Melting_Curves/meltCurve_C9JNT3_GSTK1.pdf</v>
      </c>
    </row>
    <row r="236" spans="1:28" x14ac:dyDescent="0.25">
      <c r="A236" t="s">
        <v>240</v>
      </c>
      <c r="B236">
        <v>0.99987803227770999</v>
      </c>
      <c r="C236">
        <v>0.75504387572804299</v>
      </c>
      <c r="D236">
        <v>1.0112528063627899</v>
      </c>
      <c r="E236">
        <v>0.840699311568194</v>
      </c>
      <c r="F236">
        <v>1.1196281027744499</v>
      </c>
      <c r="G236">
        <v>0.97189387263237104</v>
      </c>
      <c r="H236">
        <v>0.95394627006215604</v>
      </c>
      <c r="I236">
        <v>0.930482894799043</v>
      </c>
      <c r="J236">
        <v>0.98045213637828499</v>
      </c>
      <c r="K236">
        <v>0.755993428524245</v>
      </c>
      <c r="L236">
        <v>3472.1702514070898</v>
      </c>
      <c r="M236">
        <v>48.464381606559201</v>
      </c>
      <c r="Q236">
        <v>0</v>
      </c>
      <c r="R236">
        <v>0.11406217940810499</v>
      </c>
      <c r="S236" t="s">
        <v>6547</v>
      </c>
      <c r="T236" t="s">
        <v>12620</v>
      </c>
      <c r="U236" t="s">
        <v>12620</v>
      </c>
      <c r="V236" t="s">
        <v>12620</v>
      </c>
      <c r="W236" t="s">
        <v>12852</v>
      </c>
      <c r="X236">
        <v>5</v>
      </c>
      <c r="Y236" t="s">
        <v>19099</v>
      </c>
      <c r="Z236" t="s">
        <v>25183</v>
      </c>
      <c r="AA236">
        <v>0.98745644476294236</v>
      </c>
      <c r="AB236" t="str">
        <f>HYPERLINK("Melting_Curves/meltCurve_C9JNU9_USP4.pdf", "Melting_Curves/meltCurve_C9JNU9_USP4.pdf")</f>
        <v>Melting_Curves/meltCurve_C9JNU9_USP4.pdf</v>
      </c>
    </row>
    <row r="237" spans="1:28" x14ac:dyDescent="0.25">
      <c r="A237" t="s">
        <v>241</v>
      </c>
      <c r="B237">
        <v>0.99987803227770999</v>
      </c>
      <c r="C237">
        <v>0.91141752144642196</v>
      </c>
      <c r="D237">
        <v>1.02183429814546</v>
      </c>
      <c r="E237">
        <v>0.79090373747190701</v>
      </c>
      <c r="F237">
        <v>0.80106746830799003</v>
      </c>
      <c r="G237">
        <v>0.41979223639644597</v>
      </c>
      <c r="H237">
        <v>0.33659022042942999</v>
      </c>
      <c r="I237">
        <v>0.27973709137818198</v>
      </c>
      <c r="J237">
        <v>0.20532659781485299</v>
      </c>
      <c r="K237">
        <v>0.16642872649520801</v>
      </c>
      <c r="L237">
        <v>837.08543221898003</v>
      </c>
      <c r="M237">
        <v>15.106064638267799</v>
      </c>
      <c r="N237">
        <v>56.747595890469597</v>
      </c>
      <c r="O237">
        <v>54.469971370896097</v>
      </c>
      <c r="P237">
        <v>-5.8977938031476697E-2</v>
      </c>
      <c r="Q237">
        <v>0.14942482081995101</v>
      </c>
      <c r="R237">
        <v>0.973638337577304</v>
      </c>
      <c r="S237" t="s">
        <v>6548</v>
      </c>
      <c r="T237" t="s">
        <v>12620</v>
      </c>
      <c r="U237" t="s">
        <v>12620</v>
      </c>
      <c r="V237" t="s">
        <v>12620</v>
      </c>
      <c r="W237" t="s">
        <v>12853</v>
      </c>
      <c r="X237">
        <v>8</v>
      </c>
      <c r="Y237" t="s">
        <v>19100</v>
      </c>
      <c r="Z237" t="s">
        <v>25184</v>
      </c>
      <c r="AA237">
        <v>0.60223064564465334</v>
      </c>
      <c r="AB237" t="str">
        <f>HYPERLINK("Melting_Curves/meltCurve_C9JP00_MBNL1.pdf", "Melting_Curves/meltCurve_C9JP00_MBNL1.pdf")</f>
        <v>Melting_Curves/meltCurve_C9JP00_MBNL1.pdf</v>
      </c>
    </row>
    <row r="238" spans="1:28" x14ac:dyDescent="0.25">
      <c r="A238" t="s">
        <v>242</v>
      </c>
      <c r="B238">
        <v>0.99987803227770999</v>
      </c>
      <c r="C238">
        <v>0.782229446712564</v>
      </c>
      <c r="D238">
        <v>0</v>
      </c>
      <c r="E238">
        <v>0.35102995497786799</v>
      </c>
      <c r="F238">
        <v>0.22587452784016099</v>
      </c>
      <c r="G238">
        <v>0.13811771967410999</v>
      </c>
      <c r="H238">
        <v>9.9312966802886496E-2</v>
      </c>
      <c r="I238">
        <v>7.80304190486375E-2</v>
      </c>
      <c r="J238">
        <v>5.05873091491282E-2</v>
      </c>
      <c r="K238">
        <v>3.3606675565997099E-2</v>
      </c>
      <c r="L238">
        <v>10772.577772331701</v>
      </c>
      <c r="M238">
        <v>250</v>
      </c>
      <c r="N238">
        <v>43.138609649926302</v>
      </c>
      <c r="O238">
        <v>43.087553666620799</v>
      </c>
      <c r="P238">
        <v>-1.2734681936529699</v>
      </c>
      <c r="Q238">
        <v>0.12206993629556</v>
      </c>
      <c r="R238">
        <v>0.91185407568158805</v>
      </c>
      <c r="S238" t="s">
        <v>6549</v>
      </c>
      <c r="T238" t="s">
        <v>12620</v>
      </c>
      <c r="U238" t="s">
        <v>12620</v>
      </c>
      <c r="V238" t="s">
        <v>12620</v>
      </c>
      <c r="W238" t="s">
        <v>12854</v>
      </c>
      <c r="X238">
        <v>2</v>
      </c>
      <c r="Y238" t="s">
        <v>19101</v>
      </c>
      <c r="Z238" t="s">
        <v>25185</v>
      </c>
      <c r="AA238">
        <v>0.21257222824904351</v>
      </c>
      <c r="AB238" t="str">
        <f>HYPERLINK("Melting_Curves/meltCurve_C9JP16_CRTAP.pdf", "Melting_Curves/meltCurve_C9JP16_CRTAP.pdf")</f>
        <v>Melting_Curves/meltCurve_C9JP16_CRTAP.pdf</v>
      </c>
    </row>
    <row r="239" spans="1:28" x14ac:dyDescent="0.25">
      <c r="A239" t="s">
        <v>243</v>
      </c>
      <c r="B239">
        <v>0.99987803227770999</v>
      </c>
      <c r="C239">
        <v>1.1800588950555599</v>
      </c>
      <c r="D239">
        <v>1.34315194611042</v>
      </c>
      <c r="E239">
        <v>1.0773361530437</v>
      </c>
      <c r="F239">
        <v>1.0522302830718999</v>
      </c>
      <c r="G239">
        <v>1.3527873249444899</v>
      </c>
      <c r="H239">
        <v>0.81221310693929905</v>
      </c>
      <c r="I239">
        <v>1.9431383677515801</v>
      </c>
      <c r="J239">
        <v>0.59166953757652796</v>
      </c>
      <c r="K239">
        <v>0.45882423408900302</v>
      </c>
      <c r="L239">
        <v>15000</v>
      </c>
      <c r="M239">
        <v>224.997292336691</v>
      </c>
      <c r="N239">
        <v>67.413670932303901</v>
      </c>
      <c r="O239">
        <v>66.662204980380693</v>
      </c>
      <c r="P239">
        <v>-0.456857960529785</v>
      </c>
      <c r="Q239">
        <v>0.45856846092148601</v>
      </c>
      <c r="R239">
        <v>0.24577000614978001</v>
      </c>
      <c r="S239" t="s">
        <v>6550</v>
      </c>
      <c r="T239" t="s">
        <v>12620</v>
      </c>
      <c r="U239" t="s">
        <v>12620</v>
      </c>
      <c r="V239" t="s">
        <v>12620</v>
      </c>
      <c r="W239" t="s">
        <v>12855</v>
      </c>
      <c r="X239">
        <v>1</v>
      </c>
      <c r="Y239" t="s">
        <v>19102</v>
      </c>
      <c r="Z239" t="s">
        <v>25186</v>
      </c>
      <c r="AA239">
        <v>0.93993349977013074</v>
      </c>
      <c r="AB239" t="str">
        <f>HYPERLINK("Melting_Curves/meltCurve_C9JPC9_USP42.pdf", "Melting_Curves/meltCurve_C9JPC9_USP42.pdf")</f>
        <v>Melting_Curves/meltCurve_C9JPC9_USP42.pdf</v>
      </c>
    </row>
    <row r="240" spans="1:28" x14ac:dyDescent="0.25">
      <c r="A240" t="s">
        <v>244</v>
      </c>
      <c r="B240">
        <v>0.99987803227770999</v>
      </c>
      <c r="C240">
        <v>0.79826840979586899</v>
      </c>
      <c r="D240">
        <v>0.81854425002396203</v>
      </c>
      <c r="E240">
        <v>0.61844809913582199</v>
      </c>
      <c r="F240">
        <v>0.42636506263118801</v>
      </c>
      <c r="G240">
        <v>0.21199879469365401</v>
      </c>
      <c r="H240">
        <v>0.20411656631383601</v>
      </c>
      <c r="I240">
        <v>0.14358538455878</v>
      </c>
      <c r="J240">
        <v>8.1611565489238799E-2</v>
      </c>
      <c r="K240">
        <v>5.9008752564233297E-2</v>
      </c>
      <c r="L240">
        <v>544.35521944784</v>
      </c>
      <c r="M240">
        <v>10.566186143761501</v>
      </c>
      <c r="N240">
        <v>51.613815662100897</v>
      </c>
      <c r="O240">
        <v>49.775953539878003</v>
      </c>
      <c r="P240">
        <v>-5.2577162123723202E-2</v>
      </c>
      <c r="Q240">
        <v>9.6528749832520307E-3</v>
      </c>
      <c r="R240">
        <v>0.98230427905330497</v>
      </c>
      <c r="S240" t="s">
        <v>6551</v>
      </c>
      <c r="T240" t="s">
        <v>12620</v>
      </c>
      <c r="U240" t="s">
        <v>12620</v>
      </c>
      <c r="V240" t="s">
        <v>12620</v>
      </c>
      <c r="W240" t="s">
        <v>12856</v>
      </c>
      <c r="X240">
        <v>2</v>
      </c>
      <c r="Y240" t="s">
        <v>19103</v>
      </c>
      <c r="Z240" t="s">
        <v>25187</v>
      </c>
      <c r="AA240">
        <v>0.42674404085786122</v>
      </c>
      <c r="AB240" t="str">
        <f>HYPERLINK("Melting_Curves/meltCurve_C9JPP2_NKIRAS2.pdf", "Melting_Curves/meltCurve_C9JPP2_NKIRAS2.pdf")</f>
        <v>Melting_Curves/meltCurve_C9JPP2_NKIRAS2.pdf</v>
      </c>
    </row>
    <row r="241" spans="1:28" x14ac:dyDescent="0.25">
      <c r="A241" t="s">
        <v>245</v>
      </c>
      <c r="B241">
        <v>0.99987803227770999</v>
      </c>
      <c r="C241">
        <v>0.89483680858974901</v>
      </c>
      <c r="D241">
        <v>1.0622758670896599</v>
      </c>
      <c r="E241">
        <v>0.86661650145194002</v>
      </c>
      <c r="F241">
        <v>1.03870954581301</v>
      </c>
      <c r="G241">
        <v>0.73877098968322896</v>
      </c>
      <c r="H241">
        <v>0.86573397944262998</v>
      </c>
      <c r="I241">
        <v>0.79431164654474595</v>
      </c>
      <c r="J241">
        <v>0.87005903750479696</v>
      </c>
      <c r="K241">
        <v>0.68395189035848403</v>
      </c>
      <c r="L241">
        <v>290.34122529723197</v>
      </c>
      <c r="M241">
        <v>3.1018531621337</v>
      </c>
      <c r="O241">
        <v>69.925030597711796</v>
      </c>
      <c r="P241">
        <v>-1.14008855856774E-2</v>
      </c>
      <c r="Q241">
        <v>0</v>
      </c>
      <c r="R241">
        <v>0.49487266987830902</v>
      </c>
      <c r="S241" t="s">
        <v>6552</v>
      </c>
      <c r="T241" t="s">
        <v>12620</v>
      </c>
      <c r="U241" t="s">
        <v>12620</v>
      </c>
      <c r="V241" t="s">
        <v>12620</v>
      </c>
      <c r="W241" t="s">
        <v>12857</v>
      </c>
      <c r="X241">
        <v>8</v>
      </c>
      <c r="Y241" t="s">
        <v>19104</v>
      </c>
      <c r="Z241" t="s">
        <v>25188</v>
      </c>
      <c r="AA241">
        <v>0.88573023570669307</v>
      </c>
      <c r="AB241" t="str">
        <f>HYPERLINK("Melting_Curves/meltCurve_C9JQ41_CCDC58.pdf", "Melting_Curves/meltCurve_C9JQ41_CCDC58.pdf")</f>
        <v>Melting_Curves/meltCurve_C9JQ41_CCDC58.pdf</v>
      </c>
    </row>
    <row r="242" spans="1:28" x14ac:dyDescent="0.25">
      <c r="A242" t="s">
        <v>246</v>
      </c>
      <c r="B242">
        <v>0.99987803227770999</v>
      </c>
      <c r="C242">
        <v>0.98842956408120597</v>
      </c>
      <c r="D242">
        <v>0.99928487965730495</v>
      </c>
      <c r="E242">
        <v>1.0009063417023201</v>
      </c>
      <c r="F242">
        <v>0.84617199477940996</v>
      </c>
      <c r="G242">
        <v>0.70435099361297204</v>
      </c>
      <c r="H242">
        <v>0.60376089401494404</v>
      </c>
      <c r="I242">
        <v>0.44177769649194398</v>
      </c>
      <c r="J242">
        <v>0.26052257301975701</v>
      </c>
      <c r="K242">
        <v>0.178933775848263</v>
      </c>
      <c r="L242">
        <v>757.32300347561602</v>
      </c>
      <c r="M242">
        <v>12.1964737034184</v>
      </c>
      <c r="N242">
        <v>62.093603634840697</v>
      </c>
      <c r="O242">
        <v>60.495072120136797</v>
      </c>
      <c r="P242">
        <v>-5.04141656724795E-2</v>
      </c>
      <c r="Q242">
        <v>0</v>
      </c>
      <c r="R242">
        <v>0.98743589281945299</v>
      </c>
      <c r="S242" t="s">
        <v>6553</v>
      </c>
      <c r="T242" t="s">
        <v>12620</v>
      </c>
      <c r="U242" t="s">
        <v>12620</v>
      </c>
      <c r="V242" t="s">
        <v>12620</v>
      </c>
      <c r="W242" t="s">
        <v>12858</v>
      </c>
      <c r="X242">
        <v>4</v>
      </c>
      <c r="Y242" t="s">
        <v>19105</v>
      </c>
      <c r="Z242" t="s">
        <v>25189</v>
      </c>
      <c r="AA242">
        <v>0.72513450619450703</v>
      </c>
      <c r="AB242" t="str">
        <f>HYPERLINK("Melting_Curves/meltCurve_C9JQB1_NME6.pdf", "Melting_Curves/meltCurve_C9JQB1_NME6.pdf")</f>
        <v>Melting_Curves/meltCurve_C9JQB1_NME6.pdf</v>
      </c>
    </row>
    <row r="243" spans="1:28" x14ac:dyDescent="0.25">
      <c r="A243" t="s">
        <v>247</v>
      </c>
      <c r="B243">
        <v>0.99987803227770999</v>
      </c>
      <c r="C243">
        <v>0.98840227647726897</v>
      </c>
      <c r="D243">
        <v>1.1462066918796401</v>
      </c>
      <c r="E243">
        <v>1.0457966645935799</v>
      </c>
      <c r="F243">
        <v>1.32509763055156</v>
      </c>
      <c r="G243">
        <v>0.79195546204844203</v>
      </c>
      <c r="H243">
        <v>0.99300522103029598</v>
      </c>
      <c r="I243">
        <v>1.08490027092713</v>
      </c>
      <c r="J243">
        <v>1.14837926487387</v>
      </c>
      <c r="K243">
        <v>0.89721311039037599</v>
      </c>
      <c r="L243">
        <v>11054.762300315</v>
      </c>
      <c r="M243">
        <v>250</v>
      </c>
      <c r="O243">
        <v>44.216214030503302</v>
      </c>
      <c r="P243">
        <v>7.6426035091817904E-2</v>
      </c>
      <c r="Q243">
        <v>1.05406832540956</v>
      </c>
      <c r="R243">
        <v>2.9154110336312E-2</v>
      </c>
      <c r="S243" t="s">
        <v>6554</v>
      </c>
      <c r="T243" t="s">
        <v>12620</v>
      </c>
      <c r="U243" t="s">
        <v>12620</v>
      </c>
      <c r="V243" t="s">
        <v>12620</v>
      </c>
      <c r="W243" t="s">
        <v>12859</v>
      </c>
      <c r="X243">
        <v>1</v>
      </c>
      <c r="Y243" t="s">
        <v>19106</v>
      </c>
      <c r="Z243" t="s">
        <v>25190</v>
      </c>
      <c r="AA243">
        <v>1.046460232000705</v>
      </c>
      <c r="AB243" t="str">
        <f>HYPERLINK("Melting_Curves/meltCurve_C9JQQ5_ATL2.pdf", "Melting_Curves/meltCurve_C9JQQ5_ATL2.pdf")</f>
        <v>Melting_Curves/meltCurve_C9JQQ5_ATL2.pdf</v>
      </c>
    </row>
    <row r="244" spans="1:28" x14ac:dyDescent="0.25">
      <c r="A244" t="s">
        <v>248</v>
      </c>
      <c r="B244">
        <v>0.99987803227770999</v>
      </c>
      <c r="C244">
        <v>1.0326087003717499</v>
      </c>
      <c r="D244">
        <v>1.01546892974434</v>
      </c>
      <c r="E244">
        <v>0.70261805055740201</v>
      </c>
      <c r="F244">
        <v>0.49946968202130199</v>
      </c>
      <c r="G244">
        <v>0.33782087447967901</v>
      </c>
      <c r="H244">
        <v>0.184633841273453</v>
      </c>
      <c r="I244">
        <v>0.194954018244716</v>
      </c>
      <c r="J244">
        <v>0.21048244783959799</v>
      </c>
      <c r="K244">
        <v>0.119597542136455</v>
      </c>
      <c r="L244">
        <v>1040.05239198962</v>
      </c>
      <c r="M244">
        <v>19.992329170175299</v>
      </c>
      <c r="N244">
        <v>53.094900408431897</v>
      </c>
      <c r="O244">
        <v>51.510468963975299</v>
      </c>
      <c r="P244">
        <v>-8.0916066830249503E-2</v>
      </c>
      <c r="Q244">
        <v>0.166102452152429</v>
      </c>
      <c r="R244">
        <v>0.98776293591460096</v>
      </c>
      <c r="S244" t="s">
        <v>6555</v>
      </c>
      <c r="T244" t="s">
        <v>12620</v>
      </c>
      <c r="U244" t="s">
        <v>12620</v>
      </c>
      <c r="V244" t="s">
        <v>12620</v>
      </c>
      <c r="W244" t="s">
        <v>12860</v>
      </c>
      <c r="X244">
        <v>3</v>
      </c>
      <c r="Y244" t="s">
        <v>19107</v>
      </c>
      <c r="Z244" t="s">
        <v>25191</v>
      </c>
      <c r="AA244">
        <v>0.51183583465920668</v>
      </c>
      <c r="AB244" t="str">
        <f>HYPERLINK("Melting_Curves/meltCurve_C9JQV0_C7orf50.pdf", "Melting_Curves/meltCurve_C9JQV0_C7orf50.pdf")</f>
        <v>Melting_Curves/meltCurve_C9JQV0_C7orf50.pdf</v>
      </c>
    </row>
    <row r="245" spans="1:28" x14ac:dyDescent="0.25">
      <c r="A245" t="s">
        <v>249</v>
      </c>
      <c r="B245">
        <v>0.99987803227770999</v>
      </c>
      <c r="C245">
        <v>0.75130881918753201</v>
      </c>
      <c r="D245">
        <v>0.82544143704537398</v>
      </c>
      <c r="E245">
        <v>0.71693980010574399</v>
      </c>
      <c r="F245">
        <v>0.64143571302157998</v>
      </c>
      <c r="G245">
        <v>0.48577652400343602</v>
      </c>
      <c r="H245">
        <v>0.32644980659440997</v>
      </c>
      <c r="I245">
        <v>0.27964271116019501</v>
      </c>
      <c r="J245">
        <v>0.20894042437596999</v>
      </c>
      <c r="K245">
        <v>0.28829051970939801</v>
      </c>
      <c r="L245">
        <v>370.17015501834902</v>
      </c>
      <c r="M245">
        <v>6.6150975349640104</v>
      </c>
      <c r="N245">
        <v>56.079389516919399</v>
      </c>
      <c r="O245">
        <v>51.507293348271098</v>
      </c>
      <c r="P245">
        <v>-3.1952704555378603E-2</v>
      </c>
      <c r="Q245">
        <v>7.0862974023241801E-3</v>
      </c>
      <c r="R245">
        <v>0.94665414635492096</v>
      </c>
      <c r="S245" t="s">
        <v>6556</v>
      </c>
      <c r="T245" t="s">
        <v>12620</v>
      </c>
      <c r="U245" t="s">
        <v>12620</v>
      </c>
      <c r="V245" t="s">
        <v>12620</v>
      </c>
      <c r="W245" t="s">
        <v>12861</v>
      </c>
      <c r="X245">
        <v>2</v>
      </c>
      <c r="Y245" t="s">
        <v>19108</v>
      </c>
      <c r="Z245" t="s">
        <v>25192</v>
      </c>
      <c r="AA245">
        <v>0.55250198547205354</v>
      </c>
      <c r="AB245" t="str">
        <f>HYPERLINK("Melting_Curves/meltCurve_C9JQV3_STK11IP.pdf", "Melting_Curves/meltCurve_C9JQV3_STK11IP.pdf")</f>
        <v>Melting_Curves/meltCurve_C9JQV3_STK11IP.pdf</v>
      </c>
    </row>
    <row r="246" spans="1:28" x14ac:dyDescent="0.25">
      <c r="A246" t="s">
        <v>250</v>
      </c>
      <c r="B246">
        <v>0.99987803227770999</v>
      </c>
      <c r="C246">
        <v>0.84171474397722901</v>
      </c>
      <c r="D246">
        <v>0.96567317728030899</v>
      </c>
      <c r="E246">
        <v>0.87589021418172197</v>
      </c>
      <c r="F246">
        <v>1.2178846081119401</v>
      </c>
      <c r="G246">
        <v>0.75897935435977903</v>
      </c>
      <c r="H246">
        <v>1.1846642988141001</v>
      </c>
      <c r="I246">
        <v>1.0252422736719</v>
      </c>
      <c r="J246">
        <v>1.4855888718340899</v>
      </c>
      <c r="K246">
        <v>1.099777331134</v>
      </c>
      <c r="L246">
        <v>2447.03818628816</v>
      </c>
      <c r="M246">
        <v>39.062325031624198</v>
      </c>
      <c r="O246">
        <v>62.480954355440097</v>
      </c>
      <c r="P246">
        <v>4.0008430056718197E-2</v>
      </c>
      <c r="Q246">
        <v>1.25597647881453</v>
      </c>
      <c r="R246">
        <v>0.331990476321052</v>
      </c>
      <c r="S246" t="s">
        <v>6557</v>
      </c>
      <c r="T246" t="s">
        <v>12620</v>
      </c>
      <c r="U246" t="s">
        <v>12620</v>
      </c>
      <c r="V246" t="s">
        <v>12620</v>
      </c>
      <c r="W246" t="s">
        <v>12862</v>
      </c>
      <c r="X246">
        <v>2</v>
      </c>
      <c r="Y246" t="s">
        <v>19109</v>
      </c>
      <c r="Z246" t="s">
        <v>25193</v>
      </c>
      <c r="AA246">
        <v>1.0618955838997881</v>
      </c>
      <c r="AB246" t="str">
        <f>HYPERLINK("Melting_Curves/meltCurve_C9JRV0_RNF13.pdf", "Melting_Curves/meltCurve_C9JRV0_RNF13.pdf")</f>
        <v>Melting_Curves/meltCurve_C9JRV0_RNF13.pdf</v>
      </c>
    </row>
    <row r="247" spans="1:28" x14ac:dyDescent="0.25">
      <c r="A247" t="s">
        <v>251</v>
      </c>
      <c r="B247">
        <v>0.99987803227770999</v>
      </c>
      <c r="C247">
        <v>1.0050295781718701</v>
      </c>
      <c r="D247">
        <v>0.97864935305632195</v>
      </c>
      <c r="E247">
        <v>0.87940297049203597</v>
      </c>
      <c r="F247">
        <v>0.91367722453189903</v>
      </c>
      <c r="G247">
        <v>0.22453017178302101</v>
      </c>
      <c r="H247">
        <v>0.189571280229094</v>
      </c>
      <c r="I247">
        <v>0.211070611819202</v>
      </c>
      <c r="J247">
        <v>0.12569056649778201</v>
      </c>
      <c r="K247">
        <v>0.13097372513712599</v>
      </c>
      <c r="L247">
        <v>3426.8635451539399</v>
      </c>
      <c r="M247">
        <v>62.572003126270097</v>
      </c>
      <c r="N247">
        <v>55.114041551228802</v>
      </c>
      <c r="O247">
        <v>54.710865685405203</v>
      </c>
      <c r="P247">
        <v>-0.239336752773951</v>
      </c>
      <c r="Q247">
        <v>0.162928099924155</v>
      </c>
      <c r="R247">
        <v>0.98704153356457702</v>
      </c>
      <c r="S247" t="s">
        <v>6558</v>
      </c>
      <c r="T247" t="s">
        <v>12620</v>
      </c>
      <c r="U247" t="s">
        <v>12620</v>
      </c>
      <c r="V247" t="s">
        <v>12620</v>
      </c>
      <c r="W247" t="s">
        <v>12863</v>
      </c>
      <c r="X247">
        <v>11</v>
      </c>
      <c r="Y247" t="s">
        <v>19110</v>
      </c>
      <c r="Z247" t="s">
        <v>25194</v>
      </c>
      <c r="AA247">
        <v>0.57624360645587758</v>
      </c>
      <c r="AB247" t="str">
        <f>HYPERLINK("Melting_Curves/meltCurve_C9JRZ8_2_AKR1B15.pdf", "Melting_Curves/meltCurve_C9JRZ8_2_AKR1B15.pdf")</f>
        <v>Melting_Curves/meltCurve_C9JRZ8_2_AKR1B15.pdf</v>
      </c>
    </row>
    <row r="248" spans="1:28" x14ac:dyDescent="0.25">
      <c r="A248" t="s">
        <v>252</v>
      </c>
      <c r="B248">
        <v>0.99987803227770999</v>
      </c>
      <c r="C248">
        <v>0.64306874875471398</v>
      </c>
      <c r="D248">
        <v>0.25849098238038298</v>
      </c>
      <c r="E248">
        <v>0.217722661673421</v>
      </c>
      <c r="F248">
        <v>0.152253652595574</v>
      </c>
      <c r="G248">
        <v>9.8085414788717504E-2</v>
      </c>
      <c r="H248">
        <v>7.6788728695398004E-2</v>
      </c>
      <c r="I248">
        <v>6.8609595139088E-2</v>
      </c>
      <c r="J248">
        <v>5.7336911361824401E-2</v>
      </c>
      <c r="K248">
        <v>4.3704398283904801E-2</v>
      </c>
      <c r="L248">
        <v>1229.1882356813301</v>
      </c>
      <c r="M248">
        <v>28.127916796701399</v>
      </c>
      <c r="N248">
        <v>44.028643452302703</v>
      </c>
      <c r="O248">
        <v>43.480849162290497</v>
      </c>
      <c r="P248">
        <v>-0.14641075299440801</v>
      </c>
      <c r="Q248">
        <v>9.4705808688541199E-2</v>
      </c>
      <c r="R248">
        <v>0.97569839031760197</v>
      </c>
      <c r="S248" t="s">
        <v>6559</v>
      </c>
      <c r="T248" t="s">
        <v>12620</v>
      </c>
      <c r="U248" t="s">
        <v>12620</v>
      </c>
      <c r="V248" t="s">
        <v>12620</v>
      </c>
      <c r="W248" t="s">
        <v>12864</v>
      </c>
      <c r="X248">
        <v>10</v>
      </c>
      <c r="Y248" t="s">
        <v>19111</v>
      </c>
      <c r="Z248" t="s">
        <v>25195</v>
      </c>
      <c r="AA248">
        <v>0.21457613318369401</v>
      </c>
      <c r="AB248" t="str">
        <f>HYPERLINK("Melting_Curves/meltCurve_C9JW69_RCC1.pdf", "Melting_Curves/meltCurve_C9JW69_RCC1.pdf")</f>
        <v>Melting_Curves/meltCurve_C9JW69_RCC1.pdf</v>
      </c>
    </row>
    <row r="249" spans="1:28" x14ac:dyDescent="0.25">
      <c r="A249" t="s">
        <v>253</v>
      </c>
      <c r="B249">
        <v>0.99987803227770999</v>
      </c>
      <c r="C249">
        <v>1.0444743618640999</v>
      </c>
      <c r="D249">
        <v>0.92580374884818195</v>
      </c>
      <c r="E249">
        <v>0.78290227386834699</v>
      </c>
      <c r="F249">
        <v>0.47874513012238401</v>
      </c>
      <c r="G249">
        <v>0.26911965056814702</v>
      </c>
      <c r="H249">
        <v>0.20191277522071099</v>
      </c>
      <c r="I249">
        <v>0.16292354479330901</v>
      </c>
      <c r="J249">
        <v>0.13619310499516599</v>
      </c>
      <c r="K249">
        <v>8.8558535748091305E-2</v>
      </c>
      <c r="L249">
        <v>1067.4206559715501</v>
      </c>
      <c r="M249">
        <v>20.3957153338045</v>
      </c>
      <c r="N249">
        <v>53.086405815630599</v>
      </c>
      <c r="O249">
        <v>51.840208985918899</v>
      </c>
      <c r="P249">
        <v>-8.6036469596965606E-2</v>
      </c>
      <c r="Q249">
        <v>0.12530369480239401</v>
      </c>
      <c r="R249">
        <v>0.99410213417086701</v>
      </c>
      <c r="S249" t="s">
        <v>6560</v>
      </c>
      <c r="T249" t="s">
        <v>12620</v>
      </c>
      <c r="U249" t="s">
        <v>12620</v>
      </c>
      <c r="V249" t="s">
        <v>12620</v>
      </c>
      <c r="W249" t="s">
        <v>12865</v>
      </c>
      <c r="X249">
        <v>3</v>
      </c>
      <c r="Y249" t="s">
        <v>19112</v>
      </c>
      <c r="Z249" t="s">
        <v>25196</v>
      </c>
      <c r="AA249">
        <v>0.49663824941915458</v>
      </c>
      <c r="AB249" t="str">
        <f>HYPERLINK("Melting_Curves/meltCurve_C9JWL4_AP4M1.pdf", "Melting_Curves/meltCurve_C9JWL4_AP4M1.pdf")</f>
        <v>Melting_Curves/meltCurve_C9JWL4_AP4M1.pdf</v>
      </c>
    </row>
    <row r="250" spans="1:28" x14ac:dyDescent="0.25">
      <c r="A250" t="s">
        <v>254</v>
      </c>
      <c r="B250">
        <v>0.99987803227770999</v>
      </c>
      <c r="C250">
        <v>1.1907243882440299</v>
      </c>
      <c r="D250">
        <v>1.0519100107571699</v>
      </c>
      <c r="E250">
        <v>0.98585570825480295</v>
      </c>
      <c r="F250">
        <v>0.60398650606775595</v>
      </c>
      <c r="G250">
        <v>0.34690481918029498</v>
      </c>
      <c r="H250">
        <v>0.24914261685438199</v>
      </c>
      <c r="I250">
        <v>0.23825909195899</v>
      </c>
      <c r="J250">
        <v>0.22607304833061501</v>
      </c>
      <c r="K250">
        <v>0.179157950922364</v>
      </c>
      <c r="L250">
        <v>1950.6999721449399</v>
      </c>
      <c r="M250">
        <v>36.683343645167703</v>
      </c>
      <c r="N250">
        <v>54.089874231296101</v>
      </c>
      <c r="O250">
        <v>53.019433048498797</v>
      </c>
      <c r="P250">
        <v>-0.13304341712767601</v>
      </c>
      <c r="Q250">
        <v>0.23083719258866001</v>
      </c>
      <c r="R250">
        <v>0.96693463397299295</v>
      </c>
      <c r="S250" t="s">
        <v>6561</v>
      </c>
      <c r="T250" t="s">
        <v>12620</v>
      </c>
      <c r="U250" t="s">
        <v>12620</v>
      </c>
      <c r="V250" t="s">
        <v>12620</v>
      </c>
      <c r="W250" t="s">
        <v>12866</v>
      </c>
      <c r="X250">
        <v>3</v>
      </c>
      <c r="Y250" t="s">
        <v>19113</v>
      </c>
      <c r="Z250" t="s">
        <v>25197</v>
      </c>
      <c r="AA250">
        <v>0.57203004241867528</v>
      </c>
      <c r="AB250" t="str">
        <f>HYPERLINK("Melting_Curves/meltCurve_C9JXB8_RPL24.pdf", "Melting_Curves/meltCurve_C9JXB8_RPL24.pdf")</f>
        <v>Melting_Curves/meltCurve_C9JXB8_RPL24.pdf</v>
      </c>
    </row>
    <row r="251" spans="1:28" x14ac:dyDescent="0.25">
      <c r="A251" t="s">
        <v>255</v>
      </c>
      <c r="B251">
        <v>0.99987803227770999</v>
      </c>
      <c r="C251">
        <v>0.89460236404945404</v>
      </c>
      <c r="D251">
        <v>0.94992110197766599</v>
      </c>
      <c r="E251">
        <v>0.87789171836211299</v>
      </c>
      <c r="F251">
        <v>1.0528073629436101</v>
      </c>
      <c r="G251">
        <v>0.88464286505530798</v>
      </c>
      <c r="H251">
        <v>0.76926259025652799</v>
      </c>
      <c r="I251">
        <v>0.73219570684339397</v>
      </c>
      <c r="J251">
        <v>0.714360360778727</v>
      </c>
      <c r="K251">
        <v>0.55002138872350104</v>
      </c>
      <c r="L251">
        <v>512.56064422681095</v>
      </c>
      <c r="M251">
        <v>6.9811003381329897</v>
      </c>
      <c r="O251">
        <v>68.108171698661494</v>
      </c>
      <c r="P251">
        <v>-2.5673027487564299E-2</v>
      </c>
      <c r="Q251">
        <v>0</v>
      </c>
      <c r="R251">
        <v>0.81963198248865499</v>
      </c>
      <c r="S251" t="s">
        <v>6562</v>
      </c>
      <c r="T251" t="s">
        <v>12620</v>
      </c>
      <c r="U251" t="s">
        <v>12620</v>
      </c>
      <c r="V251" t="s">
        <v>12620</v>
      </c>
      <c r="W251" t="s">
        <v>12867</v>
      </c>
      <c r="X251">
        <v>4</v>
      </c>
      <c r="Y251" t="s">
        <v>19114</v>
      </c>
      <c r="Z251" t="s">
        <v>25198</v>
      </c>
      <c r="AA251">
        <v>0.86713523163751449</v>
      </c>
      <c r="AB251" t="str">
        <f>HYPERLINK("Melting_Curves/meltCurve_C9JXK0_LBR.pdf", "Melting_Curves/meltCurve_C9JXK0_LBR.pdf")</f>
        <v>Melting_Curves/meltCurve_C9JXK0_LBR.pdf</v>
      </c>
    </row>
    <row r="252" spans="1:28" x14ac:dyDescent="0.25">
      <c r="A252" t="s">
        <v>256</v>
      </c>
      <c r="B252">
        <v>0.99987803227770999</v>
      </c>
      <c r="C252">
        <v>1.0080483072770501</v>
      </c>
      <c r="D252">
        <v>1.0818951529507701</v>
      </c>
      <c r="E252">
        <v>0.91984840470609297</v>
      </c>
      <c r="F252">
        <v>0.95237760724061504</v>
      </c>
      <c r="G252">
        <v>0.99818689742676503</v>
      </c>
      <c r="H252">
        <v>1.2339328954922599</v>
      </c>
      <c r="I252">
        <v>1.1600511847792001</v>
      </c>
      <c r="J252">
        <v>0.84014225044332203</v>
      </c>
      <c r="K252">
        <v>0.58350561650138699</v>
      </c>
      <c r="L252">
        <v>15000</v>
      </c>
      <c r="M252">
        <v>223.406917574549</v>
      </c>
      <c r="O252">
        <v>67.136676372726598</v>
      </c>
      <c r="P252">
        <v>-0.34652550435458301</v>
      </c>
      <c r="Q252">
        <v>0.58345836414441699</v>
      </c>
      <c r="R252">
        <v>0.66950072750286505</v>
      </c>
      <c r="S252" t="s">
        <v>6563</v>
      </c>
      <c r="T252" t="s">
        <v>12620</v>
      </c>
      <c r="U252" t="s">
        <v>12620</v>
      </c>
      <c r="V252" t="s">
        <v>12620</v>
      </c>
      <c r="W252" t="s">
        <v>12868</v>
      </c>
      <c r="X252">
        <v>13</v>
      </c>
      <c r="Y252" t="s">
        <v>19115</v>
      </c>
      <c r="Z252" t="s">
        <v>25199</v>
      </c>
      <c r="AA252">
        <v>0.96037922444648183</v>
      </c>
      <c r="AB252" t="str">
        <f>HYPERLINK("Melting_Curves/meltCurve_C9JXK9_LPP.pdf", "Melting_Curves/meltCurve_C9JXK9_LPP.pdf")</f>
        <v>Melting_Curves/meltCurve_C9JXK9_LPP.pdf</v>
      </c>
    </row>
    <row r="253" spans="1:28" x14ac:dyDescent="0.25">
      <c r="A253" t="s">
        <v>257</v>
      </c>
      <c r="B253">
        <v>0.99987803227770999</v>
      </c>
      <c r="C253">
        <v>0.90119443255051401</v>
      </c>
      <c r="D253">
        <v>0.92022729144576099</v>
      </c>
      <c r="E253">
        <v>1.0299372217770999</v>
      </c>
      <c r="F253">
        <v>0.86042900069511297</v>
      </c>
      <c r="G253">
        <v>0.71776939408300899</v>
      </c>
      <c r="H253">
        <v>0.45077279635942302</v>
      </c>
      <c r="I253">
        <v>0.21628454566282199</v>
      </c>
      <c r="J253">
        <v>0.108579562459933</v>
      </c>
      <c r="K253">
        <v>8.4299529434348902E-2</v>
      </c>
      <c r="L253">
        <v>1069.05153382398</v>
      </c>
      <c r="M253">
        <v>17.851900092252102</v>
      </c>
      <c r="N253">
        <v>59.884467668001399</v>
      </c>
      <c r="O253">
        <v>59.148188515004399</v>
      </c>
      <c r="P253">
        <v>-7.5457973475445805E-2</v>
      </c>
      <c r="Q253">
        <v>0</v>
      </c>
      <c r="R253">
        <v>0.98176801310742001</v>
      </c>
      <c r="S253" t="s">
        <v>6564</v>
      </c>
      <c r="T253" t="s">
        <v>12620</v>
      </c>
      <c r="U253" t="s">
        <v>12620</v>
      </c>
      <c r="V253" t="s">
        <v>12620</v>
      </c>
      <c r="W253" t="s">
        <v>12869</v>
      </c>
      <c r="X253">
        <v>2</v>
      </c>
      <c r="Y253" t="s">
        <v>19116</v>
      </c>
      <c r="Z253" t="s">
        <v>25200</v>
      </c>
      <c r="AA253">
        <v>0.67136249841715501</v>
      </c>
      <c r="AB253" t="str">
        <f>HYPERLINK("Melting_Curves/meltCurve_C9JYM0_POP7.pdf", "Melting_Curves/meltCurve_C9JYM0_POP7.pdf")</f>
        <v>Melting_Curves/meltCurve_C9JYM0_POP7.pdf</v>
      </c>
    </row>
    <row r="254" spans="1:28" x14ac:dyDescent="0.25">
      <c r="A254" t="s">
        <v>258</v>
      </c>
      <c r="B254">
        <v>0.99987803227770999</v>
      </c>
      <c r="C254">
        <v>1.29510745623506</v>
      </c>
      <c r="D254">
        <v>0.83309650179852901</v>
      </c>
      <c r="E254">
        <v>0.803691717317642</v>
      </c>
      <c r="F254">
        <v>0.25699498224284301</v>
      </c>
      <c r="G254">
        <v>0.27845442512350199</v>
      </c>
      <c r="H254">
        <v>0.16988550724986001</v>
      </c>
      <c r="I254">
        <v>0.185504415733175</v>
      </c>
      <c r="J254">
        <v>0.107335828060055</v>
      </c>
      <c r="K254">
        <v>0.13382892799665999</v>
      </c>
      <c r="L254">
        <v>2752.8418470241199</v>
      </c>
      <c r="M254">
        <v>53.942136015904403</v>
      </c>
      <c r="N254">
        <v>51.435837301628197</v>
      </c>
      <c r="O254">
        <v>50.963243806815001</v>
      </c>
      <c r="P254">
        <v>-0.21904341425080301</v>
      </c>
      <c r="Q254">
        <v>0.17221255068063601</v>
      </c>
      <c r="R254">
        <v>0.92243817962512498</v>
      </c>
      <c r="S254" t="s">
        <v>6565</v>
      </c>
      <c r="T254" t="s">
        <v>12620</v>
      </c>
      <c r="U254" t="s">
        <v>12620</v>
      </c>
      <c r="V254" t="s">
        <v>12620</v>
      </c>
      <c r="W254" t="s">
        <v>12870</v>
      </c>
      <c r="X254">
        <v>1</v>
      </c>
      <c r="Z254" t="s">
        <v>25201</v>
      </c>
      <c r="AA254">
        <v>0.47825147395354101</v>
      </c>
      <c r="AB254" t="str">
        <f>HYPERLINK("Melting_Curves/meltCurve_C9JYP6_.pdf", "Melting_Curves/meltCurve_C9JYP6_.pdf")</f>
        <v>Melting_Curves/meltCurve_C9JYP6_.pdf</v>
      </c>
    </row>
    <row r="255" spans="1:28" x14ac:dyDescent="0.25">
      <c r="A255" t="s">
        <v>259</v>
      </c>
      <c r="B255">
        <v>0.99987803227770999</v>
      </c>
      <c r="C255">
        <v>1.03957616775079</v>
      </c>
      <c r="D255">
        <v>0.87670699903277405</v>
      </c>
      <c r="E255">
        <v>0.82320532934502999</v>
      </c>
      <c r="F255">
        <v>0.606572637096642</v>
      </c>
      <c r="G255">
        <v>0.43768661829994998</v>
      </c>
      <c r="H255">
        <v>0.287046113787714</v>
      </c>
      <c r="I255">
        <v>0.27777270425193401</v>
      </c>
      <c r="J255">
        <v>0.13173629015452201</v>
      </c>
      <c r="K255">
        <v>0.117084568850366</v>
      </c>
      <c r="L255">
        <v>652.29989050621896</v>
      </c>
      <c r="M255">
        <v>11.8217752287064</v>
      </c>
      <c r="N255">
        <v>55.783049469677799</v>
      </c>
      <c r="O255">
        <v>53.6699742550094</v>
      </c>
      <c r="P255">
        <v>-5.1765832742795899E-2</v>
      </c>
      <c r="Q255">
        <v>6.0188064498230401E-2</v>
      </c>
      <c r="R255">
        <v>0.98709820594641495</v>
      </c>
      <c r="S255" t="s">
        <v>6566</v>
      </c>
      <c r="T255" t="s">
        <v>12620</v>
      </c>
      <c r="U255" t="s">
        <v>12620</v>
      </c>
      <c r="V255" t="s">
        <v>12620</v>
      </c>
      <c r="W255" t="s">
        <v>12871</v>
      </c>
      <c r="X255">
        <v>5</v>
      </c>
      <c r="Y255" t="s">
        <v>19117</v>
      </c>
      <c r="Z255" t="s">
        <v>25202</v>
      </c>
      <c r="AA255">
        <v>0.55742598697105838</v>
      </c>
      <c r="AB255" t="str">
        <f>HYPERLINK("Melting_Curves/meltCurve_C9JYQ9_RPL22L1.pdf", "Melting_Curves/meltCurve_C9JYQ9_RPL22L1.pdf")</f>
        <v>Melting_Curves/meltCurve_C9JYQ9_RPL22L1.pdf</v>
      </c>
    </row>
    <row r="256" spans="1:28" x14ac:dyDescent="0.25">
      <c r="A256" t="s">
        <v>260</v>
      </c>
      <c r="B256">
        <v>0.99987803227770999</v>
      </c>
      <c r="C256">
        <v>1.07203322154516</v>
      </c>
      <c r="D256">
        <v>1.0611390489423</v>
      </c>
      <c r="E256">
        <v>1.04315330079998</v>
      </c>
      <c r="F256">
        <v>0.84555725483269895</v>
      </c>
      <c r="G256">
        <v>0.66760600417830696</v>
      </c>
      <c r="H256">
        <v>0.61020335090711697</v>
      </c>
      <c r="I256">
        <v>0.529967701965397</v>
      </c>
      <c r="J256">
        <v>0.45473310238933701</v>
      </c>
      <c r="K256">
        <v>0.31059216673138801</v>
      </c>
      <c r="L256">
        <v>782.72961738907304</v>
      </c>
      <c r="M256">
        <v>13.128096987442101</v>
      </c>
      <c r="N256">
        <v>63.567121447338401</v>
      </c>
      <c r="O256">
        <v>58.289945993625203</v>
      </c>
      <c r="P256">
        <v>-4.0625141614420199E-2</v>
      </c>
      <c r="Q256">
        <v>0.27860536704484301</v>
      </c>
      <c r="R256">
        <v>0.95013697559066601</v>
      </c>
      <c r="S256" t="s">
        <v>6567</v>
      </c>
      <c r="T256" t="s">
        <v>12620</v>
      </c>
      <c r="U256" t="s">
        <v>12620</v>
      </c>
      <c r="V256" t="s">
        <v>12620</v>
      </c>
      <c r="W256" t="s">
        <v>12872</v>
      </c>
      <c r="X256">
        <v>16</v>
      </c>
      <c r="Y256" t="s">
        <v>19118</v>
      </c>
      <c r="Z256" t="s">
        <v>25203</v>
      </c>
      <c r="AA256">
        <v>0.75512645960147373</v>
      </c>
      <c r="AB256" t="str">
        <f>HYPERLINK("Melting_Curves/meltCurve_C9JYY6_NRCAM.pdf", "Melting_Curves/meltCurve_C9JYY6_NRCAM.pdf")</f>
        <v>Melting_Curves/meltCurve_C9JYY6_NRCAM.pdf</v>
      </c>
    </row>
    <row r="257" spans="1:28" x14ac:dyDescent="0.25">
      <c r="A257" t="s">
        <v>261</v>
      </c>
      <c r="B257">
        <v>0.99987803227770999</v>
      </c>
      <c r="C257">
        <v>0.88554911926524604</v>
      </c>
      <c r="D257">
        <v>1.0182150188274</v>
      </c>
      <c r="E257">
        <v>0.90433597406791499</v>
      </c>
      <c r="F257">
        <v>1.03545032469531</v>
      </c>
      <c r="G257">
        <v>0.67640766001483699</v>
      </c>
      <c r="H257">
        <v>0.41590215486934201</v>
      </c>
      <c r="I257">
        <v>0.21503909048771799</v>
      </c>
      <c r="J257">
        <v>0.14296562904936899</v>
      </c>
      <c r="K257">
        <v>9.2450024348119497E-2</v>
      </c>
      <c r="L257">
        <v>1313.8968335093</v>
      </c>
      <c r="M257">
        <v>22.1855570479199</v>
      </c>
      <c r="N257">
        <v>59.638394368110902</v>
      </c>
      <c r="O257">
        <v>58.7481895505721</v>
      </c>
      <c r="P257">
        <v>-8.7653547372975399E-2</v>
      </c>
      <c r="Q257">
        <v>7.1580372339500806E-2</v>
      </c>
      <c r="R257">
        <v>0.97540878134920195</v>
      </c>
      <c r="S257" t="s">
        <v>6568</v>
      </c>
      <c r="T257" t="s">
        <v>12620</v>
      </c>
      <c r="U257" t="s">
        <v>12620</v>
      </c>
      <c r="V257" t="s">
        <v>12620</v>
      </c>
      <c r="W257" t="s">
        <v>12873</v>
      </c>
      <c r="X257">
        <v>6</v>
      </c>
      <c r="Y257" t="s">
        <v>19119</v>
      </c>
      <c r="Z257" t="s">
        <v>25204</v>
      </c>
      <c r="AA257">
        <v>0.67488745318851073</v>
      </c>
      <c r="AB257" t="str">
        <f>HYPERLINK("Melting_Curves/meltCurve_C9JZY6_UBE2H.pdf", "Melting_Curves/meltCurve_C9JZY6_UBE2H.pdf")</f>
        <v>Melting_Curves/meltCurve_C9JZY6_UBE2H.pdf</v>
      </c>
    </row>
    <row r="258" spans="1:28" x14ac:dyDescent="0.25">
      <c r="A258" t="s">
        <v>262</v>
      </c>
      <c r="B258">
        <v>0.99987803227770999</v>
      </c>
      <c r="C258">
        <v>1.0599456312098501</v>
      </c>
      <c r="D258">
        <v>1.0553374057311899</v>
      </c>
      <c r="E258">
        <v>0.68655255289074602</v>
      </c>
      <c r="F258">
        <v>0.55782218742727396</v>
      </c>
      <c r="G258">
        <v>0.28893668195243299</v>
      </c>
      <c r="H258">
        <v>0.15445511043794799</v>
      </c>
      <c r="I258">
        <v>0.16366761297806601</v>
      </c>
      <c r="J258">
        <v>0.13519630079661399</v>
      </c>
      <c r="K258">
        <v>8.5365058413100797E-2</v>
      </c>
      <c r="L258">
        <v>1024.1921813584499</v>
      </c>
      <c r="M258">
        <v>19.448684770097898</v>
      </c>
      <c r="N258">
        <v>53.351125949832799</v>
      </c>
      <c r="O258">
        <v>52.113985252974302</v>
      </c>
      <c r="P258">
        <v>-8.2929096981630604E-2</v>
      </c>
      <c r="Q258">
        <v>0.111177197156468</v>
      </c>
      <c r="R258">
        <v>0.98274819841707495</v>
      </c>
      <c r="S258" t="s">
        <v>6569</v>
      </c>
      <c r="T258" t="s">
        <v>12620</v>
      </c>
      <c r="U258" t="s">
        <v>12620</v>
      </c>
      <c r="V258" t="s">
        <v>12620</v>
      </c>
      <c r="W258" t="s">
        <v>12874</v>
      </c>
      <c r="X258">
        <v>32</v>
      </c>
      <c r="Y258" t="s">
        <v>19120</v>
      </c>
      <c r="Z258" t="s">
        <v>25205</v>
      </c>
      <c r="AA258">
        <v>0.49915927880782263</v>
      </c>
      <c r="AB258" t="str">
        <f>HYPERLINK("Melting_Curves/meltCurve_D3DQV9_EIF4G2.pdf", "Melting_Curves/meltCurve_D3DQV9_EIF4G2.pdf")</f>
        <v>Melting_Curves/meltCurve_D3DQV9_EIF4G2.pdf</v>
      </c>
    </row>
    <row r="259" spans="1:28" x14ac:dyDescent="0.25">
      <c r="A259" t="s">
        <v>263</v>
      </c>
      <c r="B259">
        <v>0.99987803227770999</v>
      </c>
      <c r="C259">
        <v>0.95748239391754997</v>
      </c>
      <c r="D259">
        <v>1.1950931067536601</v>
      </c>
      <c r="E259">
        <v>0.940628716751849</v>
      </c>
      <c r="F259">
        <v>0.87339561758265905</v>
      </c>
      <c r="G259">
        <v>0.64227492888173798</v>
      </c>
      <c r="H259">
        <v>0.52006488129114903</v>
      </c>
      <c r="I259">
        <v>0.93552321293475904</v>
      </c>
      <c r="J259">
        <v>0.52360039636781597</v>
      </c>
      <c r="K259">
        <v>0.38137415147649401</v>
      </c>
      <c r="L259">
        <v>1711.4957236227201</v>
      </c>
      <c r="M259">
        <v>31.604962194247801</v>
      </c>
      <c r="O259">
        <v>53.937350901139098</v>
      </c>
      <c r="P259">
        <v>-6.09292658852661E-2</v>
      </c>
      <c r="Q259">
        <v>0.58407230230534701</v>
      </c>
      <c r="R259">
        <v>0.65475811654758798</v>
      </c>
      <c r="S259" t="s">
        <v>6570</v>
      </c>
      <c r="T259" t="s">
        <v>12620</v>
      </c>
      <c r="U259" t="s">
        <v>12620</v>
      </c>
      <c r="V259" t="s">
        <v>12620</v>
      </c>
      <c r="W259" t="s">
        <v>12875</v>
      </c>
      <c r="X259">
        <v>1</v>
      </c>
      <c r="Y259" t="s">
        <v>19121</v>
      </c>
      <c r="Z259" t="s">
        <v>25206</v>
      </c>
      <c r="AA259">
        <v>0.78276410220069959</v>
      </c>
      <c r="AB259" t="str">
        <f>HYPERLINK("Melting_Curves/meltCurve_D3DUE0_FAM100A.pdf", "Melting_Curves/meltCurve_D3DUE0_FAM100A.pdf")</f>
        <v>Melting_Curves/meltCurve_D3DUE0_FAM100A.pdf</v>
      </c>
    </row>
    <row r="260" spans="1:28" x14ac:dyDescent="0.25">
      <c r="A260" t="s">
        <v>264</v>
      </c>
      <c r="B260">
        <v>0.99987803227770999</v>
      </c>
      <c r="C260">
        <v>0.93002493985274004</v>
      </c>
      <c r="D260">
        <v>0.62181735883287004</v>
      </c>
      <c r="E260">
        <v>0.50149627798807495</v>
      </c>
      <c r="F260">
        <v>0.33705866456433897</v>
      </c>
      <c r="G260">
        <v>0.21970207003363801</v>
      </c>
      <c r="H260">
        <v>0.18011655777132701</v>
      </c>
      <c r="I260">
        <v>0.15380796571991101</v>
      </c>
      <c r="J260">
        <v>0.13386439081830501</v>
      </c>
      <c r="K260">
        <v>0.107268142395473</v>
      </c>
      <c r="L260">
        <v>654.13578581884803</v>
      </c>
      <c r="M260">
        <v>13.4917214830832</v>
      </c>
      <c r="N260">
        <v>49.450544973623003</v>
      </c>
      <c r="O260">
        <v>47.456247859942899</v>
      </c>
      <c r="P260">
        <v>-6.2848346565385502E-2</v>
      </c>
      <c r="Q260">
        <v>0.115875368915328</v>
      </c>
      <c r="R260">
        <v>0.98408009344684699</v>
      </c>
      <c r="S260" t="s">
        <v>6571</v>
      </c>
      <c r="T260" t="s">
        <v>12620</v>
      </c>
      <c r="U260" t="s">
        <v>12620</v>
      </c>
      <c r="V260" t="s">
        <v>12620</v>
      </c>
      <c r="W260" t="s">
        <v>12876</v>
      </c>
      <c r="X260">
        <v>7</v>
      </c>
      <c r="Y260" t="s">
        <v>19122</v>
      </c>
      <c r="Z260" t="s">
        <v>25207</v>
      </c>
      <c r="AA260">
        <v>0.39311794499857688</v>
      </c>
      <c r="AB260" t="str">
        <f>HYPERLINK("Melting_Curves/meltCurve_D3DUE4_ANKS3.pdf", "Melting_Curves/meltCurve_D3DUE4_ANKS3.pdf")</f>
        <v>Melting_Curves/meltCurve_D3DUE4_ANKS3.pdf</v>
      </c>
    </row>
    <row r="261" spans="1:28" x14ac:dyDescent="0.25">
      <c r="A261" t="s">
        <v>265</v>
      </c>
      <c r="B261">
        <v>0.99987803227770999</v>
      </c>
      <c r="C261">
        <v>0.88949038039585104</v>
      </c>
      <c r="D261">
        <v>0.98626100896395796</v>
      </c>
      <c r="E261">
        <v>0.800513937987123</v>
      </c>
      <c r="F261">
        <v>0.98287554732187998</v>
      </c>
      <c r="G261">
        <v>0.66007231711734804</v>
      </c>
      <c r="H261">
        <v>0.67613466924279497</v>
      </c>
      <c r="I261">
        <v>0.644987801044271</v>
      </c>
      <c r="J261">
        <v>0.68719701095249397</v>
      </c>
      <c r="K261">
        <v>0.53134208963886997</v>
      </c>
      <c r="L261">
        <v>400.58345547684002</v>
      </c>
      <c r="M261">
        <v>6.6387831620173001</v>
      </c>
      <c r="O261">
        <v>55.570161828817398</v>
      </c>
      <c r="P261">
        <v>-1.7790389746883298E-2</v>
      </c>
      <c r="Q261">
        <v>0.405676838018315</v>
      </c>
      <c r="R261">
        <v>0.78125424460721504</v>
      </c>
      <c r="S261" t="s">
        <v>6572</v>
      </c>
      <c r="T261" t="s">
        <v>12620</v>
      </c>
      <c r="U261" t="s">
        <v>12620</v>
      </c>
      <c r="V261" t="s">
        <v>12620</v>
      </c>
      <c r="W261" t="s">
        <v>12877</v>
      </c>
      <c r="X261">
        <v>4</v>
      </c>
      <c r="Y261" t="s">
        <v>19123</v>
      </c>
      <c r="Z261" t="s">
        <v>25208</v>
      </c>
      <c r="AA261">
        <v>0.79020234597344152</v>
      </c>
      <c r="AB261" t="str">
        <f>HYPERLINK("Melting_Curves/meltCurve_D3K174_SLC4A7.pdf", "Melting_Curves/meltCurve_D3K174_SLC4A7.pdf")</f>
        <v>Melting_Curves/meltCurve_D3K174_SLC4A7.pdf</v>
      </c>
    </row>
    <row r="262" spans="1:28" x14ac:dyDescent="0.25">
      <c r="A262" t="s">
        <v>266</v>
      </c>
      <c r="B262">
        <v>0.99987803227770999</v>
      </c>
      <c r="C262">
        <v>0.79585792058388205</v>
      </c>
      <c r="D262">
        <v>0.958918710913228</v>
      </c>
      <c r="E262">
        <v>0.91827129948299702</v>
      </c>
      <c r="F262">
        <v>1.2925509802980499</v>
      </c>
      <c r="G262">
        <v>1.10395755739616</v>
      </c>
      <c r="H262">
        <v>1.11637858286634</v>
      </c>
      <c r="I262">
        <v>0.87911690217524796</v>
      </c>
      <c r="J262">
        <v>1.0513925437045599</v>
      </c>
      <c r="K262">
        <v>0.73204543947566603</v>
      </c>
      <c r="L262">
        <v>15000</v>
      </c>
      <c r="M262">
        <v>213.28065581900799</v>
      </c>
      <c r="Q262">
        <v>0</v>
      </c>
      <c r="R262">
        <v>0.28167253374538198</v>
      </c>
      <c r="S262" t="s">
        <v>6573</v>
      </c>
      <c r="T262" t="s">
        <v>12620</v>
      </c>
      <c r="U262" t="s">
        <v>12620</v>
      </c>
      <c r="V262" t="s">
        <v>12620</v>
      </c>
      <c r="W262" t="s">
        <v>12878</v>
      </c>
      <c r="X262">
        <v>1</v>
      </c>
      <c r="Y262" t="s">
        <v>19124</v>
      </c>
      <c r="Z262" t="s">
        <v>25209</v>
      </c>
      <c r="AA262">
        <v>0.99663748057391055</v>
      </c>
      <c r="AB262" t="str">
        <f>HYPERLINK("Melting_Curves/meltCurve_D3YHP0_CXADR.pdf", "Melting_Curves/meltCurve_D3YHP0_CXADR.pdf")</f>
        <v>Melting_Curves/meltCurve_D3YHP0_CXADR.pdf</v>
      </c>
    </row>
    <row r="263" spans="1:28" x14ac:dyDescent="0.25">
      <c r="A263" t="s">
        <v>267</v>
      </c>
      <c r="B263">
        <v>0.99987803227770999</v>
      </c>
      <c r="C263">
        <v>1.18829919917752</v>
      </c>
      <c r="D263">
        <v>0.99667138127960497</v>
      </c>
      <c r="E263">
        <v>0.86768431378753796</v>
      </c>
      <c r="F263">
        <v>0.54227769012079996</v>
      </c>
      <c r="G263">
        <v>0.37521953948339998</v>
      </c>
      <c r="H263">
        <v>0.11001156551879999</v>
      </c>
      <c r="I263">
        <v>9.1055425946933194E-2</v>
      </c>
      <c r="J263">
        <v>7.4985067292992993E-2</v>
      </c>
      <c r="K263">
        <v>4.6968142044779101E-2</v>
      </c>
      <c r="L263">
        <v>1054.23862332104</v>
      </c>
      <c r="M263">
        <v>19.495930774995099</v>
      </c>
      <c r="N263">
        <v>54.345649398710698</v>
      </c>
      <c r="O263">
        <v>53.515503049285002</v>
      </c>
      <c r="P263">
        <v>-8.6862789215119293E-2</v>
      </c>
      <c r="Q263">
        <v>4.6295427609882797E-2</v>
      </c>
      <c r="R263">
        <v>0.97191479819109095</v>
      </c>
      <c r="S263" t="s">
        <v>6574</v>
      </c>
      <c r="T263" t="s">
        <v>12620</v>
      </c>
      <c r="U263" t="s">
        <v>12620</v>
      </c>
      <c r="V263" t="s">
        <v>12620</v>
      </c>
      <c r="W263" t="s">
        <v>12879</v>
      </c>
      <c r="X263">
        <v>4</v>
      </c>
      <c r="Y263" t="s">
        <v>19125</v>
      </c>
      <c r="Z263" t="s">
        <v>25210</v>
      </c>
      <c r="AA263">
        <v>0.50721772787476971</v>
      </c>
      <c r="AB263" t="str">
        <f>HYPERLINK("Melting_Curves/meltCurve_D3YTB1_RPL32.pdf", "Melting_Curves/meltCurve_D3YTB1_RPL32.pdf")</f>
        <v>Melting_Curves/meltCurve_D3YTB1_RPL32.pdf</v>
      </c>
    </row>
    <row r="264" spans="1:28" x14ac:dyDescent="0.25">
      <c r="A264" t="s">
        <v>268</v>
      </c>
      <c r="B264">
        <v>0.99987803227770999</v>
      </c>
      <c r="C264">
        <v>0.950203842777124</v>
      </c>
      <c r="D264">
        <v>1.12888339184283</v>
      </c>
      <c r="E264">
        <v>1.0158415219980801</v>
      </c>
      <c r="F264">
        <v>1.3814172534034199</v>
      </c>
      <c r="G264">
        <v>1.31166895007506</v>
      </c>
      <c r="H264">
        <v>1.2719978951545301</v>
      </c>
      <c r="I264">
        <v>1.1757272292935199</v>
      </c>
      <c r="J264">
        <v>1.49033394991798</v>
      </c>
      <c r="K264">
        <v>1.2991716206395101</v>
      </c>
      <c r="L264">
        <v>12647.981119259201</v>
      </c>
      <c r="M264">
        <v>250</v>
      </c>
      <c r="O264">
        <v>50.588687692374897</v>
      </c>
      <c r="P264">
        <v>0.39747013774644502</v>
      </c>
      <c r="Q264">
        <v>1.32171987742011</v>
      </c>
      <c r="R264">
        <v>0.736668928805157</v>
      </c>
      <c r="S264" t="s">
        <v>6575</v>
      </c>
      <c r="T264" t="s">
        <v>12620</v>
      </c>
      <c r="U264" t="s">
        <v>12620</v>
      </c>
      <c r="V264" t="s">
        <v>12620</v>
      </c>
      <c r="W264" t="s">
        <v>12880</v>
      </c>
      <c r="X264">
        <v>3</v>
      </c>
      <c r="Y264" t="s">
        <v>19126</v>
      </c>
      <c r="Z264" t="s">
        <v>25211</v>
      </c>
      <c r="AA264">
        <v>1.208103557729564</v>
      </c>
      <c r="AB264" t="str">
        <f>HYPERLINK("Melting_Curves/meltCurve_D3YTE0_KRI1.pdf", "Melting_Curves/meltCurve_D3YTE0_KRI1.pdf")</f>
        <v>Melting_Curves/meltCurve_D3YTE0_KRI1.pdf</v>
      </c>
    </row>
    <row r="265" spans="1:28" x14ac:dyDescent="0.25">
      <c r="A265" t="s">
        <v>269</v>
      </c>
      <c r="B265">
        <v>0.99987803227770999</v>
      </c>
      <c r="C265">
        <v>1.0527102934897901</v>
      </c>
      <c r="D265">
        <v>1.0337574765372499</v>
      </c>
      <c r="E265">
        <v>0.98908020879036196</v>
      </c>
      <c r="F265">
        <v>0.89172460184547697</v>
      </c>
      <c r="G265">
        <v>0.57807660198048205</v>
      </c>
      <c r="H265">
        <v>0.33540970543843202</v>
      </c>
      <c r="I265">
        <v>0.28464287677723499</v>
      </c>
      <c r="J265">
        <v>0.18832710036016201</v>
      </c>
      <c r="K265">
        <v>0.130919135832606</v>
      </c>
      <c r="L265">
        <v>1225.1346299624799</v>
      </c>
      <c r="M265">
        <v>21.351460633164201</v>
      </c>
      <c r="N265">
        <v>58.353927940477199</v>
      </c>
      <c r="O265">
        <v>56.883229491974902</v>
      </c>
      <c r="P265">
        <v>-7.9768785301676401E-2</v>
      </c>
      <c r="Q265">
        <v>0.1499614997057</v>
      </c>
      <c r="R265">
        <v>0.99263145606504799</v>
      </c>
      <c r="S265" t="s">
        <v>6576</v>
      </c>
      <c r="T265" t="s">
        <v>12620</v>
      </c>
      <c r="U265" t="s">
        <v>12620</v>
      </c>
      <c r="V265" t="s">
        <v>12620</v>
      </c>
      <c r="W265" t="s">
        <v>12881</v>
      </c>
      <c r="X265">
        <v>7</v>
      </c>
      <c r="Y265" t="s">
        <v>19127</v>
      </c>
      <c r="Z265" t="s">
        <v>25212</v>
      </c>
      <c r="AA265">
        <v>0.65179625867187752</v>
      </c>
      <c r="AB265" t="str">
        <f>HYPERLINK("Melting_Curves/meltCurve_D3YTG6_NDOR1.pdf", "Melting_Curves/meltCurve_D3YTG6_NDOR1.pdf")</f>
        <v>Melting_Curves/meltCurve_D3YTG6_NDOR1.pdf</v>
      </c>
    </row>
    <row r="266" spans="1:28" x14ac:dyDescent="0.25">
      <c r="A266" t="s">
        <v>270</v>
      </c>
      <c r="B266">
        <v>0.99987803227770999</v>
      </c>
      <c r="C266">
        <v>1.03600946224585</v>
      </c>
      <c r="D266">
        <v>0.87054843553697203</v>
      </c>
      <c r="E266">
        <v>0.93339586499425298</v>
      </c>
      <c r="F266">
        <v>0.92058368794656498</v>
      </c>
      <c r="G266">
        <v>0.76852955400669398</v>
      </c>
      <c r="H266">
        <v>0.79839733726467599</v>
      </c>
      <c r="I266">
        <v>0.74290093109920996</v>
      </c>
      <c r="J266">
        <v>0.74293381870486497</v>
      </c>
      <c r="K266">
        <v>0.67481492811009403</v>
      </c>
      <c r="L266">
        <v>424.23914834888802</v>
      </c>
      <c r="M266">
        <v>7.1550789638796202</v>
      </c>
      <c r="O266">
        <v>55.184626353749501</v>
      </c>
      <c r="P266">
        <v>-1.3199331785294E-2</v>
      </c>
      <c r="Q266">
        <v>0.59348814140024697</v>
      </c>
      <c r="R266">
        <v>0.86518177363192095</v>
      </c>
      <c r="S266" t="s">
        <v>6577</v>
      </c>
      <c r="T266" t="s">
        <v>12620</v>
      </c>
      <c r="U266" t="s">
        <v>12620</v>
      </c>
      <c r="V266" t="s">
        <v>12620</v>
      </c>
      <c r="W266" t="s">
        <v>12882</v>
      </c>
      <c r="X266">
        <v>1</v>
      </c>
      <c r="Y266" t="s">
        <v>19128</v>
      </c>
      <c r="Z266" t="s">
        <v>25213</v>
      </c>
      <c r="AA266">
        <v>0.84916738607687714</v>
      </c>
      <c r="AB266" t="str">
        <f>HYPERLINK("Melting_Curves/meltCurve_D6R966_CXXC5.pdf", "Melting_Curves/meltCurve_D6R966_CXXC5.pdf")</f>
        <v>Melting_Curves/meltCurve_D6R966_CXXC5.pdf</v>
      </c>
    </row>
    <row r="267" spans="1:28" x14ac:dyDescent="0.25">
      <c r="A267" t="s">
        <v>271</v>
      </c>
      <c r="B267">
        <v>0.99987803227770999</v>
      </c>
      <c r="C267">
        <v>1.0917394769922899</v>
      </c>
      <c r="D267">
        <v>0.74884183219066802</v>
      </c>
      <c r="E267">
        <v>0.39500135468652298</v>
      </c>
      <c r="F267">
        <v>0.248837912233876</v>
      </c>
      <c r="G267">
        <v>0.156316828688562</v>
      </c>
      <c r="H267">
        <v>0.14492160668694301</v>
      </c>
      <c r="I267">
        <v>0.138546488835534</v>
      </c>
      <c r="J267">
        <v>8.0665482985858905E-2</v>
      </c>
      <c r="K267">
        <v>6.7363613160794603E-2</v>
      </c>
      <c r="L267">
        <v>1124.86345551726</v>
      </c>
      <c r="M267">
        <v>23.230595255446001</v>
      </c>
      <c r="N267">
        <v>48.963281246134599</v>
      </c>
      <c r="O267">
        <v>48.067082398968502</v>
      </c>
      <c r="P267">
        <v>-0.107135254461556</v>
      </c>
      <c r="Q267">
        <v>0.11330919487390601</v>
      </c>
      <c r="R267">
        <v>0.98114535106482503</v>
      </c>
      <c r="S267" t="s">
        <v>6578</v>
      </c>
      <c r="T267" t="s">
        <v>12620</v>
      </c>
      <c r="U267" t="s">
        <v>12620</v>
      </c>
      <c r="V267" t="s">
        <v>12620</v>
      </c>
      <c r="W267" t="s">
        <v>12883</v>
      </c>
      <c r="X267">
        <v>4</v>
      </c>
      <c r="Y267" t="s">
        <v>19129</v>
      </c>
      <c r="Z267" t="s">
        <v>25214</v>
      </c>
      <c r="AA267">
        <v>0.37136362213105512</v>
      </c>
      <c r="AB267" t="str">
        <f>HYPERLINK("Melting_Curves/meltCurve_D6R992_RELB.pdf", "Melting_Curves/meltCurve_D6R992_RELB.pdf")</f>
        <v>Melting_Curves/meltCurve_D6R992_RELB.pdf</v>
      </c>
    </row>
    <row r="268" spans="1:28" x14ac:dyDescent="0.25">
      <c r="A268" t="s">
        <v>272</v>
      </c>
      <c r="B268">
        <v>0.99987803227770999</v>
      </c>
      <c r="C268">
        <v>0.85221140610169999</v>
      </c>
      <c r="D268">
        <v>0.73645868125932001</v>
      </c>
      <c r="E268">
        <v>0.51267668711859105</v>
      </c>
      <c r="F268">
        <v>0.29724254958867602</v>
      </c>
      <c r="G268">
        <v>0.17346999502848201</v>
      </c>
      <c r="H268">
        <v>0.113975117218235</v>
      </c>
      <c r="I268">
        <v>0.121553042719171</v>
      </c>
      <c r="J268">
        <v>0.107797632011417</v>
      </c>
      <c r="K268">
        <v>7.0166778748499706E-2</v>
      </c>
      <c r="L268">
        <v>680.86608328876298</v>
      </c>
      <c r="M268">
        <v>13.8538312624454</v>
      </c>
      <c r="N268">
        <v>49.664472042782599</v>
      </c>
      <c r="O268">
        <v>48.156366091006802</v>
      </c>
      <c r="P268">
        <v>-6.7091638033282497E-2</v>
      </c>
      <c r="Q268">
        <v>6.7277899316821696E-2</v>
      </c>
      <c r="R268">
        <v>0.99496207639164602</v>
      </c>
      <c r="S268" t="s">
        <v>6579</v>
      </c>
      <c r="T268" t="s">
        <v>12620</v>
      </c>
      <c r="U268" t="s">
        <v>12620</v>
      </c>
      <c r="V268" t="s">
        <v>12620</v>
      </c>
      <c r="W268" t="s">
        <v>12884</v>
      </c>
      <c r="X268">
        <v>4</v>
      </c>
      <c r="Y268" t="s">
        <v>19130</v>
      </c>
      <c r="Z268" t="s">
        <v>25215</v>
      </c>
      <c r="AA268">
        <v>0.37813435804822138</v>
      </c>
      <c r="AB268" t="str">
        <f>HYPERLINK("Melting_Curves/meltCurve_D6R9D6_RBM47.pdf", "Melting_Curves/meltCurve_D6R9D6_RBM47.pdf")</f>
        <v>Melting_Curves/meltCurve_D6R9D6_RBM47.pdf</v>
      </c>
    </row>
    <row r="269" spans="1:28" x14ac:dyDescent="0.25">
      <c r="A269" t="s">
        <v>273</v>
      </c>
      <c r="B269">
        <v>0.99987803227770999</v>
      </c>
      <c r="C269">
        <v>0.93001292515803402</v>
      </c>
      <c r="D269">
        <v>1.0945653559446</v>
      </c>
      <c r="E269">
        <v>1.16494463828826</v>
      </c>
      <c r="F269">
        <v>1.2371254921833601</v>
      </c>
      <c r="G269">
        <v>1.0191352837452501</v>
      </c>
      <c r="H269">
        <v>1.13358906554206</v>
      </c>
      <c r="I269">
        <v>1.0450295954087701</v>
      </c>
      <c r="J269">
        <v>1.05421906257343</v>
      </c>
      <c r="K269">
        <v>0.96570808698555199</v>
      </c>
      <c r="L269">
        <v>11157.6630445549</v>
      </c>
      <c r="M269">
        <v>250</v>
      </c>
      <c r="O269">
        <v>44.627806807081299</v>
      </c>
      <c r="P269">
        <v>0.12505568781259299</v>
      </c>
      <c r="Q269">
        <v>1.0892953557899001</v>
      </c>
      <c r="R269">
        <v>0.278039114813174</v>
      </c>
      <c r="S269" t="s">
        <v>6580</v>
      </c>
      <c r="T269" t="s">
        <v>12620</v>
      </c>
      <c r="U269" t="s">
        <v>12620</v>
      </c>
      <c r="V269" t="s">
        <v>12620</v>
      </c>
      <c r="W269" t="s">
        <v>12885</v>
      </c>
      <c r="X269">
        <v>4</v>
      </c>
      <c r="Y269" t="s">
        <v>19131</v>
      </c>
      <c r="Z269" t="s">
        <v>25216</v>
      </c>
      <c r="AA269">
        <v>1.07550517050649</v>
      </c>
      <c r="AB269" t="str">
        <f>HYPERLINK("Melting_Curves/meltCurve_D6R9U7_POLR3G.pdf", "Melting_Curves/meltCurve_D6R9U7_POLR3G.pdf")</f>
        <v>Melting_Curves/meltCurve_D6R9U7_POLR3G.pdf</v>
      </c>
    </row>
    <row r="270" spans="1:28" x14ac:dyDescent="0.25">
      <c r="A270" t="s">
        <v>274</v>
      </c>
      <c r="B270">
        <v>0.99987803227770999</v>
      </c>
      <c r="C270">
        <v>0.71549555670043596</v>
      </c>
      <c r="D270">
        <v>0.81548810927787296</v>
      </c>
      <c r="E270">
        <v>0.60553105145571895</v>
      </c>
      <c r="F270">
        <v>0.73800272126223798</v>
      </c>
      <c r="G270">
        <v>0.58005145824686799</v>
      </c>
      <c r="H270">
        <v>0.63484999011639098</v>
      </c>
      <c r="I270">
        <v>0.52797587015510405</v>
      </c>
      <c r="J270">
        <v>0.69778346774294997</v>
      </c>
      <c r="K270">
        <v>0.55820824749220399</v>
      </c>
      <c r="L270">
        <v>591.73205538473701</v>
      </c>
      <c r="M270">
        <v>13.479190991267901</v>
      </c>
      <c r="O270">
        <v>42.967218189034398</v>
      </c>
      <c r="P270">
        <v>-3.1115375419162501E-2</v>
      </c>
      <c r="Q270">
        <v>0.60331861642266305</v>
      </c>
      <c r="R270">
        <v>0.67371620316896197</v>
      </c>
      <c r="S270" t="s">
        <v>6581</v>
      </c>
      <c r="T270" t="s">
        <v>12620</v>
      </c>
      <c r="U270" t="s">
        <v>12620</v>
      </c>
      <c r="V270" t="s">
        <v>12620</v>
      </c>
      <c r="W270" t="s">
        <v>12886</v>
      </c>
      <c r="X270">
        <v>2</v>
      </c>
      <c r="Y270" t="s">
        <v>19132</v>
      </c>
      <c r="Z270" t="s">
        <v>25217</v>
      </c>
      <c r="AA270">
        <v>0.67288294586372788</v>
      </c>
      <c r="AB270" t="str">
        <f>HYPERLINK("Melting_Curves/meltCurve_D6R9V3_CC2D2A.pdf", "Melting_Curves/meltCurve_D6R9V3_CC2D2A.pdf")</f>
        <v>Melting_Curves/meltCurve_D6R9V3_CC2D2A.pdf</v>
      </c>
    </row>
    <row r="271" spans="1:28" x14ac:dyDescent="0.25">
      <c r="A271" t="s">
        <v>275</v>
      </c>
      <c r="B271">
        <v>0.99987803227770999</v>
      </c>
      <c r="C271">
        <v>1.04351937529983</v>
      </c>
      <c r="D271">
        <v>1.0731543197486899</v>
      </c>
      <c r="E271">
        <v>0.80955934152869802</v>
      </c>
      <c r="F271">
        <v>0.49975091577269198</v>
      </c>
      <c r="G271">
        <v>0.15862916444036801</v>
      </c>
      <c r="H271">
        <v>0.13905625003800301</v>
      </c>
      <c r="I271">
        <v>0.132408479618459</v>
      </c>
      <c r="J271">
        <v>9.7953173769903604E-2</v>
      </c>
      <c r="K271">
        <v>4.51968102748019E-2</v>
      </c>
      <c r="L271">
        <v>1557.67472762803</v>
      </c>
      <c r="M271">
        <v>29.660331101571</v>
      </c>
      <c r="N271">
        <v>52.895005381239798</v>
      </c>
      <c r="O271">
        <v>52.2801227268613</v>
      </c>
      <c r="P271">
        <v>-0.12829273215870299</v>
      </c>
      <c r="Q271">
        <v>9.5477012514431497E-2</v>
      </c>
      <c r="R271">
        <v>0.99126782146316605</v>
      </c>
      <c r="S271" t="s">
        <v>6582</v>
      </c>
      <c r="T271" t="s">
        <v>12620</v>
      </c>
      <c r="U271" t="s">
        <v>12620</v>
      </c>
      <c r="V271" t="s">
        <v>12620</v>
      </c>
      <c r="W271" t="s">
        <v>12887</v>
      </c>
      <c r="X271">
        <v>1</v>
      </c>
      <c r="Y271" t="s">
        <v>19133</v>
      </c>
      <c r="Z271" t="s">
        <v>25218</v>
      </c>
      <c r="AA271">
        <v>0.47883449454274241</v>
      </c>
      <c r="AB271" t="str">
        <f>HYPERLINK("Melting_Curves/meltCurve_D6RB01_FAM169A.pdf", "Melting_Curves/meltCurve_D6RB01_FAM169A.pdf")</f>
        <v>Melting_Curves/meltCurve_D6RB01_FAM169A.pdf</v>
      </c>
    </row>
    <row r="272" spans="1:28" x14ac:dyDescent="0.25">
      <c r="A272" t="s">
        <v>276</v>
      </c>
      <c r="B272">
        <v>0.99987803227770999</v>
      </c>
      <c r="C272">
        <v>0.99188696161321699</v>
      </c>
      <c r="D272">
        <v>1.3601453725264001</v>
      </c>
      <c r="E272">
        <v>0.67311472325145305</v>
      </c>
      <c r="F272">
        <v>0.73667461944738399</v>
      </c>
      <c r="G272">
        <v>0.54373511229747096</v>
      </c>
      <c r="H272">
        <v>0.45306420691493798</v>
      </c>
      <c r="I272">
        <v>0.29571038701219299</v>
      </c>
      <c r="J272">
        <v>0.27710492967740402</v>
      </c>
      <c r="K272">
        <v>0.22983667073108299</v>
      </c>
      <c r="L272">
        <v>822.57924370334501</v>
      </c>
      <c r="M272">
        <v>14.8441606986402</v>
      </c>
      <c r="N272">
        <v>57.723150008722698</v>
      </c>
      <c r="O272">
        <v>54.437806421983801</v>
      </c>
      <c r="P272">
        <v>-5.2914529090653903E-2</v>
      </c>
      <c r="Q272">
        <v>0.22387049882953999</v>
      </c>
      <c r="R272">
        <v>0.83757460001128303</v>
      </c>
      <c r="S272" t="s">
        <v>6583</v>
      </c>
      <c r="T272" t="s">
        <v>12620</v>
      </c>
      <c r="U272" t="s">
        <v>12620</v>
      </c>
      <c r="V272" t="s">
        <v>12620</v>
      </c>
      <c r="W272" t="s">
        <v>12888</v>
      </c>
      <c r="X272">
        <v>1</v>
      </c>
      <c r="Y272" t="s">
        <v>19134</v>
      </c>
      <c r="Z272" t="s">
        <v>25219</v>
      </c>
      <c r="AA272">
        <v>0.63730462351847106</v>
      </c>
      <c r="AB272" t="str">
        <f>HYPERLINK("Melting_Curves/meltCurve_D6RBC4_ZBTB38.pdf", "Melting_Curves/meltCurve_D6RBC4_ZBTB38.pdf")</f>
        <v>Melting_Curves/meltCurve_D6RBC4_ZBTB38.pdf</v>
      </c>
    </row>
    <row r="273" spans="1:28" x14ac:dyDescent="0.25">
      <c r="A273" t="s">
        <v>277</v>
      </c>
      <c r="B273">
        <v>0.99987803227770999</v>
      </c>
      <c r="C273">
        <v>0.90405354226754697</v>
      </c>
      <c r="D273">
        <v>0.96762763111058603</v>
      </c>
      <c r="E273">
        <v>0.82486721951250497</v>
      </c>
      <c r="F273">
        <v>0.948666785538966</v>
      </c>
      <c r="G273">
        <v>0.64724568907536595</v>
      </c>
      <c r="H273">
        <v>0.71239111781018305</v>
      </c>
      <c r="I273">
        <v>0.66253686728230798</v>
      </c>
      <c r="J273">
        <v>0.74115197308931902</v>
      </c>
      <c r="K273">
        <v>0.62359378908513896</v>
      </c>
      <c r="L273">
        <v>539.83963584780497</v>
      </c>
      <c r="M273">
        <v>10.103478947406799</v>
      </c>
      <c r="O273">
        <v>51.464587784169701</v>
      </c>
      <c r="P273">
        <v>-1.8493589300027299E-2</v>
      </c>
      <c r="Q273">
        <v>0.62336929066635005</v>
      </c>
      <c r="R273">
        <v>0.76852397090628699</v>
      </c>
      <c r="S273" t="s">
        <v>6584</v>
      </c>
      <c r="T273" t="s">
        <v>12620</v>
      </c>
      <c r="U273" t="s">
        <v>12620</v>
      </c>
      <c r="V273" t="s">
        <v>12620</v>
      </c>
      <c r="W273" t="s">
        <v>12889</v>
      </c>
      <c r="X273">
        <v>3</v>
      </c>
      <c r="Y273" t="s">
        <v>19135</v>
      </c>
      <c r="Z273" t="s">
        <v>25220</v>
      </c>
      <c r="AA273">
        <v>0.80413375088084649</v>
      </c>
      <c r="AB273" t="str">
        <f>HYPERLINK("Melting_Curves/meltCurve_D6RBN5_OCIAD1.pdf", "Melting_Curves/meltCurve_D6RBN5_OCIAD1.pdf")</f>
        <v>Melting_Curves/meltCurve_D6RBN5_OCIAD1.pdf</v>
      </c>
    </row>
    <row r="274" spans="1:28" x14ac:dyDescent="0.25">
      <c r="A274" t="s">
        <v>278</v>
      </c>
      <c r="B274">
        <v>0.99987803227770999</v>
      </c>
      <c r="C274">
        <v>0.94350269140638299</v>
      </c>
      <c r="D274">
        <v>0.95753753598537406</v>
      </c>
      <c r="E274">
        <v>0.879861971912268</v>
      </c>
      <c r="F274">
        <v>0.769697017135763</v>
      </c>
      <c r="G274">
        <v>0.38776106342632999</v>
      </c>
      <c r="H274">
        <v>0.235918227794157</v>
      </c>
      <c r="I274">
        <v>0.149575621145321</v>
      </c>
      <c r="J274">
        <v>8.1475878050226699E-2</v>
      </c>
      <c r="K274">
        <v>8.35913110563824E-2</v>
      </c>
      <c r="L274">
        <v>1031.9762109231899</v>
      </c>
      <c r="M274">
        <v>18.560612376211701</v>
      </c>
      <c r="N274">
        <v>55.996506075024399</v>
      </c>
      <c r="O274">
        <v>54.966969274896798</v>
      </c>
      <c r="P274">
        <v>-7.9226338429506896E-2</v>
      </c>
      <c r="Q274">
        <v>6.1530678189110101E-2</v>
      </c>
      <c r="R274">
        <v>0.99464480080868201</v>
      </c>
      <c r="S274" t="s">
        <v>6585</v>
      </c>
      <c r="T274" t="s">
        <v>12620</v>
      </c>
      <c r="U274" t="s">
        <v>12620</v>
      </c>
      <c r="V274" t="s">
        <v>12620</v>
      </c>
      <c r="W274" t="s">
        <v>12890</v>
      </c>
      <c r="X274">
        <v>2</v>
      </c>
      <c r="Y274" t="s">
        <v>19136</v>
      </c>
      <c r="Z274" t="s">
        <v>25221</v>
      </c>
      <c r="AA274">
        <v>0.56313043075157387</v>
      </c>
      <c r="AB274" t="str">
        <f>HYPERLINK("Melting_Curves/meltCurve_D6RBV2_LMAN2.pdf", "Melting_Curves/meltCurve_D6RBV2_LMAN2.pdf")</f>
        <v>Melting_Curves/meltCurve_D6RBV2_LMAN2.pdf</v>
      </c>
    </row>
    <row r="275" spans="1:28" x14ac:dyDescent="0.25">
      <c r="A275" t="s">
        <v>279</v>
      </c>
      <c r="B275">
        <v>0.99987803227770999</v>
      </c>
      <c r="C275">
        <v>0.85306756444422205</v>
      </c>
      <c r="D275">
        <v>1.51937344744471</v>
      </c>
      <c r="E275">
        <v>0.88275214996726104</v>
      </c>
      <c r="F275">
        <v>0.51641303732991495</v>
      </c>
      <c r="G275">
        <v>0.172446695983026</v>
      </c>
      <c r="H275">
        <v>0.106161622896064</v>
      </c>
      <c r="I275">
        <v>8.9174525149118E-2</v>
      </c>
      <c r="J275">
        <v>3.0353657062063302E-2</v>
      </c>
      <c r="K275">
        <v>2.4097777591065E-2</v>
      </c>
      <c r="L275">
        <v>1912.5967956812001</v>
      </c>
      <c r="M275">
        <v>36.106084930653999</v>
      </c>
      <c r="N275">
        <v>53.183536502849996</v>
      </c>
      <c r="O275">
        <v>52.809885966578101</v>
      </c>
      <c r="P275">
        <v>-0.159471922025578</v>
      </c>
      <c r="Q275">
        <v>6.7008496217037403E-2</v>
      </c>
      <c r="R275">
        <v>0.87599033231579104</v>
      </c>
      <c r="S275" t="s">
        <v>6586</v>
      </c>
      <c r="T275" t="s">
        <v>12620</v>
      </c>
      <c r="U275" t="s">
        <v>12620</v>
      </c>
      <c r="V275" t="s">
        <v>12620</v>
      </c>
      <c r="W275" t="s">
        <v>12891</v>
      </c>
      <c r="X275">
        <v>1</v>
      </c>
      <c r="Y275" t="s">
        <v>19137</v>
      </c>
      <c r="Z275" t="s">
        <v>25222</v>
      </c>
      <c r="AA275">
        <v>0.47461083848919511</v>
      </c>
      <c r="AB275" t="str">
        <f>HYPERLINK("Melting_Curves/meltCurve_D6RC23_PACRGL.pdf", "Melting_Curves/meltCurve_D6RC23_PACRGL.pdf")</f>
        <v>Melting_Curves/meltCurve_D6RC23_PACRGL.pdf</v>
      </c>
    </row>
    <row r="276" spans="1:28" x14ac:dyDescent="0.25">
      <c r="A276" t="s">
        <v>280</v>
      </c>
      <c r="B276">
        <v>0.99987803227770999</v>
      </c>
      <c r="C276">
        <v>0.97985089487536603</v>
      </c>
      <c r="D276">
        <v>0.836481540715725</v>
      </c>
      <c r="E276">
        <v>0.81251747397915897</v>
      </c>
      <c r="F276">
        <v>0.60313404785151004</v>
      </c>
      <c r="G276">
        <v>0.474936966142396</v>
      </c>
      <c r="H276">
        <v>0.22133043156475801</v>
      </c>
      <c r="I276">
        <v>0.220249619409843</v>
      </c>
      <c r="J276">
        <v>0.17710353893146399</v>
      </c>
      <c r="K276">
        <v>8.3165429574040106E-2</v>
      </c>
      <c r="L276">
        <v>585.48339737268702</v>
      </c>
      <c r="M276">
        <v>10.524815687973801</v>
      </c>
      <c r="N276">
        <v>55.628850396819502</v>
      </c>
      <c r="O276">
        <v>53.733167112055902</v>
      </c>
      <c r="P276">
        <v>-4.89875451509868E-2</v>
      </c>
      <c r="Q276">
        <v>0</v>
      </c>
      <c r="R276">
        <v>0.98676353154245</v>
      </c>
      <c r="S276" t="s">
        <v>6587</v>
      </c>
      <c r="T276" t="s">
        <v>12620</v>
      </c>
      <c r="U276" t="s">
        <v>12620</v>
      </c>
      <c r="V276" t="s">
        <v>12620</v>
      </c>
      <c r="W276" t="s">
        <v>12892</v>
      </c>
      <c r="X276">
        <v>1</v>
      </c>
      <c r="Y276" t="s">
        <v>19138</v>
      </c>
      <c r="Z276" t="s">
        <v>25223</v>
      </c>
      <c r="AA276">
        <v>0.54364924144967997</v>
      </c>
      <c r="AB276" t="str">
        <f>HYPERLINK("Melting_Curves/meltCurve_D6RC56_AADAT.pdf", "Melting_Curves/meltCurve_D6RC56_AADAT.pdf")</f>
        <v>Melting_Curves/meltCurve_D6RC56_AADAT.pdf</v>
      </c>
    </row>
    <row r="277" spans="1:28" x14ac:dyDescent="0.25">
      <c r="A277" t="s">
        <v>281</v>
      </c>
      <c r="B277">
        <v>0.99987803227770999</v>
      </c>
      <c r="C277">
        <v>1.0919823353650799</v>
      </c>
      <c r="D277">
        <v>0.92280161821834605</v>
      </c>
      <c r="E277">
        <v>0.97238804034349002</v>
      </c>
      <c r="F277">
        <v>0.60099806353547502</v>
      </c>
      <c r="G277">
        <v>0.57346196438752695</v>
      </c>
      <c r="H277">
        <v>0.36632349839376199</v>
      </c>
      <c r="I277">
        <v>0.22394282657748599</v>
      </c>
      <c r="J277">
        <v>0.15093375460775599</v>
      </c>
      <c r="K277">
        <v>0.11714175470895501</v>
      </c>
      <c r="L277">
        <v>709.03730041536301</v>
      </c>
      <c r="M277">
        <v>12.3634719119976</v>
      </c>
      <c r="N277">
        <v>57.562693698714099</v>
      </c>
      <c r="O277">
        <v>55.910952753148102</v>
      </c>
      <c r="P277">
        <v>-5.4055650546406001E-2</v>
      </c>
      <c r="Q277">
        <v>2.2393027926526098E-2</v>
      </c>
      <c r="R277">
        <v>0.96342124312848199</v>
      </c>
      <c r="S277" t="s">
        <v>6588</v>
      </c>
      <c r="T277" t="s">
        <v>12620</v>
      </c>
      <c r="U277" t="s">
        <v>12620</v>
      </c>
      <c r="V277" t="s">
        <v>12620</v>
      </c>
      <c r="W277" t="s">
        <v>12893</v>
      </c>
      <c r="X277">
        <v>1</v>
      </c>
      <c r="Y277" t="s">
        <v>19139</v>
      </c>
      <c r="Z277" t="s">
        <v>25224</v>
      </c>
      <c r="AA277">
        <v>0.60295202634202583</v>
      </c>
      <c r="AB277" t="str">
        <f>HYPERLINK("Melting_Curves/meltCurve_D6RDG4_POC5.pdf", "Melting_Curves/meltCurve_D6RDG4_POC5.pdf")</f>
        <v>Melting_Curves/meltCurve_D6RDG4_POC5.pdf</v>
      </c>
    </row>
    <row r="278" spans="1:28" x14ac:dyDescent="0.25">
      <c r="A278" t="s">
        <v>282</v>
      </c>
      <c r="B278">
        <v>0.99987803227770999</v>
      </c>
      <c r="C278">
        <v>0.989755077845202</v>
      </c>
      <c r="D278">
        <v>0.78836614658184101</v>
      </c>
      <c r="E278">
        <v>0.59556449247747001</v>
      </c>
      <c r="F278">
        <v>0.33956124207298699</v>
      </c>
      <c r="G278">
        <v>0.156874104889972</v>
      </c>
      <c r="H278">
        <v>8.8010161488572602E-2</v>
      </c>
      <c r="I278">
        <v>5.1383318867708E-2</v>
      </c>
      <c r="J278">
        <v>3.3064979068849698E-2</v>
      </c>
      <c r="K278">
        <v>2.5169000685483799E-2</v>
      </c>
      <c r="L278">
        <v>792.81263539795702</v>
      </c>
      <c r="M278">
        <v>15.61286125528</v>
      </c>
      <c r="N278">
        <v>50.862645472187999</v>
      </c>
      <c r="O278">
        <v>49.968287818297597</v>
      </c>
      <c r="P278">
        <v>-7.7136074681386599E-2</v>
      </c>
      <c r="Q278">
        <v>1.26025647597098E-2</v>
      </c>
      <c r="R278">
        <v>0.99618661125763497</v>
      </c>
      <c r="S278" t="s">
        <v>6589</v>
      </c>
      <c r="T278" t="s">
        <v>12620</v>
      </c>
      <c r="U278" t="s">
        <v>12620</v>
      </c>
      <c r="V278" t="s">
        <v>12620</v>
      </c>
      <c r="W278" t="s">
        <v>12894</v>
      </c>
      <c r="X278">
        <v>1</v>
      </c>
      <c r="Y278" t="s">
        <v>19140</v>
      </c>
      <c r="Z278" t="s">
        <v>25225</v>
      </c>
      <c r="AA278">
        <v>0.38885212518564349</v>
      </c>
      <c r="AB278" t="str">
        <f>HYPERLINK("Melting_Curves/meltCurve_D6RDM1_CCDC111.pdf", "Melting_Curves/meltCurve_D6RDM1_CCDC111.pdf")</f>
        <v>Melting_Curves/meltCurve_D6RDM1_CCDC111.pdf</v>
      </c>
    </row>
    <row r="279" spans="1:28" x14ac:dyDescent="0.25">
      <c r="A279" t="s">
        <v>283</v>
      </c>
      <c r="B279">
        <v>0.99987803227770999</v>
      </c>
      <c r="C279">
        <v>0.87254589333626498</v>
      </c>
      <c r="D279">
        <v>0.94992322034557397</v>
      </c>
      <c r="E279">
        <v>0.820580146574313</v>
      </c>
      <c r="F279">
        <v>0.88642796802871004</v>
      </c>
      <c r="G279">
        <v>0.67289996063258894</v>
      </c>
      <c r="H279">
        <v>0.28817395631182302</v>
      </c>
      <c r="I279">
        <v>0.12566528636232699</v>
      </c>
      <c r="J279">
        <v>8.2482342926873897E-2</v>
      </c>
      <c r="K279">
        <v>5.9370021495130203E-2</v>
      </c>
      <c r="L279">
        <v>1099.3098335822499</v>
      </c>
      <c r="M279">
        <v>18.815633544959599</v>
      </c>
      <c r="N279">
        <v>58.425343884660101</v>
      </c>
      <c r="O279">
        <v>57.777390060678599</v>
      </c>
      <c r="P279">
        <v>-8.1417720209298397E-2</v>
      </c>
      <c r="Q279">
        <v>0</v>
      </c>
      <c r="R279">
        <v>0.968659623419722</v>
      </c>
      <c r="S279" t="s">
        <v>6590</v>
      </c>
      <c r="T279" t="s">
        <v>12620</v>
      </c>
      <c r="U279" t="s">
        <v>12620</v>
      </c>
      <c r="V279" t="s">
        <v>12620</v>
      </c>
      <c r="W279" t="s">
        <v>12895</v>
      </c>
      <c r="X279">
        <v>3</v>
      </c>
      <c r="Y279" t="s">
        <v>19141</v>
      </c>
      <c r="Z279" t="s">
        <v>25226</v>
      </c>
      <c r="AA279">
        <v>0.62553286294235755</v>
      </c>
      <c r="AB279" t="str">
        <f>HYPERLINK("Melting_Curves/meltCurve_D6RDX3_ATG10.pdf", "Melting_Curves/meltCurve_D6RDX3_ATG10.pdf")</f>
        <v>Melting_Curves/meltCurve_D6RDX3_ATG10.pdf</v>
      </c>
    </row>
    <row r="280" spans="1:28" x14ac:dyDescent="0.25">
      <c r="A280" t="s">
        <v>284</v>
      </c>
      <c r="B280">
        <v>0.99987803227770999</v>
      </c>
      <c r="C280">
        <v>0.63110771698839696</v>
      </c>
      <c r="D280">
        <v>0.54123912244844097</v>
      </c>
      <c r="E280">
        <v>0.50398907815884697</v>
      </c>
      <c r="F280">
        <v>0.34868442660920301</v>
      </c>
      <c r="G280">
        <v>0.229735696861328</v>
      </c>
      <c r="H280">
        <v>0.141319049190926</v>
      </c>
      <c r="I280">
        <v>0.14773059012008899</v>
      </c>
      <c r="J280">
        <v>0.11082410211134699</v>
      </c>
      <c r="K280">
        <v>5.3835456639792903E-2</v>
      </c>
      <c r="L280">
        <v>399.34308349347901</v>
      </c>
      <c r="M280">
        <v>8.2614361417744906</v>
      </c>
      <c r="N280">
        <v>48.464621926878699</v>
      </c>
      <c r="O280">
        <v>45.754172911858397</v>
      </c>
      <c r="P280">
        <v>-4.4703995976020899E-2</v>
      </c>
      <c r="Q280">
        <v>1.0658499838734899E-2</v>
      </c>
      <c r="R280">
        <v>0.94286830488041895</v>
      </c>
      <c r="S280" t="s">
        <v>6591</v>
      </c>
      <c r="T280" t="s">
        <v>12620</v>
      </c>
      <c r="U280" t="s">
        <v>12620</v>
      </c>
      <c r="V280" t="s">
        <v>12620</v>
      </c>
      <c r="W280" t="s">
        <v>12896</v>
      </c>
      <c r="X280">
        <v>1</v>
      </c>
      <c r="Y280" t="s">
        <v>19142</v>
      </c>
      <c r="Z280" t="s">
        <v>25227</v>
      </c>
      <c r="AA280">
        <v>0.35244238128968358</v>
      </c>
      <c r="AB280" t="str">
        <f>HYPERLINK("Melting_Curves/meltCurve_D6REA0_PET112.pdf", "Melting_Curves/meltCurve_D6REA0_PET112.pdf")</f>
        <v>Melting_Curves/meltCurve_D6REA0_PET112.pdf</v>
      </c>
    </row>
    <row r="281" spans="1:28" x14ac:dyDescent="0.25">
      <c r="A281" t="s">
        <v>285</v>
      </c>
      <c r="B281">
        <v>0.99987803227770999</v>
      </c>
      <c r="C281">
        <v>1.04519385690787</v>
      </c>
      <c r="D281">
        <v>0.94149289741041797</v>
      </c>
      <c r="E281">
        <v>1.2478679440743701</v>
      </c>
      <c r="F281">
        <v>0.78287065101435205</v>
      </c>
      <c r="G281">
        <v>0.31335557810253101</v>
      </c>
      <c r="H281">
        <v>0.164467825240038</v>
      </c>
      <c r="I281">
        <v>0.12615612151859601</v>
      </c>
      <c r="J281">
        <v>0.111285850340562</v>
      </c>
      <c r="K281">
        <v>8.3402691842405494E-2</v>
      </c>
      <c r="L281">
        <v>2179.57141142501</v>
      </c>
      <c r="M281">
        <v>39.624689849653997</v>
      </c>
      <c r="N281">
        <v>55.382160188866798</v>
      </c>
      <c r="O281">
        <v>54.8658488896899</v>
      </c>
      <c r="P281">
        <v>-0.15922029210847599</v>
      </c>
      <c r="Q281">
        <v>0.118152071875527</v>
      </c>
      <c r="R281">
        <v>0.95801477081711595</v>
      </c>
      <c r="S281" t="s">
        <v>6592</v>
      </c>
      <c r="T281" t="s">
        <v>12620</v>
      </c>
      <c r="U281" t="s">
        <v>12620</v>
      </c>
      <c r="V281" t="s">
        <v>12620</v>
      </c>
      <c r="W281" t="s">
        <v>12897</v>
      </c>
      <c r="X281">
        <v>22</v>
      </c>
      <c r="Y281" t="s">
        <v>19143</v>
      </c>
      <c r="Z281" t="s">
        <v>25228</v>
      </c>
      <c r="AA281">
        <v>0.56263810476702281</v>
      </c>
      <c r="AB281" t="str">
        <f>HYPERLINK("Melting_Curves/meltCurve_D6REX3_SEC31A.pdf", "Melting_Curves/meltCurve_D6REX3_SEC31A.pdf")</f>
        <v>Melting_Curves/meltCurve_D6REX3_SEC31A.pdf</v>
      </c>
    </row>
    <row r="282" spans="1:28" x14ac:dyDescent="0.25">
      <c r="A282" t="s">
        <v>286</v>
      </c>
      <c r="B282">
        <v>0.99987803227770999</v>
      </c>
      <c r="C282">
        <v>1.1682665825093099</v>
      </c>
      <c r="D282">
        <v>0.95897177491050201</v>
      </c>
      <c r="E282">
        <v>1.4631221747755301</v>
      </c>
      <c r="F282">
        <v>1.1653782138388</v>
      </c>
      <c r="G282">
        <v>1.22964034505499</v>
      </c>
      <c r="H282">
        <v>1.0099999485154001</v>
      </c>
      <c r="I282">
        <v>0.68885943597588795</v>
      </c>
      <c r="J282">
        <v>0.19116673007996901</v>
      </c>
      <c r="K282">
        <v>9.0342459113435206E-2</v>
      </c>
      <c r="L282">
        <v>4119.2634098010803</v>
      </c>
      <c r="M282">
        <v>63.677421688698097</v>
      </c>
      <c r="N282">
        <v>64.8927470859728</v>
      </c>
      <c r="O282">
        <v>64.625834274496199</v>
      </c>
      <c r="P282">
        <v>-0.22406425482068501</v>
      </c>
      <c r="Q282">
        <v>9.0394408227986903E-2</v>
      </c>
      <c r="R282">
        <v>0.818687595641023</v>
      </c>
      <c r="S282" t="s">
        <v>6593</v>
      </c>
      <c r="T282" t="s">
        <v>12620</v>
      </c>
      <c r="U282" t="s">
        <v>12620</v>
      </c>
      <c r="V282" t="s">
        <v>12620</v>
      </c>
      <c r="W282" t="s">
        <v>12898</v>
      </c>
      <c r="X282">
        <v>14</v>
      </c>
      <c r="Y282" t="s">
        <v>19144</v>
      </c>
      <c r="Z282" t="s">
        <v>25229</v>
      </c>
      <c r="AA282">
        <v>0.84028587255388454</v>
      </c>
      <c r="AB282" t="str">
        <f>HYPERLINK("Melting_Curves/meltCurve_D6RGI3_SEPT11.pdf", "Melting_Curves/meltCurve_D6RGI3_SEPT11.pdf")</f>
        <v>Melting_Curves/meltCurve_D6RGI3_SEPT11.pdf</v>
      </c>
    </row>
    <row r="283" spans="1:28" x14ac:dyDescent="0.25">
      <c r="A283" t="s">
        <v>287</v>
      </c>
      <c r="B283">
        <v>0.99987803227770999</v>
      </c>
      <c r="C283">
        <v>1.16416954469642</v>
      </c>
      <c r="D283">
        <v>1.0552953522297499</v>
      </c>
      <c r="E283">
        <v>0.94009530321159496</v>
      </c>
      <c r="F283">
        <v>0.908061654906682</v>
      </c>
      <c r="G283">
        <v>0.61003166983560198</v>
      </c>
      <c r="H283">
        <v>0.52380757121794796</v>
      </c>
      <c r="I283">
        <v>0.63022651361300497</v>
      </c>
      <c r="J283">
        <v>0.25219703720146402</v>
      </c>
      <c r="K283">
        <v>0.27813899536707498</v>
      </c>
      <c r="L283">
        <v>713.17473646428505</v>
      </c>
      <c r="M283">
        <v>11.754914869506999</v>
      </c>
      <c r="N283">
        <v>62.365836257977698</v>
      </c>
      <c r="O283">
        <v>58.994339554627501</v>
      </c>
      <c r="P283">
        <v>-4.3011968182726901E-2</v>
      </c>
      <c r="Q283">
        <v>0.13676950534799401</v>
      </c>
      <c r="R283">
        <v>0.89770537287004004</v>
      </c>
      <c r="S283" t="s">
        <v>6594</v>
      </c>
      <c r="T283" t="s">
        <v>12620</v>
      </c>
      <c r="U283" t="s">
        <v>12620</v>
      </c>
      <c r="V283" t="s">
        <v>12620</v>
      </c>
      <c r="W283" t="s">
        <v>12899</v>
      </c>
      <c r="X283">
        <v>11</v>
      </c>
      <c r="Y283" t="s">
        <v>19145</v>
      </c>
      <c r="Z283" t="s">
        <v>25230</v>
      </c>
      <c r="AA283">
        <v>0.72935397716717631</v>
      </c>
      <c r="AB283" t="str">
        <f>HYPERLINK("Melting_Curves/meltCurve_D6RHC4_ANKHD1.pdf", "Melting_Curves/meltCurve_D6RHC4_ANKHD1.pdf")</f>
        <v>Melting_Curves/meltCurve_D6RHC4_ANKHD1.pdf</v>
      </c>
    </row>
    <row r="284" spans="1:28" x14ac:dyDescent="0.25">
      <c r="A284" t="s">
        <v>288</v>
      </c>
      <c r="B284">
        <v>0.99987803227770999</v>
      </c>
      <c r="C284">
        <v>0.88116373562600503</v>
      </c>
      <c r="D284">
        <v>0.95906426632177799</v>
      </c>
      <c r="E284">
        <v>0.77617707920101897</v>
      </c>
      <c r="F284">
        <v>0.72798141405527805</v>
      </c>
      <c r="G284">
        <v>0.44795688817440898</v>
      </c>
      <c r="H284">
        <v>0.33389124979615897</v>
      </c>
      <c r="I284">
        <v>0.26203539008931098</v>
      </c>
      <c r="J284">
        <v>0.21631442090396599</v>
      </c>
      <c r="K284">
        <v>0.13974667354881401</v>
      </c>
      <c r="L284">
        <v>599.04224569655605</v>
      </c>
      <c r="M284">
        <v>10.656744043407899</v>
      </c>
      <c r="N284">
        <v>56.779835322184702</v>
      </c>
      <c r="O284">
        <v>54.341494084944898</v>
      </c>
      <c r="P284">
        <v>-4.65684527028324E-2</v>
      </c>
      <c r="Q284">
        <v>5.0503559746295799E-2</v>
      </c>
      <c r="R284">
        <v>0.984470184806299</v>
      </c>
      <c r="S284" t="s">
        <v>6595</v>
      </c>
      <c r="T284" t="s">
        <v>12620</v>
      </c>
      <c r="U284" t="s">
        <v>12620</v>
      </c>
      <c r="V284" t="s">
        <v>12620</v>
      </c>
      <c r="W284" t="s">
        <v>12900</v>
      </c>
      <c r="X284">
        <v>4</v>
      </c>
      <c r="Y284" t="s">
        <v>19146</v>
      </c>
      <c r="Z284" t="s">
        <v>25231</v>
      </c>
      <c r="AA284">
        <v>0.58269448229745147</v>
      </c>
      <c r="AB284" t="str">
        <f>HYPERLINK("Melting_Curves/meltCurve_D6RHD3_CENPK.pdf", "Melting_Curves/meltCurve_D6RHD3_CENPK.pdf")</f>
        <v>Melting_Curves/meltCurve_D6RHD3_CENPK.pdf</v>
      </c>
    </row>
    <row r="285" spans="1:28" x14ac:dyDescent="0.25">
      <c r="A285" t="s">
        <v>289</v>
      </c>
      <c r="B285">
        <v>0.99987803227770999</v>
      </c>
      <c r="C285">
        <v>0.98043910236145304</v>
      </c>
      <c r="D285">
        <v>0.99498819755184598</v>
      </c>
      <c r="E285">
        <v>1.0065668231082701</v>
      </c>
      <c r="F285">
        <v>0.91307655548971001</v>
      </c>
      <c r="G285">
        <v>0.56203881760681096</v>
      </c>
      <c r="H285">
        <v>0.15415094086698</v>
      </c>
      <c r="I285">
        <v>0.121523706511196</v>
      </c>
      <c r="J285">
        <v>0.118727584644683</v>
      </c>
      <c r="K285">
        <v>8.92189877828478E-2</v>
      </c>
      <c r="L285">
        <v>1984.19676514811</v>
      </c>
      <c r="M285">
        <v>34.807014839298802</v>
      </c>
      <c r="N285">
        <v>57.353599368990999</v>
      </c>
      <c r="O285">
        <v>56.818475979553902</v>
      </c>
      <c r="P285">
        <v>-0.13857377678987801</v>
      </c>
      <c r="Q285">
        <v>9.5179814173407498E-2</v>
      </c>
      <c r="R285">
        <v>0.99846583108366604</v>
      </c>
      <c r="S285" t="s">
        <v>6596</v>
      </c>
      <c r="T285" t="s">
        <v>12620</v>
      </c>
      <c r="U285" t="s">
        <v>12620</v>
      </c>
      <c r="V285" t="s">
        <v>12620</v>
      </c>
      <c r="W285" t="s">
        <v>12901</v>
      </c>
      <c r="X285">
        <v>7</v>
      </c>
      <c r="Y285" t="s">
        <v>19147</v>
      </c>
      <c r="Z285" t="s">
        <v>25232</v>
      </c>
      <c r="AA285">
        <v>0.61267983856122088</v>
      </c>
      <c r="AB285" t="str">
        <f>HYPERLINK("Melting_Curves/meltCurve_D6RHI7_CCNH.pdf", "Melting_Curves/meltCurve_D6RHI7_CCNH.pdf")</f>
        <v>Melting_Curves/meltCurve_D6RHI7_CCNH.pdf</v>
      </c>
    </row>
    <row r="286" spans="1:28" x14ac:dyDescent="0.25">
      <c r="A286" t="s">
        <v>290</v>
      </c>
      <c r="B286">
        <v>0.99987803227770999</v>
      </c>
      <c r="C286">
        <v>0.92654280955656199</v>
      </c>
      <c r="D286">
        <v>1.0090954839916799</v>
      </c>
      <c r="E286">
        <v>0.85056936377735404</v>
      </c>
      <c r="F286">
        <v>0.84677176454074699</v>
      </c>
      <c r="G286">
        <v>0.75856283509670297</v>
      </c>
      <c r="H286">
        <v>0.681433637711927</v>
      </c>
      <c r="I286">
        <v>0.47591175013503301</v>
      </c>
      <c r="J286">
        <v>0.40890165296296499</v>
      </c>
      <c r="K286">
        <v>0.31477940321342501</v>
      </c>
      <c r="L286">
        <v>542.898596932999</v>
      </c>
      <c r="M286">
        <v>8.4494662661738502</v>
      </c>
      <c r="N286">
        <v>64.252409797693204</v>
      </c>
      <c r="O286">
        <v>60.956227774191703</v>
      </c>
      <c r="P286">
        <v>-3.4685764533355902E-2</v>
      </c>
      <c r="Q286">
        <v>0</v>
      </c>
      <c r="R286">
        <v>0.97057454427629097</v>
      </c>
      <c r="S286" t="s">
        <v>6597</v>
      </c>
      <c r="T286" t="s">
        <v>12620</v>
      </c>
      <c r="U286" t="s">
        <v>12620</v>
      </c>
      <c r="V286" t="s">
        <v>12620</v>
      </c>
      <c r="W286" t="s">
        <v>12902</v>
      </c>
      <c r="X286">
        <v>3</v>
      </c>
      <c r="Y286" t="s">
        <v>19148</v>
      </c>
      <c r="Z286" t="s">
        <v>25233</v>
      </c>
      <c r="AA286">
        <v>0.74850294389080818</v>
      </c>
      <c r="AB286" t="str">
        <f>HYPERLINK("Melting_Curves/meltCurve_D6RHI9_RNASET2.pdf", "Melting_Curves/meltCurve_D6RHI9_RNASET2.pdf")</f>
        <v>Melting_Curves/meltCurve_D6RHI9_RNASET2.pdf</v>
      </c>
    </row>
    <row r="287" spans="1:28" x14ac:dyDescent="0.25">
      <c r="A287" t="s">
        <v>291</v>
      </c>
      <c r="B287">
        <v>0.99987803227770999</v>
      </c>
      <c r="C287">
        <v>0.95505544485979299</v>
      </c>
      <c r="D287">
        <v>0.90083300853150805</v>
      </c>
      <c r="E287">
        <v>0.78797834444099302</v>
      </c>
      <c r="F287">
        <v>0.768537990975799</v>
      </c>
      <c r="G287">
        <v>0.71754136504731703</v>
      </c>
      <c r="H287">
        <v>0.67347675720945499</v>
      </c>
      <c r="I287">
        <v>0.68602143527661097</v>
      </c>
      <c r="J287">
        <v>0.55582606733498396</v>
      </c>
      <c r="K287">
        <v>0.33377359574917298</v>
      </c>
      <c r="L287">
        <v>331.37242523066402</v>
      </c>
      <c r="M287">
        <v>4.8743300275324302</v>
      </c>
      <c r="N287">
        <v>67.983176240734494</v>
      </c>
      <c r="O287">
        <v>58.975597777614198</v>
      </c>
      <c r="P287">
        <v>-2.0800596547793801E-2</v>
      </c>
      <c r="Q287">
        <v>0</v>
      </c>
      <c r="R287">
        <v>0.88958336278637495</v>
      </c>
      <c r="S287" t="s">
        <v>6598</v>
      </c>
      <c r="T287" t="s">
        <v>12620</v>
      </c>
      <c r="U287" t="s">
        <v>12620</v>
      </c>
      <c r="V287" t="s">
        <v>12620</v>
      </c>
      <c r="W287" t="s">
        <v>12903</v>
      </c>
      <c r="X287">
        <v>1</v>
      </c>
      <c r="Y287" t="s">
        <v>19149</v>
      </c>
      <c r="Z287" t="s">
        <v>25234</v>
      </c>
      <c r="AA287">
        <v>0.74476368736656817</v>
      </c>
      <c r="AB287" t="str">
        <f>HYPERLINK("Melting_Curves/meltCurve_D6RHJ6_IGJ.pdf", "Melting_Curves/meltCurve_D6RHJ6_IGJ.pdf")</f>
        <v>Melting_Curves/meltCurve_D6RHJ6_IGJ.pdf</v>
      </c>
    </row>
    <row r="288" spans="1:28" x14ac:dyDescent="0.25">
      <c r="A288" t="s">
        <v>292</v>
      </c>
      <c r="B288">
        <v>0.99987803227770999</v>
      </c>
      <c r="C288">
        <v>0.90722261973440399</v>
      </c>
      <c r="D288">
        <v>0.92962836175892904</v>
      </c>
      <c r="E288">
        <v>1.17536679114428</v>
      </c>
      <c r="F288">
        <v>1.47082692174842</v>
      </c>
      <c r="G288">
        <v>0.98786194885443301</v>
      </c>
      <c r="H288">
        <v>0.396707703790668</v>
      </c>
      <c r="I288">
        <v>0.292688691093064</v>
      </c>
      <c r="J288">
        <v>0.16579413783182501</v>
      </c>
      <c r="K288">
        <v>0.120379858837297</v>
      </c>
      <c r="L288">
        <v>3467.8834672747898</v>
      </c>
      <c r="M288">
        <v>57.7687096604975</v>
      </c>
      <c r="N288">
        <v>60.498815879787401</v>
      </c>
      <c r="O288">
        <v>59.958672904190998</v>
      </c>
      <c r="P288">
        <v>-0.197441006519705</v>
      </c>
      <c r="Q288">
        <v>0.180297080303635</v>
      </c>
      <c r="R288">
        <v>0.85662759186403403</v>
      </c>
      <c r="S288" t="s">
        <v>6599</v>
      </c>
      <c r="T288" t="s">
        <v>12620</v>
      </c>
      <c r="U288" t="s">
        <v>12620</v>
      </c>
      <c r="V288" t="s">
        <v>12620</v>
      </c>
      <c r="W288" t="s">
        <v>12904</v>
      </c>
      <c r="X288">
        <v>6</v>
      </c>
      <c r="Y288" t="s">
        <v>19150</v>
      </c>
      <c r="Z288" t="s">
        <v>25235</v>
      </c>
      <c r="AA288">
        <v>0.72921152144090828</v>
      </c>
      <c r="AB288" t="str">
        <f>HYPERLINK("Melting_Curves/meltCurve_D6RJ90_COMMD10.pdf", "Melting_Curves/meltCurve_D6RJ90_COMMD10.pdf")</f>
        <v>Melting_Curves/meltCurve_D6RJ90_COMMD10.pdf</v>
      </c>
    </row>
    <row r="289" spans="1:28" x14ac:dyDescent="0.25">
      <c r="A289" t="s">
        <v>293</v>
      </c>
      <c r="B289">
        <v>0.99987803227770999</v>
      </c>
      <c r="C289">
        <v>0.98653319055208799</v>
      </c>
      <c r="D289">
        <v>1.1336595833174301</v>
      </c>
      <c r="E289">
        <v>0.84233068027352498</v>
      </c>
      <c r="F289">
        <v>0.74919721403427997</v>
      </c>
      <c r="G289">
        <v>0.50167134855028395</v>
      </c>
      <c r="H289">
        <v>0.494680162675386</v>
      </c>
      <c r="I289">
        <v>0.36731017342629202</v>
      </c>
      <c r="J289">
        <v>0.33652576965426501</v>
      </c>
      <c r="K289">
        <v>0.25221456473218801</v>
      </c>
      <c r="L289">
        <v>880.141432656093</v>
      </c>
      <c r="M289">
        <v>15.969636246909401</v>
      </c>
      <c r="N289">
        <v>58.211417624669402</v>
      </c>
      <c r="O289">
        <v>54.270944510914603</v>
      </c>
      <c r="P289">
        <v>-5.2509220114617602E-2</v>
      </c>
      <c r="Q289">
        <v>0.28627060594843201</v>
      </c>
      <c r="R289">
        <v>0.95434447688428303</v>
      </c>
      <c r="S289" t="s">
        <v>6600</v>
      </c>
      <c r="T289" t="s">
        <v>12620</v>
      </c>
      <c r="U289" t="s">
        <v>12620</v>
      </c>
      <c r="V289" t="s">
        <v>12620</v>
      </c>
      <c r="W289" t="s">
        <v>12905</v>
      </c>
      <c r="X289">
        <v>1</v>
      </c>
      <c r="Y289" t="s">
        <v>19151</v>
      </c>
      <c r="Z289" t="s">
        <v>25236</v>
      </c>
      <c r="AA289">
        <v>0.6585807172882796</v>
      </c>
      <c r="AB289" t="str">
        <f>HYPERLINK("Melting_Curves/meltCurve_D6W5P0_DMTF1.pdf", "Melting_Curves/meltCurve_D6W5P0_DMTF1.pdf")</f>
        <v>Melting_Curves/meltCurve_D6W5P0_DMTF1.pdf</v>
      </c>
    </row>
    <row r="290" spans="1:28" x14ac:dyDescent="0.25">
      <c r="A290" t="s">
        <v>294</v>
      </c>
      <c r="B290">
        <v>0.99987803227770999</v>
      </c>
      <c r="C290">
        <v>0.95708174467031504</v>
      </c>
      <c r="D290">
        <v>0.79484239990970096</v>
      </c>
      <c r="E290">
        <v>0.88026236442984096</v>
      </c>
      <c r="F290">
        <v>0.48677364917148302</v>
      </c>
      <c r="G290">
        <v>0.123444201991774</v>
      </c>
      <c r="H290">
        <v>7.1293216126421005E-2</v>
      </c>
      <c r="I290">
        <v>5.0607829197004399E-2</v>
      </c>
      <c r="J290">
        <v>5.0025864828651199E-2</v>
      </c>
      <c r="K290">
        <v>3.50492771411531E-2</v>
      </c>
      <c r="L290">
        <v>1534.9317584703399</v>
      </c>
      <c r="M290">
        <v>29.079647150160199</v>
      </c>
      <c r="N290">
        <v>52.9400074908392</v>
      </c>
      <c r="O290">
        <v>52.535986560616301</v>
      </c>
      <c r="P290">
        <v>-0.13268841718372101</v>
      </c>
      <c r="Q290">
        <v>4.1134814458999601E-2</v>
      </c>
      <c r="R290">
        <v>0.97462762288821203</v>
      </c>
      <c r="S290" t="s">
        <v>6601</v>
      </c>
      <c r="T290" t="s">
        <v>12620</v>
      </c>
      <c r="U290" t="s">
        <v>12620</v>
      </c>
      <c r="V290" t="s">
        <v>12620</v>
      </c>
      <c r="W290" t="s">
        <v>12906</v>
      </c>
      <c r="X290">
        <v>3</v>
      </c>
      <c r="Y290" t="s">
        <v>19152</v>
      </c>
      <c r="Z290" t="s">
        <v>25237</v>
      </c>
      <c r="AA290">
        <v>0.45631959347726542</v>
      </c>
      <c r="AB290" t="str">
        <f>HYPERLINK("Melting_Curves/meltCurve_E2QRD4_MMS22L.pdf", "Melting_Curves/meltCurve_E2QRD4_MMS22L.pdf")</f>
        <v>Melting_Curves/meltCurve_E2QRD4_MMS22L.pdf</v>
      </c>
    </row>
    <row r="291" spans="1:28" x14ac:dyDescent="0.25">
      <c r="A291" t="s">
        <v>295</v>
      </c>
      <c r="B291">
        <v>0.99987803227770999</v>
      </c>
      <c r="C291">
        <v>0.85377582467917501</v>
      </c>
      <c r="D291">
        <v>0.99373970654624899</v>
      </c>
      <c r="E291">
        <v>0.867440421167473</v>
      </c>
      <c r="F291">
        <v>1.0342731929890101</v>
      </c>
      <c r="G291">
        <v>0.76238933850713997</v>
      </c>
      <c r="H291">
        <v>0.57363444974697197</v>
      </c>
      <c r="I291">
        <v>0.41334546296873098</v>
      </c>
      <c r="J291">
        <v>0.328061066280741</v>
      </c>
      <c r="K291">
        <v>0.26409404826194999</v>
      </c>
      <c r="L291">
        <v>1067.8774523760001</v>
      </c>
      <c r="M291">
        <v>17.688990532348701</v>
      </c>
      <c r="N291">
        <v>62.211268127271701</v>
      </c>
      <c r="O291">
        <v>59.613917920996897</v>
      </c>
      <c r="P291">
        <v>-5.9064695817193799E-2</v>
      </c>
      <c r="Q291">
        <v>0.203823014640579</v>
      </c>
      <c r="R291">
        <v>0.94227160122292097</v>
      </c>
      <c r="S291" t="s">
        <v>6602</v>
      </c>
      <c r="T291" t="s">
        <v>12620</v>
      </c>
      <c r="U291" t="s">
        <v>12620</v>
      </c>
      <c r="V291" t="s">
        <v>12620</v>
      </c>
      <c r="W291" t="s">
        <v>12907</v>
      </c>
      <c r="X291">
        <v>13</v>
      </c>
      <c r="Y291" t="s">
        <v>19153</v>
      </c>
      <c r="Z291" t="s">
        <v>25238</v>
      </c>
      <c r="AA291">
        <v>0.75010720366422767</v>
      </c>
      <c r="AB291" t="str">
        <f>HYPERLINK("Melting_Curves/meltCurve_E2QRD5_C15orf38_AP3S2.pdf", "Melting_Curves/meltCurve_E2QRD5_C15orf38_AP3S2.pdf")</f>
        <v>Melting_Curves/meltCurve_E2QRD5_C15orf38_AP3S2.pdf</v>
      </c>
    </row>
    <row r="292" spans="1:28" x14ac:dyDescent="0.25">
      <c r="A292" t="s">
        <v>296</v>
      </c>
      <c r="B292">
        <v>0.99987803227770999</v>
      </c>
      <c r="C292">
        <v>0.89349050455005197</v>
      </c>
      <c r="D292">
        <v>0.99745687202701105</v>
      </c>
      <c r="E292">
        <v>0.91456837503606003</v>
      </c>
      <c r="F292">
        <v>1.15548538985797</v>
      </c>
      <c r="G292">
        <v>0.98773018102751697</v>
      </c>
      <c r="H292">
        <v>1.05103843660671</v>
      </c>
      <c r="I292">
        <v>0.91959569614585501</v>
      </c>
      <c r="J292">
        <v>1.03286483404659</v>
      </c>
      <c r="K292">
        <v>0.86882377711181602</v>
      </c>
      <c r="L292">
        <v>15000</v>
      </c>
      <c r="M292">
        <v>212.39508958899199</v>
      </c>
      <c r="Q292">
        <v>0</v>
      </c>
      <c r="R292">
        <v>0.20856256473079099</v>
      </c>
      <c r="S292" t="s">
        <v>6603</v>
      </c>
      <c r="T292" t="s">
        <v>12620</v>
      </c>
      <c r="U292" t="s">
        <v>12620</v>
      </c>
      <c r="V292" t="s">
        <v>12620</v>
      </c>
      <c r="W292" t="s">
        <v>12908</v>
      </c>
      <c r="X292">
        <v>8</v>
      </c>
      <c r="Y292" t="s">
        <v>19154</v>
      </c>
      <c r="Z292" t="s">
        <v>25239</v>
      </c>
      <c r="AA292">
        <v>0.99848348989747937</v>
      </c>
      <c r="AB292" t="str">
        <f>HYPERLINK("Melting_Curves/meltCurve_E2QRF9_GMNN.pdf", "Melting_Curves/meltCurve_E2QRF9_GMNN.pdf")</f>
        <v>Melting_Curves/meltCurve_E2QRF9_GMNN.pdf</v>
      </c>
    </row>
    <row r="293" spans="1:28" x14ac:dyDescent="0.25">
      <c r="A293" t="s">
        <v>297</v>
      </c>
      <c r="B293">
        <v>0.99987803227770999</v>
      </c>
      <c r="C293">
        <v>0.912886222923739</v>
      </c>
      <c r="D293">
        <v>1.0151648012686501</v>
      </c>
      <c r="E293">
        <v>0.959599437182038</v>
      </c>
      <c r="F293">
        <v>0.85735446893238199</v>
      </c>
      <c r="G293">
        <v>0.62514761877551195</v>
      </c>
      <c r="H293">
        <v>0.58142296655742298</v>
      </c>
      <c r="I293">
        <v>0.56136904118850905</v>
      </c>
      <c r="J293">
        <v>0.469620828194176</v>
      </c>
      <c r="K293">
        <v>0.390836292850338</v>
      </c>
      <c r="L293">
        <v>825.19352292738404</v>
      </c>
      <c r="M293">
        <v>14.544562650047601</v>
      </c>
      <c r="N293">
        <v>64.004006791332401</v>
      </c>
      <c r="O293">
        <v>55.695374467921603</v>
      </c>
      <c r="P293">
        <v>-3.8905879957304199E-2</v>
      </c>
      <c r="Q293">
        <v>0.40414007694887</v>
      </c>
      <c r="R293">
        <v>0.95957831364525203</v>
      </c>
      <c r="S293" t="s">
        <v>6604</v>
      </c>
      <c r="T293" t="s">
        <v>12620</v>
      </c>
      <c r="U293" t="s">
        <v>12620</v>
      </c>
      <c r="V293" t="s">
        <v>12620</v>
      </c>
      <c r="W293" t="s">
        <v>12909</v>
      </c>
      <c r="X293">
        <v>6</v>
      </c>
      <c r="Y293" t="s">
        <v>19155</v>
      </c>
      <c r="Z293" t="s">
        <v>25240</v>
      </c>
      <c r="AA293">
        <v>0.74648249741180528</v>
      </c>
      <c r="AB293" t="str">
        <f>HYPERLINK("Melting_Curves/meltCurve_E5RFJ1_NSMCE2.pdf", "Melting_Curves/meltCurve_E5RFJ1_NSMCE2.pdf")</f>
        <v>Melting_Curves/meltCurve_E5RFJ1_NSMCE2.pdf</v>
      </c>
    </row>
    <row r="294" spans="1:28" x14ac:dyDescent="0.25">
      <c r="A294" t="s">
        <v>298</v>
      </c>
      <c r="B294">
        <v>0.99987803227770999</v>
      </c>
      <c r="C294">
        <v>1.1367759051336299</v>
      </c>
      <c r="D294">
        <v>0.76156215570248298</v>
      </c>
      <c r="E294">
        <v>0.95500659393699305</v>
      </c>
      <c r="F294">
        <v>0.74389018252358297</v>
      </c>
      <c r="G294">
        <v>1.62108294648262</v>
      </c>
      <c r="H294">
        <v>0.81790348444589001</v>
      </c>
      <c r="I294">
        <v>0.486228390355396</v>
      </c>
      <c r="J294">
        <v>0.16477547354946701</v>
      </c>
      <c r="K294">
        <v>0.14100142172632901</v>
      </c>
      <c r="L294">
        <v>3074.4740598347298</v>
      </c>
      <c r="M294">
        <v>48.511076210727502</v>
      </c>
      <c r="N294">
        <v>63.752381644776399</v>
      </c>
      <c r="O294">
        <v>63.2693273747144</v>
      </c>
      <c r="P294">
        <v>-0.16785786422186</v>
      </c>
      <c r="Q294">
        <v>0.124303605860554</v>
      </c>
      <c r="R294">
        <v>0.698712384484377</v>
      </c>
      <c r="S294" t="s">
        <v>6605</v>
      </c>
      <c r="T294" t="s">
        <v>12620</v>
      </c>
      <c r="U294" t="s">
        <v>12620</v>
      </c>
      <c r="V294" t="s">
        <v>12620</v>
      </c>
      <c r="W294" t="s">
        <v>12910</v>
      </c>
      <c r="X294">
        <v>10</v>
      </c>
      <c r="Y294" t="s">
        <v>19156</v>
      </c>
      <c r="Z294" t="s">
        <v>25241</v>
      </c>
      <c r="AA294">
        <v>0.80877651422680052</v>
      </c>
      <c r="AB294" t="str">
        <f>HYPERLINK("Melting_Curves/meltCurve_E5RG13_IMPA1.pdf", "Melting_Curves/meltCurve_E5RG13_IMPA1.pdf")</f>
        <v>Melting_Curves/meltCurve_E5RG13_IMPA1.pdf</v>
      </c>
    </row>
    <row r="295" spans="1:28" x14ac:dyDescent="0.25">
      <c r="A295" t="s">
        <v>299</v>
      </c>
      <c r="B295">
        <v>0.99987803227770999</v>
      </c>
      <c r="C295">
        <v>1.0734767786067001</v>
      </c>
      <c r="D295">
        <v>1.04856538190699</v>
      </c>
      <c r="E295">
        <v>1.2358806069033099</v>
      </c>
      <c r="F295">
        <v>1.20662705703549</v>
      </c>
      <c r="G295">
        <v>1.2784150441914599</v>
      </c>
      <c r="H295">
        <v>0.87611808994393703</v>
      </c>
      <c r="I295">
        <v>0.80705681086422798</v>
      </c>
      <c r="J295">
        <v>0.46605058993047899</v>
      </c>
      <c r="K295">
        <v>0.28133609683502298</v>
      </c>
      <c r="L295">
        <v>2342.19279675287</v>
      </c>
      <c r="M295">
        <v>35.589490237940403</v>
      </c>
      <c r="N295">
        <v>66.728405530000103</v>
      </c>
      <c r="O295">
        <v>65.604629448301907</v>
      </c>
      <c r="P295">
        <v>-0.109390177060357</v>
      </c>
      <c r="Q295">
        <v>0.19341618733271099</v>
      </c>
      <c r="R295">
        <v>0.80490032134045297</v>
      </c>
      <c r="S295" t="s">
        <v>6606</v>
      </c>
      <c r="T295" t="s">
        <v>12620</v>
      </c>
      <c r="U295" t="s">
        <v>12620</v>
      </c>
      <c r="V295" t="s">
        <v>12620</v>
      </c>
      <c r="W295" t="s">
        <v>12911</v>
      </c>
      <c r="X295">
        <v>2</v>
      </c>
      <c r="Y295" t="s">
        <v>19157</v>
      </c>
      <c r="Z295" t="s">
        <v>25242</v>
      </c>
      <c r="AA295">
        <v>0.88528377476048592</v>
      </c>
      <c r="AB295" t="str">
        <f>HYPERLINK("Melting_Curves/meltCurve_E5RGQ3_RWDD1.pdf", "Melting_Curves/meltCurve_E5RGQ3_RWDD1.pdf")</f>
        <v>Melting_Curves/meltCurve_E5RGQ3_RWDD1.pdf</v>
      </c>
    </row>
    <row r="296" spans="1:28" x14ac:dyDescent="0.25">
      <c r="A296" t="s">
        <v>300</v>
      </c>
      <c r="B296">
        <v>0.99987803227770999</v>
      </c>
      <c r="C296">
        <v>0.65940418642449805</v>
      </c>
      <c r="D296">
        <v>0.82362687880595997</v>
      </c>
      <c r="E296">
        <v>0.63325144546043199</v>
      </c>
      <c r="F296">
        <v>1.1719199640851099</v>
      </c>
      <c r="G296">
        <v>0.63900768855251699</v>
      </c>
      <c r="H296">
        <v>1.1032722208560299</v>
      </c>
      <c r="I296">
        <v>0.74726621699391105</v>
      </c>
      <c r="J296">
        <v>1.1386633165565201</v>
      </c>
      <c r="K296">
        <v>0.958871758088231</v>
      </c>
      <c r="L296">
        <v>10220.116782274599</v>
      </c>
      <c r="M296">
        <v>250</v>
      </c>
      <c r="O296">
        <v>40.877851063682797</v>
      </c>
      <c r="P296">
        <v>-0.19106959177134</v>
      </c>
      <c r="Q296">
        <v>0.87503177114358099</v>
      </c>
      <c r="R296">
        <v>3.4178054096206403E-2</v>
      </c>
      <c r="S296" t="s">
        <v>6607</v>
      </c>
      <c r="T296" t="s">
        <v>12620</v>
      </c>
      <c r="U296" t="s">
        <v>12620</v>
      </c>
      <c r="V296" t="s">
        <v>12620</v>
      </c>
      <c r="W296" t="s">
        <v>12783</v>
      </c>
      <c r="X296">
        <v>6</v>
      </c>
      <c r="Y296" t="s">
        <v>19158</v>
      </c>
      <c r="Z296" t="s">
        <v>25243</v>
      </c>
      <c r="AA296">
        <v>0.87871104897498153</v>
      </c>
      <c r="AB296" t="str">
        <f>HYPERLINK("Melting_Curves/meltCurve_E5RGX5_STMN2.pdf", "Melting_Curves/meltCurve_E5RGX5_STMN2.pdf")</f>
        <v>Melting_Curves/meltCurve_E5RGX5_STMN2.pdf</v>
      </c>
    </row>
    <row r="297" spans="1:28" x14ac:dyDescent="0.25">
      <c r="A297" t="s">
        <v>301</v>
      </c>
      <c r="B297">
        <v>0.99987803227770999</v>
      </c>
      <c r="C297">
        <v>0.95823269777530395</v>
      </c>
      <c r="D297">
        <v>1.0163304855294699</v>
      </c>
      <c r="E297">
        <v>0.94735862053280995</v>
      </c>
      <c r="F297">
        <v>0.94935936547131405</v>
      </c>
      <c r="G297">
        <v>0.40416478606699502</v>
      </c>
      <c r="H297">
        <v>0.151239667947932</v>
      </c>
      <c r="I297">
        <v>0.104456060889355</v>
      </c>
      <c r="J297">
        <v>9.3371011218771796E-2</v>
      </c>
      <c r="K297">
        <v>6.3742852915666504E-2</v>
      </c>
      <c r="L297">
        <v>2332.9460194912499</v>
      </c>
      <c r="M297">
        <v>41.531642577500797</v>
      </c>
      <c r="N297">
        <v>56.448731047870197</v>
      </c>
      <c r="O297">
        <v>56.042997961793503</v>
      </c>
      <c r="P297">
        <v>-0.168243832186906</v>
      </c>
      <c r="Q297">
        <v>9.1885882989219E-2</v>
      </c>
      <c r="R297">
        <v>0.99636936700187795</v>
      </c>
      <c r="S297" t="s">
        <v>6608</v>
      </c>
      <c r="T297" t="s">
        <v>12620</v>
      </c>
      <c r="U297" t="s">
        <v>12620</v>
      </c>
      <c r="V297" t="s">
        <v>12620</v>
      </c>
      <c r="W297" t="s">
        <v>12912</v>
      </c>
      <c r="X297">
        <v>6</v>
      </c>
      <c r="Y297" t="s">
        <v>19159</v>
      </c>
      <c r="Z297" t="s">
        <v>25244</v>
      </c>
      <c r="AA297">
        <v>0.58469328898624606</v>
      </c>
      <c r="AB297" t="str">
        <f>HYPERLINK("Melting_Curves/meltCurve_E5RHG8_TCEB1.pdf", "Melting_Curves/meltCurve_E5RHG8_TCEB1.pdf")</f>
        <v>Melting_Curves/meltCurve_E5RHG8_TCEB1.pdf</v>
      </c>
    </row>
    <row r="298" spans="1:28" x14ac:dyDescent="0.25">
      <c r="A298" t="s">
        <v>302</v>
      </c>
      <c r="B298">
        <v>0.99987803227770999</v>
      </c>
      <c r="C298">
        <v>0.64328528500795601</v>
      </c>
      <c r="D298">
        <v>0.68210766207795703</v>
      </c>
      <c r="E298">
        <v>0.56919407477510897</v>
      </c>
      <c r="F298">
        <v>0.44027807073473901</v>
      </c>
      <c r="G298">
        <v>0.26846226700179898</v>
      </c>
      <c r="H298">
        <v>0.205475218051862</v>
      </c>
      <c r="I298">
        <v>0.19542514032057101</v>
      </c>
      <c r="J298">
        <v>0.169443102563614</v>
      </c>
      <c r="K298">
        <v>0.13862125701203801</v>
      </c>
      <c r="L298">
        <v>388.36245388725399</v>
      </c>
      <c r="M298">
        <v>7.7786705950584798</v>
      </c>
      <c r="N298">
        <v>50.493632336967003</v>
      </c>
      <c r="O298">
        <v>46.949031896112203</v>
      </c>
      <c r="P298">
        <v>-3.9738271527425699E-2</v>
      </c>
      <c r="Q298">
        <v>4.1823645704895503E-2</v>
      </c>
      <c r="R298">
        <v>0.94316943140822795</v>
      </c>
      <c r="S298" t="s">
        <v>6609</v>
      </c>
      <c r="T298" t="s">
        <v>12620</v>
      </c>
      <c r="U298" t="s">
        <v>12620</v>
      </c>
      <c r="V298" t="s">
        <v>12620</v>
      </c>
      <c r="W298" t="s">
        <v>12913</v>
      </c>
      <c r="X298">
        <v>3</v>
      </c>
      <c r="Y298" t="s">
        <v>19160</v>
      </c>
      <c r="Z298" t="s">
        <v>25245</v>
      </c>
      <c r="AA298">
        <v>0.41828589762320129</v>
      </c>
      <c r="AB298" t="str">
        <f>HYPERLINK("Melting_Curves/meltCurve_E5RIH5_TTI2.pdf", "Melting_Curves/meltCurve_E5RIH5_TTI2.pdf")</f>
        <v>Melting_Curves/meltCurve_E5RIH5_TTI2.pdf</v>
      </c>
    </row>
    <row r="299" spans="1:28" x14ac:dyDescent="0.25">
      <c r="A299" t="s">
        <v>303</v>
      </c>
      <c r="B299">
        <v>0.99987803227770999</v>
      </c>
      <c r="C299">
        <v>0.89235483167568297</v>
      </c>
      <c r="D299">
        <v>0.851273136875349</v>
      </c>
      <c r="E299">
        <v>0.78196801601088795</v>
      </c>
      <c r="F299">
        <v>0.66660843452607099</v>
      </c>
      <c r="G299">
        <v>0.55852500354006296</v>
      </c>
      <c r="H299">
        <v>0.45253136428572399</v>
      </c>
      <c r="I299">
        <v>0.47893814602560503</v>
      </c>
      <c r="J299">
        <v>0.33499193732653698</v>
      </c>
      <c r="K299">
        <v>0.26502591668856501</v>
      </c>
      <c r="L299">
        <v>360.12227233727401</v>
      </c>
      <c r="M299">
        <v>6.0188939011188101</v>
      </c>
      <c r="N299">
        <v>59.8319743102507</v>
      </c>
      <c r="O299">
        <v>54.230980585419502</v>
      </c>
      <c r="P299">
        <v>-2.7835427431462601E-2</v>
      </c>
      <c r="Q299">
        <v>0</v>
      </c>
      <c r="R299">
        <v>0.98074966318987999</v>
      </c>
      <c r="S299" t="s">
        <v>6610</v>
      </c>
      <c r="T299" t="s">
        <v>12620</v>
      </c>
      <c r="U299" t="s">
        <v>12620</v>
      </c>
      <c r="V299" t="s">
        <v>12620</v>
      </c>
      <c r="W299" t="s">
        <v>12914</v>
      </c>
      <c r="X299">
        <v>3</v>
      </c>
      <c r="Y299" t="s">
        <v>19161</v>
      </c>
      <c r="Z299" t="s">
        <v>25246</v>
      </c>
      <c r="AA299">
        <v>0.62957272101510742</v>
      </c>
      <c r="AB299" t="str">
        <f>HYPERLINK("Melting_Curves/meltCurve_E5RJ29_PSD3.pdf", "Melting_Curves/meltCurve_E5RJ29_PSD3.pdf")</f>
        <v>Melting_Curves/meltCurve_E5RJ29_PSD3.pdf</v>
      </c>
    </row>
    <row r="300" spans="1:28" x14ac:dyDescent="0.25">
      <c r="A300" t="s">
        <v>304</v>
      </c>
      <c r="B300">
        <v>0.99987803227770999</v>
      </c>
      <c r="C300">
        <v>0.99373414178951203</v>
      </c>
      <c r="D300">
        <v>0.89423161259115402</v>
      </c>
      <c r="E300">
        <v>0.94053741373208899</v>
      </c>
      <c r="F300">
        <v>0.48770090932636201</v>
      </c>
      <c r="G300">
        <v>0.33221366684247</v>
      </c>
      <c r="H300">
        <v>0.270208033357142</v>
      </c>
      <c r="I300">
        <v>0.15382995810397801</v>
      </c>
      <c r="J300">
        <v>4.8842585119091897E-2</v>
      </c>
      <c r="K300">
        <v>3.2759852609261099E-2</v>
      </c>
      <c r="L300">
        <v>850.40714344893797</v>
      </c>
      <c r="M300">
        <v>15.6857134913911</v>
      </c>
      <c r="N300">
        <v>54.518535911034398</v>
      </c>
      <c r="O300">
        <v>53.3571525796945</v>
      </c>
      <c r="P300">
        <v>-7.0430746652791795E-2</v>
      </c>
      <c r="Q300">
        <v>4.1761016424972798E-2</v>
      </c>
      <c r="R300">
        <v>0.96698230024033305</v>
      </c>
      <c r="S300" t="s">
        <v>6611</v>
      </c>
      <c r="T300" t="s">
        <v>12620</v>
      </c>
      <c r="U300" t="s">
        <v>12620</v>
      </c>
      <c r="V300" t="s">
        <v>12620</v>
      </c>
      <c r="W300" t="s">
        <v>12915</v>
      </c>
      <c r="X300">
        <v>5</v>
      </c>
      <c r="Y300" t="s">
        <v>19162</v>
      </c>
      <c r="Z300" t="s">
        <v>25247</v>
      </c>
      <c r="AA300">
        <v>0.51420187757924174</v>
      </c>
      <c r="AB300" t="str">
        <f>HYPERLINK("Melting_Curves/meltCurve_E5RJ52_AP3M2.pdf", "Melting_Curves/meltCurve_E5RJ52_AP3M2.pdf")</f>
        <v>Melting_Curves/meltCurve_E5RJ52_AP3M2.pdf</v>
      </c>
    </row>
    <row r="301" spans="1:28" x14ac:dyDescent="0.25">
      <c r="A301" t="s">
        <v>305</v>
      </c>
      <c r="B301">
        <v>0.99987803227770999</v>
      </c>
      <c r="C301">
        <v>0.89420335471189205</v>
      </c>
      <c r="D301">
        <v>0.98823504739171797</v>
      </c>
      <c r="E301">
        <v>0.77164048563756704</v>
      </c>
      <c r="F301">
        <v>0.62455293072344797</v>
      </c>
      <c r="G301">
        <v>0.30616311323168099</v>
      </c>
      <c r="H301">
        <v>0.26894319362784103</v>
      </c>
      <c r="I301">
        <v>0.20411771882883301</v>
      </c>
      <c r="J301">
        <v>0.16904859829011501</v>
      </c>
      <c r="K301">
        <v>0.124906144335859</v>
      </c>
      <c r="L301">
        <v>892.81292570884705</v>
      </c>
      <c r="M301">
        <v>16.727592529736398</v>
      </c>
      <c r="N301">
        <v>54.410776248844101</v>
      </c>
      <c r="O301">
        <v>52.628366587492202</v>
      </c>
      <c r="P301">
        <v>-6.8618690604739005E-2</v>
      </c>
      <c r="Q301">
        <v>0.13650411528626</v>
      </c>
      <c r="R301">
        <v>0.98547256746774203</v>
      </c>
      <c r="S301" t="s">
        <v>6612</v>
      </c>
      <c r="T301" t="s">
        <v>12620</v>
      </c>
      <c r="U301" t="s">
        <v>12620</v>
      </c>
      <c r="V301" t="s">
        <v>12620</v>
      </c>
      <c r="W301" t="s">
        <v>12916</v>
      </c>
      <c r="X301">
        <v>8</v>
      </c>
      <c r="Y301" t="s">
        <v>19163</v>
      </c>
      <c r="Z301" t="s">
        <v>25248</v>
      </c>
      <c r="AA301">
        <v>0.53712212564484951</v>
      </c>
      <c r="AB301" t="str">
        <f>HYPERLINK("Melting_Curves/meltCurve_E5RJ99_ZFAND1.pdf", "Melting_Curves/meltCurve_E5RJ99_ZFAND1.pdf")</f>
        <v>Melting_Curves/meltCurve_E5RJ99_ZFAND1.pdf</v>
      </c>
    </row>
    <row r="302" spans="1:28" x14ac:dyDescent="0.25">
      <c r="A302" t="s">
        <v>306</v>
      </c>
      <c r="B302">
        <v>0.99987803227770999</v>
      </c>
      <c r="C302">
        <v>0.93992339212007603</v>
      </c>
      <c r="D302">
        <v>1.0332976479671401</v>
      </c>
      <c r="E302">
        <v>1.0213527379848699</v>
      </c>
      <c r="F302">
        <v>1.2256441052922</v>
      </c>
      <c r="G302">
        <v>0.98323518294904899</v>
      </c>
      <c r="H302">
        <v>1.06186534057705</v>
      </c>
      <c r="I302">
        <v>1.07710901543999</v>
      </c>
      <c r="J302">
        <v>0.97903742444060604</v>
      </c>
      <c r="K302">
        <v>0.74527990319300796</v>
      </c>
      <c r="L302">
        <v>15000</v>
      </c>
      <c r="M302">
        <v>221.468091902276</v>
      </c>
      <c r="O302">
        <v>67.724325056331395</v>
      </c>
      <c r="P302">
        <v>-0.20840090919343701</v>
      </c>
      <c r="Q302">
        <v>0.74508633535900703</v>
      </c>
      <c r="R302">
        <v>0.49517015002868398</v>
      </c>
      <c r="S302" t="s">
        <v>6613</v>
      </c>
      <c r="T302" t="s">
        <v>12620</v>
      </c>
      <c r="U302" t="s">
        <v>12620</v>
      </c>
      <c r="V302" t="s">
        <v>12620</v>
      </c>
      <c r="W302" t="s">
        <v>12917</v>
      </c>
      <c r="X302">
        <v>20</v>
      </c>
      <c r="Y302" t="s">
        <v>19164</v>
      </c>
      <c r="Z302" t="s">
        <v>25249</v>
      </c>
      <c r="AA302">
        <v>0.98074671782845035</v>
      </c>
      <c r="AB302" t="str">
        <f>HYPERLINK("Melting_Curves/meltCurve_E5RJR5_SKP1.pdf", "Melting_Curves/meltCurve_E5RJR5_SKP1.pdf")</f>
        <v>Melting_Curves/meltCurve_E5RJR5_SKP1.pdf</v>
      </c>
    </row>
    <row r="303" spans="1:28" x14ac:dyDescent="0.25">
      <c r="A303" t="s">
        <v>307</v>
      </c>
      <c r="B303">
        <v>0.99987803227770999</v>
      </c>
      <c r="C303">
        <v>0.88837923537334895</v>
      </c>
      <c r="D303">
        <v>0.97860395266894895</v>
      </c>
      <c r="E303">
        <v>1.0010622987097999</v>
      </c>
      <c r="F303">
        <v>1.23752001343435</v>
      </c>
      <c r="G303">
        <v>1.0555446202326999</v>
      </c>
      <c r="H303">
        <v>1.1201584479676601</v>
      </c>
      <c r="I303">
        <v>1.04826335261554</v>
      </c>
      <c r="J303">
        <v>1.1257166293032199</v>
      </c>
      <c r="K303">
        <v>0.91714852238740197</v>
      </c>
      <c r="L303">
        <v>12704.995690533</v>
      </c>
      <c r="M303">
        <v>250</v>
      </c>
      <c r="O303">
        <v>50.816714509319603</v>
      </c>
      <c r="P303">
        <v>0.10338298420939</v>
      </c>
      <c r="Q303">
        <v>1.0840573641823601</v>
      </c>
      <c r="R303">
        <v>0.29119730604243399</v>
      </c>
      <c r="S303" t="s">
        <v>6614</v>
      </c>
      <c r="T303" t="s">
        <v>12620</v>
      </c>
      <c r="U303" t="s">
        <v>12620</v>
      </c>
      <c r="V303" t="s">
        <v>12620</v>
      </c>
      <c r="W303" t="s">
        <v>12918</v>
      </c>
      <c r="X303">
        <v>14</v>
      </c>
      <c r="Y303" t="s">
        <v>19165</v>
      </c>
      <c r="Z303" t="s">
        <v>25250</v>
      </c>
      <c r="AA303">
        <v>1.0537332262012791</v>
      </c>
      <c r="AB303" t="str">
        <f>HYPERLINK("Melting_Curves/meltCurve_E5RJU9_MTDH.pdf", "Melting_Curves/meltCurve_E5RJU9_MTDH.pdf")</f>
        <v>Melting_Curves/meltCurve_E5RJU9_MTDH.pdf</v>
      </c>
    </row>
    <row r="304" spans="1:28" x14ac:dyDescent="0.25">
      <c r="A304" t="s">
        <v>308</v>
      </c>
      <c r="B304">
        <v>0.99987803227770999</v>
      </c>
      <c r="C304">
        <v>1.0343146644290799</v>
      </c>
      <c r="D304">
        <v>0.91095904981349896</v>
      </c>
      <c r="E304">
        <v>1.24951247488856</v>
      </c>
      <c r="F304">
        <v>0.92730590261716495</v>
      </c>
      <c r="G304">
        <v>0.77977930969289799</v>
      </c>
      <c r="H304">
        <v>0.27731775061540698</v>
      </c>
      <c r="I304">
        <v>0.17979956951544099</v>
      </c>
      <c r="J304">
        <v>0.112635215975032</v>
      </c>
      <c r="K304">
        <v>8.7105916258917601E-2</v>
      </c>
      <c r="L304">
        <v>2073.28159116904</v>
      </c>
      <c r="M304">
        <v>35.302029045537097</v>
      </c>
      <c r="N304">
        <v>59.112982485617898</v>
      </c>
      <c r="O304">
        <v>58.5423119946649</v>
      </c>
      <c r="P304">
        <v>-0.13533762543647199</v>
      </c>
      <c r="Q304">
        <v>0.10226683495183</v>
      </c>
      <c r="R304">
        <v>0.956309520123238</v>
      </c>
      <c r="S304" t="s">
        <v>6615</v>
      </c>
      <c r="T304" t="s">
        <v>12620</v>
      </c>
      <c r="U304" t="s">
        <v>12620</v>
      </c>
      <c r="V304" t="s">
        <v>12620</v>
      </c>
      <c r="W304" t="s">
        <v>12919</v>
      </c>
      <c r="X304">
        <v>11</v>
      </c>
      <c r="Y304" t="s">
        <v>19166</v>
      </c>
      <c r="Z304" t="s">
        <v>25251</v>
      </c>
      <c r="AA304">
        <v>0.66717995866508673</v>
      </c>
      <c r="AB304" t="str">
        <f>HYPERLINK("Melting_Curves/meltCurve_E7EM64_COPS6.pdf", "Melting_Curves/meltCurve_E7EM64_COPS6.pdf")</f>
        <v>Melting_Curves/meltCurve_E7EM64_COPS6.pdf</v>
      </c>
    </row>
    <row r="305" spans="1:28" x14ac:dyDescent="0.25">
      <c r="A305" t="s">
        <v>309</v>
      </c>
      <c r="B305">
        <v>0.99987803227770999</v>
      </c>
      <c r="C305">
        <v>0.528094477069185</v>
      </c>
      <c r="D305">
        <v>1.18723517710032</v>
      </c>
      <c r="E305">
        <v>0.47238982025307702</v>
      </c>
      <c r="F305">
        <v>0.92541925463796504</v>
      </c>
      <c r="G305">
        <v>0.68737721533358598</v>
      </c>
      <c r="H305">
        <v>0.81548372872308506</v>
      </c>
      <c r="I305">
        <v>0.803284318569363</v>
      </c>
      <c r="J305">
        <v>1.06655897228574</v>
      </c>
      <c r="K305">
        <v>0.75415826626592497</v>
      </c>
      <c r="L305">
        <v>10223.992646495601</v>
      </c>
      <c r="M305">
        <v>250</v>
      </c>
      <c r="O305">
        <v>40.893353525727598</v>
      </c>
      <c r="P305">
        <v>-0.29887970988386298</v>
      </c>
      <c r="Q305">
        <v>0.80444490207277097</v>
      </c>
      <c r="R305">
        <v>7.3568972403160807E-2</v>
      </c>
      <c r="S305" t="s">
        <v>6616</v>
      </c>
      <c r="T305" t="s">
        <v>12620</v>
      </c>
      <c r="U305" t="s">
        <v>12620</v>
      </c>
      <c r="V305" t="s">
        <v>12620</v>
      </c>
      <c r="W305" t="s">
        <v>12920</v>
      </c>
      <c r="X305">
        <v>2</v>
      </c>
      <c r="Y305" t="s">
        <v>19167</v>
      </c>
      <c r="Z305" t="s">
        <v>25252</v>
      </c>
      <c r="AA305">
        <v>0.81030306141232733</v>
      </c>
      <c r="AB305" t="str">
        <f>HYPERLINK("Melting_Curves/meltCurve_E7EMB8_PTPN18.pdf", "Melting_Curves/meltCurve_E7EMB8_PTPN18.pdf")</f>
        <v>Melting_Curves/meltCurve_E7EMB8_PTPN18.pdf</v>
      </c>
    </row>
    <row r="306" spans="1:28" x14ac:dyDescent="0.25">
      <c r="A306" t="s">
        <v>310</v>
      </c>
      <c r="B306">
        <v>0.99987803227770999</v>
      </c>
      <c r="C306">
        <v>0.95164988790478899</v>
      </c>
      <c r="D306">
        <v>1.0757271788693299</v>
      </c>
      <c r="E306">
        <v>0.97685979816721102</v>
      </c>
      <c r="F306">
        <v>1.09397360410823</v>
      </c>
      <c r="G306">
        <v>1.0242385132463501</v>
      </c>
      <c r="H306">
        <v>0.70465672228947795</v>
      </c>
      <c r="I306">
        <v>0.497030283303045</v>
      </c>
      <c r="J306">
        <v>0.31825495519324298</v>
      </c>
      <c r="K306">
        <v>0.22238234881978999</v>
      </c>
      <c r="L306">
        <v>1880.5492230524601</v>
      </c>
      <c r="M306">
        <v>30.0702766945011</v>
      </c>
      <c r="N306">
        <v>63.691633692838202</v>
      </c>
      <c r="O306">
        <v>62.263834694430699</v>
      </c>
      <c r="P306">
        <v>-9.5393527632413405E-2</v>
      </c>
      <c r="Q306">
        <v>0.209913550082797</v>
      </c>
      <c r="R306">
        <v>0.97407025824405602</v>
      </c>
      <c r="S306" t="s">
        <v>6617</v>
      </c>
      <c r="T306" t="s">
        <v>12620</v>
      </c>
      <c r="U306" t="s">
        <v>12620</v>
      </c>
      <c r="V306" t="s">
        <v>12620</v>
      </c>
      <c r="W306" t="s">
        <v>12870</v>
      </c>
      <c r="X306">
        <v>9</v>
      </c>
      <c r="Y306" t="s">
        <v>19168</v>
      </c>
      <c r="Z306" t="s">
        <v>25253</v>
      </c>
      <c r="AA306">
        <v>0.80661917580780007</v>
      </c>
      <c r="AB306" t="str">
        <f>HYPERLINK("Melting_Curves/meltCurve_E7EMC3_EPN2.pdf", "Melting_Curves/meltCurve_E7EMC3_EPN2.pdf")</f>
        <v>Melting_Curves/meltCurve_E7EMC3_EPN2.pdf</v>
      </c>
    </row>
    <row r="307" spans="1:28" x14ac:dyDescent="0.25">
      <c r="A307" t="s">
        <v>311</v>
      </c>
      <c r="B307">
        <v>0.99987803227770999</v>
      </c>
      <c r="C307">
        <v>0.96381407845920097</v>
      </c>
      <c r="D307">
        <v>0.98448372654334104</v>
      </c>
      <c r="E307">
        <v>1.05603757872537</v>
      </c>
      <c r="F307">
        <v>1.13536954667441</v>
      </c>
      <c r="G307">
        <v>1.2616166090708301</v>
      </c>
      <c r="H307">
        <v>1.1007322094095799</v>
      </c>
      <c r="I307">
        <v>0.89748293251892097</v>
      </c>
      <c r="J307">
        <v>0.59444475845097999</v>
      </c>
      <c r="K307">
        <v>0.416152902372663</v>
      </c>
      <c r="L307">
        <v>3695.3575406124401</v>
      </c>
      <c r="M307">
        <v>55.902096713574203</v>
      </c>
      <c r="N307">
        <v>67.979739276414804</v>
      </c>
      <c r="O307">
        <v>66.019665601192301</v>
      </c>
      <c r="P307">
        <v>-0.12848008266545</v>
      </c>
      <c r="Q307">
        <v>0.39306697178399402</v>
      </c>
      <c r="R307">
        <v>0.82284349873822604</v>
      </c>
      <c r="S307" t="s">
        <v>6618</v>
      </c>
      <c r="T307" t="s">
        <v>12620</v>
      </c>
      <c r="U307" t="s">
        <v>12620</v>
      </c>
      <c r="V307" t="s">
        <v>12620</v>
      </c>
      <c r="W307" t="s">
        <v>12921</v>
      </c>
      <c r="X307">
        <v>9</v>
      </c>
      <c r="Y307" t="s">
        <v>19169</v>
      </c>
      <c r="Z307" t="s">
        <v>25254</v>
      </c>
      <c r="AA307">
        <v>0.9213790949680013</v>
      </c>
      <c r="AB307" t="str">
        <f>HYPERLINK("Melting_Curves/meltCurve_E7EMM4_ASAH1.pdf", "Melting_Curves/meltCurve_E7EMM4_ASAH1.pdf")</f>
        <v>Melting_Curves/meltCurve_E7EMM4_ASAH1.pdf</v>
      </c>
    </row>
    <row r="308" spans="1:28" x14ac:dyDescent="0.25">
      <c r="A308" t="s">
        <v>312</v>
      </c>
      <c r="B308">
        <v>0.99987803227770999</v>
      </c>
      <c r="C308">
        <v>0.88189306800026102</v>
      </c>
      <c r="D308">
        <v>0.85754691530764904</v>
      </c>
      <c r="E308">
        <v>1.3995585823896799</v>
      </c>
      <c r="F308">
        <v>1.3277155731105901</v>
      </c>
      <c r="G308">
        <v>1.0895919356473101</v>
      </c>
      <c r="H308">
        <v>0.52550190282751696</v>
      </c>
      <c r="I308">
        <v>0.46019165098306197</v>
      </c>
      <c r="J308">
        <v>0.35435096511783798</v>
      </c>
      <c r="K308">
        <v>0.248022638307836</v>
      </c>
      <c r="L308">
        <v>5838.2794763575703</v>
      </c>
      <c r="M308">
        <v>96.688459094984097</v>
      </c>
      <c r="N308">
        <v>61.1537295977651</v>
      </c>
      <c r="O308">
        <v>60.356564804505602</v>
      </c>
      <c r="P308">
        <v>-0.259389404217442</v>
      </c>
      <c r="Q308">
        <v>0.35231763737166799</v>
      </c>
      <c r="R308">
        <v>0.77343875001070495</v>
      </c>
      <c r="S308" t="s">
        <v>6619</v>
      </c>
      <c r="T308" t="s">
        <v>12620</v>
      </c>
      <c r="U308" t="s">
        <v>12620</v>
      </c>
      <c r="V308" t="s">
        <v>12620</v>
      </c>
      <c r="W308" t="s">
        <v>12922</v>
      </c>
      <c r="X308">
        <v>11</v>
      </c>
      <c r="Y308" t="s">
        <v>19170</v>
      </c>
      <c r="Z308" t="s">
        <v>25255</v>
      </c>
      <c r="AA308">
        <v>0.7928206858248239</v>
      </c>
      <c r="AB308" t="str">
        <f>HYPERLINK("Melting_Curves/meltCurve_E7EMW7_UBR5.pdf", "Melting_Curves/meltCurve_E7EMW7_UBR5.pdf")</f>
        <v>Melting_Curves/meltCurve_E7EMW7_UBR5.pdf</v>
      </c>
    </row>
    <row r="309" spans="1:28" x14ac:dyDescent="0.25">
      <c r="A309" t="s">
        <v>313</v>
      </c>
      <c r="B309">
        <v>0.99987803227770999</v>
      </c>
      <c r="C309">
        <v>0.96027544150355604</v>
      </c>
      <c r="D309">
        <v>1.02259866034376</v>
      </c>
      <c r="E309">
        <v>0.99115023381023304</v>
      </c>
      <c r="F309">
        <v>1.02468120283093</v>
      </c>
      <c r="G309">
        <v>0.87818236636653701</v>
      </c>
      <c r="H309">
        <v>0.96942288665458098</v>
      </c>
      <c r="I309">
        <v>0.92237101270763699</v>
      </c>
      <c r="J309">
        <v>0.92434378638348802</v>
      </c>
      <c r="K309">
        <v>0.74200444874035698</v>
      </c>
      <c r="L309">
        <v>1103.86664701417</v>
      </c>
      <c r="M309">
        <v>14.577514486986599</v>
      </c>
      <c r="Q309">
        <v>0</v>
      </c>
      <c r="R309">
        <v>0.69887537716493997</v>
      </c>
      <c r="S309" t="s">
        <v>6620</v>
      </c>
      <c r="T309" t="s">
        <v>12620</v>
      </c>
      <c r="U309" t="s">
        <v>12620</v>
      </c>
      <c r="V309" t="s">
        <v>12620</v>
      </c>
      <c r="W309" t="s">
        <v>12923</v>
      </c>
      <c r="X309">
        <v>33</v>
      </c>
      <c r="Y309" t="s">
        <v>19171</v>
      </c>
      <c r="Z309" t="s">
        <v>25256</v>
      </c>
      <c r="AA309">
        <v>0.96524482600689254</v>
      </c>
      <c r="AB309" t="str">
        <f>HYPERLINK("Melting_Curves/meltCurve_E7EMZ9_TACC2.pdf", "Melting_Curves/meltCurve_E7EMZ9_TACC2.pdf")</f>
        <v>Melting_Curves/meltCurve_E7EMZ9_TACC2.pdf</v>
      </c>
    </row>
    <row r="310" spans="1:28" x14ac:dyDescent="0.25">
      <c r="A310" t="s">
        <v>314</v>
      </c>
      <c r="B310">
        <v>0.99987803227770999</v>
      </c>
      <c r="C310">
        <v>0.96910009633921101</v>
      </c>
      <c r="D310">
        <v>0.89511290398233401</v>
      </c>
      <c r="E310">
        <v>0.71414508214053096</v>
      </c>
      <c r="F310">
        <v>0.67110013636922705</v>
      </c>
      <c r="G310">
        <v>0.434352472650752</v>
      </c>
      <c r="H310">
        <v>0.22097976957045701</v>
      </c>
      <c r="I310">
        <v>0.113555373969872</v>
      </c>
      <c r="J310">
        <v>0.108942334859921</v>
      </c>
      <c r="K310">
        <v>8.2853295399646601E-2</v>
      </c>
      <c r="L310">
        <v>658.34484755834603</v>
      </c>
      <c r="M310">
        <v>11.945086686113401</v>
      </c>
      <c r="N310">
        <v>55.114279603058101</v>
      </c>
      <c r="O310">
        <v>53.637734649271202</v>
      </c>
      <c r="P310">
        <v>-5.5688490920866099E-2</v>
      </c>
      <c r="Q310">
        <v>0</v>
      </c>
      <c r="R310">
        <v>0.99168156548590103</v>
      </c>
      <c r="S310" t="s">
        <v>6621</v>
      </c>
      <c r="T310" t="s">
        <v>12620</v>
      </c>
      <c r="U310" t="s">
        <v>12620</v>
      </c>
      <c r="V310" t="s">
        <v>12620</v>
      </c>
      <c r="W310" t="s">
        <v>12924</v>
      </c>
      <c r="X310">
        <v>5</v>
      </c>
      <c r="Y310" t="s">
        <v>19172</v>
      </c>
      <c r="Z310" t="s">
        <v>25257</v>
      </c>
      <c r="AA310">
        <v>0.52700169024291044</v>
      </c>
      <c r="AB310" t="str">
        <f>HYPERLINK("Melting_Curves/meltCurve_E7EN68_SETMAR.pdf", "Melting_Curves/meltCurve_E7EN68_SETMAR.pdf")</f>
        <v>Melting_Curves/meltCurve_E7EN68_SETMAR.pdf</v>
      </c>
    </row>
    <row r="311" spans="1:28" x14ac:dyDescent="0.25">
      <c r="A311" t="s">
        <v>315</v>
      </c>
      <c r="B311">
        <v>0.99987803227770999</v>
      </c>
      <c r="C311">
        <v>1.1038543392931299</v>
      </c>
      <c r="D311">
        <v>0.96874107230194895</v>
      </c>
      <c r="E311">
        <v>0.965814760551855</v>
      </c>
      <c r="F311">
        <v>0.89401082193680104</v>
      </c>
      <c r="G311">
        <v>1.09414321019858</v>
      </c>
      <c r="H311">
        <v>1.0403944945425101</v>
      </c>
      <c r="I311">
        <v>0.990143690619251</v>
      </c>
      <c r="J311">
        <v>0.55002748024428005</v>
      </c>
      <c r="K311">
        <v>0.34262152207447599</v>
      </c>
      <c r="L311">
        <v>7129.1239670582099</v>
      </c>
      <c r="M311">
        <v>107.164063231665</v>
      </c>
      <c r="N311">
        <v>67.2379270368519</v>
      </c>
      <c r="O311">
        <v>66.5021676951324</v>
      </c>
      <c r="P311">
        <v>-0.26612514567100698</v>
      </c>
      <c r="Q311">
        <v>0.33940922813935598</v>
      </c>
      <c r="R311">
        <v>0.93799626881308396</v>
      </c>
      <c r="S311" t="s">
        <v>6622</v>
      </c>
      <c r="T311" t="s">
        <v>12620</v>
      </c>
      <c r="U311" t="s">
        <v>12620</v>
      </c>
      <c r="V311" t="s">
        <v>12620</v>
      </c>
      <c r="W311" t="s">
        <v>12925</v>
      </c>
      <c r="X311">
        <v>3</v>
      </c>
      <c r="Y311" t="s">
        <v>19173</v>
      </c>
      <c r="Z311" t="s">
        <v>25258</v>
      </c>
      <c r="AA311">
        <v>0.92383342979904015</v>
      </c>
      <c r="AB311" t="str">
        <f>HYPERLINK("Melting_Curves/meltCurve_E7ENA9_NCSTN.pdf", "Melting_Curves/meltCurve_E7ENA9_NCSTN.pdf")</f>
        <v>Melting_Curves/meltCurve_E7ENA9_NCSTN.pdf</v>
      </c>
    </row>
    <row r="312" spans="1:28" x14ac:dyDescent="0.25">
      <c r="A312" t="s">
        <v>316</v>
      </c>
      <c r="B312">
        <v>0.99987803227770999</v>
      </c>
      <c r="C312">
        <v>0.96913975653913298</v>
      </c>
      <c r="D312">
        <v>1.09120325359231</v>
      </c>
      <c r="E312">
        <v>0.98488650339488504</v>
      </c>
      <c r="F312">
        <v>1.0763021486484401</v>
      </c>
      <c r="G312">
        <v>0.77047060463352102</v>
      </c>
      <c r="H312">
        <v>0.40323771246295897</v>
      </c>
      <c r="I312">
        <v>0.249501143480932</v>
      </c>
      <c r="J312">
        <v>0.172354528131968</v>
      </c>
      <c r="K312">
        <v>0.129585085910323</v>
      </c>
      <c r="L312">
        <v>1752.39428058709</v>
      </c>
      <c r="M312">
        <v>29.559706567587501</v>
      </c>
      <c r="N312">
        <v>59.954711305446999</v>
      </c>
      <c r="O312">
        <v>59.013874815901801</v>
      </c>
      <c r="P312">
        <v>-0.10757740141702</v>
      </c>
      <c r="Q312">
        <v>0.14092309420610599</v>
      </c>
      <c r="R312">
        <v>0.98509411162143701</v>
      </c>
      <c r="S312" t="s">
        <v>6623</v>
      </c>
      <c r="T312" t="s">
        <v>12620</v>
      </c>
      <c r="U312" t="s">
        <v>12620</v>
      </c>
      <c r="V312" t="s">
        <v>12620</v>
      </c>
      <c r="W312" t="s">
        <v>12926</v>
      </c>
      <c r="X312">
        <v>8</v>
      </c>
      <c r="Y312" t="s">
        <v>19174</v>
      </c>
      <c r="Z312" t="s">
        <v>25259</v>
      </c>
      <c r="AA312">
        <v>0.69867031951620773</v>
      </c>
      <c r="AB312" t="str">
        <f>HYPERLINK("Melting_Curves/meltCurve_E7ENK0_CALCOCO2.pdf", "Melting_Curves/meltCurve_E7ENK0_CALCOCO2.pdf")</f>
        <v>Melting_Curves/meltCurve_E7ENK0_CALCOCO2.pdf</v>
      </c>
    </row>
    <row r="313" spans="1:28" x14ac:dyDescent="0.25">
      <c r="A313" t="s">
        <v>317</v>
      </c>
      <c r="B313">
        <v>0.99987803227770999</v>
      </c>
      <c r="C313">
        <v>0.87977981025284502</v>
      </c>
      <c r="D313">
        <v>0.85257214044242602</v>
      </c>
      <c r="E313">
        <v>0.79055226551506097</v>
      </c>
      <c r="F313">
        <v>0.990364478862925</v>
      </c>
      <c r="G313">
        <v>0.50859823923745795</v>
      </c>
      <c r="H313">
        <v>0.42223203633030398</v>
      </c>
      <c r="I313">
        <v>0.32702059247389298</v>
      </c>
      <c r="J313">
        <v>0.37929049774992202</v>
      </c>
      <c r="K313">
        <v>0.36447839673391302</v>
      </c>
      <c r="L313">
        <v>3347.1313835873002</v>
      </c>
      <c r="M313">
        <v>59.9639442890251</v>
      </c>
      <c r="N313">
        <v>57.113364497902303</v>
      </c>
      <c r="O313">
        <v>55.757085561613998</v>
      </c>
      <c r="P313">
        <v>-0.16897261411606701</v>
      </c>
      <c r="Q313">
        <v>0.37152789299084599</v>
      </c>
      <c r="R313">
        <v>0.87643924578046395</v>
      </c>
      <c r="S313" t="s">
        <v>6624</v>
      </c>
      <c r="T313" t="s">
        <v>12620</v>
      </c>
      <c r="U313" t="s">
        <v>12620</v>
      </c>
      <c r="V313" t="s">
        <v>12620</v>
      </c>
      <c r="W313" t="s">
        <v>12870</v>
      </c>
      <c r="X313">
        <v>1</v>
      </c>
      <c r="Z313" t="s">
        <v>25260</v>
      </c>
      <c r="AA313">
        <v>0.70399650795000734</v>
      </c>
      <c r="AB313" t="str">
        <f>HYPERLINK("Melting_Curves/meltCurve_E7EP86_.pdf", "Melting_Curves/meltCurve_E7EP86_.pdf")</f>
        <v>Melting_Curves/meltCurve_E7EP86_.pdf</v>
      </c>
    </row>
    <row r="314" spans="1:28" x14ac:dyDescent="0.25">
      <c r="A314" t="s">
        <v>318</v>
      </c>
      <c r="B314">
        <v>0.99987803227770999</v>
      </c>
      <c r="C314">
        <v>1.6539380590661601</v>
      </c>
      <c r="D314">
        <v>1.7720726475514199</v>
      </c>
      <c r="E314">
        <v>1.42708924896839</v>
      </c>
      <c r="F314">
        <v>0.84790504405448797</v>
      </c>
      <c r="G314">
        <v>0.33167544074444999</v>
      </c>
      <c r="H314">
        <v>0.147467271329278</v>
      </c>
      <c r="I314">
        <v>0.14176953242326501</v>
      </c>
      <c r="J314">
        <v>0.117665449893801</v>
      </c>
      <c r="K314">
        <v>8.3561328096502296E-2</v>
      </c>
      <c r="L314">
        <v>2523.3838399259298</v>
      </c>
      <c r="M314">
        <v>45.500297496847601</v>
      </c>
      <c r="N314">
        <v>55.795589606834703</v>
      </c>
      <c r="O314">
        <v>55.351816704548497</v>
      </c>
      <c r="P314">
        <v>-0.18081702588029799</v>
      </c>
      <c r="Q314">
        <v>0.120134272247005</v>
      </c>
      <c r="R314">
        <v>0.70637649427883797</v>
      </c>
      <c r="S314" t="s">
        <v>6625</v>
      </c>
      <c r="T314" t="s">
        <v>12620</v>
      </c>
      <c r="U314" t="s">
        <v>12620</v>
      </c>
      <c r="V314" t="s">
        <v>12620</v>
      </c>
      <c r="W314" t="s">
        <v>12927</v>
      </c>
      <c r="X314">
        <v>3</v>
      </c>
      <c r="Y314" t="s">
        <v>19175</v>
      </c>
      <c r="Z314" t="s">
        <v>25261</v>
      </c>
      <c r="AA314">
        <v>0.57611552068354799</v>
      </c>
      <c r="AB314" t="str">
        <f>HYPERLINK("Melting_Curves/meltCurve_E7EPB3_RPL14.pdf", "Melting_Curves/meltCurve_E7EPB3_RPL14.pdf")</f>
        <v>Melting_Curves/meltCurve_E7EPB3_RPL14.pdf</v>
      </c>
    </row>
    <row r="315" spans="1:28" x14ac:dyDescent="0.25">
      <c r="A315" t="s">
        <v>319</v>
      </c>
      <c r="B315">
        <v>0.99987803227770999</v>
      </c>
      <c r="C315">
        <v>0.51607075734504204</v>
      </c>
      <c r="D315">
        <v>0.87003050605275101</v>
      </c>
      <c r="E315">
        <v>0.695300164492891</v>
      </c>
      <c r="F315">
        <v>0.65381923600007297</v>
      </c>
      <c r="G315">
        <v>0.402720257012534</v>
      </c>
      <c r="H315">
        <v>0.34319109689215199</v>
      </c>
      <c r="I315">
        <v>0.34430698004746102</v>
      </c>
      <c r="J315">
        <v>0.26545136711850997</v>
      </c>
      <c r="K315">
        <v>0.21584891582690499</v>
      </c>
      <c r="L315">
        <v>302.27044517875697</v>
      </c>
      <c r="M315">
        <v>5.4643732439089296</v>
      </c>
      <c r="N315">
        <v>55.316580993968799</v>
      </c>
      <c r="O315">
        <v>49.226386020608402</v>
      </c>
      <c r="P315">
        <v>-2.7876305827323401E-2</v>
      </c>
      <c r="Q315">
        <v>0</v>
      </c>
      <c r="R315">
        <v>0.77638519397752603</v>
      </c>
      <c r="S315" t="s">
        <v>6626</v>
      </c>
      <c r="T315" t="s">
        <v>12620</v>
      </c>
      <c r="U315" t="s">
        <v>12620</v>
      </c>
      <c r="V315" t="s">
        <v>12620</v>
      </c>
      <c r="W315" t="s">
        <v>12928</v>
      </c>
      <c r="X315">
        <v>9</v>
      </c>
      <c r="Y315" t="s">
        <v>19176</v>
      </c>
      <c r="Z315" t="s">
        <v>25262</v>
      </c>
      <c r="AA315">
        <v>0.53193058017540584</v>
      </c>
      <c r="AB315" t="str">
        <f>HYPERLINK("Melting_Curves/meltCurve_E7EPD0_TOM1.pdf", "Melting_Curves/meltCurve_E7EPD0_TOM1.pdf")</f>
        <v>Melting_Curves/meltCurve_E7EPD0_TOM1.pdf</v>
      </c>
    </row>
    <row r="316" spans="1:28" x14ac:dyDescent="0.25">
      <c r="A316" t="s">
        <v>320</v>
      </c>
      <c r="B316">
        <v>0.99987803227770999</v>
      </c>
      <c r="C316">
        <v>1.1106866495561201</v>
      </c>
      <c r="D316">
        <v>0.94780010410257698</v>
      </c>
      <c r="E316">
        <v>1.08454585908072</v>
      </c>
      <c r="F316">
        <v>0.67214472782841095</v>
      </c>
      <c r="G316">
        <v>0.30098733546706602</v>
      </c>
      <c r="H316">
        <v>0.16165070810934901</v>
      </c>
      <c r="I316">
        <v>0.14096295356539801</v>
      </c>
      <c r="J316">
        <v>0.11203794792589</v>
      </c>
      <c r="K316">
        <v>8.1779628554987299E-2</v>
      </c>
      <c r="L316">
        <v>1821.37295323579</v>
      </c>
      <c r="M316">
        <v>33.567029033260802</v>
      </c>
      <c r="N316">
        <v>54.714128674005501</v>
      </c>
      <c r="O316">
        <v>54.069277825795503</v>
      </c>
      <c r="P316">
        <v>-0.136362165643787</v>
      </c>
      <c r="Q316">
        <v>0.121402970971753</v>
      </c>
      <c r="R316">
        <v>0.97807254484195605</v>
      </c>
      <c r="S316" t="s">
        <v>6627</v>
      </c>
      <c r="T316" t="s">
        <v>12620</v>
      </c>
      <c r="U316" t="s">
        <v>12620</v>
      </c>
      <c r="V316" t="s">
        <v>12620</v>
      </c>
      <c r="W316" t="s">
        <v>12929</v>
      </c>
      <c r="X316">
        <v>4</v>
      </c>
      <c r="Y316" t="s">
        <v>19177</v>
      </c>
      <c r="Z316" t="s">
        <v>25263</v>
      </c>
      <c r="AA316">
        <v>0.54370549521737632</v>
      </c>
      <c r="AB316" t="str">
        <f>HYPERLINK("Melting_Curves/meltCurve_E7EPI0_IBTK.pdf", "Melting_Curves/meltCurve_E7EPI0_IBTK.pdf")</f>
        <v>Melting_Curves/meltCurve_E7EPI0_IBTK.pdf</v>
      </c>
    </row>
    <row r="317" spans="1:28" x14ac:dyDescent="0.25">
      <c r="A317" t="s">
        <v>321</v>
      </c>
      <c r="B317">
        <v>0.99987803227770999</v>
      </c>
      <c r="C317">
        <v>0.92143759297553796</v>
      </c>
      <c r="D317">
        <v>0.53616122321456405</v>
      </c>
      <c r="E317">
        <v>0.38608720658842799</v>
      </c>
      <c r="F317">
        <v>0.26903040046735399</v>
      </c>
      <c r="G317">
        <v>0.19371412358208501</v>
      </c>
      <c r="H317">
        <v>0.16815857007808199</v>
      </c>
      <c r="I317">
        <v>0.15450942684615401</v>
      </c>
      <c r="J317">
        <v>0.12988343907511901</v>
      </c>
      <c r="K317">
        <v>0.104698659266082</v>
      </c>
      <c r="L317">
        <v>819.357136851105</v>
      </c>
      <c r="M317">
        <v>17.545011950226101</v>
      </c>
      <c r="N317">
        <v>47.619768691494301</v>
      </c>
      <c r="O317">
        <v>46.106284026604897</v>
      </c>
      <c r="P317">
        <v>-8.1469405092074995E-2</v>
      </c>
      <c r="Q317">
        <v>0.143677798945199</v>
      </c>
      <c r="R317">
        <v>0.97944461583660902</v>
      </c>
      <c r="S317" t="s">
        <v>6628</v>
      </c>
      <c r="T317" t="s">
        <v>12620</v>
      </c>
      <c r="U317" t="s">
        <v>12620</v>
      </c>
      <c r="V317" t="s">
        <v>12620</v>
      </c>
      <c r="W317" t="s">
        <v>12930</v>
      </c>
      <c r="X317">
        <v>17</v>
      </c>
      <c r="Y317" t="s">
        <v>19178</v>
      </c>
      <c r="Z317" t="s">
        <v>25264</v>
      </c>
      <c r="AA317">
        <v>0.35190863561141761</v>
      </c>
      <c r="AB317" t="str">
        <f>HYPERLINK("Melting_Curves/meltCurve_E7EPL4_PDXDC1.pdf", "Melting_Curves/meltCurve_E7EPL4_PDXDC1.pdf")</f>
        <v>Melting_Curves/meltCurve_E7EPL4_PDXDC1.pdf</v>
      </c>
    </row>
    <row r="318" spans="1:28" x14ac:dyDescent="0.25">
      <c r="A318" t="s">
        <v>322</v>
      </c>
      <c r="B318">
        <v>0.99987803227770999</v>
      </c>
      <c r="C318">
        <v>1.0314152757483801</v>
      </c>
      <c r="D318">
        <v>1.0019095737200301</v>
      </c>
      <c r="E318">
        <v>0.93710506755163103</v>
      </c>
      <c r="F318">
        <v>0.71918132984391403</v>
      </c>
      <c r="G318">
        <v>0.66571078465601197</v>
      </c>
      <c r="H318">
        <v>0.71143832156741205</v>
      </c>
      <c r="I318">
        <v>0.63715659836837601</v>
      </c>
      <c r="J318">
        <v>0.68091115287780701</v>
      </c>
      <c r="K318">
        <v>0.48847696712854199</v>
      </c>
      <c r="L318">
        <v>2308.07444756636</v>
      </c>
      <c r="M318">
        <v>44.664109416079903</v>
      </c>
      <c r="O318">
        <v>51.572995033605601</v>
      </c>
      <c r="P318">
        <v>-7.9085602605259694E-2</v>
      </c>
      <c r="Q318">
        <v>0.63472452916741395</v>
      </c>
      <c r="R318">
        <v>0.90346648118444906</v>
      </c>
      <c r="S318" t="s">
        <v>6629</v>
      </c>
      <c r="T318" t="s">
        <v>12620</v>
      </c>
      <c r="U318" t="s">
        <v>12620</v>
      </c>
      <c r="V318" t="s">
        <v>12620</v>
      </c>
      <c r="W318" t="s">
        <v>12931</v>
      </c>
      <c r="X318">
        <v>14</v>
      </c>
      <c r="Y318" t="s">
        <v>19179</v>
      </c>
      <c r="Z318" t="s">
        <v>25265</v>
      </c>
      <c r="AA318">
        <v>0.77793773614408057</v>
      </c>
      <c r="AB318" t="str">
        <f>HYPERLINK("Melting_Curves/meltCurve_E7EPS8_PTPRM.pdf", "Melting_Curves/meltCurve_E7EPS8_PTPRM.pdf")</f>
        <v>Melting_Curves/meltCurve_E7EPS8_PTPRM.pdf</v>
      </c>
    </row>
    <row r="319" spans="1:28" x14ac:dyDescent="0.25">
      <c r="A319" t="s">
        <v>323</v>
      </c>
      <c r="B319">
        <v>0.99987803227770999</v>
      </c>
      <c r="C319">
        <v>0.58489354631475798</v>
      </c>
      <c r="D319">
        <v>1.08717298115798</v>
      </c>
      <c r="E319">
        <v>0.74966941204748505</v>
      </c>
      <c r="F319">
        <v>0.22917111135730101</v>
      </c>
      <c r="G319">
        <v>0.10602199120162099</v>
      </c>
      <c r="H319">
        <v>6.50658230924967E-2</v>
      </c>
      <c r="I319">
        <v>5.0520298662372697E-2</v>
      </c>
      <c r="J319">
        <v>4.8552431718771501E-2</v>
      </c>
      <c r="K319">
        <v>3.4884960516032799E-2</v>
      </c>
      <c r="L319">
        <v>2243.0885550872399</v>
      </c>
      <c r="M319">
        <v>43.821980288478798</v>
      </c>
      <c r="N319">
        <v>51.331648959321697</v>
      </c>
      <c r="O319">
        <v>51.080141516920797</v>
      </c>
      <c r="P319">
        <v>-0.20196934339577499</v>
      </c>
      <c r="Q319">
        <v>5.8316796046204399E-2</v>
      </c>
      <c r="R319">
        <v>0.885212528011869</v>
      </c>
      <c r="S319" t="s">
        <v>6630</v>
      </c>
      <c r="T319" t="s">
        <v>12620</v>
      </c>
      <c r="U319" t="s">
        <v>12620</v>
      </c>
      <c r="V319" t="s">
        <v>12620</v>
      </c>
      <c r="W319" t="s">
        <v>12932</v>
      </c>
      <c r="X319">
        <v>13</v>
      </c>
      <c r="Y319" t="s">
        <v>19180</v>
      </c>
      <c r="Z319" t="s">
        <v>25266</v>
      </c>
      <c r="AA319">
        <v>0.41222322562943392</v>
      </c>
      <c r="AB319" t="str">
        <f>HYPERLINK("Melting_Curves/meltCurve_E7EQ69_NAA50.pdf", "Melting_Curves/meltCurve_E7EQ69_NAA50.pdf")</f>
        <v>Melting_Curves/meltCurve_E7EQ69_NAA50.pdf</v>
      </c>
    </row>
    <row r="320" spans="1:28" x14ac:dyDescent="0.25">
      <c r="A320" t="s">
        <v>324</v>
      </c>
      <c r="B320">
        <v>0.99987803227770999</v>
      </c>
      <c r="C320">
        <v>0.90242091881719999</v>
      </c>
      <c r="D320">
        <v>1.0082841883123801</v>
      </c>
      <c r="E320">
        <v>0.91544600902888595</v>
      </c>
      <c r="F320">
        <v>1.0811640475220601</v>
      </c>
      <c r="G320">
        <v>0.92464233243151095</v>
      </c>
      <c r="H320">
        <v>1.04073003037329</v>
      </c>
      <c r="I320">
        <v>0.94098543031310899</v>
      </c>
      <c r="J320">
        <v>1.0768291655676001</v>
      </c>
      <c r="K320">
        <v>0.85208094030049497</v>
      </c>
      <c r="L320">
        <v>15000</v>
      </c>
      <c r="M320">
        <v>212.534640831833</v>
      </c>
      <c r="Q320">
        <v>0</v>
      </c>
      <c r="R320">
        <v>0.27569963839674899</v>
      </c>
      <c r="S320" t="s">
        <v>6631</v>
      </c>
      <c r="T320" t="s">
        <v>12620</v>
      </c>
      <c r="U320" t="s">
        <v>12620</v>
      </c>
      <c r="V320" t="s">
        <v>12620</v>
      </c>
      <c r="W320" t="s">
        <v>12933</v>
      </c>
      <c r="X320">
        <v>34</v>
      </c>
      <c r="Y320" t="s">
        <v>19181</v>
      </c>
      <c r="Z320" t="s">
        <v>25267</v>
      </c>
      <c r="AA320">
        <v>0.99827375920910311</v>
      </c>
      <c r="AB320" t="str">
        <f>HYPERLINK("Melting_Curves/meltCurve_E7EQT4_ACIN1.pdf", "Melting_Curves/meltCurve_E7EQT4_ACIN1.pdf")</f>
        <v>Melting_Curves/meltCurve_E7EQT4_ACIN1.pdf</v>
      </c>
    </row>
    <row r="321" spans="1:28" x14ac:dyDescent="0.25">
      <c r="A321" t="s">
        <v>325</v>
      </c>
      <c r="B321">
        <v>0.99987803227770999</v>
      </c>
      <c r="C321">
        <v>0.94268384617097201</v>
      </c>
      <c r="D321">
        <v>0.87161454481189304</v>
      </c>
      <c r="E321">
        <v>0.83229185346222601</v>
      </c>
      <c r="F321">
        <v>0.54014676872428502</v>
      </c>
      <c r="G321">
        <v>0.35197166256581502</v>
      </c>
      <c r="H321">
        <v>0.37692491313551502</v>
      </c>
      <c r="I321">
        <v>0.393403049528468</v>
      </c>
      <c r="J321">
        <v>0.25186337968544498</v>
      </c>
      <c r="K321">
        <v>0.272737239375617</v>
      </c>
      <c r="L321">
        <v>939.64963093983897</v>
      </c>
      <c r="M321">
        <v>18.147161579982001</v>
      </c>
      <c r="N321">
        <v>54.397376722094798</v>
      </c>
      <c r="O321">
        <v>51.162942861047704</v>
      </c>
      <c r="P321">
        <v>-6.2852252517077795E-2</v>
      </c>
      <c r="Q321">
        <v>0.291227435989727</v>
      </c>
      <c r="R321">
        <v>0.96609725181582196</v>
      </c>
      <c r="S321" t="s">
        <v>6632</v>
      </c>
      <c r="T321" t="s">
        <v>12620</v>
      </c>
      <c r="U321" t="s">
        <v>12620</v>
      </c>
      <c r="V321" t="s">
        <v>12620</v>
      </c>
      <c r="W321" t="s">
        <v>12934</v>
      </c>
      <c r="X321">
        <v>3</v>
      </c>
      <c r="Y321" t="s">
        <v>19182</v>
      </c>
      <c r="Z321" t="s">
        <v>25268</v>
      </c>
      <c r="AA321">
        <v>0.58118918537167896</v>
      </c>
      <c r="AB321" t="str">
        <f>HYPERLINK("Melting_Curves/meltCurve_E7EQY4_MTA3.pdf", "Melting_Curves/meltCurve_E7EQY4_MTA3.pdf")</f>
        <v>Melting_Curves/meltCurve_E7EQY4_MTA3.pdf</v>
      </c>
    </row>
    <row r="322" spans="1:28" x14ac:dyDescent="0.25">
      <c r="A322" t="s">
        <v>326</v>
      </c>
      <c r="B322">
        <v>0.99987803227770999</v>
      </c>
      <c r="C322">
        <v>0.99222219888012497</v>
      </c>
      <c r="D322">
        <v>0.937657487744605</v>
      </c>
      <c r="E322">
        <v>0.87172180851280501</v>
      </c>
      <c r="F322">
        <v>0.76752441476790301</v>
      </c>
      <c r="G322">
        <v>0.65553951199031502</v>
      </c>
      <c r="H322">
        <v>0.55846617732816595</v>
      </c>
      <c r="I322">
        <v>0.50482172303523998</v>
      </c>
      <c r="J322">
        <v>0.51290626558335894</v>
      </c>
      <c r="K322">
        <v>0.427922416738171</v>
      </c>
      <c r="L322">
        <v>622.23208206362199</v>
      </c>
      <c r="M322">
        <v>11.223151017324</v>
      </c>
      <c r="N322">
        <v>64.828194133668205</v>
      </c>
      <c r="O322">
        <v>53.7690557603378</v>
      </c>
      <c r="P322">
        <v>-3.1238597099296099E-2</v>
      </c>
      <c r="Q322">
        <v>0.401542207907716</v>
      </c>
      <c r="R322">
        <v>0.99421564397046702</v>
      </c>
      <c r="S322" t="s">
        <v>6633</v>
      </c>
      <c r="T322" t="s">
        <v>12620</v>
      </c>
      <c r="U322" t="s">
        <v>12620</v>
      </c>
      <c r="V322" t="s">
        <v>12620</v>
      </c>
      <c r="W322" t="s">
        <v>12935</v>
      </c>
      <c r="X322">
        <v>17</v>
      </c>
      <c r="Y322" t="s">
        <v>18934</v>
      </c>
      <c r="Z322" t="s">
        <v>25269</v>
      </c>
      <c r="AA322">
        <v>0.72329769235154728</v>
      </c>
      <c r="AB322" t="str">
        <f>HYPERLINK("Melting_Curves/meltCurve_E7ER32_MKL1.pdf", "Melting_Curves/meltCurve_E7ER32_MKL1.pdf")</f>
        <v>Melting_Curves/meltCurve_E7ER32_MKL1.pdf</v>
      </c>
    </row>
    <row r="323" spans="1:28" x14ac:dyDescent="0.25">
      <c r="A323" t="s">
        <v>327</v>
      </c>
      <c r="B323">
        <v>0.99987803227770999</v>
      </c>
      <c r="C323">
        <v>1.1183888539437199</v>
      </c>
      <c r="D323">
        <v>1.0715764282790301</v>
      </c>
      <c r="E323">
        <v>1.3623275520306199</v>
      </c>
      <c r="F323">
        <v>1.0895428915531</v>
      </c>
      <c r="G323">
        <v>0.67151228502149296</v>
      </c>
      <c r="H323">
        <v>0.28508188226444597</v>
      </c>
      <c r="I323">
        <v>0.24768047919599701</v>
      </c>
      <c r="J323">
        <v>0.185119561369848</v>
      </c>
      <c r="K323">
        <v>0.122845601270947</v>
      </c>
      <c r="L323">
        <v>2575.2154545174299</v>
      </c>
      <c r="M323">
        <v>44.678473956635699</v>
      </c>
      <c r="N323">
        <v>58.258602236516097</v>
      </c>
      <c r="O323">
        <v>57.523726179349097</v>
      </c>
      <c r="P323">
        <v>-0.15744650366861199</v>
      </c>
      <c r="Q323">
        <v>0.189148895240872</v>
      </c>
      <c r="R323">
        <v>0.91326093875139303</v>
      </c>
      <c r="S323" t="s">
        <v>6634</v>
      </c>
      <c r="T323" t="s">
        <v>12620</v>
      </c>
      <c r="U323" t="s">
        <v>12620</v>
      </c>
      <c r="V323" t="s">
        <v>12620</v>
      </c>
      <c r="W323" t="s">
        <v>12936</v>
      </c>
      <c r="X323">
        <v>8</v>
      </c>
      <c r="Y323" t="s">
        <v>19183</v>
      </c>
      <c r="Z323" t="s">
        <v>25270</v>
      </c>
      <c r="AA323">
        <v>0.66846321050708646</v>
      </c>
      <c r="AB323" t="str">
        <f>HYPERLINK("Melting_Curves/meltCurve_E7ER68_FAM91A1.pdf", "Melting_Curves/meltCurve_E7ER68_FAM91A1.pdf")</f>
        <v>Melting_Curves/meltCurve_E7ER68_FAM91A1.pdf</v>
      </c>
    </row>
    <row r="324" spans="1:28" x14ac:dyDescent="0.25">
      <c r="A324" t="s">
        <v>328</v>
      </c>
      <c r="B324">
        <v>0.99987803227770999</v>
      </c>
      <c r="C324">
        <v>0.98368745281923198</v>
      </c>
      <c r="D324">
        <v>0.84443292121494096</v>
      </c>
      <c r="E324">
        <v>0.77861170613588804</v>
      </c>
      <c r="F324">
        <v>0.66480972571515695</v>
      </c>
      <c r="G324">
        <v>0.429769363982</v>
      </c>
      <c r="H324">
        <v>0.48816029052695997</v>
      </c>
      <c r="I324">
        <v>0.41942086194386802</v>
      </c>
      <c r="J324">
        <v>0.51064858276879699</v>
      </c>
      <c r="K324">
        <v>0.25014244904780802</v>
      </c>
      <c r="L324">
        <v>618.50381250382395</v>
      </c>
      <c r="M324">
        <v>11.856805413329599</v>
      </c>
      <c r="N324">
        <v>57.789963517194998</v>
      </c>
      <c r="O324">
        <v>50.746983709314897</v>
      </c>
      <c r="P324">
        <v>-3.8424329641356003E-2</v>
      </c>
      <c r="Q324">
        <v>0.342343420948231</v>
      </c>
      <c r="R324">
        <v>0.92438118890670096</v>
      </c>
      <c r="S324" t="s">
        <v>6635</v>
      </c>
      <c r="T324" t="s">
        <v>12620</v>
      </c>
      <c r="U324" t="s">
        <v>12620</v>
      </c>
      <c r="V324" t="s">
        <v>12620</v>
      </c>
      <c r="W324" t="s">
        <v>12937</v>
      </c>
      <c r="X324">
        <v>4</v>
      </c>
      <c r="Y324" t="s">
        <v>19184</v>
      </c>
      <c r="Z324" t="s">
        <v>25271</v>
      </c>
      <c r="AA324">
        <v>0.62921558359803142</v>
      </c>
      <c r="AB324" t="str">
        <f>HYPERLINK("Melting_Curves/meltCurve_E7ERB7_GMIP.pdf", "Melting_Curves/meltCurve_E7ERB7_GMIP.pdf")</f>
        <v>Melting_Curves/meltCurve_E7ERB7_GMIP.pdf</v>
      </c>
    </row>
    <row r="325" spans="1:28" x14ac:dyDescent="0.25">
      <c r="A325" t="s">
        <v>329</v>
      </c>
      <c r="B325">
        <v>0.99987803227770999</v>
      </c>
      <c r="C325">
        <v>0.95955404092135799</v>
      </c>
      <c r="D325">
        <v>1.02225346923586</v>
      </c>
      <c r="E325">
        <v>0.95732312353590299</v>
      </c>
      <c r="F325">
        <v>1.16085233472384</v>
      </c>
      <c r="G325">
        <v>1.00475017462695</v>
      </c>
      <c r="H325">
        <v>0.92379450598674795</v>
      </c>
      <c r="I325">
        <v>1.00767054740235</v>
      </c>
      <c r="J325">
        <v>0.89897107147851596</v>
      </c>
      <c r="K325">
        <v>0.72054507814441404</v>
      </c>
      <c r="L325">
        <v>2033.78074712802</v>
      </c>
      <c r="M325">
        <v>28.107994609579901</v>
      </c>
      <c r="Q325">
        <v>0</v>
      </c>
      <c r="R325">
        <v>0.67921677620893095</v>
      </c>
      <c r="S325" t="s">
        <v>6636</v>
      </c>
      <c r="T325" t="s">
        <v>12620</v>
      </c>
      <c r="U325" t="s">
        <v>12620</v>
      </c>
      <c r="V325" t="s">
        <v>12620</v>
      </c>
      <c r="W325" t="s">
        <v>12938</v>
      </c>
      <c r="X325">
        <v>7</v>
      </c>
      <c r="Y325" t="s">
        <v>19185</v>
      </c>
      <c r="Z325" t="s">
        <v>25272</v>
      </c>
      <c r="AA325">
        <v>0.97543410580929257</v>
      </c>
      <c r="AB325" t="str">
        <f>HYPERLINK("Melting_Curves/meltCurve_E7ERL6_MAST2.pdf", "Melting_Curves/meltCurve_E7ERL6_MAST2.pdf")</f>
        <v>Melting_Curves/meltCurve_E7ERL6_MAST2.pdf</v>
      </c>
    </row>
    <row r="326" spans="1:28" x14ac:dyDescent="0.25">
      <c r="A326" t="s">
        <v>330</v>
      </c>
      <c r="B326">
        <v>0.99987803227770999</v>
      </c>
      <c r="C326">
        <v>0.97226279893009604</v>
      </c>
      <c r="D326">
        <v>0.73872270316090205</v>
      </c>
      <c r="E326">
        <v>0.89904373400814497</v>
      </c>
      <c r="F326">
        <v>0.45057349657339602</v>
      </c>
      <c r="G326">
        <v>0.38894061810951303</v>
      </c>
      <c r="H326">
        <v>0.17838228271036499</v>
      </c>
      <c r="I326">
        <v>0.134783578195564</v>
      </c>
      <c r="J326">
        <v>0.121858681707244</v>
      </c>
      <c r="K326">
        <v>3.7524854069933701E-2</v>
      </c>
      <c r="L326">
        <v>638.74597624106104</v>
      </c>
      <c r="M326">
        <v>11.820327782706499</v>
      </c>
      <c r="N326">
        <v>54.037923906204803</v>
      </c>
      <c r="O326">
        <v>52.5608741788526</v>
      </c>
      <c r="P326">
        <v>-5.6236453947921698E-2</v>
      </c>
      <c r="Q326">
        <v>0</v>
      </c>
      <c r="R326">
        <v>0.94666062227841796</v>
      </c>
      <c r="S326" t="s">
        <v>6637</v>
      </c>
      <c r="T326" t="s">
        <v>12620</v>
      </c>
      <c r="U326" t="s">
        <v>12620</v>
      </c>
      <c r="V326" t="s">
        <v>12620</v>
      </c>
      <c r="W326" t="s">
        <v>12939</v>
      </c>
      <c r="X326">
        <v>1</v>
      </c>
      <c r="Y326" t="s">
        <v>19186</v>
      </c>
      <c r="Z326" t="s">
        <v>25273</v>
      </c>
      <c r="AA326">
        <v>0.49431111815643158</v>
      </c>
      <c r="AB326" t="str">
        <f>HYPERLINK("Melting_Curves/meltCurve_E7ERR0_KLHDC3.pdf", "Melting_Curves/meltCurve_E7ERR0_KLHDC3.pdf")</f>
        <v>Melting_Curves/meltCurve_E7ERR0_KLHDC3.pdf</v>
      </c>
    </row>
    <row r="327" spans="1:28" x14ac:dyDescent="0.25">
      <c r="A327" t="s">
        <v>331</v>
      </c>
      <c r="B327">
        <v>0.99987803227770999</v>
      </c>
      <c r="C327">
        <v>0.84101039453318904</v>
      </c>
      <c r="D327">
        <v>0.99801825056145699</v>
      </c>
      <c r="E327">
        <v>0.876357167622971</v>
      </c>
      <c r="F327">
        <v>1.0199485492343701</v>
      </c>
      <c r="G327">
        <v>0.81065188909262997</v>
      </c>
      <c r="H327">
        <v>0.77568429836255903</v>
      </c>
      <c r="I327">
        <v>0.62625705298353296</v>
      </c>
      <c r="J327">
        <v>0.66838258347700896</v>
      </c>
      <c r="K327">
        <v>0.54764490999778404</v>
      </c>
      <c r="L327">
        <v>428.55490481452301</v>
      </c>
      <c r="M327">
        <v>5.8901952917797198</v>
      </c>
      <c r="O327">
        <v>65.691860450774598</v>
      </c>
      <c r="P327">
        <v>-2.24935272488914E-2</v>
      </c>
      <c r="Q327">
        <v>0</v>
      </c>
      <c r="R327">
        <v>0.80941588801895903</v>
      </c>
      <c r="S327" t="s">
        <v>6638</v>
      </c>
      <c r="T327" t="s">
        <v>12620</v>
      </c>
      <c r="U327" t="s">
        <v>12620</v>
      </c>
      <c r="V327" t="s">
        <v>12620</v>
      </c>
      <c r="W327" t="s">
        <v>12940</v>
      </c>
      <c r="X327">
        <v>15</v>
      </c>
      <c r="Y327" t="s">
        <v>19187</v>
      </c>
      <c r="Z327" t="s">
        <v>25274</v>
      </c>
      <c r="AA327">
        <v>0.83496641905894264</v>
      </c>
      <c r="AB327" t="str">
        <f>HYPERLINK("Melting_Curves/meltCurve_E7ES08_HMGB3.pdf", "Melting_Curves/meltCurve_E7ES08_HMGB3.pdf")</f>
        <v>Melting_Curves/meltCurve_E7ES08_HMGB3.pdf</v>
      </c>
    </row>
    <row r="328" spans="1:28" x14ac:dyDescent="0.25">
      <c r="A328" t="s">
        <v>332</v>
      </c>
      <c r="B328">
        <v>0.99987803227770999</v>
      </c>
      <c r="C328">
        <v>1.01346842675895</v>
      </c>
      <c r="D328">
        <v>1.0423752069605901</v>
      </c>
      <c r="E328">
        <v>0.86446622742489898</v>
      </c>
      <c r="F328">
        <v>0.742122955765805</v>
      </c>
      <c r="G328">
        <v>0.38856607635053703</v>
      </c>
      <c r="H328">
        <v>0.29526751153514003</v>
      </c>
      <c r="I328">
        <v>0.22202455711116201</v>
      </c>
      <c r="J328">
        <v>0.14221325949142699</v>
      </c>
      <c r="K328">
        <v>7.6662979432534598E-2</v>
      </c>
      <c r="L328">
        <v>969.25476208265297</v>
      </c>
      <c r="M328">
        <v>17.495200945271399</v>
      </c>
      <c r="N328">
        <v>56.1307039973318</v>
      </c>
      <c r="O328">
        <v>54.692558832365201</v>
      </c>
      <c r="P328">
        <v>-7.1842235849985905E-2</v>
      </c>
      <c r="Q328">
        <v>0.10169220300689</v>
      </c>
      <c r="R328">
        <v>0.98945317776292296</v>
      </c>
      <c r="S328" t="s">
        <v>6639</v>
      </c>
      <c r="T328" t="s">
        <v>12620</v>
      </c>
      <c r="U328" t="s">
        <v>12620</v>
      </c>
      <c r="V328" t="s">
        <v>12620</v>
      </c>
      <c r="W328" t="s">
        <v>12941</v>
      </c>
      <c r="X328">
        <v>12</v>
      </c>
      <c r="Y328" t="s">
        <v>19188</v>
      </c>
      <c r="Z328" t="s">
        <v>25275</v>
      </c>
      <c r="AA328">
        <v>0.57701510044593129</v>
      </c>
      <c r="AB328" t="str">
        <f>HYPERLINK("Melting_Curves/meltCurve_E7ES35_TTC38.pdf", "Melting_Curves/meltCurve_E7ES35_TTC38.pdf")</f>
        <v>Melting_Curves/meltCurve_E7ES35_TTC38.pdf</v>
      </c>
    </row>
    <row r="329" spans="1:28" x14ac:dyDescent="0.25">
      <c r="A329" t="s">
        <v>333</v>
      </c>
      <c r="B329">
        <v>0.99987803227770999</v>
      </c>
      <c r="C329">
        <v>0.94402936454906705</v>
      </c>
      <c r="D329">
        <v>0.74909394056559098</v>
      </c>
      <c r="E329">
        <v>0.59308099873484899</v>
      </c>
      <c r="F329">
        <v>0.37749801049486997</v>
      </c>
      <c r="G329">
        <v>0.23768718899008201</v>
      </c>
      <c r="H329">
        <v>9.5751759966251099E-2</v>
      </c>
      <c r="I329">
        <v>9.5039565040274804E-2</v>
      </c>
      <c r="J329">
        <v>6.8804198422897603E-2</v>
      </c>
      <c r="K329">
        <v>4.9465880491256997E-2</v>
      </c>
      <c r="L329">
        <v>646.73027232906497</v>
      </c>
      <c r="M329">
        <v>12.705199552923601</v>
      </c>
      <c r="N329">
        <v>51.0580384555156</v>
      </c>
      <c r="O329">
        <v>49.691177184207397</v>
      </c>
      <c r="P329">
        <v>-6.2721969154069301E-2</v>
      </c>
      <c r="Q329">
        <v>1.8944424689110301E-2</v>
      </c>
      <c r="R329">
        <v>0.99495483676656205</v>
      </c>
      <c r="S329" t="s">
        <v>6640</v>
      </c>
      <c r="T329" t="s">
        <v>12620</v>
      </c>
      <c r="U329" t="s">
        <v>12620</v>
      </c>
      <c r="V329" t="s">
        <v>12620</v>
      </c>
      <c r="W329" t="s">
        <v>12942</v>
      </c>
      <c r="X329">
        <v>1</v>
      </c>
      <c r="Y329" t="s">
        <v>19189</v>
      </c>
      <c r="Z329" t="s">
        <v>25276</v>
      </c>
      <c r="AA329">
        <v>0.40507391514478441</v>
      </c>
      <c r="AB329" t="str">
        <f>HYPERLINK("Melting_Curves/meltCurve_E7ESD5_EYA4.pdf", "Melting_Curves/meltCurve_E7ESD5_EYA4.pdf")</f>
        <v>Melting_Curves/meltCurve_E7ESD5_EYA4.pdf</v>
      </c>
    </row>
    <row r="330" spans="1:28" x14ac:dyDescent="0.25">
      <c r="A330" t="s">
        <v>334</v>
      </c>
      <c r="B330">
        <v>0.99987803227770999</v>
      </c>
      <c r="C330">
        <v>0.97880050252058504</v>
      </c>
      <c r="D330">
        <v>0.96533352840568398</v>
      </c>
      <c r="E330">
        <v>1.00065709607119</v>
      </c>
      <c r="F330">
        <v>0.75301837918589398</v>
      </c>
      <c r="G330">
        <v>0.46672051521718899</v>
      </c>
      <c r="H330">
        <v>0.438499910574776</v>
      </c>
      <c r="I330">
        <v>0.42434301429641402</v>
      </c>
      <c r="J330">
        <v>0.41997778585495898</v>
      </c>
      <c r="K330">
        <v>0.32435738148376903</v>
      </c>
      <c r="L330">
        <v>2076.8231913057002</v>
      </c>
      <c r="M330">
        <v>38.7433396966169</v>
      </c>
      <c r="N330">
        <v>55.953940478703998</v>
      </c>
      <c r="O330">
        <v>53.462439819497703</v>
      </c>
      <c r="P330">
        <v>-0.108392966552865</v>
      </c>
      <c r="Q330">
        <v>0.40170997831746103</v>
      </c>
      <c r="R330">
        <v>0.98539576562125597</v>
      </c>
      <c r="S330" t="s">
        <v>6641</v>
      </c>
      <c r="T330" t="s">
        <v>12620</v>
      </c>
      <c r="U330" t="s">
        <v>12620</v>
      </c>
      <c r="V330" t="s">
        <v>12620</v>
      </c>
      <c r="W330" t="s">
        <v>12943</v>
      </c>
      <c r="X330">
        <v>19</v>
      </c>
      <c r="Y330" t="s">
        <v>19190</v>
      </c>
      <c r="Z330" t="s">
        <v>25277</v>
      </c>
      <c r="AA330">
        <v>0.67538683102893282</v>
      </c>
      <c r="AB330" t="str">
        <f>HYPERLINK("Melting_Curves/meltCurve_E7ET15_U2SURP.pdf", "Melting_Curves/meltCurve_E7ET15_U2SURP.pdf")</f>
        <v>Melting_Curves/meltCurve_E7ET15_U2SURP.pdf</v>
      </c>
    </row>
    <row r="331" spans="1:28" x14ac:dyDescent="0.25">
      <c r="A331" t="s">
        <v>335</v>
      </c>
      <c r="B331">
        <v>0.99987803227770999</v>
      </c>
      <c r="C331">
        <v>1.0320515426104999</v>
      </c>
      <c r="D331">
        <v>1.02354426343032</v>
      </c>
      <c r="E331">
        <v>1.083013875257</v>
      </c>
      <c r="F331">
        <v>0.89439943264913302</v>
      </c>
      <c r="G331">
        <v>0.95889419042951596</v>
      </c>
      <c r="H331">
        <v>0.77901702011849205</v>
      </c>
      <c r="I331">
        <v>0.69606752236838298</v>
      </c>
      <c r="J331">
        <v>0.61329019208880198</v>
      </c>
      <c r="K331">
        <v>0.45673017488496098</v>
      </c>
      <c r="L331">
        <v>833.80214399782597</v>
      </c>
      <c r="M331">
        <v>12.4102536864222</v>
      </c>
      <c r="N331">
        <v>69.168692664444507</v>
      </c>
      <c r="O331">
        <v>65.513564505106302</v>
      </c>
      <c r="P331">
        <v>-4.0279696480404803E-2</v>
      </c>
      <c r="Q331">
        <v>0.149636008918903</v>
      </c>
      <c r="R331">
        <v>0.947573110926347</v>
      </c>
      <c r="S331" t="s">
        <v>6642</v>
      </c>
      <c r="T331" t="s">
        <v>12620</v>
      </c>
      <c r="U331" t="s">
        <v>12620</v>
      </c>
      <c r="V331" t="s">
        <v>12620</v>
      </c>
      <c r="W331" t="s">
        <v>12944</v>
      </c>
      <c r="X331">
        <v>2</v>
      </c>
      <c r="Y331" t="s">
        <v>19191</v>
      </c>
      <c r="Z331" t="s">
        <v>25278</v>
      </c>
      <c r="AA331">
        <v>0.86504089325206712</v>
      </c>
      <c r="AB331" t="str">
        <f>HYPERLINK("Melting_Curves/meltCurve_E7ET33_ITIH3.pdf", "Melting_Curves/meltCurve_E7ET33_ITIH3.pdf")</f>
        <v>Melting_Curves/meltCurve_E7ET33_ITIH3.pdf</v>
      </c>
    </row>
    <row r="332" spans="1:28" x14ac:dyDescent="0.25">
      <c r="A332" t="s">
        <v>336</v>
      </c>
      <c r="B332">
        <v>0.99987803227770999</v>
      </c>
      <c r="C332">
        <v>0.78705460490601697</v>
      </c>
      <c r="D332">
        <v>0.80386936053119196</v>
      </c>
      <c r="E332">
        <v>0.52046846318085604</v>
      </c>
      <c r="F332">
        <v>0.35721961284682002</v>
      </c>
      <c r="G332">
        <v>0.20721360698715399</v>
      </c>
      <c r="H332">
        <v>0.14339592436743001</v>
      </c>
      <c r="I332">
        <v>0.10983102514531699</v>
      </c>
      <c r="J332">
        <v>7.7857717449098598E-2</v>
      </c>
      <c r="K332">
        <v>6.3107066655276906E-2</v>
      </c>
      <c r="L332">
        <v>585.44317607632399</v>
      </c>
      <c r="M332">
        <v>11.6845175918936</v>
      </c>
      <c r="N332">
        <v>50.3758470136871</v>
      </c>
      <c r="O332">
        <v>48.704115403704201</v>
      </c>
      <c r="P332">
        <v>-5.8161270023311298E-2</v>
      </c>
      <c r="Q332">
        <v>3.0534003239363599E-2</v>
      </c>
      <c r="R332">
        <v>0.986653014401072</v>
      </c>
      <c r="S332" t="s">
        <v>6643</v>
      </c>
      <c r="T332" t="s">
        <v>12620</v>
      </c>
      <c r="U332" t="s">
        <v>12620</v>
      </c>
      <c r="V332" t="s">
        <v>12620</v>
      </c>
      <c r="W332" t="s">
        <v>12945</v>
      </c>
      <c r="X332">
        <v>2</v>
      </c>
      <c r="Y332" t="s">
        <v>19192</v>
      </c>
      <c r="Z332" t="s">
        <v>25279</v>
      </c>
      <c r="AA332">
        <v>0.39180188503399649</v>
      </c>
      <c r="AB332" t="str">
        <f>HYPERLINK("Melting_Curves/meltCurve_E7ET89_DTX2.pdf", "Melting_Curves/meltCurve_E7ET89_DTX2.pdf")</f>
        <v>Melting_Curves/meltCurve_E7ET89_DTX2.pdf</v>
      </c>
    </row>
    <row r="333" spans="1:28" x14ac:dyDescent="0.25">
      <c r="A333" t="s">
        <v>337</v>
      </c>
      <c r="B333">
        <v>0.99987803227770999</v>
      </c>
      <c r="C333">
        <v>0.99921840720705102</v>
      </c>
      <c r="D333">
        <v>0.90393704942847797</v>
      </c>
      <c r="E333">
        <v>0.896898519446236</v>
      </c>
      <c r="F333">
        <v>0.78059526849729099</v>
      </c>
      <c r="G333">
        <v>0.64095709253838395</v>
      </c>
      <c r="H333">
        <v>0.61136671229902295</v>
      </c>
      <c r="I333">
        <v>0.55210995751373804</v>
      </c>
      <c r="J333">
        <v>0.52042026756095405</v>
      </c>
      <c r="K333">
        <v>0.43416980016311502</v>
      </c>
      <c r="L333">
        <v>533.05836444456804</v>
      </c>
      <c r="M333">
        <v>9.3944334414577106</v>
      </c>
      <c r="N333">
        <v>66.675733880720401</v>
      </c>
      <c r="O333">
        <v>54.349015311268602</v>
      </c>
      <c r="P333">
        <v>-2.6953401784697201E-2</v>
      </c>
      <c r="Q333">
        <v>0.37665753857888001</v>
      </c>
      <c r="R333">
        <v>0.98140031643854297</v>
      </c>
      <c r="S333" t="s">
        <v>6644</v>
      </c>
      <c r="T333" t="s">
        <v>12620</v>
      </c>
      <c r="U333" t="s">
        <v>12620</v>
      </c>
      <c r="V333" t="s">
        <v>12620</v>
      </c>
      <c r="W333" t="s">
        <v>12946</v>
      </c>
      <c r="X333">
        <v>10</v>
      </c>
      <c r="Y333" t="s">
        <v>19193</v>
      </c>
      <c r="Z333" t="s">
        <v>25280</v>
      </c>
      <c r="AA333">
        <v>0.73487876649047013</v>
      </c>
      <c r="AB333" t="str">
        <f>HYPERLINK("Melting_Curves/meltCurve_E7ET96_TNIP1.pdf", "Melting_Curves/meltCurve_E7ET96_TNIP1.pdf")</f>
        <v>Melting_Curves/meltCurve_E7ET96_TNIP1.pdf</v>
      </c>
    </row>
    <row r="334" spans="1:28" x14ac:dyDescent="0.25">
      <c r="A334" t="s">
        <v>338</v>
      </c>
      <c r="B334">
        <v>0.99987803227770999</v>
      </c>
      <c r="C334">
        <v>0.91971972149250103</v>
      </c>
      <c r="D334">
        <v>0.84464307323792898</v>
      </c>
      <c r="E334">
        <v>0.61711991355076101</v>
      </c>
      <c r="F334">
        <v>0.50299737165396696</v>
      </c>
      <c r="G334">
        <v>0.33335261429368501</v>
      </c>
      <c r="H334">
        <v>0.211424174672143</v>
      </c>
      <c r="I334">
        <v>0.194750229045413</v>
      </c>
      <c r="J334">
        <v>0.110677629406309</v>
      </c>
      <c r="K334">
        <v>9.2631485598863195E-2</v>
      </c>
      <c r="L334">
        <v>571.413153498268</v>
      </c>
      <c r="M334">
        <v>10.894286375033801</v>
      </c>
      <c r="N334">
        <v>52.911160147908198</v>
      </c>
      <c r="O334">
        <v>50.776269960431399</v>
      </c>
      <c r="P334">
        <v>-5.1230714195257002E-2</v>
      </c>
      <c r="Q334">
        <v>4.5226275913385301E-2</v>
      </c>
      <c r="R334">
        <v>0.99662965615200605</v>
      </c>
      <c r="S334" t="s">
        <v>6645</v>
      </c>
      <c r="T334" t="s">
        <v>12620</v>
      </c>
      <c r="U334" t="s">
        <v>12620</v>
      </c>
      <c r="V334" t="s">
        <v>12620</v>
      </c>
      <c r="W334" t="s">
        <v>12947</v>
      </c>
      <c r="X334">
        <v>1</v>
      </c>
      <c r="Y334" t="s">
        <v>19194</v>
      </c>
      <c r="Z334" t="s">
        <v>25281</v>
      </c>
      <c r="AA334">
        <v>0.47314880206044829</v>
      </c>
      <c r="AB334" t="str">
        <f>HYPERLINK("Melting_Curves/meltCurve_E7ETR5_ACSM3.pdf", "Melting_Curves/meltCurve_E7ETR5_ACSM3.pdf")</f>
        <v>Melting_Curves/meltCurve_E7ETR5_ACSM3.pdf</v>
      </c>
    </row>
    <row r="335" spans="1:28" x14ac:dyDescent="0.25">
      <c r="A335" t="s">
        <v>339</v>
      </c>
      <c r="B335">
        <v>0.99987803227770999</v>
      </c>
      <c r="C335">
        <v>1.0028033719956699</v>
      </c>
      <c r="D335">
        <v>1.02875381689548</v>
      </c>
      <c r="E335">
        <v>1.00759720340813</v>
      </c>
      <c r="F335">
        <v>0.92725271966511202</v>
      </c>
      <c r="G335">
        <v>0.72036933134980696</v>
      </c>
      <c r="H335">
        <v>0.56838506703289504</v>
      </c>
      <c r="I335">
        <v>0.53255698285938502</v>
      </c>
      <c r="J335">
        <v>0.46442242534099398</v>
      </c>
      <c r="K335">
        <v>0.37671411314506897</v>
      </c>
      <c r="L335">
        <v>1064.7265519815201</v>
      </c>
      <c r="M335">
        <v>18.306612314782502</v>
      </c>
      <c r="N335">
        <v>63.537508796162101</v>
      </c>
      <c r="O335">
        <v>57.480080702853897</v>
      </c>
      <c r="P335">
        <v>-4.8269848741765702E-2</v>
      </c>
      <c r="Q335">
        <v>0.39378697065241602</v>
      </c>
      <c r="R335">
        <v>0.98683832926991399</v>
      </c>
      <c r="S335" t="s">
        <v>6646</v>
      </c>
      <c r="T335" t="s">
        <v>12620</v>
      </c>
      <c r="U335" t="s">
        <v>12620</v>
      </c>
      <c r="V335" t="s">
        <v>12620</v>
      </c>
      <c r="W335" t="s">
        <v>12948</v>
      </c>
      <c r="X335">
        <v>2</v>
      </c>
      <c r="Y335" t="s">
        <v>19195</v>
      </c>
      <c r="Z335" t="s">
        <v>25282</v>
      </c>
      <c r="AA335">
        <v>0.76802437322946249</v>
      </c>
      <c r="AB335" t="str">
        <f>HYPERLINK("Melting_Curves/meltCurve_E7ETU5_RBMS1.pdf", "Melting_Curves/meltCurve_E7ETU5_RBMS1.pdf")</f>
        <v>Melting_Curves/meltCurve_E7ETU5_RBMS1.pdf</v>
      </c>
    </row>
    <row r="336" spans="1:28" x14ac:dyDescent="0.25">
      <c r="A336" t="s">
        <v>340</v>
      </c>
      <c r="B336">
        <v>0.99987803227770999</v>
      </c>
      <c r="C336">
        <v>1.13736160037556</v>
      </c>
      <c r="D336">
        <v>0.83697764992218004</v>
      </c>
      <c r="E336">
        <v>0.67039300324596995</v>
      </c>
      <c r="F336">
        <v>0.34626384124343401</v>
      </c>
      <c r="G336">
        <v>0.22414957150303999</v>
      </c>
      <c r="H336">
        <v>0.13665146132891401</v>
      </c>
      <c r="I336">
        <v>0.10852200932594901</v>
      </c>
      <c r="J336">
        <v>8.5026376476563997E-2</v>
      </c>
      <c r="K336">
        <v>5.5293977973222899E-2</v>
      </c>
      <c r="L336">
        <v>1004.26519021095</v>
      </c>
      <c r="M336">
        <v>19.652980351246999</v>
      </c>
      <c r="N336">
        <v>51.575598232966101</v>
      </c>
      <c r="O336">
        <v>50.579645217342303</v>
      </c>
      <c r="P336">
        <v>-8.9089637433274499E-2</v>
      </c>
      <c r="Q336">
        <v>8.2894299189905402E-2</v>
      </c>
      <c r="R336">
        <v>0.97709826120436305</v>
      </c>
      <c r="S336" t="s">
        <v>6647</v>
      </c>
      <c r="T336" t="s">
        <v>12620</v>
      </c>
      <c r="U336" t="s">
        <v>12620</v>
      </c>
      <c r="V336" t="s">
        <v>12620</v>
      </c>
      <c r="W336" t="s">
        <v>12949</v>
      </c>
      <c r="X336">
        <v>24</v>
      </c>
      <c r="Y336" t="s">
        <v>19196</v>
      </c>
      <c r="Z336" t="s">
        <v>25283</v>
      </c>
      <c r="AA336">
        <v>0.43536871556136147</v>
      </c>
      <c r="AB336" t="str">
        <f>HYPERLINK("Melting_Curves/meltCurve_E7ETU9_PLOD2.pdf", "Melting_Curves/meltCurve_E7ETU9_PLOD2.pdf")</f>
        <v>Melting_Curves/meltCurve_E7ETU9_PLOD2.pdf</v>
      </c>
    </row>
    <row r="337" spans="1:28" x14ac:dyDescent="0.25">
      <c r="A337" t="s">
        <v>341</v>
      </c>
      <c r="B337">
        <v>0.99987803227770999</v>
      </c>
      <c r="C337">
        <v>0.92000839245465404</v>
      </c>
      <c r="D337">
        <v>1.00148530525374</v>
      </c>
      <c r="E337">
        <v>0.88119714853764097</v>
      </c>
      <c r="F337">
        <v>0.52676293860804702</v>
      </c>
      <c r="G337">
        <v>0.164073689132018</v>
      </c>
      <c r="H337">
        <v>0.105401364828848</v>
      </c>
      <c r="I337">
        <v>8.6226769523110605E-2</v>
      </c>
      <c r="J337">
        <v>6.3486109020754994E-2</v>
      </c>
      <c r="K337">
        <v>4.4406676231920898E-2</v>
      </c>
      <c r="L337">
        <v>1642.19980916021</v>
      </c>
      <c r="M337">
        <v>30.994320347801199</v>
      </c>
      <c r="N337">
        <v>53.239149708357701</v>
      </c>
      <c r="O337">
        <v>52.764809337723698</v>
      </c>
      <c r="P337">
        <v>-0.136712888238257</v>
      </c>
      <c r="Q337">
        <v>6.9044089052586105E-2</v>
      </c>
      <c r="R337">
        <v>0.99531876316540402</v>
      </c>
      <c r="S337" t="s">
        <v>6648</v>
      </c>
      <c r="T337" t="s">
        <v>12620</v>
      </c>
      <c r="U337" t="s">
        <v>12620</v>
      </c>
      <c r="V337" t="s">
        <v>12620</v>
      </c>
      <c r="W337" t="s">
        <v>12950</v>
      </c>
      <c r="X337">
        <v>24</v>
      </c>
      <c r="Y337" t="s">
        <v>19197</v>
      </c>
      <c r="Z337" t="s">
        <v>25284</v>
      </c>
      <c r="AA337">
        <v>0.47761997000531559</v>
      </c>
      <c r="AB337" t="str">
        <f>HYPERLINK("Melting_Curves/meltCurve_E7ETZ4_BZW2.pdf", "Melting_Curves/meltCurve_E7ETZ4_BZW2.pdf")</f>
        <v>Melting_Curves/meltCurve_E7ETZ4_BZW2.pdf</v>
      </c>
    </row>
    <row r="338" spans="1:28" x14ac:dyDescent="0.25">
      <c r="A338" t="s">
        <v>342</v>
      </c>
      <c r="B338">
        <v>0.99987803227770999</v>
      </c>
      <c r="C338">
        <v>1.0362226598042199</v>
      </c>
      <c r="D338">
        <v>1.23383870905588</v>
      </c>
      <c r="E338">
        <v>0.90209609390521805</v>
      </c>
      <c r="F338">
        <v>0.69658512626982205</v>
      </c>
      <c r="G338">
        <v>0.28892219436813399</v>
      </c>
      <c r="H338">
        <v>9.3534242351105704E-2</v>
      </c>
      <c r="I338">
        <v>0.22547287608823199</v>
      </c>
      <c r="J338">
        <v>6.1825962294042497E-2</v>
      </c>
      <c r="K338">
        <v>3.1461010637129597E-2</v>
      </c>
      <c r="L338">
        <v>1527.8359684546399</v>
      </c>
      <c r="M338">
        <v>28.117629165620599</v>
      </c>
      <c r="N338">
        <v>54.719701375472603</v>
      </c>
      <c r="O338">
        <v>54.0646766386458</v>
      </c>
      <c r="P338">
        <v>-0.118422018520463</v>
      </c>
      <c r="Q338">
        <v>8.9198577746855204E-2</v>
      </c>
      <c r="R338">
        <v>0.95856992652509498</v>
      </c>
      <c r="S338" t="s">
        <v>6649</v>
      </c>
      <c r="T338" t="s">
        <v>12620</v>
      </c>
      <c r="U338" t="s">
        <v>12620</v>
      </c>
      <c r="V338" t="s">
        <v>12620</v>
      </c>
      <c r="W338" t="s">
        <v>12951</v>
      </c>
      <c r="X338">
        <v>2</v>
      </c>
      <c r="Y338" t="s">
        <v>19198</v>
      </c>
      <c r="Z338" t="s">
        <v>25285</v>
      </c>
      <c r="AA338">
        <v>0.53127114830979771</v>
      </c>
      <c r="AB338" t="str">
        <f>HYPERLINK("Melting_Curves/meltCurve_E7EU35_PITPNC1.pdf", "Melting_Curves/meltCurve_E7EU35_PITPNC1.pdf")</f>
        <v>Melting_Curves/meltCurve_E7EU35_PITPNC1.pdf</v>
      </c>
    </row>
    <row r="339" spans="1:28" x14ac:dyDescent="0.25">
      <c r="A339" t="s">
        <v>343</v>
      </c>
      <c r="B339">
        <v>0.99987803227770999</v>
      </c>
      <c r="C339">
        <v>1.0373286936245201</v>
      </c>
      <c r="D339">
        <v>0.91182275288375503</v>
      </c>
      <c r="E339">
        <v>1.13874391071079</v>
      </c>
      <c r="F339">
        <v>0.88910930680665401</v>
      </c>
      <c r="G339">
        <v>0.52682499998753296</v>
      </c>
      <c r="H339">
        <v>0.21300790551816201</v>
      </c>
      <c r="I339">
        <v>0.16509838860449799</v>
      </c>
      <c r="J339">
        <v>0.11748897634302501</v>
      </c>
      <c r="K339">
        <v>8.6038869871402898E-2</v>
      </c>
      <c r="L339">
        <v>1771.97137065627</v>
      </c>
      <c r="M339">
        <v>31.195788761171901</v>
      </c>
      <c r="N339">
        <v>57.267471593386503</v>
      </c>
      <c r="O339">
        <v>56.569740127655898</v>
      </c>
      <c r="P339">
        <v>-0.12241540764780499</v>
      </c>
      <c r="Q339">
        <v>0.11206360453441599</v>
      </c>
      <c r="R339">
        <v>0.97940028992281203</v>
      </c>
      <c r="S339" t="s">
        <v>6650</v>
      </c>
      <c r="T339" t="s">
        <v>12620</v>
      </c>
      <c r="U339" t="s">
        <v>12620</v>
      </c>
      <c r="V339" t="s">
        <v>12620</v>
      </c>
      <c r="W339" t="s">
        <v>12952</v>
      </c>
      <c r="X339">
        <v>16</v>
      </c>
      <c r="Y339" t="s">
        <v>19199</v>
      </c>
      <c r="Z339" t="s">
        <v>25286</v>
      </c>
      <c r="AA339">
        <v>0.61487428470780714</v>
      </c>
      <c r="AB339" t="str">
        <f>HYPERLINK("Melting_Curves/meltCurve_E7EU96_CSNK2A1.pdf", "Melting_Curves/meltCurve_E7EU96_CSNK2A1.pdf")</f>
        <v>Melting_Curves/meltCurve_E7EU96_CSNK2A1.pdf</v>
      </c>
    </row>
    <row r="340" spans="1:28" x14ac:dyDescent="0.25">
      <c r="A340" t="s">
        <v>344</v>
      </c>
      <c r="B340">
        <v>0.99987803227770999</v>
      </c>
      <c r="C340">
        <v>0.90872345369178498</v>
      </c>
      <c r="D340">
        <v>1.0715832511763099</v>
      </c>
      <c r="E340">
        <v>0.84199092365419603</v>
      </c>
      <c r="F340">
        <v>0.94039401773779197</v>
      </c>
      <c r="G340">
        <v>0.88452500525752298</v>
      </c>
      <c r="H340">
        <v>0.90527011071663999</v>
      </c>
      <c r="I340">
        <v>0.77747054735058796</v>
      </c>
      <c r="J340">
        <v>0.72741666395461302</v>
      </c>
      <c r="K340">
        <v>0.63817063077480396</v>
      </c>
      <c r="L340">
        <v>434.03750868509002</v>
      </c>
      <c r="M340">
        <v>5.5111669333865398</v>
      </c>
      <c r="Q340">
        <v>0</v>
      </c>
      <c r="R340">
        <v>0.76551534251221298</v>
      </c>
      <c r="S340" t="s">
        <v>6651</v>
      </c>
      <c r="T340" t="s">
        <v>12620</v>
      </c>
      <c r="U340" t="s">
        <v>12620</v>
      </c>
      <c r="V340" t="s">
        <v>12620</v>
      </c>
      <c r="W340" t="s">
        <v>12953</v>
      </c>
      <c r="X340">
        <v>10</v>
      </c>
      <c r="Y340" t="s">
        <v>19200</v>
      </c>
      <c r="Z340" t="s">
        <v>25287</v>
      </c>
      <c r="AA340">
        <v>0.88473727406649416</v>
      </c>
      <c r="AB340" t="str">
        <f>HYPERLINK("Melting_Curves/meltCurve_E7EUC6_NAV3.pdf", "Melting_Curves/meltCurve_E7EUC6_NAV3.pdf")</f>
        <v>Melting_Curves/meltCurve_E7EUC6_NAV3.pdf</v>
      </c>
    </row>
    <row r="341" spans="1:28" x14ac:dyDescent="0.25">
      <c r="A341" t="s">
        <v>345</v>
      </c>
      <c r="B341">
        <v>0.99987803227770999</v>
      </c>
      <c r="C341">
        <v>0.979681158396978</v>
      </c>
      <c r="D341">
        <v>1.2319555305590999</v>
      </c>
      <c r="E341">
        <v>0.83097109170425398</v>
      </c>
      <c r="F341">
        <v>0.66775373155691298</v>
      </c>
      <c r="G341">
        <v>0.424701275555248</v>
      </c>
      <c r="H341">
        <v>0.29794993787153301</v>
      </c>
      <c r="I341">
        <v>0.28802626128867398</v>
      </c>
      <c r="J341">
        <v>0.205114159919627</v>
      </c>
      <c r="K341">
        <v>0.18496522137761301</v>
      </c>
      <c r="L341">
        <v>1155.4751542640399</v>
      </c>
      <c r="M341">
        <v>21.400590651185901</v>
      </c>
      <c r="N341">
        <v>55.473874876041897</v>
      </c>
      <c r="O341">
        <v>53.527867538762202</v>
      </c>
      <c r="P341">
        <v>-7.8199710183326498E-2</v>
      </c>
      <c r="Q341">
        <v>0.21763675000035199</v>
      </c>
      <c r="R341">
        <v>0.94616266112985703</v>
      </c>
      <c r="S341" t="s">
        <v>6652</v>
      </c>
      <c r="T341" t="s">
        <v>12620</v>
      </c>
      <c r="U341" t="s">
        <v>12620</v>
      </c>
      <c r="V341" t="s">
        <v>12620</v>
      </c>
      <c r="W341" t="s">
        <v>12954</v>
      </c>
      <c r="X341">
        <v>29</v>
      </c>
      <c r="Y341" t="s">
        <v>19201</v>
      </c>
      <c r="Z341" t="s">
        <v>25288</v>
      </c>
      <c r="AA341">
        <v>0.59206076135777697</v>
      </c>
      <c r="AB341" t="str">
        <f>HYPERLINK("Melting_Curves/meltCurve_E7EUI8_G6PD.pdf", "Melting_Curves/meltCurve_E7EUI8_G6PD.pdf")</f>
        <v>Melting_Curves/meltCurve_E7EUI8_G6PD.pdf</v>
      </c>
    </row>
    <row r="342" spans="1:28" x14ac:dyDescent="0.25">
      <c r="A342" t="s">
        <v>346</v>
      </c>
      <c r="B342">
        <v>0.99987803227770999</v>
      </c>
      <c r="C342">
        <v>1.06298223331626</v>
      </c>
      <c r="D342">
        <v>0.97775038855361196</v>
      </c>
      <c r="E342">
        <v>0.56502337249619405</v>
      </c>
      <c r="F342">
        <v>0.34410771971311599</v>
      </c>
      <c r="G342">
        <v>0.21238555406821</v>
      </c>
      <c r="H342">
        <v>0.14145600853241599</v>
      </c>
      <c r="I342">
        <v>0.12725611251097799</v>
      </c>
      <c r="J342">
        <v>9.1417106311819707E-2</v>
      </c>
      <c r="K342">
        <v>6.8985849518384906E-2</v>
      </c>
      <c r="L342">
        <v>1225.4492677396099</v>
      </c>
      <c r="M342">
        <v>24.2654677738816</v>
      </c>
      <c r="N342">
        <v>51.0382078245106</v>
      </c>
      <c r="O342">
        <v>50.1625373691314</v>
      </c>
      <c r="P342">
        <v>-0.10732413103310399</v>
      </c>
      <c r="Q342">
        <v>0.11255463363222901</v>
      </c>
      <c r="R342">
        <v>0.98948913673160799</v>
      </c>
      <c r="S342" t="s">
        <v>6653</v>
      </c>
      <c r="T342" t="s">
        <v>12620</v>
      </c>
      <c r="U342" t="s">
        <v>12620</v>
      </c>
      <c r="V342" t="s">
        <v>12620</v>
      </c>
      <c r="W342" t="s">
        <v>12955</v>
      </c>
      <c r="X342">
        <v>10</v>
      </c>
      <c r="Y342" t="s">
        <v>19202</v>
      </c>
      <c r="Z342" t="s">
        <v>25289</v>
      </c>
      <c r="AA342">
        <v>0.4316731883335086</v>
      </c>
      <c r="AB342" t="str">
        <f>HYPERLINK("Melting_Curves/meltCurve_E7EUM5_NUP54.pdf", "Melting_Curves/meltCurve_E7EUM5_NUP54.pdf")</f>
        <v>Melting_Curves/meltCurve_E7EUM5_NUP54.pdf</v>
      </c>
    </row>
    <row r="343" spans="1:28" x14ac:dyDescent="0.25">
      <c r="A343" t="s">
        <v>347</v>
      </c>
      <c r="B343">
        <v>0.99987803227770999</v>
      </c>
      <c r="C343">
        <v>0.92797004760913704</v>
      </c>
      <c r="D343">
        <v>0.84526577043395201</v>
      </c>
      <c r="E343">
        <v>0.67623096622323797</v>
      </c>
      <c r="F343">
        <v>0.47085238580289301</v>
      </c>
      <c r="G343">
        <v>0.33998814758898099</v>
      </c>
      <c r="H343">
        <v>0.29309810280166998</v>
      </c>
      <c r="I343">
        <v>0.27423932874165302</v>
      </c>
      <c r="J343">
        <v>0.23575336615954201</v>
      </c>
      <c r="K343">
        <v>0.18886491486797599</v>
      </c>
      <c r="L343">
        <v>698.54136923897204</v>
      </c>
      <c r="M343">
        <v>13.722267269762201</v>
      </c>
      <c r="N343">
        <v>52.898857768688202</v>
      </c>
      <c r="O343">
        <v>49.8611069578524</v>
      </c>
      <c r="P343">
        <v>-5.4921830881118697E-2</v>
      </c>
      <c r="Q343">
        <v>0.20186044001504899</v>
      </c>
      <c r="R343">
        <v>0.99536865439731803</v>
      </c>
      <c r="S343" t="s">
        <v>6654</v>
      </c>
      <c r="T343" t="s">
        <v>12620</v>
      </c>
      <c r="U343" t="s">
        <v>12620</v>
      </c>
      <c r="V343" t="s">
        <v>12620</v>
      </c>
      <c r="W343" t="s">
        <v>12956</v>
      </c>
      <c r="X343">
        <v>57</v>
      </c>
      <c r="Y343" t="s">
        <v>19203</v>
      </c>
      <c r="Z343" t="s">
        <v>25290</v>
      </c>
      <c r="AA343">
        <v>0.51337433402295285</v>
      </c>
      <c r="AB343" t="str">
        <f>HYPERLINK("Melting_Curves/meltCurve_E7EUU4_EIF4G1.pdf", "Melting_Curves/meltCurve_E7EUU4_EIF4G1.pdf")</f>
        <v>Melting_Curves/meltCurve_E7EUU4_EIF4G1.pdf</v>
      </c>
    </row>
    <row r="344" spans="1:28" x14ac:dyDescent="0.25">
      <c r="A344" t="s">
        <v>348</v>
      </c>
      <c r="B344">
        <v>0.99987803227770999</v>
      </c>
      <c r="C344">
        <v>0.88312588153415095</v>
      </c>
      <c r="D344">
        <v>0.81310545209858398</v>
      </c>
      <c r="E344">
        <v>1.4861483635544399</v>
      </c>
      <c r="F344">
        <v>1.2662579993452701</v>
      </c>
      <c r="G344">
        <v>0.98549447194963502</v>
      </c>
      <c r="H344">
        <v>0.37106619481472197</v>
      </c>
      <c r="I344">
        <v>0.26433752941970501</v>
      </c>
      <c r="J344">
        <v>0.111531056290039</v>
      </c>
      <c r="K344">
        <v>7.2109404105101998E-2</v>
      </c>
      <c r="L344">
        <v>3196.5874947634502</v>
      </c>
      <c r="M344">
        <v>53.225717300319999</v>
      </c>
      <c r="N344">
        <v>60.402399274834899</v>
      </c>
      <c r="O344">
        <v>59.972614635346503</v>
      </c>
      <c r="P344">
        <v>-0.19277900814344501</v>
      </c>
      <c r="Q344">
        <v>0.131137998193087</v>
      </c>
      <c r="R344">
        <v>0.82986771375657797</v>
      </c>
      <c r="S344" t="s">
        <v>6655</v>
      </c>
      <c r="T344" t="s">
        <v>12620</v>
      </c>
      <c r="U344" t="s">
        <v>12620</v>
      </c>
      <c r="V344" t="s">
        <v>12620</v>
      </c>
      <c r="W344" t="s">
        <v>12957</v>
      </c>
      <c r="X344">
        <v>5</v>
      </c>
      <c r="Y344" t="s">
        <v>19204</v>
      </c>
      <c r="Z344" t="s">
        <v>25291</v>
      </c>
      <c r="AA344">
        <v>0.71404159707918047</v>
      </c>
      <c r="AB344" t="str">
        <f>HYPERLINK("Melting_Curves/meltCurve_E7EUY3_PCCB.pdf", "Melting_Curves/meltCurve_E7EUY3_PCCB.pdf")</f>
        <v>Melting_Curves/meltCurve_E7EUY3_PCCB.pdf</v>
      </c>
    </row>
    <row r="345" spans="1:28" x14ac:dyDescent="0.25">
      <c r="A345" t="s">
        <v>349</v>
      </c>
      <c r="B345">
        <v>0.99987803227770999</v>
      </c>
      <c r="C345">
        <v>0.90545101279704099</v>
      </c>
      <c r="D345">
        <v>1.13490537311564</v>
      </c>
      <c r="E345">
        <v>0.99205142030013305</v>
      </c>
      <c r="F345">
        <v>1.1350911695758099</v>
      </c>
      <c r="G345">
        <v>0.75976928322505</v>
      </c>
      <c r="H345">
        <v>0.62158727286278403</v>
      </c>
      <c r="I345">
        <v>0.59897959404488799</v>
      </c>
      <c r="J345">
        <v>0.53451975969473198</v>
      </c>
      <c r="K345">
        <v>0.45117446468344402</v>
      </c>
      <c r="L345">
        <v>6164.2945281496104</v>
      </c>
      <c r="M345">
        <v>108.284529129486</v>
      </c>
      <c r="O345">
        <v>56.9074183717374</v>
      </c>
      <c r="P345">
        <v>-0.21338686552883801</v>
      </c>
      <c r="Q345">
        <v>0.55143010798741598</v>
      </c>
      <c r="R345">
        <v>0.89080530214280695</v>
      </c>
      <c r="S345" t="s">
        <v>6656</v>
      </c>
      <c r="T345" t="s">
        <v>12620</v>
      </c>
      <c r="U345" t="s">
        <v>12620</v>
      </c>
      <c r="V345" t="s">
        <v>12620</v>
      </c>
      <c r="W345" t="s">
        <v>12958</v>
      </c>
      <c r="X345">
        <v>8</v>
      </c>
      <c r="Y345" t="s">
        <v>19205</v>
      </c>
      <c r="Z345" t="s">
        <v>25292</v>
      </c>
      <c r="AA345">
        <v>0.80476469151399288</v>
      </c>
      <c r="AB345" t="str">
        <f>HYPERLINK("Melting_Curves/meltCurve_E7EV62_ARFGAP1.pdf", "Melting_Curves/meltCurve_E7EV62_ARFGAP1.pdf")</f>
        <v>Melting_Curves/meltCurve_E7EV62_ARFGAP1.pdf</v>
      </c>
    </row>
    <row r="346" spans="1:28" x14ac:dyDescent="0.25">
      <c r="A346" t="s">
        <v>350</v>
      </c>
      <c r="B346">
        <v>0.99987803227770999</v>
      </c>
      <c r="C346">
        <v>0.87838873709056198</v>
      </c>
      <c r="D346">
        <v>1.0197357061212</v>
      </c>
      <c r="E346">
        <v>0.91081115317702799</v>
      </c>
      <c r="F346">
        <v>1.0746553276425199</v>
      </c>
      <c r="G346">
        <v>0.99312334349350195</v>
      </c>
      <c r="H346">
        <v>1.07301315416784</v>
      </c>
      <c r="I346">
        <v>1.01111520387714</v>
      </c>
      <c r="J346">
        <v>1.05973328043987</v>
      </c>
      <c r="K346">
        <v>0.85864493547610798</v>
      </c>
      <c r="L346">
        <v>15000</v>
      </c>
      <c r="M346">
        <v>212.481588258415</v>
      </c>
      <c r="Q346">
        <v>0</v>
      </c>
      <c r="R346">
        <v>0.32894211690542902</v>
      </c>
      <c r="S346" t="s">
        <v>6657</v>
      </c>
      <c r="T346" t="s">
        <v>12620</v>
      </c>
      <c r="U346" t="s">
        <v>12620</v>
      </c>
      <c r="V346" t="s">
        <v>12620</v>
      </c>
      <c r="W346" t="s">
        <v>12959</v>
      </c>
      <c r="X346">
        <v>115</v>
      </c>
      <c r="Y346" t="s">
        <v>19206</v>
      </c>
      <c r="Z346" t="s">
        <v>25293</v>
      </c>
      <c r="AA346">
        <v>0.99835646792175969</v>
      </c>
      <c r="AB346" t="str">
        <f>HYPERLINK("Melting_Curves/meltCurve_E7EVA0_MAP4.pdf", "Melting_Curves/meltCurve_E7EVA0_MAP4.pdf")</f>
        <v>Melting_Curves/meltCurve_E7EVA0_MAP4.pdf</v>
      </c>
    </row>
    <row r="347" spans="1:28" x14ac:dyDescent="0.25">
      <c r="A347" t="s">
        <v>351</v>
      </c>
      <c r="B347">
        <v>0.99987803227770999</v>
      </c>
      <c r="C347">
        <v>0.61264000635781302</v>
      </c>
      <c r="D347">
        <v>0.82010154544974301</v>
      </c>
      <c r="E347">
        <v>0.57025149425987898</v>
      </c>
      <c r="F347">
        <v>1.11305343331468</v>
      </c>
      <c r="G347">
        <v>0.63680749816987003</v>
      </c>
      <c r="H347">
        <v>0.97018407002777596</v>
      </c>
      <c r="I347">
        <v>0.89647169604437504</v>
      </c>
      <c r="J347">
        <v>0.61680440276983095</v>
      </c>
      <c r="K347">
        <v>0.788697980178798</v>
      </c>
      <c r="L347">
        <v>10232.1814764521</v>
      </c>
      <c r="M347">
        <v>250</v>
      </c>
      <c r="O347">
        <v>40.926085511458197</v>
      </c>
      <c r="P347">
        <v>-0.33512071073271699</v>
      </c>
      <c r="Q347">
        <v>0.78055702368857505</v>
      </c>
      <c r="R347">
        <v>0.13329454766183299</v>
      </c>
      <c r="S347" t="s">
        <v>6658</v>
      </c>
      <c r="T347" t="s">
        <v>12620</v>
      </c>
      <c r="U347" t="s">
        <v>12620</v>
      </c>
      <c r="V347" t="s">
        <v>12620</v>
      </c>
      <c r="W347" t="s">
        <v>12960</v>
      </c>
      <c r="X347">
        <v>3</v>
      </c>
      <c r="Y347" t="s">
        <v>19207</v>
      </c>
      <c r="Z347" t="s">
        <v>25294</v>
      </c>
      <c r="AA347">
        <v>0.78736961413692785</v>
      </c>
      <c r="AB347" t="str">
        <f>HYPERLINK("Melting_Curves/meltCurve_E7EVG6_PPRC1.pdf", "Melting_Curves/meltCurve_E7EVG6_PPRC1.pdf")</f>
        <v>Melting_Curves/meltCurve_E7EVG6_PPRC1.pdf</v>
      </c>
    </row>
    <row r="348" spans="1:28" x14ac:dyDescent="0.25">
      <c r="A348" t="s">
        <v>352</v>
      </c>
      <c r="B348">
        <v>0.99987803227770999</v>
      </c>
      <c r="C348">
        <v>0.82662982653689798</v>
      </c>
      <c r="D348">
        <v>1.0398451930180499</v>
      </c>
      <c r="E348">
        <v>0.84932853663610697</v>
      </c>
      <c r="F348">
        <v>1.1468874116565599</v>
      </c>
      <c r="G348">
        <v>0.59887184209117506</v>
      </c>
      <c r="H348">
        <v>0.14145174319797801</v>
      </c>
      <c r="I348">
        <v>0.10984796866598601</v>
      </c>
      <c r="J348">
        <v>7.9381695779162098E-2</v>
      </c>
      <c r="K348">
        <v>6.3263837303299694E-2</v>
      </c>
      <c r="L348">
        <v>5469.8007970791796</v>
      </c>
      <c r="M348">
        <v>95.735819097595297</v>
      </c>
      <c r="N348">
        <v>57.264631873922298</v>
      </c>
      <c r="O348">
        <v>57.109402414304697</v>
      </c>
      <c r="P348">
        <v>-0.37807216568667401</v>
      </c>
      <c r="Q348">
        <v>9.7872705111982206E-2</v>
      </c>
      <c r="R348">
        <v>0.95518637175620702</v>
      </c>
      <c r="S348" t="s">
        <v>6659</v>
      </c>
      <c r="T348" t="s">
        <v>12620</v>
      </c>
      <c r="U348" t="s">
        <v>12620</v>
      </c>
      <c r="V348" t="s">
        <v>12620</v>
      </c>
      <c r="W348" t="s">
        <v>12961</v>
      </c>
      <c r="X348">
        <v>4</v>
      </c>
      <c r="Y348" t="s">
        <v>19208</v>
      </c>
      <c r="Z348" t="s">
        <v>25295</v>
      </c>
      <c r="AA348">
        <v>0.61373488823366307</v>
      </c>
      <c r="AB348" t="str">
        <f>HYPERLINK("Melting_Curves/meltCurve_E7EVH9_HDHD1.pdf", "Melting_Curves/meltCurve_E7EVH9_HDHD1.pdf")</f>
        <v>Melting_Curves/meltCurve_E7EVH9_HDHD1.pdf</v>
      </c>
    </row>
    <row r="349" spans="1:28" x14ac:dyDescent="0.25">
      <c r="A349" t="s">
        <v>353</v>
      </c>
      <c r="B349">
        <v>0.99987803227770999</v>
      </c>
      <c r="C349">
        <v>1.0221893413552501</v>
      </c>
      <c r="D349">
        <v>0.88224529356218795</v>
      </c>
      <c r="E349">
        <v>1.01584140307344</v>
      </c>
      <c r="F349">
        <v>0.77697335140860502</v>
      </c>
      <c r="G349">
        <v>0.41941049571863598</v>
      </c>
      <c r="H349">
        <v>0.16686557363577101</v>
      </c>
      <c r="I349">
        <v>0.142874738067539</v>
      </c>
      <c r="J349">
        <v>0.102974305149833</v>
      </c>
      <c r="K349">
        <v>6.9578284013083094E-2</v>
      </c>
      <c r="L349">
        <v>1406.9466002387201</v>
      </c>
      <c r="M349">
        <v>25.2661886259692</v>
      </c>
      <c r="N349">
        <v>56.101550858154297</v>
      </c>
      <c r="O349">
        <v>55.339618530414299</v>
      </c>
      <c r="P349">
        <v>-0.104379695027446</v>
      </c>
      <c r="Q349">
        <v>8.5535122324575594E-2</v>
      </c>
      <c r="R349">
        <v>0.98764265381932004</v>
      </c>
      <c r="S349" t="s">
        <v>6660</v>
      </c>
      <c r="T349" t="s">
        <v>12620</v>
      </c>
      <c r="U349" t="s">
        <v>12620</v>
      </c>
      <c r="V349" t="s">
        <v>12620</v>
      </c>
      <c r="W349" t="s">
        <v>12962</v>
      </c>
      <c r="X349">
        <v>21</v>
      </c>
      <c r="Y349" t="s">
        <v>19209</v>
      </c>
      <c r="Z349" t="s">
        <v>25296</v>
      </c>
      <c r="AA349">
        <v>0.5719199938279963</v>
      </c>
      <c r="AB349" t="str">
        <f>HYPERLINK("Melting_Curves/meltCurve_E7EVJ5_CYFIP2.pdf", "Melting_Curves/meltCurve_E7EVJ5_CYFIP2.pdf")</f>
        <v>Melting_Curves/meltCurve_E7EVJ5_CYFIP2.pdf</v>
      </c>
    </row>
    <row r="350" spans="1:28" x14ac:dyDescent="0.25">
      <c r="A350" t="s">
        <v>354</v>
      </c>
      <c r="B350">
        <v>0.99987803227770999</v>
      </c>
      <c r="C350">
        <v>1.0766027884236999</v>
      </c>
      <c r="D350">
        <v>0.99443982783816398</v>
      </c>
      <c r="E350">
        <v>0.97381184452965497</v>
      </c>
      <c r="F350">
        <v>0.76679351026092302</v>
      </c>
      <c r="G350">
        <v>0.32708145943654399</v>
      </c>
      <c r="H350">
        <v>0.186640070887959</v>
      </c>
      <c r="I350">
        <v>0.173053804450261</v>
      </c>
      <c r="J350">
        <v>0.11756301857899901</v>
      </c>
      <c r="K350">
        <v>8.8521924146139297E-2</v>
      </c>
      <c r="L350">
        <v>1643.5814292198399</v>
      </c>
      <c r="M350">
        <v>29.980279142985399</v>
      </c>
      <c r="N350">
        <v>55.354224625631403</v>
      </c>
      <c r="O350">
        <v>54.579905506904801</v>
      </c>
      <c r="P350">
        <v>-0.120131045071507</v>
      </c>
      <c r="Q350">
        <v>0.125198504207958</v>
      </c>
      <c r="R350">
        <v>0.99400620671600204</v>
      </c>
      <c r="S350" t="s">
        <v>6661</v>
      </c>
      <c r="T350" t="s">
        <v>12620</v>
      </c>
      <c r="U350" t="s">
        <v>12620</v>
      </c>
      <c r="V350" t="s">
        <v>12620</v>
      </c>
      <c r="W350" t="s">
        <v>12963</v>
      </c>
      <c r="X350">
        <v>8</v>
      </c>
      <c r="Y350" t="s">
        <v>19210</v>
      </c>
      <c r="Z350" t="s">
        <v>25297</v>
      </c>
      <c r="AA350">
        <v>0.56321285260303067</v>
      </c>
      <c r="AB350" t="str">
        <f>HYPERLINK("Melting_Curves/meltCurve_E7EVY7_POR.pdf", "Melting_Curves/meltCurve_E7EVY7_POR.pdf")</f>
        <v>Melting_Curves/meltCurve_E7EVY7_POR.pdf</v>
      </c>
    </row>
    <row r="351" spans="1:28" x14ac:dyDescent="0.25">
      <c r="A351" t="s">
        <v>355</v>
      </c>
      <c r="B351">
        <v>0.99987803227770999</v>
      </c>
      <c r="C351">
        <v>0.94978130449744402</v>
      </c>
      <c r="D351">
        <v>1.02808576180067</v>
      </c>
      <c r="E351">
        <v>0.85310702228615798</v>
      </c>
      <c r="F351">
        <v>0.93314014176646098</v>
      </c>
      <c r="G351">
        <v>0.74996166796721497</v>
      </c>
      <c r="H351">
        <v>0.78640360616234795</v>
      </c>
      <c r="I351">
        <v>0.749109315359481</v>
      </c>
      <c r="J351">
        <v>0.74093571306698502</v>
      </c>
      <c r="K351">
        <v>0.58795950394515295</v>
      </c>
      <c r="L351">
        <v>323.66313440308102</v>
      </c>
      <c r="M351">
        <v>4.0704843757731499</v>
      </c>
      <c r="O351">
        <v>65.636826864549406</v>
      </c>
      <c r="P351">
        <v>-1.5692205951614101E-2</v>
      </c>
      <c r="Q351">
        <v>0</v>
      </c>
      <c r="R351">
        <v>0.84904069001073301</v>
      </c>
      <c r="S351" t="s">
        <v>6662</v>
      </c>
      <c r="T351" t="s">
        <v>12620</v>
      </c>
      <c r="U351" t="s">
        <v>12620</v>
      </c>
      <c r="V351" t="s">
        <v>12620</v>
      </c>
      <c r="W351" t="s">
        <v>12964</v>
      </c>
      <c r="X351">
        <v>19</v>
      </c>
      <c r="Y351" t="s">
        <v>19211</v>
      </c>
      <c r="Z351" t="s">
        <v>25298</v>
      </c>
      <c r="AA351">
        <v>0.84181650320063006</v>
      </c>
      <c r="AB351" t="str">
        <f>HYPERLINK("Melting_Curves/meltCurve_E7EVZ3_RAI1.pdf", "Melting_Curves/meltCurve_E7EVZ3_RAI1.pdf")</f>
        <v>Melting_Curves/meltCurve_E7EVZ3_RAI1.pdf</v>
      </c>
    </row>
    <row r="352" spans="1:28" x14ac:dyDescent="0.25">
      <c r="A352" t="s">
        <v>356</v>
      </c>
      <c r="B352">
        <v>0.99987803227770999</v>
      </c>
      <c r="C352">
        <v>1.13567854539779</v>
      </c>
      <c r="D352">
        <v>0.95167499217908802</v>
      </c>
      <c r="E352">
        <v>1.5534281047712</v>
      </c>
      <c r="F352">
        <v>1.22397966663638</v>
      </c>
      <c r="G352">
        <v>0.98572641814928097</v>
      </c>
      <c r="H352">
        <v>0.236084237152901</v>
      </c>
      <c r="I352">
        <v>0.133227397771189</v>
      </c>
      <c r="J352">
        <v>7.98269345156572E-2</v>
      </c>
      <c r="K352">
        <v>5.91053330082255E-2</v>
      </c>
      <c r="L352">
        <v>4725.4853014705704</v>
      </c>
      <c r="M352">
        <v>79.091013953725195</v>
      </c>
      <c r="N352">
        <v>59.894747172751202</v>
      </c>
      <c r="O352">
        <v>59.709278589542201</v>
      </c>
      <c r="P352">
        <v>-0.30188115493316298</v>
      </c>
      <c r="Q352">
        <v>8.8386888077420303E-2</v>
      </c>
      <c r="R352">
        <v>0.86172221115058001</v>
      </c>
      <c r="S352" t="s">
        <v>6663</v>
      </c>
      <c r="T352" t="s">
        <v>12620</v>
      </c>
      <c r="U352" t="s">
        <v>12620</v>
      </c>
      <c r="V352" t="s">
        <v>12620</v>
      </c>
      <c r="W352" t="s">
        <v>12965</v>
      </c>
      <c r="X352">
        <v>12</v>
      </c>
      <c r="Y352" t="s">
        <v>19212</v>
      </c>
      <c r="Z352" t="s">
        <v>25299</v>
      </c>
      <c r="AA352">
        <v>0.68941093896088801</v>
      </c>
      <c r="AB352" t="str">
        <f>HYPERLINK("Melting_Curves/meltCurve_E7EW69_SEPT10.pdf", "Melting_Curves/meltCurve_E7EW69_SEPT10.pdf")</f>
        <v>Melting_Curves/meltCurve_E7EW69_SEPT10.pdf</v>
      </c>
    </row>
    <row r="353" spans="1:28" x14ac:dyDescent="0.25">
      <c r="A353" t="s">
        <v>357</v>
      </c>
      <c r="B353">
        <v>0.99987803227770999</v>
      </c>
      <c r="C353">
        <v>0.96449950257606198</v>
      </c>
      <c r="D353">
        <v>0.85422429751012097</v>
      </c>
      <c r="E353">
        <v>0.40230006830744802</v>
      </c>
      <c r="F353">
        <v>0.11584872682245</v>
      </c>
      <c r="G353">
        <v>7.6335715518694794E-2</v>
      </c>
      <c r="H353">
        <v>3.7749790342370498E-2</v>
      </c>
      <c r="I353">
        <v>5.3077990466808798E-2</v>
      </c>
      <c r="J353">
        <v>4.1989351845455498E-2</v>
      </c>
      <c r="K353">
        <v>2.9816417447921399E-2</v>
      </c>
      <c r="L353">
        <v>1344.84459796237</v>
      </c>
      <c r="M353">
        <v>27.463932223176101</v>
      </c>
      <c r="N353">
        <v>49.113057059642699</v>
      </c>
      <c r="O353">
        <v>48.710252628100797</v>
      </c>
      <c r="P353">
        <v>-0.13545353272278701</v>
      </c>
      <c r="Q353">
        <v>3.9042964868105601E-2</v>
      </c>
      <c r="R353">
        <v>0.99873961992623195</v>
      </c>
      <c r="S353" t="s">
        <v>6664</v>
      </c>
      <c r="T353" t="s">
        <v>12620</v>
      </c>
      <c r="U353" t="s">
        <v>12620</v>
      </c>
      <c r="V353" t="s">
        <v>12620</v>
      </c>
      <c r="W353" t="s">
        <v>12966</v>
      </c>
      <c r="X353">
        <v>1</v>
      </c>
      <c r="Y353" t="s">
        <v>19213</v>
      </c>
      <c r="Z353" t="s">
        <v>25300</v>
      </c>
      <c r="AA353">
        <v>0.33330863387211901</v>
      </c>
      <c r="AB353" t="str">
        <f>HYPERLINK("Melting_Curves/meltCurve_E7EW80_PPIL2.pdf", "Melting_Curves/meltCurve_E7EW80_PPIL2.pdf")</f>
        <v>Melting_Curves/meltCurve_E7EW80_PPIL2.pdf</v>
      </c>
    </row>
    <row r="354" spans="1:28" x14ac:dyDescent="0.25">
      <c r="A354" t="s">
        <v>358</v>
      </c>
      <c r="B354">
        <v>0.99987803227770999</v>
      </c>
      <c r="C354">
        <v>1.0246169374731799</v>
      </c>
      <c r="D354">
        <v>0.68315828271569501</v>
      </c>
      <c r="E354">
        <v>0.444399303291236</v>
      </c>
      <c r="F354">
        <v>0.26197838074782598</v>
      </c>
      <c r="G354">
        <v>0.187421565812422</v>
      </c>
      <c r="H354">
        <v>0.105811513426967</v>
      </c>
      <c r="I354">
        <v>0.11761905462274801</v>
      </c>
      <c r="J354">
        <v>9.5037481863151502E-2</v>
      </c>
      <c r="K354">
        <v>5.72807075676545E-2</v>
      </c>
      <c r="L354">
        <v>862.66981378947003</v>
      </c>
      <c r="M354">
        <v>17.7604771809985</v>
      </c>
      <c r="N354">
        <v>49.125519791536199</v>
      </c>
      <c r="O354">
        <v>47.9691909369351</v>
      </c>
      <c r="P354">
        <v>-8.4178659271461703E-2</v>
      </c>
      <c r="Q354">
        <v>9.0615903230561595E-2</v>
      </c>
      <c r="R354">
        <v>0.98482130904819498</v>
      </c>
      <c r="S354" t="s">
        <v>6665</v>
      </c>
      <c r="T354" t="s">
        <v>12620</v>
      </c>
      <c r="U354" t="s">
        <v>12620</v>
      </c>
      <c r="V354" t="s">
        <v>12620</v>
      </c>
      <c r="W354" t="s">
        <v>12967</v>
      </c>
      <c r="X354">
        <v>4</v>
      </c>
      <c r="Y354" t="s">
        <v>19214</v>
      </c>
      <c r="Z354" t="s">
        <v>25301</v>
      </c>
      <c r="AA354">
        <v>0.3668013582839959</v>
      </c>
      <c r="AB354" t="str">
        <f>HYPERLINK("Melting_Curves/meltCurve_E7EW84_EXOC6.pdf", "Melting_Curves/meltCurve_E7EW84_EXOC6.pdf")</f>
        <v>Melting_Curves/meltCurve_E7EW84_EXOC6.pdf</v>
      </c>
    </row>
    <row r="355" spans="1:28" x14ac:dyDescent="0.25">
      <c r="A355" t="s">
        <v>359</v>
      </c>
      <c r="B355">
        <v>0.99987803227770999</v>
      </c>
      <c r="C355">
        <v>1.22283301201324</v>
      </c>
      <c r="D355">
        <v>0.95450418185008701</v>
      </c>
      <c r="E355">
        <v>1.0838467578412201</v>
      </c>
      <c r="F355">
        <v>0.41416871965806801</v>
      </c>
      <c r="G355">
        <v>0.19381336610193201</v>
      </c>
      <c r="H355">
        <v>8.7849914513131996E-2</v>
      </c>
      <c r="I355">
        <v>6.0563493261037001E-2</v>
      </c>
      <c r="J355">
        <v>4.3607030622967502E-2</v>
      </c>
      <c r="K355">
        <v>3.0836346366235799E-2</v>
      </c>
      <c r="L355">
        <v>13219.715169655899</v>
      </c>
      <c r="M355">
        <v>250</v>
      </c>
      <c r="N355">
        <v>52.917474541302198</v>
      </c>
      <c r="O355">
        <v>52.875493330082499</v>
      </c>
      <c r="P355">
        <v>-1.08351976904286</v>
      </c>
      <c r="Q355">
        <v>8.3334009414551893E-2</v>
      </c>
      <c r="R355">
        <v>0.965708966107237</v>
      </c>
      <c r="S355" t="s">
        <v>6666</v>
      </c>
      <c r="T355" t="s">
        <v>12620</v>
      </c>
      <c r="U355" t="s">
        <v>12620</v>
      </c>
      <c r="V355" t="s">
        <v>12620</v>
      </c>
      <c r="W355" t="s">
        <v>12968</v>
      </c>
      <c r="X355">
        <v>6</v>
      </c>
      <c r="Y355" t="s">
        <v>19215</v>
      </c>
      <c r="Z355" t="s">
        <v>25302</v>
      </c>
      <c r="AA355">
        <v>0.47693953018394708</v>
      </c>
      <c r="AB355" t="str">
        <f>HYPERLINK("Melting_Curves/meltCurve_E7EWC2_IQGAP2.pdf", "Melting_Curves/meltCurve_E7EWC2_IQGAP2.pdf")</f>
        <v>Melting_Curves/meltCurve_E7EWC2_IQGAP2.pdf</v>
      </c>
    </row>
    <row r="356" spans="1:28" x14ac:dyDescent="0.25">
      <c r="A356" t="s">
        <v>360</v>
      </c>
      <c r="B356">
        <v>0.99987803227770999</v>
      </c>
      <c r="C356">
        <v>0.97405190009623199</v>
      </c>
      <c r="D356">
        <v>0.98138411409437798</v>
      </c>
      <c r="E356">
        <v>0.92944394322697799</v>
      </c>
      <c r="F356">
        <v>1.00514026126914</v>
      </c>
      <c r="G356">
        <v>0.87293627537325502</v>
      </c>
      <c r="H356">
        <v>1.02267256006546</v>
      </c>
      <c r="I356">
        <v>1.0738077791224301</v>
      </c>
      <c r="J356">
        <v>1.16380375116568</v>
      </c>
      <c r="K356">
        <v>0.98517343430270898</v>
      </c>
      <c r="L356">
        <v>11902.688337503199</v>
      </c>
      <c r="M356">
        <v>194.30371323684699</v>
      </c>
      <c r="O356">
        <v>61.251670764580403</v>
      </c>
      <c r="P356">
        <v>5.8898391625341502E-2</v>
      </c>
      <c r="Q356">
        <v>1.0742677521189901</v>
      </c>
      <c r="R356">
        <v>0.30903995209673801</v>
      </c>
      <c r="S356" t="s">
        <v>6667</v>
      </c>
      <c r="T356" t="s">
        <v>12620</v>
      </c>
      <c r="U356" t="s">
        <v>12620</v>
      </c>
      <c r="V356" t="s">
        <v>12620</v>
      </c>
      <c r="W356" t="s">
        <v>12969</v>
      </c>
      <c r="X356">
        <v>49</v>
      </c>
      <c r="Y356" t="s">
        <v>19216</v>
      </c>
      <c r="Z356" t="s">
        <v>25303</v>
      </c>
      <c r="AA356">
        <v>1.0216280023870741</v>
      </c>
      <c r="AB356" t="str">
        <f>HYPERLINK("Melting_Curves/meltCurve_E7EX44_CALD1.pdf", "Melting_Curves/meltCurve_E7EX44_CALD1.pdf")</f>
        <v>Melting_Curves/meltCurve_E7EX44_CALD1.pdf</v>
      </c>
    </row>
    <row r="357" spans="1:28" x14ac:dyDescent="0.25">
      <c r="A357" t="s">
        <v>361</v>
      </c>
      <c r="B357">
        <v>0.99987803227770999</v>
      </c>
      <c r="C357">
        <v>0.741179526676496</v>
      </c>
      <c r="D357">
        <v>0.95307124022436096</v>
      </c>
      <c r="E357">
        <v>0.52644793589779004</v>
      </c>
      <c r="F357">
        <v>0.58978882858694803</v>
      </c>
      <c r="G357">
        <v>0.33527450408068599</v>
      </c>
      <c r="H357">
        <v>0.43038771775268903</v>
      </c>
      <c r="I357">
        <v>0.32645812399089202</v>
      </c>
      <c r="J357">
        <v>0.46661727127577501</v>
      </c>
      <c r="K357">
        <v>0.34721984871269201</v>
      </c>
      <c r="L357">
        <v>670.91087467242403</v>
      </c>
      <c r="M357">
        <v>13.8227917489608</v>
      </c>
      <c r="N357">
        <v>53.431469220179501</v>
      </c>
      <c r="O357">
        <v>47.554552380576098</v>
      </c>
      <c r="P357">
        <v>-4.65819104337305E-2</v>
      </c>
      <c r="Q357">
        <v>0.35906612876677302</v>
      </c>
      <c r="R357">
        <v>0.83648572499624196</v>
      </c>
      <c r="S357" t="s">
        <v>6668</v>
      </c>
      <c r="T357" t="s">
        <v>12620</v>
      </c>
      <c r="U357" t="s">
        <v>12620</v>
      </c>
      <c r="V357" t="s">
        <v>12620</v>
      </c>
      <c r="W357" t="s">
        <v>12970</v>
      </c>
      <c r="X357">
        <v>1</v>
      </c>
      <c r="Y357" t="s">
        <v>19217</v>
      </c>
      <c r="Z357" t="s">
        <v>25304</v>
      </c>
      <c r="AA357">
        <v>0.56025183988980687</v>
      </c>
      <c r="AB357" t="str">
        <f>HYPERLINK("Melting_Curves/meltCurve_E7EX48_NEK4.pdf", "Melting_Curves/meltCurve_E7EX48_NEK4.pdf")</f>
        <v>Melting_Curves/meltCurve_E7EX48_NEK4.pdf</v>
      </c>
    </row>
    <row r="358" spans="1:28" x14ac:dyDescent="0.25">
      <c r="A358" t="s">
        <v>362</v>
      </c>
      <c r="B358">
        <v>0.99987803227770999</v>
      </c>
      <c r="C358">
        <v>0.94059522019261999</v>
      </c>
      <c r="D358">
        <v>1.1410004212698499</v>
      </c>
      <c r="E358">
        <v>0.95294588453694296</v>
      </c>
      <c r="F358">
        <v>1.4850421732805901</v>
      </c>
      <c r="G358">
        <v>0.82517718642851701</v>
      </c>
      <c r="H358">
        <v>1.0869319522559899</v>
      </c>
      <c r="I358">
        <v>0.881482358137749</v>
      </c>
      <c r="J358">
        <v>1.51930638328082</v>
      </c>
      <c r="K358">
        <v>1.3620894189135799</v>
      </c>
      <c r="L358">
        <v>15000</v>
      </c>
      <c r="M358">
        <v>228.92453156433001</v>
      </c>
      <c r="O358">
        <v>65.518776829322206</v>
      </c>
      <c r="P358">
        <v>0.38573844260412898</v>
      </c>
      <c r="Q358">
        <v>1.44159724842017</v>
      </c>
      <c r="R358">
        <v>0.42869266183424698</v>
      </c>
      <c r="S358" t="s">
        <v>6669</v>
      </c>
      <c r="T358" t="s">
        <v>12620</v>
      </c>
      <c r="U358" t="s">
        <v>12620</v>
      </c>
      <c r="V358" t="s">
        <v>12620</v>
      </c>
      <c r="W358" t="s">
        <v>12956</v>
      </c>
      <c r="X358">
        <v>56</v>
      </c>
      <c r="Y358" t="s">
        <v>19203</v>
      </c>
      <c r="Z358" t="s">
        <v>25305</v>
      </c>
      <c r="AA358">
        <v>1.065829027607218</v>
      </c>
      <c r="AB358" t="str">
        <f>HYPERLINK("Melting_Curves/meltCurve_E7EX73_EIF4G1.pdf", "Melting_Curves/meltCurve_E7EX73_EIF4G1.pdf")</f>
        <v>Melting_Curves/meltCurve_E7EX73_EIF4G1.pdf</v>
      </c>
    </row>
    <row r="359" spans="1:28" x14ac:dyDescent="0.25">
      <c r="A359" t="s">
        <v>363</v>
      </c>
      <c r="B359">
        <v>0.99987803227770999</v>
      </c>
      <c r="C359">
        <v>0.89694826780359604</v>
      </c>
      <c r="D359">
        <v>0.678570844855935</v>
      </c>
      <c r="E359">
        <v>0.31078305961131603</v>
      </c>
      <c r="F359">
        <v>0.16770369462029</v>
      </c>
      <c r="G359">
        <v>0.12172827220778699</v>
      </c>
      <c r="H359">
        <v>8.7967146445837197E-2</v>
      </c>
      <c r="I359">
        <v>8.3145429262283396E-2</v>
      </c>
      <c r="J359">
        <v>5.9208151342227198E-2</v>
      </c>
      <c r="K359">
        <v>3.5959276384745803E-2</v>
      </c>
      <c r="L359">
        <v>943.63608197405904</v>
      </c>
      <c r="M359">
        <v>19.873635289385099</v>
      </c>
      <c r="N359">
        <v>47.819410229774299</v>
      </c>
      <c r="O359">
        <v>47.008873611623599</v>
      </c>
      <c r="P359">
        <v>-9.8776171122433504E-2</v>
      </c>
      <c r="Q359">
        <v>6.5454642977133007E-2</v>
      </c>
      <c r="R359">
        <v>0.99804869280323805</v>
      </c>
      <c r="S359" t="s">
        <v>6670</v>
      </c>
      <c r="T359" t="s">
        <v>12620</v>
      </c>
      <c r="U359" t="s">
        <v>12620</v>
      </c>
      <c r="V359" t="s">
        <v>12620</v>
      </c>
      <c r="W359" t="s">
        <v>12971</v>
      </c>
      <c r="X359">
        <v>17</v>
      </c>
      <c r="Y359" t="s">
        <v>19218</v>
      </c>
      <c r="Z359" t="s">
        <v>25306</v>
      </c>
      <c r="AA359">
        <v>0.31216427425736643</v>
      </c>
      <c r="AB359" t="str">
        <f>HYPERLINK("Melting_Curves/meltCurve_E7EX87_SARS2.pdf", "Melting_Curves/meltCurve_E7EX87_SARS2.pdf")</f>
        <v>Melting_Curves/meltCurve_E7EX87_SARS2.pdf</v>
      </c>
    </row>
    <row r="360" spans="1:28" x14ac:dyDescent="0.25">
      <c r="A360" t="s">
        <v>364</v>
      </c>
      <c r="B360">
        <v>0.99987803227770999</v>
      </c>
      <c r="C360">
        <v>0.85646884095959797</v>
      </c>
      <c r="D360">
        <v>0.89563673133603305</v>
      </c>
      <c r="E360">
        <v>0.43975446380806399</v>
      </c>
      <c r="F360">
        <v>0.35903524417218002</v>
      </c>
      <c r="G360">
        <v>0.27896778525258098</v>
      </c>
      <c r="H360">
        <v>0.23157151980171001</v>
      </c>
      <c r="I360">
        <v>0.223316005350438</v>
      </c>
      <c r="J360">
        <v>0.19397308884978801</v>
      </c>
      <c r="K360">
        <v>0.15951185463595799</v>
      </c>
      <c r="L360">
        <v>966.11359179960004</v>
      </c>
      <c r="M360">
        <v>19.8241715262869</v>
      </c>
      <c r="N360">
        <v>50.038760899413198</v>
      </c>
      <c r="O360">
        <v>48.2463572314999</v>
      </c>
      <c r="P360">
        <v>-8.1996083865043201E-2</v>
      </c>
      <c r="Q360">
        <v>0.201807050640847</v>
      </c>
      <c r="R360">
        <v>0.97481538324950101</v>
      </c>
      <c r="S360" t="s">
        <v>6671</v>
      </c>
      <c r="T360" t="s">
        <v>12620</v>
      </c>
      <c r="U360" t="s">
        <v>12620</v>
      </c>
      <c r="V360" t="s">
        <v>12620</v>
      </c>
      <c r="W360" t="s">
        <v>12972</v>
      </c>
      <c r="X360">
        <v>15</v>
      </c>
      <c r="Y360" t="s">
        <v>19219</v>
      </c>
      <c r="Z360" t="s">
        <v>25307</v>
      </c>
      <c r="AA360">
        <v>0.44560819790253492</v>
      </c>
      <c r="AB360" t="str">
        <f>HYPERLINK("Melting_Curves/meltCurve_E9PAU2_RAVER1.pdf", "Melting_Curves/meltCurve_E9PAU2_RAVER1.pdf")</f>
        <v>Melting_Curves/meltCurve_E9PAU2_RAVER1.pdf</v>
      </c>
    </row>
    <row r="361" spans="1:28" x14ac:dyDescent="0.25">
      <c r="A361" t="s">
        <v>365</v>
      </c>
      <c r="B361">
        <v>0.99987803227770999</v>
      </c>
      <c r="C361">
        <v>1.01952046763614</v>
      </c>
      <c r="D361">
        <v>1.1232517049906801</v>
      </c>
      <c r="E361">
        <v>0.96734350948313297</v>
      </c>
      <c r="F361">
        <v>0.96660115371407995</v>
      </c>
      <c r="G361">
        <v>0.73283305672714705</v>
      </c>
      <c r="H361">
        <v>0.67388150073538799</v>
      </c>
      <c r="I361">
        <v>0.67460263197632797</v>
      </c>
      <c r="J361">
        <v>0.56164097219117504</v>
      </c>
      <c r="K361">
        <v>0.44948719621125399</v>
      </c>
      <c r="L361">
        <v>800.29426242402099</v>
      </c>
      <c r="M361">
        <v>13.264202320645399</v>
      </c>
      <c r="N361">
        <v>69.777622155899607</v>
      </c>
      <c r="O361">
        <v>59.012983228435999</v>
      </c>
      <c r="P361">
        <v>-3.2768844426940003E-2</v>
      </c>
      <c r="Q361">
        <v>0.41693549298034999</v>
      </c>
      <c r="R361">
        <v>0.92348039489262601</v>
      </c>
      <c r="S361" t="s">
        <v>6672</v>
      </c>
      <c r="T361" t="s">
        <v>12620</v>
      </c>
      <c r="U361" t="s">
        <v>12620</v>
      </c>
      <c r="V361" t="s">
        <v>12620</v>
      </c>
      <c r="W361" t="s">
        <v>12973</v>
      </c>
      <c r="X361">
        <v>4</v>
      </c>
      <c r="Y361" t="s">
        <v>19220</v>
      </c>
      <c r="Z361" t="s">
        <v>25308</v>
      </c>
      <c r="AA361">
        <v>0.81395191287379531</v>
      </c>
      <c r="AB361" t="str">
        <f>HYPERLINK("Melting_Curves/meltCurve_E9PAV9_GPATCH4.pdf", "Melting_Curves/meltCurve_E9PAV9_GPATCH4.pdf")</f>
        <v>Melting_Curves/meltCurve_E9PAV9_GPATCH4.pdf</v>
      </c>
    </row>
    <row r="362" spans="1:28" x14ac:dyDescent="0.25">
      <c r="A362" t="s">
        <v>366</v>
      </c>
      <c r="B362">
        <v>0.99987803227770999</v>
      </c>
      <c r="C362">
        <v>0.96301451159170304</v>
      </c>
      <c r="D362">
        <v>1.07553669123851</v>
      </c>
      <c r="E362">
        <v>0.96725477950869698</v>
      </c>
      <c r="F362">
        <v>1.0626837064780801</v>
      </c>
      <c r="G362">
        <v>0.75836120425822495</v>
      </c>
      <c r="H362">
        <v>0.84819816178686802</v>
      </c>
      <c r="I362">
        <v>0.77757300113082195</v>
      </c>
      <c r="J362">
        <v>0.80568128960574703</v>
      </c>
      <c r="K362">
        <v>0.72504366042721602</v>
      </c>
      <c r="L362">
        <v>5539.7902725495096</v>
      </c>
      <c r="M362">
        <v>100.451687759381</v>
      </c>
      <c r="O362">
        <v>55.126957085521902</v>
      </c>
      <c r="P362">
        <v>-9.9394177906570597E-2</v>
      </c>
      <c r="Q362">
        <v>0.78181359709590803</v>
      </c>
      <c r="R362">
        <v>0.85777986042207099</v>
      </c>
      <c r="S362" t="s">
        <v>6673</v>
      </c>
      <c r="T362" t="s">
        <v>12620</v>
      </c>
      <c r="U362" t="s">
        <v>12620</v>
      </c>
      <c r="V362" t="s">
        <v>12620</v>
      </c>
      <c r="W362" t="s">
        <v>12974</v>
      </c>
      <c r="X362">
        <v>3</v>
      </c>
      <c r="Y362" t="s">
        <v>19221</v>
      </c>
      <c r="Z362" t="s">
        <v>25309</v>
      </c>
      <c r="AA362">
        <v>0.89211996923676196</v>
      </c>
      <c r="AB362" t="str">
        <f>HYPERLINK("Melting_Curves/meltCurve_E9PAX8_PPHLN1.pdf", "Melting_Curves/meltCurve_E9PAX8_PPHLN1.pdf")</f>
        <v>Melting_Curves/meltCurve_E9PAX8_PPHLN1.pdf</v>
      </c>
    </row>
    <row r="363" spans="1:28" x14ac:dyDescent="0.25">
      <c r="A363" t="s">
        <v>367</v>
      </c>
      <c r="B363">
        <v>0.99987803227770999</v>
      </c>
      <c r="C363">
        <v>0.86978476161131102</v>
      </c>
      <c r="D363">
        <v>0.62425145777975299</v>
      </c>
      <c r="E363">
        <v>0.46996617695724402</v>
      </c>
      <c r="F363">
        <v>0.28131174139582898</v>
      </c>
      <c r="G363">
        <v>0.20617321630171001</v>
      </c>
      <c r="H363">
        <v>0.15763171867366399</v>
      </c>
      <c r="I363">
        <v>0.13870747690379001</v>
      </c>
      <c r="J363">
        <v>0.118110067128747</v>
      </c>
      <c r="K363">
        <v>8.2806795292868607E-2</v>
      </c>
      <c r="L363">
        <v>651.98613782007703</v>
      </c>
      <c r="M363">
        <v>13.568481934715599</v>
      </c>
      <c r="N363">
        <v>48.843812786286897</v>
      </c>
      <c r="O363">
        <v>47.043796548697799</v>
      </c>
      <c r="P363">
        <v>-6.4992998915503294E-2</v>
      </c>
      <c r="Q363">
        <v>9.8775919208546198E-2</v>
      </c>
      <c r="R363">
        <v>0.99052027549798105</v>
      </c>
      <c r="S363" t="s">
        <v>6674</v>
      </c>
      <c r="T363" t="s">
        <v>12620</v>
      </c>
      <c r="U363" t="s">
        <v>12620</v>
      </c>
      <c r="V363" t="s">
        <v>12620</v>
      </c>
      <c r="W363" t="s">
        <v>12975</v>
      </c>
      <c r="X363">
        <v>9</v>
      </c>
      <c r="Y363" t="s">
        <v>19222</v>
      </c>
      <c r="Z363" t="s">
        <v>25310</v>
      </c>
      <c r="AA363">
        <v>0.36873425423377959</v>
      </c>
      <c r="AB363" t="str">
        <f>HYPERLINK("Melting_Curves/meltCurve_E9PB14_PDHX.pdf", "Melting_Curves/meltCurve_E9PB14_PDHX.pdf")</f>
        <v>Melting_Curves/meltCurve_E9PB14_PDHX.pdf</v>
      </c>
    </row>
    <row r="364" spans="1:28" x14ac:dyDescent="0.25">
      <c r="A364" t="s">
        <v>368</v>
      </c>
      <c r="B364">
        <v>0.99987803227770999</v>
      </c>
      <c r="C364">
        <v>0.96191327120039605</v>
      </c>
      <c r="D364">
        <v>1.41824624781658</v>
      </c>
      <c r="E364">
        <v>0.96989148623197297</v>
      </c>
      <c r="F364">
        <v>0.9432419063634</v>
      </c>
      <c r="G364">
        <v>0.72991829931043095</v>
      </c>
      <c r="H364">
        <v>0.68750996082239302</v>
      </c>
      <c r="I364">
        <v>0.65868190534401005</v>
      </c>
      <c r="J364">
        <v>0.58094800146157399</v>
      </c>
      <c r="K364">
        <v>0.46681005645135798</v>
      </c>
      <c r="L364">
        <v>1019.35490213563</v>
      </c>
      <c r="M364">
        <v>17.470068461310699</v>
      </c>
      <c r="O364">
        <v>57.600225785757303</v>
      </c>
      <c r="P364">
        <v>-3.7183677644236197E-2</v>
      </c>
      <c r="Q364">
        <v>0.50963687311740202</v>
      </c>
      <c r="R364">
        <v>0.711071863717464</v>
      </c>
      <c r="S364" t="s">
        <v>6675</v>
      </c>
      <c r="T364" t="s">
        <v>12620</v>
      </c>
      <c r="U364" t="s">
        <v>12620</v>
      </c>
      <c r="V364" t="s">
        <v>12620</v>
      </c>
      <c r="W364" t="s">
        <v>12976</v>
      </c>
      <c r="X364">
        <v>7</v>
      </c>
      <c r="Y364" t="s">
        <v>19223</v>
      </c>
      <c r="Z364" t="s">
        <v>25311</v>
      </c>
      <c r="AA364">
        <v>0.81543520960723825</v>
      </c>
      <c r="AB364" t="str">
        <f>HYPERLINK("Melting_Curves/meltCurve_E9PB61_ALYREF.pdf", "Melting_Curves/meltCurve_E9PB61_ALYREF.pdf")</f>
        <v>Melting_Curves/meltCurve_E9PB61_ALYREF.pdf</v>
      </c>
    </row>
    <row r="365" spans="1:28" x14ac:dyDescent="0.25">
      <c r="A365" t="s">
        <v>369</v>
      </c>
      <c r="B365">
        <v>0.99987803227770999</v>
      </c>
      <c r="C365">
        <v>1.14553799360015</v>
      </c>
      <c r="D365">
        <v>0.61280794840370401</v>
      </c>
      <c r="E365">
        <v>0.57676174920217305</v>
      </c>
      <c r="F365">
        <v>0.73862189497795905</v>
      </c>
      <c r="G365">
        <v>0.26886903598310702</v>
      </c>
      <c r="H365">
        <v>0.91028841100783597</v>
      </c>
      <c r="I365">
        <v>1.60535618726462</v>
      </c>
      <c r="J365">
        <v>0.30526298458176998</v>
      </c>
      <c r="K365">
        <v>0.18424341199294</v>
      </c>
      <c r="L365">
        <v>11130.613352925</v>
      </c>
      <c r="M365">
        <v>250</v>
      </c>
      <c r="O365">
        <v>44.519617856433001</v>
      </c>
      <c r="P365">
        <v>-0.49098607522703602</v>
      </c>
      <c r="Q365">
        <v>0.65026390756262298</v>
      </c>
      <c r="R365">
        <v>0.15513242122483001</v>
      </c>
      <c r="S365" t="s">
        <v>6676</v>
      </c>
      <c r="T365" t="s">
        <v>12620</v>
      </c>
      <c r="U365" t="s">
        <v>12620</v>
      </c>
      <c r="V365" t="s">
        <v>12620</v>
      </c>
      <c r="W365" t="s">
        <v>12977</v>
      </c>
      <c r="X365">
        <v>5</v>
      </c>
      <c r="Y365" t="s">
        <v>19224</v>
      </c>
      <c r="Z365" t="s">
        <v>25312</v>
      </c>
      <c r="AA365">
        <v>0.70301340743097307</v>
      </c>
      <c r="AB365" t="str">
        <f>HYPERLINK("Melting_Curves/meltCurve_E9PB90_HK2.pdf", "Melting_Curves/meltCurve_E9PB90_HK2.pdf")</f>
        <v>Melting_Curves/meltCurve_E9PB90_HK2.pdf</v>
      </c>
    </row>
    <row r="366" spans="1:28" x14ac:dyDescent="0.25">
      <c r="A366" t="s">
        <v>370</v>
      </c>
      <c r="B366">
        <v>0.99987803227770999</v>
      </c>
      <c r="C366">
        <v>1.0975633429265499</v>
      </c>
      <c r="D366">
        <v>0.90366203703800396</v>
      </c>
      <c r="E366">
        <v>1.31126800861967</v>
      </c>
      <c r="F366">
        <v>0.94313837597486205</v>
      </c>
      <c r="G366">
        <v>0.97697958244266003</v>
      </c>
      <c r="H366">
        <v>1.2484505077960499</v>
      </c>
      <c r="I366">
        <v>1.2555660382185101</v>
      </c>
      <c r="J366">
        <v>1.0200732922581499</v>
      </c>
      <c r="K366">
        <v>0.33372080300202001</v>
      </c>
      <c r="L366">
        <v>15000</v>
      </c>
      <c r="M366">
        <v>214.97706280241101</v>
      </c>
      <c r="N366">
        <v>69.774889786660594</v>
      </c>
      <c r="O366">
        <v>69.768847503771298</v>
      </c>
      <c r="P366">
        <v>-0.77031895692935504</v>
      </c>
      <c r="Q366">
        <v>0</v>
      </c>
      <c r="R366">
        <v>0.64217698233606302</v>
      </c>
      <c r="S366" t="s">
        <v>6677</v>
      </c>
      <c r="T366" t="s">
        <v>12620</v>
      </c>
      <c r="U366" t="s">
        <v>12620</v>
      </c>
      <c r="V366" t="s">
        <v>12620</v>
      </c>
      <c r="W366" t="s">
        <v>12978</v>
      </c>
      <c r="X366">
        <v>28</v>
      </c>
      <c r="Y366" t="s">
        <v>19225</v>
      </c>
      <c r="Z366" t="s">
        <v>25313</v>
      </c>
      <c r="AA366">
        <v>0.98819387814610737</v>
      </c>
      <c r="AB366" t="str">
        <f>HYPERLINK("Melting_Curves/meltCurve_E9PBS1_PAICS.pdf", "Melting_Curves/meltCurve_E9PBS1_PAICS.pdf")</f>
        <v>Melting_Curves/meltCurve_E9PBS1_PAICS.pdf</v>
      </c>
    </row>
    <row r="367" spans="1:28" x14ac:dyDescent="0.25">
      <c r="A367" t="s">
        <v>371</v>
      </c>
      <c r="B367">
        <v>0.99987803227770999</v>
      </c>
      <c r="C367">
        <v>0.85206037745531105</v>
      </c>
      <c r="D367">
        <v>0.89221896693611902</v>
      </c>
      <c r="E367">
        <v>0.74471508795799102</v>
      </c>
      <c r="F367">
        <v>0.70483708799745004</v>
      </c>
      <c r="G367">
        <v>0.499292320496314</v>
      </c>
      <c r="H367">
        <v>0.422972238358514</v>
      </c>
      <c r="I367">
        <v>0.44451630813805798</v>
      </c>
      <c r="J367">
        <v>0.34975371727960702</v>
      </c>
      <c r="K367">
        <v>0.27126660211338299</v>
      </c>
      <c r="L367">
        <v>408.923787849365</v>
      </c>
      <c r="M367">
        <v>7.2370983610565496</v>
      </c>
      <c r="N367">
        <v>58.832156335261303</v>
      </c>
      <c r="O367">
        <v>52.668158436453098</v>
      </c>
      <c r="P367">
        <v>-3.01239936552819E-2</v>
      </c>
      <c r="Q367">
        <v>0.124523923745657</v>
      </c>
      <c r="R367">
        <v>0.97150173442760801</v>
      </c>
      <c r="S367" t="s">
        <v>6678</v>
      </c>
      <c r="T367" t="s">
        <v>12620</v>
      </c>
      <c r="U367" t="s">
        <v>12620</v>
      </c>
      <c r="V367" t="s">
        <v>12620</v>
      </c>
      <c r="W367" t="s">
        <v>12979</v>
      </c>
      <c r="X367">
        <v>4</v>
      </c>
      <c r="Y367" t="s">
        <v>19226</v>
      </c>
      <c r="Z367" t="s">
        <v>25314</v>
      </c>
      <c r="AA367">
        <v>0.61837455009096431</v>
      </c>
      <c r="AB367" t="str">
        <f>HYPERLINK("Melting_Curves/meltCurve_E9PC26_BUB1.pdf", "Melting_Curves/meltCurve_E9PC26_BUB1.pdf")</f>
        <v>Melting_Curves/meltCurve_E9PC26_BUB1.pdf</v>
      </c>
    </row>
    <row r="368" spans="1:28" x14ac:dyDescent="0.25">
      <c r="A368" t="s">
        <v>372</v>
      </c>
      <c r="B368">
        <v>0.99987803227770999</v>
      </c>
      <c r="C368">
        <v>0.85897677886256796</v>
      </c>
      <c r="D368">
        <v>0.77117062344830101</v>
      </c>
      <c r="E368">
        <v>1.0218456469097501</v>
      </c>
      <c r="F368">
        <v>0.37606339233011998</v>
      </c>
      <c r="G368">
        <v>0.225682172469339</v>
      </c>
      <c r="H368">
        <v>0.12981012203763301</v>
      </c>
      <c r="I368">
        <v>0.10319735015645</v>
      </c>
      <c r="J368">
        <v>7.8236809466333504E-2</v>
      </c>
      <c r="K368">
        <v>6.3207695037188205E-2</v>
      </c>
      <c r="L368">
        <v>13202.791418341199</v>
      </c>
      <c r="M368">
        <v>250</v>
      </c>
      <c r="N368">
        <v>52.869224160451502</v>
      </c>
      <c r="O368">
        <v>52.807781716018603</v>
      </c>
      <c r="P368">
        <v>-1.0414813419614399</v>
      </c>
      <c r="Q368">
        <v>0.120026817849973</v>
      </c>
      <c r="R368">
        <v>0.93906312837774197</v>
      </c>
      <c r="S368" t="s">
        <v>6679</v>
      </c>
      <c r="T368" t="s">
        <v>12620</v>
      </c>
      <c r="U368" t="s">
        <v>12620</v>
      </c>
      <c r="V368" t="s">
        <v>12620</v>
      </c>
      <c r="W368" t="s">
        <v>12980</v>
      </c>
      <c r="X368">
        <v>6</v>
      </c>
      <c r="Y368" t="s">
        <v>19227</v>
      </c>
      <c r="Z368" t="s">
        <v>25315</v>
      </c>
      <c r="AA368">
        <v>0.49589111702679411</v>
      </c>
      <c r="AB368" t="str">
        <f>HYPERLINK("Melting_Curves/meltCurve_E9PC74_EIF2B5.pdf", "Melting_Curves/meltCurve_E9PC74_EIF2B5.pdf")</f>
        <v>Melting_Curves/meltCurve_E9PC74_EIF2B5.pdf</v>
      </c>
    </row>
    <row r="369" spans="1:28" x14ac:dyDescent="0.25">
      <c r="A369" t="s">
        <v>373</v>
      </c>
      <c r="B369">
        <v>0.99987803227770999</v>
      </c>
      <c r="C369">
        <v>1.0404232033077301</v>
      </c>
      <c r="D369">
        <v>0.80428755761067805</v>
      </c>
      <c r="E369">
        <v>0.63091026963786301</v>
      </c>
      <c r="F369">
        <v>0.477323087716713</v>
      </c>
      <c r="G369">
        <v>0.39182894894794801</v>
      </c>
      <c r="H369">
        <v>0.32522582703485498</v>
      </c>
      <c r="I369">
        <v>0.336756755795111</v>
      </c>
      <c r="J369">
        <v>0.27343110510617802</v>
      </c>
      <c r="K369">
        <v>0.211349800556944</v>
      </c>
      <c r="L369">
        <v>759.92737883095594</v>
      </c>
      <c r="M369">
        <v>15.1670855205621</v>
      </c>
      <c r="N369">
        <v>52.717847633626199</v>
      </c>
      <c r="O369">
        <v>49.256936244382501</v>
      </c>
      <c r="P369">
        <v>-5.6638441270040502E-2</v>
      </c>
      <c r="Q369">
        <v>0.26431053231961499</v>
      </c>
      <c r="R369">
        <v>0.978092812321808</v>
      </c>
      <c r="S369" t="s">
        <v>6680</v>
      </c>
      <c r="T369" t="s">
        <v>12620</v>
      </c>
      <c r="U369" t="s">
        <v>12620</v>
      </c>
      <c r="V369" t="s">
        <v>12620</v>
      </c>
      <c r="W369" t="s">
        <v>12981</v>
      </c>
      <c r="X369">
        <v>19</v>
      </c>
      <c r="Y369" t="s">
        <v>19228</v>
      </c>
      <c r="Z369" t="s">
        <v>25316</v>
      </c>
      <c r="AA369">
        <v>0.52923058252237631</v>
      </c>
      <c r="AB369" t="str">
        <f>HYPERLINK("Melting_Curves/meltCurve_E9PCH4_FNIP1.pdf", "Melting_Curves/meltCurve_E9PCH4_FNIP1.pdf")</f>
        <v>Melting_Curves/meltCurve_E9PCH4_FNIP1.pdf</v>
      </c>
    </row>
    <row r="370" spans="1:28" x14ac:dyDescent="0.25">
      <c r="A370" t="s">
        <v>374</v>
      </c>
      <c r="B370">
        <v>0.99987803227770999</v>
      </c>
      <c r="C370">
        <v>0.95751654785106799</v>
      </c>
      <c r="D370">
        <v>0.83325904118550098</v>
      </c>
      <c r="E370">
        <v>0.43130939593171602</v>
      </c>
      <c r="F370">
        <v>0.229117264761588</v>
      </c>
      <c r="G370">
        <v>0.18597997957261</v>
      </c>
      <c r="H370">
        <v>0.14327789514233799</v>
      </c>
      <c r="I370">
        <v>0.122731824011275</v>
      </c>
      <c r="J370">
        <v>0.100585947702321</v>
      </c>
      <c r="K370">
        <v>6.8803525604355598E-2</v>
      </c>
      <c r="L370">
        <v>1100.9014979695</v>
      </c>
      <c r="M370">
        <v>22.549865633802501</v>
      </c>
      <c r="N370">
        <v>49.372144835622898</v>
      </c>
      <c r="O370">
        <v>48.441695500665901</v>
      </c>
      <c r="P370">
        <v>-0.103424133717067</v>
      </c>
      <c r="Q370">
        <v>0.11131408282474201</v>
      </c>
      <c r="R370">
        <v>0.99634573846674601</v>
      </c>
      <c r="S370" t="s">
        <v>6681</v>
      </c>
      <c r="T370" t="s">
        <v>12620</v>
      </c>
      <c r="U370" t="s">
        <v>12620</v>
      </c>
      <c r="V370" t="s">
        <v>12620</v>
      </c>
      <c r="W370" t="s">
        <v>12982</v>
      </c>
      <c r="X370">
        <v>29</v>
      </c>
      <c r="Y370" t="s">
        <v>19229</v>
      </c>
      <c r="Z370" t="s">
        <v>25317</v>
      </c>
      <c r="AA370">
        <v>0.38234982321559152</v>
      </c>
      <c r="AB370" t="str">
        <f>HYPERLINK("Melting_Curves/meltCurve_E9PCX8_TNS3.pdf", "Melting_Curves/meltCurve_E9PCX8_TNS3.pdf")</f>
        <v>Melting_Curves/meltCurve_E9PCX8_TNS3.pdf</v>
      </c>
    </row>
    <row r="371" spans="1:28" x14ac:dyDescent="0.25">
      <c r="A371" t="s">
        <v>375</v>
      </c>
      <c r="B371">
        <v>0.99987803227770999</v>
      </c>
      <c r="C371">
        <v>0.67948837960675201</v>
      </c>
      <c r="D371">
        <v>0.92773748972266501</v>
      </c>
      <c r="E371">
        <v>0.72644219889031503</v>
      </c>
      <c r="F371">
        <v>1.14264394740815</v>
      </c>
      <c r="G371">
        <v>0.89343534660177604</v>
      </c>
      <c r="H371">
        <v>1.1020659639441399</v>
      </c>
      <c r="I371">
        <v>0.99986671481422595</v>
      </c>
      <c r="J371">
        <v>1.2609226343139801</v>
      </c>
      <c r="K371">
        <v>1.1201508246310801</v>
      </c>
      <c r="L371">
        <v>15000</v>
      </c>
      <c r="M371">
        <v>230.556220260223</v>
      </c>
      <c r="O371">
        <v>65.055157386298404</v>
      </c>
      <c r="P371">
        <v>0.168842822831791</v>
      </c>
      <c r="Q371">
        <v>1.19056690856185</v>
      </c>
      <c r="R371">
        <v>0.23058219463297</v>
      </c>
      <c r="S371" t="s">
        <v>6682</v>
      </c>
      <c r="T371" t="s">
        <v>12620</v>
      </c>
      <c r="U371" t="s">
        <v>12620</v>
      </c>
      <c r="V371" t="s">
        <v>12620</v>
      </c>
      <c r="W371" t="s">
        <v>12983</v>
      </c>
      <c r="X371">
        <v>4</v>
      </c>
      <c r="Y371" t="s">
        <v>19230</v>
      </c>
      <c r="Z371" t="s">
        <v>25318</v>
      </c>
      <c r="AA371">
        <v>1.031354094045017</v>
      </c>
      <c r="AB371" t="str">
        <f>HYPERLINK("Melting_Curves/meltCurve_E9PD90_CKAP2.pdf", "Melting_Curves/meltCurve_E9PD90_CKAP2.pdf")</f>
        <v>Melting_Curves/meltCurve_E9PD90_CKAP2.pdf</v>
      </c>
    </row>
    <row r="372" spans="1:28" x14ac:dyDescent="0.25">
      <c r="A372" t="s">
        <v>376</v>
      </c>
      <c r="B372">
        <v>0.99987803227770999</v>
      </c>
      <c r="C372">
        <v>0.90361111382395098</v>
      </c>
      <c r="D372">
        <v>0.91219790991959404</v>
      </c>
      <c r="E372">
        <v>0.73445275956891698</v>
      </c>
      <c r="F372">
        <v>0.67766115704295704</v>
      </c>
      <c r="G372">
        <v>0.54474439913969896</v>
      </c>
      <c r="H372">
        <v>0.43444027143302999</v>
      </c>
      <c r="I372">
        <v>0.385947706898639</v>
      </c>
      <c r="J372">
        <v>0.28737987254950997</v>
      </c>
      <c r="K372">
        <v>0.24485053143614299</v>
      </c>
      <c r="L372">
        <v>424.15915555729299</v>
      </c>
      <c r="M372">
        <v>7.3341683081454896</v>
      </c>
      <c r="N372">
        <v>58.5541683206824</v>
      </c>
      <c r="O372">
        <v>53.999593131963998</v>
      </c>
      <c r="P372">
        <v>-3.2539712383561598E-2</v>
      </c>
      <c r="Q372">
        <v>4.3168493289165499E-2</v>
      </c>
      <c r="R372">
        <v>0.99166664444785402</v>
      </c>
      <c r="S372" t="s">
        <v>6683</v>
      </c>
      <c r="T372" t="s">
        <v>12620</v>
      </c>
      <c r="U372" t="s">
        <v>12620</v>
      </c>
      <c r="V372" t="s">
        <v>12620</v>
      </c>
      <c r="W372" t="s">
        <v>12984</v>
      </c>
      <c r="X372">
        <v>6</v>
      </c>
      <c r="Y372" t="s">
        <v>19231</v>
      </c>
      <c r="Z372" t="s">
        <v>25319</v>
      </c>
      <c r="AA372">
        <v>0.61380822859745299</v>
      </c>
      <c r="AB372" t="str">
        <f>HYPERLINK("Melting_Curves/meltCurve_E9PDK2_UNKL.pdf", "Melting_Curves/meltCurve_E9PDK2_UNKL.pdf")</f>
        <v>Melting_Curves/meltCurve_E9PDK2_UNKL.pdf</v>
      </c>
    </row>
    <row r="373" spans="1:28" x14ac:dyDescent="0.25">
      <c r="A373" t="s">
        <v>377</v>
      </c>
      <c r="B373">
        <v>0.99987803227770999</v>
      </c>
      <c r="C373">
        <v>1.08378008526737</v>
      </c>
      <c r="D373">
        <v>0.68640069065757603</v>
      </c>
      <c r="E373">
        <v>0.54383840209702605</v>
      </c>
      <c r="F373">
        <v>0.32444850198020297</v>
      </c>
      <c r="G373">
        <v>0.26554478122193997</v>
      </c>
      <c r="H373">
        <v>0.156654446657116</v>
      </c>
      <c r="I373">
        <v>0.11588828462420001</v>
      </c>
      <c r="J373">
        <v>7.7610510130629196E-2</v>
      </c>
      <c r="K373">
        <v>5.7415329259925603E-2</v>
      </c>
      <c r="L373">
        <v>734.62923701984005</v>
      </c>
      <c r="M373">
        <v>14.730387797042299</v>
      </c>
      <c r="N373">
        <v>50.452301325305399</v>
      </c>
      <c r="O373">
        <v>48.979606525787702</v>
      </c>
      <c r="P373">
        <v>-6.9331913762767206E-2</v>
      </c>
      <c r="Q373">
        <v>7.79654659146954E-2</v>
      </c>
      <c r="R373">
        <v>0.96595802878717496</v>
      </c>
      <c r="S373" t="s">
        <v>6684</v>
      </c>
      <c r="T373" t="s">
        <v>12620</v>
      </c>
      <c r="U373" t="s">
        <v>12620</v>
      </c>
      <c r="V373" t="s">
        <v>12620</v>
      </c>
      <c r="W373" t="s">
        <v>12899</v>
      </c>
      <c r="X373">
        <v>21</v>
      </c>
      <c r="Y373" t="s">
        <v>19145</v>
      </c>
      <c r="Z373" t="s">
        <v>25320</v>
      </c>
      <c r="AA373">
        <v>0.40416917172170203</v>
      </c>
      <c r="AB373" t="str">
        <f>HYPERLINK("Melting_Curves/meltCurve_E9PDP5_ANKHD1.pdf", "Melting_Curves/meltCurve_E9PDP5_ANKHD1.pdf")</f>
        <v>Melting_Curves/meltCurve_E9PDP5_ANKHD1.pdf</v>
      </c>
    </row>
    <row r="374" spans="1:28" x14ac:dyDescent="0.25">
      <c r="A374" t="s">
        <v>378</v>
      </c>
      <c r="B374">
        <v>0.99987803227770999</v>
      </c>
      <c r="C374">
        <v>1.1297608975222799</v>
      </c>
      <c r="D374">
        <v>0.79972913686951397</v>
      </c>
      <c r="E374">
        <v>0.80519150281662699</v>
      </c>
      <c r="F374">
        <v>0.53873458441028199</v>
      </c>
      <c r="G374">
        <v>0.350314012407835</v>
      </c>
      <c r="H374">
        <v>0.26940209362571399</v>
      </c>
      <c r="I374">
        <v>0.16503607978938301</v>
      </c>
      <c r="J374">
        <v>7.3264058263865797E-2</v>
      </c>
      <c r="K374">
        <v>2.6717794130563299E-2</v>
      </c>
      <c r="L374">
        <v>666.84032984098303</v>
      </c>
      <c r="M374">
        <v>12.2360851233787</v>
      </c>
      <c r="N374">
        <v>54.4978497939085</v>
      </c>
      <c r="O374">
        <v>53.1035512469537</v>
      </c>
      <c r="P374">
        <v>-5.7617711703930603E-2</v>
      </c>
      <c r="Q374">
        <v>0</v>
      </c>
      <c r="R374">
        <v>0.96517733324668398</v>
      </c>
      <c r="S374" t="s">
        <v>6685</v>
      </c>
      <c r="T374" t="s">
        <v>12620</v>
      </c>
      <c r="U374" t="s">
        <v>12620</v>
      </c>
      <c r="V374" t="s">
        <v>12620</v>
      </c>
      <c r="W374" t="s">
        <v>12985</v>
      </c>
      <c r="X374">
        <v>2</v>
      </c>
      <c r="Y374" t="s">
        <v>19232</v>
      </c>
      <c r="Z374" t="s">
        <v>25321</v>
      </c>
      <c r="AA374">
        <v>0.50769891631851416</v>
      </c>
      <c r="AB374" t="str">
        <f>HYPERLINK("Melting_Curves/meltCurve_E9PE82_ACADS.pdf", "Melting_Curves/meltCurve_E9PE82_ACADS.pdf")</f>
        <v>Melting_Curves/meltCurve_E9PE82_ACADS.pdf</v>
      </c>
    </row>
    <row r="375" spans="1:28" x14ac:dyDescent="0.25">
      <c r="A375" t="s">
        <v>379</v>
      </c>
      <c r="B375">
        <v>0.99987803227770999</v>
      </c>
      <c r="C375">
        <v>0.89020444442149504</v>
      </c>
      <c r="D375">
        <v>1.0099380618749301</v>
      </c>
      <c r="E375">
        <v>0.80648363125255196</v>
      </c>
      <c r="F375">
        <v>1.02487996369597</v>
      </c>
      <c r="G375">
        <v>0.80984086519704401</v>
      </c>
      <c r="H375">
        <v>0.80981918822745902</v>
      </c>
      <c r="I375">
        <v>0.78235492894144498</v>
      </c>
      <c r="J375">
        <v>0.74697685988384899</v>
      </c>
      <c r="K375">
        <v>0.65774672143624302</v>
      </c>
      <c r="L375">
        <v>296.97470357323698</v>
      </c>
      <c r="M375">
        <v>3.4518205293962101</v>
      </c>
      <c r="O375">
        <v>67.098617760329702</v>
      </c>
      <c r="P375">
        <v>-1.31231511589304E-2</v>
      </c>
      <c r="Q375">
        <v>0</v>
      </c>
      <c r="R375">
        <v>0.68194286217601396</v>
      </c>
      <c r="S375" t="s">
        <v>6686</v>
      </c>
      <c r="T375" t="s">
        <v>12620</v>
      </c>
      <c r="U375" t="s">
        <v>12620</v>
      </c>
      <c r="V375" t="s">
        <v>12620</v>
      </c>
      <c r="W375" t="s">
        <v>12986</v>
      </c>
      <c r="X375">
        <v>2</v>
      </c>
      <c r="Y375" t="s">
        <v>19233</v>
      </c>
      <c r="Z375" t="s">
        <v>25322</v>
      </c>
      <c r="AA375">
        <v>0.86112291121796636</v>
      </c>
      <c r="AB375" t="str">
        <f>HYPERLINK("Melting_Curves/meltCurve_E9PEG3_AR.pdf", "Melting_Curves/meltCurve_E9PEG3_AR.pdf")</f>
        <v>Melting_Curves/meltCurve_E9PEG3_AR.pdf</v>
      </c>
    </row>
    <row r="376" spans="1:28" x14ac:dyDescent="0.25">
      <c r="A376" t="s">
        <v>380</v>
      </c>
      <c r="B376">
        <v>0.99987803227770999</v>
      </c>
      <c r="C376">
        <v>1.0426833153833901</v>
      </c>
      <c r="D376">
        <v>1.0036123196967199</v>
      </c>
      <c r="E376">
        <v>0.99371550379412799</v>
      </c>
      <c r="F376">
        <v>0.99752810071584597</v>
      </c>
      <c r="G376">
        <v>0.75522823815500495</v>
      </c>
      <c r="H376">
        <v>0.775504024798367</v>
      </c>
      <c r="I376">
        <v>0.75992166089667301</v>
      </c>
      <c r="J376">
        <v>0.701951752084778</v>
      </c>
      <c r="K376">
        <v>0.58126676663996701</v>
      </c>
      <c r="L376">
        <v>728.88157103604499</v>
      </c>
      <c r="M376">
        <v>12.018832208068799</v>
      </c>
      <c r="O376">
        <v>59.039253557313799</v>
      </c>
      <c r="P376">
        <v>-2.2540951981286899E-2</v>
      </c>
      <c r="Q376">
        <v>0.55720084655206303</v>
      </c>
      <c r="R376">
        <v>0.89950808772992397</v>
      </c>
      <c r="S376" t="s">
        <v>6687</v>
      </c>
      <c r="T376" t="s">
        <v>12620</v>
      </c>
      <c r="U376" t="s">
        <v>12620</v>
      </c>
      <c r="V376" t="s">
        <v>12620</v>
      </c>
      <c r="W376" t="s">
        <v>12987</v>
      </c>
      <c r="X376">
        <v>2</v>
      </c>
      <c r="Y376" t="s">
        <v>19234</v>
      </c>
      <c r="Z376" t="s">
        <v>25323</v>
      </c>
      <c r="AA376">
        <v>0.86121416943779683</v>
      </c>
      <c r="AB376" t="str">
        <f>HYPERLINK("Melting_Curves/meltCurve_E9PEK0_HMGXB3.pdf", "Melting_Curves/meltCurve_E9PEK0_HMGXB3.pdf")</f>
        <v>Melting_Curves/meltCurve_E9PEK0_HMGXB3.pdf</v>
      </c>
    </row>
    <row r="377" spans="1:28" x14ac:dyDescent="0.25">
      <c r="A377" t="s">
        <v>381</v>
      </c>
      <c r="B377">
        <v>0.99987803227770999</v>
      </c>
      <c r="C377">
        <v>0.92769576913389695</v>
      </c>
      <c r="D377">
        <v>0.86122488845405898</v>
      </c>
      <c r="E377">
        <v>0.33925274362202601</v>
      </c>
      <c r="F377">
        <v>0.17300535448579499</v>
      </c>
      <c r="G377">
        <v>0.11653079245377</v>
      </c>
      <c r="H377">
        <v>7.8762386307266397E-2</v>
      </c>
      <c r="I377">
        <v>6.6950761285761801E-2</v>
      </c>
      <c r="J377">
        <v>5.3215448659522303E-2</v>
      </c>
      <c r="K377">
        <v>4.3948899935345002E-2</v>
      </c>
      <c r="L377">
        <v>1322.5624722702901</v>
      </c>
      <c r="M377">
        <v>27.226464891134899</v>
      </c>
      <c r="N377">
        <v>48.839393078717201</v>
      </c>
      <c r="O377">
        <v>48.316553871481297</v>
      </c>
      <c r="P377">
        <v>-0.131269644123199</v>
      </c>
      <c r="Q377">
        <v>6.81951515078138E-2</v>
      </c>
      <c r="R377">
        <v>0.99596722828836504</v>
      </c>
      <c r="S377" t="s">
        <v>6688</v>
      </c>
      <c r="T377" t="s">
        <v>12620</v>
      </c>
      <c r="U377" t="s">
        <v>12620</v>
      </c>
      <c r="V377" t="s">
        <v>12620</v>
      </c>
      <c r="W377" t="s">
        <v>12988</v>
      </c>
      <c r="X377">
        <v>13</v>
      </c>
      <c r="Y377" t="s">
        <v>19235</v>
      </c>
      <c r="Z377" t="s">
        <v>25324</v>
      </c>
      <c r="AA377">
        <v>0.3414769683371881</v>
      </c>
      <c r="AB377" t="str">
        <f>HYPERLINK("Melting_Curves/meltCurve_E9PER6_PDPK1.pdf", "Melting_Curves/meltCurve_E9PER6_PDPK1.pdf")</f>
        <v>Melting_Curves/meltCurve_E9PER6_PDPK1.pdf</v>
      </c>
    </row>
    <row r="378" spans="1:28" x14ac:dyDescent="0.25">
      <c r="A378" t="s">
        <v>382</v>
      </c>
      <c r="B378">
        <v>0.99987803227770999</v>
      </c>
      <c r="C378">
        <v>1.2020751435360399</v>
      </c>
      <c r="D378">
        <v>0.90069442777991404</v>
      </c>
      <c r="E378">
        <v>0.83516773202101802</v>
      </c>
      <c r="F378">
        <v>0.37285972464226602</v>
      </c>
      <c r="G378">
        <v>0.28572050777644498</v>
      </c>
      <c r="H378">
        <v>0.182149312054043</v>
      </c>
      <c r="I378">
        <v>0.142297452553036</v>
      </c>
      <c r="J378">
        <v>0.13041211451082799</v>
      </c>
      <c r="K378">
        <v>8.9074997826184998E-2</v>
      </c>
      <c r="L378">
        <v>1609.6857359805699</v>
      </c>
      <c r="M378">
        <v>31.083105492343801</v>
      </c>
      <c r="N378">
        <v>52.377432948486103</v>
      </c>
      <c r="O378">
        <v>51.5735856270637</v>
      </c>
      <c r="P378">
        <v>-0.12839018529985999</v>
      </c>
      <c r="Q378">
        <v>0.14789668575770301</v>
      </c>
      <c r="R378">
        <v>0.95883290918835296</v>
      </c>
      <c r="S378" t="s">
        <v>6689</v>
      </c>
      <c r="T378" t="s">
        <v>12620</v>
      </c>
      <c r="U378" t="s">
        <v>12620</v>
      </c>
      <c r="V378" t="s">
        <v>12620</v>
      </c>
      <c r="W378" t="s">
        <v>12989</v>
      </c>
      <c r="X378">
        <v>41</v>
      </c>
      <c r="Y378" t="s">
        <v>19236</v>
      </c>
      <c r="Z378" t="s">
        <v>25325</v>
      </c>
      <c r="AA378">
        <v>0.48773061950370139</v>
      </c>
      <c r="AB378" t="str">
        <f>HYPERLINK("Melting_Curves/meltCurve_E9PEZ3_DIAPH1.pdf", "Melting_Curves/meltCurve_E9PEZ3_DIAPH1.pdf")</f>
        <v>Melting_Curves/meltCurve_E9PEZ3_DIAPH1.pdf</v>
      </c>
    </row>
    <row r="379" spans="1:28" x14ac:dyDescent="0.25">
      <c r="A379" t="s">
        <v>383</v>
      </c>
      <c r="B379">
        <v>0.99987803227770999</v>
      </c>
      <c r="C379">
        <v>1.00709849655705</v>
      </c>
      <c r="D379">
        <v>0.542121058352109</v>
      </c>
      <c r="E379">
        <v>0.27622875474694403</v>
      </c>
      <c r="F379">
        <v>0.145967513899845</v>
      </c>
      <c r="G379">
        <v>9.2790169449512794E-2</v>
      </c>
      <c r="H379">
        <v>7.1063116333898696E-2</v>
      </c>
      <c r="I379">
        <v>7.4110637270455498E-2</v>
      </c>
      <c r="J379">
        <v>4.6269916959398402E-2</v>
      </c>
      <c r="K379">
        <v>6.4427627675256394E-2</v>
      </c>
      <c r="L379">
        <v>1157.9202085168299</v>
      </c>
      <c r="M379">
        <v>24.830688516373399</v>
      </c>
      <c r="N379">
        <v>46.947024021674203</v>
      </c>
      <c r="O379">
        <v>46.333324374722103</v>
      </c>
      <c r="P379">
        <v>-0.12371779799898</v>
      </c>
      <c r="Q379">
        <v>7.6597872206193796E-2</v>
      </c>
      <c r="R379">
        <v>0.98422644735506404</v>
      </c>
      <c r="S379" t="s">
        <v>6690</v>
      </c>
      <c r="T379" t="s">
        <v>12620</v>
      </c>
      <c r="U379" t="s">
        <v>12620</v>
      </c>
      <c r="V379" t="s">
        <v>12620</v>
      </c>
      <c r="W379" t="s">
        <v>12990</v>
      </c>
      <c r="X379">
        <v>10</v>
      </c>
      <c r="Y379" t="s">
        <v>19237</v>
      </c>
      <c r="Z379" t="s">
        <v>25326</v>
      </c>
      <c r="AA379">
        <v>0.28919685570294817</v>
      </c>
      <c r="AB379" t="str">
        <f>HYPERLINK("Melting_Curves/meltCurve_E9PF10_NUP155.pdf", "Melting_Curves/meltCurve_E9PF10_NUP155.pdf")</f>
        <v>Melting_Curves/meltCurve_E9PF10_NUP155.pdf</v>
      </c>
    </row>
    <row r="380" spans="1:28" x14ac:dyDescent="0.25">
      <c r="A380" t="s">
        <v>384</v>
      </c>
      <c r="B380">
        <v>0.99987803227770999</v>
      </c>
      <c r="C380">
        <v>0.82613845383475704</v>
      </c>
      <c r="D380">
        <v>0.548831361434169</v>
      </c>
      <c r="E380">
        <v>0.25986854651413599</v>
      </c>
      <c r="F380">
        <v>0.15101200167895501</v>
      </c>
      <c r="G380">
        <v>9.2146003730487105E-2</v>
      </c>
      <c r="H380">
        <v>6.8415840387486396E-2</v>
      </c>
      <c r="I380">
        <v>5.7369256268103401E-2</v>
      </c>
      <c r="J380">
        <v>3.6731230852021401E-2</v>
      </c>
      <c r="K380">
        <v>2.75400466869835E-2</v>
      </c>
      <c r="L380">
        <v>846.04808728811201</v>
      </c>
      <c r="M380">
        <v>18.2073789196569</v>
      </c>
      <c r="N380">
        <v>46.721167501447603</v>
      </c>
      <c r="O380">
        <v>45.917664634968098</v>
      </c>
      <c r="P380">
        <v>-9.4466495567020706E-2</v>
      </c>
      <c r="Q380">
        <v>4.7094891067243697E-2</v>
      </c>
      <c r="R380">
        <v>0.99674493755190796</v>
      </c>
      <c r="S380" t="s">
        <v>6691</v>
      </c>
      <c r="T380" t="s">
        <v>12620</v>
      </c>
      <c r="U380" t="s">
        <v>12620</v>
      </c>
      <c r="V380" t="s">
        <v>12620</v>
      </c>
      <c r="W380" t="s">
        <v>12991</v>
      </c>
      <c r="X380">
        <v>7</v>
      </c>
      <c r="Y380" t="s">
        <v>19238</v>
      </c>
      <c r="Z380" t="s">
        <v>25327</v>
      </c>
      <c r="AA380">
        <v>0.27017522804479871</v>
      </c>
      <c r="AB380" t="str">
        <f>HYPERLINK("Melting_Curves/meltCurve_E9PF16_ACSF2.pdf", "Melting_Curves/meltCurve_E9PF16_ACSF2.pdf")</f>
        <v>Melting_Curves/meltCurve_E9PF16_ACSF2.pdf</v>
      </c>
    </row>
    <row r="381" spans="1:28" x14ac:dyDescent="0.25">
      <c r="A381" t="s">
        <v>385</v>
      </c>
      <c r="B381">
        <v>0.99987803227770999</v>
      </c>
      <c r="C381">
        <v>0.86960533434382203</v>
      </c>
      <c r="D381">
        <v>0.96550163266016198</v>
      </c>
      <c r="E381">
        <v>0.84560182067772705</v>
      </c>
      <c r="F381">
        <v>0.87266042981166303</v>
      </c>
      <c r="G381">
        <v>0.771756077541494</v>
      </c>
      <c r="H381">
        <v>0.77035742487277503</v>
      </c>
      <c r="I381">
        <v>0.73243489873785605</v>
      </c>
      <c r="J381">
        <v>0.70193325798288997</v>
      </c>
      <c r="K381">
        <v>0.55498290891581903</v>
      </c>
      <c r="L381">
        <v>269.98217039884503</v>
      </c>
      <c r="M381">
        <v>3.3626071059350102</v>
      </c>
      <c r="O381">
        <v>61.990152652537802</v>
      </c>
      <c r="P381">
        <v>-1.3860307801119199E-2</v>
      </c>
      <c r="Q381">
        <v>0</v>
      </c>
      <c r="R381">
        <v>0.87351294073211405</v>
      </c>
      <c r="S381" t="s">
        <v>6692</v>
      </c>
      <c r="T381" t="s">
        <v>12620</v>
      </c>
      <c r="U381" t="s">
        <v>12620</v>
      </c>
      <c r="V381" t="s">
        <v>12620</v>
      </c>
      <c r="W381" t="s">
        <v>12992</v>
      </c>
      <c r="X381">
        <v>20</v>
      </c>
      <c r="Y381" t="s">
        <v>19239</v>
      </c>
      <c r="Z381" t="s">
        <v>25328</v>
      </c>
      <c r="AA381">
        <v>0.8141278671092359</v>
      </c>
      <c r="AB381" t="str">
        <f>HYPERLINK("Melting_Curves/meltCurve_E9PF99_CEP192.pdf", "Melting_Curves/meltCurve_E9PF99_CEP192.pdf")</f>
        <v>Melting_Curves/meltCurve_E9PF99_CEP192.pdf</v>
      </c>
    </row>
    <row r="382" spans="1:28" x14ac:dyDescent="0.25">
      <c r="A382" t="s">
        <v>386</v>
      </c>
      <c r="B382">
        <v>0.99987803227770999</v>
      </c>
      <c r="C382">
        <v>1.2437568887200301</v>
      </c>
      <c r="D382">
        <v>0.78986135289882997</v>
      </c>
      <c r="E382">
        <v>0.83916048046554204</v>
      </c>
      <c r="F382">
        <v>0.219070402501198</v>
      </c>
      <c r="G382">
        <v>0.13923647154124999</v>
      </c>
      <c r="H382">
        <v>0.10895195503446101</v>
      </c>
      <c r="I382">
        <v>9.1960750960750501E-2</v>
      </c>
      <c r="J382">
        <v>6.61082928222783E-2</v>
      </c>
      <c r="K382">
        <v>4.81470830980655E-2</v>
      </c>
      <c r="L382">
        <v>2841.3637861083798</v>
      </c>
      <c r="M382">
        <v>55.3399112731651</v>
      </c>
      <c r="N382">
        <v>51.5264174685501</v>
      </c>
      <c r="O382">
        <v>51.276930747583698</v>
      </c>
      <c r="P382">
        <v>-0.24578832805067199</v>
      </c>
      <c r="Q382">
        <v>8.9029011479485096E-2</v>
      </c>
      <c r="R382">
        <v>0.94332116173079095</v>
      </c>
      <c r="S382" t="s">
        <v>6693</v>
      </c>
      <c r="T382" t="s">
        <v>12620</v>
      </c>
      <c r="U382" t="s">
        <v>12620</v>
      </c>
      <c r="V382" t="s">
        <v>12620</v>
      </c>
      <c r="W382" t="s">
        <v>12993</v>
      </c>
      <c r="X382">
        <v>27</v>
      </c>
      <c r="Y382" t="s">
        <v>19240</v>
      </c>
      <c r="Z382" t="s">
        <v>25329</v>
      </c>
      <c r="AA382">
        <v>0.43517523458936608</v>
      </c>
      <c r="AB382" t="str">
        <f>HYPERLINK("Melting_Curves/meltCurve_E9PFR3_PPP2R5D.pdf", "Melting_Curves/meltCurve_E9PFR3_PPP2R5D.pdf")</f>
        <v>Melting_Curves/meltCurve_E9PFR3_PPP2R5D.pdf</v>
      </c>
    </row>
    <row r="383" spans="1:28" x14ac:dyDescent="0.25">
      <c r="A383" t="s">
        <v>387</v>
      </c>
      <c r="B383">
        <v>0.99987803227770999</v>
      </c>
      <c r="C383">
        <v>0.82155882561763305</v>
      </c>
      <c r="D383">
        <v>0.93514574430389796</v>
      </c>
      <c r="E383">
        <v>0.87881222667185999</v>
      </c>
      <c r="F383">
        <v>1.2628195135937299</v>
      </c>
      <c r="G383">
        <v>1.0687339148059001</v>
      </c>
      <c r="H383">
        <v>1.1516888702471499</v>
      </c>
      <c r="I383">
        <v>1.36160090685549</v>
      </c>
      <c r="J383">
        <v>1.02000047260617</v>
      </c>
      <c r="K383">
        <v>0.86598941052959899</v>
      </c>
      <c r="S383" t="s">
        <v>6694</v>
      </c>
      <c r="T383" t="s">
        <v>12620</v>
      </c>
      <c r="U383" t="s">
        <v>12621</v>
      </c>
      <c r="V383" t="s">
        <v>12620</v>
      </c>
      <c r="W383" t="s">
        <v>12994</v>
      </c>
      <c r="X383">
        <v>4</v>
      </c>
      <c r="Y383" t="s">
        <v>19241</v>
      </c>
      <c r="Z383" t="s">
        <v>25330</v>
      </c>
      <c r="AB383" t="str">
        <f>HYPERLINK("Melting_Curves/meltCurve_E9PFU9_ZFAND2B.pdf", "Melting_Curves/meltCurve_E9PFU9_ZFAND2B.pdf")</f>
        <v>Melting_Curves/meltCurve_E9PFU9_ZFAND2B.pdf</v>
      </c>
    </row>
    <row r="384" spans="1:28" x14ac:dyDescent="0.25">
      <c r="A384" t="s">
        <v>388</v>
      </c>
      <c r="B384">
        <v>0.99987803227770999</v>
      </c>
      <c r="C384">
        <v>0.99700621796531896</v>
      </c>
      <c r="D384">
        <v>0.86482559230237399</v>
      </c>
      <c r="E384">
        <v>0.71963285074221395</v>
      </c>
      <c r="F384">
        <v>0.49305898211282501</v>
      </c>
      <c r="G384">
        <v>0.29696101799559099</v>
      </c>
      <c r="H384">
        <v>0.25096993193690997</v>
      </c>
      <c r="I384">
        <v>0.20192038575330101</v>
      </c>
      <c r="J384">
        <v>0.219419621484093</v>
      </c>
      <c r="K384">
        <v>0.16666947964604301</v>
      </c>
      <c r="L384">
        <v>859.26400103913795</v>
      </c>
      <c r="M384">
        <v>16.660461934508302</v>
      </c>
      <c r="N384">
        <v>52.962485277678702</v>
      </c>
      <c r="O384">
        <v>50.8491769330126</v>
      </c>
      <c r="P384">
        <v>-6.7430789901556099E-2</v>
      </c>
      <c r="Q384">
        <v>0.17683654641548199</v>
      </c>
      <c r="R384">
        <v>0.99569977027444101</v>
      </c>
      <c r="S384" t="s">
        <v>6695</v>
      </c>
      <c r="T384" t="s">
        <v>12620</v>
      </c>
      <c r="U384" t="s">
        <v>12620</v>
      </c>
      <c r="V384" t="s">
        <v>12620</v>
      </c>
      <c r="W384" t="s">
        <v>12995</v>
      </c>
      <c r="X384">
        <v>8</v>
      </c>
      <c r="Y384" t="s">
        <v>19242</v>
      </c>
      <c r="Z384" t="s">
        <v>25331</v>
      </c>
      <c r="AA384">
        <v>0.51017016627981748</v>
      </c>
      <c r="AB384" t="str">
        <f>HYPERLINK("Melting_Curves/meltCurve_E9PG22_CEP97.pdf", "Melting_Curves/meltCurve_E9PG22_CEP97.pdf")</f>
        <v>Melting_Curves/meltCurve_E9PG22_CEP97.pdf</v>
      </c>
    </row>
    <row r="385" spans="1:28" x14ac:dyDescent="0.25">
      <c r="A385" t="s">
        <v>389</v>
      </c>
      <c r="B385">
        <v>0.99987803227770999</v>
      </c>
      <c r="C385">
        <v>0.85757289680152804</v>
      </c>
      <c r="D385">
        <v>0.97459652663755103</v>
      </c>
      <c r="E385">
        <v>0.80934921604804</v>
      </c>
      <c r="F385">
        <v>1.10343928308188</v>
      </c>
      <c r="G385">
        <v>0.89615283383687705</v>
      </c>
      <c r="H385">
        <v>0.98185054628109902</v>
      </c>
      <c r="I385">
        <v>1.00197026693739</v>
      </c>
      <c r="J385">
        <v>1.11772301910479</v>
      </c>
      <c r="K385">
        <v>1.0526380732199301</v>
      </c>
      <c r="L385">
        <v>15000</v>
      </c>
      <c r="M385">
        <v>230.99418127198601</v>
      </c>
      <c r="O385">
        <v>64.931833282923805</v>
      </c>
      <c r="P385">
        <v>7.5764019955795195E-2</v>
      </c>
      <c r="Q385">
        <v>1.0851882359309</v>
      </c>
      <c r="R385">
        <v>0.11269149045330699</v>
      </c>
      <c r="S385" t="s">
        <v>6696</v>
      </c>
      <c r="T385" t="s">
        <v>12620</v>
      </c>
      <c r="U385" t="s">
        <v>12620</v>
      </c>
      <c r="V385" t="s">
        <v>12620</v>
      </c>
      <c r="W385" t="s">
        <v>12996</v>
      </c>
      <c r="X385">
        <v>3</v>
      </c>
      <c r="Y385" t="s">
        <v>19243</v>
      </c>
      <c r="Z385" t="s">
        <v>25332</v>
      </c>
      <c r="AA385">
        <v>1.0143664127025629</v>
      </c>
      <c r="AB385" t="str">
        <f>HYPERLINK("Melting_Curves/meltCurve_E9PG40_APP.pdf", "Melting_Curves/meltCurve_E9PG40_APP.pdf")</f>
        <v>Melting_Curves/meltCurve_E9PG40_APP.pdf</v>
      </c>
    </row>
    <row r="386" spans="1:28" x14ac:dyDescent="0.25">
      <c r="A386" t="s">
        <v>390</v>
      </c>
      <c r="B386">
        <v>0.99987803227770999</v>
      </c>
      <c r="C386">
        <v>0.93497179494008098</v>
      </c>
      <c r="D386">
        <v>0.93864716644809099</v>
      </c>
      <c r="E386">
        <v>0.75130637417101598</v>
      </c>
      <c r="F386">
        <v>0.66866891325658395</v>
      </c>
      <c r="G386">
        <v>0.426860118499785</v>
      </c>
      <c r="H386">
        <v>0.35281285422443098</v>
      </c>
      <c r="I386">
        <v>0.32125191506069101</v>
      </c>
      <c r="J386">
        <v>0.29644661260861299</v>
      </c>
      <c r="K386">
        <v>0.24889169208835099</v>
      </c>
      <c r="L386">
        <v>711.86833039188696</v>
      </c>
      <c r="M386">
        <v>13.362609928037401</v>
      </c>
      <c r="N386">
        <v>55.9215329328078</v>
      </c>
      <c r="O386">
        <v>52.122475507519901</v>
      </c>
      <c r="P386">
        <v>-4.9073122436523897E-2</v>
      </c>
      <c r="Q386">
        <v>0.23445891699694199</v>
      </c>
      <c r="R386">
        <v>0.99300571370345903</v>
      </c>
      <c r="S386" t="s">
        <v>6697</v>
      </c>
      <c r="T386" t="s">
        <v>12620</v>
      </c>
      <c r="U386" t="s">
        <v>12620</v>
      </c>
      <c r="V386" t="s">
        <v>12620</v>
      </c>
      <c r="W386" t="s">
        <v>12997</v>
      </c>
      <c r="X386">
        <v>33</v>
      </c>
      <c r="Y386" t="s">
        <v>19244</v>
      </c>
      <c r="Z386" t="s">
        <v>25333</v>
      </c>
      <c r="AA386">
        <v>0.59203530428892515</v>
      </c>
      <c r="AB386" t="str">
        <f>HYPERLINK("Melting_Curves/meltCurve_E9PGF5_TNS1.pdf", "Melting_Curves/meltCurve_E9PGF5_TNS1.pdf")</f>
        <v>Melting_Curves/meltCurve_E9PGF5_TNS1.pdf</v>
      </c>
    </row>
    <row r="387" spans="1:28" x14ac:dyDescent="0.25">
      <c r="A387" t="s">
        <v>391</v>
      </c>
      <c r="B387">
        <v>0.99987803227770999</v>
      </c>
      <c r="C387">
        <v>1.21725139825184</v>
      </c>
      <c r="D387">
        <v>0.98088552287281106</v>
      </c>
      <c r="E387">
        <v>1.1829014937035001</v>
      </c>
      <c r="F387">
        <v>0.76693207763803195</v>
      </c>
      <c r="G387">
        <v>0.95343270535472102</v>
      </c>
      <c r="H387">
        <v>1.2709957811480601</v>
      </c>
      <c r="I387">
        <v>0.86998366643703595</v>
      </c>
      <c r="J387">
        <v>0.34993315037289002</v>
      </c>
      <c r="K387">
        <v>7.2779308766698206E-2</v>
      </c>
      <c r="L387">
        <v>4199.0072410992198</v>
      </c>
      <c r="M387">
        <v>63.475028360273399</v>
      </c>
      <c r="N387">
        <v>66.257471789294996</v>
      </c>
      <c r="O387">
        <v>66.086549100726501</v>
      </c>
      <c r="P387">
        <v>-0.22859227962797199</v>
      </c>
      <c r="Q387">
        <v>4.8011805914789998E-2</v>
      </c>
      <c r="R387">
        <v>0.83910876933208201</v>
      </c>
      <c r="S387" t="s">
        <v>6698</v>
      </c>
      <c r="T387" t="s">
        <v>12620</v>
      </c>
      <c r="U387" t="s">
        <v>12620</v>
      </c>
      <c r="V387" t="s">
        <v>12620</v>
      </c>
      <c r="W387" t="s">
        <v>12998</v>
      </c>
      <c r="X387">
        <v>17</v>
      </c>
      <c r="Y387" t="s">
        <v>19245</v>
      </c>
      <c r="Z387" t="s">
        <v>25334</v>
      </c>
      <c r="AA387">
        <v>0.87846235222196467</v>
      </c>
      <c r="AB387" t="str">
        <f>HYPERLINK("Melting_Curves/meltCurve_E9PGT1_TSN.pdf", "Melting_Curves/meltCurve_E9PGT1_TSN.pdf")</f>
        <v>Melting_Curves/meltCurve_E9PGT1_TSN.pdf</v>
      </c>
    </row>
    <row r="388" spans="1:28" x14ac:dyDescent="0.25">
      <c r="A388" t="s">
        <v>392</v>
      </c>
      <c r="B388">
        <v>0.99987803227770999</v>
      </c>
      <c r="C388">
        <v>0.84536897749499995</v>
      </c>
      <c r="D388">
        <v>0.84682949454709699</v>
      </c>
      <c r="E388">
        <v>0.75804147498222796</v>
      </c>
      <c r="F388">
        <v>0.65608088191263203</v>
      </c>
      <c r="G388">
        <v>0.578374414669513</v>
      </c>
      <c r="H388">
        <v>0.32007324550293398</v>
      </c>
      <c r="I388">
        <v>0.27055505110954903</v>
      </c>
      <c r="J388">
        <v>0.294108652532519</v>
      </c>
      <c r="K388">
        <v>0.25507955751702599</v>
      </c>
      <c r="L388">
        <v>426.03717054093198</v>
      </c>
      <c r="M388">
        <v>7.5222827951682998</v>
      </c>
      <c r="N388">
        <v>57.268673299539103</v>
      </c>
      <c r="O388">
        <v>53.048779872190401</v>
      </c>
      <c r="P388">
        <v>-3.4086285229479603E-2</v>
      </c>
      <c r="Q388">
        <v>3.9829934250131697E-2</v>
      </c>
      <c r="R388">
        <v>0.96783567429211304</v>
      </c>
      <c r="S388" t="s">
        <v>6699</v>
      </c>
      <c r="T388" t="s">
        <v>12620</v>
      </c>
      <c r="U388" t="s">
        <v>12620</v>
      </c>
      <c r="V388" t="s">
        <v>12620</v>
      </c>
      <c r="W388" t="s">
        <v>12999</v>
      </c>
      <c r="X388">
        <v>5</v>
      </c>
      <c r="Y388" t="s">
        <v>19246</v>
      </c>
      <c r="Z388" t="s">
        <v>25335</v>
      </c>
      <c r="AA388">
        <v>0.58538805832176888</v>
      </c>
      <c r="AB388" t="str">
        <f>HYPERLINK("Melting_Curves/meltCurve_E9PGW7_MED22.pdf", "Melting_Curves/meltCurve_E9PGW7_MED22.pdf")</f>
        <v>Melting_Curves/meltCurve_E9PGW7_MED22.pdf</v>
      </c>
    </row>
    <row r="389" spans="1:28" x14ac:dyDescent="0.25">
      <c r="A389" t="s">
        <v>393</v>
      </c>
      <c r="B389">
        <v>0.99987803227770999</v>
      </c>
      <c r="C389">
        <v>0.58436442050968795</v>
      </c>
      <c r="D389">
        <v>1.11253016381144</v>
      </c>
      <c r="E389">
        <v>0.887770821137019</v>
      </c>
      <c r="F389">
        <v>0.69518474030024102</v>
      </c>
      <c r="G389">
        <v>0.338536304068626</v>
      </c>
      <c r="H389">
        <v>0.22462970984656799</v>
      </c>
      <c r="I389">
        <v>0.16719797429043701</v>
      </c>
      <c r="J389">
        <v>8.9605252956018899E-2</v>
      </c>
      <c r="K389">
        <v>4.61713249161547E-2</v>
      </c>
      <c r="L389">
        <v>1053.24402578126</v>
      </c>
      <c r="M389">
        <v>19.176971978525401</v>
      </c>
      <c r="N389">
        <v>55.354982264230003</v>
      </c>
      <c r="O389">
        <v>54.335563542483897</v>
      </c>
      <c r="P389">
        <v>-8.2096344801669704E-2</v>
      </c>
      <c r="Q389">
        <v>6.9596665551880196E-2</v>
      </c>
      <c r="R389">
        <v>0.86240556808897895</v>
      </c>
      <c r="S389" t="s">
        <v>6700</v>
      </c>
      <c r="T389" t="s">
        <v>12620</v>
      </c>
      <c r="U389" t="s">
        <v>12620</v>
      </c>
      <c r="V389" t="s">
        <v>12620</v>
      </c>
      <c r="W389" t="s">
        <v>13000</v>
      </c>
      <c r="X389">
        <v>11</v>
      </c>
      <c r="Y389" t="s">
        <v>19247</v>
      </c>
      <c r="Z389" t="s">
        <v>25336</v>
      </c>
      <c r="AA389">
        <v>0.54559785214176837</v>
      </c>
      <c r="AB389" t="str">
        <f>HYPERLINK("Melting_Curves/meltCurve_E9PH29_PRDX3.pdf", "Melting_Curves/meltCurve_E9PH29_PRDX3.pdf")</f>
        <v>Melting_Curves/meltCurve_E9PH29_PRDX3.pdf</v>
      </c>
    </row>
    <row r="390" spans="1:28" x14ac:dyDescent="0.25">
      <c r="A390" t="s">
        <v>394</v>
      </c>
      <c r="B390">
        <v>0.99987803227770999</v>
      </c>
      <c r="C390">
        <v>1.0158631366677899</v>
      </c>
      <c r="D390">
        <v>0.90874328044109398</v>
      </c>
      <c r="E390">
        <v>0.88058102522604698</v>
      </c>
      <c r="F390">
        <v>0.99741697617462499</v>
      </c>
      <c r="G390">
        <v>0.639704726809595</v>
      </c>
      <c r="H390">
        <v>0.30356212833315099</v>
      </c>
      <c r="I390">
        <v>0.23387507836455099</v>
      </c>
      <c r="J390">
        <v>0.185537353812818</v>
      </c>
      <c r="K390">
        <v>0.14163663657845599</v>
      </c>
      <c r="L390">
        <v>1665.87900453218</v>
      </c>
      <c r="M390">
        <v>28.877859421669999</v>
      </c>
      <c r="N390">
        <v>58.484127359593501</v>
      </c>
      <c r="O390">
        <v>57.412559605503603</v>
      </c>
      <c r="P390">
        <v>-0.105291781548494</v>
      </c>
      <c r="Q390">
        <v>0.16267688591323201</v>
      </c>
      <c r="R390">
        <v>0.97981601243023897</v>
      </c>
      <c r="S390" t="s">
        <v>6701</v>
      </c>
      <c r="T390" t="s">
        <v>12620</v>
      </c>
      <c r="U390" t="s">
        <v>12620</v>
      </c>
      <c r="V390" t="s">
        <v>12620</v>
      </c>
      <c r="W390" t="s">
        <v>13001</v>
      </c>
      <c r="X390">
        <v>1</v>
      </c>
      <c r="Y390" t="s">
        <v>19248</v>
      </c>
      <c r="Z390" t="s">
        <v>25337</v>
      </c>
      <c r="AA390">
        <v>0.66223923145662289</v>
      </c>
      <c r="AB390" t="str">
        <f>HYPERLINK("Melting_Curves/meltCurve_E9PHK0_CLEC3B.pdf", "Melting_Curves/meltCurve_E9PHK0_CLEC3B.pdf")</f>
        <v>Melting_Curves/meltCurve_E9PHK0_CLEC3B.pdf</v>
      </c>
    </row>
    <row r="391" spans="1:28" x14ac:dyDescent="0.25">
      <c r="A391" t="s">
        <v>395</v>
      </c>
      <c r="B391">
        <v>0.99987803227770999</v>
      </c>
      <c r="C391">
        <v>1.1666714493044199</v>
      </c>
      <c r="D391">
        <v>0.98439458987318895</v>
      </c>
      <c r="E391">
        <v>0.87947281299206603</v>
      </c>
      <c r="F391">
        <v>0.24289090856686499</v>
      </c>
      <c r="G391">
        <v>0.182499150695484</v>
      </c>
      <c r="H391">
        <v>0.14646542842656199</v>
      </c>
      <c r="I391">
        <v>0.133574198068306</v>
      </c>
      <c r="J391">
        <v>0.125886667672863</v>
      </c>
      <c r="K391">
        <v>7.4172558925336196E-2</v>
      </c>
      <c r="L391">
        <v>3281.0430536260101</v>
      </c>
      <c r="M391">
        <v>63.806268518815202</v>
      </c>
      <c r="N391">
        <v>51.669843340479098</v>
      </c>
      <c r="O391">
        <v>51.371524650159401</v>
      </c>
      <c r="P391">
        <v>-0.269573171821199</v>
      </c>
      <c r="Q391">
        <v>0.131848442722832</v>
      </c>
      <c r="R391">
        <v>0.981324455255846</v>
      </c>
      <c r="S391" t="s">
        <v>6702</v>
      </c>
      <c r="T391" t="s">
        <v>12620</v>
      </c>
      <c r="U391" t="s">
        <v>12620</v>
      </c>
      <c r="V391" t="s">
        <v>12620</v>
      </c>
      <c r="W391" t="s">
        <v>13002</v>
      </c>
      <c r="X391">
        <v>5</v>
      </c>
      <c r="Y391" t="s">
        <v>19249</v>
      </c>
      <c r="Z391" t="s">
        <v>25338</v>
      </c>
      <c r="AA391">
        <v>0.46358795215951398</v>
      </c>
      <c r="AB391" t="str">
        <f>HYPERLINK("Melting_Curves/meltCurve_E9PHM2_LARS2.pdf", "Melting_Curves/meltCurve_E9PHM2_LARS2.pdf")</f>
        <v>Melting_Curves/meltCurve_E9PHM2_LARS2.pdf</v>
      </c>
    </row>
    <row r="392" spans="1:28" x14ac:dyDescent="0.25">
      <c r="A392" t="s">
        <v>396</v>
      </c>
      <c r="B392">
        <v>0.99987803227770999</v>
      </c>
      <c r="C392">
        <v>0.89459244664135595</v>
      </c>
      <c r="D392">
        <v>0.93566068445940298</v>
      </c>
      <c r="E392">
        <v>0.82701685911835399</v>
      </c>
      <c r="F392">
        <v>0.88936649060998996</v>
      </c>
      <c r="G392">
        <v>0.66217190935744097</v>
      </c>
      <c r="H392">
        <v>0.61758673535967201</v>
      </c>
      <c r="I392">
        <v>0.61900616279169496</v>
      </c>
      <c r="J392">
        <v>0.53835556284347397</v>
      </c>
      <c r="K392">
        <v>0.44884219329405201</v>
      </c>
      <c r="L392">
        <v>336.273072978431</v>
      </c>
      <c r="M392">
        <v>4.9303533499171399</v>
      </c>
      <c r="N392">
        <v>68.204663299571394</v>
      </c>
      <c r="O392">
        <v>59.330531306961902</v>
      </c>
      <c r="P392">
        <v>-2.09085044481662E-2</v>
      </c>
      <c r="Q392">
        <v>0</v>
      </c>
      <c r="R392">
        <v>0.94076279814090302</v>
      </c>
      <c r="S392" t="s">
        <v>6703</v>
      </c>
      <c r="T392" t="s">
        <v>12620</v>
      </c>
      <c r="U392" t="s">
        <v>12620</v>
      </c>
      <c r="V392" t="s">
        <v>12620</v>
      </c>
      <c r="W392" t="s">
        <v>13003</v>
      </c>
      <c r="X392">
        <v>8</v>
      </c>
      <c r="Y392" t="s">
        <v>19250</v>
      </c>
      <c r="Z392" t="s">
        <v>25339</v>
      </c>
      <c r="AA392">
        <v>0.74949103490985036</v>
      </c>
      <c r="AB392" t="str">
        <f>HYPERLINK("Melting_Curves/meltCurve_E9PHV5_SSFA2.pdf", "Melting_Curves/meltCurve_E9PHV5_SSFA2.pdf")</f>
        <v>Melting_Curves/meltCurve_E9PHV5_SSFA2.pdf</v>
      </c>
    </row>
    <row r="393" spans="1:28" x14ac:dyDescent="0.25">
      <c r="A393" t="s">
        <v>397</v>
      </c>
      <c r="B393">
        <v>0.99987803227770999</v>
      </c>
      <c r="C393">
        <v>0.88304149542534205</v>
      </c>
      <c r="D393">
        <v>1.0773943877427099</v>
      </c>
      <c r="E393">
        <v>0.80587048688325602</v>
      </c>
      <c r="F393">
        <v>0.90441508701260998</v>
      </c>
      <c r="G393">
        <v>0.155335593476015</v>
      </c>
      <c r="H393">
        <v>0.17407774614811899</v>
      </c>
      <c r="I393">
        <v>0.19235857873571899</v>
      </c>
      <c r="J393">
        <v>0.287052586021114</v>
      </c>
      <c r="K393">
        <v>0.204976673126266</v>
      </c>
      <c r="L393">
        <v>13355.6515268533</v>
      </c>
      <c r="M393">
        <v>250</v>
      </c>
      <c r="N393">
        <v>53.533988408935699</v>
      </c>
      <c r="O393">
        <v>53.419187596389001</v>
      </c>
      <c r="P393">
        <v>-0.93276384519625799</v>
      </c>
      <c r="Q393">
        <v>0.20276021436724101</v>
      </c>
      <c r="R393">
        <v>0.95141447314785199</v>
      </c>
      <c r="S393" t="s">
        <v>6704</v>
      </c>
      <c r="T393" t="s">
        <v>12620</v>
      </c>
      <c r="U393" t="s">
        <v>12620</v>
      </c>
      <c r="V393" t="s">
        <v>12620</v>
      </c>
      <c r="W393" t="s">
        <v>13004</v>
      </c>
      <c r="X393">
        <v>1</v>
      </c>
      <c r="Y393" t="s">
        <v>19251</v>
      </c>
      <c r="Z393" t="s">
        <v>25340</v>
      </c>
      <c r="AA393">
        <v>0.55953614744507674</v>
      </c>
      <c r="AB393" t="str">
        <f>HYPERLINK("Melting_Curves/meltCurve_E9PIB1_HLA_DQB1.pdf", "Melting_Curves/meltCurve_E9PIB1_HLA_DQB1.pdf")</f>
        <v>Melting_Curves/meltCurve_E9PIB1_HLA_DQB1.pdf</v>
      </c>
    </row>
    <row r="394" spans="1:28" x14ac:dyDescent="0.25">
      <c r="A394" t="s">
        <v>398</v>
      </c>
      <c r="B394">
        <v>0.99987803227770999</v>
      </c>
      <c r="C394">
        <v>0.86196354828455801</v>
      </c>
      <c r="D394">
        <v>1.0173474570651999</v>
      </c>
      <c r="E394">
        <v>0.99609592531678404</v>
      </c>
      <c r="F394">
        <v>1.1638487985078101</v>
      </c>
      <c r="G394">
        <v>0.984103077138064</v>
      </c>
      <c r="H394">
        <v>0.769093762328522</v>
      </c>
      <c r="I394">
        <v>0.71282899149159695</v>
      </c>
      <c r="J394">
        <v>0.69904981499099295</v>
      </c>
      <c r="K394">
        <v>0.46052669136085</v>
      </c>
      <c r="L394">
        <v>1093.5262685899399</v>
      </c>
      <c r="M394">
        <v>16.675724063974101</v>
      </c>
      <c r="O394">
        <v>64.654687806920094</v>
      </c>
      <c r="P394">
        <v>-4.3051425042860303E-2</v>
      </c>
      <c r="Q394">
        <v>0.33237309832126699</v>
      </c>
      <c r="R394">
        <v>0.82057453544264403</v>
      </c>
      <c r="S394" t="s">
        <v>6705</v>
      </c>
      <c r="T394" t="s">
        <v>12620</v>
      </c>
      <c r="U394" t="s">
        <v>12620</v>
      </c>
      <c r="V394" t="s">
        <v>12620</v>
      </c>
      <c r="W394" t="s">
        <v>13005</v>
      </c>
      <c r="X394">
        <v>17</v>
      </c>
      <c r="Y394" t="s">
        <v>19252</v>
      </c>
      <c r="Z394" t="s">
        <v>25341</v>
      </c>
      <c r="AA394">
        <v>0.88470419757008145</v>
      </c>
      <c r="AB394" t="str">
        <f>HYPERLINK("Melting_Curves/meltCurve_E9PJ04_SF3B2.pdf", "Melting_Curves/meltCurve_E9PJ04_SF3B2.pdf")</f>
        <v>Melting_Curves/meltCurve_E9PJ04_SF3B2.pdf</v>
      </c>
    </row>
    <row r="395" spans="1:28" x14ac:dyDescent="0.25">
      <c r="A395" t="s">
        <v>399</v>
      </c>
      <c r="B395">
        <v>0.99987803227770999</v>
      </c>
      <c r="C395">
        <v>0.93404012247422596</v>
      </c>
      <c r="D395">
        <v>1.04397506400956</v>
      </c>
      <c r="E395">
        <v>1.02469378395905</v>
      </c>
      <c r="F395">
        <v>1.1012305224466601</v>
      </c>
      <c r="G395">
        <v>1.05081584448742</v>
      </c>
      <c r="H395">
        <v>0.87772108009601302</v>
      </c>
      <c r="I395">
        <v>1.00164121454135</v>
      </c>
      <c r="J395">
        <v>0.68563516961010995</v>
      </c>
      <c r="K395">
        <v>0.55341554412788196</v>
      </c>
      <c r="L395">
        <v>15000</v>
      </c>
      <c r="M395">
        <v>224.74658248422801</v>
      </c>
      <c r="O395">
        <v>66.7365728928458</v>
      </c>
      <c r="P395">
        <v>-0.37599807771892602</v>
      </c>
      <c r="Q395">
        <v>0.553402494862405</v>
      </c>
      <c r="R395">
        <v>0.87618840820435395</v>
      </c>
      <c r="S395" t="s">
        <v>6706</v>
      </c>
      <c r="T395" t="s">
        <v>12620</v>
      </c>
      <c r="U395" t="s">
        <v>12620</v>
      </c>
      <c r="V395" t="s">
        <v>12620</v>
      </c>
      <c r="W395" t="s">
        <v>13006</v>
      </c>
      <c r="X395">
        <v>5</v>
      </c>
      <c r="Y395" t="s">
        <v>19253</v>
      </c>
      <c r="Z395" t="s">
        <v>25342</v>
      </c>
      <c r="AA395">
        <v>0.95156168861269885</v>
      </c>
      <c r="AB395" t="str">
        <f>HYPERLINK("Melting_Curves/meltCurve_E9PJ24_PHRF1.pdf", "Melting_Curves/meltCurve_E9PJ24_PHRF1.pdf")</f>
        <v>Melting_Curves/meltCurve_E9PJ24_PHRF1.pdf</v>
      </c>
    </row>
    <row r="396" spans="1:28" x14ac:dyDescent="0.25">
      <c r="A396" t="s">
        <v>400</v>
      </c>
      <c r="B396">
        <v>0.99987803227770999</v>
      </c>
      <c r="C396">
        <v>0.88835402893888105</v>
      </c>
      <c r="D396">
        <v>0.98261970948499799</v>
      </c>
      <c r="E396">
        <v>0.89207801073059201</v>
      </c>
      <c r="F396">
        <v>0.88060706816184997</v>
      </c>
      <c r="G396">
        <v>0.57968889625046705</v>
      </c>
      <c r="H396">
        <v>0.57091714635083601</v>
      </c>
      <c r="I396">
        <v>0.49631098125727002</v>
      </c>
      <c r="J396">
        <v>0.50564835011223996</v>
      </c>
      <c r="K396">
        <v>0.38030712970942598</v>
      </c>
      <c r="L396">
        <v>763.42206952610798</v>
      </c>
      <c r="M396">
        <v>13.618339897764001</v>
      </c>
      <c r="N396">
        <v>63.240362813282502</v>
      </c>
      <c r="O396">
        <v>54.891046161949099</v>
      </c>
      <c r="P396">
        <v>-3.76225394180838E-2</v>
      </c>
      <c r="Q396">
        <v>0.39351310166415598</v>
      </c>
      <c r="R396">
        <v>0.94055383564700701</v>
      </c>
      <c r="S396" t="s">
        <v>6707</v>
      </c>
      <c r="T396" t="s">
        <v>12620</v>
      </c>
      <c r="U396" t="s">
        <v>12620</v>
      </c>
      <c r="V396" t="s">
        <v>12620</v>
      </c>
      <c r="W396" t="s">
        <v>13007</v>
      </c>
      <c r="X396">
        <v>17</v>
      </c>
      <c r="Y396" t="s">
        <v>19254</v>
      </c>
      <c r="Z396" t="s">
        <v>25343</v>
      </c>
      <c r="AA396">
        <v>0.72964164267307097</v>
      </c>
      <c r="AB396" t="str">
        <f>HYPERLINK("Melting_Curves/meltCurve_E9PJ81_UBXN1.pdf", "Melting_Curves/meltCurve_E9PJ81_UBXN1.pdf")</f>
        <v>Melting_Curves/meltCurve_E9PJ81_UBXN1.pdf</v>
      </c>
    </row>
    <row r="397" spans="1:28" x14ac:dyDescent="0.25">
      <c r="A397" t="s">
        <v>401</v>
      </c>
      <c r="B397">
        <v>0.99987803227770999</v>
      </c>
      <c r="C397">
        <v>0.98717736899151398</v>
      </c>
      <c r="D397">
        <v>1.04723682583246</v>
      </c>
      <c r="E397">
        <v>0.92652280133445497</v>
      </c>
      <c r="F397">
        <v>0.61757787359775196</v>
      </c>
      <c r="G397">
        <v>0.24944600416066001</v>
      </c>
      <c r="H397">
        <v>0.16938895701533099</v>
      </c>
      <c r="I397">
        <v>0.12749063069782399</v>
      </c>
      <c r="J397">
        <v>0.115496920176163</v>
      </c>
      <c r="K397">
        <v>7.53074084340387E-2</v>
      </c>
      <c r="L397">
        <v>1592.9675425074699</v>
      </c>
      <c r="M397">
        <v>29.708226685896701</v>
      </c>
      <c r="N397">
        <v>54.089038607380502</v>
      </c>
      <c r="O397">
        <v>53.379208385584803</v>
      </c>
      <c r="P397">
        <v>-0.123351052199328</v>
      </c>
      <c r="Q397">
        <v>0.113465968491524</v>
      </c>
      <c r="R397">
        <v>0.99610958792278903</v>
      </c>
      <c r="S397" t="s">
        <v>6708</v>
      </c>
      <c r="T397" t="s">
        <v>12620</v>
      </c>
      <c r="U397" t="s">
        <v>12620</v>
      </c>
      <c r="V397" t="s">
        <v>12620</v>
      </c>
      <c r="W397" t="s">
        <v>13008</v>
      </c>
      <c r="X397">
        <v>8</v>
      </c>
      <c r="Y397" t="s">
        <v>19255</v>
      </c>
      <c r="Z397" t="s">
        <v>25344</v>
      </c>
      <c r="AA397">
        <v>0.5218725428374158</v>
      </c>
      <c r="AB397" t="str">
        <f>HYPERLINK("Melting_Curves/meltCurve_E9PJD7_CYHR1.pdf", "Melting_Curves/meltCurve_E9PJD7_CYHR1.pdf")</f>
        <v>Melting_Curves/meltCurve_E9PJD7_CYHR1.pdf</v>
      </c>
    </row>
    <row r="398" spans="1:28" x14ac:dyDescent="0.25">
      <c r="A398" t="s">
        <v>402</v>
      </c>
      <c r="B398">
        <v>0.99987803227770999</v>
      </c>
      <c r="C398">
        <v>1.1486558876742201</v>
      </c>
      <c r="D398">
        <v>0.78887858241518005</v>
      </c>
      <c r="E398">
        <v>0.90743119551483797</v>
      </c>
      <c r="F398">
        <v>0.52691332928097301</v>
      </c>
      <c r="G398">
        <v>0.242232698696249</v>
      </c>
      <c r="H398">
        <v>0.240810630022112</v>
      </c>
      <c r="I398">
        <v>7.7650968869104803E-2</v>
      </c>
      <c r="J398">
        <v>9.1064537800443005E-2</v>
      </c>
      <c r="K398">
        <v>5.6177272765258503E-2</v>
      </c>
      <c r="L398">
        <v>1075.89313551383</v>
      </c>
      <c r="M398">
        <v>20.169555931648201</v>
      </c>
      <c r="N398">
        <v>53.787605870375998</v>
      </c>
      <c r="O398">
        <v>52.826396714254201</v>
      </c>
      <c r="P398">
        <v>-8.8117340219668897E-2</v>
      </c>
      <c r="Q398">
        <v>7.6871505554734598E-2</v>
      </c>
      <c r="R398">
        <v>0.950948538371996</v>
      </c>
      <c r="S398" t="s">
        <v>6709</v>
      </c>
      <c r="T398" t="s">
        <v>12620</v>
      </c>
      <c r="U398" t="s">
        <v>12620</v>
      </c>
      <c r="V398" t="s">
        <v>12620</v>
      </c>
      <c r="W398" t="s">
        <v>13009</v>
      </c>
      <c r="X398">
        <v>1</v>
      </c>
      <c r="Y398" t="s">
        <v>19256</v>
      </c>
      <c r="Z398" t="s">
        <v>25345</v>
      </c>
      <c r="AA398">
        <v>0.49990752300170249</v>
      </c>
      <c r="AB398" t="str">
        <f>HYPERLINK("Melting_Curves/meltCurve_E9PJF5_BRMS1.pdf", "Melting_Curves/meltCurve_E9PJF5_BRMS1.pdf")</f>
        <v>Melting_Curves/meltCurve_E9PJF5_BRMS1.pdf</v>
      </c>
    </row>
    <row r="399" spans="1:28" x14ac:dyDescent="0.25">
      <c r="A399" t="s">
        <v>403</v>
      </c>
      <c r="B399">
        <v>0.99987803227770999</v>
      </c>
      <c r="C399">
        <v>0.87014998417331102</v>
      </c>
      <c r="D399">
        <v>1.41595753510616</v>
      </c>
      <c r="E399">
        <v>0.85813790932579403</v>
      </c>
      <c r="F399">
        <v>0.96040647915862898</v>
      </c>
      <c r="G399">
        <v>0.69817158892723297</v>
      </c>
      <c r="H399">
        <v>0.68401503202093294</v>
      </c>
      <c r="I399">
        <v>0.71094516308355604</v>
      </c>
      <c r="J399">
        <v>0.70598859960203997</v>
      </c>
      <c r="K399">
        <v>0.57858347403203403</v>
      </c>
      <c r="L399">
        <v>2485.7432000955901</v>
      </c>
      <c r="M399">
        <v>45.420327755802802</v>
      </c>
      <c r="O399">
        <v>54.621788373229698</v>
      </c>
      <c r="P399">
        <v>-6.9375484043463803E-2</v>
      </c>
      <c r="Q399">
        <v>0.66628091368602704</v>
      </c>
      <c r="R399">
        <v>0.57487917272022904</v>
      </c>
      <c r="S399" t="s">
        <v>6710</v>
      </c>
      <c r="T399" t="s">
        <v>12620</v>
      </c>
      <c r="U399" t="s">
        <v>12620</v>
      </c>
      <c r="V399" t="s">
        <v>12620</v>
      </c>
      <c r="W399" t="s">
        <v>13010</v>
      </c>
      <c r="X399">
        <v>3</v>
      </c>
      <c r="Y399" t="s">
        <v>19257</v>
      </c>
      <c r="Z399" t="s">
        <v>25346</v>
      </c>
      <c r="AA399">
        <v>0.83108599550999984</v>
      </c>
      <c r="AB399" t="str">
        <f>HYPERLINK("Melting_Curves/meltCurve_E9PJK4_ARHGAP42.pdf", "Melting_Curves/meltCurve_E9PJK4_ARHGAP42.pdf")</f>
        <v>Melting_Curves/meltCurve_E9PJK4_ARHGAP42.pdf</v>
      </c>
    </row>
    <row r="400" spans="1:28" x14ac:dyDescent="0.25">
      <c r="A400" t="s">
        <v>404</v>
      </c>
      <c r="B400">
        <v>0.99987803227770999</v>
      </c>
      <c r="C400">
        <v>0.63979559166057598</v>
      </c>
      <c r="D400">
        <v>0.52332584083330103</v>
      </c>
      <c r="E400">
        <v>0.44103605423765002</v>
      </c>
      <c r="F400">
        <v>0.22116060550334199</v>
      </c>
      <c r="G400">
        <v>9.92465414693392E-2</v>
      </c>
      <c r="H400">
        <v>9.6301597749141904E-2</v>
      </c>
      <c r="I400">
        <v>9.8398052917677697E-2</v>
      </c>
      <c r="J400">
        <v>4.4972331892577502E-2</v>
      </c>
      <c r="K400">
        <v>4.5936628178128103E-2</v>
      </c>
      <c r="L400">
        <v>521.18158346089899</v>
      </c>
      <c r="M400">
        <v>11.1289335898649</v>
      </c>
      <c r="N400">
        <v>47.046174840509501</v>
      </c>
      <c r="O400">
        <v>45.395425623174198</v>
      </c>
      <c r="P400">
        <v>-5.9788962378108899E-2</v>
      </c>
      <c r="Q400">
        <v>2.47870010661429E-2</v>
      </c>
      <c r="R400">
        <v>0.95738749055977201</v>
      </c>
      <c r="S400" t="s">
        <v>6711</v>
      </c>
      <c r="T400" t="s">
        <v>12620</v>
      </c>
      <c r="U400" t="s">
        <v>12620</v>
      </c>
      <c r="V400" t="s">
        <v>12620</v>
      </c>
      <c r="W400" t="s">
        <v>13011</v>
      </c>
      <c r="X400">
        <v>2</v>
      </c>
      <c r="Y400" t="s">
        <v>19258</v>
      </c>
      <c r="Z400" t="s">
        <v>25347</v>
      </c>
      <c r="AA400">
        <v>0.29431866867009759</v>
      </c>
      <c r="AB400" t="str">
        <f>HYPERLINK("Melting_Curves/meltCurve_E9PJN1_RPS6KA4.pdf", "Melting_Curves/meltCurve_E9PJN1_RPS6KA4.pdf")</f>
        <v>Melting_Curves/meltCurve_E9PJN1_RPS6KA4.pdf</v>
      </c>
    </row>
    <row r="401" spans="1:28" x14ac:dyDescent="0.25">
      <c r="A401" t="s">
        <v>405</v>
      </c>
      <c r="B401">
        <v>0.99987803227770999</v>
      </c>
      <c r="C401">
        <v>0.50095358945221602</v>
      </c>
      <c r="D401">
        <v>1.7788670980574099</v>
      </c>
      <c r="E401">
        <v>1.50560125495296</v>
      </c>
      <c r="F401">
        <v>1.90085021066255</v>
      </c>
      <c r="G401">
        <v>0.90804115468573898</v>
      </c>
      <c r="H401">
        <v>1.9894728657795899</v>
      </c>
      <c r="I401">
        <v>0.94506582062011002</v>
      </c>
      <c r="J401">
        <v>0.42277053284008098</v>
      </c>
      <c r="K401">
        <v>0.36536301485505401</v>
      </c>
      <c r="L401">
        <v>7190.1951284032202</v>
      </c>
      <c r="M401">
        <v>109.786741902518</v>
      </c>
      <c r="N401">
        <v>66.300415968127496</v>
      </c>
      <c r="O401">
        <v>65.470659200031093</v>
      </c>
      <c r="P401">
        <v>-0.264604783000079</v>
      </c>
      <c r="Q401">
        <v>0.368818185756626</v>
      </c>
      <c r="R401">
        <v>0.16256027174332599</v>
      </c>
      <c r="S401" t="s">
        <v>6712</v>
      </c>
      <c r="T401" t="s">
        <v>12620</v>
      </c>
      <c r="U401" t="s">
        <v>12620</v>
      </c>
      <c r="V401" t="s">
        <v>12620</v>
      </c>
      <c r="W401" t="s">
        <v>13012</v>
      </c>
      <c r="X401">
        <v>5</v>
      </c>
      <c r="Y401" t="s">
        <v>19259</v>
      </c>
      <c r="Z401" t="s">
        <v>25348</v>
      </c>
      <c r="AA401">
        <v>0.90552652613987472</v>
      </c>
      <c r="AB401" t="str">
        <f>HYPERLINK("Melting_Curves/meltCurve_E9PJP2_SOGA3.pdf", "Melting_Curves/meltCurve_E9PJP2_SOGA3.pdf")</f>
        <v>Melting_Curves/meltCurve_E9PJP2_SOGA3.pdf</v>
      </c>
    </row>
    <row r="402" spans="1:28" x14ac:dyDescent="0.25">
      <c r="A402" t="s">
        <v>406</v>
      </c>
      <c r="B402">
        <v>0.99987803227770999</v>
      </c>
      <c r="C402">
        <v>0.89924901677775604</v>
      </c>
      <c r="D402">
        <v>1.0063956295243099</v>
      </c>
      <c r="E402">
        <v>0.81034107742618899</v>
      </c>
      <c r="F402">
        <v>0.66302214251543701</v>
      </c>
      <c r="G402">
        <v>0.33091053683621602</v>
      </c>
      <c r="H402">
        <v>0.30525680099179597</v>
      </c>
      <c r="I402">
        <v>0.24201154148794499</v>
      </c>
      <c r="J402">
        <v>0.33601216095839798</v>
      </c>
      <c r="K402">
        <v>0.31482066815184101</v>
      </c>
      <c r="L402">
        <v>1335.37562075241</v>
      </c>
      <c r="M402">
        <v>25.355999378977</v>
      </c>
      <c r="N402">
        <v>54.485078902484702</v>
      </c>
      <c r="O402">
        <v>52.340786021786798</v>
      </c>
      <c r="P402">
        <v>-8.6516501082900599E-2</v>
      </c>
      <c r="Q402">
        <v>0.28564706920982003</v>
      </c>
      <c r="R402">
        <v>0.97531754516526803</v>
      </c>
      <c r="S402" t="s">
        <v>6713</v>
      </c>
      <c r="T402" t="s">
        <v>12620</v>
      </c>
      <c r="U402" t="s">
        <v>12620</v>
      </c>
      <c r="V402" t="s">
        <v>12620</v>
      </c>
      <c r="W402" t="s">
        <v>13013</v>
      </c>
      <c r="X402">
        <v>1</v>
      </c>
      <c r="Y402" t="s">
        <v>19260</v>
      </c>
      <c r="Z402" t="s">
        <v>25349</v>
      </c>
      <c r="AA402">
        <v>0.59361162064431439</v>
      </c>
      <c r="AB402" t="str">
        <f>HYPERLINK("Melting_Curves/meltCurve_E9PJV3_RPUSD4.pdf", "Melting_Curves/meltCurve_E9PJV3_RPUSD4.pdf")</f>
        <v>Melting_Curves/meltCurve_E9PJV3_RPUSD4.pdf</v>
      </c>
    </row>
    <row r="403" spans="1:28" x14ac:dyDescent="0.25">
      <c r="A403" t="s">
        <v>407</v>
      </c>
      <c r="B403">
        <v>0.99987803227770999</v>
      </c>
      <c r="C403">
        <v>0.84697675877491196</v>
      </c>
      <c r="D403">
        <v>1.0292705039905601</v>
      </c>
      <c r="E403">
        <v>0.809990089977766</v>
      </c>
      <c r="F403">
        <v>1.1042170677682599</v>
      </c>
      <c r="G403">
        <v>0.94652085401763497</v>
      </c>
      <c r="H403">
        <v>1.0383719108837399</v>
      </c>
      <c r="I403">
        <v>1.0406466314996601</v>
      </c>
      <c r="J403">
        <v>0.93703430159641499</v>
      </c>
      <c r="K403">
        <v>0.81781393415054304</v>
      </c>
      <c r="L403">
        <v>15000</v>
      </c>
      <c r="M403">
        <v>223.241950095688</v>
      </c>
      <c r="O403">
        <v>67.186280291771098</v>
      </c>
      <c r="P403">
        <v>-0.151358604781064</v>
      </c>
      <c r="Q403">
        <v>0.81779013090431296</v>
      </c>
      <c r="R403">
        <v>0.19518453315065101</v>
      </c>
      <c r="S403" t="s">
        <v>6714</v>
      </c>
      <c r="T403" t="s">
        <v>12620</v>
      </c>
      <c r="U403" t="s">
        <v>12620</v>
      </c>
      <c r="V403" t="s">
        <v>12620</v>
      </c>
      <c r="W403" t="s">
        <v>13014</v>
      </c>
      <c r="X403">
        <v>4</v>
      </c>
      <c r="Y403" t="s">
        <v>19261</v>
      </c>
      <c r="Z403" t="s">
        <v>25350</v>
      </c>
      <c r="AA403">
        <v>0.98296985612842247</v>
      </c>
      <c r="AB403" t="str">
        <f>HYPERLINK("Melting_Curves/meltCurve_E9PKD1_TOR1AIP1.pdf", "Melting_Curves/meltCurve_E9PKD1_TOR1AIP1.pdf")</f>
        <v>Melting_Curves/meltCurve_E9PKD1_TOR1AIP1.pdf</v>
      </c>
    </row>
    <row r="404" spans="1:28" x14ac:dyDescent="0.25">
      <c r="A404" t="s">
        <v>408</v>
      </c>
      <c r="B404">
        <v>0.99987803227770999</v>
      </c>
      <c r="C404">
        <v>1.09674616488812</v>
      </c>
      <c r="D404">
        <v>0.87989893014689102</v>
      </c>
      <c r="E404">
        <v>0.80071027173489395</v>
      </c>
      <c r="F404">
        <v>0.27277730784891602</v>
      </c>
      <c r="G404">
        <v>0.19717836311219</v>
      </c>
      <c r="H404">
        <v>0.111577195774304</v>
      </c>
      <c r="I404">
        <v>0.100240921254744</v>
      </c>
      <c r="J404">
        <v>7.2665932628752802E-2</v>
      </c>
      <c r="K404">
        <v>5.1050492263049398E-2</v>
      </c>
      <c r="L404">
        <v>2116.0056032501502</v>
      </c>
      <c r="M404">
        <v>41.190589831905697</v>
      </c>
      <c r="N404">
        <v>51.650305607716902</v>
      </c>
      <c r="O404">
        <v>51.250457298754398</v>
      </c>
      <c r="P404">
        <v>-0.18087202161645499</v>
      </c>
      <c r="Q404">
        <v>9.9818044736554007E-2</v>
      </c>
      <c r="R404">
        <v>0.98003155580775803</v>
      </c>
      <c r="S404" t="s">
        <v>6715</v>
      </c>
      <c r="T404" t="s">
        <v>12620</v>
      </c>
      <c r="U404" t="s">
        <v>12620</v>
      </c>
      <c r="V404" t="s">
        <v>12620</v>
      </c>
      <c r="W404" t="s">
        <v>13015</v>
      </c>
      <c r="X404">
        <v>18</v>
      </c>
      <c r="Y404" t="s">
        <v>19262</v>
      </c>
      <c r="Z404" t="s">
        <v>25351</v>
      </c>
      <c r="AA404">
        <v>0.44403237232459841</v>
      </c>
      <c r="AB404" t="str">
        <f>HYPERLINK("Melting_Curves/meltCurve_E9PKG1_PRMT1.pdf", "Melting_Curves/meltCurve_E9PKG1_PRMT1.pdf")</f>
        <v>Melting_Curves/meltCurve_E9PKG1_PRMT1.pdf</v>
      </c>
    </row>
    <row r="405" spans="1:28" x14ac:dyDescent="0.25">
      <c r="A405" t="s">
        <v>409</v>
      </c>
      <c r="B405">
        <v>0.99987803227770999</v>
      </c>
      <c r="C405">
        <v>1.0214524980759201</v>
      </c>
      <c r="D405">
        <v>0.96408216489064802</v>
      </c>
      <c r="E405">
        <v>0.69717329874822398</v>
      </c>
      <c r="F405">
        <v>0.33084447913363801</v>
      </c>
      <c r="G405">
        <v>0.25923229079482302</v>
      </c>
      <c r="H405">
        <v>0.14034039957717401</v>
      </c>
      <c r="I405">
        <v>0.108639688291714</v>
      </c>
      <c r="J405">
        <v>7.0688325289663304E-2</v>
      </c>
      <c r="K405">
        <v>5.1167174118165001E-2</v>
      </c>
      <c r="L405">
        <v>1180.71994740385</v>
      </c>
      <c r="M405">
        <v>23.005149973633898</v>
      </c>
      <c r="N405">
        <v>51.791604552679502</v>
      </c>
      <c r="O405">
        <v>50.941044860980902</v>
      </c>
      <c r="P405">
        <v>-0.10231853450733699</v>
      </c>
      <c r="Q405">
        <v>9.3747700936016601E-2</v>
      </c>
      <c r="R405">
        <v>0.98996766577532602</v>
      </c>
      <c r="S405" t="s">
        <v>6716</v>
      </c>
      <c r="T405" t="s">
        <v>12620</v>
      </c>
      <c r="U405" t="s">
        <v>12620</v>
      </c>
      <c r="V405" t="s">
        <v>12620</v>
      </c>
      <c r="W405" t="s">
        <v>13016</v>
      </c>
      <c r="X405">
        <v>4</v>
      </c>
      <c r="Y405" t="s">
        <v>19263</v>
      </c>
      <c r="Z405" t="s">
        <v>25352</v>
      </c>
      <c r="AA405">
        <v>0.4454854134999941</v>
      </c>
      <c r="AB405" t="str">
        <f>HYPERLINK("Melting_Curves/meltCurve_E9PKV8_TTC9C.pdf", "Melting_Curves/meltCurve_E9PKV8_TTC9C.pdf")</f>
        <v>Melting_Curves/meltCurve_E9PKV8_TTC9C.pdf</v>
      </c>
    </row>
    <row r="406" spans="1:28" x14ac:dyDescent="0.25">
      <c r="A406" t="s">
        <v>410</v>
      </c>
      <c r="B406">
        <v>0.99987803227770999</v>
      </c>
      <c r="C406">
        <v>0.92645225020060695</v>
      </c>
      <c r="D406">
        <v>1.0757206012146701</v>
      </c>
      <c r="E406">
        <v>0.95136562290472804</v>
      </c>
      <c r="F406">
        <v>1.20969589103669</v>
      </c>
      <c r="G406">
        <v>0.99337341568728998</v>
      </c>
      <c r="H406">
        <v>1.1390467008360901</v>
      </c>
      <c r="I406">
        <v>1.07085056470351</v>
      </c>
      <c r="J406">
        <v>0.97407679514162504</v>
      </c>
      <c r="K406">
        <v>0.76162792821135294</v>
      </c>
      <c r="L406">
        <v>15000</v>
      </c>
      <c r="M406">
        <v>221.77630091595799</v>
      </c>
      <c r="O406">
        <v>67.630222133974399</v>
      </c>
      <c r="P406">
        <v>-0.195529445030166</v>
      </c>
      <c r="Q406">
        <v>0.76149481215161996</v>
      </c>
      <c r="R406">
        <v>0.40809097597925698</v>
      </c>
      <c r="S406" t="s">
        <v>6717</v>
      </c>
      <c r="T406" t="s">
        <v>12620</v>
      </c>
      <c r="U406" t="s">
        <v>12620</v>
      </c>
      <c r="V406" t="s">
        <v>12620</v>
      </c>
      <c r="W406" t="s">
        <v>13017</v>
      </c>
      <c r="X406">
        <v>5</v>
      </c>
      <c r="Y406" t="s">
        <v>19264</v>
      </c>
      <c r="Z406" t="s">
        <v>25353</v>
      </c>
      <c r="AA406">
        <v>0.98123808616881425</v>
      </c>
      <c r="AB406" t="str">
        <f>HYPERLINK("Melting_Curves/meltCurve_E9PL10_BTF3L4.pdf", "Melting_Curves/meltCurve_E9PL10_BTF3L4.pdf")</f>
        <v>Melting_Curves/meltCurve_E9PL10_BTF3L4.pdf</v>
      </c>
    </row>
    <row r="407" spans="1:28" x14ac:dyDescent="0.25">
      <c r="A407" t="s">
        <v>411</v>
      </c>
      <c r="B407">
        <v>0.99987803227770999</v>
      </c>
      <c r="C407">
        <v>1.1096485442416399</v>
      </c>
      <c r="D407">
        <v>0.61210383753494702</v>
      </c>
      <c r="E407">
        <v>0.372018196297555</v>
      </c>
      <c r="F407">
        <v>0.20337595311211401</v>
      </c>
      <c r="G407">
        <v>0.16400425848196201</v>
      </c>
      <c r="H407">
        <v>0.109512595809324</v>
      </c>
      <c r="I407">
        <v>9.6412764668489304E-2</v>
      </c>
      <c r="J407">
        <v>8.2552356946714103E-2</v>
      </c>
      <c r="K407">
        <v>5.7640856627339698E-2</v>
      </c>
      <c r="L407">
        <v>1061.0218299348301</v>
      </c>
      <c r="M407">
        <v>22.270399133806301</v>
      </c>
      <c r="N407">
        <v>48.1247882130818</v>
      </c>
      <c r="O407">
        <v>47.263541284542598</v>
      </c>
      <c r="P407">
        <v>-0.106023658537796</v>
      </c>
      <c r="Q407">
        <v>9.9980717611881001E-2</v>
      </c>
      <c r="R407">
        <v>0.96405360066606804</v>
      </c>
      <c r="S407" t="s">
        <v>6718</v>
      </c>
      <c r="T407" t="s">
        <v>12620</v>
      </c>
      <c r="U407" t="s">
        <v>12620</v>
      </c>
      <c r="V407" t="s">
        <v>12620</v>
      </c>
      <c r="W407" t="s">
        <v>13018</v>
      </c>
      <c r="X407">
        <v>26</v>
      </c>
      <c r="Y407" t="s">
        <v>19265</v>
      </c>
      <c r="Z407" t="s">
        <v>25354</v>
      </c>
      <c r="AA407">
        <v>0.33949267192340482</v>
      </c>
      <c r="AB407" t="str">
        <f>HYPERLINK("Melting_Curves/meltCurve_E9PL22_HYOU1.pdf", "Melting_Curves/meltCurve_E9PL22_HYOU1.pdf")</f>
        <v>Melting_Curves/meltCurve_E9PL22_HYOU1.pdf</v>
      </c>
    </row>
    <row r="408" spans="1:28" x14ac:dyDescent="0.25">
      <c r="A408" t="s">
        <v>412</v>
      </c>
      <c r="B408">
        <v>0.99987803227770999</v>
      </c>
      <c r="C408">
        <v>1.10785893594439</v>
      </c>
      <c r="D408">
        <v>0.76559648064658303</v>
      </c>
      <c r="E408">
        <v>0.71066439853658103</v>
      </c>
      <c r="F408">
        <v>0.522481776581047</v>
      </c>
      <c r="G408">
        <v>0.37685243683252101</v>
      </c>
      <c r="H408">
        <v>0.30703181371403299</v>
      </c>
      <c r="I408">
        <v>0.27957383397039398</v>
      </c>
      <c r="J408">
        <v>0.249442962746767</v>
      </c>
      <c r="K408">
        <v>0.215070381137451</v>
      </c>
      <c r="L408">
        <v>726.82046064224403</v>
      </c>
      <c r="M408">
        <v>14.1455962279912</v>
      </c>
      <c r="N408">
        <v>53.588461851385397</v>
      </c>
      <c r="O408">
        <v>50.387237141706102</v>
      </c>
      <c r="P408">
        <v>-5.4696352637649798E-2</v>
      </c>
      <c r="Q408">
        <v>0.220775892036042</v>
      </c>
      <c r="R408">
        <v>0.96114408776617599</v>
      </c>
      <c r="S408" t="s">
        <v>6719</v>
      </c>
      <c r="T408" t="s">
        <v>12620</v>
      </c>
      <c r="U408" t="s">
        <v>12620</v>
      </c>
      <c r="V408" t="s">
        <v>12620</v>
      </c>
      <c r="W408" t="s">
        <v>13019</v>
      </c>
      <c r="X408">
        <v>7</v>
      </c>
      <c r="Y408" t="s">
        <v>19266</v>
      </c>
      <c r="Z408" t="s">
        <v>25355</v>
      </c>
      <c r="AA408">
        <v>0.53590825190845004</v>
      </c>
      <c r="AB408" t="str">
        <f>HYPERLINK("Melting_Curves/meltCurve_E9PL24_PDE4DIP.pdf", "Melting_Curves/meltCurve_E9PL24_PDE4DIP.pdf")</f>
        <v>Melting_Curves/meltCurve_E9PL24_PDE4DIP.pdf</v>
      </c>
    </row>
    <row r="409" spans="1:28" x14ac:dyDescent="0.25">
      <c r="A409" t="s">
        <v>413</v>
      </c>
      <c r="B409">
        <v>0.99987803227770999</v>
      </c>
      <c r="C409">
        <v>0.81650880754685395</v>
      </c>
      <c r="D409">
        <v>0.94796889858793398</v>
      </c>
      <c r="E409">
        <v>0.77084176974645002</v>
      </c>
      <c r="F409">
        <v>0.92888693242379405</v>
      </c>
      <c r="G409">
        <v>0.69774950147918102</v>
      </c>
      <c r="H409">
        <v>0.62904984312377199</v>
      </c>
      <c r="I409">
        <v>0.49690870154705702</v>
      </c>
      <c r="J409">
        <v>0.43036834490743803</v>
      </c>
      <c r="K409">
        <v>0.327036760510515</v>
      </c>
      <c r="L409">
        <v>431.40169997436902</v>
      </c>
      <c r="M409">
        <v>6.7098313232294897</v>
      </c>
      <c r="N409">
        <v>64.293970839947804</v>
      </c>
      <c r="O409">
        <v>59.305412243221099</v>
      </c>
      <c r="P409">
        <v>-2.8346279430550601E-2</v>
      </c>
      <c r="Q409">
        <v>0</v>
      </c>
      <c r="R409">
        <v>0.89349851088589205</v>
      </c>
      <c r="S409" t="s">
        <v>6720</v>
      </c>
      <c r="T409" t="s">
        <v>12620</v>
      </c>
      <c r="U409" t="s">
        <v>12620</v>
      </c>
      <c r="V409" t="s">
        <v>12620</v>
      </c>
      <c r="W409" t="s">
        <v>13020</v>
      </c>
      <c r="X409">
        <v>13</v>
      </c>
      <c r="Y409" t="s">
        <v>19267</v>
      </c>
      <c r="Z409" t="s">
        <v>25356</v>
      </c>
      <c r="AA409">
        <v>0.72606435514830592</v>
      </c>
      <c r="AB409" t="str">
        <f>HYPERLINK("Melting_Curves/meltCurve_E9PL57_NEDD8_MDP1.pdf", "Melting_Curves/meltCurve_E9PL57_NEDD8_MDP1.pdf")</f>
        <v>Melting_Curves/meltCurve_E9PL57_NEDD8_MDP1.pdf</v>
      </c>
    </row>
    <row r="410" spans="1:28" x14ac:dyDescent="0.25">
      <c r="A410" t="s">
        <v>414</v>
      </c>
      <c r="B410">
        <v>0.99987803227770999</v>
      </c>
      <c r="C410">
        <v>1.1110119084047101</v>
      </c>
      <c r="D410">
        <v>0.88687419061517203</v>
      </c>
      <c r="E410">
        <v>0.87904939914843705</v>
      </c>
      <c r="F410">
        <v>0.64478265732409501</v>
      </c>
      <c r="G410">
        <v>0.46582062242016697</v>
      </c>
      <c r="H410">
        <v>0.39352584418571701</v>
      </c>
      <c r="I410">
        <v>0.392608960370185</v>
      </c>
      <c r="J410">
        <v>0.281242007057938</v>
      </c>
      <c r="K410">
        <v>0.203519314525169</v>
      </c>
      <c r="L410">
        <v>774.85109122761003</v>
      </c>
      <c r="M410">
        <v>14.269749949674701</v>
      </c>
      <c r="N410">
        <v>56.861838608943899</v>
      </c>
      <c r="O410">
        <v>53.267247569585997</v>
      </c>
      <c r="P410">
        <v>-5.1099378151000699E-2</v>
      </c>
      <c r="Q410">
        <v>0.23710257778982499</v>
      </c>
      <c r="R410">
        <v>0.96217868098641801</v>
      </c>
      <c r="S410" t="s">
        <v>6721</v>
      </c>
      <c r="T410" t="s">
        <v>12620</v>
      </c>
      <c r="U410" t="s">
        <v>12620</v>
      </c>
      <c r="V410" t="s">
        <v>12620</v>
      </c>
      <c r="W410" t="s">
        <v>13021</v>
      </c>
      <c r="X410">
        <v>1</v>
      </c>
      <c r="Y410" t="s">
        <v>19268</v>
      </c>
      <c r="Z410" t="s">
        <v>25357</v>
      </c>
      <c r="AA410">
        <v>0.61705947879434597</v>
      </c>
      <c r="AB410" t="str">
        <f>HYPERLINK("Melting_Curves/meltCurve_E9PLD2_MTFR1L.pdf", "Melting_Curves/meltCurve_E9PLD2_MTFR1L.pdf")</f>
        <v>Melting_Curves/meltCurve_E9PLD2_MTFR1L.pdf</v>
      </c>
    </row>
    <row r="411" spans="1:28" x14ac:dyDescent="0.25">
      <c r="A411" t="s">
        <v>415</v>
      </c>
      <c r="B411">
        <v>0.99987803227770999</v>
      </c>
      <c r="C411">
        <v>1.1367670704480899</v>
      </c>
      <c r="D411">
        <v>1.0607983580677101</v>
      </c>
      <c r="E411">
        <v>1.2414994439064999</v>
      </c>
      <c r="F411">
        <v>1.0857068963409899</v>
      </c>
      <c r="G411">
        <v>1.37733583842175</v>
      </c>
      <c r="H411">
        <v>0.95357017276843503</v>
      </c>
      <c r="I411">
        <v>0.90621437352965795</v>
      </c>
      <c r="J411">
        <v>0.772971617811548</v>
      </c>
      <c r="K411">
        <v>0.51200418101834599</v>
      </c>
      <c r="L411">
        <v>2089.2605112136898</v>
      </c>
      <c r="M411">
        <v>30.363744889553701</v>
      </c>
      <c r="O411">
        <v>68.511325837112807</v>
      </c>
      <c r="P411">
        <v>-8.5960684078312796E-2</v>
      </c>
      <c r="Q411">
        <v>0.224174002724569</v>
      </c>
      <c r="R411">
        <v>0.560914294067411</v>
      </c>
      <c r="S411" t="s">
        <v>6722</v>
      </c>
      <c r="T411" t="s">
        <v>12620</v>
      </c>
      <c r="U411" t="s">
        <v>12620</v>
      </c>
      <c r="V411" t="s">
        <v>12620</v>
      </c>
      <c r="W411" t="s">
        <v>12870</v>
      </c>
      <c r="X411">
        <v>2</v>
      </c>
      <c r="Z411" t="s">
        <v>25358</v>
      </c>
      <c r="AA411">
        <v>0.94485175168462188</v>
      </c>
      <c r="AB411" t="str">
        <f>HYPERLINK("Melting_Curves/meltCurve_E9PLD3_.pdf", "Melting_Curves/meltCurve_E9PLD3_.pdf")</f>
        <v>Melting_Curves/meltCurve_E9PLD3_.pdf</v>
      </c>
    </row>
    <row r="412" spans="1:28" x14ac:dyDescent="0.25">
      <c r="A412" t="s">
        <v>416</v>
      </c>
      <c r="B412">
        <v>0.99987803227770999</v>
      </c>
      <c r="C412">
        <v>1.1628872904381899</v>
      </c>
      <c r="D412">
        <v>1.1063925445557501</v>
      </c>
      <c r="E412">
        <v>1.0865428307087599</v>
      </c>
      <c r="F412">
        <v>0.75124705675930004</v>
      </c>
      <c r="G412">
        <v>0.45113524611348799</v>
      </c>
      <c r="H412">
        <v>0.135319719084292</v>
      </c>
      <c r="I412">
        <v>0.113017747395479</v>
      </c>
      <c r="J412">
        <v>7.68845538873099E-2</v>
      </c>
      <c r="K412">
        <v>5.37687617854649E-2</v>
      </c>
      <c r="L412">
        <v>1480.8813315699699</v>
      </c>
      <c r="M412">
        <v>26.462049930956201</v>
      </c>
      <c r="N412">
        <v>56.243178032834898</v>
      </c>
      <c r="O412">
        <v>55.645792043429402</v>
      </c>
      <c r="P412">
        <v>-0.111532969964418</v>
      </c>
      <c r="Q412">
        <v>6.1860462594381001E-2</v>
      </c>
      <c r="R412">
        <v>0.969744393790273</v>
      </c>
      <c r="S412" t="s">
        <v>6723</v>
      </c>
      <c r="T412" t="s">
        <v>12620</v>
      </c>
      <c r="U412" t="s">
        <v>12620</v>
      </c>
      <c r="V412" t="s">
        <v>12620</v>
      </c>
      <c r="W412" t="s">
        <v>13022</v>
      </c>
      <c r="X412">
        <v>51</v>
      </c>
      <c r="Y412" t="s">
        <v>19269</v>
      </c>
      <c r="Z412" t="s">
        <v>25359</v>
      </c>
      <c r="AA412">
        <v>0.56885157106249429</v>
      </c>
      <c r="AB412" t="str">
        <f>HYPERLINK("Melting_Curves/meltCurve_E9PLK3_NPEPPS.pdf", "Melting_Curves/meltCurve_E9PLK3_NPEPPS.pdf")</f>
        <v>Melting_Curves/meltCurve_E9PLK3_NPEPPS.pdf</v>
      </c>
    </row>
    <row r="413" spans="1:28" x14ac:dyDescent="0.25">
      <c r="A413" t="s">
        <v>417</v>
      </c>
      <c r="B413">
        <v>0.99987803227770999</v>
      </c>
      <c r="C413">
        <v>1.25228707593355</v>
      </c>
      <c r="D413">
        <v>0.98446248816910498</v>
      </c>
      <c r="E413">
        <v>0.91931465547550495</v>
      </c>
      <c r="F413">
        <v>0.55456582003481303</v>
      </c>
      <c r="G413">
        <v>0.27013775086041403</v>
      </c>
      <c r="H413">
        <v>0.17329632022757099</v>
      </c>
      <c r="I413">
        <v>0.17616383228322099</v>
      </c>
      <c r="J413">
        <v>0.176464704000836</v>
      </c>
      <c r="K413">
        <v>0.14343628318287399</v>
      </c>
      <c r="L413">
        <v>1771.09415240568</v>
      </c>
      <c r="M413">
        <v>33.469117802111903</v>
      </c>
      <c r="N413">
        <v>53.579920327982698</v>
      </c>
      <c r="O413">
        <v>52.729421808784601</v>
      </c>
      <c r="P413">
        <v>-0.13179052896301699</v>
      </c>
      <c r="Q413">
        <v>0.16947806880756999</v>
      </c>
      <c r="R413">
        <v>0.96045325044211205</v>
      </c>
      <c r="S413" t="s">
        <v>6724</v>
      </c>
      <c r="T413" t="s">
        <v>12620</v>
      </c>
      <c r="U413" t="s">
        <v>12620</v>
      </c>
      <c r="V413" t="s">
        <v>12620</v>
      </c>
      <c r="W413" t="s">
        <v>13023</v>
      </c>
      <c r="X413">
        <v>3</v>
      </c>
      <c r="Y413" t="s">
        <v>19270</v>
      </c>
      <c r="Z413" t="s">
        <v>25360</v>
      </c>
      <c r="AA413">
        <v>0.53141434102143881</v>
      </c>
      <c r="AB413" t="str">
        <f>HYPERLINK("Melting_Curves/meltCurve_E9PLL6_RPL27A.pdf", "Melting_Curves/meltCurve_E9PLL6_RPL27A.pdf")</f>
        <v>Melting_Curves/meltCurve_E9PLL6_RPL27A.pdf</v>
      </c>
    </row>
    <row r="414" spans="1:28" x14ac:dyDescent="0.25">
      <c r="A414" t="s">
        <v>418</v>
      </c>
      <c r="B414">
        <v>0.99987803227770999</v>
      </c>
      <c r="C414">
        <v>0.87494458829614796</v>
      </c>
      <c r="D414">
        <v>1.0081363723313099</v>
      </c>
      <c r="E414">
        <v>0.83203729751963396</v>
      </c>
      <c r="F414">
        <v>0.82212780113047801</v>
      </c>
      <c r="G414">
        <v>0.53737380862426598</v>
      </c>
      <c r="H414">
        <v>0.40691150224091399</v>
      </c>
      <c r="I414">
        <v>0.33568218644578901</v>
      </c>
      <c r="J414">
        <v>0.22584842136319699</v>
      </c>
      <c r="K414">
        <v>0.173324087380306</v>
      </c>
      <c r="L414">
        <v>637.44907171141801</v>
      </c>
      <c r="M414">
        <v>10.9312677131083</v>
      </c>
      <c r="N414">
        <v>58.833171826462397</v>
      </c>
      <c r="O414">
        <v>56.464580385649803</v>
      </c>
      <c r="P414">
        <v>-4.61906112222982E-2</v>
      </c>
      <c r="Q414">
        <v>4.5954258876732101E-2</v>
      </c>
      <c r="R414">
        <v>0.97594394621606495</v>
      </c>
      <c r="S414" t="s">
        <v>6725</v>
      </c>
      <c r="T414" t="s">
        <v>12620</v>
      </c>
      <c r="U414" t="s">
        <v>12620</v>
      </c>
      <c r="V414" t="s">
        <v>12620</v>
      </c>
      <c r="W414" t="s">
        <v>13024</v>
      </c>
      <c r="X414">
        <v>2</v>
      </c>
      <c r="Y414" t="s">
        <v>19271</v>
      </c>
      <c r="Z414" t="s">
        <v>25361</v>
      </c>
      <c r="AA414">
        <v>0.63776068271078779</v>
      </c>
      <c r="AB414" t="str">
        <f>HYPERLINK("Melting_Curves/meltCurve_E9PLX2_RNF141.pdf", "Melting_Curves/meltCurve_E9PLX2_RNF141.pdf")</f>
        <v>Melting_Curves/meltCurve_E9PLX2_RNF141.pdf</v>
      </c>
    </row>
    <row r="415" spans="1:28" x14ac:dyDescent="0.25">
      <c r="A415" t="s">
        <v>419</v>
      </c>
      <c r="B415">
        <v>0.99987803227770999</v>
      </c>
      <c r="C415">
        <v>1.1852608251047201</v>
      </c>
      <c r="D415">
        <v>0.90531126430976205</v>
      </c>
      <c r="E415">
        <v>1.0155983376679101</v>
      </c>
      <c r="F415">
        <v>0.39218220212351301</v>
      </c>
      <c r="G415">
        <v>0.24831177651271899</v>
      </c>
      <c r="H415">
        <v>0.188615141938928</v>
      </c>
      <c r="I415">
        <v>0.150205056817489</v>
      </c>
      <c r="J415">
        <v>0.13869698427095101</v>
      </c>
      <c r="K415">
        <v>9.3161111408463504E-2</v>
      </c>
      <c r="L415">
        <v>13198.1211929365</v>
      </c>
      <c r="M415">
        <v>250</v>
      </c>
      <c r="N415">
        <v>52.876433302426499</v>
      </c>
      <c r="O415">
        <v>52.789107515496198</v>
      </c>
      <c r="P415">
        <v>-0.99002669997676895</v>
      </c>
      <c r="Q415">
        <v>0.16379800406610801</v>
      </c>
      <c r="R415">
        <v>0.96699522003718597</v>
      </c>
      <c r="S415" t="s">
        <v>6726</v>
      </c>
      <c r="T415" t="s">
        <v>12620</v>
      </c>
      <c r="U415" t="s">
        <v>12620</v>
      </c>
      <c r="V415" t="s">
        <v>12620</v>
      </c>
      <c r="W415" t="s">
        <v>13025</v>
      </c>
      <c r="X415">
        <v>29</v>
      </c>
      <c r="Y415" t="s">
        <v>19272</v>
      </c>
      <c r="Z415" t="s">
        <v>25362</v>
      </c>
      <c r="AA415">
        <v>0.52044552147488243</v>
      </c>
      <c r="AB415" t="str">
        <f>HYPERLINK("Melting_Curves/meltCurve_E9PLY5_MACF1.pdf", "Melting_Curves/meltCurve_E9PLY5_MACF1.pdf")</f>
        <v>Melting_Curves/meltCurve_E9PLY5_MACF1.pdf</v>
      </c>
    </row>
    <row r="416" spans="1:28" x14ac:dyDescent="0.25">
      <c r="A416" t="s">
        <v>420</v>
      </c>
      <c r="B416">
        <v>0.99987803227770999</v>
      </c>
      <c r="C416">
        <v>1.1659356078188301</v>
      </c>
      <c r="D416">
        <v>0.74464174621275603</v>
      </c>
      <c r="E416">
        <v>0.59292710121676395</v>
      </c>
      <c r="F416">
        <v>0.34806933598755702</v>
      </c>
      <c r="G416">
        <v>0.22964742366596699</v>
      </c>
      <c r="H416">
        <v>0.16187652990772999</v>
      </c>
      <c r="I416">
        <v>0.14069395960039</v>
      </c>
      <c r="J416">
        <v>0.104559373910957</v>
      </c>
      <c r="K416">
        <v>7.6306940276568896E-2</v>
      </c>
      <c r="L416">
        <v>886.11152601131698</v>
      </c>
      <c r="M416">
        <v>17.634763565442501</v>
      </c>
      <c r="N416">
        <v>50.933841592630898</v>
      </c>
      <c r="O416">
        <v>49.615214355800397</v>
      </c>
      <c r="P416">
        <v>-7.9470951204638096E-2</v>
      </c>
      <c r="Q416">
        <v>0.10568531700829301</v>
      </c>
      <c r="R416">
        <v>0.95899053511395604</v>
      </c>
      <c r="S416" t="s">
        <v>6727</v>
      </c>
      <c r="T416" t="s">
        <v>12620</v>
      </c>
      <c r="U416" t="s">
        <v>12620</v>
      </c>
      <c r="V416" t="s">
        <v>12620</v>
      </c>
      <c r="W416" t="s">
        <v>12790</v>
      </c>
      <c r="X416">
        <v>34</v>
      </c>
      <c r="Y416" t="s">
        <v>19273</v>
      </c>
      <c r="Z416" t="s">
        <v>25363</v>
      </c>
      <c r="AA416">
        <v>0.42698020088471672</v>
      </c>
      <c r="AB416" t="str">
        <f>HYPERLINK("Melting_Curves/meltCurve_E9PM46_USP47.pdf", "Melting_Curves/meltCurve_E9PM46_USP47.pdf")</f>
        <v>Melting_Curves/meltCurve_E9PM46_USP47.pdf</v>
      </c>
    </row>
    <row r="417" spans="1:28" x14ac:dyDescent="0.25">
      <c r="A417" t="s">
        <v>421</v>
      </c>
      <c r="B417">
        <v>0.99987803227770999</v>
      </c>
      <c r="C417">
        <v>0.82165179389918497</v>
      </c>
      <c r="D417">
        <v>0.99716982876114002</v>
      </c>
      <c r="E417">
        <v>0.90425748871402301</v>
      </c>
      <c r="F417">
        <v>1.1988926389961501</v>
      </c>
      <c r="G417">
        <v>1.0462859276583101</v>
      </c>
      <c r="H417">
        <v>1.3583723483977601</v>
      </c>
      <c r="I417">
        <v>1.35122392609366</v>
      </c>
      <c r="J417">
        <v>1.2856803365471301</v>
      </c>
      <c r="K417">
        <v>1.0203807457023899</v>
      </c>
      <c r="L417">
        <v>1513.2933771283399</v>
      </c>
      <c r="M417">
        <v>28.049023428136</v>
      </c>
      <c r="O417">
        <v>53.679731356723401</v>
      </c>
      <c r="P417">
        <v>3.0503179707949801E-2</v>
      </c>
      <c r="Q417">
        <v>1.23350382062079</v>
      </c>
      <c r="R417">
        <v>0.50055131085445004</v>
      </c>
      <c r="S417" t="s">
        <v>6728</v>
      </c>
      <c r="T417" t="s">
        <v>12620</v>
      </c>
      <c r="U417" t="s">
        <v>12620</v>
      </c>
      <c r="V417" t="s">
        <v>12620</v>
      </c>
      <c r="W417" t="s">
        <v>13026</v>
      </c>
      <c r="X417">
        <v>6</v>
      </c>
      <c r="Y417" t="s">
        <v>19274</v>
      </c>
      <c r="Z417" t="s">
        <v>25364</v>
      </c>
      <c r="AA417">
        <v>1.123167465032807</v>
      </c>
      <c r="AB417" t="str">
        <f>HYPERLINK("Melting_Curves/meltCurve_E9PM92_C11orf58.pdf", "Melting_Curves/meltCurve_E9PM92_C11orf58.pdf")</f>
        <v>Melting_Curves/meltCurve_E9PM92_C11orf58.pdf</v>
      </c>
    </row>
    <row r="418" spans="1:28" x14ac:dyDescent="0.25">
      <c r="A418" t="s">
        <v>422</v>
      </c>
      <c r="B418">
        <v>0.99987803227770999</v>
      </c>
      <c r="C418">
        <v>1.15783873240871</v>
      </c>
      <c r="D418">
        <v>0.88859948580364001</v>
      </c>
      <c r="E418">
        <v>1.0964685429171801</v>
      </c>
      <c r="F418">
        <v>0.73375112967858103</v>
      </c>
      <c r="G418">
        <v>0.78017088633645304</v>
      </c>
      <c r="H418">
        <v>0.852410757045441</v>
      </c>
      <c r="I418">
        <v>0.85845683956156205</v>
      </c>
      <c r="J418">
        <v>0.55569540663370598</v>
      </c>
      <c r="K418">
        <v>0.209077761021117</v>
      </c>
      <c r="L418">
        <v>1861.8855075679901</v>
      </c>
      <c r="M418">
        <v>27.673031682620699</v>
      </c>
      <c r="N418">
        <v>67.281587433746594</v>
      </c>
      <c r="O418">
        <v>66.933191534951206</v>
      </c>
      <c r="P418">
        <v>-0.103361586717287</v>
      </c>
      <c r="Q418">
        <v>0</v>
      </c>
      <c r="R418">
        <v>0.74058775857450398</v>
      </c>
      <c r="S418" t="s">
        <v>6729</v>
      </c>
      <c r="T418" t="s">
        <v>12620</v>
      </c>
      <c r="U418" t="s">
        <v>12620</v>
      </c>
      <c r="V418" t="s">
        <v>12620</v>
      </c>
      <c r="W418" t="s">
        <v>13027</v>
      </c>
      <c r="X418">
        <v>5</v>
      </c>
      <c r="Y418" t="s">
        <v>19275</v>
      </c>
      <c r="Z418" t="s">
        <v>25365</v>
      </c>
      <c r="AA418">
        <v>0.8910605507000291</v>
      </c>
      <c r="AB418" t="str">
        <f>HYPERLINK("Melting_Curves/meltCurve_E9PMB9_ME3.pdf", "Melting_Curves/meltCurve_E9PMB9_ME3.pdf")</f>
        <v>Melting_Curves/meltCurve_E9PMB9_ME3.pdf</v>
      </c>
    </row>
    <row r="419" spans="1:28" x14ac:dyDescent="0.25">
      <c r="A419" t="s">
        <v>423</v>
      </c>
      <c r="B419">
        <v>0.99987803227770999</v>
      </c>
      <c r="C419">
        <v>1.01825737213546</v>
      </c>
      <c r="D419">
        <v>1.00888818293728</v>
      </c>
      <c r="E419">
        <v>1.20613095919248</v>
      </c>
      <c r="F419">
        <v>1.07165672229523</v>
      </c>
      <c r="G419">
        <v>0.80119457341516798</v>
      </c>
      <c r="H419">
        <v>0.42030071441221001</v>
      </c>
      <c r="I419">
        <v>0.20955731777771799</v>
      </c>
      <c r="J419">
        <v>0.12717266091343399</v>
      </c>
      <c r="K419">
        <v>8.2848037252790899E-2</v>
      </c>
      <c r="L419">
        <v>1807.7787049889</v>
      </c>
      <c r="M419">
        <v>30.215865838222399</v>
      </c>
      <c r="N419">
        <v>60.209278083922698</v>
      </c>
      <c r="O419">
        <v>59.568569540642102</v>
      </c>
      <c r="P419">
        <v>-0.115790639737477</v>
      </c>
      <c r="Q419">
        <v>8.6911622138275593E-2</v>
      </c>
      <c r="R419">
        <v>0.96891237750887904</v>
      </c>
      <c r="S419" t="s">
        <v>6730</v>
      </c>
      <c r="T419" t="s">
        <v>12620</v>
      </c>
      <c r="U419" t="s">
        <v>12620</v>
      </c>
      <c r="V419" t="s">
        <v>12620</v>
      </c>
      <c r="W419" t="s">
        <v>13028</v>
      </c>
      <c r="X419">
        <v>12</v>
      </c>
      <c r="Y419" t="s">
        <v>19276</v>
      </c>
      <c r="Z419" t="s">
        <v>25366</v>
      </c>
      <c r="AA419">
        <v>0.69598457261418756</v>
      </c>
      <c r="AB419" t="str">
        <f>HYPERLINK("Melting_Curves/meltCurve_E9PMH5_BIRC2.pdf", "Melting_Curves/meltCurve_E9PMH5_BIRC2.pdf")</f>
        <v>Melting_Curves/meltCurve_E9PMH5_BIRC2.pdf</v>
      </c>
    </row>
    <row r="420" spans="1:28" x14ac:dyDescent="0.25">
      <c r="A420" t="s">
        <v>424</v>
      </c>
      <c r="B420">
        <v>0.99987803227770999</v>
      </c>
      <c r="C420">
        <v>0.96356309001646001</v>
      </c>
      <c r="D420">
        <v>0.94869897335405595</v>
      </c>
      <c r="E420">
        <v>0.93333936261797601</v>
      </c>
      <c r="F420">
        <v>0.97632025924196797</v>
      </c>
      <c r="G420">
        <v>0.85468476982919706</v>
      </c>
      <c r="H420">
        <v>0.79803465908511495</v>
      </c>
      <c r="I420">
        <v>0.68678821034291004</v>
      </c>
      <c r="J420">
        <v>0.65659944775537105</v>
      </c>
      <c r="K420">
        <v>0.52938548882556702</v>
      </c>
      <c r="L420">
        <v>523.29398939552402</v>
      </c>
      <c r="M420">
        <v>7.2885912532044497</v>
      </c>
      <c r="O420">
        <v>66.9837556601248</v>
      </c>
      <c r="P420">
        <v>-2.72463116654349E-2</v>
      </c>
      <c r="Q420">
        <v>0</v>
      </c>
      <c r="R420">
        <v>0.97049879123809402</v>
      </c>
      <c r="S420" t="s">
        <v>6731</v>
      </c>
      <c r="T420" t="s">
        <v>12620</v>
      </c>
      <c r="U420" t="s">
        <v>12620</v>
      </c>
      <c r="V420" t="s">
        <v>12620</v>
      </c>
      <c r="W420" t="s">
        <v>13029</v>
      </c>
      <c r="X420">
        <v>5</v>
      </c>
      <c r="Y420" t="s">
        <v>19277</v>
      </c>
      <c r="Z420" t="s">
        <v>25367</v>
      </c>
      <c r="AA420">
        <v>0.85354393885613</v>
      </c>
      <c r="AB420" t="str">
        <f>HYPERLINK("Melting_Curves/meltCurve_E9PMI6_CLNS1A.pdf", "Melting_Curves/meltCurve_E9PMI6_CLNS1A.pdf")</f>
        <v>Melting_Curves/meltCurve_E9PMI6_CLNS1A.pdf</v>
      </c>
    </row>
    <row r="421" spans="1:28" x14ac:dyDescent="0.25">
      <c r="A421" t="s">
        <v>425</v>
      </c>
      <c r="B421">
        <v>0.99987803227770999</v>
      </c>
      <c r="C421">
        <v>0.91658235883803396</v>
      </c>
      <c r="D421">
        <v>0.97325705866022405</v>
      </c>
      <c r="E421">
        <v>0.76501121656066096</v>
      </c>
      <c r="F421">
        <v>0.40977232924733498</v>
      </c>
      <c r="G421">
        <v>0.233292019256606</v>
      </c>
      <c r="H421">
        <v>0.146718911557741</v>
      </c>
      <c r="I421">
        <v>0.12840921410033901</v>
      </c>
      <c r="J421">
        <v>9.1830395289169003E-2</v>
      </c>
      <c r="K421">
        <v>6.2187656666855599E-2</v>
      </c>
      <c r="L421">
        <v>1188.4776909575601</v>
      </c>
      <c r="M421">
        <v>22.871016559849501</v>
      </c>
      <c r="N421">
        <v>52.461093124084101</v>
      </c>
      <c r="O421">
        <v>51.571979213808</v>
      </c>
      <c r="P421">
        <v>-0.10007787458525701</v>
      </c>
      <c r="Q421">
        <v>9.7352702740784197E-2</v>
      </c>
      <c r="R421">
        <v>0.99178079299501598</v>
      </c>
      <c r="S421" t="s">
        <v>6732</v>
      </c>
      <c r="T421" t="s">
        <v>12620</v>
      </c>
      <c r="U421" t="s">
        <v>12620</v>
      </c>
      <c r="V421" t="s">
        <v>12620</v>
      </c>
      <c r="W421" t="s">
        <v>13030</v>
      </c>
      <c r="X421">
        <v>9</v>
      </c>
      <c r="Y421" t="s">
        <v>19278</v>
      </c>
      <c r="Z421" t="s">
        <v>25368</v>
      </c>
      <c r="AA421">
        <v>0.46709898671869321</v>
      </c>
      <c r="AB421" t="str">
        <f>HYPERLINK("Melting_Curves/meltCurve_E9PMJ2_FAM118B.pdf", "Melting_Curves/meltCurve_E9PMJ2_FAM118B.pdf")</f>
        <v>Melting_Curves/meltCurve_E9PMJ2_FAM118B.pdf</v>
      </c>
    </row>
    <row r="422" spans="1:28" x14ac:dyDescent="0.25">
      <c r="A422" t="s">
        <v>426</v>
      </c>
      <c r="B422">
        <v>0.99987803227770999</v>
      </c>
      <c r="C422">
        <v>0.91231416249168995</v>
      </c>
      <c r="D422">
        <v>0.99415155325845905</v>
      </c>
      <c r="E422">
        <v>0.57529519856741695</v>
      </c>
      <c r="F422">
        <v>0.29395059018668501</v>
      </c>
      <c r="G422">
        <v>0.19178478835787399</v>
      </c>
      <c r="H422">
        <v>0.15679059474564899</v>
      </c>
      <c r="I422">
        <v>0.144356665688717</v>
      </c>
      <c r="J422">
        <v>0.136250566869525</v>
      </c>
      <c r="K422">
        <v>0.105853557838055</v>
      </c>
      <c r="L422">
        <v>1497.7907207396199</v>
      </c>
      <c r="M422">
        <v>29.8555376324361</v>
      </c>
      <c r="N422">
        <v>50.731611396057801</v>
      </c>
      <c r="O422">
        <v>49.944468840709</v>
      </c>
      <c r="P422">
        <v>-0.12834953012994399</v>
      </c>
      <c r="Q422">
        <v>0.14115668017067501</v>
      </c>
      <c r="R422">
        <v>0.99119484172573402</v>
      </c>
      <c r="S422" t="s">
        <v>6733</v>
      </c>
      <c r="T422" t="s">
        <v>12620</v>
      </c>
      <c r="U422" t="s">
        <v>12620</v>
      </c>
      <c r="V422" t="s">
        <v>12620</v>
      </c>
      <c r="W422" t="s">
        <v>13031</v>
      </c>
      <c r="X422">
        <v>6</v>
      </c>
      <c r="Y422" t="s">
        <v>19279</v>
      </c>
      <c r="Z422" t="s">
        <v>25369</v>
      </c>
      <c r="AA422">
        <v>0.43762428441354928</v>
      </c>
      <c r="AB422" t="str">
        <f>HYPERLINK("Melting_Curves/meltCurve_E9PMQ6_HSF1.pdf", "Melting_Curves/meltCurve_E9PMQ6_HSF1.pdf")</f>
        <v>Melting_Curves/meltCurve_E9PMQ6_HSF1.pdf</v>
      </c>
    </row>
    <row r="423" spans="1:28" x14ac:dyDescent="0.25">
      <c r="A423" t="s">
        <v>427</v>
      </c>
      <c r="B423">
        <v>0.99987803227770999</v>
      </c>
      <c r="C423">
        <v>0.844110165006562</v>
      </c>
      <c r="D423">
        <v>0.96157913081215696</v>
      </c>
      <c r="E423">
        <v>0.73317619901583897</v>
      </c>
      <c r="F423">
        <v>0.90964779058108602</v>
      </c>
      <c r="G423">
        <v>0.79798358767718303</v>
      </c>
      <c r="H423">
        <v>0.87886340340645497</v>
      </c>
      <c r="I423">
        <v>0.82776178131328604</v>
      </c>
      <c r="J423">
        <v>0.86616794902763194</v>
      </c>
      <c r="K423">
        <v>0.71577706104370997</v>
      </c>
      <c r="L423">
        <v>628.37846899420401</v>
      </c>
      <c r="M423">
        <v>14.448703839343599</v>
      </c>
      <c r="O423">
        <v>42.682680449535297</v>
      </c>
      <c r="P423">
        <v>-1.54225104033998E-2</v>
      </c>
      <c r="Q423">
        <v>0.81778376525559204</v>
      </c>
      <c r="R423">
        <v>0.33291633384597402</v>
      </c>
      <c r="S423" t="s">
        <v>6734</v>
      </c>
      <c r="T423" t="s">
        <v>12620</v>
      </c>
      <c r="U423" t="s">
        <v>12620</v>
      </c>
      <c r="V423" t="s">
        <v>12620</v>
      </c>
      <c r="W423" t="s">
        <v>13032</v>
      </c>
      <c r="X423">
        <v>29</v>
      </c>
      <c r="Y423" t="s">
        <v>19280</v>
      </c>
      <c r="Z423" t="s">
        <v>25370</v>
      </c>
      <c r="AA423">
        <v>0.84662833161473572</v>
      </c>
      <c r="AB423" t="str">
        <f>HYPERLINK("Melting_Curves/meltCurve_E9PMS6_LMO7.pdf", "Melting_Curves/meltCurve_E9PMS6_LMO7.pdf")</f>
        <v>Melting_Curves/meltCurve_E9PMS6_LMO7.pdf</v>
      </c>
    </row>
    <row r="424" spans="1:28" x14ac:dyDescent="0.25">
      <c r="A424" t="s">
        <v>428</v>
      </c>
      <c r="B424">
        <v>0.99987803227770999</v>
      </c>
      <c r="C424">
        <v>1.0984550873388499</v>
      </c>
      <c r="D424">
        <v>0.99558730585116095</v>
      </c>
      <c r="E424">
        <v>0.85942425340948103</v>
      </c>
      <c r="F424">
        <v>0.76092511404012897</v>
      </c>
      <c r="G424">
        <v>0.58795017120672199</v>
      </c>
      <c r="H424">
        <v>0.49426601281952998</v>
      </c>
      <c r="I424">
        <v>0.52848631745619001</v>
      </c>
      <c r="J424">
        <v>0.32084690064918803</v>
      </c>
      <c r="K424">
        <v>0.27614597903697702</v>
      </c>
      <c r="L424">
        <v>626.766391402973</v>
      </c>
      <c r="M424">
        <v>10.8634619631551</v>
      </c>
      <c r="N424">
        <v>60.798794071707299</v>
      </c>
      <c r="O424">
        <v>55.843129627214203</v>
      </c>
      <c r="P424">
        <v>-3.8295721812522797E-2</v>
      </c>
      <c r="Q424">
        <v>0.212848958009072</v>
      </c>
      <c r="R424">
        <v>0.95606528138163605</v>
      </c>
      <c r="S424" t="s">
        <v>6735</v>
      </c>
      <c r="T424" t="s">
        <v>12620</v>
      </c>
      <c r="U424" t="s">
        <v>12620</v>
      </c>
      <c r="V424" t="s">
        <v>12620</v>
      </c>
      <c r="W424" t="s">
        <v>13033</v>
      </c>
      <c r="X424">
        <v>3</v>
      </c>
      <c r="Y424" t="s">
        <v>19281</v>
      </c>
      <c r="Z424" t="s">
        <v>25371</v>
      </c>
      <c r="AA424">
        <v>0.68741193689655666</v>
      </c>
      <c r="AB424" t="str">
        <f>HYPERLINK("Melting_Curves/meltCurve_E9PN20_ZNF595.pdf", "Melting_Curves/meltCurve_E9PN20_ZNF595.pdf")</f>
        <v>Melting_Curves/meltCurve_E9PN20_ZNF595.pdf</v>
      </c>
    </row>
    <row r="425" spans="1:28" x14ac:dyDescent="0.25">
      <c r="A425" t="s">
        <v>429</v>
      </c>
      <c r="B425">
        <v>0.99987803227770999</v>
      </c>
      <c r="C425">
        <v>0.87897997348353496</v>
      </c>
      <c r="D425">
        <v>0.94935100941570605</v>
      </c>
      <c r="E425">
        <v>0.88782332651843499</v>
      </c>
      <c r="F425">
        <v>1.08907386776591</v>
      </c>
      <c r="G425">
        <v>0.79604841727305298</v>
      </c>
      <c r="H425">
        <v>0.75316710089606997</v>
      </c>
      <c r="I425">
        <v>0.76487454093918195</v>
      </c>
      <c r="J425">
        <v>0.60734924354964603</v>
      </c>
      <c r="K425">
        <v>0.53852221460562699</v>
      </c>
      <c r="L425">
        <v>511.74528087429502</v>
      </c>
      <c r="M425">
        <v>7.1225851660825104</v>
      </c>
      <c r="O425">
        <v>66.830592116844002</v>
      </c>
      <c r="P425">
        <v>-2.66905210784926E-2</v>
      </c>
      <c r="Q425">
        <v>0</v>
      </c>
      <c r="R425">
        <v>0.79162552368998895</v>
      </c>
      <c r="S425" t="s">
        <v>6736</v>
      </c>
      <c r="T425" t="s">
        <v>12620</v>
      </c>
      <c r="U425" t="s">
        <v>12620</v>
      </c>
      <c r="V425" t="s">
        <v>12620</v>
      </c>
      <c r="W425" t="s">
        <v>13034</v>
      </c>
      <c r="X425">
        <v>3</v>
      </c>
      <c r="Y425" t="s">
        <v>19282</v>
      </c>
      <c r="Z425" t="s">
        <v>25372</v>
      </c>
      <c r="AA425">
        <v>0.85108409362092707</v>
      </c>
      <c r="AB425" t="str">
        <f>HYPERLINK("Melting_Curves/meltCurve_E9PNJ4_STIM1.pdf", "Melting_Curves/meltCurve_E9PNJ4_STIM1.pdf")</f>
        <v>Melting_Curves/meltCurve_E9PNJ4_STIM1.pdf</v>
      </c>
    </row>
    <row r="426" spans="1:28" x14ac:dyDescent="0.25">
      <c r="A426" t="s">
        <v>430</v>
      </c>
      <c r="B426">
        <v>0.99987803227770999</v>
      </c>
      <c r="C426">
        <v>0.88791041324272402</v>
      </c>
      <c r="D426">
        <v>0.971735740130234</v>
      </c>
      <c r="E426">
        <v>0.83769131054189006</v>
      </c>
      <c r="F426">
        <v>0.93977408807018403</v>
      </c>
      <c r="G426">
        <v>0.48649577529800098</v>
      </c>
      <c r="H426">
        <v>0.690440938264409</v>
      </c>
      <c r="I426">
        <v>0.65853875088619096</v>
      </c>
      <c r="J426">
        <v>1.04947098781935</v>
      </c>
      <c r="K426">
        <v>0.83823317240768602</v>
      </c>
      <c r="L426">
        <v>1120.7554807447</v>
      </c>
      <c r="M426">
        <v>22.839629199456699</v>
      </c>
      <c r="O426">
        <v>48.699116794965001</v>
      </c>
      <c r="P426">
        <v>-2.7559993731320499E-2</v>
      </c>
      <c r="Q426">
        <v>0.76494863140063196</v>
      </c>
      <c r="R426">
        <v>0.22322052009785601</v>
      </c>
      <c r="S426" t="s">
        <v>6737</v>
      </c>
      <c r="T426" t="s">
        <v>12620</v>
      </c>
      <c r="U426" t="s">
        <v>12620</v>
      </c>
      <c r="V426" t="s">
        <v>12620</v>
      </c>
      <c r="W426" t="s">
        <v>13035</v>
      </c>
      <c r="X426">
        <v>3</v>
      </c>
      <c r="Y426" t="s">
        <v>19283</v>
      </c>
      <c r="Z426" t="s">
        <v>25373</v>
      </c>
      <c r="AA426">
        <v>0.838526793885782</v>
      </c>
      <c r="AB426" t="str">
        <f>HYPERLINK("Melting_Curves/meltCurve_E9PNW4_CD59.pdf", "Melting_Curves/meltCurve_E9PNW4_CD59.pdf")</f>
        <v>Melting_Curves/meltCurve_E9PNW4_CD59.pdf</v>
      </c>
    </row>
    <row r="427" spans="1:28" x14ac:dyDescent="0.25">
      <c r="A427" t="s">
        <v>431</v>
      </c>
      <c r="B427">
        <v>0.99987803227770999</v>
      </c>
      <c r="C427">
        <v>0.80302937671395902</v>
      </c>
      <c r="D427">
        <v>0.88804442871895395</v>
      </c>
      <c r="E427">
        <v>0.80755605501810601</v>
      </c>
      <c r="F427">
        <v>1.0140722609284001</v>
      </c>
      <c r="G427">
        <v>0.66329376046870103</v>
      </c>
      <c r="H427">
        <v>0.30647334530783599</v>
      </c>
      <c r="I427">
        <v>0.22256654086755201</v>
      </c>
      <c r="J427">
        <v>0.105237769840567</v>
      </c>
      <c r="K427">
        <v>8.3823201092753305E-2</v>
      </c>
      <c r="L427">
        <v>1330.00999996424</v>
      </c>
      <c r="M427">
        <v>22.725744849301201</v>
      </c>
      <c r="N427">
        <v>58.898834968927297</v>
      </c>
      <c r="O427">
        <v>58.076846524213202</v>
      </c>
      <c r="P427">
        <v>-9.1247543685069099E-2</v>
      </c>
      <c r="Q427">
        <v>6.7266241614786407E-2</v>
      </c>
      <c r="R427">
        <v>0.92578836591134905</v>
      </c>
      <c r="S427" t="s">
        <v>6738</v>
      </c>
      <c r="T427" t="s">
        <v>12620</v>
      </c>
      <c r="U427" t="s">
        <v>12620</v>
      </c>
      <c r="V427" t="s">
        <v>12620</v>
      </c>
      <c r="W427" t="s">
        <v>13036</v>
      </c>
      <c r="X427">
        <v>4</v>
      </c>
      <c r="Y427" t="s">
        <v>19284</v>
      </c>
      <c r="Z427" t="s">
        <v>25374</v>
      </c>
      <c r="AA427">
        <v>0.65205733857231019</v>
      </c>
      <c r="AB427" t="str">
        <f>HYPERLINK("Melting_Curves/meltCurve_E9PQ47_ZFPL1.pdf", "Melting_Curves/meltCurve_E9PQ47_ZFPL1.pdf")</f>
        <v>Melting_Curves/meltCurve_E9PQ47_ZFPL1.pdf</v>
      </c>
    </row>
    <row r="428" spans="1:28" x14ac:dyDescent="0.25">
      <c r="A428" t="s">
        <v>432</v>
      </c>
      <c r="B428">
        <v>0.99987803227770999</v>
      </c>
      <c r="C428">
        <v>0.977551014638539</v>
      </c>
      <c r="D428">
        <v>1.03587482776567</v>
      </c>
      <c r="E428">
        <v>1.04483237216377</v>
      </c>
      <c r="F428">
        <v>1.45793217721889</v>
      </c>
      <c r="G428">
        <v>1.4691484101122201</v>
      </c>
      <c r="H428">
        <v>1.5178902386162001</v>
      </c>
      <c r="I428">
        <v>1.5536723657935301</v>
      </c>
      <c r="J428">
        <v>1.3689311922665801</v>
      </c>
      <c r="K428">
        <v>1.0340926249648299</v>
      </c>
      <c r="L428">
        <v>12603.5186383868</v>
      </c>
      <c r="M428">
        <v>250</v>
      </c>
      <c r="O428">
        <v>50.410825237316899</v>
      </c>
      <c r="P428">
        <v>0.49626975540733298</v>
      </c>
      <c r="Q428">
        <v>1.4002780712346501</v>
      </c>
      <c r="R428">
        <v>0.662775901396228</v>
      </c>
      <c r="S428" t="s">
        <v>6739</v>
      </c>
      <c r="T428" t="s">
        <v>12620</v>
      </c>
      <c r="U428" t="s">
        <v>12620</v>
      </c>
      <c r="V428" t="s">
        <v>12620</v>
      </c>
      <c r="W428" t="s">
        <v>13037</v>
      </c>
      <c r="X428">
        <v>3</v>
      </c>
      <c r="Y428" t="s">
        <v>19285</v>
      </c>
      <c r="Z428" t="s">
        <v>25375</v>
      </c>
      <c r="AA428">
        <v>1.261291800399295</v>
      </c>
      <c r="AB428" t="str">
        <f>HYPERLINK("Melting_Curves/meltCurve_E9PR30_FAU.pdf", "Melting_Curves/meltCurve_E9PR30_FAU.pdf")</f>
        <v>Melting_Curves/meltCurve_E9PR30_FAU.pdf</v>
      </c>
    </row>
    <row r="429" spans="1:28" x14ac:dyDescent="0.25">
      <c r="A429" t="s">
        <v>433</v>
      </c>
      <c r="B429">
        <v>0.99987803227770999</v>
      </c>
      <c r="C429">
        <v>1.09287574725237</v>
      </c>
      <c r="D429">
        <v>0.93161517676092598</v>
      </c>
      <c r="E429">
        <v>0.95301819693945999</v>
      </c>
      <c r="F429">
        <v>0.66044428282771805</v>
      </c>
      <c r="G429">
        <v>0.414797837463659</v>
      </c>
      <c r="H429">
        <v>0.28631404778545599</v>
      </c>
      <c r="I429">
        <v>0.26424674900588302</v>
      </c>
      <c r="J429">
        <v>0.14660611300641899</v>
      </c>
      <c r="K429">
        <v>0.13438249075961001</v>
      </c>
      <c r="L429">
        <v>1042.1318863941799</v>
      </c>
      <c r="M429">
        <v>19.032313407629999</v>
      </c>
      <c r="N429">
        <v>55.839034860008702</v>
      </c>
      <c r="O429">
        <v>54.162165168364602</v>
      </c>
      <c r="P429">
        <v>-7.4292697927884593E-2</v>
      </c>
      <c r="Q429">
        <v>0.15434472478974301</v>
      </c>
      <c r="R429">
        <v>0.98059163243837</v>
      </c>
      <c r="S429" t="s">
        <v>6740</v>
      </c>
      <c r="T429" t="s">
        <v>12620</v>
      </c>
      <c r="U429" t="s">
        <v>12620</v>
      </c>
      <c r="V429" t="s">
        <v>12620</v>
      </c>
      <c r="W429" t="s">
        <v>13038</v>
      </c>
      <c r="X429">
        <v>3</v>
      </c>
      <c r="Y429" t="s">
        <v>19286</v>
      </c>
      <c r="Z429" t="s">
        <v>25376</v>
      </c>
      <c r="AA429">
        <v>0.5824909349355426</v>
      </c>
      <c r="AB429" t="str">
        <f>HYPERLINK("Melting_Curves/meltCurve_E9PR76_MAF1.pdf", "Melting_Curves/meltCurve_E9PR76_MAF1.pdf")</f>
        <v>Melting_Curves/meltCurve_E9PR76_MAF1.pdf</v>
      </c>
    </row>
    <row r="430" spans="1:28" x14ac:dyDescent="0.25">
      <c r="A430" t="s">
        <v>434</v>
      </c>
      <c r="B430">
        <v>0.99987803227770999</v>
      </c>
      <c r="C430">
        <v>1.02767288963391</v>
      </c>
      <c r="D430">
        <v>0.96464538875095596</v>
      </c>
      <c r="E430">
        <v>0.58663117413362598</v>
      </c>
      <c r="F430">
        <v>0.20294824164391201</v>
      </c>
      <c r="G430">
        <v>0.13892032576185401</v>
      </c>
      <c r="H430">
        <v>0.100027114583981</v>
      </c>
      <c r="I430">
        <v>8.9416575899479697E-2</v>
      </c>
      <c r="J430">
        <v>6.5036694631448205E-2</v>
      </c>
      <c r="K430">
        <v>4.7910864242041599E-2</v>
      </c>
      <c r="L430">
        <v>1750.2880215053401</v>
      </c>
      <c r="M430">
        <v>34.818494149427302</v>
      </c>
      <c r="N430">
        <v>50.532358415964403</v>
      </c>
      <c r="O430">
        <v>50.103965174458502</v>
      </c>
      <c r="P430">
        <v>-0.15931269201572101</v>
      </c>
      <c r="Q430">
        <v>8.2996666335737296E-2</v>
      </c>
      <c r="R430">
        <v>0.99722012686748196</v>
      </c>
      <c r="S430" t="s">
        <v>6741</v>
      </c>
      <c r="T430" t="s">
        <v>12620</v>
      </c>
      <c r="U430" t="s">
        <v>12620</v>
      </c>
      <c r="V430" t="s">
        <v>12620</v>
      </c>
      <c r="W430" t="s">
        <v>13011</v>
      </c>
      <c r="X430">
        <v>25</v>
      </c>
      <c r="Y430" t="s">
        <v>19287</v>
      </c>
      <c r="Z430" t="s">
        <v>25377</v>
      </c>
      <c r="AA430">
        <v>0.4011013375491469</v>
      </c>
      <c r="AB430" t="str">
        <f>HYPERLINK("Melting_Curves/meltCurve_E9PRI4_RPS6KA1.pdf", "Melting_Curves/meltCurve_E9PRI4_RPS6KA1.pdf")</f>
        <v>Melting_Curves/meltCurve_E9PRI4_RPS6KA1.pdf</v>
      </c>
    </row>
    <row r="431" spans="1:28" x14ac:dyDescent="0.25">
      <c r="A431" t="s">
        <v>435</v>
      </c>
      <c r="B431">
        <v>0.99987803227770999</v>
      </c>
      <c r="C431">
        <v>1.28333581388322</v>
      </c>
      <c r="D431">
        <v>0.99306673729311001</v>
      </c>
      <c r="E431">
        <v>1.0422867030931899</v>
      </c>
      <c r="F431">
        <v>1.6145431646289199</v>
      </c>
      <c r="G431">
        <v>0.753171806620067</v>
      </c>
      <c r="H431">
        <v>0.70745008419922695</v>
      </c>
      <c r="I431">
        <v>0.84658238670971098</v>
      </c>
      <c r="J431">
        <v>0.52004936053849504</v>
      </c>
      <c r="K431">
        <v>0.40190394203277202</v>
      </c>
      <c r="L431">
        <v>1097.2713511148499</v>
      </c>
      <c r="M431">
        <v>16.468925953697902</v>
      </c>
      <c r="N431">
        <v>67.970631527432005</v>
      </c>
      <c r="O431">
        <v>65.667655673681907</v>
      </c>
      <c r="P431">
        <v>-5.3989357920266497E-2</v>
      </c>
      <c r="Q431">
        <v>0.138958700869769</v>
      </c>
      <c r="R431">
        <v>0.51840889861056505</v>
      </c>
      <c r="S431" t="s">
        <v>6742</v>
      </c>
      <c r="T431" t="s">
        <v>12620</v>
      </c>
      <c r="U431" t="s">
        <v>12620</v>
      </c>
      <c r="V431" t="s">
        <v>12620</v>
      </c>
      <c r="W431" t="s">
        <v>12870</v>
      </c>
      <c r="X431">
        <v>1</v>
      </c>
      <c r="Z431" t="s">
        <v>25378</v>
      </c>
      <c r="AA431">
        <v>0.87133147350815543</v>
      </c>
      <c r="AB431" t="str">
        <f>HYPERLINK("Melting_Curves/meltCurve_E9PS84_.pdf", "Melting_Curves/meltCurve_E9PS84_.pdf")</f>
        <v>Melting_Curves/meltCurve_E9PS84_.pdf</v>
      </c>
    </row>
    <row r="432" spans="1:28" x14ac:dyDescent="0.25">
      <c r="A432" t="s">
        <v>436</v>
      </c>
      <c r="B432">
        <v>0.99987803227770999</v>
      </c>
      <c r="C432">
        <v>0.90932118504473802</v>
      </c>
      <c r="D432">
        <v>1.1311123346131799</v>
      </c>
      <c r="E432">
        <v>0.84821471820664995</v>
      </c>
      <c r="F432">
        <v>0.87835957704706502</v>
      </c>
      <c r="G432">
        <v>0.56631364617107505</v>
      </c>
      <c r="H432">
        <v>0.62846041988554502</v>
      </c>
      <c r="I432">
        <v>0.64423575704736202</v>
      </c>
      <c r="J432">
        <v>0.48414050905929801</v>
      </c>
      <c r="K432">
        <v>0.45875265730446002</v>
      </c>
      <c r="L432">
        <v>1043.1876586912699</v>
      </c>
      <c r="M432">
        <v>19.214567660169902</v>
      </c>
      <c r="O432">
        <v>53.713701237896501</v>
      </c>
      <c r="P432">
        <v>-4.3289093887766798E-2</v>
      </c>
      <c r="Q432">
        <v>0.51596547334798504</v>
      </c>
      <c r="R432">
        <v>0.859324548141017</v>
      </c>
      <c r="S432" t="s">
        <v>6743</v>
      </c>
      <c r="T432" t="s">
        <v>12620</v>
      </c>
      <c r="U432" t="s">
        <v>12620</v>
      </c>
      <c r="V432" t="s">
        <v>12620</v>
      </c>
      <c r="W432" t="s">
        <v>13039</v>
      </c>
      <c r="X432">
        <v>2</v>
      </c>
      <c r="Y432" t="s">
        <v>19288</v>
      </c>
      <c r="Z432" t="s">
        <v>25379</v>
      </c>
      <c r="AA432">
        <v>0.75351847080818668</v>
      </c>
      <c r="AB432" t="str">
        <f>HYPERLINK("Melting_Curves/meltCurve_E9PSF2_STIL.pdf", "Melting_Curves/meltCurve_E9PSF2_STIL.pdf")</f>
        <v>Melting_Curves/meltCurve_E9PSF2_STIL.pdf</v>
      </c>
    </row>
    <row r="433" spans="1:28" x14ac:dyDescent="0.25">
      <c r="A433" t="s">
        <v>437</v>
      </c>
      <c r="B433">
        <v>0.99987803227770999</v>
      </c>
      <c r="C433">
        <v>0.86055550513181001</v>
      </c>
      <c r="D433">
        <v>0.86190742191346803</v>
      </c>
      <c r="E433">
        <v>0.83101048729344695</v>
      </c>
      <c r="F433">
        <v>0.842986442656665</v>
      </c>
      <c r="G433">
        <v>0.72001869555502795</v>
      </c>
      <c r="H433">
        <v>0.57099687027095902</v>
      </c>
      <c r="I433">
        <v>0.50533811174673204</v>
      </c>
      <c r="J433">
        <v>0.37468875544303099</v>
      </c>
      <c r="K433">
        <v>0.33497529353761202</v>
      </c>
      <c r="L433">
        <v>412.258588784361</v>
      </c>
      <c r="M433">
        <v>6.4911716633295198</v>
      </c>
      <c r="N433">
        <v>63.5106587866034</v>
      </c>
      <c r="O433">
        <v>58.289712487466701</v>
      </c>
      <c r="P433">
        <v>-2.7908073474226198E-2</v>
      </c>
      <c r="Q433">
        <v>0</v>
      </c>
      <c r="R433">
        <v>0.95400973369960296</v>
      </c>
      <c r="S433" t="s">
        <v>6744</v>
      </c>
      <c r="T433" t="s">
        <v>12620</v>
      </c>
      <c r="U433" t="s">
        <v>12620</v>
      </c>
      <c r="V433" t="s">
        <v>12620</v>
      </c>
      <c r="W433" t="s">
        <v>13040</v>
      </c>
      <c r="X433">
        <v>1</v>
      </c>
      <c r="Y433" t="s">
        <v>19289</v>
      </c>
      <c r="Z433" t="s">
        <v>25380</v>
      </c>
      <c r="AA433">
        <v>0.70805074915739852</v>
      </c>
      <c r="AB433" t="str">
        <f>HYPERLINK("Melting_Curves/meltCurve_E9PSH2_CD55.pdf", "Melting_Curves/meltCurve_E9PSH2_CD55.pdf")</f>
        <v>Melting_Curves/meltCurve_E9PSH2_CD55.pdf</v>
      </c>
    </row>
    <row r="434" spans="1:28" x14ac:dyDescent="0.25">
      <c r="A434" t="s">
        <v>438</v>
      </c>
      <c r="B434">
        <v>0.99987803227770999</v>
      </c>
      <c r="C434">
        <v>1.2618470980295799</v>
      </c>
      <c r="D434">
        <v>1.00252212074159</v>
      </c>
      <c r="E434">
        <v>1.2414117450537101</v>
      </c>
      <c r="F434">
        <v>1.1576849098641999</v>
      </c>
      <c r="G434">
        <v>1.2091824668387301</v>
      </c>
      <c r="H434">
        <v>0.38884909883218999</v>
      </c>
      <c r="I434">
        <v>9.4432016060038801E-2</v>
      </c>
      <c r="J434">
        <v>2.4638170524268699E-2</v>
      </c>
      <c r="K434">
        <v>2.5990501285207999E-2</v>
      </c>
      <c r="L434">
        <v>8115.08867324108</v>
      </c>
      <c r="M434">
        <v>133.61627538470501</v>
      </c>
      <c r="N434">
        <v>60.780115280445898</v>
      </c>
      <c r="O434">
        <v>60.720683020144399</v>
      </c>
      <c r="P434">
        <v>-0.52376293556879605</v>
      </c>
      <c r="Q434">
        <v>4.7923127574646902E-2</v>
      </c>
      <c r="R434">
        <v>0.92408436046089304</v>
      </c>
      <c r="S434" t="s">
        <v>6745</v>
      </c>
      <c r="T434" t="s">
        <v>12620</v>
      </c>
      <c r="U434" t="s">
        <v>12620</v>
      </c>
      <c r="V434" t="s">
        <v>12620</v>
      </c>
      <c r="W434" t="s">
        <v>13041</v>
      </c>
      <c r="X434">
        <v>1</v>
      </c>
      <c r="Y434" t="s">
        <v>19290</v>
      </c>
      <c r="Z434" t="s">
        <v>25381</v>
      </c>
      <c r="AA434">
        <v>0.70629962067136098</v>
      </c>
      <c r="AB434" t="str">
        <f>HYPERLINK("Melting_Curves/meltCurve_F2Z2V1_FGGY.pdf", "Melting_Curves/meltCurve_F2Z2V1_FGGY.pdf")</f>
        <v>Melting_Curves/meltCurve_F2Z2V1_FGGY.pdf</v>
      </c>
    </row>
    <row r="435" spans="1:28" x14ac:dyDescent="0.25">
      <c r="A435" t="s">
        <v>439</v>
      </c>
      <c r="B435">
        <v>0.99987803227770999</v>
      </c>
      <c r="C435">
        <v>1.1297662470411101</v>
      </c>
      <c r="D435">
        <v>0.94801479395945198</v>
      </c>
      <c r="E435">
        <v>1.16970469905998</v>
      </c>
      <c r="F435">
        <v>0.85109588707441997</v>
      </c>
      <c r="G435">
        <v>0.26601042468817798</v>
      </c>
      <c r="H435">
        <v>0.14092177567937</v>
      </c>
      <c r="I435">
        <v>0.12597960400729299</v>
      </c>
      <c r="J435">
        <v>7.7551926876425994E-2</v>
      </c>
      <c r="K435">
        <v>5.7579877836039302E-2</v>
      </c>
      <c r="L435">
        <v>2503.5404636152898</v>
      </c>
      <c r="M435">
        <v>45.423056559530899</v>
      </c>
      <c r="N435">
        <v>55.380732808588299</v>
      </c>
      <c r="O435">
        <v>55.009568149615802</v>
      </c>
      <c r="P435">
        <v>-0.186291644502105</v>
      </c>
      <c r="Q435">
        <v>9.7567620219518897E-2</v>
      </c>
      <c r="R435">
        <v>0.97298478445612901</v>
      </c>
      <c r="S435" t="s">
        <v>6746</v>
      </c>
      <c r="T435" t="s">
        <v>12620</v>
      </c>
      <c r="U435" t="s">
        <v>12620</v>
      </c>
      <c r="V435" t="s">
        <v>12620</v>
      </c>
      <c r="W435" t="s">
        <v>13042</v>
      </c>
      <c r="X435">
        <v>12</v>
      </c>
      <c r="Y435" t="s">
        <v>19291</v>
      </c>
      <c r="Z435" t="s">
        <v>25382</v>
      </c>
      <c r="AA435">
        <v>0.55493298468244967</v>
      </c>
      <c r="AB435" t="str">
        <f>HYPERLINK("Melting_Curves/meltCurve_F2Z2X4_XPO4.pdf", "Melting_Curves/meltCurve_F2Z2X4_XPO4.pdf")</f>
        <v>Melting_Curves/meltCurve_F2Z2X4_XPO4.pdf</v>
      </c>
    </row>
    <row r="436" spans="1:28" x14ac:dyDescent="0.25">
      <c r="A436" t="s">
        <v>440</v>
      </c>
      <c r="B436">
        <v>0.99987803227770999</v>
      </c>
      <c r="C436">
        <v>1.0118491061613699</v>
      </c>
      <c r="D436">
        <v>2.0051870535372598</v>
      </c>
      <c r="E436">
        <v>1.1652918882580501</v>
      </c>
      <c r="F436">
        <v>1.34550001444752</v>
      </c>
      <c r="G436">
        <v>1.09269035197241</v>
      </c>
      <c r="H436">
        <v>1.5025235089503799</v>
      </c>
      <c r="I436">
        <v>1.7617968252479801</v>
      </c>
      <c r="J436">
        <v>1.1233809056455899</v>
      </c>
      <c r="K436">
        <v>1.03223195847525</v>
      </c>
      <c r="L436">
        <v>10872.1634806609</v>
      </c>
      <c r="M436">
        <v>250</v>
      </c>
      <c r="O436">
        <v>43.4858713814655</v>
      </c>
      <c r="P436">
        <v>0.544106597337217</v>
      </c>
      <c r="Q436">
        <v>1.37857518784342</v>
      </c>
      <c r="R436">
        <v>0.20386534735690001</v>
      </c>
      <c r="S436" t="s">
        <v>6747</v>
      </c>
      <c r="T436" t="s">
        <v>12620</v>
      </c>
      <c r="U436" t="s">
        <v>12620</v>
      </c>
      <c r="V436" t="s">
        <v>12620</v>
      </c>
      <c r="W436" t="s">
        <v>13043</v>
      </c>
      <c r="X436">
        <v>1</v>
      </c>
      <c r="Y436" t="s">
        <v>19292</v>
      </c>
      <c r="Z436" t="s">
        <v>25383</v>
      </c>
      <c r="AA436">
        <v>1.334522367124894</v>
      </c>
      <c r="AB436" t="str">
        <f>HYPERLINK("Melting_Curves/meltCurve_F2ZC08_TRIP6i3.pdf", "Melting_Curves/meltCurve_F2ZC08_TRIP6i3.pdf")</f>
        <v>Melting_Curves/meltCurve_F2ZC08_TRIP6i3.pdf</v>
      </c>
    </row>
    <row r="437" spans="1:28" x14ac:dyDescent="0.25">
      <c r="A437" t="s">
        <v>441</v>
      </c>
      <c r="B437">
        <v>0.99987803227770999</v>
      </c>
      <c r="C437">
        <v>0</v>
      </c>
      <c r="D437">
        <v>28.709620181772099</v>
      </c>
      <c r="E437">
        <v>1.5554036559120801</v>
      </c>
      <c r="F437">
        <v>1.63162196219324</v>
      </c>
      <c r="G437">
        <v>0.41055078863354599</v>
      </c>
      <c r="H437">
        <v>0.38917672750414301</v>
      </c>
      <c r="I437">
        <v>0.93928491436719697</v>
      </c>
      <c r="J437">
        <v>0.33346413223944898</v>
      </c>
      <c r="K437">
        <v>0.32471717083419599</v>
      </c>
      <c r="L437">
        <v>11069.467011664099</v>
      </c>
      <c r="M437">
        <v>200.37263147365499</v>
      </c>
      <c r="N437">
        <v>56.1339092241071</v>
      </c>
      <c r="O437">
        <v>55.238903148750403</v>
      </c>
      <c r="P437">
        <v>-0.47237208697102101</v>
      </c>
      <c r="Q437">
        <v>0.479104194386339</v>
      </c>
      <c r="R437">
        <v>-8.8552812968872199E-2</v>
      </c>
      <c r="S437" t="s">
        <v>6748</v>
      </c>
      <c r="T437" t="s">
        <v>12620</v>
      </c>
      <c r="U437" t="s">
        <v>12620</v>
      </c>
      <c r="V437" t="s">
        <v>12620</v>
      </c>
      <c r="W437" t="s">
        <v>13044</v>
      </c>
      <c r="X437">
        <v>1</v>
      </c>
      <c r="Y437" t="s">
        <v>19293</v>
      </c>
      <c r="Z437" t="s">
        <v>25384</v>
      </c>
      <c r="AA437">
        <v>0.74387439303489655</v>
      </c>
      <c r="AB437" t="str">
        <f>HYPERLINK("Melting_Curves/meltCurve_F5GWA7_PHB2.pdf", "Melting_Curves/meltCurve_F5GWA7_PHB2.pdf")</f>
        <v>Melting_Curves/meltCurve_F5GWA7_PHB2.pdf</v>
      </c>
    </row>
    <row r="438" spans="1:28" x14ac:dyDescent="0.25">
      <c r="A438" t="s">
        <v>442</v>
      </c>
      <c r="B438">
        <v>0.99987803227770999</v>
      </c>
      <c r="C438">
        <v>1.01379317264643</v>
      </c>
      <c r="D438">
        <v>1.03870601339881</v>
      </c>
      <c r="E438">
        <v>1.0422762026730601</v>
      </c>
      <c r="F438">
        <v>0.60196355827611703</v>
      </c>
      <c r="G438">
        <v>0.32503594771956601</v>
      </c>
      <c r="H438">
        <v>0.24869790415020401</v>
      </c>
      <c r="I438">
        <v>0.22583233095727301</v>
      </c>
      <c r="J438">
        <v>0.18140410445044899</v>
      </c>
      <c r="K438">
        <v>0.117534293039877</v>
      </c>
      <c r="L438">
        <v>2458.9804019988501</v>
      </c>
      <c r="M438">
        <v>46.259054990806497</v>
      </c>
      <c r="N438">
        <v>53.789650379249601</v>
      </c>
      <c r="O438">
        <v>53.057686224628902</v>
      </c>
      <c r="P438">
        <v>-0.17222069697570799</v>
      </c>
      <c r="Q438">
        <v>0.209874011692401</v>
      </c>
      <c r="R438">
        <v>0.981473393587173</v>
      </c>
      <c r="S438" t="s">
        <v>6749</v>
      </c>
      <c r="T438" t="s">
        <v>12620</v>
      </c>
      <c r="U438" t="s">
        <v>12620</v>
      </c>
      <c r="V438" t="s">
        <v>12620</v>
      </c>
      <c r="W438" t="s">
        <v>13045</v>
      </c>
      <c r="X438">
        <v>2</v>
      </c>
      <c r="Y438" t="s">
        <v>19294</v>
      </c>
      <c r="Z438" t="s">
        <v>25385</v>
      </c>
      <c r="AA438">
        <v>0.55855566613843777</v>
      </c>
      <c r="AB438" t="str">
        <f>HYPERLINK("Melting_Curves/meltCurve_F5GWD3_GTF2H3.pdf", "Melting_Curves/meltCurve_F5GWD3_GTF2H3.pdf")</f>
        <v>Melting_Curves/meltCurve_F5GWD3_GTF2H3.pdf</v>
      </c>
    </row>
    <row r="439" spans="1:28" x14ac:dyDescent="0.25">
      <c r="A439" t="s">
        <v>443</v>
      </c>
      <c r="B439">
        <v>0.99987803227770999</v>
      </c>
      <c r="C439">
        <v>0.71665124904778299</v>
      </c>
      <c r="D439">
        <v>0.89174016323266403</v>
      </c>
      <c r="E439">
        <v>0.64730198155679197</v>
      </c>
      <c r="F439">
        <v>0.92118263525842703</v>
      </c>
      <c r="G439">
        <v>0.671738873538685</v>
      </c>
      <c r="H439">
        <v>0.66062013121413099</v>
      </c>
      <c r="I439">
        <v>0.63624677296708099</v>
      </c>
      <c r="J439">
        <v>0.76930038383663202</v>
      </c>
      <c r="K439">
        <v>0.66936487386399701</v>
      </c>
      <c r="L439">
        <v>391.44625311696399</v>
      </c>
      <c r="M439">
        <v>8.8405447814147404</v>
      </c>
      <c r="O439">
        <v>42.188451434086403</v>
      </c>
      <c r="P439">
        <v>-1.7002929803565402E-2</v>
      </c>
      <c r="Q439">
        <v>0.67568954047982799</v>
      </c>
      <c r="R439">
        <v>0.38655252052752298</v>
      </c>
      <c r="S439" t="s">
        <v>6750</v>
      </c>
      <c r="T439" t="s">
        <v>12620</v>
      </c>
      <c r="U439" t="s">
        <v>12620</v>
      </c>
      <c r="V439" t="s">
        <v>12620</v>
      </c>
      <c r="W439" t="s">
        <v>13046</v>
      </c>
      <c r="X439">
        <v>1</v>
      </c>
      <c r="Y439" t="s">
        <v>19295</v>
      </c>
      <c r="Z439" t="s">
        <v>25386</v>
      </c>
      <c r="AA439">
        <v>0.75071722675777353</v>
      </c>
      <c r="AB439" t="str">
        <f>HYPERLINK("Melting_Curves/meltCurve_F5GWF3_C1RL.pdf", "Melting_Curves/meltCurve_F5GWF3_C1RL.pdf")</f>
        <v>Melting_Curves/meltCurve_F5GWF3_C1RL.pdf</v>
      </c>
    </row>
    <row r="440" spans="1:28" x14ac:dyDescent="0.25">
      <c r="A440" t="s">
        <v>444</v>
      </c>
      <c r="B440">
        <v>0.99987803227770999</v>
      </c>
      <c r="C440">
        <v>1.0161627338339601</v>
      </c>
      <c r="D440">
        <v>0.91569770747427603</v>
      </c>
      <c r="E440">
        <v>1.4298346895209799</v>
      </c>
      <c r="F440">
        <v>1.37938936921488</v>
      </c>
      <c r="G440">
        <v>1.2535882225919699</v>
      </c>
      <c r="H440">
        <v>1.40286469440152</v>
      </c>
      <c r="I440">
        <v>1.20359769138404</v>
      </c>
      <c r="J440">
        <v>0.91139935862025401</v>
      </c>
      <c r="K440">
        <v>0.497056530892864</v>
      </c>
      <c r="L440">
        <v>15000</v>
      </c>
      <c r="M440">
        <v>222.33754144355601</v>
      </c>
      <c r="N440">
        <v>69.0430999934174</v>
      </c>
      <c r="O440">
        <v>67.459532627856106</v>
      </c>
      <c r="P440">
        <v>-0.41454070864975401</v>
      </c>
      <c r="Q440">
        <v>0.49689608275890101</v>
      </c>
      <c r="R440">
        <v>0.20824890550349301</v>
      </c>
      <c r="S440" t="s">
        <v>6751</v>
      </c>
      <c r="T440" t="s">
        <v>12620</v>
      </c>
      <c r="U440" t="s">
        <v>12620</v>
      </c>
      <c r="V440" t="s">
        <v>12620</v>
      </c>
      <c r="W440" t="s">
        <v>13047</v>
      </c>
      <c r="X440">
        <v>4</v>
      </c>
      <c r="Y440" t="s">
        <v>19296</v>
      </c>
      <c r="Z440" t="s">
        <v>25387</v>
      </c>
      <c r="AA440">
        <v>0.95756110571013386</v>
      </c>
      <c r="AB440" t="str">
        <f>HYPERLINK("Melting_Curves/meltCurve_F5GWI9_CCDC53.pdf", "Melting_Curves/meltCurve_F5GWI9_CCDC53.pdf")</f>
        <v>Melting_Curves/meltCurve_F5GWI9_CCDC53.pdf</v>
      </c>
    </row>
    <row r="441" spans="1:28" x14ac:dyDescent="0.25">
      <c r="A441" t="s">
        <v>445</v>
      </c>
      <c r="B441">
        <v>0.99987803227770999</v>
      </c>
      <c r="C441">
        <v>1.0354935948945001</v>
      </c>
      <c r="D441">
        <v>0.92206425382719404</v>
      </c>
      <c r="E441">
        <v>0.87771448901289595</v>
      </c>
      <c r="F441">
        <v>0.626899782012456</v>
      </c>
      <c r="G441">
        <v>0.50225967305616004</v>
      </c>
      <c r="H441">
        <v>0.40741788312254401</v>
      </c>
      <c r="I441">
        <v>0.39961440535461801</v>
      </c>
      <c r="J441">
        <v>0.386106904054205</v>
      </c>
      <c r="K441">
        <v>0.31549487156508399</v>
      </c>
      <c r="L441">
        <v>978.55587519097901</v>
      </c>
      <c r="M441">
        <v>18.514223626126999</v>
      </c>
      <c r="N441">
        <v>56.605294779516697</v>
      </c>
      <c r="O441">
        <v>52.249234195117303</v>
      </c>
      <c r="P441">
        <v>-5.7282730503721097E-2</v>
      </c>
      <c r="Q441">
        <v>0.35339520599740698</v>
      </c>
      <c r="R441">
        <v>0.98569929427516301</v>
      </c>
      <c r="S441" t="s">
        <v>6752</v>
      </c>
      <c r="T441" t="s">
        <v>12620</v>
      </c>
      <c r="U441" t="s">
        <v>12620</v>
      </c>
      <c r="V441" t="s">
        <v>12620</v>
      </c>
      <c r="W441" t="s">
        <v>13048</v>
      </c>
      <c r="X441">
        <v>4</v>
      </c>
      <c r="Y441" t="s">
        <v>19297</v>
      </c>
      <c r="Z441" t="s">
        <v>25388</v>
      </c>
      <c r="AA441">
        <v>0.64058913349004354</v>
      </c>
      <c r="AB441" t="str">
        <f>HYPERLINK("Melting_Curves/meltCurve_F5GWN5_PIK3C2B.pdf", "Melting_Curves/meltCurve_F5GWN5_PIK3C2B.pdf")</f>
        <v>Melting_Curves/meltCurve_F5GWN5_PIK3C2B.pdf</v>
      </c>
    </row>
    <row r="442" spans="1:28" x14ac:dyDescent="0.25">
      <c r="A442" t="s">
        <v>446</v>
      </c>
      <c r="B442">
        <v>0.99987803227770999</v>
      </c>
      <c r="C442">
        <v>0.41135812000769001</v>
      </c>
      <c r="D442">
        <v>0.44474263827176103</v>
      </c>
      <c r="E442">
        <v>0.41088649738389299</v>
      </c>
      <c r="F442">
        <v>0.38107868216968199</v>
      </c>
      <c r="G442">
        <v>0.36445265986118103</v>
      </c>
      <c r="H442">
        <v>0.38902395414859797</v>
      </c>
      <c r="I442">
        <v>0.38519187224393597</v>
      </c>
      <c r="J442">
        <v>0.241286174590612</v>
      </c>
      <c r="K442">
        <v>0.30755712186919898</v>
      </c>
      <c r="L442">
        <v>5345.3108935989003</v>
      </c>
      <c r="M442">
        <v>127.15111299717999</v>
      </c>
      <c r="N442">
        <v>42.477748205610098</v>
      </c>
      <c r="O442">
        <v>42.028655587194102</v>
      </c>
      <c r="P442">
        <v>-0.47987903394950399</v>
      </c>
      <c r="Q442">
        <v>0.365521401337073</v>
      </c>
      <c r="R442">
        <v>0.92676270884786105</v>
      </c>
      <c r="S442" t="s">
        <v>6753</v>
      </c>
      <c r="T442" t="s">
        <v>12620</v>
      </c>
      <c r="U442" t="s">
        <v>12620</v>
      </c>
      <c r="V442" t="s">
        <v>12620</v>
      </c>
      <c r="W442" t="s">
        <v>13049</v>
      </c>
      <c r="X442">
        <v>15</v>
      </c>
      <c r="Y442" t="s">
        <v>19298</v>
      </c>
      <c r="Z442" t="s">
        <v>25389</v>
      </c>
      <c r="AA442">
        <v>0.40883629020369472</v>
      </c>
      <c r="AB442" t="str">
        <f>HYPERLINK("Melting_Curves/meltCurve_F5GWP8_JUP.pdf", "Melting_Curves/meltCurve_F5GWP8_JUP.pdf")</f>
        <v>Melting_Curves/meltCurve_F5GWP8_JUP.pdf</v>
      </c>
    </row>
    <row r="443" spans="1:28" x14ac:dyDescent="0.25">
      <c r="A443" t="s">
        <v>447</v>
      </c>
      <c r="B443">
        <v>0.99987803227770999</v>
      </c>
      <c r="C443">
        <v>1.11284768115238</v>
      </c>
      <c r="D443">
        <v>1.0155980057626599</v>
      </c>
      <c r="E443">
        <v>0.98968893600044106</v>
      </c>
      <c r="F443">
        <v>0.64128634377900895</v>
      </c>
      <c r="G443">
        <v>0.52172748429398896</v>
      </c>
      <c r="H443">
        <v>0.45859917479705598</v>
      </c>
      <c r="I443">
        <v>0.38298306152774497</v>
      </c>
      <c r="J443">
        <v>0.384029235854222</v>
      </c>
      <c r="K443">
        <v>0.28221597222654699</v>
      </c>
      <c r="L443">
        <v>1346.80915599594</v>
      </c>
      <c r="M443">
        <v>25.179329581847298</v>
      </c>
      <c r="N443">
        <v>56.490310355270303</v>
      </c>
      <c r="O443">
        <v>53.154721707425701</v>
      </c>
      <c r="P443">
        <v>-7.4750387584049796E-2</v>
      </c>
      <c r="Q443">
        <v>0.36880226462357901</v>
      </c>
      <c r="R443">
        <v>0.955381191218869</v>
      </c>
      <c r="S443" t="s">
        <v>6754</v>
      </c>
      <c r="T443" t="s">
        <v>12620</v>
      </c>
      <c r="U443" t="s">
        <v>12620</v>
      </c>
      <c r="V443" t="s">
        <v>12620</v>
      </c>
      <c r="W443" t="s">
        <v>13050</v>
      </c>
      <c r="X443">
        <v>43</v>
      </c>
      <c r="Y443" t="s">
        <v>19299</v>
      </c>
      <c r="Z443" t="s">
        <v>25390</v>
      </c>
      <c r="AA443">
        <v>0.65835541517181284</v>
      </c>
      <c r="AB443" t="str">
        <f>HYPERLINK("Melting_Curves/meltCurve_F5GWT4_WNK1.pdf", "Melting_Curves/meltCurve_F5GWT4_WNK1.pdf")</f>
        <v>Melting_Curves/meltCurve_F5GWT4_WNK1.pdf</v>
      </c>
    </row>
    <row r="444" spans="1:28" x14ac:dyDescent="0.25">
      <c r="A444" t="s">
        <v>448</v>
      </c>
      <c r="B444">
        <v>0.99987803227770999</v>
      </c>
      <c r="C444">
        <v>0.87193447687919101</v>
      </c>
      <c r="D444">
        <v>0.95028457451061898</v>
      </c>
      <c r="E444">
        <v>0.65794177516436203</v>
      </c>
      <c r="F444">
        <v>0.45129898698964099</v>
      </c>
      <c r="G444">
        <v>0.28829652808302098</v>
      </c>
      <c r="H444">
        <v>0.28099024534329597</v>
      </c>
      <c r="I444">
        <v>0.26943261442698202</v>
      </c>
      <c r="J444">
        <v>0.27707091629532399</v>
      </c>
      <c r="K444">
        <v>0.211129850486177</v>
      </c>
      <c r="L444">
        <v>1044.07704162201</v>
      </c>
      <c r="M444">
        <v>20.685218198403099</v>
      </c>
      <c r="N444">
        <v>52.1792958252326</v>
      </c>
      <c r="O444">
        <v>50.009911728345799</v>
      </c>
      <c r="P444">
        <v>-7.8008636188321698E-2</v>
      </c>
      <c r="Q444">
        <v>0.245626743487524</v>
      </c>
      <c r="R444">
        <v>0.98156599741019901</v>
      </c>
      <c r="S444" t="s">
        <v>6755</v>
      </c>
      <c r="T444" t="s">
        <v>12620</v>
      </c>
      <c r="U444" t="s">
        <v>12620</v>
      </c>
      <c r="V444" t="s">
        <v>12620</v>
      </c>
      <c r="W444" t="s">
        <v>13051</v>
      </c>
      <c r="X444">
        <v>8</v>
      </c>
      <c r="Y444" t="s">
        <v>19300</v>
      </c>
      <c r="Z444" t="s">
        <v>25391</v>
      </c>
      <c r="AA444">
        <v>0.51884608194048198</v>
      </c>
      <c r="AB444" t="str">
        <f>HYPERLINK("Melting_Curves/meltCurve_F5GWU7_SMAD5.pdf", "Melting_Curves/meltCurve_F5GWU7_SMAD5.pdf")</f>
        <v>Melting_Curves/meltCurve_F5GWU7_SMAD5.pdf</v>
      </c>
    </row>
    <row r="445" spans="1:28" x14ac:dyDescent="0.25">
      <c r="A445" t="s">
        <v>449</v>
      </c>
      <c r="B445">
        <v>0.99987803227770999</v>
      </c>
      <c r="C445">
        <v>1.04878508312285</v>
      </c>
      <c r="D445">
        <v>0.932084323889528</v>
      </c>
      <c r="E445">
        <v>0.98532704812407601</v>
      </c>
      <c r="F445">
        <v>0.79330816355384004</v>
      </c>
      <c r="G445">
        <v>0.49562685076372898</v>
      </c>
      <c r="H445">
        <v>0.35385977818325998</v>
      </c>
      <c r="I445">
        <v>0.26000269285956101</v>
      </c>
      <c r="J445">
        <v>0.22194111113555601</v>
      </c>
      <c r="K445">
        <v>0.15084857510157401</v>
      </c>
      <c r="L445">
        <v>1071.1991787617801</v>
      </c>
      <c r="M445">
        <v>19.062967166634401</v>
      </c>
      <c r="N445">
        <v>57.450724161555002</v>
      </c>
      <c r="O445">
        <v>55.5852634897904</v>
      </c>
      <c r="P445">
        <v>-7.1110644322452995E-2</v>
      </c>
      <c r="Q445">
        <v>0.17063311987386301</v>
      </c>
      <c r="R445">
        <v>0.98887936248145503</v>
      </c>
      <c r="S445" t="s">
        <v>6756</v>
      </c>
      <c r="T445" t="s">
        <v>12620</v>
      </c>
      <c r="U445" t="s">
        <v>12620</v>
      </c>
      <c r="V445" t="s">
        <v>12620</v>
      </c>
      <c r="W445" t="s">
        <v>13052</v>
      </c>
      <c r="X445">
        <v>7</v>
      </c>
      <c r="Y445" t="s">
        <v>19301</v>
      </c>
      <c r="Z445" t="s">
        <v>25392</v>
      </c>
      <c r="AA445">
        <v>0.62956105409838259</v>
      </c>
      <c r="AB445" t="str">
        <f>HYPERLINK("Melting_Curves/meltCurve_F5GX09_FAM76B.pdf", "Melting_Curves/meltCurve_F5GX09_FAM76B.pdf")</f>
        <v>Melting_Curves/meltCurve_F5GX09_FAM76B.pdf</v>
      </c>
    </row>
    <row r="446" spans="1:28" x14ac:dyDescent="0.25">
      <c r="A446" t="s">
        <v>450</v>
      </c>
      <c r="B446">
        <v>0.99987803227770999</v>
      </c>
      <c r="C446">
        <v>0.95636263895301798</v>
      </c>
      <c r="D446">
        <v>0.79877771544767895</v>
      </c>
      <c r="E446">
        <v>1.43766527092247</v>
      </c>
      <c r="F446">
        <v>0.77490990191919495</v>
      </c>
      <c r="G446">
        <v>0.33795678713882099</v>
      </c>
      <c r="H446">
        <v>0.17272215473029701</v>
      </c>
      <c r="I446">
        <v>0.132020836429453</v>
      </c>
      <c r="J446">
        <v>0.100703694681076</v>
      </c>
      <c r="K446">
        <v>5.94611384255119E-2</v>
      </c>
      <c r="L446">
        <v>2190.2400519586099</v>
      </c>
      <c r="M446">
        <v>39.631551431291697</v>
      </c>
      <c r="N446">
        <v>55.620741794126999</v>
      </c>
      <c r="O446">
        <v>55.124927379043399</v>
      </c>
      <c r="P446">
        <v>-0.15961658153157701</v>
      </c>
      <c r="Q446">
        <v>0.11193677228333</v>
      </c>
      <c r="R446">
        <v>0.87476315598219401</v>
      </c>
      <c r="S446" t="s">
        <v>6757</v>
      </c>
      <c r="T446" t="s">
        <v>12620</v>
      </c>
      <c r="U446" t="s">
        <v>12620</v>
      </c>
      <c r="V446" t="s">
        <v>12620</v>
      </c>
      <c r="W446" t="s">
        <v>13053</v>
      </c>
      <c r="X446">
        <v>13</v>
      </c>
      <c r="Y446" t="s">
        <v>19302</v>
      </c>
      <c r="Z446" t="s">
        <v>25393</v>
      </c>
      <c r="AA446">
        <v>0.56725523801304556</v>
      </c>
      <c r="AB446" t="str">
        <f>HYPERLINK("Melting_Curves/meltCurve_F5GX82_FRYL.pdf", "Melting_Curves/meltCurve_F5GX82_FRYL.pdf")</f>
        <v>Melting_Curves/meltCurve_F5GX82_FRYL.pdf</v>
      </c>
    </row>
    <row r="447" spans="1:28" x14ac:dyDescent="0.25">
      <c r="A447" t="s">
        <v>451</v>
      </c>
      <c r="B447">
        <v>0.99987803227770999</v>
      </c>
      <c r="C447">
        <v>0.90652316656505205</v>
      </c>
      <c r="D447">
        <v>0.775751312109078</v>
      </c>
      <c r="E447">
        <v>0.32616527309537602</v>
      </c>
      <c r="F447">
        <v>0.17514869246090001</v>
      </c>
      <c r="G447">
        <v>0.115674410787524</v>
      </c>
      <c r="H447">
        <v>8.2578365175958096E-2</v>
      </c>
      <c r="I447">
        <v>6.7117277546820897E-2</v>
      </c>
      <c r="J447">
        <v>5.95099630758179E-2</v>
      </c>
      <c r="K447">
        <v>4.2738180491698599E-2</v>
      </c>
      <c r="L447">
        <v>1065.8396534829001</v>
      </c>
      <c r="M447">
        <v>22.156288352597901</v>
      </c>
      <c r="N447">
        <v>48.402533328899999</v>
      </c>
      <c r="O447">
        <v>47.718778110291801</v>
      </c>
      <c r="P447">
        <v>-0.108702287766343</v>
      </c>
      <c r="Q447">
        <v>6.3556541297755606E-2</v>
      </c>
      <c r="R447">
        <v>0.99739742638837803</v>
      </c>
      <c r="S447" t="s">
        <v>6758</v>
      </c>
      <c r="T447" t="s">
        <v>12620</v>
      </c>
      <c r="U447" t="s">
        <v>12620</v>
      </c>
      <c r="V447" t="s">
        <v>12620</v>
      </c>
      <c r="W447" t="s">
        <v>13054</v>
      </c>
      <c r="X447">
        <v>13</v>
      </c>
      <c r="Y447" t="s">
        <v>19303</v>
      </c>
      <c r="Z447" t="s">
        <v>25394</v>
      </c>
      <c r="AA447">
        <v>0.32725924840156873</v>
      </c>
      <c r="AB447" t="str">
        <f>HYPERLINK("Melting_Curves/meltCurve_F5GXC8_SUCLA2.pdf", "Melting_Curves/meltCurve_F5GXC8_SUCLA2.pdf")</f>
        <v>Melting_Curves/meltCurve_F5GXC8_SUCLA2.pdf</v>
      </c>
    </row>
    <row r="448" spans="1:28" x14ac:dyDescent="0.25">
      <c r="A448" t="s">
        <v>452</v>
      </c>
      <c r="B448">
        <v>0.99987803227770999</v>
      </c>
      <c r="C448">
        <v>0.66020691922065899</v>
      </c>
      <c r="D448">
        <v>0.73736076831102904</v>
      </c>
      <c r="E448">
        <v>0.64106207133092397</v>
      </c>
      <c r="F448">
        <v>0.81750012165480701</v>
      </c>
      <c r="G448">
        <v>0.59573912855515299</v>
      </c>
      <c r="H448">
        <v>0.58248290731132901</v>
      </c>
      <c r="I448">
        <v>1.18477806466794</v>
      </c>
      <c r="J448">
        <v>0.93217751521869097</v>
      </c>
      <c r="K448">
        <v>0.93106379611888801</v>
      </c>
      <c r="L448">
        <v>10235.208945795601</v>
      </c>
      <c r="M448">
        <v>250</v>
      </c>
      <c r="O448">
        <v>40.938216232588402</v>
      </c>
      <c r="P448">
        <v>-0.32529174117578802</v>
      </c>
      <c r="Q448">
        <v>0.786930184063384</v>
      </c>
      <c r="R448">
        <v>0.113349942753323</v>
      </c>
      <c r="S448" t="s">
        <v>6759</v>
      </c>
      <c r="T448" t="s">
        <v>12620</v>
      </c>
      <c r="U448" t="s">
        <v>12620</v>
      </c>
      <c r="V448" t="s">
        <v>12620</v>
      </c>
      <c r="W448" t="s">
        <v>13055</v>
      </c>
      <c r="X448">
        <v>1</v>
      </c>
      <c r="Y448" t="s">
        <v>19304</v>
      </c>
      <c r="Z448" t="s">
        <v>25395</v>
      </c>
      <c r="AA448">
        <v>0.7936306907763615</v>
      </c>
      <c r="AB448" t="str">
        <f>HYPERLINK("Melting_Curves/meltCurve_F5GXC9_LTBP4.pdf", "Melting_Curves/meltCurve_F5GXC9_LTBP4.pdf")</f>
        <v>Melting_Curves/meltCurve_F5GXC9_LTBP4.pdf</v>
      </c>
    </row>
    <row r="449" spans="1:28" x14ac:dyDescent="0.25">
      <c r="A449" t="s">
        <v>453</v>
      </c>
      <c r="B449">
        <v>0.99987803227770999</v>
      </c>
      <c r="C449">
        <v>1.06071803276426</v>
      </c>
      <c r="D449">
        <v>0.99965476590297797</v>
      </c>
      <c r="E449">
        <v>1.0131869073025299</v>
      </c>
      <c r="F449">
        <v>0.61394151185411905</v>
      </c>
      <c r="G449">
        <v>0.195413917503171</v>
      </c>
      <c r="H449">
        <v>0.114365613970904</v>
      </c>
      <c r="I449">
        <v>8.5798687127415701E-2</v>
      </c>
      <c r="J449">
        <v>6.8757825487191906E-2</v>
      </c>
      <c r="K449">
        <v>5.1041919527998698E-2</v>
      </c>
      <c r="L449">
        <v>2111.3952908701999</v>
      </c>
      <c r="M449">
        <v>39.402481959766398</v>
      </c>
      <c r="N449">
        <v>53.834794471294202</v>
      </c>
      <c r="O449">
        <v>53.447870216162698</v>
      </c>
      <c r="P449">
        <v>-0.16892416059538301</v>
      </c>
      <c r="Q449">
        <v>8.3446899199231206E-2</v>
      </c>
      <c r="R449">
        <v>0.99393798552438595</v>
      </c>
      <c r="S449" t="s">
        <v>6760</v>
      </c>
      <c r="T449" t="s">
        <v>12620</v>
      </c>
      <c r="U449" t="s">
        <v>12620</v>
      </c>
      <c r="V449" t="s">
        <v>12620</v>
      </c>
      <c r="W449" t="s">
        <v>13056</v>
      </c>
      <c r="X449">
        <v>13</v>
      </c>
      <c r="Y449" t="s">
        <v>19305</v>
      </c>
      <c r="Z449" t="s">
        <v>25396</v>
      </c>
      <c r="AA449">
        <v>0.50199623798803972</v>
      </c>
      <c r="AB449" t="str">
        <f>HYPERLINK("Melting_Curves/meltCurve_F5GXE4_ATE1.pdf", "Melting_Curves/meltCurve_F5GXE4_ATE1.pdf")</f>
        <v>Melting_Curves/meltCurve_F5GXE4_ATE1.pdf</v>
      </c>
    </row>
    <row r="450" spans="1:28" x14ac:dyDescent="0.25">
      <c r="A450" t="s">
        <v>454</v>
      </c>
      <c r="B450">
        <v>0.99987803227770999</v>
      </c>
      <c r="C450">
        <v>0.62308138965418502</v>
      </c>
      <c r="D450">
        <v>3.8666687345634898</v>
      </c>
      <c r="E450">
        <v>0.81631432009665605</v>
      </c>
      <c r="F450">
        <v>0.83831324089256498</v>
      </c>
      <c r="G450">
        <v>0.64501733721181198</v>
      </c>
      <c r="H450">
        <v>0.65248439131224001</v>
      </c>
      <c r="I450">
        <v>1.1138227414169599</v>
      </c>
      <c r="J450">
        <v>0.49491535452039997</v>
      </c>
      <c r="K450">
        <v>0.5530610049943</v>
      </c>
      <c r="L450">
        <v>2453.7889351011199</v>
      </c>
      <c r="M450">
        <v>47.2119724079256</v>
      </c>
      <c r="O450">
        <v>51.880878850434001</v>
      </c>
      <c r="P450">
        <v>-6.9091949325179897E-2</v>
      </c>
      <c r="Q450">
        <v>0.69630184673475704</v>
      </c>
      <c r="R450">
        <v>5.1702948874448602E-2</v>
      </c>
      <c r="S450" t="s">
        <v>6761</v>
      </c>
      <c r="T450" t="s">
        <v>12620</v>
      </c>
      <c r="U450" t="s">
        <v>12620</v>
      </c>
      <c r="V450" t="s">
        <v>12620</v>
      </c>
      <c r="W450" t="s">
        <v>13057</v>
      </c>
      <c r="X450">
        <v>2</v>
      </c>
      <c r="Y450" t="s">
        <v>19306</v>
      </c>
      <c r="Z450" t="s">
        <v>25397</v>
      </c>
      <c r="AA450">
        <v>0.81829793529028094</v>
      </c>
      <c r="AB450" t="str">
        <f>HYPERLINK("Melting_Curves/meltCurve_F5GXE7_LTBR.pdf", "Melting_Curves/meltCurve_F5GXE7_LTBR.pdf")</f>
        <v>Melting_Curves/meltCurve_F5GXE7_LTBR.pdf</v>
      </c>
    </row>
    <row r="451" spans="1:28" x14ac:dyDescent="0.25">
      <c r="A451" t="s">
        <v>455</v>
      </c>
      <c r="B451">
        <v>0.99987803227770999</v>
      </c>
      <c r="C451">
        <v>1.0569626063177799</v>
      </c>
      <c r="D451">
        <v>1.1268260350708601</v>
      </c>
      <c r="E451">
        <v>1.0476768060146999</v>
      </c>
      <c r="F451">
        <v>1.0264801333629301</v>
      </c>
      <c r="G451">
        <v>0.86476652327548098</v>
      </c>
      <c r="H451">
        <v>0.81737037529677004</v>
      </c>
      <c r="I451">
        <v>0.96312632485176397</v>
      </c>
      <c r="J451">
        <v>0.71641830892764302</v>
      </c>
      <c r="K451">
        <v>0.57712618211364797</v>
      </c>
      <c r="L451">
        <v>890.50482003694799</v>
      </c>
      <c r="M451">
        <v>12.3101570056174</v>
      </c>
      <c r="Q451">
        <v>0</v>
      </c>
      <c r="R451">
        <v>0.77915140800968496</v>
      </c>
      <c r="S451" t="s">
        <v>6762</v>
      </c>
      <c r="T451" t="s">
        <v>12620</v>
      </c>
      <c r="U451" t="s">
        <v>12620</v>
      </c>
      <c r="V451" t="s">
        <v>12620</v>
      </c>
      <c r="W451" t="s">
        <v>13058</v>
      </c>
      <c r="X451">
        <v>3</v>
      </c>
      <c r="Y451" t="s">
        <v>19307</v>
      </c>
      <c r="Z451" t="s">
        <v>25398</v>
      </c>
      <c r="AA451">
        <v>0.92016778489388629</v>
      </c>
      <c r="AB451" t="str">
        <f>HYPERLINK("Melting_Curves/meltCurve_F5GXQ1_ITIH4.pdf", "Melting_Curves/meltCurve_F5GXQ1_ITIH4.pdf")</f>
        <v>Melting_Curves/meltCurve_F5GXQ1_ITIH4.pdf</v>
      </c>
    </row>
    <row r="452" spans="1:28" x14ac:dyDescent="0.25">
      <c r="A452" t="s">
        <v>456</v>
      </c>
      <c r="B452">
        <v>0.99987803227770999</v>
      </c>
      <c r="C452">
        <v>0.96388743862367599</v>
      </c>
      <c r="D452">
        <v>0.91532359273888397</v>
      </c>
      <c r="E452">
        <v>0.635700999133477</v>
      </c>
      <c r="F452">
        <v>0.58954105142066604</v>
      </c>
      <c r="G452">
        <v>0.49734550584717901</v>
      </c>
      <c r="H452">
        <v>0.45586587804237999</v>
      </c>
      <c r="I452">
        <v>0.470096483803706</v>
      </c>
      <c r="J452">
        <v>0.28137460479745902</v>
      </c>
      <c r="K452">
        <v>0.240146196779878</v>
      </c>
      <c r="L452">
        <v>511.32886379460302</v>
      </c>
      <c r="M452">
        <v>9.6704148525431197</v>
      </c>
      <c r="N452">
        <v>56.762405459873101</v>
      </c>
      <c r="O452">
        <v>50.762993152429303</v>
      </c>
      <c r="P452">
        <v>-3.6113404888235799E-2</v>
      </c>
      <c r="Q452">
        <v>0.24213727219419501</v>
      </c>
      <c r="R452">
        <v>0.947002980059654</v>
      </c>
      <c r="S452" t="s">
        <v>6763</v>
      </c>
      <c r="T452" t="s">
        <v>12620</v>
      </c>
      <c r="U452" t="s">
        <v>12620</v>
      </c>
      <c r="V452" t="s">
        <v>12620</v>
      </c>
      <c r="W452" t="s">
        <v>13059</v>
      </c>
      <c r="X452">
        <v>5</v>
      </c>
      <c r="Y452" t="s">
        <v>19308</v>
      </c>
      <c r="Z452" t="s">
        <v>25399</v>
      </c>
      <c r="AA452">
        <v>0.59450097827194337</v>
      </c>
      <c r="AB452" t="str">
        <f>HYPERLINK("Melting_Curves/meltCurve_F5GXS0_C4B.pdf", "Melting_Curves/meltCurve_F5GXS0_C4B.pdf")</f>
        <v>Melting_Curves/meltCurve_F5GXS0_C4B.pdf</v>
      </c>
    </row>
    <row r="453" spans="1:28" x14ac:dyDescent="0.25">
      <c r="A453" t="s">
        <v>457</v>
      </c>
      <c r="B453">
        <v>0.99987803227770999</v>
      </c>
      <c r="C453">
        <v>0.97431303343959996</v>
      </c>
      <c r="D453">
        <v>1.07304861570291</v>
      </c>
      <c r="E453">
        <v>0.82445938009411501</v>
      </c>
      <c r="F453">
        <v>0.59698256945070505</v>
      </c>
      <c r="G453">
        <v>0.36749945049049598</v>
      </c>
      <c r="H453">
        <v>0.22782382842281901</v>
      </c>
      <c r="I453">
        <v>0.227372589581743</v>
      </c>
      <c r="J453">
        <v>0.168187626950562</v>
      </c>
      <c r="K453">
        <v>0.13411784839133301</v>
      </c>
      <c r="L453">
        <v>1093.6481089552301</v>
      </c>
      <c r="M453">
        <v>20.4514104137881</v>
      </c>
      <c r="N453">
        <v>54.528616493321401</v>
      </c>
      <c r="O453">
        <v>52.972033228606698</v>
      </c>
      <c r="P453">
        <v>-8.0774170631397399E-2</v>
      </c>
      <c r="Q453">
        <v>0.16315902847983399</v>
      </c>
      <c r="R453">
        <v>0.98870714152313299</v>
      </c>
      <c r="S453" t="s">
        <v>6764</v>
      </c>
      <c r="T453" t="s">
        <v>12620</v>
      </c>
      <c r="U453" t="s">
        <v>12620</v>
      </c>
      <c r="V453" t="s">
        <v>12620</v>
      </c>
      <c r="W453" t="s">
        <v>13060</v>
      </c>
      <c r="X453">
        <v>10</v>
      </c>
      <c r="Y453" t="s">
        <v>19309</v>
      </c>
      <c r="Z453" t="s">
        <v>25400</v>
      </c>
      <c r="AA453">
        <v>0.55008727214437603</v>
      </c>
      <c r="AB453" t="str">
        <f>HYPERLINK("Melting_Curves/meltCurve_F5GXY5_SASS6.pdf", "Melting_Curves/meltCurve_F5GXY5_SASS6.pdf")</f>
        <v>Melting_Curves/meltCurve_F5GXY5_SASS6.pdf</v>
      </c>
    </row>
    <row r="454" spans="1:28" x14ac:dyDescent="0.25">
      <c r="A454" t="s">
        <v>458</v>
      </c>
      <c r="B454">
        <v>0.99987803227770999</v>
      </c>
      <c r="C454">
        <v>0.98244166354260098</v>
      </c>
      <c r="D454">
        <v>0.98387139291946901</v>
      </c>
      <c r="E454">
        <v>0.87832065500969703</v>
      </c>
      <c r="F454">
        <v>0.90917194618824804</v>
      </c>
      <c r="G454">
        <v>0.73696124616651004</v>
      </c>
      <c r="H454">
        <v>0.58369529981197599</v>
      </c>
      <c r="I454">
        <v>0.52431306156891699</v>
      </c>
      <c r="J454">
        <v>0.39241165572180198</v>
      </c>
      <c r="K454">
        <v>0.36763099085948803</v>
      </c>
      <c r="L454">
        <v>636.26424050396895</v>
      </c>
      <c r="M454">
        <v>10.385556415457801</v>
      </c>
      <c r="N454">
        <v>64.003673421481693</v>
      </c>
      <c r="O454">
        <v>59.123474444367297</v>
      </c>
      <c r="P454">
        <v>-3.6050366372946202E-2</v>
      </c>
      <c r="Q454">
        <v>0.17942715077502799</v>
      </c>
      <c r="R454">
        <v>0.98885637783798697</v>
      </c>
      <c r="S454" t="s">
        <v>6765</v>
      </c>
      <c r="T454" t="s">
        <v>12620</v>
      </c>
      <c r="U454" t="s">
        <v>12620</v>
      </c>
      <c r="V454" t="s">
        <v>12620</v>
      </c>
      <c r="W454" t="s">
        <v>13061</v>
      </c>
      <c r="X454">
        <v>1</v>
      </c>
      <c r="Y454" t="s">
        <v>19310</v>
      </c>
      <c r="Z454" t="s">
        <v>25401</v>
      </c>
      <c r="AA454">
        <v>0.75083646397936332</v>
      </c>
      <c r="AB454" t="str">
        <f>HYPERLINK("Melting_Curves/meltCurve_F5GY03_SPARC.pdf", "Melting_Curves/meltCurve_F5GY03_SPARC.pdf")</f>
        <v>Melting_Curves/meltCurve_F5GY03_SPARC.pdf</v>
      </c>
    </row>
    <row r="455" spans="1:28" x14ac:dyDescent="0.25">
      <c r="A455" t="s">
        <v>459</v>
      </c>
      <c r="B455">
        <v>0.99987803227770999</v>
      </c>
      <c r="C455">
        <v>0.92033816980125405</v>
      </c>
      <c r="D455">
        <v>0.89927982673814</v>
      </c>
      <c r="E455">
        <v>0.81804472208592904</v>
      </c>
      <c r="F455">
        <v>0.95445177699033201</v>
      </c>
      <c r="G455">
        <v>0.78229133445232402</v>
      </c>
      <c r="H455">
        <v>0.52061362675412304</v>
      </c>
      <c r="I455">
        <v>0.39630463030118701</v>
      </c>
      <c r="J455">
        <v>0.20799027081864699</v>
      </c>
      <c r="K455">
        <v>0.15032191735271599</v>
      </c>
      <c r="L455">
        <v>852.15323319860397</v>
      </c>
      <c r="M455">
        <v>13.8476990742549</v>
      </c>
      <c r="N455">
        <v>61.537532634106498</v>
      </c>
      <c r="O455">
        <v>60.296800744424999</v>
      </c>
      <c r="P455">
        <v>-5.7422663068033598E-2</v>
      </c>
      <c r="Q455">
        <v>0</v>
      </c>
      <c r="R455">
        <v>0.95597796682088598</v>
      </c>
      <c r="S455" t="s">
        <v>6766</v>
      </c>
      <c r="T455" t="s">
        <v>12620</v>
      </c>
      <c r="U455" t="s">
        <v>12620</v>
      </c>
      <c r="V455" t="s">
        <v>12620</v>
      </c>
      <c r="W455" t="s">
        <v>13062</v>
      </c>
      <c r="X455">
        <v>3</v>
      </c>
      <c r="Y455" t="s">
        <v>19311</v>
      </c>
      <c r="Z455" t="s">
        <v>25402</v>
      </c>
      <c r="AA455">
        <v>0.71538179755279119</v>
      </c>
      <c r="AB455" t="str">
        <f>HYPERLINK("Melting_Curves/meltCurve_F5GY11_STARD10.pdf", "Melting_Curves/meltCurve_F5GY11_STARD10.pdf")</f>
        <v>Melting_Curves/meltCurve_F5GY11_STARD10.pdf</v>
      </c>
    </row>
    <row r="456" spans="1:28" x14ac:dyDescent="0.25">
      <c r="A456" t="s">
        <v>460</v>
      </c>
      <c r="B456">
        <v>0.99987803227770999</v>
      </c>
      <c r="C456">
        <v>0.98983813737700599</v>
      </c>
      <c r="D456">
        <v>1.18609901229544</v>
      </c>
      <c r="E456">
        <v>0.785658287310109</v>
      </c>
      <c r="F456">
        <v>0.67263808652832002</v>
      </c>
      <c r="G456">
        <v>0.42721691502987502</v>
      </c>
      <c r="H456">
        <v>0.40833155164523299</v>
      </c>
      <c r="I456">
        <v>0.37085013679929002</v>
      </c>
      <c r="J456">
        <v>0.31958890114536298</v>
      </c>
      <c r="K456">
        <v>0.25243138833934198</v>
      </c>
      <c r="L456">
        <v>1184.5810140999699</v>
      </c>
      <c r="M456">
        <v>22.365778499647099</v>
      </c>
      <c r="N456">
        <v>55.508877395221603</v>
      </c>
      <c r="O456">
        <v>52.546037073332997</v>
      </c>
      <c r="P456">
        <v>-7.2289107902253805E-2</v>
      </c>
      <c r="Q456">
        <v>0.320671678993113</v>
      </c>
      <c r="R456">
        <v>0.94158580203075404</v>
      </c>
      <c r="S456" t="s">
        <v>6767</v>
      </c>
      <c r="T456" t="s">
        <v>12620</v>
      </c>
      <c r="U456" t="s">
        <v>12620</v>
      </c>
      <c r="V456" t="s">
        <v>12620</v>
      </c>
      <c r="W456" t="s">
        <v>13063</v>
      </c>
      <c r="X456">
        <v>10</v>
      </c>
      <c r="Y456" t="s">
        <v>19312</v>
      </c>
      <c r="Z456" t="s">
        <v>25403</v>
      </c>
      <c r="AA456">
        <v>0.62190990235590604</v>
      </c>
      <c r="AB456" t="str">
        <f>HYPERLINK("Melting_Curves/meltCurve_F5GYE8_CEP112.pdf", "Melting_Curves/meltCurve_F5GYE8_CEP112.pdf")</f>
        <v>Melting_Curves/meltCurve_F5GYE8_CEP112.pdf</v>
      </c>
    </row>
    <row r="457" spans="1:28" x14ac:dyDescent="0.25">
      <c r="A457" t="s">
        <v>461</v>
      </c>
      <c r="B457">
        <v>0.99987803227770999</v>
      </c>
      <c r="C457">
        <v>1.0206253544110899</v>
      </c>
      <c r="D457">
        <v>1.09674591604599</v>
      </c>
      <c r="E457">
        <v>1.0271386060782699</v>
      </c>
      <c r="F457">
        <v>1.0145903771137701</v>
      </c>
      <c r="G457">
        <v>1.00902308479933</v>
      </c>
      <c r="H457">
        <v>0.89167069644693697</v>
      </c>
      <c r="I457">
        <v>0.72624843053881705</v>
      </c>
      <c r="J457">
        <v>0.67417049459971001</v>
      </c>
      <c r="K457">
        <v>0.49716523387406802</v>
      </c>
      <c r="L457">
        <v>1341.15947446166</v>
      </c>
      <c r="M457">
        <v>20.4398740533282</v>
      </c>
      <c r="O457">
        <v>64.996492089179995</v>
      </c>
      <c r="P457">
        <v>-4.8622970742429203E-2</v>
      </c>
      <c r="Q457">
        <v>0.38155623714584602</v>
      </c>
      <c r="R457">
        <v>0.951936179027844</v>
      </c>
      <c r="S457" t="s">
        <v>6768</v>
      </c>
      <c r="T457" t="s">
        <v>12620</v>
      </c>
      <c r="U457" t="s">
        <v>12620</v>
      </c>
      <c r="V457" t="s">
        <v>12620</v>
      </c>
      <c r="W457" t="s">
        <v>12870</v>
      </c>
      <c r="X457">
        <v>4</v>
      </c>
      <c r="Z457" t="s">
        <v>25404</v>
      </c>
      <c r="AA457">
        <v>0.89968703370314196</v>
      </c>
      <c r="AB457" t="str">
        <f>HYPERLINK("Melting_Curves/meltCurve_F5GYJ5_.pdf", "Melting_Curves/meltCurve_F5GYJ5_.pdf")</f>
        <v>Melting_Curves/meltCurve_F5GYJ5_.pdf</v>
      </c>
    </row>
    <row r="458" spans="1:28" x14ac:dyDescent="0.25">
      <c r="A458" t="s">
        <v>462</v>
      </c>
      <c r="B458">
        <v>0.99987803227770999</v>
      </c>
      <c r="C458">
        <v>1.0758537263508601</v>
      </c>
      <c r="D458">
        <v>1.0176801510687199</v>
      </c>
      <c r="E458">
        <v>0.78136661132164398</v>
      </c>
      <c r="F458">
        <v>0.53821988516000097</v>
      </c>
      <c r="G458">
        <v>0.45602401445388002</v>
      </c>
      <c r="H458">
        <v>0.394924823042546</v>
      </c>
      <c r="I458">
        <v>0.413946863815844</v>
      </c>
      <c r="J458">
        <v>9.0080529959035704E-2</v>
      </c>
      <c r="K458">
        <v>7.1686737730512096E-2</v>
      </c>
      <c r="L458">
        <v>565.08428591806705</v>
      </c>
      <c r="M458">
        <v>9.9613810902715496</v>
      </c>
      <c r="N458">
        <v>56.727506905374398</v>
      </c>
      <c r="O458">
        <v>54.583439739340598</v>
      </c>
      <c r="P458">
        <v>-4.5647091983249899E-2</v>
      </c>
      <c r="Q458">
        <v>0</v>
      </c>
      <c r="R458">
        <v>0.92926602068145703</v>
      </c>
      <c r="S458" t="s">
        <v>6769</v>
      </c>
      <c r="T458" t="s">
        <v>12620</v>
      </c>
      <c r="U458" t="s">
        <v>12620</v>
      </c>
      <c r="V458" t="s">
        <v>12620</v>
      </c>
      <c r="W458" t="s">
        <v>13064</v>
      </c>
      <c r="X458">
        <v>3</v>
      </c>
      <c r="Y458" t="s">
        <v>19313</v>
      </c>
      <c r="Z458" t="s">
        <v>25405</v>
      </c>
      <c r="AA458">
        <v>0.57485754453629689</v>
      </c>
      <c r="AB458" t="str">
        <f>HYPERLINK("Melting_Curves/meltCurve_F5GYK4_TK2.pdf", "Melting_Curves/meltCurve_F5GYK4_TK2.pdf")</f>
        <v>Melting_Curves/meltCurve_F5GYK4_TK2.pdf</v>
      </c>
    </row>
    <row r="459" spans="1:28" x14ac:dyDescent="0.25">
      <c r="A459" t="s">
        <v>463</v>
      </c>
      <c r="B459">
        <v>0.99987803227770999</v>
      </c>
      <c r="C459">
        <v>0.86297215989974696</v>
      </c>
      <c r="D459">
        <v>1.05256560227033</v>
      </c>
      <c r="E459">
        <v>0.90604549598582795</v>
      </c>
      <c r="F459">
        <v>1.1051481938165499</v>
      </c>
      <c r="G459">
        <v>0.94706886264722001</v>
      </c>
      <c r="H459">
        <v>0.93710069746468405</v>
      </c>
      <c r="I459">
        <v>0.80224000806472995</v>
      </c>
      <c r="J459">
        <v>0.70371488537656102</v>
      </c>
      <c r="K459">
        <v>0.47734142809017599</v>
      </c>
      <c r="L459">
        <v>1213.09611614607</v>
      </c>
      <c r="M459">
        <v>17.373643767713201</v>
      </c>
      <c r="N459">
        <v>69.823931259376394</v>
      </c>
      <c r="O459">
        <v>68.918562195167198</v>
      </c>
      <c r="P459">
        <v>-6.3025942459365894E-2</v>
      </c>
      <c r="Q459">
        <v>0</v>
      </c>
      <c r="R459">
        <v>0.85129503004357798</v>
      </c>
      <c r="S459" t="s">
        <v>6770</v>
      </c>
      <c r="T459" t="s">
        <v>12620</v>
      </c>
      <c r="U459" t="s">
        <v>12620</v>
      </c>
      <c r="V459" t="s">
        <v>12620</v>
      </c>
      <c r="W459" t="s">
        <v>13065</v>
      </c>
      <c r="X459">
        <v>22</v>
      </c>
      <c r="Y459" t="s">
        <v>19314</v>
      </c>
      <c r="Z459" t="s">
        <v>25406</v>
      </c>
      <c r="AA459">
        <v>0.91491125919687188</v>
      </c>
      <c r="AB459" t="str">
        <f>HYPERLINK("Melting_Curves/meltCurve_F5GZ78_PXN.pdf", "Melting_Curves/meltCurve_F5GZ78_PXN.pdf")</f>
        <v>Melting_Curves/meltCurve_F5GZ78_PXN.pdf</v>
      </c>
    </row>
    <row r="460" spans="1:28" x14ac:dyDescent="0.25">
      <c r="A460" t="s">
        <v>464</v>
      </c>
      <c r="B460">
        <v>0.99987803227770999</v>
      </c>
      <c r="C460">
        <v>0.93685496717239503</v>
      </c>
      <c r="D460">
        <v>0.78622304012102096</v>
      </c>
      <c r="E460">
        <v>0.56972937472808405</v>
      </c>
      <c r="F460">
        <v>0.52783709202211004</v>
      </c>
      <c r="G460">
        <v>0.35332098870217898</v>
      </c>
      <c r="H460">
        <v>0.358071971428224</v>
      </c>
      <c r="I460">
        <v>0.324961452420721</v>
      </c>
      <c r="J460">
        <v>0.31202253469882102</v>
      </c>
      <c r="K460">
        <v>0.27715518850594001</v>
      </c>
      <c r="L460">
        <v>683.28167774918597</v>
      </c>
      <c r="M460">
        <v>13.913304854049199</v>
      </c>
      <c r="N460">
        <v>52.398928265070701</v>
      </c>
      <c r="O460">
        <v>48.1287958590854</v>
      </c>
      <c r="P460">
        <v>-5.12315702879566E-2</v>
      </c>
      <c r="Q460">
        <v>0.29121675036887501</v>
      </c>
      <c r="R460">
        <v>0.98968118141396499</v>
      </c>
      <c r="S460" t="s">
        <v>6771</v>
      </c>
      <c r="T460" t="s">
        <v>12620</v>
      </c>
      <c r="U460" t="s">
        <v>12620</v>
      </c>
      <c r="V460" t="s">
        <v>12620</v>
      </c>
      <c r="W460" t="s">
        <v>13066</v>
      </c>
      <c r="X460">
        <v>6</v>
      </c>
      <c r="Y460" t="s">
        <v>19315</v>
      </c>
      <c r="Z460" t="s">
        <v>25407</v>
      </c>
      <c r="AA460">
        <v>0.52645536665076187</v>
      </c>
      <c r="AB460" t="str">
        <f>HYPERLINK("Melting_Curves/meltCurve_F5GZ90_DTL.pdf", "Melting_Curves/meltCurve_F5GZ90_DTL.pdf")</f>
        <v>Melting_Curves/meltCurve_F5GZ90_DTL.pdf</v>
      </c>
    </row>
    <row r="461" spans="1:28" x14ac:dyDescent="0.25">
      <c r="A461" t="s">
        <v>465</v>
      </c>
      <c r="B461">
        <v>0.99987803227770999</v>
      </c>
      <c r="C461">
        <v>0.78139767443335095</v>
      </c>
      <c r="D461">
        <v>0.91693922383175297</v>
      </c>
      <c r="E461">
        <v>0.73603017101582302</v>
      </c>
      <c r="F461">
        <v>0.82137776140115104</v>
      </c>
      <c r="G461">
        <v>0.69620022472966503</v>
      </c>
      <c r="H461">
        <v>0.67146873300575105</v>
      </c>
      <c r="I461">
        <v>0.61286720879892698</v>
      </c>
      <c r="J461">
        <v>0.65641583568312001</v>
      </c>
      <c r="K461">
        <v>0.533035592477628</v>
      </c>
      <c r="L461">
        <v>212.56301041541201</v>
      </c>
      <c r="M461">
        <v>3.0033609197758899</v>
      </c>
      <c r="O461">
        <v>52.137623482488301</v>
      </c>
      <c r="P461">
        <v>-1.2995729949934301E-2</v>
      </c>
      <c r="Q461">
        <v>0.124545039745039</v>
      </c>
      <c r="R461">
        <v>0.804133338404174</v>
      </c>
      <c r="S461" t="s">
        <v>6772</v>
      </c>
      <c r="T461" t="s">
        <v>12620</v>
      </c>
      <c r="U461" t="s">
        <v>12620</v>
      </c>
      <c r="V461" t="s">
        <v>12620</v>
      </c>
      <c r="W461" t="s">
        <v>13067</v>
      </c>
      <c r="X461">
        <v>2</v>
      </c>
      <c r="Y461" t="s">
        <v>19316</v>
      </c>
      <c r="Z461" t="s">
        <v>25408</v>
      </c>
      <c r="AA461">
        <v>0.74247581865488177</v>
      </c>
      <c r="AB461" t="str">
        <f>HYPERLINK("Melting_Curves/meltCurve_F5GZY0_APLP2.pdf", "Melting_Curves/meltCurve_F5GZY0_APLP2.pdf")</f>
        <v>Melting_Curves/meltCurve_F5GZY0_APLP2.pdf</v>
      </c>
    </row>
    <row r="462" spans="1:28" x14ac:dyDescent="0.25">
      <c r="A462" t="s">
        <v>466</v>
      </c>
      <c r="B462">
        <v>0.99987803227770999</v>
      </c>
      <c r="C462">
        <v>1.04057732620078</v>
      </c>
      <c r="D462">
        <v>0.87385921932220501</v>
      </c>
      <c r="E462">
        <v>0.46323684642102397</v>
      </c>
      <c r="F462">
        <v>0.26355928785510502</v>
      </c>
      <c r="G462">
        <v>0.159237852797211</v>
      </c>
      <c r="H462">
        <v>0.110441028830515</v>
      </c>
      <c r="I462">
        <v>8.6501627681503906E-2</v>
      </c>
      <c r="J462">
        <v>5.4174916155229701E-2</v>
      </c>
      <c r="K462">
        <v>3.99625692512744E-2</v>
      </c>
      <c r="L462">
        <v>1135.40975003583</v>
      </c>
      <c r="M462">
        <v>22.908434471930601</v>
      </c>
      <c r="N462">
        <v>49.925669112442698</v>
      </c>
      <c r="O462">
        <v>49.1899176252507</v>
      </c>
      <c r="P462">
        <v>-0.107505269646539</v>
      </c>
      <c r="Q462">
        <v>7.6658895843582306E-2</v>
      </c>
      <c r="R462">
        <v>0.99365064214167198</v>
      </c>
      <c r="S462" t="s">
        <v>6773</v>
      </c>
      <c r="T462" t="s">
        <v>12620</v>
      </c>
      <c r="U462" t="s">
        <v>12620</v>
      </c>
      <c r="V462" t="s">
        <v>12620</v>
      </c>
      <c r="W462" t="s">
        <v>13068</v>
      </c>
      <c r="X462">
        <v>8</v>
      </c>
      <c r="Y462" t="s">
        <v>19317</v>
      </c>
      <c r="Z462" t="s">
        <v>25409</v>
      </c>
      <c r="AA462">
        <v>0.38079806121345022</v>
      </c>
      <c r="AB462" t="str">
        <f>HYPERLINK("Melting_Curves/meltCurve_F5H012_TRIM21.pdf", "Melting_Curves/meltCurve_F5H012_TRIM21.pdf")</f>
        <v>Melting_Curves/meltCurve_F5H012_TRIM21.pdf</v>
      </c>
    </row>
    <row r="463" spans="1:28" x14ac:dyDescent="0.25">
      <c r="A463" t="s">
        <v>467</v>
      </c>
      <c r="B463">
        <v>0.99987803227770999</v>
      </c>
      <c r="C463">
        <v>0.91172532963179698</v>
      </c>
      <c r="D463">
        <v>1.07596314993885</v>
      </c>
      <c r="E463">
        <v>0.944641480157138</v>
      </c>
      <c r="F463">
        <v>1.07640273701412</v>
      </c>
      <c r="G463">
        <v>0.90536411620964297</v>
      </c>
      <c r="H463">
        <v>0.94099125163144703</v>
      </c>
      <c r="I463">
        <v>0.91050848130277795</v>
      </c>
      <c r="J463">
        <v>0.88927329664103405</v>
      </c>
      <c r="K463">
        <v>0.72806397832554803</v>
      </c>
      <c r="L463">
        <v>900.21577396649297</v>
      </c>
      <c r="M463">
        <v>11.749257632849</v>
      </c>
      <c r="Q463">
        <v>0</v>
      </c>
      <c r="R463">
        <v>0.64925516468936495</v>
      </c>
      <c r="S463" t="s">
        <v>6774</v>
      </c>
      <c r="T463" t="s">
        <v>12620</v>
      </c>
      <c r="U463" t="s">
        <v>12620</v>
      </c>
      <c r="V463" t="s">
        <v>12620</v>
      </c>
      <c r="W463" t="s">
        <v>13069</v>
      </c>
      <c r="X463">
        <v>15</v>
      </c>
      <c r="Y463" t="s">
        <v>19318</v>
      </c>
      <c r="Z463" t="s">
        <v>25410</v>
      </c>
      <c r="AA463">
        <v>0.95537867053360404</v>
      </c>
      <c r="AB463" t="str">
        <f>HYPERLINK("Melting_Curves/meltCurve_F5H0B0_TPD52.pdf", "Melting_Curves/meltCurve_F5H0B0_TPD52.pdf")</f>
        <v>Melting_Curves/meltCurve_F5H0B0_TPD52.pdf</v>
      </c>
    </row>
    <row r="464" spans="1:28" x14ac:dyDescent="0.25">
      <c r="A464" t="s">
        <v>468</v>
      </c>
      <c r="B464">
        <v>0.99987803227770999</v>
      </c>
      <c r="C464">
        <v>0.95504325265989798</v>
      </c>
      <c r="D464">
        <v>1.2096893407904601</v>
      </c>
      <c r="E464">
        <v>0.57635831413501204</v>
      </c>
      <c r="F464">
        <v>0.54392771292047903</v>
      </c>
      <c r="G464">
        <v>0.365144369714273</v>
      </c>
      <c r="H464">
        <v>0.42582102602243899</v>
      </c>
      <c r="I464">
        <v>0.338605243217315</v>
      </c>
      <c r="J464">
        <v>0.51474794306618099</v>
      </c>
      <c r="K464">
        <v>0.454232658263579</v>
      </c>
      <c r="L464">
        <v>5601.6193956426996</v>
      </c>
      <c r="M464">
        <v>113.163033500333</v>
      </c>
      <c r="N464">
        <v>50.447809116355003</v>
      </c>
      <c r="O464">
        <v>49.484982407672703</v>
      </c>
      <c r="P464">
        <v>-0.31998809979170501</v>
      </c>
      <c r="Q464">
        <v>0.44029055612843199</v>
      </c>
      <c r="R464">
        <v>0.905137014717043</v>
      </c>
      <c r="S464" t="s">
        <v>6775</v>
      </c>
      <c r="T464" t="s">
        <v>12620</v>
      </c>
      <c r="U464" t="s">
        <v>12620</v>
      </c>
      <c r="V464" t="s">
        <v>12620</v>
      </c>
      <c r="W464" t="s">
        <v>13070</v>
      </c>
      <c r="X464">
        <v>9</v>
      </c>
      <c r="Y464" t="s">
        <v>19319</v>
      </c>
      <c r="Z464" t="s">
        <v>25411</v>
      </c>
      <c r="AA464">
        <v>0.61777751170014039</v>
      </c>
      <c r="AB464" t="str">
        <f>HYPERLINK("Melting_Curves/meltCurve_F5H0C4_PAAF1.pdf", "Melting_Curves/meltCurve_F5H0C4_PAAF1.pdf")</f>
        <v>Melting_Curves/meltCurve_F5H0C4_PAAF1.pdf</v>
      </c>
    </row>
    <row r="465" spans="1:28" x14ac:dyDescent="0.25">
      <c r="A465" t="s">
        <v>469</v>
      </c>
      <c r="B465">
        <v>0.99987803227770999</v>
      </c>
      <c r="C465">
        <v>0.625059465906603</v>
      </c>
      <c r="D465">
        <v>0.66031422251724303</v>
      </c>
      <c r="E465">
        <v>0.53469059388347895</v>
      </c>
      <c r="F465">
        <v>0.53463642015207502</v>
      </c>
      <c r="G465">
        <v>0.23454493415597899</v>
      </c>
      <c r="H465">
        <v>0.27780398703728698</v>
      </c>
      <c r="I465">
        <v>0.179158219069952</v>
      </c>
      <c r="J465">
        <v>0.30731638674858902</v>
      </c>
      <c r="K465">
        <v>0.269110603711054</v>
      </c>
      <c r="L465">
        <v>429.65661971876602</v>
      </c>
      <c r="M465">
        <v>9.0492914804414202</v>
      </c>
      <c r="N465">
        <v>50.173037023911299</v>
      </c>
      <c r="O465">
        <v>45.333121493691998</v>
      </c>
      <c r="P465">
        <v>-4.0331692618052001E-2</v>
      </c>
      <c r="Q465">
        <v>0.19239607734617101</v>
      </c>
      <c r="R465">
        <v>0.87144133617941899</v>
      </c>
      <c r="S465" t="s">
        <v>6776</v>
      </c>
      <c r="T465" t="s">
        <v>12620</v>
      </c>
      <c r="U465" t="s">
        <v>12620</v>
      </c>
      <c r="V465" t="s">
        <v>12620</v>
      </c>
      <c r="W465" t="s">
        <v>13071</v>
      </c>
      <c r="X465">
        <v>1</v>
      </c>
      <c r="Y465" t="s">
        <v>19320</v>
      </c>
      <c r="Z465" t="s">
        <v>25412</v>
      </c>
      <c r="AA465">
        <v>0.44567154828087241</v>
      </c>
      <c r="AB465" t="str">
        <f>HYPERLINK("Melting_Curves/meltCurve_F5H0I7_TDG.pdf", "Melting_Curves/meltCurve_F5H0I7_TDG.pdf")</f>
        <v>Melting_Curves/meltCurve_F5H0I7_TDG.pdf</v>
      </c>
    </row>
    <row r="466" spans="1:28" x14ac:dyDescent="0.25">
      <c r="A466" t="s">
        <v>470</v>
      </c>
      <c r="B466">
        <v>0.99987803227770999</v>
      </c>
      <c r="C466">
        <v>0.919969781044224</v>
      </c>
      <c r="D466">
        <v>1.0812650965172499</v>
      </c>
      <c r="E466">
        <v>0.80492070798120596</v>
      </c>
      <c r="F466">
        <v>0.77176616457898894</v>
      </c>
      <c r="G466">
        <v>0.42659753914683701</v>
      </c>
      <c r="H466">
        <v>0.61159577818506405</v>
      </c>
      <c r="I466">
        <v>0.83446408469491495</v>
      </c>
      <c r="J466">
        <v>0.52110581877106998</v>
      </c>
      <c r="K466">
        <v>0.30022937214388101</v>
      </c>
      <c r="L466">
        <v>1403.7665937214099</v>
      </c>
      <c r="M466">
        <v>27.171056550139401</v>
      </c>
      <c r="O466">
        <v>51.386623569445497</v>
      </c>
      <c r="P466">
        <v>-6.0940317881560201E-2</v>
      </c>
      <c r="Q466">
        <v>0.53899667517530403</v>
      </c>
      <c r="R466">
        <v>0.66741777326158802</v>
      </c>
      <c r="S466" t="s">
        <v>6777</v>
      </c>
      <c r="T466" t="s">
        <v>12620</v>
      </c>
      <c r="U466" t="s">
        <v>12620</v>
      </c>
      <c r="V466" t="s">
        <v>12620</v>
      </c>
      <c r="W466" t="s">
        <v>13072</v>
      </c>
      <c r="X466">
        <v>6</v>
      </c>
      <c r="Y466" t="s">
        <v>19321</v>
      </c>
      <c r="Z466" t="s">
        <v>25413</v>
      </c>
      <c r="AA466">
        <v>0.72179985752205378</v>
      </c>
      <c r="AB466" t="str">
        <f>HYPERLINK("Melting_Curves/meltCurve_F5H0K8_KSR1.pdf", "Melting_Curves/meltCurve_F5H0K8_KSR1.pdf")</f>
        <v>Melting_Curves/meltCurve_F5H0K8_KSR1.pdf</v>
      </c>
    </row>
    <row r="467" spans="1:28" x14ac:dyDescent="0.25">
      <c r="A467" t="s">
        <v>471</v>
      </c>
      <c r="B467">
        <v>0.99987803227770999</v>
      </c>
      <c r="C467">
        <v>1.0860588286466899</v>
      </c>
      <c r="D467">
        <v>0.957088033647567</v>
      </c>
      <c r="E467">
        <v>0.82819645760611005</v>
      </c>
      <c r="F467">
        <v>0.29120282049991297</v>
      </c>
      <c r="G467">
        <v>0.20135499953385</v>
      </c>
      <c r="H467">
        <v>0.120703112116754</v>
      </c>
      <c r="I467">
        <v>0.111391822786035</v>
      </c>
      <c r="J467">
        <v>9.4439705603510102E-2</v>
      </c>
      <c r="K467">
        <v>6.4270908220577905E-2</v>
      </c>
      <c r="L467">
        <v>2347.8153589722001</v>
      </c>
      <c r="M467">
        <v>45.595457497006599</v>
      </c>
      <c r="N467">
        <v>51.7868077227415</v>
      </c>
      <c r="O467">
        <v>51.393551054190603</v>
      </c>
      <c r="P467">
        <v>-0.19646553354662499</v>
      </c>
      <c r="Q467">
        <v>0.114205705616619</v>
      </c>
      <c r="R467">
        <v>0.98933564654142203</v>
      </c>
      <c r="S467" t="s">
        <v>6778</v>
      </c>
      <c r="T467" t="s">
        <v>12620</v>
      </c>
      <c r="U467" t="s">
        <v>12620</v>
      </c>
      <c r="V467" t="s">
        <v>12620</v>
      </c>
      <c r="W467" t="s">
        <v>13073</v>
      </c>
      <c r="X467">
        <v>28</v>
      </c>
      <c r="Y467" t="s">
        <v>19322</v>
      </c>
      <c r="Z467" t="s">
        <v>25414</v>
      </c>
      <c r="AA467">
        <v>0.45595494022435912</v>
      </c>
      <c r="AB467" t="str">
        <f>HYPERLINK("Melting_Curves/meltCurve_F5H0L8_SEC23IP.pdf", "Melting_Curves/meltCurve_F5H0L8_SEC23IP.pdf")</f>
        <v>Melting_Curves/meltCurve_F5H0L8_SEC23IP.pdf</v>
      </c>
    </row>
    <row r="468" spans="1:28" x14ac:dyDescent="0.25">
      <c r="A468" t="s">
        <v>472</v>
      </c>
      <c r="B468">
        <v>0.99987803227770999</v>
      </c>
      <c r="C468">
        <v>0.93875059362195801</v>
      </c>
      <c r="D468">
        <v>0.97565565937616205</v>
      </c>
      <c r="E468">
        <v>0.99947564615080198</v>
      </c>
      <c r="F468">
        <v>0.97887572567911596</v>
      </c>
      <c r="G468">
        <v>0.84609254743305096</v>
      </c>
      <c r="H468">
        <v>0.74639236830858402</v>
      </c>
      <c r="I468">
        <v>0.62561284837127895</v>
      </c>
      <c r="J468">
        <v>0.543477582958385</v>
      </c>
      <c r="K468">
        <v>0.479401438965189</v>
      </c>
      <c r="L468">
        <v>908.50215541306602</v>
      </c>
      <c r="M468">
        <v>14.5949684684416</v>
      </c>
      <c r="N468">
        <v>68.926105049069903</v>
      </c>
      <c r="O468">
        <v>61.114054580841199</v>
      </c>
      <c r="P468">
        <v>-3.71140128620156E-2</v>
      </c>
      <c r="Q468">
        <v>0.378434475571374</v>
      </c>
      <c r="R468">
        <v>0.98433214885922105</v>
      </c>
      <c r="S468" t="s">
        <v>6779</v>
      </c>
      <c r="T468" t="s">
        <v>12620</v>
      </c>
      <c r="U468" t="s">
        <v>12620</v>
      </c>
      <c r="V468" t="s">
        <v>12620</v>
      </c>
      <c r="W468" t="s">
        <v>13074</v>
      </c>
      <c r="X468">
        <v>4</v>
      </c>
      <c r="Y468" t="s">
        <v>19323</v>
      </c>
      <c r="Z468" t="s">
        <v>25415</v>
      </c>
      <c r="AA468">
        <v>0.83615463559612002</v>
      </c>
      <c r="AB468" t="str">
        <f>HYPERLINK("Melting_Curves/meltCurve_F5H0Q6_CLASRP.pdf", "Melting_Curves/meltCurve_F5H0Q6_CLASRP.pdf")</f>
        <v>Melting_Curves/meltCurve_F5H0Q6_CLASRP.pdf</v>
      </c>
    </row>
    <row r="469" spans="1:28" x14ac:dyDescent="0.25">
      <c r="A469" t="s">
        <v>473</v>
      </c>
      <c r="B469">
        <v>0.99987803227770999</v>
      </c>
      <c r="C469">
        <v>0.98555723808483997</v>
      </c>
      <c r="D469">
        <v>0.90516348060887897</v>
      </c>
      <c r="E469">
        <v>0.45056229656892399</v>
      </c>
      <c r="F469">
        <v>0.32974609461278298</v>
      </c>
      <c r="G469">
        <v>0.19025926705476201</v>
      </c>
      <c r="H469">
        <v>0.15231445190318199</v>
      </c>
      <c r="I469">
        <v>0.15110054852815499</v>
      </c>
      <c r="J469">
        <v>0.124638780244268</v>
      </c>
      <c r="K469">
        <v>9.6309356708762395E-2</v>
      </c>
      <c r="L469">
        <v>1150.86257215349</v>
      </c>
      <c r="M469">
        <v>23.315593430310699</v>
      </c>
      <c r="N469">
        <v>50.038199242788998</v>
      </c>
      <c r="O469">
        <v>49.001418180263201</v>
      </c>
      <c r="P469">
        <v>-0.102844853090171</v>
      </c>
      <c r="Q469">
        <v>0.135436508175658</v>
      </c>
      <c r="R469">
        <v>0.99290318911797304</v>
      </c>
      <c r="S469" t="s">
        <v>6780</v>
      </c>
      <c r="T469" t="s">
        <v>12620</v>
      </c>
      <c r="U469" t="s">
        <v>12620</v>
      </c>
      <c r="V469" t="s">
        <v>12620</v>
      </c>
      <c r="W469" t="s">
        <v>13075</v>
      </c>
      <c r="X469">
        <v>4</v>
      </c>
      <c r="Y469" t="s">
        <v>19324</v>
      </c>
      <c r="Z469" t="s">
        <v>25416</v>
      </c>
      <c r="AA469">
        <v>0.41404196961905171</v>
      </c>
      <c r="AB469" t="str">
        <f>HYPERLINK("Melting_Curves/meltCurve_F5H148_RRN3.pdf", "Melting_Curves/meltCurve_F5H148_RRN3.pdf")</f>
        <v>Melting_Curves/meltCurve_F5H148_RRN3.pdf</v>
      </c>
    </row>
    <row r="470" spans="1:28" x14ac:dyDescent="0.25">
      <c r="A470" t="s">
        <v>474</v>
      </c>
      <c r="B470">
        <v>0.99987803227770999</v>
      </c>
      <c r="C470">
        <v>0.86018383796783504</v>
      </c>
      <c r="D470">
        <v>1.0266040078624901</v>
      </c>
      <c r="E470">
        <v>0.85739208378346199</v>
      </c>
      <c r="F470">
        <v>1.16080754052532</v>
      </c>
      <c r="G470">
        <v>0.88180199736262099</v>
      </c>
      <c r="H470">
        <v>1.0282094702240101</v>
      </c>
      <c r="I470">
        <v>1.0600744377731699</v>
      </c>
      <c r="J470">
        <v>1.1362873748272999</v>
      </c>
      <c r="K470">
        <v>1.01013514702158</v>
      </c>
      <c r="L470">
        <v>6421.29625695508</v>
      </c>
      <c r="M470">
        <v>104.862053805282</v>
      </c>
      <c r="O470">
        <v>61.213390209764697</v>
      </c>
      <c r="P470">
        <v>2.9620362117859199E-2</v>
      </c>
      <c r="Q470">
        <v>1.0691637303844801</v>
      </c>
      <c r="R470">
        <v>0.14467692049750999</v>
      </c>
      <c r="S470" t="s">
        <v>6781</v>
      </c>
      <c r="T470" t="s">
        <v>12620</v>
      </c>
      <c r="U470" t="s">
        <v>12620</v>
      </c>
      <c r="V470" t="s">
        <v>12620</v>
      </c>
      <c r="W470" t="s">
        <v>13076</v>
      </c>
      <c r="X470">
        <v>5</v>
      </c>
      <c r="Y470" t="s">
        <v>19325</v>
      </c>
      <c r="Z470" t="s">
        <v>25417</v>
      </c>
      <c r="AA470">
        <v>1.020163545268876</v>
      </c>
      <c r="AB470" t="str">
        <f>HYPERLINK("Melting_Curves/meltCurve_F5H199_MSRB3.pdf", "Melting_Curves/meltCurve_F5H199_MSRB3.pdf")</f>
        <v>Melting_Curves/meltCurve_F5H199_MSRB3.pdf</v>
      </c>
    </row>
    <row r="471" spans="1:28" x14ac:dyDescent="0.25">
      <c r="A471" t="s">
        <v>475</v>
      </c>
      <c r="B471">
        <v>0.99987803227770999</v>
      </c>
      <c r="C471">
        <v>1.02773436169042</v>
      </c>
      <c r="D471">
        <v>0.71877463712609302</v>
      </c>
      <c r="E471">
        <v>0.57403993275745002</v>
      </c>
      <c r="F471">
        <v>0.36087670411100897</v>
      </c>
      <c r="G471">
        <v>0.26674928837267098</v>
      </c>
      <c r="H471">
        <v>0.17357149571687799</v>
      </c>
      <c r="I471">
        <v>0.13097029826213899</v>
      </c>
      <c r="J471">
        <v>8.9685220668325905E-2</v>
      </c>
      <c r="K471">
        <v>6.1773554556050998E-2</v>
      </c>
      <c r="L471">
        <v>680.30776842609203</v>
      </c>
      <c r="M471">
        <v>13.5037419665563</v>
      </c>
      <c r="N471">
        <v>50.958557880046797</v>
      </c>
      <c r="O471">
        <v>49.312873954459597</v>
      </c>
      <c r="P471">
        <v>-6.3597582372522304E-2</v>
      </c>
      <c r="Q471">
        <v>7.1160618045480198E-2</v>
      </c>
      <c r="R471">
        <v>0.98151811504846498</v>
      </c>
      <c r="S471" t="s">
        <v>6782</v>
      </c>
      <c r="T471" t="s">
        <v>12620</v>
      </c>
      <c r="U471" t="s">
        <v>12620</v>
      </c>
      <c r="V471" t="s">
        <v>12620</v>
      </c>
      <c r="W471" t="s">
        <v>13077</v>
      </c>
      <c r="X471">
        <v>9</v>
      </c>
      <c r="Y471" t="s">
        <v>19326</v>
      </c>
      <c r="Z471" t="s">
        <v>25418</v>
      </c>
      <c r="AA471">
        <v>0.41862509986565222</v>
      </c>
      <c r="AB471" t="str">
        <f>HYPERLINK("Melting_Curves/meltCurve_F5H1D6_POLE.pdf", "Melting_Curves/meltCurve_F5H1D6_POLE.pdf")</f>
        <v>Melting_Curves/meltCurve_F5H1D6_POLE.pdf</v>
      </c>
    </row>
    <row r="472" spans="1:28" x14ac:dyDescent="0.25">
      <c r="A472" t="s">
        <v>476</v>
      </c>
      <c r="B472">
        <v>0.99987803227770999</v>
      </c>
      <c r="C472">
        <v>1.01739040515729</v>
      </c>
      <c r="D472">
        <v>0.95247981444737795</v>
      </c>
      <c r="E472">
        <v>1.10942097388889</v>
      </c>
      <c r="F472">
        <v>0.89680063269610899</v>
      </c>
      <c r="G472">
        <v>1.0008793992602301</v>
      </c>
      <c r="H472">
        <v>1.0686770878851499</v>
      </c>
      <c r="I472">
        <v>0.99191703752818305</v>
      </c>
      <c r="J472">
        <v>0.97637745628936101</v>
      </c>
      <c r="K472">
        <v>0.64532558354125003</v>
      </c>
      <c r="L472">
        <v>4859.2792392064302</v>
      </c>
      <c r="M472">
        <v>68.819654952684402</v>
      </c>
      <c r="Q472">
        <v>0</v>
      </c>
      <c r="R472">
        <v>0.79297496806934797</v>
      </c>
      <c r="S472" t="s">
        <v>6783</v>
      </c>
      <c r="T472" t="s">
        <v>12620</v>
      </c>
      <c r="U472" t="s">
        <v>12620</v>
      </c>
      <c r="V472" t="s">
        <v>12620</v>
      </c>
      <c r="W472" t="s">
        <v>13078</v>
      </c>
      <c r="X472">
        <v>11</v>
      </c>
      <c r="Y472" t="s">
        <v>19327</v>
      </c>
      <c r="Z472" t="s">
        <v>25419</v>
      </c>
      <c r="AA472">
        <v>0.98573082353247687</v>
      </c>
      <c r="AB472" t="str">
        <f>HYPERLINK("Melting_Curves/meltCurve_F5H1L4_TXNRD2.pdf", "Melting_Curves/meltCurve_F5H1L4_TXNRD2.pdf")</f>
        <v>Melting_Curves/meltCurve_F5H1L4_TXNRD2.pdf</v>
      </c>
    </row>
    <row r="473" spans="1:28" x14ac:dyDescent="0.25">
      <c r="A473" t="s">
        <v>477</v>
      </c>
      <c r="B473">
        <v>0.99987803227770999</v>
      </c>
      <c r="C473">
        <v>0.93914239714434</v>
      </c>
      <c r="D473">
        <v>1.41733831308934</v>
      </c>
      <c r="E473">
        <v>1.0871134666311699</v>
      </c>
      <c r="F473">
        <v>0.86227868569024602</v>
      </c>
      <c r="G473">
        <v>0.86517926488237296</v>
      </c>
      <c r="H473">
        <v>0.96805079794005</v>
      </c>
      <c r="I473">
        <v>1.0205883583203801</v>
      </c>
      <c r="J473">
        <v>0.76261602274658802</v>
      </c>
      <c r="K473">
        <v>0.70428344517744701</v>
      </c>
      <c r="L473">
        <v>15000</v>
      </c>
      <c r="M473">
        <v>225.28355554737499</v>
      </c>
      <c r="O473">
        <v>66.577509029977605</v>
      </c>
      <c r="P473">
        <v>-0.25017202098732999</v>
      </c>
      <c r="Q473">
        <v>0.70426905045795996</v>
      </c>
      <c r="R473">
        <v>0.366899903602456</v>
      </c>
      <c r="S473" t="s">
        <v>6784</v>
      </c>
      <c r="T473" t="s">
        <v>12620</v>
      </c>
      <c r="U473" t="s">
        <v>12620</v>
      </c>
      <c r="V473" t="s">
        <v>12620</v>
      </c>
      <c r="W473" t="s">
        <v>13079</v>
      </c>
      <c r="X473">
        <v>2</v>
      </c>
      <c r="Y473" t="s">
        <v>19328</v>
      </c>
      <c r="Z473" t="s">
        <v>25420</v>
      </c>
      <c r="AA473">
        <v>0.96635634213078014</v>
      </c>
      <c r="AB473" t="str">
        <f>HYPERLINK("Melting_Curves/meltCurve_F5H1N7_KIAA1211.pdf", "Melting_Curves/meltCurve_F5H1N7_KIAA1211.pdf")</f>
        <v>Melting_Curves/meltCurve_F5H1N7_KIAA1211.pdf</v>
      </c>
    </row>
    <row r="474" spans="1:28" x14ac:dyDescent="0.25">
      <c r="A474" t="s">
        <v>478</v>
      </c>
      <c r="B474">
        <v>0.99987803227770999</v>
      </c>
      <c r="C474">
        <v>0.86037598937071202</v>
      </c>
      <c r="D474">
        <v>0.92487529495736998</v>
      </c>
      <c r="E474">
        <v>0.79579331142633403</v>
      </c>
      <c r="F474">
        <v>0.93745810608764502</v>
      </c>
      <c r="G474">
        <v>0.81520206692157204</v>
      </c>
      <c r="H474">
        <v>0.90851772422204402</v>
      </c>
      <c r="I474">
        <v>0.82621722420300903</v>
      </c>
      <c r="J474">
        <v>0.76845223129443396</v>
      </c>
      <c r="K474">
        <v>0.64076632018343804</v>
      </c>
      <c r="L474">
        <v>190.06882230444501</v>
      </c>
      <c r="M474">
        <v>1.6913049368352999</v>
      </c>
      <c r="O474">
        <v>59.876981918854199</v>
      </c>
      <c r="P474">
        <v>-7.9922646021666193E-3</v>
      </c>
      <c r="Q474">
        <v>0</v>
      </c>
      <c r="R474">
        <v>0.53155939116122397</v>
      </c>
      <c r="S474" t="s">
        <v>6785</v>
      </c>
      <c r="T474" t="s">
        <v>12620</v>
      </c>
      <c r="U474" t="s">
        <v>12620</v>
      </c>
      <c r="V474" t="s">
        <v>12620</v>
      </c>
      <c r="W474" t="s">
        <v>13080</v>
      </c>
      <c r="X474">
        <v>3</v>
      </c>
      <c r="Y474" t="s">
        <v>19329</v>
      </c>
      <c r="Z474" t="s">
        <v>25421</v>
      </c>
      <c r="AA474">
        <v>0.85115081503020185</v>
      </c>
      <c r="AB474" t="str">
        <f>HYPERLINK("Melting_Curves/meltCurve_F5H1R7_FLJ22184.pdf", "Melting_Curves/meltCurve_F5H1R7_FLJ22184.pdf")</f>
        <v>Melting_Curves/meltCurve_F5H1R7_FLJ22184.pdf</v>
      </c>
    </row>
    <row r="475" spans="1:28" x14ac:dyDescent="0.25">
      <c r="A475" t="s">
        <v>479</v>
      </c>
      <c r="B475">
        <v>0.99987803227770999</v>
      </c>
      <c r="C475">
        <v>1.43641230240991</v>
      </c>
      <c r="D475">
        <v>0.77657503528874305</v>
      </c>
      <c r="E475">
        <v>1.6559148860464099</v>
      </c>
      <c r="F475">
        <v>0.92345929844923802</v>
      </c>
      <c r="G475">
        <v>0.90466498922030503</v>
      </c>
      <c r="H475">
        <v>1.3860863951909199</v>
      </c>
      <c r="I475">
        <v>1.2870228496887901</v>
      </c>
      <c r="J475">
        <v>0.89353033844840202</v>
      </c>
      <c r="K475">
        <v>2.3672761523562702</v>
      </c>
      <c r="L475">
        <v>1615.63511375557</v>
      </c>
      <c r="M475">
        <v>26.106921731528399</v>
      </c>
      <c r="O475">
        <v>61.525639249741197</v>
      </c>
      <c r="P475">
        <v>5.3041338513695503E-2</v>
      </c>
      <c r="Q475">
        <v>1.5</v>
      </c>
      <c r="R475">
        <v>0.132882239064643</v>
      </c>
      <c r="S475" t="s">
        <v>6786</v>
      </c>
      <c r="T475" t="s">
        <v>12620</v>
      </c>
      <c r="U475" t="s">
        <v>12620</v>
      </c>
      <c r="V475" t="s">
        <v>12620</v>
      </c>
      <c r="W475" t="s">
        <v>13081</v>
      </c>
      <c r="X475">
        <v>1</v>
      </c>
      <c r="Y475" t="s">
        <v>19330</v>
      </c>
      <c r="Z475" t="s">
        <v>25422</v>
      </c>
      <c r="AA475">
        <v>1.132797103229001</v>
      </c>
      <c r="AB475" t="str">
        <f>HYPERLINK("Melting_Curves/meltCurve_F5H2A0_C12orf43.pdf", "Melting_Curves/meltCurve_F5H2A0_C12orf43.pdf")</f>
        <v>Melting_Curves/meltCurve_F5H2A0_C12orf43.pdf</v>
      </c>
    </row>
    <row r="476" spans="1:28" x14ac:dyDescent="0.25">
      <c r="A476" t="s">
        <v>480</v>
      </c>
      <c r="B476">
        <v>0.99987803227770999</v>
      </c>
      <c r="C476">
        <v>1.2125968101650799</v>
      </c>
      <c r="D476">
        <v>1.1775053014378101</v>
      </c>
      <c r="E476">
        <v>1.09776318077598</v>
      </c>
      <c r="F476">
        <v>0.93493477773122602</v>
      </c>
      <c r="G476">
        <v>0.62999624655636199</v>
      </c>
      <c r="H476">
        <v>0.142375001929853</v>
      </c>
      <c r="I476">
        <v>8.2859251277034904E-2</v>
      </c>
      <c r="J476">
        <v>5.40696006879927E-2</v>
      </c>
      <c r="K476">
        <v>4.1771209701021501E-2</v>
      </c>
      <c r="L476">
        <v>2184.5055621741899</v>
      </c>
      <c r="M476">
        <v>37.898627272831597</v>
      </c>
      <c r="N476">
        <v>57.793828919381099</v>
      </c>
      <c r="O476">
        <v>57.480984197265499</v>
      </c>
      <c r="P476">
        <v>-0.156960550653759</v>
      </c>
      <c r="Q476">
        <v>4.7752105209644298E-2</v>
      </c>
      <c r="R476">
        <v>0.96166139101395398</v>
      </c>
      <c r="S476" t="s">
        <v>6787</v>
      </c>
      <c r="T476" t="s">
        <v>12620</v>
      </c>
      <c r="U476" t="s">
        <v>12620</v>
      </c>
      <c r="V476" t="s">
        <v>12620</v>
      </c>
      <c r="W476" t="s">
        <v>13082</v>
      </c>
      <c r="X476">
        <v>1</v>
      </c>
      <c r="Y476" t="s">
        <v>19331</v>
      </c>
      <c r="Z476" t="s">
        <v>25423</v>
      </c>
      <c r="AA476">
        <v>0.61183522327161066</v>
      </c>
      <c r="AB476" t="str">
        <f>HYPERLINK("Melting_Curves/meltCurve_F5H2E3_OPHN1.pdf", "Melting_Curves/meltCurve_F5H2E3_OPHN1.pdf")</f>
        <v>Melting_Curves/meltCurve_F5H2E3_OPHN1.pdf</v>
      </c>
    </row>
    <row r="477" spans="1:28" x14ac:dyDescent="0.25">
      <c r="A477" t="s">
        <v>481</v>
      </c>
      <c r="B477">
        <v>0.99987803227770999</v>
      </c>
      <c r="C477">
        <v>0.88006786343606902</v>
      </c>
      <c r="D477">
        <v>0.77117527291125798</v>
      </c>
      <c r="E477">
        <v>0.63836556309026404</v>
      </c>
      <c r="F477">
        <v>0.57411709025522595</v>
      </c>
      <c r="G477">
        <v>0.43658500296210201</v>
      </c>
      <c r="H477">
        <v>0.45886288749231002</v>
      </c>
      <c r="I477">
        <v>0.46502478032456102</v>
      </c>
      <c r="J477">
        <v>0.50604205116103396</v>
      </c>
      <c r="K477">
        <v>0.43635676709163002</v>
      </c>
      <c r="L477">
        <v>689.11598544845401</v>
      </c>
      <c r="M477">
        <v>14.5552394084906</v>
      </c>
      <c r="N477">
        <v>56.186463521473598</v>
      </c>
      <c r="O477">
        <v>46.478121243949197</v>
      </c>
      <c r="P477">
        <v>-4.3112707498891199E-2</v>
      </c>
      <c r="Q477">
        <v>0.44938878983422997</v>
      </c>
      <c r="R477">
        <v>0.97599973917304605</v>
      </c>
      <c r="S477" t="s">
        <v>6788</v>
      </c>
      <c r="T477" t="s">
        <v>12620</v>
      </c>
      <c r="U477" t="s">
        <v>12620</v>
      </c>
      <c r="V477" t="s">
        <v>12620</v>
      </c>
      <c r="W477" t="s">
        <v>13083</v>
      </c>
      <c r="X477">
        <v>10</v>
      </c>
      <c r="Y477" t="s">
        <v>19332</v>
      </c>
      <c r="Z477" t="s">
        <v>25424</v>
      </c>
      <c r="AA477">
        <v>0.59977029501525381</v>
      </c>
      <c r="AB477" t="str">
        <f>HYPERLINK("Melting_Curves/meltCurve_F5H2H5_ANKLE2.pdf", "Melting_Curves/meltCurve_F5H2H5_ANKLE2.pdf")</f>
        <v>Melting_Curves/meltCurve_F5H2H5_ANKLE2.pdf</v>
      </c>
    </row>
    <row r="478" spans="1:28" x14ac:dyDescent="0.25">
      <c r="A478" t="s">
        <v>482</v>
      </c>
      <c r="B478">
        <v>0.99987803227770999</v>
      </c>
      <c r="C478">
        <v>0.81331322581266596</v>
      </c>
      <c r="D478">
        <v>0.87137149802018399</v>
      </c>
      <c r="E478">
        <v>0.65006813074683301</v>
      </c>
      <c r="F478">
        <v>0.78932293163446499</v>
      </c>
      <c r="G478">
        <v>0.61694419710941295</v>
      </c>
      <c r="H478">
        <v>0.64481489532673197</v>
      </c>
      <c r="I478">
        <v>0.63353949213531602</v>
      </c>
      <c r="J478">
        <v>0.62154060293944002</v>
      </c>
      <c r="K478">
        <v>0.50520486858358604</v>
      </c>
      <c r="L478">
        <v>366.80086466698498</v>
      </c>
      <c r="M478">
        <v>7.4425209731338997</v>
      </c>
      <c r="O478">
        <v>46.102072522357901</v>
      </c>
      <c r="P478">
        <v>-1.9069567210215101E-2</v>
      </c>
      <c r="Q478">
        <v>0.52819868050746799</v>
      </c>
      <c r="R478">
        <v>0.80445755327109103</v>
      </c>
      <c r="S478" t="s">
        <v>6789</v>
      </c>
      <c r="T478" t="s">
        <v>12620</v>
      </c>
      <c r="U478" t="s">
        <v>12620</v>
      </c>
      <c r="V478" t="s">
        <v>12620</v>
      </c>
      <c r="W478" t="s">
        <v>13084</v>
      </c>
      <c r="X478">
        <v>5</v>
      </c>
      <c r="Y478" t="s">
        <v>19333</v>
      </c>
      <c r="Z478" t="s">
        <v>25425</v>
      </c>
      <c r="AA478">
        <v>0.70711068969814583</v>
      </c>
      <c r="AB478" t="str">
        <f>HYPERLINK("Melting_Curves/meltCurve_F5H2Q7_KIAA1715.pdf", "Melting_Curves/meltCurve_F5H2Q7_KIAA1715.pdf")</f>
        <v>Melting_Curves/meltCurve_F5H2Q7_KIAA1715.pdf</v>
      </c>
    </row>
    <row r="479" spans="1:28" x14ac:dyDescent="0.25">
      <c r="A479" t="s">
        <v>483</v>
      </c>
      <c r="B479">
        <v>0.99987803227770999</v>
      </c>
      <c r="C479">
        <v>1.0510295102640601</v>
      </c>
      <c r="D479">
        <v>1.0637046548695199</v>
      </c>
      <c r="E479">
        <v>1.1250235762387799</v>
      </c>
      <c r="F479">
        <v>0.80867835310749803</v>
      </c>
      <c r="G479">
        <v>0.56706773906516605</v>
      </c>
      <c r="H479">
        <v>0.59364012931183596</v>
      </c>
      <c r="I479">
        <v>0.53657252518706799</v>
      </c>
      <c r="J479">
        <v>0.53624347277333795</v>
      </c>
      <c r="K479">
        <v>0.42659557858798203</v>
      </c>
      <c r="L479">
        <v>13269.5471605813</v>
      </c>
      <c r="M479">
        <v>250</v>
      </c>
      <c r="O479">
        <v>53.074792046340903</v>
      </c>
      <c r="P479">
        <v>-0.55108096267944295</v>
      </c>
      <c r="Q479">
        <v>0.532023881124009</v>
      </c>
      <c r="R479">
        <v>0.94035021805658103</v>
      </c>
      <c r="S479" t="s">
        <v>6790</v>
      </c>
      <c r="T479" t="s">
        <v>12620</v>
      </c>
      <c r="U479" t="s">
        <v>12620</v>
      </c>
      <c r="V479" t="s">
        <v>12620</v>
      </c>
      <c r="W479" t="s">
        <v>13085</v>
      </c>
      <c r="X479">
        <v>13</v>
      </c>
      <c r="Y479" t="s">
        <v>19334</v>
      </c>
      <c r="Z479" t="s">
        <v>25426</v>
      </c>
      <c r="AA479">
        <v>0.73607680584441704</v>
      </c>
      <c r="AB479" t="str">
        <f>HYPERLINK("Melting_Curves/meltCurve_F5H2U2_PRPF4B.pdf", "Melting_Curves/meltCurve_F5H2U2_PRPF4B.pdf")</f>
        <v>Melting_Curves/meltCurve_F5H2U2_PRPF4B.pdf</v>
      </c>
    </row>
    <row r="480" spans="1:28" x14ac:dyDescent="0.25">
      <c r="A480" t="s">
        <v>484</v>
      </c>
      <c r="B480">
        <v>0.99987803227770999</v>
      </c>
      <c r="C480">
        <v>0.69409978053125698</v>
      </c>
      <c r="D480">
        <v>1.1275290519925301</v>
      </c>
      <c r="E480">
        <v>0.71843308746234202</v>
      </c>
      <c r="F480">
        <v>1.2727650750147199</v>
      </c>
      <c r="G480">
        <v>1.10723756858723</v>
      </c>
      <c r="H480">
        <v>1.1140143356213399</v>
      </c>
      <c r="I480">
        <v>1.0344861181559599</v>
      </c>
      <c r="J480">
        <v>1.35878581167311</v>
      </c>
      <c r="K480">
        <v>1.09930361272</v>
      </c>
      <c r="L480">
        <v>12890.0289463718</v>
      </c>
      <c r="M480">
        <v>250</v>
      </c>
      <c r="O480">
        <v>51.556815514682803</v>
      </c>
      <c r="P480">
        <v>0.19932296820828599</v>
      </c>
      <c r="Q480">
        <v>1.1644233222448499</v>
      </c>
      <c r="R480">
        <v>0.336003817204861</v>
      </c>
      <c r="S480" t="s">
        <v>6791</v>
      </c>
      <c r="T480" t="s">
        <v>12620</v>
      </c>
      <c r="U480" t="s">
        <v>12620</v>
      </c>
      <c r="V480" t="s">
        <v>12620</v>
      </c>
      <c r="W480" t="s">
        <v>13086</v>
      </c>
      <c r="X480">
        <v>3</v>
      </c>
      <c r="Y480" t="s">
        <v>19335</v>
      </c>
      <c r="Z480" t="s">
        <v>25427</v>
      </c>
      <c r="AA480">
        <v>1.1010500226058491</v>
      </c>
      <c r="AB480" t="str">
        <f>HYPERLINK("Melting_Curves/meltCurve_F5H2U8_HMGA2.pdf", "Melting_Curves/meltCurve_F5H2U8_HMGA2.pdf")</f>
        <v>Melting_Curves/meltCurve_F5H2U8_HMGA2.pdf</v>
      </c>
    </row>
    <row r="481" spans="1:28" x14ac:dyDescent="0.25">
      <c r="A481" t="s">
        <v>485</v>
      </c>
      <c r="B481">
        <v>0.99987803227770999</v>
      </c>
      <c r="C481">
        <v>0.85204282733427605</v>
      </c>
      <c r="D481">
        <v>1.0915714529100999</v>
      </c>
      <c r="E481">
        <v>0.79715980640968098</v>
      </c>
      <c r="F481">
        <v>0.70106635861708</v>
      </c>
      <c r="G481">
        <v>0.45519303300789499</v>
      </c>
      <c r="H481">
        <v>0.35733706527911302</v>
      </c>
      <c r="I481">
        <v>0.440632179659394</v>
      </c>
      <c r="J481">
        <v>0.39222384759707002</v>
      </c>
      <c r="K481">
        <v>0.39787955476352499</v>
      </c>
      <c r="L481">
        <v>1246.43958316161</v>
      </c>
      <c r="M481">
        <v>23.751296680831999</v>
      </c>
      <c r="N481">
        <v>56.023147926555602</v>
      </c>
      <c r="O481">
        <v>52.111031570478097</v>
      </c>
      <c r="P481">
        <v>-6.9652752092388998E-2</v>
      </c>
      <c r="Q481">
        <v>0.38872946385735901</v>
      </c>
      <c r="R481">
        <v>0.93554569002473698</v>
      </c>
      <c r="S481" t="s">
        <v>6792</v>
      </c>
      <c r="T481" t="s">
        <v>12620</v>
      </c>
      <c r="U481" t="s">
        <v>12620</v>
      </c>
      <c r="V481" t="s">
        <v>12620</v>
      </c>
      <c r="W481" t="s">
        <v>13087</v>
      </c>
      <c r="X481">
        <v>1</v>
      </c>
      <c r="Y481" t="s">
        <v>19336</v>
      </c>
      <c r="Z481" t="s">
        <v>25428</v>
      </c>
      <c r="AA481">
        <v>0.64916831790365703</v>
      </c>
      <c r="AB481" t="str">
        <f>HYPERLINK("Melting_Curves/meltCurve_F5H2X0_TJP3.pdf", "Melting_Curves/meltCurve_F5H2X0_TJP3.pdf")</f>
        <v>Melting_Curves/meltCurve_F5H2X0_TJP3.pdf</v>
      </c>
    </row>
    <row r="482" spans="1:28" x14ac:dyDescent="0.25">
      <c r="A482" t="s">
        <v>486</v>
      </c>
      <c r="B482">
        <v>0.99987803227770999</v>
      </c>
      <c r="C482">
        <v>0.87046044862066496</v>
      </c>
      <c r="D482">
        <v>1.0469896959944001</v>
      </c>
      <c r="E482">
        <v>0.69151179664382001</v>
      </c>
      <c r="F482">
        <v>0.74941272922372604</v>
      </c>
      <c r="G482">
        <v>0.56881863841759395</v>
      </c>
      <c r="H482">
        <v>0.54612800370874803</v>
      </c>
      <c r="I482">
        <v>0.56982928319971804</v>
      </c>
      <c r="J482">
        <v>0.46331082715969202</v>
      </c>
      <c r="K482">
        <v>0.37325398269031201</v>
      </c>
      <c r="L482">
        <v>498.54254036602703</v>
      </c>
      <c r="M482">
        <v>9.1829340158965298</v>
      </c>
      <c r="N482">
        <v>63.122137686240599</v>
      </c>
      <c r="O482">
        <v>51.9015591328223</v>
      </c>
      <c r="P482">
        <v>-2.82544746136601E-2</v>
      </c>
      <c r="Q482">
        <v>0.361657039820385</v>
      </c>
      <c r="R482">
        <v>0.88218730501432696</v>
      </c>
      <c r="S482" t="s">
        <v>6793</v>
      </c>
      <c r="T482" t="s">
        <v>12620</v>
      </c>
      <c r="U482" t="s">
        <v>12620</v>
      </c>
      <c r="V482" t="s">
        <v>12620</v>
      </c>
      <c r="W482" t="s">
        <v>13088</v>
      </c>
      <c r="X482">
        <v>3</v>
      </c>
      <c r="Y482" t="s">
        <v>19337</v>
      </c>
      <c r="Z482" t="s">
        <v>25429</v>
      </c>
      <c r="AA482">
        <v>0.68511136242921267</v>
      </c>
      <c r="AB482" t="str">
        <f>HYPERLINK("Melting_Curves/meltCurve_F5H315_XAB2.pdf", "Melting_Curves/meltCurve_F5H315_XAB2.pdf")</f>
        <v>Melting_Curves/meltCurve_F5H315_XAB2.pdf</v>
      </c>
    </row>
    <row r="483" spans="1:28" x14ac:dyDescent="0.25">
      <c r="A483" t="s">
        <v>487</v>
      </c>
      <c r="B483">
        <v>0.99987803227770999</v>
      </c>
      <c r="C483">
        <v>1.10480925910617</v>
      </c>
      <c r="D483">
        <v>0.95267864851779305</v>
      </c>
      <c r="E483">
        <v>0.91599912542907402</v>
      </c>
      <c r="F483">
        <v>0.35927729481168802</v>
      </c>
      <c r="G483">
        <v>0.20533311482657601</v>
      </c>
      <c r="H483">
        <v>0.171352746850441</v>
      </c>
      <c r="I483">
        <v>0.149832579118476</v>
      </c>
      <c r="J483">
        <v>0.111993192388516</v>
      </c>
      <c r="K483">
        <v>7.4739983641025798E-2</v>
      </c>
      <c r="L483">
        <v>2795.7353309922401</v>
      </c>
      <c r="M483">
        <v>53.786244155129502</v>
      </c>
      <c r="N483">
        <v>52.298702380086603</v>
      </c>
      <c r="O483">
        <v>51.906926811001497</v>
      </c>
      <c r="P483">
        <v>-0.22272174849645901</v>
      </c>
      <c r="Q483">
        <v>0.14024157201361401</v>
      </c>
      <c r="R483">
        <v>0.98634547191212996</v>
      </c>
      <c r="S483" t="s">
        <v>6794</v>
      </c>
      <c r="T483" t="s">
        <v>12620</v>
      </c>
      <c r="U483" t="s">
        <v>12620</v>
      </c>
      <c r="V483" t="s">
        <v>12620</v>
      </c>
      <c r="W483" t="s">
        <v>13089</v>
      </c>
      <c r="X483">
        <v>19</v>
      </c>
      <c r="Y483" t="s">
        <v>19338</v>
      </c>
      <c r="Z483" t="s">
        <v>25430</v>
      </c>
      <c r="AA483">
        <v>0.48523467443183782</v>
      </c>
      <c r="AB483" t="str">
        <f>HYPERLINK("Melting_Curves/meltCurve_F5H365_SEC23A.pdf", "Melting_Curves/meltCurve_F5H365_SEC23A.pdf")</f>
        <v>Melting_Curves/meltCurve_F5H365_SEC23A.pdf</v>
      </c>
    </row>
    <row r="484" spans="1:28" x14ac:dyDescent="0.25">
      <c r="A484" t="s">
        <v>488</v>
      </c>
      <c r="B484">
        <v>0.99987803227770999</v>
      </c>
      <c r="C484">
        <v>0.99325628866513205</v>
      </c>
      <c r="D484">
        <v>0.94812226726053095</v>
      </c>
      <c r="E484">
        <v>0.89893942836797602</v>
      </c>
      <c r="F484">
        <v>0.52085470344831397</v>
      </c>
      <c r="G484">
        <v>0.241204486682187</v>
      </c>
      <c r="H484">
        <v>0.15505190801119001</v>
      </c>
      <c r="I484">
        <v>0.12919702262385899</v>
      </c>
      <c r="J484">
        <v>0.10690380578013201</v>
      </c>
      <c r="K484">
        <v>6.7812067508302404E-2</v>
      </c>
      <c r="L484">
        <v>1468.1972616370001</v>
      </c>
      <c r="M484">
        <v>27.706496539672699</v>
      </c>
      <c r="N484">
        <v>53.461996050361201</v>
      </c>
      <c r="O484">
        <v>52.717336238072797</v>
      </c>
      <c r="P484">
        <v>-0.117166351646706</v>
      </c>
      <c r="Q484">
        <v>0.108275166677878</v>
      </c>
      <c r="R484">
        <v>0.99520283600542203</v>
      </c>
      <c r="S484" t="s">
        <v>6795</v>
      </c>
      <c r="T484" t="s">
        <v>12620</v>
      </c>
      <c r="U484" t="s">
        <v>12620</v>
      </c>
      <c r="V484" t="s">
        <v>12620</v>
      </c>
      <c r="W484" t="s">
        <v>13090</v>
      </c>
      <c r="X484">
        <v>3</v>
      </c>
      <c r="Y484" t="s">
        <v>19339</v>
      </c>
      <c r="Z484" t="s">
        <v>25431</v>
      </c>
      <c r="AA484">
        <v>0.50117379053990929</v>
      </c>
      <c r="AB484" t="str">
        <f>HYPERLINK("Melting_Curves/meltCurve_F5H476_ANGEL2.pdf", "Melting_Curves/meltCurve_F5H476_ANGEL2.pdf")</f>
        <v>Melting_Curves/meltCurve_F5H476_ANGEL2.pdf</v>
      </c>
    </row>
    <row r="485" spans="1:28" x14ac:dyDescent="0.25">
      <c r="A485" t="s">
        <v>489</v>
      </c>
      <c r="B485">
        <v>0.99987803227770999</v>
      </c>
      <c r="C485">
        <v>1.0068904265163501</v>
      </c>
      <c r="D485">
        <v>0.78558919156742701</v>
      </c>
      <c r="E485">
        <v>0.67492961208079405</v>
      </c>
      <c r="F485">
        <v>0.379488834396213</v>
      </c>
      <c r="G485">
        <v>0.169573383317486</v>
      </c>
      <c r="H485">
        <v>0.11388237745759</v>
      </c>
      <c r="I485">
        <v>0.14632121477531199</v>
      </c>
      <c r="J485">
        <v>0.13241720562768899</v>
      </c>
      <c r="K485">
        <v>7.1920327506548698E-2</v>
      </c>
      <c r="L485">
        <v>876.15029492511201</v>
      </c>
      <c r="M485">
        <v>17.223120067205802</v>
      </c>
      <c r="N485">
        <v>51.429811951321497</v>
      </c>
      <c r="O485">
        <v>50.199671516944797</v>
      </c>
      <c r="P485">
        <v>-7.84533538578117E-2</v>
      </c>
      <c r="Q485">
        <v>8.5392223854441299E-2</v>
      </c>
      <c r="R485">
        <v>0.985821373802789</v>
      </c>
      <c r="S485" t="s">
        <v>6796</v>
      </c>
      <c r="T485" t="s">
        <v>12620</v>
      </c>
      <c r="U485" t="s">
        <v>12620</v>
      </c>
      <c r="V485" t="s">
        <v>12620</v>
      </c>
      <c r="W485" t="s">
        <v>13091</v>
      </c>
      <c r="X485">
        <v>1</v>
      </c>
      <c r="Y485" t="s">
        <v>19340</v>
      </c>
      <c r="Z485" t="s">
        <v>25432</v>
      </c>
      <c r="AA485">
        <v>0.43351275687060709</v>
      </c>
      <c r="AB485" t="str">
        <f>HYPERLINK("Melting_Curves/meltCurve_F5H4B1_PRAME.pdf", "Melting_Curves/meltCurve_F5H4B1_PRAME.pdf")</f>
        <v>Melting_Curves/meltCurve_F5H4B1_PRAME.pdf</v>
      </c>
    </row>
    <row r="486" spans="1:28" x14ac:dyDescent="0.25">
      <c r="A486" t="s">
        <v>490</v>
      </c>
      <c r="B486">
        <v>0.99987803227770999</v>
      </c>
      <c r="C486">
        <v>1.1853265527086201</v>
      </c>
      <c r="D486">
        <v>0.88297797132573597</v>
      </c>
      <c r="E486">
        <v>0.69937549541544497</v>
      </c>
      <c r="F486">
        <v>0.196339867765911</v>
      </c>
      <c r="G486">
        <v>0.13973368274237999</v>
      </c>
      <c r="H486">
        <v>0.10198308457909901</v>
      </c>
      <c r="I486">
        <v>8.4131453098665501E-2</v>
      </c>
      <c r="J486">
        <v>7.80480870938247E-2</v>
      </c>
      <c r="K486">
        <v>5.68558612922095E-2</v>
      </c>
      <c r="L486">
        <v>2133.1863406941802</v>
      </c>
      <c r="M486">
        <v>42.029578714948201</v>
      </c>
      <c r="N486">
        <v>50.9865004883277</v>
      </c>
      <c r="O486">
        <v>50.639913782720697</v>
      </c>
      <c r="P486">
        <v>-0.189426727149204</v>
      </c>
      <c r="Q486">
        <v>8.7068045223864896E-2</v>
      </c>
      <c r="R486">
        <v>0.97253786803318398</v>
      </c>
      <c r="S486" t="s">
        <v>6797</v>
      </c>
      <c r="T486" t="s">
        <v>12620</v>
      </c>
      <c r="U486" t="s">
        <v>12620</v>
      </c>
      <c r="V486" t="s">
        <v>12620</v>
      </c>
      <c r="W486" t="s">
        <v>13092</v>
      </c>
      <c r="X486">
        <v>13</v>
      </c>
      <c r="Y486" t="s">
        <v>19341</v>
      </c>
      <c r="Z486" t="s">
        <v>25433</v>
      </c>
      <c r="AA486">
        <v>0.41723503375525789</v>
      </c>
      <c r="AB486" t="str">
        <f>HYPERLINK("Melting_Curves/meltCurve_F5H4G7_KPNA6.pdf", "Melting_Curves/meltCurve_F5H4G7_KPNA6.pdf")</f>
        <v>Melting_Curves/meltCurve_F5H4G7_KPNA6.pdf</v>
      </c>
    </row>
    <row r="487" spans="1:28" x14ac:dyDescent="0.25">
      <c r="A487" t="s">
        <v>491</v>
      </c>
      <c r="B487">
        <v>0.99987803227770999</v>
      </c>
      <c r="C487">
        <v>0.70564742298125405</v>
      </c>
      <c r="D487">
        <v>0.93166013666758796</v>
      </c>
      <c r="E487">
        <v>0.70233565821486998</v>
      </c>
      <c r="F487">
        <v>0.96067982519671702</v>
      </c>
      <c r="G487">
        <v>0.57493716774755999</v>
      </c>
      <c r="H487">
        <v>0.838519851641787</v>
      </c>
      <c r="I487">
        <v>0.75142679849036398</v>
      </c>
      <c r="J487">
        <v>1.0251869565140499</v>
      </c>
      <c r="K487">
        <v>0.88581199535156596</v>
      </c>
      <c r="L487">
        <v>10233.9153895908</v>
      </c>
      <c r="M487">
        <v>250</v>
      </c>
      <c r="O487">
        <v>40.933030488022801</v>
      </c>
      <c r="P487">
        <v>-0.27548271471632402</v>
      </c>
      <c r="Q487">
        <v>0.81957847171329201</v>
      </c>
      <c r="R487">
        <v>0.14630492940516401</v>
      </c>
      <c r="S487" t="s">
        <v>6798</v>
      </c>
      <c r="T487" t="s">
        <v>12620</v>
      </c>
      <c r="U487" t="s">
        <v>12620</v>
      </c>
      <c r="V487" t="s">
        <v>12620</v>
      </c>
      <c r="W487" t="s">
        <v>13093</v>
      </c>
      <c r="X487">
        <v>2</v>
      </c>
      <c r="Y487" t="s">
        <v>19342</v>
      </c>
      <c r="Z487" t="s">
        <v>25434</v>
      </c>
      <c r="AA487">
        <v>0.82522123844517936</v>
      </c>
      <c r="AB487" t="str">
        <f>HYPERLINK("Melting_Curves/meltCurve_F5H4J2_PEX14.pdf", "Melting_Curves/meltCurve_F5H4J2_PEX14.pdf")</f>
        <v>Melting_Curves/meltCurve_F5H4J2_PEX14.pdf</v>
      </c>
    </row>
    <row r="488" spans="1:28" x14ac:dyDescent="0.25">
      <c r="A488" t="s">
        <v>492</v>
      </c>
      <c r="B488">
        <v>0.99987803227770999</v>
      </c>
      <c r="C488">
        <v>1.0548475379081399</v>
      </c>
      <c r="D488">
        <v>1.0847552826736999</v>
      </c>
      <c r="E488">
        <v>0.91285204944863296</v>
      </c>
      <c r="F488">
        <v>0.77458075207045796</v>
      </c>
      <c r="G488">
        <v>0.60561590461022696</v>
      </c>
      <c r="H488">
        <v>0.56659346867453597</v>
      </c>
      <c r="I488">
        <v>0.52477810644606804</v>
      </c>
      <c r="J488">
        <v>0.46948754249531899</v>
      </c>
      <c r="K488">
        <v>0.43508589544301501</v>
      </c>
      <c r="L488">
        <v>1095.21053359298</v>
      </c>
      <c r="M488">
        <v>20.2149866040441</v>
      </c>
      <c r="N488">
        <v>63.270545143155701</v>
      </c>
      <c r="O488">
        <v>53.656320901290201</v>
      </c>
      <c r="P488">
        <v>-4.96734706608545E-2</v>
      </c>
      <c r="Q488">
        <v>0.47262640761375202</v>
      </c>
      <c r="R488">
        <v>0.96806205810641299</v>
      </c>
      <c r="S488" t="s">
        <v>6799</v>
      </c>
      <c r="T488" t="s">
        <v>12620</v>
      </c>
      <c r="U488" t="s">
        <v>12620</v>
      </c>
      <c r="V488" t="s">
        <v>12620</v>
      </c>
      <c r="W488" t="s">
        <v>13094</v>
      </c>
      <c r="X488">
        <v>1</v>
      </c>
      <c r="Y488" t="s">
        <v>19343</v>
      </c>
      <c r="Z488" t="s">
        <v>25435</v>
      </c>
      <c r="AA488">
        <v>0.72889145573954894</v>
      </c>
      <c r="AB488" t="str">
        <f>HYPERLINK("Melting_Curves/meltCurve_F5H4Q5_VPS37C.pdf", "Melting_Curves/meltCurve_F5H4Q5_VPS37C.pdf")</f>
        <v>Melting_Curves/meltCurve_F5H4Q5_VPS37C.pdf</v>
      </c>
    </row>
    <row r="489" spans="1:28" x14ac:dyDescent="0.25">
      <c r="A489" t="s">
        <v>493</v>
      </c>
      <c r="B489">
        <v>0.99987803227770999</v>
      </c>
      <c r="C489">
        <v>1.0436789428404001</v>
      </c>
      <c r="D489">
        <v>0.96639644541467296</v>
      </c>
      <c r="E489">
        <v>0.73956425339549703</v>
      </c>
      <c r="F489">
        <v>0.48919513665557202</v>
      </c>
      <c r="G489">
        <v>0.29519078010104</v>
      </c>
      <c r="H489">
        <v>0.18320531232366699</v>
      </c>
      <c r="I489">
        <v>0.20559381526783899</v>
      </c>
      <c r="J489">
        <v>0.135001283484246</v>
      </c>
      <c r="K489">
        <v>8.9985202982730897E-2</v>
      </c>
      <c r="L489">
        <v>1018.63966613513</v>
      </c>
      <c r="M489">
        <v>19.4896177552992</v>
      </c>
      <c r="N489">
        <v>53.099750457425998</v>
      </c>
      <c r="O489">
        <v>51.724859195036501</v>
      </c>
      <c r="P489">
        <v>-8.1781613116643295E-2</v>
      </c>
      <c r="Q489">
        <v>0.13184789587382401</v>
      </c>
      <c r="R489">
        <v>0.993079061702004</v>
      </c>
      <c r="S489" t="s">
        <v>6800</v>
      </c>
      <c r="T489" t="s">
        <v>12620</v>
      </c>
      <c r="U489" t="s">
        <v>12620</v>
      </c>
      <c r="V489" t="s">
        <v>12620</v>
      </c>
      <c r="W489" t="s">
        <v>13095</v>
      </c>
      <c r="X489">
        <v>4</v>
      </c>
      <c r="Y489" t="s">
        <v>19344</v>
      </c>
      <c r="Z489" t="s">
        <v>25436</v>
      </c>
      <c r="AA489">
        <v>0.49935721314589598</v>
      </c>
      <c r="AB489" t="str">
        <f>HYPERLINK("Melting_Curves/meltCurve_F5H4V9_PDCD2.pdf", "Melting_Curves/meltCurve_F5H4V9_PDCD2.pdf")</f>
        <v>Melting_Curves/meltCurve_F5H4V9_PDCD2.pdf</v>
      </c>
    </row>
    <row r="490" spans="1:28" x14ac:dyDescent="0.25">
      <c r="A490" t="s">
        <v>494</v>
      </c>
      <c r="B490">
        <v>0.99987803227770999</v>
      </c>
      <c r="C490">
        <v>1.2549766514434699</v>
      </c>
      <c r="D490">
        <v>0.98362020324188204</v>
      </c>
      <c r="E490">
        <v>1.0459486760174801</v>
      </c>
      <c r="F490">
        <v>0.68094094189287901</v>
      </c>
      <c r="G490">
        <v>0.69899197969871396</v>
      </c>
      <c r="H490">
        <v>0.52013508268334496</v>
      </c>
      <c r="I490">
        <v>0.62430316799380503</v>
      </c>
      <c r="J490">
        <v>0.34039747029428902</v>
      </c>
      <c r="K490">
        <v>0.249713425857297</v>
      </c>
      <c r="L490">
        <v>592.16899881616598</v>
      </c>
      <c r="M490">
        <v>9.4970409345284104</v>
      </c>
      <c r="N490">
        <v>62.932054039823399</v>
      </c>
      <c r="O490">
        <v>59.7761453059654</v>
      </c>
      <c r="P490">
        <v>-3.80799303986009E-2</v>
      </c>
      <c r="Q490">
        <v>4.1838632126139898E-2</v>
      </c>
      <c r="R490">
        <v>0.84376515211046099</v>
      </c>
      <c r="S490" t="s">
        <v>6801</v>
      </c>
      <c r="T490" t="s">
        <v>12620</v>
      </c>
      <c r="U490" t="s">
        <v>12620</v>
      </c>
      <c r="V490" t="s">
        <v>12620</v>
      </c>
      <c r="W490" t="s">
        <v>13096</v>
      </c>
      <c r="X490">
        <v>1</v>
      </c>
      <c r="Y490" t="s">
        <v>19345</v>
      </c>
      <c r="Z490" t="s">
        <v>25437</v>
      </c>
      <c r="AA490">
        <v>0.72886884737226221</v>
      </c>
      <c r="AB490" t="str">
        <f>HYPERLINK("Melting_Curves/meltCurve_F5H4W9_PON1.pdf", "Melting_Curves/meltCurve_F5H4W9_PON1.pdf")</f>
        <v>Melting_Curves/meltCurve_F5H4W9_PON1.pdf</v>
      </c>
    </row>
    <row r="491" spans="1:28" x14ac:dyDescent="0.25">
      <c r="A491" t="s">
        <v>495</v>
      </c>
      <c r="B491">
        <v>0.99987803227770999</v>
      </c>
      <c r="C491">
        <v>0.97446031234217101</v>
      </c>
      <c r="D491">
        <v>0.98738790010845301</v>
      </c>
      <c r="E491">
        <v>0.94457358699109295</v>
      </c>
      <c r="F491">
        <v>1.0374588785726999</v>
      </c>
      <c r="G491">
        <v>0.86864292055316195</v>
      </c>
      <c r="H491">
        <v>0.820084412819859</v>
      </c>
      <c r="I491">
        <v>0.97963711041991897</v>
      </c>
      <c r="J491">
        <v>0.73469419392170798</v>
      </c>
      <c r="K491">
        <v>0.67285577956002096</v>
      </c>
      <c r="L491">
        <v>593.41899890288596</v>
      </c>
      <c r="M491">
        <v>7.6578868009196697</v>
      </c>
      <c r="Q491">
        <v>0</v>
      </c>
      <c r="R491">
        <v>0.71387436939131999</v>
      </c>
      <c r="S491" t="s">
        <v>6802</v>
      </c>
      <c r="T491" t="s">
        <v>12620</v>
      </c>
      <c r="U491" t="s">
        <v>12620</v>
      </c>
      <c r="V491" t="s">
        <v>12620</v>
      </c>
      <c r="W491" t="s">
        <v>13097</v>
      </c>
      <c r="X491">
        <v>1</v>
      </c>
      <c r="Y491" t="s">
        <v>19346</v>
      </c>
      <c r="Z491" t="s">
        <v>25438</v>
      </c>
      <c r="AA491">
        <v>0.91889122321186545</v>
      </c>
      <c r="AB491" t="str">
        <f>HYPERLINK("Melting_Curves/meltCurve_F5H555_CASC1.pdf", "Melting_Curves/meltCurve_F5H555_CASC1.pdf")</f>
        <v>Melting_Curves/meltCurve_F5H555_CASC1.pdf</v>
      </c>
    </row>
    <row r="492" spans="1:28" x14ac:dyDescent="0.25">
      <c r="A492" t="s">
        <v>496</v>
      </c>
      <c r="B492">
        <v>0.99987803227770999</v>
      </c>
      <c r="C492">
        <v>1.1288240458843599</v>
      </c>
      <c r="D492">
        <v>1.04731968533023</v>
      </c>
      <c r="E492">
        <v>0.89333642028945903</v>
      </c>
      <c r="F492">
        <v>0.92121768740767596</v>
      </c>
      <c r="G492">
        <v>0.61615012675754</v>
      </c>
      <c r="H492">
        <v>0.63467122394903897</v>
      </c>
      <c r="I492">
        <v>0.72428403610002401</v>
      </c>
      <c r="J492">
        <v>0.53761886078184096</v>
      </c>
      <c r="K492">
        <v>0.40929854478514399</v>
      </c>
      <c r="L492">
        <v>703.76071983056102</v>
      </c>
      <c r="M492">
        <v>12.158445110776899</v>
      </c>
      <c r="N492">
        <v>69.906831394027606</v>
      </c>
      <c r="O492">
        <v>56.383403179745997</v>
      </c>
      <c r="P492">
        <v>-3.0291343447155301E-2</v>
      </c>
      <c r="Q492">
        <v>0.43823810565739901</v>
      </c>
      <c r="R492">
        <v>0.852972928214347</v>
      </c>
      <c r="S492" t="s">
        <v>6803</v>
      </c>
      <c r="T492" t="s">
        <v>12620</v>
      </c>
      <c r="U492" t="s">
        <v>12620</v>
      </c>
      <c r="V492" t="s">
        <v>12620</v>
      </c>
      <c r="W492" t="s">
        <v>12870</v>
      </c>
      <c r="X492">
        <v>1</v>
      </c>
      <c r="Z492" t="s">
        <v>25439</v>
      </c>
      <c r="AA492">
        <v>0.78058091433545784</v>
      </c>
      <c r="AB492" t="str">
        <f>HYPERLINK("Melting_Curves/meltCurve_F5H5K5_.pdf", "Melting_Curves/meltCurve_F5H5K5_.pdf")</f>
        <v>Melting_Curves/meltCurve_F5H5K5_.pdf</v>
      </c>
    </row>
    <row r="493" spans="1:28" x14ac:dyDescent="0.25">
      <c r="A493" t="s">
        <v>497</v>
      </c>
      <c r="B493">
        <v>0.99987803227770999</v>
      </c>
      <c r="C493">
        <v>0.88922536320838597</v>
      </c>
      <c r="D493">
        <v>0.902318751106712</v>
      </c>
      <c r="E493">
        <v>0.87091416972499203</v>
      </c>
      <c r="F493">
        <v>1.03755803364315</v>
      </c>
      <c r="G493">
        <v>0.92627590275704796</v>
      </c>
      <c r="H493">
        <v>0.77318741425539095</v>
      </c>
      <c r="I493">
        <v>0.94840443911045202</v>
      </c>
      <c r="J493">
        <v>0.65009223325196697</v>
      </c>
      <c r="K493">
        <v>0.484210816026446</v>
      </c>
      <c r="L493">
        <v>1004.39249248286</v>
      </c>
      <c r="M493">
        <v>14.298980626465299</v>
      </c>
      <c r="O493">
        <v>68.911226382794098</v>
      </c>
      <c r="P493">
        <v>-5.1880952551621201E-2</v>
      </c>
      <c r="Q493">
        <v>0</v>
      </c>
      <c r="R493">
        <v>0.69179588277245196</v>
      </c>
      <c r="S493" t="s">
        <v>6804</v>
      </c>
      <c r="T493" t="s">
        <v>12620</v>
      </c>
      <c r="U493" t="s">
        <v>12620</v>
      </c>
      <c r="V493" t="s">
        <v>12620</v>
      </c>
      <c r="W493" t="s">
        <v>13098</v>
      </c>
      <c r="X493">
        <v>1</v>
      </c>
      <c r="Y493" t="s">
        <v>19347</v>
      </c>
      <c r="Z493" t="s">
        <v>25440</v>
      </c>
      <c r="AA493">
        <v>0.90594129279654467</v>
      </c>
      <c r="AB493" t="str">
        <f>HYPERLINK("Melting_Curves/meltCurve_F5H5M7_IFNGR1.pdf", "Melting_Curves/meltCurve_F5H5M7_IFNGR1.pdf")</f>
        <v>Melting_Curves/meltCurve_F5H5M7_IFNGR1.pdf</v>
      </c>
    </row>
    <row r="494" spans="1:28" x14ac:dyDescent="0.25">
      <c r="A494" t="s">
        <v>498</v>
      </c>
      <c r="B494">
        <v>0.99987803227770999</v>
      </c>
      <c r="C494">
        <v>1.1227370861669099</v>
      </c>
      <c r="D494">
        <v>1.3778338903870699</v>
      </c>
      <c r="E494">
        <v>2.0035775730385401</v>
      </c>
      <c r="F494">
        <v>1.8937906891779199</v>
      </c>
      <c r="G494">
        <v>0.59108608851842204</v>
      </c>
      <c r="H494">
        <v>0.23634111354157999</v>
      </c>
      <c r="I494">
        <v>0.19292951828027</v>
      </c>
      <c r="J494">
        <v>0.12306447080579</v>
      </c>
      <c r="K494">
        <v>7.5252563855484997E-2</v>
      </c>
      <c r="L494">
        <v>14253.4186291776</v>
      </c>
      <c r="M494">
        <v>250</v>
      </c>
      <c r="N494">
        <v>57.099684064537399</v>
      </c>
      <c r="O494">
        <v>57.010031855657701</v>
      </c>
      <c r="P494">
        <v>-0.92429258420428395</v>
      </c>
      <c r="Q494">
        <v>0.156896892445789</v>
      </c>
      <c r="R494">
        <v>0.58751099386807903</v>
      </c>
      <c r="S494" t="s">
        <v>6805</v>
      </c>
      <c r="T494" t="s">
        <v>12620</v>
      </c>
      <c r="U494" t="s">
        <v>12620</v>
      </c>
      <c r="V494" t="s">
        <v>12620</v>
      </c>
      <c r="W494" t="s">
        <v>13099</v>
      </c>
      <c r="X494">
        <v>1</v>
      </c>
      <c r="Y494" t="s">
        <v>19348</v>
      </c>
      <c r="Z494" t="s">
        <v>25441</v>
      </c>
      <c r="AA494">
        <v>0.6351239802823011</v>
      </c>
      <c r="AB494" t="str">
        <f>HYPERLINK("Melting_Curves/meltCurve_F5H5X7_CLEC4E.pdf", "Melting_Curves/meltCurve_F5H5X7_CLEC4E.pdf")</f>
        <v>Melting_Curves/meltCurve_F5H5X7_CLEC4E.pdf</v>
      </c>
    </row>
    <row r="495" spans="1:28" x14ac:dyDescent="0.25">
      <c r="A495" t="s">
        <v>499</v>
      </c>
      <c r="B495">
        <v>0.99987803227770999</v>
      </c>
      <c r="C495">
        <v>0.96511730758093295</v>
      </c>
      <c r="D495">
        <v>1.04510115939875</v>
      </c>
      <c r="E495">
        <v>0.84503394708177204</v>
      </c>
      <c r="F495">
        <v>0.59594659659193305</v>
      </c>
      <c r="G495">
        <v>0.28057009691784401</v>
      </c>
      <c r="H495">
        <v>0.18304921055265599</v>
      </c>
      <c r="I495">
        <v>0.147322071445735</v>
      </c>
      <c r="J495">
        <v>0.134258571626758</v>
      </c>
      <c r="K495">
        <v>0.107277659263267</v>
      </c>
      <c r="L495">
        <v>1281.524333955</v>
      </c>
      <c r="M495">
        <v>24.017076573242001</v>
      </c>
      <c r="N495">
        <v>54.010381116548999</v>
      </c>
      <c r="O495">
        <v>52.993080583664103</v>
      </c>
      <c r="P495">
        <v>-9.9055708220921398E-2</v>
      </c>
      <c r="Q495">
        <v>0.12575798439083899</v>
      </c>
      <c r="R495">
        <v>0.99589083684814805</v>
      </c>
      <c r="S495" t="s">
        <v>6806</v>
      </c>
      <c r="T495" t="s">
        <v>12620</v>
      </c>
      <c r="U495" t="s">
        <v>12620</v>
      </c>
      <c r="V495" t="s">
        <v>12620</v>
      </c>
      <c r="W495" t="s">
        <v>13100</v>
      </c>
      <c r="X495">
        <v>35</v>
      </c>
      <c r="Y495" t="s">
        <v>19349</v>
      </c>
      <c r="Z495" t="s">
        <v>25442</v>
      </c>
      <c r="AA495">
        <v>0.52374203699349742</v>
      </c>
      <c r="AB495" t="str">
        <f>HYPERLINK("Melting_Curves/meltCurve_F5H604_CLASP2.pdf", "Melting_Curves/meltCurve_F5H604_CLASP2.pdf")</f>
        <v>Melting_Curves/meltCurve_F5H604_CLASP2.pdf</v>
      </c>
    </row>
    <row r="496" spans="1:28" x14ac:dyDescent="0.25">
      <c r="A496" t="s">
        <v>500</v>
      </c>
      <c r="B496">
        <v>0.99987803227770999</v>
      </c>
      <c r="C496">
        <v>0.85686123382079904</v>
      </c>
      <c r="D496">
        <v>0.962032425386527</v>
      </c>
      <c r="E496">
        <v>0.86152494491632103</v>
      </c>
      <c r="F496">
        <v>1.02460382669582</v>
      </c>
      <c r="G496">
        <v>0.911979182279263</v>
      </c>
      <c r="H496">
        <v>0.93108818947942795</v>
      </c>
      <c r="I496">
        <v>0.91668324297050896</v>
      </c>
      <c r="J496">
        <v>0.81482848710062195</v>
      </c>
      <c r="K496">
        <v>0.67389049596690598</v>
      </c>
      <c r="L496">
        <v>860.873585579875</v>
      </c>
      <c r="M496">
        <v>11.469845830210099</v>
      </c>
      <c r="Q496">
        <v>0</v>
      </c>
      <c r="R496">
        <v>0.48744484095337798</v>
      </c>
      <c r="S496" t="s">
        <v>6807</v>
      </c>
      <c r="T496" t="s">
        <v>12620</v>
      </c>
      <c r="U496" t="s">
        <v>12620</v>
      </c>
      <c r="V496" t="s">
        <v>12620</v>
      </c>
      <c r="W496" t="s">
        <v>13101</v>
      </c>
      <c r="X496">
        <v>4</v>
      </c>
      <c r="Y496" t="s">
        <v>19350</v>
      </c>
      <c r="Z496" t="s">
        <v>25443</v>
      </c>
      <c r="AA496">
        <v>0.94110238701951299</v>
      </c>
      <c r="AB496" t="str">
        <f>HYPERLINK("Melting_Curves/meltCurve_F5H629_ATF2.pdf", "Melting_Curves/meltCurve_F5H629_ATF2.pdf")</f>
        <v>Melting_Curves/meltCurve_F5H629_ATF2.pdf</v>
      </c>
    </row>
    <row r="497" spans="1:28" x14ac:dyDescent="0.25">
      <c r="A497" t="s">
        <v>501</v>
      </c>
      <c r="B497">
        <v>0.99987803227770999</v>
      </c>
      <c r="C497">
        <v>0.68290633829870395</v>
      </c>
      <c r="D497">
        <v>0.96150620958687205</v>
      </c>
      <c r="E497">
        <v>0.71135958186383397</v>
      </c>
      <c r="F497">
        <v>1.0764247294943901</v>
      </c>
      <c r="G497">
        <v>1.00816544871915</v>
      </c>
      <c r="H497">
        <v>1.0138266383527399</v>
      </c>
      <c r="I497">
        <v>0.92722248048745004</v>
      </c>
      <c r="J497">
        <v>1.08156508923796</v>
      </c>
      <c r="K497">
        <v>0.88969421912382896</v>
      </c>
      <c r="L497">
        <v>31.3930639233769</v>
      </c>
      <c r="M497">
        <v>20.538299326079699</v>
      </c>
      <c r="Q497">
        <v>0.93525487684543396</v>
      </c>
      <c r="R497">
        <v>-7.8946182924255494E-11</v>
      </c>
      <c r="S497" t="s">
        <v>6808</v>
      </c>
      <c r="T497" t="s">
        <v>12620</v>
      </c>
      <c r="U497" t="s">
        <v>12620</v>
      </c>
      <c r="V497" t="s">
        <v>12620</v>
      </c>
      <c r="W497" t="s">
        <v>13102</v>
      </c>
      <c r="X497">
        <v>1</v>
      </c>
      <c r="Y497" t="s">
        <v>19351</v>
      </c>
      <c r="Z497" t="s">
        <v>25444</v>
      </c>
      <c r="AA497">
        <v>0.93525487698598941</v>
      </c>
      <c r="AB497" t="str">
        <f>HYPERLINK("Melting_Curves/meltCurve_F5H6C2_IFT88.pdf", "Melting_Curves/meltCurve_F5H6C2_IFT88.pdf")</f>
        <v>Melting_Curves/meltCurve_F5H6C2_IFT88.pdf</v>
      </c>
    </row>
    <row r="498" spans="1:28" x14ac:dyDescent="0.25">
      <c r="A498" t="s">
        <v>502</v>
      </c>
      <c r="B498">
        <v>0.99987803227770999</v>
      </c>
      <c r="C498">
        <v>0.95728503847787605</v>
      </c>
      <c r="D498">
        <v>0.98685814953008899</v>
      </c>
      <c r="E498">
        <v>1.0462052279457099</v>
      </c>
      <c r="F498">
        <v>0.73428492932156997</v>
      </c>
      <c r="G498">
        <v>0.47365199567774702</v>
      </c>
      <c r="H498">
        <v>0.25852088461162398</v>
      </c>
      <c r="I498">
        <v>0.216148831115796</v>
      </c>
      <c r="J498">
        <v>0.19290832548273501</v>
      </c>
      <c r="K498">
        <v>0.120799756626675</v>
      </c>
      <c r="L498">
        <v>1281.1735724304899</v>
      </c>
      <c r="M498">
        <v>23.0461278738047</v>
      </c>
      <c r="N498">
        <v>56.5161415648721</v>
      </c>
      <c r="O498">
        <v>55.178237186596</v>
      </c>
      <c r="P498">
        <v>-8.8021830701706105E-2</v>
      </c>
      <c r="Q498">
        <v>0.15703023245120801</v>
      </c>
      <c r="R498">
        <v>0.98545080977037403</v>
      </c>
      <c r="S498" t="s">
        <v>6809</v>
      </c>
      <c r="T498" t="s">
        <v>12620</v>
      </c>
      <c r="U498" t="s">
        <v>12620</v>
      </c>
      <c r="V498" t="s">
        <v>12620</v>
      </c>
      <c r="W498" t="s">
        <v>13103</v>
      </c>
      <c r="X498">
        <v>3</v>
      </c>
      <c r="Y498" t="s">
        <v>19352</v>
      </c>
      <c r="Z498" t="s">
        <v>25445</v>
      </c>
      <c r="AA498">
        <v>0.60403414831549684</v>
      </c>
      <c r="AB498" t="str">
        <f>HYPERLINK("Melting_Curves/meltCurve_F5H6I7_ATL3.pdf", "Melting_Curves/meltCurve_F5H6I7_ATL3.pdf")</f>
        <v>Melting_Curves/meltCurve_F5H6I7_ATL3.pdf</v>
      </c>
    </row>
    <row r="499" spans="1:28" x14ac:dyDescent="0.25">
      <c r="A499" t="s">
        <v>503</v>
      </c>
      <c r="B499">
        <v>0.99987803227770999</v>
      </c>
      <c r="C499">
        <v>0.92930028275090104</v>
      </c>
      <c r="D499">
        <v>0.82132899517350899</v>
      </c>
      <c r="E499">
        <v>0.64295237541693595</v>
      </c>
      <c r="F499">
        <v>0.53510179931184099</v>
      </c>
      <c r="G499">
        <v>0.35788357674562998</v>
      </c>
      <c r="H499">
        <v>0.36168184370561901</v>
      </c>
      <c r="I499">
        <v>0.30101591966720698</v>
      </c>
      <c r="J499">
        <v>0.31228780026390002</v>
      </c>
      <c r="K499">
        <v>0.27006338827625598</v>
      </c>
      <c r="L499">
        <v>665.10015342262102</v>
      </c>
      <c r="M499">
        <v>13.246418344230401</v>
      </c>
      <c r="N499">
        <v>53.329666168932803</v>
      </c>
      <c r="O499">
        <v>49.106884874760503</v>
      </c>
      <c r="P499">
        <v>-4.9261626430076602E-2</v>
      </c>
      <c r="Q499">
        <v>0.26963265640700901</v>
      </c>
      <c r="R499">
        <v>0.99428641484380098</v>
      </c>
      <c r="S499" t="s">
        <v>6810</v>
      </c>
      <c r="T499" t="s">
        <v>12620</v>
      </c>
      <c r="U499" t="s">
        <v>12620</v>
      </c>
      <c r="V499" t="s">
        <v>12620</v>
      </c>
      <c r="W499" t="s">
        <v>13104</v>
      </c>
      <c r="X499">
        <v>3</v>
      </c>
      <c r="Y499" t="s">
        <v>19353</v>
      </c>
      <c r="Z499" t="s">
        <v>25446</v>
      </c>
      <c r="AA499">
        <v>0.53954697505651639</v>
      </c>
      <c r="AB499" t="str">
        <f>HYPERLINK("Melting_Curves/meltCurve_F5H6S1_KDM6A.pdf", "Melting_Curves/meltCurve_F5H6S1_KDM6A.pdf")</f>
        <v>Melting_Curves/meltCurve_F5H6S1_KDM6A.pdf</v>
      </c>
    </row>
    <row r="500" spans="1:28" x14ac:dyDescent="0.25">
      <c r="A500" t="s">
        <v>504</v>
      </c>
      <c r="B500">
        <v>0.99987803227770999</v>
      </c>
      <c r="C500">
        <v>1.0050155783031101</v>
      </c>
      <c r="D500">
        <v>1.01307730418929</v>
      </c>
      <c r="E500">
        <v>0.91311300736777201</v>
      </c>
      <c r="F500">
        <v>0.71129282283119799</v>
      </c>
      <c r="G500">
        <v>0.46384416619183699</v>
      </c>
      <c r="H500">
        <v>0.33551207300712099</v>
      </c>
      <c r="I500">
        <v>0.39854072404826202</v>
      </c>
      <c r="J500">
        <v>0.27279711381198901</v>
      </c>
      <c r="K500">
        <v>0.25264136727225001</v>
      </c>
      <c r="L500">
        <v>1184.5817959554599</v>
      </c>
      <c r="M500">
        <v>21.893001162678999</v>
      </c>
      <c r="N500">
        <v>56.340850481009497</v>
      </c>
      <c r="O500">
        <v>53.662417810486197</v>
      </c>
      <c r="P500">
        <v>-7.2412616884245801E-2</v>
      </c>
      <c r="Q500">
        <v>0.29004757302370099</v>
      </c>
      <c r="R500">
        <v>0.98828377581508497</v>
      </c>
      <c r="S500" t="s">
        <v>6811</v>
      </c>
      <c r="T500" t="s">
        <v>12620</v>
      </c>
      <c r="U500" t="s">
        <v>12620</v>
      </c>
      <c r="V500" t="s">
        <v>12620</v>
      </c>
      <c r="W500" t="s">
        <v>13105</v>
      </c>
      <c r="X500">
        <v>10</v>
      </c>
      <c r="Y500" t="s">
        <v>19354</v>
      </c>
      <c r="Z500" t="s">
        <v>25447</v>
      </c>
      <c r="AA500">
        <v>0.63220757481102441</v>
      </c>
      <c r="AB500" t="str">
        <f>HYPERLINK("Melting_Curves/meltCurve_F5H6Z0_CDK17.pdf", "Melting_Curves/meltCurve_F5H6Z0_CDK17.pdf")</f>
        <v>Melting_Curves/meltCurve_F5H6Z0_CDK17.pdf</v>
      </c>
    </row>
    <row r="501" spans="1:28" x14ac:dyDescent="0.25">
      <c r="A501" t="s">
        <v>505</v>
      </c>
      <c r="B501">
        <v>0.99987803227770999</v>
      </c>
      <c r="C501">
        <v>0.95299551988607201</v>
      </c>
      <c r="D501">
        <v>0.67371046276622804</v>
      </c>
      <c r="E501">
        <v>0.395626215323437</v>
      </c>
      <c r="F501">
        <v>0.21972820688914499</v>
      </c>
      <c r="G501">
        <v>0.13689877082765101</v>
      </c>
      <c r="H501">
        <v>9.3045201408208794E-2</v>
      </c>
      <c r="I501">
        <v>7.2844566442651706E-2</v>
      </c>
      <c r="J501">
        <v>5.4549932182119697E-2</v>
      </c>
      <c r="K501">
        <v>3.1404638714330101E-2</v>
      </c>
      <c r="L501">
        <v>837.63057964154996</v>
      </c>
      <c r="M501">
        <v>17.366101887893802</v>
      </c>
      <c r="N501">
        <v>48.561601290033103</v>
      </c>
      <c r="O501">
        <v>47.607704196187399</v>
      </c>
      <c r="P501">
        <v>-8.6153063502799998E-2</v>
      </c>
      <c r="Q501">
        <v>5.5328243329992997E-2</v>
      </c>
      <c r="R501">
        <v>0.99490092267091801</v>
      </c>
      <c r="S501" t="s">
        <v>6812</v>
      </c>
      <c r="T501" t="s">
        <v>12620</v>
      </c>
      <c r="U501" t="s">
        <v>12620</v>
      </c>
      <c r="V501" t="s">
        <v>12620</v>
      </c>
      <c r="W501" t="s">
        <v>13106</v>
      </c>
      <c r="X501">
        <v>1</v>
      </c>
      <c r="Y501" t="s">
        <v>19355</v>
      </c>
      <c r="Z501" t="s">
        <v>25448</v>
      </c>
      <c r="AA501">
        <v>0.33252260225073921</v>
      </c>
      <c r="AB501" t="str">
        <f>HYPERLINK("Melting_Curves/meltCurve_F5H702_MRPL48.pdf", "Melting_Curves/meltCurve_F5H702_MRPL48.pdf")</f>
        <v>Melting_Curves/meltCurve_F5H702_MRPL48.pdf</v>
      </c>
    </row>
    <row r="502" spans="1:28" x14ac:dyDescent="0.25">
      <c r="A502" t="s">
        <v>506</v>
      </c>
      <c r="B502">
        <v>0.99987803227770999</v>
      </c>
      <c r="C502">
        <v>0.91415955403934102</v>
      </c>
      <c r="D502">
        <v>0.99634892243430795</v>
      </c>
      <c r="E502">
        <v>0.93116201543743604</v>
      </c>
      <c r="F502">
        <v>0.98642530928346395</v>
      </c>
      <c r="G502">
        <v>0.81248346300076801</v>
      </c>
      <c r="H502">
        <v>0.85878109724342</v>
      </c>
      <c r="I502">
        <v>0.72307043769074297</v>
      </c>
      <c r="J502">
        <v>0.77406567153609995</v>
      </c>
      <c r="K502">
        <v>0.59731012723625398</v>
      </c>
      <c r="L502">
        <v>426.185183921972</v>
      </c>
      <c r="M502">
        <v>5.5026767132767898</v>
      </c>
      <c r="O502">
        <v>69.021417659745893</v>
      </c>
      <c r="P502">
        <v>-2.0018691854385401E-2</v>
      </c>
      <c r="Q502">
        <v>0</v>
      </c>
      <c r="R502">
        <v>0.84494108340007401</v>
      </c>
      <c r="S502" t="s">
        <v>6813</v>
      </c>
      <c r="T502" t="s">
        <v>12620</v>
      </c>
      <c r="U502" t="s">
        <v>12620</v>
      </c>
      <c r="V502" t="s">
        <v>12620</v>
      </c>
      <c r="W502" t="s">
        <v>13107</v>
      </c>
      <c r="X502">
        <v>25</v>
      </c>
      <c r="Y502" t="s">
        <v>19356</v>
      </c>
      <c r="Z502" t="s">
        <v>25449</v>
      </c>
      <c r="AA502">
        <v>0.87315292817747936</v>
      </c>
      <c r="AB502" t="str">
        <f>HYPERLINK("Melting_Curves/meltCurve_F5H721_WBP11.pdf", "Melting_Curves/meltCurve_F5H721_WBP11.pdf")</f>
        <v>Melting_Curves/meltCurve_F5H721_WBP11.pdf</v>
      </c>
    </row>
    <row r="503" spans="1:28" x14ac:dyDescent="0.25">
      <c r="A503" t="s">
        <v>507</v>
      </c>
      <c r="B503">
        <v>0.99987803227770999</v>
      </c>
      <c r="C503">
        <v>1.9230320025516301</v>
      </c>
      <c r="D503">
        <v>1.4703052394848</v>
      </c>
      <c r="E503">
        <v>2.5972752327429101</v>
      </c>
      <c r="F503">
        <v>1.01163575517662</v>
      </c>
      <c r="G503">
        <v>2.9285184892464602</v>
      </c>
      <c r="H503">
        <v>0.93189285143775202</v>
      </c>
      <c r="I503">
        <v>1.4746765806633999</v>
      </c>
      <c r="J503">
        <v>0.89434986035623099</v>
      </c>
      <c r="K503">
        <v>0.27021623501247799</v>
      </c>
      <c r="L503">
        <v>15000</v>
      </c>
      <c r="M503">
        <v>222.10369568510399</v>
      </c>
      <c r="N503">
        <v>67.772888552978799</v>
      </c>
      <c r="O503">
        <v>67.530546076303096</v>
      </c>
      <c r="P503">
        <v>-0.60029495220263995</v>
      </c>
      <c r="Q503">
        <v>0.26992217310438399</v>
      </c>
      <c r="R503">
        <v>-0.243455614722907</v>
      </c>
      <c r="S503" t="s">
        <v>6814</v>
      </c>
      <c r="T503" t="s">
        <v>12620</v>
      </c>
      <c r="U503" t="s">
        <v>12620</v>
      </c>
      <c r="V503" t="s">
        <v>12620</v>
      </c>
      <c r="W503" t="s">
        <v>12704</v>
      </c>
      <c r="X503">
        <v>36</v>
      </c>
      <c r="Y503" t="s">
        <v>18950</v>
      </c>
      <c r="Z503" t="s">
        <v>25450</v>
      </c>
      <c r="AA503">
        <v>0.94014321319553174</v>
      </c>
      <c r="AB503" t="str">
        <f>HYPERLINK("Melting_Curves/meltCurve_F5H780_TXNRD1.pdf", "Melting_Curves/meltCurve_F5H780_TXNRD1.pdf")</f>
        <v>Melting_Curves/meltCurve_F5H780_TXNRD1.pdf</v>
      </c>
    </row>
    <row r="504" spans="1:28" x14ac:dyDescent="0.25">
      <c r="A504" t="s">
        <v>508</v>
      </c>
      <c r="B504">
        <v>0.99987803227770999</v>
      </c>
      <c r="C504">
        <v>0.90478921087886899</v>
      </c>
      <c r="D504">
        <v>0.97758306689708396</v>
      </c>
      <c r="E504">
        <v>0.74141148962810099</v>
      </c>
      <c r="F504">
        <v>0.724703194081327</v>
      </c>
      <c r="G504">
        <v>0.59160599766454602</v>
      </c>
      <c r="H504">
        <v>0.48445241434981701</v>
      </c>
      <c r="I504">
        <v>0.52101518805976998</v>
      </c>
      <c r="J504">
        <v>0.43361192530758402</v>
      </c>
      <c r="K504">
        <v>0.40161948031586597</v>
      </c>
      <c r="L504">
        <v>552.32064368401302</v>
      </c>
      <c r="M504">
        <v>10.294875997137099</v>
      </c>
      <c r="N504">
        <v>61.649259980615597</v>
      </c>
      <c r="O504">
        <v>51.744025135238701</v>
      </c>
      <c r="P504">
        <v>-3.1422852728776603E-2</v>
      </c>
      <c r="Q504">
        <v>0.36852562335651801</v>
      </c>
      <c r="R504">
        <v>0.96548240085519799</v>
      </c>
      <c r="S504" t="s">
        <v>6815</v>
      </c>
      <c r="T504" t="s">
        <v>12620</v>
      </c>
      <c r="U504" t="s">
        <v>12620</v>
      </c>
      <c r="V504" t="s">
        <v>12620</v>
      </c>
      <c r="W504" t="s">
        <v>13108</v>
      </c>
      <c r="X504">
        <v>2</v>
      </c>
      <c r="Y504" t="s">
        <v>19357</v>
      </c>
      <c r="Z504" t="s">
        <v>25451</v>
      </c>
      <c r="AA504">
        <v>0.67538273256853976</v>
      </c>
      <c r="AB504" t="str">
        <f>HYPERLINK("Melting_Curves/meltCurve_F5H7X9_ANKS6.pdf", "Melting_Curves/meltCurve_F5H7X9_ANKS6.pdf")</f>
        <v>Melting_Curves/meltCurve_F5H7X9_ANKS6.pdf</v>
      </c>
    </row>
    <row r="505" spans="1:28" x14ac:dyDescent="0.25">
      <c r="A505" t="s">
        <v>509</v>
      </c>
      <c r="B505">
        <v>0.99987803227770999</v>
      </c>
      <c r="C505">
        <v>1.0215036426601301</v>
      </c>
      <c r="D505">
        <v>0.68202595493888896</v>
      </c>
      <c r="E505">
        <v>0.43825220254800801</v>
      </c>
      <c r="F505">
        <v>0.268132230589746</v>
      </c>
      <c r="G505">
        <v>0.200501345354098</v>
      </c>
      <c r="H505">
        <v>0.14289834540528201</v>
      </c>
      <c r="I505">
        <v>0.12776540574346601</v>
      </c>
      <c r="J505">
        <v>0.11280793336091301</v>
      </c>
      <c r="K505">
        <v>8.0621335826163001E-2</v>
      </c>
      <c r="L505">
        <v>884.03090014280303</v>
      </c>
      <c r="M505">
        <v>18.286676648226202</v>
      </c>
      <c r="N505">
        <v>49.0433145656609</v>
      </c>
      <c r="O505">
        <v>47.775905626848797</v>
      </c>
      <c r="P505">
        <v>-8.4696849934823501E-2</v>
      </c>
      <c r="Q505">
        <v>0.114922587874296</v>
      </c>
      <c r="R505">
        <v>0.98517146767294494</v>
      </c>
      <c r="S505" t="s">
        <v>6816</v>
      </c>
      <c r="T505" t="s">
        <v>12620</v>
      </c>
      <c r="U505" t="s">
        <v>12620</v>
      </c>
      <c r="V505" t="s">
        <v>12620</v>
      </c>
      <c r="W505" t="s">
        <v>13109</v>
      </c>
      <c r="X505">
        <v>6</v>
      </c>
      <c r="Y505" t="s">
        <v>19358</v>
      </c>
      <c r="Z505" t="s">
        <v>25452</v>
      </c>
      <c r="AA505">
        <v>0.37611534961291732</v>
      </c>
      <c r="AB505" t="str">
        <f>HYPERLINK("Melting_Curves/meltCurve_F5H801_OGDH.pdf", "Melting_Curves/meltCurve_F5H801_OGDH.pdf")</f>
        <v>Melting_Curves/meltCurve_F5H801_OGDH.pdf</v>
      </c>
    </row>
    <row r="506" spans="1:28" x14ac:dyDescent="0.25">
      <c r="A506" t="s">
        <v>510</v>
      </c>
      <c r="B506">
        <v>0.99987803227770999</v>
      </c>
      <c r="C506">
        <v>1.0351256628786001</v>
      </c>
      <c r="D506">
        <v>0.98526347747888199</v>
      </c>
      <c r="E506">
        <v>0.99422008941634599</v>
      </c>
      <c r="F506">
        <v>0.87837191708401396</v>
      </c>
      <c r="G506">
        <v>0.54519441090898801</v>
      </c>
      <c r="H506">
        <v>0.206315019919693</v>
      </c>
      <c r="I506">
        <v>0.171673626706633</v>
      </c>
      <c r="J506">
        <v>0.117804441601774</v>
      </c>
      <c r="K506">
        <v>8.81095066220553E-2</v>
      </c>
      <c r="L506">
        <v>1515.5599710511201</v>
      </c>
      <c r="M506">
        <v>26.640206407797798</v>
      </c>
      <c r="N506">
        <v>57.3618754754023</v>
      </c>
      <c r="O506">
        <v>56.5722864674146</v>
      </c>
      <c r="P506">
        <v>-0.10614216102311</v>
      </c>
      <c r="Q506">
        <v>9.8409088935758504E-2</v>
      </c>
      <c r="R506">
        <v>0.99784233008138701</v>
      </c>
      <c r="S506" t="s">
        <v>6817</v>
      </c>
      <c r="T506" t="s">
        <v>12620</v>
      </c>
      <c r="U506" t="s">
        <v>12620</v>
      </c>
      <c r="V506" t="s">
        <v>12620</v>
      </c>
      <c r="W506" t="s">
        <v>13110</v>
      </c>
      <c r="X506">
        <v>16</v>
      </c>
      <c r="Y506" t="s">
        <v>19359</v>
      </c>
      <c r="Z506" t="s">
        <v>25453</v>
      </c>
      <c r="AA506">
        <v>0.61335982180389581</v>
      </c>
      <c r="AB506" t="str">
        <f>HYPERLINK("Melting_Curves/meltCurve_F5H860_INPP4A.pdf", "Melting_Curves/meltCurve_F5H860_INPP4A.pdf")</f>
        <v>Melting_Curves/meltCurve_F5H860_INPP4A.pdf</v>
      </c>
    </row>
    <row r="507" spans="1:28" x14ac:dyDescent="0.25">
      <c r="A507" t="s">
        <v>511</v>
      </c>
      <c r="B507">
        <v>0.99987803227770999</v>
      </c>
      <c r="C507">
        <v>1.04380122775239</v>
      </c>
      <c r="D507">
        <v>1.0602456740599</v>
      </c>
      <c r="E507">
        <v>1.01384100992715</v>
      </c>
      <c r="F507">
        <v>0.71866834930030299</v>
      </c>
      <c r="G507">
        <v>0.21562993348713599</v>
      </c>
      <c r="H507">
        <v>0.12992944353079899</v>
      </c>
      <c r="I507">
        <v>0.13359398014245299</v>
      </c>
      <c r="J507">
        <v>7.3785271684953996E-2</v>
      </c>
      <c r="K507">
        <v>5.2168612072213898E-2</v>
      </c>
      <c r="L507">
        <v>2125.9930866794598</v>
      </c>
      <c r="M507">
        <v>39.244132750715899</v>
      </c>
      <c r="N507">
        <v>54.4655828126591</v>
      </c>
      <c r="O507">
        <v>54.0334320349561</v>
      </c>
      <c r="P507">
        <v>-0.164344213153645</v>
      </c>
      <c r="Q507">
        <v>9.4890228073894203E-2</v>
      </c>
      <c r="R507">
        <v>0.99347562344095297</v>
      </c>
      <c r="S507" t="s">
        <v>6818</v>
      </c>
      <c r="T507" t="s">
        <v>12620</v>
      </c>
      <c r="U507" t="s">
        <v>12620</v>
      </c>
      <c r="V507" t="s">
        <v>12620</v>
      </c>
      <c r="W507" t="s">
        <v>13111</v>
      </c>
      <c r="X507">
        <v>36</v>
      </c>
      <c r="Y507" t="s">
        <v>19360</v>
      </c>
      <c r="Z507" t="s">
        <v>25454</v>
      </c>
      <c r="AA507">
        <v>0.52602307121069602</v>
      </c>
      <c r="AB507" t="str">
        <f>HYPERLINK("Melting_Curves/meltCurve_F5H897_TRAP1.pdf", "Melting_Curves/meltCurve_F5H897_TRAP1.pdf")</f>
        <v>Melting_Curves/meltCurve_F5H897_TRAP1.pdf</v>
      </c>
    </row>
    <row r="508" spans="1:28" x14ac:dyDescent="0.25">
      <c r="A508" t="s">
        <v>512</v>
      </c>
      <c r="B508">
        <v>0.99987803227770999</v>
      </c>
      <c r="C508">
        <v>1.02881142543507</v>
      </c>
      <c r="D508">
        <v>1.0550756759193001</v>
      </c>
      <c r="E508">
        <v>1.2308303725824501</v>
      </c>
      <c r="F508">
        <v>1.18287867838065</v>
      </c>
      <c r="G508">
        <v>0.61478171126474102</v>
      </c>
      <c r="H508">
        <v>0.18453193642958901</v>
      </c>
      <c r="I508">
        <v>0.206248145019719</v>
      </c>
      <c r="J508">
        <v>4.04066109363517E-2</v>
      </c>
      <c r="K508">
        <v>7.2914138827430294E-2</v>
      </c>
      <c r="L508">
        <v>4620.4100325555601</v>
      </c>
      <c r="M508">
        <v>80.805550455870403</v>
      </c>
      <c r="N508">
        <v>57.382341574887697</v>
      </c>
      <c r="O508">
        <v>57.144372328873096</v>
      </c>
      <c r="P508">
        <v>-0.30957466151749402</v>
      </c>
      <c r="Q508">
        <v>0.12429542896180901</v>
      </c>
      <c r="R508">
        <v>0.94905845207397699</v>
      </c>
      <c r="S508" t="s">
        <v>6819</v>
      </c>
      <c r="T508" t="s">
        <v>12620</v>
      </c>
      <c r="U508" t="s">
        <v>12620</v>
      </c>
      <c r="V508" t="s">
        <v>12620</v>
      </c>
      <c r="W508" t="s">
        <v>13112</v>
      </c>
      <c r="X508">
        <v>1</v>
      </c>
      <c r="Y508" t="s">
        <v>19361</v>
      </c>
      <c r="Z508" t="s">
        <v>25455</v>
      </c>
      <c r="AA508">
        <v>0.62660642905808428</v>
      </c>
      <c r="AB508" t="str">
        <f>HYPERLINK("Melting_Curves/meltCurve_F5H8E6_WDR20.pdf", "Melting_Curves/meltCurve_F5H8E6_WDR20.pdf")</f>
        <v>Melting_Curves/meltCurve_F5H8E6_WDR20.pdf</v>
      </c>
    </row>
    <row r="509" spans="1:28" x14ac:dyDescent="0.25">
      <c r="A509" t="s">
        <v>513</v>
      </c>
      <c r="B509">
        <v>0.99987803227770999</v>
      </c>
      <c r="C509">
        <v>0.97997458443836005</v>
      </c>
      <c r="D509">
        <v>0.95014747629469498</v>
      </c>
      <c r="E509">
        <v>0.92343991314603702</v>
      </c>
      <c r="F509">
        <v>0.88855022284642704</v>
      </c>
      <c r="G509">
        <v>0.56488737981487602</v>
      </c>
      <c r="H509">
        <v>0.197020182589494</v>
      </c>
      <c r="I509">
        <v>0.14812770824841701</v>
      </c>
      <c r="J509">
        <v>9.6708516075554501E-2</v>
      </c>
      <c r="K509">
        <v>5.8705115121733799E-2</v>
      </c>
      <c r="L509">
        <v>1376.1700667924599</v>
      </c>
      <c r="M509">
        <v>24.055846773988399</v>
      </c>
      <c r="N509">
        <v>57.503166298802498</v>
      </c>
      <c r="O509">
        <v>56.8163664279881</v>
      </c>
      <c r="P509">
        <v>-9.9689192413851796E-2</v>
      </c>
      <c r="Q509">
        <v>5.8210005489851203E-2</v>
      </c>
      <c r="R509">
        <v>0.99533486395546</v>
      </c>
      <c r="S509" t="s">
        <v>6820</v>
      </c>
      <c r="T509" t="s">
        <v>12620</v>
      </c>
      <c r="U509" t="s">
        <v>12620</v>
      </c>
      <c r="V509" t="s">
        <v>12620</v>
      </c>
      <c r="W509" t="s">
        <v>13113</v>
      </c>
      <c r="X509">
        <v>10</v>
      </c>
      <c r="Y509" t="s">
        <v>19362</v>
      </c>
      <c r="Z509" t="s">
        <v>25456</v>
      </c>
      <c r="AA509">
        <v>0.60733219855420562</v>
      </c>
      <c r="AB509" t="str">
        <f>HYPERLINK("Melting_Curves/meltCurve_F5H8H2_MVK.pdf", "Melting_Curves/meltCurve_F5H8H2_MVK.pdf")</f>
        <v>Melting_Curves/meltCurve_F5H8H2_MVK.pdf</v>
      </c>
    </row>
    <row r="510" spans="1:28" x14ac:dyDescent="0.25">
      <c r="A510" t="s">
        <v>514</v>
      </c>
      <c r="B510">
        <v>0.99987803227770999</v>
      </c>
      <c r="C510">
        <v>1.0423336379772301</v>
      </c>
      <c r="D510">
        <v>0.78792224194998794</v>
      </c>
      <c r="E510">
        <v>0.57659765830210796</v>
      </c>
      <c r="F510">
        <v>0.29523240885794499</v>
      </c>
      <c r="G510">
        <v>0.180302726507195</v>
      </c>
      <c r="H510">
        <v>0.105630731240807</v>
      </c>
      <c r="I510">
        <v>7.0368844672209704E-2</v>
      </c>
      <c r="J510">
        <v>4.8674095182112999E-2</v>
      </c>
      <c r="K510">
        <v>3.5213974524716703E-2</v>
      </c>
      <c r="L510">
        <v>872.65143537036204</v>
      </c>
      <c r="M510">
        <v>17.341871465148699</v>
      </c>
      <c r="N510">
        <v>50.597317945205504</v>
      </c>
      <c r="O510">
        <v>49.665686446313003</v>
      </c>
      <c r="P510">
        <v>-8.3346964859852504E-2</v>
      </c>
      <c r="Q510">
        <v>4.5259639374992701E-2</v>
      </c>
      <c r="R510">
        <v>0.99055311410166902</v>
      </c>
      <c r="S510" t="s">
        <v>6821</v>
      </c>
      <c r="T510" t="s">
        <v>12620</v>
      </c>
      <c r="U510" t="s">
        <v>12620</v>
      </c>
      <c r="V510" t="s">
        <v>12620</v>
      </c>
      <c r="W510" t="s">
        <v>13114</v>
      </c>
      <c r="X510">
        <v>3</v>
      </c>
      <c r="Y510" t="s">
        <v>19363</v>
      </c>
      <c r="Z510" t="s">
        <v>25457</v>
      </c>
      <c r="AA510">
        <v>0.39108310511523831</v>
      </c>
      <c r="AB510" t="str">
        <f>HYPERLINK("Melting_Curves/meltCurve_F5H8H4_POGZ.pdf", "Melting_Curves/meltCurve_F5H8H4_POGZ.pdf")</f>
        <v>Melting_Curves/meltCurve_F5H8H4_POGZ.pdf</v>
      </c>
    </row>
    <row r="511" spans="1:28" x14ac:dyDescent="0.25">
      <c r="A511" t="s">
        <v>515</v>
      </c>
      <c r="B511">
        <v>0.99987803227770999</v>
      </c>
      <c r="C511">
        <v>0.96523741871052604</v>
      </c>
      <c r="D511">
        <v>0.95876840995146795</v>
      </c>
      <c r="E511">
        <v>0.70958878746584397</v>
      </c>
      <c r="F511">
        <v>0.60672057835627902</v>
      </c>
      <c r="G511">
        <v>0.32455009209707503</v>
      </c>
      <c r="H511">
        <v>0.35208551221357198</v>
      </c>
      <c r="I511">
        <v>0.36690968429925003</v>
      </c>
      <c r="J511">
        <v>0.39294945460310199</v>
      </c>
      <c r="K511">
        <v>0.30977096717265901</v>
      </c>
      <c r="L511">
        <v>1103.0423807892901</v>
      </c>
      <c r="M511">
        <v>21.603064784994</v>
      </c>
      <c r="N511">
        <v>53.862805306436499</v>
      </c>
      <c r="O511">
        <v>50.628048412512101</v>
      </c>
      <c r="P511">
        <v>-7.0667283892392602E-2</v>
      </c>
      <c r="Q511">
        <v>0.33756414100942</v>
      </c>
      <c r="R511">
        <v>0.97922148179637003</v>
      </c>
      <c r="S511" t="s">
        <v>6822</v>
      </c>
      <c r="T511" t="s">
        <v>12620</v>
      </c>
      <c r="U511" t="s">
        <v>12620</v>
      </c>
      <c r="V511" t="s">
        <v>12620</v>
      </c>
      <c r="W511" t="s">
        <v>13115</v>
      </c>
      <c r="X511">
        <v>9</v>
      </c>
      <c r="Y511" t="s">
        <v>19364</v>
      </c>
      <c r="Z511" t="s">
        <v>25458</v>
      </c>
      <c r="AA511">
        <v>0.58972028625647466</v>
      </c>
      <c r="AB511" t="str">
        <f>HYPERLINK("Melting_Curves/meltCurve_F6TQG2_SMARCA1.pdf", "Melting_Curves/meltCurve_F6TQG2_SMARCA1.pdf")</f>
        <v>Melting_Curves/meltCurve_F6TQG2_SMARCA1.pdf</v>
      </c>
    </row>
    <row r="512" spans="1:28" x14ac:dyDescent="0.25">
      <c r="A512" t="s">
        <v>516</v>
      </c>
      <c r="B512">
        <v>0.99987803227770999</v>
      </c>
      <c r="C512">
        <v>1.0185624105639599</v>
      </c>
      <c r="D512">
        <v>0.93404322736568401</v>
      </c>
      <c r="E512">
        <v>0.99974597912821495</v>
      </c>
      <c r="F512">
        <v>1.0365514326010099</v>
      </c>
      <c r="G512">
        <v>1.0662031740278799</v>
      </c>
      <c r="H512">
        <v>0.89615457841325097</v>
      </c>
      <c r="I512">
        <v>0.94147745224905199</v>
      </c>
      <c r="J512">
        <v>0.63005290885992604</v>
      </c>
      <c r="K512">
        <v>0.417243077228727</v>
      </c>
      <c r="L512">
        <v>3084.0351664222599</v>
      </c>
      <c r="M512">
        <v>46.269395342035303</v>
      </c>
      <c r="N512">
        <v>68.444974284505406</v>
      </c>
      <c r="O512">
        <v>66.529738533637996</v>
      </c>
      <c r="P512">
        <v>-0.112836746342086</v>
      </c>
      <c r="Q512">
        <v>0.35101891466014501</v>
      </c>
      <c r="R512">
        <v>0.94819016479765605</v>
      </c>
      <c r="S512" t="s">
        <v>6823</v>
      </c>
      <c r="T512" t="s">
        <v>12620</v>
      </c>
      <c r="U512" t="s">
        <v>12620</v>
      </c>
      <c r="V512" t="s">
        <v>12620</v>
      </c>
      <c r="W512" t="s">
        <v>13116</v>
      </c>
      <c r="X512">
        <v>5</v>
      </c>
      <c r="Y512" t="s">
        <v>19365</v>
      </c>
      <c r="Z512" t="s">
        <v>25459</v>
      </c>
      <c r="AA512">
        <v>0.92609410994510055</v>
      </c>
      <c r="AB512" t="str">
        <f>HYPERLINK("Melting_Curves/meltCurve_F6U1T9_PPP3R1.pdf", "Melting_Curves/meltCurve_F6U1T9_PPP3R1.pdf")</f>
        <v>Melting_Curves/meltCurve_F6U1T9_PPP3R1.pdf</v>
      </c>
    </row>
    <row r="513" spans="1:28" x14ac:dyDescent="0.25">
      <c r="A513" t="s">
        <v>517</v>
      </c>
      <c r="B513">
        <v>0.99987803227770999</v>
      </c>
      <c r="C513">
        <v>1.01539800993881</v>
      </c>
      <c r="D513">
        <v>1.0740796700809701</v>
      </c>
      <c r="E513">
        <v>0.89106012218719299</v>
      </c>
      <c r="F513">
        <v>0.52660156342644704</v>
      </c>
      <c r="G513">
        <v>0.20503950510694199</v>
      </c>
      <c r="H513">
        <v>0.133373872868225</v>
      </c>
      <c r="I513">
        <v>0.108124403659419</v>
      </c>
      <c r="J513">
        <v>8.6818334223710394E-2</v>
      </c>
      <c r="K513">
        <v>5.7030571271834599E-2</v>
      </c>
      <c r="L513">
        <v>1667.8030211134001</v>
      </c>
      <c r="M513">
        <v>31.482505329994201</v>
      </c>
      <c r="N513">
        <v>53.330854362013199</v>
      </c>
      <c r="O513">
        <v>52.763200298398097</v>
      </c>
      <c r="P513">
        <v>-0.13505775621291899</v>
      </c>
      <c r="Q513">
        <v>9.4603360106121095E-2</v>
      </c>
      <c r="R513">
        <v>0.99421448871011597</v>
      </c>
      <c r="S513" t="s">
        <v>6824</v>
      </c>
      <c r="T513" t="s">
        <v>12620</v>
      </c>
      <c r="U513" t="s">
        <v>12620</v>
      </c>
      <c r="V513" t="s">
        <v>12620</v>
      </c>
      <c r="W513" t="s">
        <v>13117</v>
      </c>
      <c r="X513">
        <v>10</v>
      </c>
      <c r="Y513" t="s">
        <v>19366</v>
      </c>
      <c r="Z513" t="s">
        <v>25460</v>
      </c>
      <c r="AA513">
        <v>0.4915422957121246</v>
      </c>
      <c r="AB513" t="str">
        <f>HYPERLINK("Melting_Curves/meltCurve_F6UYM1_RPS6KB1.pdf", "Melting_Curves/meltCurve_F6UYM1_RPS6KB1.pdf")</f>
        <v>Melting_Curves/meltCurve_F6UYM1_RPS6KB1.pdf</v>
      </c>
    </row>
    <row r="514" spans="1:28" x14ac:dyDescent="0.25">
      <c r="A514" t="s">
        <v>518</v>
      </c>
      <c r="B514">
        <v>0.99987803227770999</v>
      </c>
      <c r="C514">
        <v>0.93154898661518104</v>
      </c>
      <c r="D514">
        <v>1.08137098658035</v>
      </c>
      <c r="E514">
        <v>0.94152092720192004</v>
      </c>
      <c r="F514">
        <v>1.02113189605328</v>
      </c>
      <c r="G514">
        <v>0.93648214483422398</v>
      </c>
      <c r="H514">
        <v>0.95497641942828304</v>
      </c>
      <c r="I514">
        <v>0.969027821887958</v>
      </c>
      <c r="J514">
        <v>0.86987957763694002</v>
      </c>
      <c r="K514">
        <v>0.72362386941852996</v>
      </c>
      <c r="L514">
        <v>1405.6346743823699</v>
      </c>
      <c r="M514">
        <v>19.099540024167201</v>
      </c>
      <c r="Q514">
        <v>0</v>
      </c>
      <c r="R514">
        <v>0.75922404136340105</v>
      </c>
      <c r="S514" t="s">
        <v>6825</v>
      </c>
      <c r="T514" t="s">
        <v>12620</v>
      </c>
      <c r="U514" t="s">
        <v>12620</v>
      </c>
      <c r="V514" t="s">
        <v>12620</v>
      </c>
      <c r="W514" t="s">
        <v>13118</v>
      </c>
      <c r="X514">
        <v>10</v>
      </c>
      <c r="Y514" t="s">
        <v>19367</v>
      </c>
      <c r="Z514" t="s">
        <v>25461</v>
      </c>
      <c r="AA514">
        <v>0.96646970541066468</v>
      </c>
      <c r="AB514" t="str">
        <f>HYPERLINK("Melting_Curves/meltCurve_F6V707_TPD52L1.pdf", "Melting_Curves/meltCurve_F6V707_TPD52L1.pdf")</f>
        <v>Melting_Curves/meltCurve_F6V707_TPD52L1.pdf</v>
      </c>
    </row>
    <row r="515" spans="1:28" x14ac:dyDescent="0.25">
      <c r="A515" t="s">
        <v>519</v>
      </c>
      <c r="B515">
        <v>0.99987803227770999</v>
      </c>
      <c r="C515">
        <v>1.4485183289255401</v>
      </c>
      <c r="D515">
        <v>1.5232747430008999</v>
      </c>
      <c r="E515">
        <v>1.8793148177251999</v>
      </c>
      <c r="F515">
        <v>1.0758432159943301</v>
      </c>
      <c r="G515">
        <v>1.5488597255837899</v>
      </c>
      <c r="H515">
        <v>1.87124552323787</v>
      </c>
      <c r="I515">
        <v>1.26051136194985</v>
      </c>
      <c r="J515">
        <v>0.36951636399179999</v>
      </c>
      <c r="K515">
        <v>0.139037778154701</v>
      </c>
      <c r="L515">
        <v>15000</v>
      </c>
      <c r="M515">
        <v>224.88600394694501</v>
      </c>
      <c r="N515">
        <v>66.797179552386694</v>
      </c>
      <c r="O515">
        <v>66.695195549756207</v>
      </c>
      <c r="P515">
        <v>-0.72582187038817303</v>
      </c>
      <c r="Q515">
        <v>0.138962435860261</v>
      </c>
      <c r="R515">
        <v>0.22484736319498</v>
      </c>
      <c r="S515" t="s">
        <v>6826</v>
      </c>
      <c r="T515" t="s">
        <v>12620</v>
      </c>
      <c r="U515" t="s">
        <v>12620</v>
      </c>
      <c r="V515" t="s">
        <v>12620</v>
      </c>
      <c r="W515" t="s">
        <v>12858</v>
      </c>
      <c r="X515">
        <v>7</v>
      </c>
      <c r="Y515" t="s">
        <v>19368</v>
      </c>
      <c r="Z515" t="s">
        <v>25462</v>
      </c>
      <c r="AA515">
        <v>0.90542341287407591</v>
      </c>
      <c r="AB515" t="str">
        <f>HYPERLINK("Melting_Curves/meltCurve_F6XY72_NME2.pdf", "Melting_Curves/meltCurve_F6XY72_NME2.pdf")</f>
        <v>Melting_Curves/meltCurve_F6XY72_NME2.pdf</v>
      </c>
    </row>
    <row r="516" spans="1:28" x14ac:dyDescent="0.25">
      <c r="A516" t="s">
        <v>520</v>
      </c>
      <c r="B516">
        <v>0.99987803227770999</v>
      </c>
      <c r="C516">
        <v>0.82051781498054999</v>
      </c>
      <c r="D516">
        <v>0.75454723117544598</v>
      </c>
      <c r="E516">
        <v>0.95032986591185997</v>
      </c>
      <c r="F516">
        <v>0.55443509115074496</v>
      </c>
      <c r="G516">
        <v>0.27159995125136399</v>
      </c>
      <c r="H516">
        <v>0.15894076687402001</v>
      </c>
      <c r="I516">
        <v>0.116142538906245</v>
      </c>
      <c r="J516">
        <v>9.9610918811077295E-2</v>
      </c>
      <c r="K516">
        <v>6.6695532908270794E-2</v>
      </c>
      <c r="L516">
        <v>915.65558913494897</v>
      </c>
      <c r="M516">
        <v>17.028700161528</v>
      </c>
      <c r="N516">
        <v>54.105962248906998</v>
      </c>
      <c r="O516">
        <v>53.0461946519832</v>
      </c>
      <c r="P516">
        <v>-7.6247570113921401E-2</v>
      </c>
      <c r="Q516">
        <v>4.9981471792742899E-2</v>
      </c>
      <c r="R516">
        <v>0.92739735858334504</v>
      </c>
      <c r="S516" t="s">
        <v>6827</v>
      </c>
      <c r="T516" t="s">
        <v>12620</v>
      </c>
      <c r="U516" t="s">
        <v>12620</v>
      </c>
      <c r="V516" t="s">
        <v>12620</v>
      </c>
      <c r="W516" t="s">
        <v>13119</v>
      </c>
      <c r="X516">
        <v>47</v>
      </c>
      <c r="Y516" t="s">
        <v>19369</v>
      </c>
      <c r="Z516" t="s">
        <v>25463</v>
      </c>
      <c r="AA516">
        <v>0.50268113884029142</v>
      </c>
      <c r="AB516" t="str">
        <f>HYPERLINK("Melting_Curves/meltCurve_F8VPD4_CAD.pdf", "Melting_Curves/meltCurve_F8VPD4_CAD.pdf")</f>
        <v>Melting_Curves/meltCurve_F8VPD4_CAD.pdf</v>
      </c>
    </row>
    <row r="517" spans="1:28" x14ac:dyDescent="0.25">
      <c r="A517" t="s">
        <v>521</v>
      </c>
      <c r="B517">
        <v>0.99987803227770999</v>
      </c>
      <c r="C517">
        <v>0.80078915948464302</v>
      </c>
      <c r="D517">
        <v>0.92234245074847399</v>
      </c>
      <c r="E517">
        <v>0.78329052409242805</v>
      </c>
      <c r="F517">
        <v>0.98082596229098196</v>
      </c>
      <c r="G517">
        <v>0.87805070209319203</v>
      </c>
      <c r="H517">
        <v>0.89602883671114897</v>
      </c>
      <c r="I517">
        <v>0.65501525409952299</v>
      </c>
      <c r="J517">
        <v>0.40643638060700099</v>
      </c>
      <c r="K517">
        <v>0.18303345048299799</v>
      </c>
      <c r="L517">
        <v>1520.49869770541</v>
      </c>
      <c r="M517">
        <v>23.1050636136988</v>
      </c>
      <c r="N517">
        <v>65.808028968773201</v>
      </c>
      <c r="O517">
        <v>65.321011504522801</v>
      </c>
      <c r="P517">
        <v>-8.8430536605453594E-2</v>
      </c>
      <c r="Q517">
        <v>0</v>
      </c>
      <c r="R517">
        <v>0.83760006755025895</v>
      </c>
      <c r="S517" t="s">
        <v>6828</v>
      </c>
      <c r="T517" t="s">
        <v>12620</v>
      </c>
      <c r="U517" t="s">
        <v>12620</v>
      </c>
      <c r="V517" t="s">
        <v>12620</v>
      </c>
      <c r="W517" t="s">
        <v>13120</v>
      </c>
      <c r="X517">
        <v>20</v>
      </c>
      <c r="Y517" t="s">
        <v>19370</v>
      </c>
      <c r="Z517" t="s">
        <v>25464</v>
      </c>
      <c r="AA517">
        <v>0.8473777409344847</v>
      </c>
      <c r="AB517" t="str">
        <f>HYPERLINK("Melting_Curves/meltCurve_F8VQZ7_METAP2.pdf", "Melting_Curves/meltCurve_F8VQZ7_METAP2.pdf")</f>
        <v>Melting_Curves/meltCurve_F8VQZ7_METAP2.pdf</v>
      </c>
    </row>
    <row r="518" spans="1:28" x14ac:dyDescent="0.25">
      <c r="A518" t="s">
        <v>522</v>
      </c>
      <c r="B518">
        <v>0.99987803227770999</v>
      </c>
      <c r="C518">
        <v>0.66330906169921</v>
      </c>
      <c r="D518">
        <v>0.92647250424834404</v>
      </c>
      <c r="E518">
        <v>0.64963972423862903</v>
      </c>
      <c r="F518">
        <v>0.81741468515600502</v>
      </c>
      <c r="G518">
        <v>0.57835468839008897</v>
      </c>
      <c r="H518">
        <v>0.58687562752161404</v>
      </c>
      <c r="I518">
        <v>0.45699276970362102</v>
      </c>
      <c r="J518">
        <v>0.469716280538995</v>
      </c>
      <c r="K518">
        <v>0.49442968369442297</v>
      </c>
      <c r="L518">
        <v>240.04984627524999</v>
      </c>
      <c r="M518">
        <v>3.9421141740690899</v>
      </c>
      <c r="N518">
        <v>65.735311404552803</v>
      </c>
      <c r="O518">
        <v>49.758107167237704</v>
      </c>
      <c r="P518">
        <v>-1.7543941793931001E-2</v>
      </c>
      <c r="Q518">
        <v>0.125999157915582</v>
      </c>
      <c r="R518">
        <v>0.70875716268229805</v>
      </c>
      <c r="S518" t="s">
        <v>6829</v>
      </c>
      <c r="T518" t="s">
        <v>12620</v>
      </c>
      <c r="U518" t="s">
        <v>12620</v>
      </c>
      <c r="V518" t="s">
        <v>12620</v>
      </c>
      <c r="W518" t="s">
        <v>13121</v>
      </c>
      <c r="X518">
        <v>5</v>
      </c>
      <c r="Y518" t="s">
        <v>19371</v>
      </c>
      <c r="Z518" t="s">
        <v>25465</v>
      </c>
      <c r="AA518">
        <v>0.66341976453490392</v>
      </c>
      <c r="AB518" t="str">
        <f>HYPERLINK("Melting_Curves/meltCurve_F8VRH0_PCBP2.pdf", "Melting_Curves/meltCurve_F8VRH0_PCBP2.pdf")</f>
        <v>Melting_Curves/meltCurve_F8VRH0_PCBP2.pdf</v>
      </c>
    </row>
    <row r="519" spans="1:28" x14ac:dyDescent="0.25">
      <c r="A519" t="s">
        <v>523</v>
      </c>
      <c r="B519">
        <v>0.99987803227770999</v>
      </c>
      <c r="C519">
        <v>1.0071042093504801</v>
      </c>
      <c r="D519">
        <v>1.1089458579979199</v>
      </c>
      <c r="E519">
        <v>1.0352356997151999</v>
      </c>
      <c r="F519">
        <v>0.91592932527446502</v>
      </c>
      <c r="G519">
        <v>0.59918356573300202</v>
      </c>
      <c r="H519">
        <v>0.26271479449979201</v>
      </c>
      <c r="I519">
        <v>0.34743781376965099</v>
      </c>
      <c r="J519">
        <v>0.196605442617278</v>
      </c>
      <c r="K519">
        <v>0.168767684702783</v>
      </c>
      <c r="L519">
        <v>1750.01224811572</v>
      </c>
      <c r="M519">
        <v>30.762684911153201</v>
      </c>
      <c r="N519">
        <v>57.939844096559099</v>
      </c>
      <c r="O519">
        <v>56.648729374332099</v>
      </c>
      <c r="P519">
        <v>-0.106704002672107</v>
      </c>
      <c r="Q519">
        <v>0.214033434068019</v>
      </c>
      <c r="R519">
        <v>0.97755972910148503</v>
      </c>
      <c r="S519" t="s">
        <v>6830</v>
      </c>
      <c r="T519" t="s">
        <v>12620</v>
      </c>
      <c r="U519" t="s">
        <v>12620</v>
      </c>
      <c r="V519" t="s">
        <v>12620</v>
      </c>
      <c r="W519" t="s">
        <v>13122</v>
      </c>
      <c r="X519">
        <v>3</v>
      </c>
      <c r="Y519" t="s">
        <v>19372</v>
      </c>
      <c r="Z519" t="s">
        <v>25466</v>
      </c>
      <c r="AA519">
        <v>0.66147537223985731</v>
      </c>
      <c r="AB519" t="str">
        <f>HYPERLINK("Melting_Curves/meltCurve_F8VS47_NEK3.pdf", "Melting_Curves/meltCurve_F8VS47_NEK3.pdf")</f>
        <v>Melting_Curves/meltCurve_F8VS47_NEK3.pdf</v>
      </c>
    </row>
    <row r="520" spans="1:28" x14ac:dyDescent="0.25">
      <c r="A520" t="s">
        <v>524</v>
      </c>
      <c r="B520">
        <v>0.99987803227770999</v>
      </c>
      <c r="C520">
        <v>1.02743734566822</v>
      </c>
      <c r="D520">
        <v>1.0452812575044399</v>
      </c>
      <c r="E520">
        <v>0.96243148474243101</v>
      </c>
      <c r="F520">
        <v>0.84825823813069601</v>
      </c>
      <c r="G520">
        <v>0.71108425648290696</v>
      </c>
      <c r="H520">
        <v>0.56775009491210005</v>
      </c>
      <c r="I520">
        <v>0.58394827946482897</v>
      </c>
      <c r="J520">
        <v>0.548384184642706</v>
      </c>
      <c r="K520">
        <v>0.40984187325687099</v>
      </c>
      <c r="L520">
        <v>893.84696306240596</v>
      </c>
      <c r="M520">
        <v>15.7231932365587</v>
      </c>
      <c r="N520">
        <v>66.803524176427004</v>
      </c>
      <c r="O520">
        <v>55.953186035000599</v>
      </c>
      <c r="P520">
        <v>-3.8502590997073198E-2</v>
      </c>
      <c r="Q520">
        <v>0.45197854762920497</v>
      </c>
      <c r="R520">
        <v>0.96832104607473002</v>
      </c>
      <c r="S520" t="s">
        <v>6831</v>
      </c>
      <c r="T520" t="s">
        <v>12620</v>
      </c>
      <c r="U520" t="s">
        <v>12620</v>
      </c>
      <c r="V520" t="s">
        <v>12620</v>
      </c>
      <c r="W520" t="s">
        <v>13123</v>
      </c>
      <c r="X520">
        <v>3</v>
      </c>
      <c r="Y520" t="s">
        <v>19373</v>
      </c>
      <c r="Z520" t="s">
        <v>25467</v>
      </c>
      <c r="AA520">
        <v>0.76833306681972124</v>
      </c>
      <c r="AB520" t="str">
        <f>HYPERLINK("Melting_Curves/meltCurve_F8VSL3_NFYB.pdf", "Melting_Curves/meltCurve_F8VSL3_NFYB.pdf")</f>
        <v>Melting_Curves/meltCurve_F8VSL3_NFYB.pdf</v>
      </c>
    </row>
    <row r="521" spans="1:28" x14ac:dyDescent="0.25">
      <c r="A521" t="s">
        <v>525</v>
      </c>
      <c r="B521">
        <v>0.99987803227770999</v>
      </c>
      <c r="C521">
        <v>1.25430397056376</v>
      </c>
      <c r="D521">
        <v>1.12213040593186</v>
      </c>
      <c r="E521">
        <v>1.0703938495735901</v>
      </c>
      <c r="F521">
        <v>0.87913412383065503</v>
      </c>
      <c r="G521">
        <v>0.477703847060443</v>
      </c>
      <c r="H521">
        <v>0.343414331637936</v>
      </c>
      <c r="I521">
        <v>0.30688225916102102</v>
      </c>
      <c r="J521">
        <v>0.28790503803825801</v>
      </c>
      <c r="K521">
        <v>0.24721603854185401</v>
      </c>
      <c r="L521">
        <v>2049.6417240354199</v>
      </c>
      <c r="M521">
        <v>36.938996615654297</v>
      </c>
      <c r="N521">
        <v>56.802027514494903</v>
      </c>
      <c r="O521">
        <v>55.325349207236101</v>
      </c>
      <c r="P521">
        <v>-0.118951233786488</v>
      </c>
      <c r="Q521">
        <v>0.28736578250915001</v>
      </c>
      <c r="R521">
        <v>0.93826835240226703</v>
      </c>
      <c r="S521" t="s">
        <v>6832</v>
      </c>
      <c r="T521" t="s">
        <v>12620</v>
      </c>
      <c r="U521" t="s">
        <v>12620</v>
      </c>
      <c r="V521" t="s">
        <v>12620</v>
      </c>
      <c r="W521" t="s">
        <v>13124</v>
      </c>
      <c r="X521">
        <v>2</v>
      </c>
      <c r="Y521" t="s">
        <v>19374</v>
      </c>
      <c r="Z521" t="s">
        <v>25468</v>
      </c>
      <c r="AA521">
        <v>0.65843827618323125</v>
      </c>
      <c r="AB521" t="str">
        <f>HYPERLINK("Melting_Curves/meltCurve_F8VSZ4_PLXNA1.pdf", "Melting_Curves/meltCurve_F8VSZ4_PLXNA1.pdf")</f>
        <v>Melting_Curves/meltCurve_F8VSZ4_PLXNA1.pdf</v>
      </c>
    </row>
    <row r="522" spans="1:28" x14ac:dyDescent="0.25">
      <c r="A522" t="s">
        <v>526</v>
      </c>
      <c r="B522">
        <v>0.99987803227770999</v>
      </c>
      <c r="C522">
        <v>0.85242026196215204</v>
      </c>
      <c r="D522">
        <v>0.80747050449664903</v>
      </c>
      <c r="E522">
        <v>0.66151885121077603</v>
      </c>
      <c r="F522">
        <v>6.10515474459929E-2</v>
      </c>
      <c r="G522">
        <v>0.20841498751339699</v>
      </c>
      <c r="H522">
        <v>9.0365659343520505E-2</v>
      </c>
      <c r="I522">
        <v>0.119629949341132</v>
      </c>
      <c r="J522">
        <v>7.4157862949179601E-2</v>
      </c>
      <c r="K522">
        <v>0</v>
      </c>
      <c r="L522">
        <v>1060.1148097324001</v>
      </c>
      <c r="M522">
        <v>21.301930709375402</v>
      </c>
      <c r="N522">
        <v>50.073560698228199</v>
      </c>
      <c r="O522">
        <v>49.333782368075703</v>
      </c>
      <c r="P522">
        <v>-0.101333846697509</v>
      </c>
      <c r="Q522">
        <v>6.1295300572238698E-2</v>
      </c>
      <c r="R522">
        <v>0.93131317225343102</v>
      </c>
      <c r="S522" t="s">
        <v>6833</v>
      </c>
      <c r="T522" t="s">
        <v>12620</v>
      </c>
      <c r="U522" t="s">
        <v>12620</v>
      </c>
      <c r="V522" t="s">
        <v>12620</v>
      </c>
      <c r="W522" t="s">
        <v>13125</v>
      </c>
      <c r="X522">
        <v>1</v>
      </c>
      <c r="Y522" t="s">
        <v>19375</v>
      </c>
      <c r="Z522" t="s">
        <v>25469</v>
      </c>
      <c r="AA522">
        <v>0.37842432986737901</v>
      </c>
      <c r="AB522" t="str">
        <f>HYPERLINK("Melting_Curves/meltCurve_F8VUA7_OSBPL8.pdf", "Melting_Curves/meltCurve_F8VUA7_OSBPL8.pdf")</f>
        <v>Melting_Curves/meltCurve_F8VUA7_OSBPL8.pdf</v>
      </c>
    </row>
    <row r="523" spans="1:28" x14ac:dyDescent="0.25">
      <c r="A523" t="s">
        <v>527</v>
      </c>
      <c r="B523">
        <v>0.99987803227770999</v>
      </c>
      <c r="C523">
        <v>1.1204469019836301</v>
      </c>
      <c r="D523">
        <v>0.968025706002273</v>
      </c>
      <c r="E523">
        <v>1.10126889608492</v>
      </c>
      <c r="F523">
        <v>0.58022841609169495</v>
      </c>
      <c r="G523">
        <v>0.31904554859914602</v>
      </c>
      <c r="H523">
        <v>0.185653901220695</v>
      </c>
      <c r="I523">
        <v>0.183683396104458</v>
      </c>
      <c r="J523">
        <v>0.124733930010909</v>
      </c>
      <c r="K523">
        <v>9.53707757179722E-2</v>
      </c>
      <c r="L523">
        <v>13247.247980537801</v>
      </c>
      <c r="M523">
        <v>250</v>
      </c>
      <c r="N523">
        <v>53.084888992714298</v>
      </c>
      <c r="O523">
        <v>52.985597425772603</v>
      </c>
      <c r="P523">
        <v>-0.96524160406483905</v>
      </c>
      <c r="Q523">
        <v>0.18169749721373701</v>
      </c>
      <c r="R523">
        <v>0.96765958612732395</v>
      </c>
      <c r="S523" t="s">
        <v>6834</v>
      </c>
      <c r="T523" t="s">
        <v>12620</v>
      </c>
      <c r="U523" t="s">
        <v>12620</v>
      </c>
      <c r="V523" t="s">
        <v>12620</v>
      </c>
      <c r="W523" t="s">
        <v>13126</v>
      </c>
      <c r="X523">
        <v>9</v>
      </c>
      <c r="Y523" t="s">
        <v>19376</v>
      </c>
      <c r="Z523" t="s">
        <v>25470</v>
      </c>
      <c r="AA523">
        <v>0.53607108175615259</v>
      </c>
      <c r="AB523" t="str">
        <f>HYPERLINK("Melting_Curves/meltCurve_F8VV59_NAP1L1.pdf", "Melting_Curves/meltCurve_F8VV59_NAP1L1.pdf")</f>
        <v>Melting_Curves/meltCurve_F8VV59_NAP1L1.pdf</v>
      </c>
    </row>
    <row r="524" spans="1:28" x14ac:dyDescent="0.25">
      <c r="A524" t="s">
        <v>528</v>
      </c>
      <c r="B524">
        <v>0.99987803227770999</v>
      </c>
      <c r="C524">
        <v>0.97972630210757805</v>
      </c>
      <c r="D524">
        <v>0.96030468091225496</v>
      </c>
      <c r="E524">
        <v>0.84469723624877002</v>
      </c>
      <c r="F524">
        <v>0.69023001765585701</v>
      </c>
      <c r="G524">
        <v>0.239734140818468</v>
      </c>
      <c r="H524">
        <v>9.0545869647382801E-2</v>
      </c>
      <c r="I524">
        <v>8.2499569009580401E-2</v>
      </c>
      <c r="J524">
        <v>5.2434952318161698E-2</v>
      </c>
      <c r="K524">
        <v>4.0582729094332297E-2</v>
      </c>
      <c r="L524">
        <v>1302.34072720163</v>
      </c>
      <c r="M524">
        <v>24.0225233140713</v>
      </c>
      <c r="N524">
        <v>54.397563179423202</v>
      </c>
      <c r="O524">
        <v>53.841826408229601</v>
      </c>
      <c r="P524">
        <v>-0.10718574422789599</v>
      </c>
      <c r="Q524">
        <v>3.9070893486840001E-2</v>
      </c>
      <c r="R524">
        <v>0.99647804872665202</v>
      </c>
      <c r="S524" t="s">
        <v>6835</v>
      </c>
      <c r="T524" t="s">
        <v>12620</v>
      </c>
      <c r="U524" t="s">
        <v>12620</v>
      </c>
      <c r="V524" t="s">
        <v>12620</v>
      </c>
      <c r="W524" t="s">
        <v>13127</v>
      </c>
      <c r="X524">
        <v>6</v>
      </c>
      <c r="Y524" t="s">
        <v>19377</v>
      </c>
      <c r="Z524" t="s">
        <v>25471</v>
      </c>
      <c r="AA524">
        <v>0.50389243836251307</v>
      </c>
      <c r="AB524" t="str">
        <f>HYPERLINK("Melting_Curves/meltCurve_F8VV64_TENC1.pdf", "Melting_Curves/meltCurve_F8VV64_TENC1.pdf")</f>
        <v>Melting_Curves/meltCurve_F8VV64_TENC1.pdf</v>
      </c>
    </row>
    <row r="525" spans="1:28" x14ac:dyDescent="0.25">
      <c r="A525" t="s">
        <v>529</v>
      </c>
      <c r="B525">
        <v>0.99987803227770999</v>
      </c>
      <c r="C525">
        <v>1.03646754651302</v>
      </c>
      <c r="D525">
        <v>1.0781450482341399</v>
      </c>
      <c r="E525">
        <v>0.75947809111812004</v>
      </c>
      <c r="F525">
        <v>0.70999557245343203</v>
      </c>
      <c r="G525">
        <v>0.63748354280870501</v>
      </c>
      <c r="H525">
        <v>0.46770357778975902</v>
      </c>
      <c r="I525">
        <v>0.49877127847138097</v>
      </c>
      <c r="J525">
        <v>0.34813364379391898</v>
      </c>
      <c r="K525">
        <v>0.31204475141170701</v>
      </c>
      <c r="L525">
        <v>631.52760518495097</v>
      </c>
      <c r="M525">
        <v>11.2766361306959</v>
      </c>
      <c r="N525">
        <v>60.310839783892</v>
      </c>
      <c r="O525">
        <v>54.328680591479902</v>
      </c>
      <c r="P525">
        <v>-3.7551883533959898E-2</v>
      </c>
      <c r="Q525">
        <v>0.27655056438033099</v>
      </c>
      <c r="R525">
        <v>0.94221674095437102</v>
      </c>
      <c r="S525" t="s">
        <v>6836</v>
      </c>
      <c r="T525" t="s">
        <v>12620</v>
      </c>
      <c r="U525" t="s">
        <v>12620</v>
      </c>
      <c r="V525" t="s">
        <v>12620</v>
      </c>
      <c r="W525" t="s">
        <v>13128</v>
      </c>
      <c r="X525">
        <v>1</v>
      </c>
      <c r="Y525" t="s">
        <v>19378</v>
      </c>
      <c r="Z525" t="s">
        <v>25472</v>
      </c>
      <c r="AA525">
        <v>0.67750354623708975</v>
      </c>
      <c r="AB525" t="str">
        <f>HYPERLINK("Melting_Curves/meltCurve_F8VVK7_MBD6.pdf", "Melting_Curves/meltCurve_F8VVK7_MBD6.pdf")</f>
        <v>Melting_Curves/meltCurve_F8VVK7_MBD6.pdf</v>
      </c>
    </row>
    <row r="526" spans="1:28" x14ac:dyDescent="0.25">
      <c r="A526" t="s">
        <v>530</v>
      </c>
      <c r="B526">
        <v>0.99987803227770999</v>
      </c>
      <c r="C526">
        <v>1.3259652206110799</v>
      </c>
      <c r="D526">
        <v>0.91141177403685603</v>
      </c>
      <c r="E526">
        <v>1.0401635322789899</v>
      </c>
      <c r="F526">
        <v>0.245951141276194</v>
      </c>
      <c r="G526">
        <v>0.17228840934001599</v>
      </c>
      <c r="H526">
        <v>9.9549645668171496E-2</v>
      </c>
      <c r="I526">
        <v>8.7047165601937801E-2</v>
      </c>
      <c r="J526">
        <v>6.29540130842796E-2</v>
      </c>
      <c r="K526">
        <v>4.8383117339424603E-2</v>
      </c>
      <c r="L526">
        <v>13165.0841259926</v>
      </c>
      <c r="M526">
        <v>250</v>
      </c>
      <c r="N526">
        <v>52.704263533988403</v>
      </c>
      <c r="O526">
        <v>52.656966029346997</v>
      </c>
      <c r="P526">
        <v>-1.0753035906555899</v>
      </c>
      <c r="Q526">
        <v>9.4044397074463798E-2</v>
      </c>
      <c r="R526">
        <v>0.94545104467998098</v>
      </c>
      <c r="S526" t="s">
        <v>6837</v>
      </c>
      <c r="T526" t="s">
        <v>12620</v>
      </c>
      <c r="U526" t="s">
        <v>12620</v>
      </c>
      <c r="V526" t="s">
        <v>12620</v>
      </c>
      <c r="W526" t="s">
        <v>13129</v>
      </c>
      <c r="X526">
        <v>31</v>
      </c>
      <c r="Y526" t="s">
        <v>19379</v>
      </c>
      <c r="Z526" t="s">
        <v>25473</v>
      </c>
      <c r="AA526">
        <v>0.47645155010017681</v>
      </c>
      <c r="AB526" t="str">
        <f>HYPERLINK("Melting_Curves/meltCurve_F8VWA6_MON2.pdf", "Melting_Curves/meltCurve_F8VWA6_MON2.pdf")</f>
        <v>Melting_Curves/meltCurve_F8VWA6_MON2.pdf</v>
      </c>
    </row>
    <row r="527" spans="1:28" x14ac:dyDescent="0.25">
      <c r="A527" t="s">
        <v>531</v>
      </c>
      <c r="B527">
        <v>0.99987803227770999</v>
      </c>
      <c r="C527">
        <v>0.94262753490121098</v>
      </c>
      <c r="D527">
        <v>0.97812369071111105</v>
      </c>
      <c r="E527">
        <v>0.76099702415975801</v>
      </c>
      <c r="F527">
        <v>0.608242189808473</v>
      </c>
      <c r="G527">
        <v>0.488455477828243</v>
      </c>
      <c r="H527">
        <v>0.242862835066876</v>
      </c>
      <c r="I527">
        <v>0.15238346926454699</v>
      </c>
      <c r="J527">
        <v>0.12534087546360601</v>
      </c>
      <c r="K527">
        <v>9.1500339247434198E-2</v>
      </c>
      <c r="L527">
        <v>652.21312212066402</v>
      </c>
      <c r="M527">
        <v>11.727914387767401</v>
      </c>
      <c r="N527">
        <v>55.612012986670997</v>
      </c>
      <c r="O527">
        <v>54.069000204744299</v>
      </c>
      <c r="P527">
        <v>-5.4240896200337799E-2</v>
      </c>
      <c r="Q527">
        <v>0</v>
      </c>
      <c r="R527">
        <v>0.99142923552267204</v>
      </c>
      <c r="S527" t="s">
        <v>6838</v>
      </c>
      <c r="T527" t="s">
        <v>12620</v>
      </c>
      <c r="U527" t="s">
        <v>12620</v>
      </c>
      <c r="V527" t="s">
        <v>12620</v>
      </c>
      <c r="W527" t="s">
        <v>13130</v>
      </c>
      <c r="X527">
        <v>8</v>
      </c>
      <c r="Y527" t="s">
        <v>19380</v>
      </c>
      <c r="Z527" t="s">
        <v>25474</v>
      </c>
      <c r="AA527">
        <v>0.54227495391060776</v>
      </c>
      <c r="AB527" t="str">
        <f>HYPERLINK("Melting_Curves/meltCurve_F8VWL3_FGD4.pdf", "Melting_Curves/meltCurve_F8VWL3_FGD4.pdf")</f>
        <v>Melting_Curves/meltCurve_F8VWL3_FGD4.pdf</v>
      </c>
    </row>
    <row r="528" spans="1:28" x14ac:dyDescent="0.25">
      <c r="A528" t="s">
        <v>532</v>
      </c>
      <c r="B528">
        <v>0.99987803227770999</v>
      </c>
      <c r="C528">
        <v>0.91593045815779395</v>
      </c>
      <c r="D528">
        <v>0.979537984931801</v>
      </c>
      <c r="E528">
        <v>0.93348222488615495</v>
      </c>
      <c r="F528">
        <v>1.0495675241717899</v>
      </c>
      <c r="G528">
        <v>0.93635199583486095</v>
      </c>
      <c r="H528">
        <v>0.80356826508645895</v>
      </c>
      <c r="I528">
        <v>0.73589354770831705</v>
      </c>
      <c r="J528">
        <v>0.68352517399733204</v>
      </c>
      <c r="K528">
        <v>0.54040861496815695</v>
      </c>
      <c r="L528">
        <v>833.09028702511</v>
      </c>
      <c r="M528">
        <v>12.4821594639184</v>
      </c>
      <c r="O528">
        <v>65.098870452767997</v>
      </c>
      <c r="P528">
        <v>-3.3115826305633402E-2</v>
      </c>
      <c r="Q528">
        <v>0.30929999032245198</v>
      </c>
      <c r="R528">
        <v>0.91903837957304402</v>
      </c>
      <c r="S528" t="s">
        <v>6839</v>
      </c>
      <c r="T528" t="s">
        <v>12620</v>
      </c>
      <c r="U528" t="s">
        <v>12620</v>
      </c>
      <c r="V528" t="s">
        <v>12620</v>
      </c>
      <c r="W528" t="s">
        <v>13131</v>
      </c>
      <c r="X528">
        <v>16</v>
      </c>
      <c r="Y528" t="s">
        <v>19381</v>
      </c>
      <c r="Z528" t="s">
        <v>25475</v>
      </c>
      <c r="AA528">
        <v>0.88470805782303974</v>
      </c>
      <c r="AB528" t="str">
        <f>HYPERLINK("Melting_Curves/meltCurve_F8VXG7_SCAF11.pdf", "Melting_Curves/meltCurve_F8VXG7_SCAF11.pdf")</f>
        <v>Melting_Curves/meltCurve_F8VXG7_SCAF11.pdf</v>
      </c>
    </row>
    <row r="529" spans="1:28" x14ac:dyDescent="0.25">
      <c r="A529" t="s">
        <v>533</v>
      </c>
      <c r="B529">
        <v>0.99987803227770999</v>
      </c>
      <c r="C529">
        <v>0.82893871862608504</v>
      </c>
      <c r="D529">
        <v>0.88028011230081904</v>
      </c>
      <c r="E529">
        <v>0.71745269986655402</v>
      </c>
      <c r="F529">
        <v>0.50319024994474204</v>
      </c>
      <c r="G529">
        <v>0.21979134605459399</v>
      </c>
      <c r="H529">
        <v>0.23004918158575199</v>
      </c>
      <c r="I529">
        <v>0.19033464634231101</v>
      </c>
      <c r="J529">
        <v>0.168727622306936</v>
      </c>
      <c r="K529">
        <v>0.110193549209169</v>
      </c>
      <c r="L529">
        <v>713.80806244032999</v>
      </c>
      <c r="M529">
        <v>13.7585235754482</v>
      </c>
      <c r="N529">
        <v>52.795091179815998</v>
      </c>
      <c r="O529">
        <v>50.821969062923401</v>
      </c>
      <c r="P529">
        <v>-6.05167127918338E-2</v>
      </c>
      <c r="Q529">
        <v>0.105967160592962</v>
      </c>
      <c r="R529">
        <v>0.97333688027334997</v>
      </c>
      <c r="S529" t="s">
        <v>6840</v>
      </c>
      <c r="T529" t="s">
        <v>12620</v>
      </c>
      <c r="U529" t="s">
        <v>12620</v>
      </c>
      <c r="V529" t="s">
        <v>12620</v>
      </c>
      <c r="W529" t="s">
        <v>13132</v>
      </c>
      <c r="X529">
        <v>2</v>
      </c>
      <c r="Y529" t="s">
        <v>19382</v>
      </c>
      <c r="Z529" t="s">
        <v>25476</v>
      </c>
      <c r="AA529">
        <v>0.48288163362444808</v>
      </c>
      <c r="AB529" t="str">
        <f>HYPERLINK("Melting_Curves/meltCurve_F8VXY3_OAS1.pdf", "Melting_Curves/meltCurve_F8VXY3_OAS1.pdf")</f>
        <v>Melting_Curves/meltCurve_F8VXY3_OAS1.pdf</v>
      </c>
    </row>
    <row r="530" spans="1:28" x14ac:dyDescent="0.25">
      <c r="A530" t="s">
        <v>534</v>
      </c>
      <c r="B530">
        <v>0.99987803227770999</v>
      </c>
      <c r="C530">
        <v>1.16044439520255</v>
      </c>
      <c r="D530">
        <v>0.97494755362955499</v>
      </c>
      <c r="E530">
        <v>1.1065891263010099</v>
      </c>
      <c r="F530">
        <v>0.75692799447101</v>
      </c>
      <c r="G530">
        <v>0.44672916552191</v>
      </c>
      <c r="H530">
        <v>0.29212974459757801</v>
      </c>
      <c r="I530">
        <v>0.22370839417060401</v>
      </c>
      <c r="J530">
        <v>0.18220945245983899</v>
      </c>
      <c r="K530">
        <v>0.141136141398955</v>
      </c>
      <c r="L530">
        <v>1487.21847945587</v>
      </c>
      <c r="M530">
        <v>26.822242509496299</v>
      </c>
      <c r="N530">
        <v>56.402219165852102</v>
      </c>
      <c r="O530">
        <v>55.141752337408498</v>
      </c>
      <c r="P530">
        <v>-9.9412733610628301E-2</v>
      </c>
      <c r="Q530">
        <v>0.18250883078567301</v>
      </c>
      <c r="R530">
        <v>0.96332461853114404</v>
      </c>
      <c r="S530" t="s">
        <v>6841</v>
      </c>
      <c r="T530" t="s">
        <v>12620</v>
      </c>
      <c r="U530" t="s">
        <v>12620</v>
      </c>
      <c r="V530" t="s">
        <v>12620</v>
      </c>
      <c r="W530" t="s">
        <v>13133</v>
      </c>
      <c r="X530">
        <v>8</v>
      </c>
      <c r="Y530" t="s">
        <v>19376</v>
      </c>
      <c r="Z530" t="s">
        <v>25477</v>
      </c>
      <c r="AA530">
        <v>0.61011286231458495</v>
      </c>
      <c r="AB530" t="str">
        <f>HYPERLINK("Melting_Curves/meltCurve_F8VY35_NAP1L1.pdf", "Melting_Curves/meltCurve_F8VY35_NAP1L1.pdf")</f>
        <v>Melting_Curves/meltCurve_F8VY35_NAP1L1.pdf</v>
      </c>
    </row>
    <row r="531" spans="1:28" x14ac:dyDescent="0.25">
      <c r="A531" t="s">
        <v>535</v>
      </c>
      <c r="B531">
        <v>0.99987803227770999</v>
      </c>
      <c r="C531">
        <v>0.95902128938295095</v>
      </c>
      <c r="D531">
        <v>0.95351206552106904</v>
      </c>
      <c r="E531">
        <v>0.80836078347587204</v>
      </c>
      <c r="F531">
        <v>0.84437082773022099</v>
      </c>
      <c r="G531">
        <v>0.61279912799579705</v>
      </c>
      <c r="H531">
        <v>0.53490788875890904</v>
      </c>
      <c r="I531">
        <v>0.53759484983365502</v>
      </c>
      <c r="J531">
        <v>0.589672669594692</v>
      </c>
      <c r="K531">
        <v>0.41809134135327702</v>
      </c>
      <c r="L531">
        <v>622.91666239852998</v>
      </c>
      <c r="M531">
        <v>11.399509233121501</v>
      </c>
      <c r="N531">
        <v>66.888830393488604</v>
      </c>
      <c r="O531">
        <v>53.043637555819501</v>
      </c>
      <c r="P531">
        <v>-3.0205738847309101E-2</v>
      </c>
      <c r="Q531">
        <v>0.43795779552930297</v>
      </c>
      <c r="R531">
        <v>0.94097815211033198</v>
      </c>
      <c r="S531" t="s">
        <v>6842</v>
      </c>
      <c r="T531" t="s">
        <v>12620</v>
      </c>
      <c r="U531" t="s">
        <v>12620</v>
      </c>
      <c r="V531" t="s">
        <v>12620</v>
      </c>
      <c r="W531" t="s">
        <v>13134</v>
      </c>
      <c r="X531">
        <v>2</v>
      </c>
      <c r="Y531" t="s">
        <v>19383</v>
      </c>
      <c r="Z531" t="s">
        <v>25478</v>
      </c>
      <c r="AA531">
        <v>0.7265806217193379</v>
      </c>
      <c r="AB531" t="str">
        <f>HYPERLINK("Melting_Curves/meltCurve_F8VYK9_IGFBP6.pdf", "Melting_Curves/meltCurve_F8VYK9_IGFBP6.pdf")</f>
        <v>Melting_Curves/meltCurve_F8VYK9_IGFBP6.pdf</v>
      </c>
    </row>
    <row r="532" spans="1:28" x14ac:dyDescent="0.25">
      <c r="A532" t="s">
        <v>536</v>
      </c>
      <c r="B532">
        <v>0.99987803227770999</v>
      </c>
      <c r="C532">
        <v>0.98231167173196898</v>
      </c>
      <c r="D532">
        <v>0.90256732095238001</v>
      </c>
      <c r="E532">
        <v>1.02958481164602</v>
      </c>
      <c r="F532">
        <v>0.97746775954530596</v>
      </c>
      <c r="G532">
        <v>0.91200543144286295</v>
      </c>
      <c r="H532">
        <v>0.86495743842542006</v>
      </c>
      <c r="I532">
        <v>0.75866608208471198</v>
      </c>
      <c r="J532">
        <v>0.52639029139281501</v>
      </c>
      <c r="K532">
        <v>0.46846138887903099</v>
      </c>
      <c r="L532">
        <v>1127.9999330713399</v>
      </c>
      <c r="M532">
        <v>17.071521023552201</v>
      </c>
      <c r="N532">
        <v>68.681284122737594</v>
      </c>
      <c r="O532">
        <v>65.188281078470197</v>
      </c>
      <c r="P532">
        <v>-4.9864328106832403E-2</v>
      </c>
      <c r="Q532">
        <v>0.238410636518231</v>
      </c>
      <c r="R532">
        <v>0.95252274065715203</v>
      </c>
      <c r="S532" t="s">
        <v>6843</v>
      </c>
      <c r="T532" t="s">
        <v>12620</v>
      </c>
      <c r="U532" t="s">
        <v>12620</v>
      </c>
      <c r="V532" t="s">
        <v>12620</v>
      </c>
      <c r="W532" t="s">
        <v>13135</v>
      </c>
      <c r="X532">
        <v>1</v>
      </c>
      <c r="Y532" t="s">
        <v>19384</v>
      </c>
      <c r="Z532" t="s">
        <v>25479</v>
      </c>
      <c r="AA532">
        <v>0.87835684131885772</v>
      </c>
      <c r="AB532" t="str">
        <f>HYPERLINK("Melting_Curves/meltCurve_F8VYY5_DNAJC14.pdf", "Melting_Curves/meltCurve_F8VYY5_DNAJC14.pdf")</f>
        <v>Melting_Curves/meltCurve_F8VYY5_DNAJC14.pdf</v>
      </c>
    </row>
    <row r="533" spans="1:28" x14ac:dyDescent="0.25">
      <c r="A533" t="s">
        <v>537</v>
      </c>
      <c r="B533">
        <v>0.99987803227770999</v>
      </c>
      <c r="C533">
        <v>0.93042804526256895</v>
      </c>
      <c r="D533">
        <v>1.02555380066474</v>
      </c>
      <c r="E533">
        <v>0.97861373390608697</v>
      </c>
      <c r="F533">
        <v>1.11775519846089</v>
      </c>
      <c r="G533">
        <v>0.99931126487653898</v>
      </c>
      <c r="H533">
        <v>0.99900991821246099</v>
      </c>
      <c r="I533">
        <v>1.0400587798947301</v>
      </c>
      <c r="J533">
        <v>0.83112577582271296</v>
      </c>
      <c r="K533">
        <v>0.64203533253721801</v>
      </c>
      <c r="L533">
        <v>15000</v>
      </c>
      <c r="M533">
        <v>223.767332217854</v>
      </c>
      <c r="O533">
        <v>67.028553581277194</v>
      </c>
      <c r="P533">
        <v>-0.29877974672861801</v>
      </c>
      <c r="Q533">
        <v>0.64200715609004499</v>
      </c>
      <c r="R533">
        <v>0.86530202204103501</v>
      </c>
      <c r="S533" t="s">
        <v>6844</v>
      </c>
      <c r="T533" t="s">
        <v>12620</v>
      </c>
      <c r="U533" t="s">
        <v>12620</v>
      </c>
      <c r="V533" t="s">
        <v>12620</v>
      </c>
      <c r="W533" t="s">
        <v>13136</v>
      </c>
      <c r="X533">
        <v>6</v>
      </c>
      <c r="Y533" t="s">
        <v>19385</v>
      </c>
      <c r="Z533" t="s">
        <v>25480</v>
      </c>
      <c r="AA533">
        <v>0.96465768082774395</v>
      </c>
      <c r="AB533" t="str">
        <f>HYPERLINK("Melting_Curves/meltCurve_F8VZJ2_NACA.pdf", "Melting_Curves/meltCurve_F8VZJ2_NACA.pdf")</f>
        <v>Melting_Curves/meltCurve_F8VZJ2_NACA.pdf</v>
      </c>
    </row>
    <row r="534" spans="1:28" x14ac:dyDescent="0.25">
      <c r="A534" t="s">
        <v>538</v>
      </c>
      <c r="B534">
        <v>0.99987803227770999</v>
      </c>
      <c r="C534">
        <v>0.89871076350155499</v>
      </c>
      <c r="D534">
        <v>1.00404923093331</v>
      </c>
      <c r="E534">
        <v>0.85209731918432097</v>
      </c>
      <c r="F534">
        <v>0.81250277722286401</v>
      </c>
      <c r="G534">
        <v>0.61676675117112401</v>
      </c>
      <c r="H534">
        <v>0.53110773444228898</v>
      </c>
      <c r="I534">
        <v>0.46905394365479902</v>
      </c>
      <c r="J534">
        <v>0.38579197831238199</v>
      </c>
      <c r="K534">
        <v>0.29472619940776901</v>
      </c>
      <c r="L534">
        <v>506.21182793540697</v>
      </c>
      <c r="M534">
        <v>8.3741334767966205</v>
      </c>
      <c r="N534">
        <v>62.0170504451835</v>
      </c>
      <c r="O534">
        <v>57.297057584190597</v>
      </c>
      <c r="P534">
        <v>-3.3084547193075901E-2</v>
      </c>
      <c r="Q534">
        <v>9.5384681410021502E-2</v>
      </c>
      <c r="R534">
        <v>0.97772808385207</v>
      </c>
      <c r="S534" t="s">
        <v>6845</v>
      </c>
      <c r="T534" t="s">
        <v>12620</v>
      </c>
      <c r="U534" t="s">
        <v>12620</v>
      </c>
      <c r="V534" t="s">
        <v>12620</v>
      </c>
      <c r="W534" t="s">
        <v>13137</v>
      </c>
      <c r="X534">
        <v>7</v>
      </c>
      <c r="Y534" t="s">
        <v>19386</v>
      </c>
      <c r="Z534" t="s">
        <v>25481</v>
      </c>
      <c r="AA534">
        <v>0.69669436584234978</v>
      </c>
      <c r="AB534" t="str">
        <f>HYPERLINK("Melting_Curves/meltCurve_F8W038_C17orf49.pdf", "Melting_Curves/meltCurve_F8W038_C17orf49.pdf")</f>
        <v>Melting_Curves/meltCurve_F8W038_C17orf49.pdf</v>
      </c>
    </row>
    <row r="535" spans="1:28" x14ac:dyDescent="0.25">
      <c r="A535" t="s">
        <v>539</v>
      </c>
      <c r="B535">
        <v>0.99987803227770999</v>
      </c>
      <c r="C535">
        <v>0.92302493360425197</v>
      </c>
      <c r="D535">
        <v>1.09977500983451</v>
      </c>
      <c r="E535">
        <v>0.906186389467034</v>
      </c>
      <c r="F535">
        <v>1.13057531576621</v>
      </c>
      <c r="G535">
        <v>0.64929344670545297</v>
      </c>
      <c r="H535">
        <v>0.54152008677881702</v>
      </c>
      <c r="I535">
        <v>0.59396537328221199</v>
      </c>
      <c r="J535">
        <v>0.49339793573255197</v>
      </c>
      <c r="K535">
        <v>0.39652192463702801</v>
      </c>
      <c r="L535">
        <v>14198.841937680399</v>
      </c>
      <c r="M535">
        <v>250</v>
      </c>
      <c r="O535">
        <v>56.791712670803101</v>
      </c>
      <c r="P535">
        <v>-0.54326643130282704</v>
      </c>
      <c r="Q535">
        <v>0.50635132379036896</v>
      </c>
      <c r="R535">
        <v>0.90285344891631303</v>
      </c>
      <c r="S535" t="s">
        <v>6846</v>
      </c>
      <c r="T535" t="s">
        <v>12620</v>
      </c>
      <c r="U535" t="s">
        <v>12620</v>
      </c>
      <c r="V535" t="s">
        <v>12620</v>
      </c>
      <c r="W535" t="s">
        <v>13138</v>
      </c>
      <c r="X535">
        <v>2</v>
      </c>
      <c r="Y535" t="s">
        <v>19387</v>
      </c>
      <c r="Z535" t="s">
        <v>25482</v>
      </c>
      <c r="AA535">
        <v>0.78276756343541332</v>
      </c>
      <c r="AB535" t="str">
        <f>HYPERLINK("Melting_Curves/meltCurve_F8W052_TROAP.pdf", "Melting_Curves/meltCurve_F8W052_TROAP.pdf")</f>
        <v>Melting_Curves/meltCurve_F8W052_TROAP.pdf</v>
      </c>
    </row>
    <row r="536" spans="1:28" x14ac:dyDescent="0.25">
      <c r="A536" t="s">
        <v>540</v>
      </c>
      <c r="B536">
        <v>0.99987803227770999</v>
      </c>
      <c r="C536">
        <v>1.3932520454006601</v>
      </c>
      <c r="D536">
        <v>1.61502347236791</v>
      </c>
      <c r="E536">
        <v>1.28505208442306</v>
      </c>
      <c r="F536">
        <v>0.81475060222638795</v>
      </c>
      <c r="G536">
        <v>0.42545956112509697</v>
      </c>
      <c r="H536">
        <v>0.30584606631375</v>
      </c>
      <c r="I536">
        <v>0.24213165053656699</v>
      </c>
      <c r="J536">
        <v>0.22977749774111</v>
      </c>
      <c r="K536">
        <v>0.148432782603071</v>
      </c>
      <c r="L536">
        <v>2112.6746003653702</v>
      </c>
      <c r="M536">
        <v>38.175295572037797</v>
      </c>
      <c r="N536">
        <v>56.220144222384299</v>
      </c>
      <c r="O536">
        <v>55.190212755231499</v>
      </c>
      <c r="P536">
        <v>-0.13407295799673299</v>
      </c>
      <c r="Q536">
        <v>0.22468232452298301</v>
      </c>
      <c r="R536">
        <v>0.765180595844135</v>
      </c>
      <c r="S536" t="s">
        <v>6847</v>
      </c>
      <c r="T536" t="s">
        <v>12620</v>
      </c>
      <c r="U536" t="s">
        <v>12620</v>
      </c>
      <c r="V536" t="s">
        <v>12620</v>
      </c>
      <c r="W536" t="s">
        <v>13139</v>
      </c>
      <c r="X536">
        <v>10</v>
      </c>
      <c r="Y536" t="s">
        <v>19388</v>
      </c>
      <c r="Z536" t="s">
        <v>25483</v>
      </c>
      <c r="AA536">
        <v>0.6244027264413281</v>
      </c>
      <c r="AB536" t="str">
        <f>HYPERLINK("Melting_Curves/meltCurve_F8W181_RPL6.pdf", "Melting_Curves/meltCurve_F8W181_RPL6.pdf")</f>
        <v>Melting_Curves/meltCurve_F8W181_RPL6.pdf</v>
      </c>
    </row>
    <row r="537" spans="1:28" x14ac:dyDescent="0.25">
      <c r="A537" t="s">
        <v>541</v>
      </c>
      <c r="B537">
        <v>0.99987803227770999</v>
      </c>
      <c r="C537">
        <v>1.27750172367485</v>
      </c>
      <c r="D537">
        <v>1.26185247653129</v>
      </c>
      <c r="E537">
        <v>1.1363390674231799</v>
      </c>
      <c r="F537">
        <v>0.811293370405609</v>
      </c>
      <c r="G537">
        <v>0.61866743972716598</v>
      </c>
      <c r="H537">
        <v>0.21510368683134401</v>
      </c>
      <c r="I537">
        <v>0.14709591665632099</v>
      </c>
      <c r="J537">
        <v>0.13376994321869401</v>
      </c>
      <c r="K537">
        <v>8.3693196044880097E-2</v>
      </c>
      <c r="L537">
        <v>1542.9708843727001</v>
      </c>
      <c r="M537">
        <v>26.903973868454798</v>
      </c>
      <c r="N537">
        <v>57.782659370606098</v>
      </c>
      <c r="O537">
        <v>57.036994822259103</v>
      </c>
      <c r="P537">
        <v>-0.107189776356478</v>
      </c>
      <c r="Q537">
        <v>9.1030740464591406E-2</v>
      </c>
      <c r="R537">
        <v>0.91633962246381595</v>
      </c>
      <c r="S537" t="s">
        <v>6848</v>
      </c>
      <c r="T537" t="s">
        <v>12620</v>
      </c>
      <c r="U537" t="s">
        <v>12620</v>
      </c>
      <c r="V537" t="s">
        <v>12620</v>
      </c>
      <c r="W537" t="s">
        <v>13140</v>
      </c>
      <c r="X537">
        <v>3</v>
      </c>
      <c r="Y537" t="s">
        <v>19389</v>
      </c>
      <c r="Z537" t="s">
        <v>25484</v>
      </c>
      <c r="AA537">
        <v>0.62398498418108905</v>
      </c>
      <c r="AB537" t="str">
        <f>HYPERLINK("Melting_Curves/meltCurve_F8W1B9_YEATS4.pdf", "Melting_Curves/meltCurve_F8W1B9_YEATS4.pdf")</f>
        <v>Melting_Curves/meltCurve_F8W1B9_YEATS4.pdf</v>
      </c>
    </row>
    <row r="538" spans="1:28" x14ac:dyDescent="0.25">
      <c r="A538" t="s">
        <v>542</v>
      </c>
      <c r="B538">
        <v>0.99987803227770999</v>
      </c>
      <c r="C538">
        <v>1.15273107435011</v>
      </c>
      <c r="D538">
        <v>0.74405495393530796</v>
      </c>
      <c r="E538">
        <v>0.66073026903445498</v>
      </c>
      <c r="F538">
        <v>0.48949775900227199</v>
      </c>
      <c r="G538">
        <v>0.33673110512874399</v>
      </c>
      <c r="H538">
        <v>0.31916819630163401</v>
      </c>
      <c r="I538">
        <v>0.33848172619892503</v>
      </c>
      <c r="J538">
        <v>0.18122298958209601</v>
      </c>
      <c r="K538">
        <v>0.13809831048055299</v>
      </c>
      <c r="L538">
        <v>718.13077166779703</v>
      </c>
      <c r="M538">
        <v>14.074336947106501</v>
      </c>
      <c r="N538">
        <v>52.9199803843686</v>
      </c>
      <c r="O538">
        <v>50.027175469828101</v>
      </c>
      <c r="P538">
        <v>-5.6413989072622898E-2</v>
      </c>
      <c r="Q538">
        <v>0.19801074392378401</v>
      </c>
      <c r="R538">
        <v>0.92968566153741405</v>
      </c>
      <c r="S538" t="s">
        <v>6849</v>
      </c>
      <c r="T538" t="s">
        <v>12620</v>
      </c>
      <c r="U538" t="s">
        <v>12620</v>
      </c>
      <c r="V538" t="s">
        <v>12620</v>
      </c>
      <c r="W538" t="s">
        <v>13141</v>
      </c>
      <c r="X538">
        <v>5</v>
      </c>
      <c r="Y538" t="s">
        <v>19390</v>
      </c>
      <c r="Z538" t="s">
        <v>25485</v>
      </c>
      <c r="AA538">
        <v>0.51324790802904374</v>
      </c>
      <c r="AB538" t="str">
        <f>HYPERLINK("Melting_Curves/meltCurve_F8W1F5_FMNL3.pdf", "Melting_Curves/meltCurve_F8W1F5_FMNL3.pdf")</f>
        <v>Melting_Curves/meltCurve_F8W1F5_FMNL3.pdf</v>
      </c>
    </row>
    <row r="539" spans="1:28" x14ac:dyDescent="0.25">
      <c r="A539" t="s">
        <v>543</v>
      </c>
      <c r="B539">
        <v>0.99987803227770999</v>
      </c>
      <c r="C539">
        <v>0.98620687729067602</v>
      </c>
      <c r="D539">
        <v>0.98713708539017397</v>
      </c>
      <c r="E539">
        <v>0.89051245836387805</v>
      </c>
      <c r="F539">
        <v>0.61403585153236295</v>
      </c>
      <c r="G539">
        <v>0.40602083853013798</v>
      </c>
      <c r="H539">
        <v>0.348312450630203</v>
      </c>
      <c r="I539">
        <v>0.30956647109749802</v>
      </c>
      <c r="J539">
        <v>0.29109482745585702</v>
      </c>
      <c r="K539">
        <v>0.24042181907582</v>
      </c>
      <c r="L539">
        <v>1272.2893297309199</v>
      </c>
      <c r="M539">
        <v>24.007109618208599</v>
      </c>
      <c r="N539">
        <v>54.926253996596103</v>
      </c>
      <c r="O539">
        <v>52.632743451398902</v>
      </c>
      <c r="P539">
        <v>-8.15447280763964E-2</v>
      </c>
      <c r="Q539">
        <v>0.28490268781648898</v>
      </c>
      <c r="R539">
        <v>0.99443567881636796</v>
      </c>
      <c r="S539" t="s">
        <v>6850</v>
      </c>
      <c r="T539" t="s">
        <v>12620</v>
      </c>
      <c r="U539" t="s">
        <v>12620</v>
      </c>
      <c r="V539" t="s">
        <v>12620</v>
      </c>
      <c r="W539" t="s">
        <v>13142</v>
      </c>
      <c r="X539">
        <v>2</v>
      </c>
      <c r="Y539" t="s">
        <v>19391</v>
      </c>
      <c r="Z539" t="s">
        <v>25486</v>
      </c>
      <c r="AA539">
        <v>0.60179218786730149</v>
      </c>
      <c r="AB539" t="str">
        <f>HYPERLINK("Melting_Curves/meltCurve_F8W1T6_RBMS2.pdf", "Melting_Curves/meltCurve_F8W1T6_RBMS2.pdf")</f>
        <v>Melting_Curves/meltCurve_F8W1T6_RBMS2.pdf</v>
      </c>
    </row>
    <row r="540" spans="1:28" x14ac:dyDescent="0.25">
      <c r="A540" t="s">
        <v>544</v>
      </c>
      <c r="B540">
        <v>0.99987803227770999</v>
      </c>
      <c r="C540">
        <v>0.947727774432777</v>
      </c>
      <c r="D540">
        <v>0.81770215957910997</v>
      </c>
      <c r="E540">
        <v>0.60676120019438695</v>
      </c>
      <c r="F540">
        <v>0.40462640469778499</v>
      </c>
      <c r="G540">
        <v>0.25571459751508702</v>
      </c>
      <c r="H540">
        <v>0.14873325531068701</v>
      </c>
      <c r="I540">
        <v>0.147452225271195</v>
      </c>
      <c r="J540">
        <v>0.108949521162651</v>
      </c>
      <c r="K540">
        <v>0.107186809904465</v>
      </c>
      <c r="L540">
        <v>730.38443793717295</v>
      </c>
      <c r="M540">
        <v>14.3776478206352</v>
      </c>
      <c r="N540">
        <v>51.497193853369801</v>
      </c>
      <c r="O540">
        <v>49.847576332951299</v>
      </c>
      <c r="P540">
        <v>-6.5738674760603105E-2</v>
      </c>
      <c r="Q540">
        <v>8.84398056803158E-2</v>
      </c>
      <c r="R540">
        <v>0.99880282311816504</v>
      </c>
      <c r="S540" t="s">
        <v>6851</v>
      </c>
      <c r="T540" t="s">
        <v>12620</v>
      </c>
      <c r="U540" t="s">
        <v>12620</v>
      </c>
      <c r="V540" t="s">
        <v>12620</v>
      </c>
      <c r="W540" t="s">
        <v>13143</v>
      </c>
      <c r="X540">
        <v>2</v>
      </c>
      <c r="Y540" t="s">
        <v>19392</v>
      </c>
      <c r="Z540" t="s">
        <v>25487</v>
      </c>
      <c r="AA540">
        <v>0.43933892303193328</v>
      </c>
      <c r="AB540" t="str">
        <f>HYPERLINK("Melting_Curves/meltCurve_F8W648_PLEKHM1.pdf", "Melting_Curves/meltCurve_F8W648_PLEKHM1.pdf")</f>
        <v>Melting_Curves/meltCurve_F8W648_PLEKHM1.pdf</v>
      </c>
    </row>
    <row r="541" spans="1:28" x14ac:dyDescent="0.25">
      <c r="A541" t="s">
        <v>545</v>
      </c>
      <c r="B541">
        <v>0.99987803227770999</v>
      </c>
      <c r="C541">
        <v>0.88714844552897798</v>
      </c>
      <c r="D541">
        <v>0.96530986667225605</v>
      </c>
      <c r="E541">
        <v>0.75001722047811803</v>
      </c>
      <c r="F541">
        <v>0.85931224803543704</v>
      </c>
      <c r="G541">
        <v>0.48809757707809198</v>
      </c>
      <c r="H541">
        <v>0.62490537645880795</v>
      </c>
      <c r="I541">
        <v>0.66891821846616495</v>
      </c>
      <c r="J541">
        <v>0.34962816536549801</v>
      </c>
      <c r="K541">
        <v>0.38606313790954599</v>
      </c>
      <c r="L541">
        <v>342.44146533518801</v>
      </c>
      <c r="M541">
        <v>5.3183217733239498</v>
      </c>
      <c r="N541">
        <v>64.389014025595102</v>
      </c>
      <c r="O541">
        <v>56.976750964345598</v>
      </c>
      <c r="P541">
        <v>-2.34510629380952E-2</v>
      </c>
      <c r="Q541">
        <v>0</v>
      </c>
      <c r="R541">
        <v>0.81004710001938296</v>
      </c>
      <c r="S541" t="s">
        <v>6852</v>
      </c>
      <c r="T541" t="s">
        <v>12620</v>
      </c>
      <c r="U541" t="s">
        <v>12620</v>
      </c>
      <c r="V541" t="s">
        <v>12620</v>
      </c>
      <c r="W541" t="s">
        <v>13144</v>
      </c>
      <c r="X541">
        <v>2</v>
      </c>
      <c r="Y541" t="s">
        <v>19393</v>
      </c>
      <c r="Z541" t="s">
        <v>25488</v>
      </c>
      <c r="AA541">
        <v>0.70147141878609354</v>
      </c>
      <c r="AB541" t="str">
        <f>HYPERLINK("Melting_Curves/meltCurve_F8W6D7_CBFA2T2.pdf", "Melting_Curves/meltCurve_F8W6D7_CBFA2T2.pdf")</f>
        <v>Melting_Curves/meltCurve_F8W6D7_CBFA2T2.pdf</v>
      </c>
    </row>
    <row r="542" spans="1:28" x14ac:dyDescent="0.25">
      <c r="A542" t="s">
        <v>546</v>
      </c>
      <c r="B542">
        <v>0.99987803227770999</v>
      </c>
      <c r="C542">
        <v>0.91330835456035597</v>
      </c>
      <c r="D542">
        <v>1.02439110577179</v>
      </c>
      <c r="E542">
        <v>0.97974816177604096</v>
      </c>
      <c r="F542">
        <v>0.96383436025283897</v>
      </c>
      <c r="G542">
        <v>0.57415445020854805</v>
      </c>
      <c r="H542">
        <v>0.30626032235515999</v>
      </c>
      <c r="I542">
        <v>0.240687819489697</v>
      </c>
      <c r="J542">
        <v>0.18414516516820501</v>
      </c>
      <c r="K542">
        <v>0.13892644151497099</v>
      </c>
      <c r="L542">
        <v>1650.6491397237501</v>
      </c>
      <c r="M542">
        <v>28.883798387885399</v>
      </c>
      <c r="N542">
        <v>57.997672820939997</v>
      </c>
      <c r="O542">
        <v>56.8761185352026</v>
      </c>
      <c r="P542">
        <v>-0.105056314438306</v>
      </c>
      <c r="Q542">
        <v>0.17252607421431901</v>
      </c>
      <c r="R542">
        <v>0.98964162720423698</v>
      </c>
      <c r="S542" t="s">
        <v>6853</v>
      </c>
      <c r="T542" t="s">
        <v>12620</v>
      </c>
      <c r="U542" t="s">
        <v>12620</v>
      </c>
      <c r="V542" t="s">
        <v>12620</v>
      </c>
      <c r="W542" t="s">
        <v>13145</v>
      </c>
      <c r="X542">
        <v>21</v>
      </c>
      <c r="Y542" t="s">
        <v>19394</v>
      </c>
      <c r="Z542" t="s">
        <v>25489</v>
      </c>
      <c r="AA542">
        <v>0.65138488735849198</v>
      </c>
      <c r="AB542" t="str">
        <f>HYPERLINK("Melting_Curves/meltCurve_F8W6I7_HNRNPA1.pdf", "Melting_Curves/meltCurve_F8W6I7_HNRNPA1.pdf")</f>
        <v>Melting_Curves/meltCurve_F8W6I7_HNRNPA1.pdf</v>
      </c>
    </row>
    <row r="543" spans="1:28" x14ac:dyDescent="0.25">
      <c r="A543" t="s">
        <v>547</v>
      </c>
      <c r="B543">
        <v>0.99987803227770999</v>
      </c>
      <c r="C543">
        <v>0.97506581266535297</v>
      </c>
      <c r="D543">
        <v>0.68123742423561395</v>
      </c>
      <c r="E543">
        <v>0.420748432381017</v>
      </c>
      <c r="F543">
        <v>0.35200530175789502</v>
      </c>
      <c r="G543">
        <v>0.24676475342564</v>
      </c>
      <c r="H543">
        <v>0.18185713107297299</v>
      </c>
      <c r="I543">
        <v>0.155102490243616</v>
      </c>
      <c r="J543">
        <v>0.14348847224625599</v>
      </c>
      <c r="K543">
        <v>9.0528172772880805E-2</v>
      </c>
      <c r="L543">
        <v>760.36497816057897</v>
      </c>
      <c r="M543">
        <v>15.7331555482687</v>
      </c>
      <c r="N543">
        <v>49.327219773411301</v>
      </c>
      <c r="O543">
        <v>47.568253132137102</v>
      </c>
      <c r="P543">
        <v>-7.1418066990575804E-2</v>
      </c>
      <c r="Q543">
        <v>0.13635925031082299</v>
      </c>
      <c r="R543">
        <v>0.98365165453872805</v>
      </c>
      <c r="S543" t="s">
        <v>6854</v>
      </c>
      <c r="T543" t="s">
        <v>12620</v>
      </c>
      <c r="U543" t="s">
        <v>12620</v>
      </c>
      <c r="V543" t="s">
        <v>12620</v>
      </c>
      <c r="W543" t="s">
        <v>13146</v>
      </c>
      <c r="X543">
        <v>3</v>
      </c>
      <c r="Y543" t="s">
        <v>19395</v>
      </c>
      <c r="Z543" t="s">
        <v>25490</v>
      </c>
      <c r="AA543">
        <v>0.39606533414970357</v>
      </c>
      <c r="AB543" t="str">
        <f>HYPERLINK("Melting_Curves/meltCurve_F8W6X8_RASA3.pdf", "Melting_Curves/meltCurve_F8W6X8_RASA3.pdf")</f>
        <v>Melting_Curves/meltCurve_F8W6X8_RASA3.pdf</v>
      </c>
    </row>
    <row r="544" spans="1:28" x14ac:dyDescent="0.25">
      <c r="A544" t="s">
        <v>548</v>
      </c>
      <c r="B544">
        <v>0.99987803227770999</v>
      </c>
      <c r="C544">
        <v>0.96801189666842702</v>
      </c>
      <c r="D544">
        <v>0.88613418268382904</v>
      </c>
      <c r="E544">
        <v>0.97954161834009601</v>
      </c>
      <c r="F544">
        <v>0.82151759722700202</v>
      </c>
      <c r="G544">
        <v>0.43386985680956103</v>
      </c>
      <c r="H544">
        <v>0.170662765060519</v>
      </c>
      <c r="I544">
        <v>0.162178126885788</v>
      </c>
      <c r="J544">
        <v>0.13264814690158</v>
      </c>
      <c r="K544">
        <v>0.109419870118835</v>
      </c>
      <c r="L544">
        <v>1525.5926721912599</v>
      </c>
      <c r="M544">
        <v>27.378369135091599</v>
      </c>
      <c r="N544">
        <v>56.269778605532302</v>
      </c>
      <c r="O544">
        <v>55.4278193352527</v>
      </c>
      <c r="P544">
        <v>-0.109054793433754</v>
      </c>
      <c r="Q544">
        <v>0.11687763882131</v>
      </c>
      <c r="R544">
        <v>0.98961776732331996</v>
      </c>
      <c r="S544" t="s">
        <v>6855</v>
      </c>
      <c r="T544" t="s">
        <v>12620</v>
      </c>
      <c r="U544" t="s">
        <v>12620</v>
      </c>
      <c r="V544" t="s">
        <v>12620</v>
      </c>
      <c r="W544" t="s">
        <v>13147</v>
      </c>
      <c r="X544">
        <v>16</v>
      </c>
      <c r="Y544" t="s">
        <v>19396</v>
      </c>
      <c r="Z544" t="s">
        <v>25491</v>
      </c>
      <c r="AA544">
        <v>0.58665498431204477</v>
      </c>
      <c r="AB544" t="str">
        <f>HYPERLINK("Melting_Curves/meltCurve_F8W717_EML1.pdf", "Melting_Curves/meltCurve_F8W717_EML1.pdf")</f>
        <v>Melting_Curves/meltCurve_F8W717_EML1.pdf</v>
      </c>
    </row>
    <row r="545" spans="1:28" x14ac:dyDescent="0.25">
      <c r="A545" t="s">
        <v>549</v>
      </c>
      <c r="B545">
        <v>0.99987803227770999</v>
      </c>
      <c r="C545">
        <v>0.83522506511723404</v>
      </c>
      <c r="D545">
        <v>0.85586626495542795</v>
      </c>
      <c r="E545">
        <v>0.77741445852290603</v>
      </c>
      <c r="F545">
        <v>0.676342765917606</v>
      </c>
      <c r="G545">
        <v>0.47388260442505797</v>
      </c>
      <c r="H545">
        <v>0.57185648982496495</v>
      </c>
      <c r="I545">
        <v>0.61146200121321603</v>
      </c>
      <c r="J545">
        <v>0.40964490089238398</v>
      </c>
      <c r="K545">
        <v>0.36814169058069401</v>
      </c>
      <c r="L545">
        <v>353.83878594523901</v>
      </c>
      <c r="M545">
        <v>6.4471235954504396</v>
      </c>
      <c r="N545">
        <v>62.576908276696699</v>
      </c>
      <c r="O545">
        <v>50.317845767435998</v>
      </c>
      <c r="P545">
        <v>-2.3323656097169201E-2</v>
      </c>
      <c r="Q545">
        <v>0.27368063077340499</v>
      </c>
      <c r="R545">
        <v>0.88173150857994897</v>
      </c>
      <c r="S545" t="s">
        <v>6856</v>
      </c>
      <c r="T545" t="s">
        <v>12620</v>
      </c>
      <c r="U545" t="s">
        <v>12620</v>
      </c>
      <c r="V545" t="s">
        <v>12620</v>
      </c>
      <c r="W545" t="s">
        <v>13148</v>
      </c>
      <c r="X545">
        <v>1</v>
      </c>
      <c r="Y545" t="s">
        <v>19397</v>
      </c>
      <c r="Z545" t="s">
        <v>25492</v>
      </c>
      <c r="AA545">
        <v>0.65421353977541952</v>
      </c>
      <c r="AB545" t="str">
        <f>HYPERLINK("Melting_Curves/meltCurve_F8W785_GOLIM4.pdf", "Melting_Curves/meltCurve_F8W785_GOLIM4.pdf")</f>
        <v>Melting_Curves/meltCurve_F8W785_GOLIM4.pdf</v>
      </c>
    </row>
    <row r="546" spans="1:28" x14ac:dyDescent="0.25">
      <c r="A546" t="s">
        <v>550</v>
      </c>
      <c r="B546">
        <v>0.99987803227770999</v>
      </c>
      <c r="C546">
        <v>0.88417756885721999</v>
      </c>
      <c r="D546">
        <v>1.54075188122816</v>
      </c>
      <c r="E546">
        <v>0.83613614230586297</v>
      </c>
      <c r="F546">
        <v>0.74705032865386301</v>
      </c>
      <c r="G546">
        <v>0.52188406217091199</v>
      </c>
      <c r="H546">
        <v>0.47201293563236002</v>
      </c>
      <c r="I546">
        <v>0.55109211573847305</v>
      </c>
      <c r="J546">
        <v>0.45009936322022198</v>
      </c>
      <c r="K546">
        <v>0.30721130649115003</v>
      </c>
      <c r="L546">
        <v>1537.87357649711</v>
      </c>
      <c r="M546">
        <v>28.902163516266398</v>
      </c>
      <c r="N546">
        <v>57.477036557798399</v>
      </c>
      <c r="O546">
        <v>52.956855992159703</v>
      </c>
      <c r="P546">
        <v>-7.6201353993809604E-2</v>
      </c>
      <c r="Q546">
        <v>0.44151535517471402</v>
      </c>
      <c r="R546">
        <v>0.69960723329468699</v>
      </c>
      <c r="S546" t="s">
        <v>6857</v>
      </c>
      <c r="T546" t="s">
        <v>12620</v>
      </c>
      <c r="U546" t="s">
        <v>12620</v>
      </c>
      <c r="V546" t="s">
        <v>12620</v>
      </c>
      <c r="W546" t="s">
        <v>13149</v>
      </c>
      <c r="X546">
        <v>23</v>
      </c>
      <c r="Y546" t="s">
        <v>19398</v>
      </c>
      <c r="Z546" t="s">
        <v>25493</v>
      </c>
      <c r="AA546">
        <v>0.6913336202388134</v>
      </c>
      <c r="AB546" t="str">
        <f>HYPERLINK("Melting_Curves/meltCurve_F8W7U8_MRE11A.pdf", "Melting_Curves/meltCurve_F8W7U8_MRE11A.pdf")</f>
        <v>Melting_Curves/meltCurve_F8W7U8_MRE11A.pdf</v>
      </c>
    </row>
    <row r="547" spans="1:28" x14ac:dyDescent="0.25">
      <c r="A547" t="s">
        <v>551</v>
      </c>
      <c r="B547">
        <v>0.99987803227770999</v>
      </c>
      <c r="C547">
        <v>0.70738640044281098</v>
      </c>
      <c r="D547">
        <v>0.98703200087767395</v>
      </c>
      <c r="E547">
        <v>0.78483114588398195</v>
      </c>
      <c r="F547">
        <v>1.07801906546663</v>
      </c>
      <c r="G547">
        <v>0.85349868706406495</v>
      </c>
      <c r="H547">
        <v>0.91953663126188001</v>
      </c>
      <c r="I547">
        <v>0.81395815162457796</v>
      </c>
      <c r="J547">
        <v>0.83643035948108202</v>
      </c>
      <c r="K547">
        <v>0.74929378697401805</v>
      </c>
      <c r="L547">
        <v>105.932128052659</v>
      </c>
      <c r="M547">
        <v>1.0000000000000001E-5</v>
      </c>
      <c r="O547">
        <v>44.150153963586199</v>
      </c>
      <c r="P547">
        <v>-4.1463577594328897E-3</v>
      </c>
      <c r="Q547">
        <v>0</v>
      </c>
      <c r="R547">
        <v>8.82026623953341E-2</v>
      </c>
      <c r="S547" t="s">
        <v>6858</v>
      </c>
      <c r="T547" t="s">
        <v>12620</v>
      </c>
      <c r="U547" t="s">
        <v>12620</v>
      </c>
      <c r="V547" t="s">
        <v>12620</v>
      </c>
      <c r="W547" t="s">
        <v>13150</v>
      </c>
      <c r="X547">
        <v>2</v>
      </c>
      <c r="Y547" t="s">
        <v>19399</v>
      </c>
      <c r="Z547" t="s">
        <v>25494</v>
      </c>
      <c r="AA547">
        <v>0.87419195679110118</v>
      </c>
      <c r="AB547" t="str">
        <f>HYPERLINK("Melting_Curves/meltCurve_F8W8C2_VEZT.pdf", "Melting_Curves/meltCurve_F8W8C2_VEZT.pdf")</f>
        <v>Melting_Curves/meltCurve_F8W8C2_VEZT.pdf</v>
      </c>
    </row>
    <row r="548" spans="1:28" x14ac:dyDescent="0.25">
      <c r="A548" t="s">
        <v>552</v>
      </c>
      <c r="B548">
        <v>0.99987803227770999</v>
      </c>
      <c r="C548">
        <v>1.0232437604659701</v>
      </c>
      <c r="D548">
        <v>0.96063592484851301</v>
      </c>
      <c r="E548">
        <v>0.88058214555246805</v>
      </c>
      <c r="F548">
        <v>0.703899393263553</v>
      </c>
      <c r="G548">
        <v>0.41526854458567802</v>
      </c>
      <c r="H548">
        <v>0.22983904868145499</v>
      </c>
      <c r="I548">
        <v>0.194612328154815</v>
      </c>
      <c r="J548">
        <v>0.13514594977534</v>
      </c>
      <c r="K548">
        <v>8.1850841462563606E-2</v>
      </c>
      <c r="L548">
        <v>951.44449311531696</v>
      </c>
      <c r="M548">
        <v>17.2148201935318</v>
      </c>
      <c r="N548">
        <v>55.867755762878502</v>
      </c>
      <c r="O548">
        <v>54.539282027348698</v>
      </c>
      <c r="P548">
        <v>-7.2266297254968401E-2</v>
      </c>
      <c r="Q548">
        <v>8.424947649667E-2</v>
      </c>
      <c r="R548">
        <v>0.99786700389190897</v>
      </c>
      <c r="S548" t="s">
        <v>6859</v>
      </c>
      <c r="T548" t="s">
        <v>12620</v>
      </c>
      <c r="U548" t="s">
        <v>12620</v>
      </c>
      <c r="V548" t="s">
        <v>12620</v>
      </c>
      <c r="W548" t="s">
        <v>13151</v>
      </c>
      <c r="X548">
        <v>3</v>
      </c>
      <c r="Y548" t="s">
        <v>19400</v>
      </c>
      <c r="Z548" t="s">
        <v>25495</v>
      </c>
      <c r="AA548">
        <v>0.56515761688665522</v>
      </c>
      <c r="AB548" t="str">
        <f>HYPERLINK("Melting_Curves/meltCurve_F8W8H5_RAB24.pdf", "Melting_Curves/meltCurve_F8W8H5_RAB24.pdf")</f>
        <v>Melting_Curves/meltCurve_F8W8H5_RAB24.pdf</v>
      </c>
    </row>
    <row r="549" spans="1:28" x14ac:dyDescent="0.25">
      <c r="A549" t="s">
        <v>553</v>
      </c>
      <c r="B549">
        <v>0.99987803227770999</v>
      </c>
      <c r="C549">
        <v>0.95497626736258701</v>
      </c>
      <c r="D549">
        <v>1.0693720050303199</v>
      </c>
      <c r="E549">
        <v>0.96895131484378105</v>
      </c>
      <c r="F549">
        <v>0.99873059593610103</v>
      </c>
      <c r="G549">
        <v>0.80818521106149599</v>
      </c>
      <c r="H549">
        <v>0.44747776722622901</v>
      </c>
      <c r="I549">
        <v>0.271518227951908</v>
      </c>
      <c r="J549">
        <v>0.20032201371689301</v>
      </c>
      <c r="K549">
        <v>0.147517549497475</v>
      </c>
      <c r="L549">
        <v>1604.5697154663101</v>
      </c>
      <c r="M549">
        <v>26.883273218165499</v>
      </c>
      <c r="N549">
        <v>60.458455497464698</v>
      </c>
      <c r="O549">
        <v>59.359212674901102</v>
      </c>
      <c r="P549">
        <v>-9.6776593931833299E-2</v>
      </c>
      <c r="Q549">
        <v>0.14526412274104999</v>
      </c>
      <c r="R549">
        <v>0.99313309255059901</v>
      </c>
      <c r="S549" t="s">
        <v>6860</v>
      </c>
      <c r="T549" t="s">
        <v>12620</v>
      </c>
      <c r="U549" t="s">
        <v>12620</v>
      </c>
      <c r="V549" t="s">
        <v>12620</v>
      </c>
      <c r="W549" t="s">
        <v>13152</v>
      </c>
      <c r="X549">
        <v>8</v>
      </c>
      <c r="Y549" t="s">
        <v>19401</v>
      </c>
      <c r="Z549" t="s">
        <v>25496</v>
      </c>
      <c r="AA549">
        <v>0.71224475459230907</v>
      </c>
      <c r="AB549" t="str">
        <f>HYPERLINK("Melting_Curves/meltCurve_F8W8I6_TIA1.pdf", "Melting_Curves/meltCurve_F8W8I6_TIA1.pdf")</f>
        <v>Melting_Curves/meltCurve_F8W8I6_TIA1.pdf</v>
      </c>
    </row>
    <row r="550" spans="1:28" x14ac:dyDescent="0.25">
      <c r="A550" t="s">
        <v>554</v>
      </c>
      <c r="B550">
        <v>0.99987803227770999</v>
      </c>
      <c r="C550">
        <v>1.27607953273679</v>
      </c>
      <c r="D550">
        <v>0.87006426205567999</v>
      </c>
      <c r="E550">
        <v>1.12416602810732</v>
      </c>
      <c r="F550">
        <v>0.61326667347772701</v>
      </c>
      <c r="G550">
        <v>0.39609481439699601</v>
      </c>
      <c r="H550">
        <v>0.24085307394636901</v>
      </c>
      <c r="I550">
        <v>0.180802885873974</v>
      </c>
      <c r="J550">
        <v>7.6290398819083505E-2</v>
      </c>
      <c r="K550">
        <v>6.3571630625959302E-2</v>
      </c>
      <c r="L550">
        <v>1266.9938466583401</v>
      </c>
      <c r="M550">
        <v>23.0420275122578</v>
      </c>
      <c r="N550">
        <v>55.5424387509402</v>
      </c>
      <c r="O550">
        <v>54.577102023678599</v>
      </c>
      <c r="P550">
        <v>-9.4675185619461796E-2</v>
      </c>
      <c r="Q550">
        <v>0.10303044009035101</v>
      </c>
      <c r="R550">
        <v>0.91587611674200098</v>
      </c>
      <c r="S550" t="s">
        <v>6861</v>
      </c>
      <c r="T550" t="s">
        <v>12620</v>
      </c>
      <c r="U550" t="s">
        <v>12620</v>
      </c>
      <c r="V550" t="s">
        <v>12620</v>
      </c>
      <c r="W550" t="s">
        <v>13153</v>
      </c>
      <c r="X550">
        <v>1</v>
      </c>
      <c r="Y550" t="s">
        <v>19402</v>
      </c>
      <c r="Z550" t="s">
        <v>25497</v>
      </c>
      <c r="AA550">
        <v>0.56064555724233889</v>
      </c>
      <c r="AB550" t="str">
        <f>HYPERLINK("Melting_Curves/meltCurve_F8W8K9_AP1S3.pdf", "Melting_Curves/meltCurve_F8W8K9_AP1S3.pdf")</f>
        <v>Melting_Curves/meltCurve_F8W8K9_AP1S3.pdf</v>
      </c>
    </row>
    <row r="551" spans="1:28" x14ac:dyDescent="0.25">
      <c r="A551" t="s">
        <v>555</v>
      </c>
      <c r="B551">
        <v>0.99987803227770999</v>
      </c>
      <c r="C551">
        <v>0.93416011917447095</v>
      </c>
      <c r="D551">
        <v>1.04040032355656</v>
      </c>
      <c r="E551">
        <v>0.96927748527750501</v>
      </c>
      <c r="F551">
        <v>1.05043717243567</v>
      </c>
      <c r="G551">
        <v>0.96854959513855898</v>
      </c>
      <c r="H551">
        <v>0.82950907619218694</v>
      </c>
      <c r="I551">
        <v>0.51258577152588902</v>
      </c>
      <c r="J551">
        <v>0.56764880313657795</v>
      </c>
      <c r="K551">
        <v>0.45018172056363598</v>
      </c>
      <c r="L551">
        <v>6185.3660559556902</v>
      </c>
      <c r="M551">
        <v>100.76533949762999</v>
      </c>
      <c r="O551">
        <v>61.359683857621498</v>
      </c>
      <c r="P551">
        <v>-0.20219461489952101</v>
      </c>
      <c r="Q551">
        <v>0.50750525018192605</v>
      </c>
      <c r="R551">
        <v>0.96426597603724096</v>
      </c>
      <c r="S551" t="s">
        <v>6862</v>
      </c>
      <c r="T551" t="s">
        <v>12620</v>
      </c>
      <c r="U551" t="s">
        <v>12620</v>
      </c>
      <c r="V551" t="s">
        <v>12620</v>
      </c>
      <c r="W551" t="s">
        <v>13154</v>
      </c>
      <c r="X551">
        <v>6</v>
      </c>
      <c r="Y551" t="s">
        <v>19403</v>
      </c>
      <c r="Z551" t="s">
        <v>25498</v>
      </c>
      <c r="AA551">
        <v>0.85888019803938487</v>
      </c>
      <c r="AB551" t="str">
        <f>HYPERLINK("Melting_Curves/meltCurve_F8W8M4_ABLIM1.pdf", "Melting_Curves/meltCurve_F8W8M4_ABLIM1.pdf")</f>
        <v>Melting_Curves/meltCurve_F8W8M4_ABLIM1.pdf</v>
      </c>
    </row>
    <row r="552" spans="1:28" x14ac:dyDescent="0.25">
      <c r="A552" t="s">
        <v>556</v>
      </c>
      <c r="B552">
        <v>0.99987803227770999</v>
      </c>
      <c r="C552">
        <v>0.73482717608366999</v>
      </c>
      <c r="D552">
        <v>3.85666090926581</v>
      </c>
      <c r="E552">
        <v>0.88634465718933397</v>
      </c>
      <c r="F552">
        <v>0.50658036469305601</v>
      </c>
      <c r="G552">
        <v>0.34821967179091901</v>
      </c>
      <c r="H552">
        <v>9.1447357080891606E-2</v>
      </c>
      <c r="I552">
        <v>0.171266086805546</v>
      </c>
      <c r="J552">
        <v>8.2305482218054504E-2</v>
      </c>
      <c r="K552">
        <v>0</v>
      </c>
      <c r="L552">
        <v>2251.6127199126099</v>
      </c>
      <c r="M552">
        <v>42.568242840061501</v>
      </c>
      <c r="N552">
        <v>53.253628346168902</v>
      </c>
      <c r="O552">
        <v>52.777859616143601</v>
      </c>
      <c r="P552">
        <v>-0.176461806478208</v>
      </c>
      <c r="Q552">
        <v>0.1248630135599</v>
      </c>
      <c r="R552">
        <v>0.29244572892193499</v>
      </c>
      <c r="S552" t="s">
        <v>6863</v>
      </c>
      <c r="T552" t="s">
        <v>12620</v>
      </c>
      <c r="U552" t="s">
        <v>12620</v>
      </c>
      <c r="V552" t="s">
        <v>12620</v>
      </c>
      <c r="W552" t="s">
        <v>13155</v>
      </c>
      <c r="X552">
        <v>5</v>
      </c>
      <c r="Y552" t="s">
        <v>19404</v>
      </c>
      <c r="Z552" t="s">
        <v>25499</v>
      </c>
      <c r="AA552">
        <v>0.50382349850005592</v>
      </c>
      <c r="AB552" t="str">
        <f>HYPERLINK("Melting_Curves/meltCurve_F8W8T8_ACACB.pdf", "Melting_Curves/meltCurve_F8W8T8_ACACB.pdf")</f>
        <v>Melting_Curves/meltCurve_F8W8T8_ACACB.pdf</v>
      </c>
    </row>
    <row r="553" spans="1:28" x14ac:dyDescent="0.25">
      <c r="A553" t="s">
        <v>557</v>
      </c>
      <c r="B553">
        <v>0.99987803227770999</v>
      </c>
      <c r="C553">
        <v>1.1708561854300401</v>
      </c>
      <c r="D553">
        <v>0.98014768680597397</v>
      </c>
      <c r="E553">
        <v>1.0392478236154199</v>
      </c>
      <c r="F553">
        <v>0.671086968237533</v>
      </c>
      <c r="G553">
        <v>0.54331515693156096</v>
      </c>
      <c r="H553">
        <v>0.43230863792528201</v>
      </c>
      <c r="I553">
        <v>0.38004832545743</v>
      </c>
      <c r="J553">
        <v>0.31949578245970101</v>
      </c>
      <c r="K553">
        <v>0.234637973988366</v>
      </c>
      <c r="L553">
        <v>1063.9745185194599</v>
      </c>
      <c r="M553">
        <v>19.315951506637301</v>
      </c>
      <c r="N553">
        <v>57.727726577781802</v>
      </c>
      <c r="O553">
        <v>54.502508104262198</v>
      </c>
      <c r="P553">
        <v>-6.2585678703706293E-2</v>
      </c>
      <c r="Q553">
        <v>0.29365151772906201</v>
      </c>
      <c r="R553">
        <v>0.93812707035510101</v>
      </c>
      <c r="S553" t="s">
        <v>6864</v>
      </c>
      <c r="T553" t="s">
        <v>12620</v>
      </c>
      <c r="U553" t="s">
        <v>12620</v>
      </c>
      <c r="V553" t="s">
        <v>12620</v>
      </c>
      <c r="W553" t="s">
        <v>13156</v>
      </c>
      <c r="X553">
        <v>15</v>
      </c>
      <c r="Y553" t="s">
        <v>19405</v>
      </c>
      <c r="Z553" t="s">
        <v>25500</v>
      </c>
      <c r="AA553">
        <v>0.65864681882981979</v>
      </c>
      <c r="AB553" t="str">
        <f>HYPERLINK("Melting_Curves/meltCurve_F8W9F9_WNK2.pdf", "Melting_Curves/meltCurve_F8W9F9_WNK2.pdf")</f>
        <v>Melting_Curves/meltCurve_F8W9F9_WNK2.pdf</v>
      </c>
    </row>
    <row r="554" spans="1:28" x14ac:dyDescent="0.25">
      <c r="A554" t="s">
        <v>558</v>
      </c>
      <c r="B554">
        <v>0.99987803227770999</v>
      </c>
      <c r="C554">
        <v>0.92131609700130601</v>
      </c>
      <c r="D554">
        <v>1.05458985299057</v>
      </c>
      <c r="E554">
        <v>0.80894795964609401</v>
      </c>
      <c r="F554">
        <v>0.94446042374551098</v>
      </c>
      <c r="G554">
        <v>0.63035393913325699</v>
      </c>
      <c r="H554">
        <v>0.66705722017184099</v>
      </c>
      <c r="I554">
        <v>0.60444128460787505</v>
      </c>
      <c r="J554">
        <v>0.51452469873142004</v>
      </c>
      <c r="K554">
        <v>0.36244277811159498</v>
      </c>
      <c r="L554">
        <v>445.97220124619901</v>
      </c>
      <c r="M554">
        <v>6.7301667368305402</v>
      </c>
      <c r="N554">
        <v>66.264658576545401</v>
      </c>
      <c r="O554">
        <v>61.150389742453598</v>
      </c>
      <c r="P554">
        <v>-2.7573707802482899E-2</v>
      </c>
      <c r="Q554">
        <v>0</v>
      </c>
      <c r="R554">
        <v>0.88943568995891897</v>
      </c>
      <c r="S554" t="s">
        <v>6865</v>
      </c>
      <c r="T554" t="s">
        <v>12620</v>
      </c>
      <c r="U554" t="s">
        <v>12620</v>
      </c>
      <c r="V554" t="s">
        <v>12620</v>
      </c>
      <c r="W554" t="s">
        <v>13157</v>
      </c>
      <c r="X554">
        <v>3</v>
      </c>
      <c r="Y554" t="s">
        <v>19406</v>
      </c>
      <c r="Z554" t="s">
        <v>25501</v>
      </c>
      <c r="AA554">
        <v>0.76117610270911373</v>
      </c>
      <c r="AB554" t="str">
        <f>HYPERLINK("Melting_Curves/meltCurve_F8W9Q9_LENG8.pdf", "Melting_Curves/meltCurve_F8W9Q9_LENG8.pdf")</f>
        <v>Melting_Curves/meltCurve_F8W9Q9_LENG8.pdf</v>
      </c>
    </row>
    <row r="555" spans="1:28" x14ac:dyDescent="0.25">
      <c r="A555" t="s">
        <v>559</v>
      </c>
      <c r="B555">
        <v>0.99987803227770999</v>
      </c>
      <c r="C555">
        <v>0.80589431194541095</v>
      </c>
      <c r="D555">
        <v>2.0970251024719402</v>
      </c>
      <c r="E555">
        <v>1.0380450377175701</v>
      </c>
      <c r="F555">
        <v>0.463793325097697</v>
      </c>
      <c r="G555">
        <v>0.244916353916726</v>
      </c>
      <c r="H555">
        <v>0.167054370420326</v>
      </c>
      <c r="I555">
        <v>0.158574023267958</v>
      </c>
      <c r="J555">
        <v>0.12556074164350001</v>
      </c>
      <c r="K555">
        <v>9.6029672567152197E-2</v>
      </c>
      <c r="L555">
        <v>13220.1606238483</v>
      </c>
      <c r="M555">
        <v>250</v>
      </c>
      <c r="N555">
        <v>52.961344851877698</v>
      </c>
      <c r="O555">
        <v>52.877263030808898</v>
      </c>
      <c r="P555">
        <v>-0.99472462752561597</v>
      </c>
      <c r="Q555">
        <v>0.15842702087223701</v>
      </c>
      <c r="R555">
        <v>0.65494161003812201</v>
      </c>
      <c r="S555" t="s">
        <v>6866</v>
      </c>
      <c r="T555" t="s">
        <v>12620</v>
      </c>
      <c r="U555" t="s">
        <v>12620</v>
      </c>
      <c r="V555" t="s">
        <v>12620</v>
      </c>
      <c r="W555" t="s">
        <v>13158</v>
      </c>
      <c r="X555">
        <v>11</v>
      </c>
      <c r="Y555" t="s">
        <v>19407</v>
      </c>
      <c r="Z555" t="s">
        <v>25502</v>
      </c>
      <c r="AA555">
        <v>0.51983847873486666</v>
      </c>
      <c r="AB555" t="str">
        <f>HYPERLINK("Melting_Curves/meltCurve_F8W9X7_CCDC93.pdf", "Melting_Curves/meltCurve_F8W9X7_CCDC93.pdf")</f>
        <v>Melting_Curves/meltCurve_F8W9X7_CCDC93.pdf</v>
      </c>
    </row>
    <row r="556" spans="1:28" x14ac:dyDescent="0.25">
      <c r="A556" t="s">
        <v>560</v>
      </c>
      <c r="B556">
        <v>0.99987803227770999</v>
      </c>
      <c r="C556">
        <v>1.0375520479917</v>
      </c>
      <c r="D556">
        <v>1.05238281582847</v>
      </c>
      <c r="E556">
        <v>1.299900478129</v>
      </c>
      <c r="F556">
        <v>0.671904667816</v>
      </c>
      <c r="G556">
        <v>0.35164087447546899</v>
      </c>
      <c r="H556">
        <v>0.179215810864089</v>
      </c>
      <c r="I556">
        <v>0.14724876661873099</v>
      </c>
      <c r="J556">
        <v>0.10222028454050699</v>
      </c>
      <c r="K556">
        <v>7.1652551976554693E-2</v>
      </c>
      <c r="L556">
        <v>1899.3636960655999</v>
      </c>
      <c r="M556">
        <v>34.708756324432599</v>
      </c>
      <c r="N556">
        <v>55.174226447123303</v>
      </c>
      <c r="O556">
        <v>54.542198437293301</v>
      </c>
      <c r="P556">
        <v>-0.13942989737195099</v>
      </c>
      <c r="Q556">
        <v>0.12358884445302901</v>
      </c>
      <c r="R556">
        <v>0.93336238636375102</v>
      </c>
      <c r="S556" t="s">
        <v>6867</v>
      </c>
      <c r="T556" t="s">
        <v>12620</v>
      </c>
      <c r="U556" t="s">
        <v>12620</v>
      </c>
      <c r="V556" t="s">
        <v>12620</v>
      </c>
      <c r="W556" t="s">
        <v>13159</v>
      </c>
      <c r="X556">
        <v>10</v>
      </c>
      <c r="Y556" t="s">
        <v>19408</v>
      </c>
      <c r="Z556" t="s">
        <v>25503</v>
      </c>
      <c r="AA556">
        <v>0.55807455691751884</v>
      </c>
      <c r="AB556" t="str">
        <f>HYPERLINK("Melting_Curves/meltCurve_F8WAK8_STAG2.pdf", "Melting_Curves/meltCurve_F8WAK8_STAG2.pdf")</f>
        <v>Melting_Curves/meltCurve_F8WAK8_STAG2.pdf</v>
      </c>
    </row>
    <row r="557" spans="1:28" x14ac:dyDescent="0.25">
      <c r="A557" t="s">
        <v>561</v>
      </c>
      <c r="B557">
        <v>0.99987803227770999</v>
      </c>
      <c r="C557">
        <v>1.01587931791375</v>
      </c>
      <c r="D557">
        <v>1.06097968602332</v>
      </c>
      <c r="E557">
        <v>0.73528952838459005</v>
      </c>
      <c r="F557">
        <v>0.70007662698048601</v>
      </c>
      <c r="G557">
        <v>0.35849975660542699</v>
      </c>
      <c r="H557">
        <v>0.387402263915756</v>
      </c>
      <c r="I557">
        <v>0.41923322624694398</v>
      </c>
      <c r="J557">
        <v>0.41459158604260399</v>
      </c>
      <c r="K557">
        <v>0.34010555961851802</v>
      </c>
      <c r="L557">
        <v>1245.6876475854301</v>
      </c>
      <c r="M557">
        <v>23.996396857621999</v>
      </c>
      <c r="N557">
        <v>55.070825783727898</v>
      </c>
      <c r="O557">
        <v>51.554960610293001</v>
      </c>
      <c r="P557">
        <v>-7.2868968517399907E-2</v>
      </c>
      <c r="Q557">
        <v>0.37378975260397201</v>
      </c>
      <c r="R557">
        <v>0.956833188258843</v>
      </c>
      <c r="S557" t="s">
        <v>6868</v>
      </c>
      <c r="T557" t="s">
        <v>12620</v>
      </c>
      <c r="U557" t="s">
        <v>12620</v>
      </c>
      <c r="V557" t="s">
        <v>12620</v>
      </c>
      <c r="W557" t="s">
        <v>13160</v>
      </c>
      <c r="X557">
        <v>3</v>
      </c>
      <c r="Y557" t="s">
        <v>19409</v>
      </c>
      <c r="Z557" t="s">
        <v>25504</v>
      </c>
      <c r="AA557">
        <v>0.62860446360288413</v>
      </c>
      <c r="AB557" t="str">
        <f>HYPERLINK("Melting_Curves/meltCurve_F8WAN4_FRMD4A.pdf", "Melting_Curves/meltCurve_F8WAN4_FRMD4A.pdf")</f>
        <v>Melting_Curves/meltCurve_F8WAN4_FRMD4A.pdf</v>
      </c>
    </row>
    <row r="558" spans="1:28" x14ac:dyDescent="0.25">
      <c r="A558" t="s">
        <v>562</v>
      </c>
      <c r="B558">
        <v>0.99987803227770999</v>
      </c>
      <c r="C558">
        <v>0.85628030388014698</v>
      </c>
      <c r="D558">
        <v>0.92416150838923095</v>
      </c>
      <c r="E558">
        <v>0.61095792291974604</v>
      </c>
      <c r="F558">
        <v>0.440088459152157</v>
      </c>
      <c r="G558">
        <v>0.35698605989488602</v>
      </c>
      <c r="H558">
        <v>0.24824548176985201</v>
      </c>
      <c r="I558">
        <v>0.23062496494102899</v>
      </c>
      <c r="J558">
        <v>0.14177877782020301</v>
      </c>
      <c r="K558">
        <v>9.7675064212461402E-2</v>
      </c>
      <c r="L558">
        <v>604.27214975695597</v>
      </c>
      <c r="M558">
        <v>11.669314460518301</v>
      </c>
      <c r="N558">
        <v>52.757732176849103</v>
      </c>
      <c r="O558">
        <v>50.332424552638798</v>
      </c>
      <c r="P558">
        <v>-5.2354790411531398E-2</v>
      </c>
      <c r="Q558">
        <v>9.6969949808884695E-2</v>
      </c>
      <c r="R558">
        <v>0.97763220506472204</v>
      </c>
      <c r="S558" t="s">
        <v>6869</v>
      </c>
      <c r="T558" t="s">
        <v>12620</v>
      </c>
      <c r="U558" t="s">
        <v>12620</v>
      </c>
      <c r="V558" t="s">
        <v>12620</v>
      </c>
      <c r="W558" t="s">
        <v>13161</v>
      </c>
      <c r="X558">
        <v>1</v>
      </c>
      <c r="Y558" t="s">
        <v>19410</v>
      </c>
      <c r="Z558" t="s">
        <v>25505</v>
      </c>
      <c r="AA558">
        <v>0.48072466177988787</v>
      </c>
      <c r="AB558" t="str">
        <f>HYPERLINK("Melting_Curves/meltCurve_F8WAS3_NDUFA5.pdf", "Melting_Curves/meltCurve_F8WAS3_NDUFA5.pdf")</f>
        <v>Melting_Curves/meltCurve_F8WAS3_NDUFA5.pdf</v>
      </c>
    </row>
    <row r="559" spans="1:28" x14ac:dyDescent="0.25">
      <c r="A559" t="s">
        <v>563</v>
      </c>
      <c r="B559">
        <v>0.99987803227770999</v>
      </c>
      <c r="C559">
        <v>0.898902647122373</v>
      </c>
      <c r="D559">
        <v>1.0017083577578301</v>
      </c>
      <c r="E559">
        <v>0.82329634308297395</v>
      </c>
      <c r="F559">
        <v>1.12831875162497</v>
      </c>
      <c r="G559">
        <v>0.90047608409260904</v>
      </c>
      <c r="H559">
        <v>1.01390117646258</v>
      </c>
      <c r="I559">
        <v>0.915230332050189</v>
      </c>
      <c r="J559">
        <v>1.11745667016766</v>
      </c>
      <c r="K559">
        <v>0.99619702255314602</v>
      </c>
      <c r="L559">
        <v>1405.99253541745</v>
      </c>
      <c r="M559">
        <v>20.640314542426999</v>
      </c>
      <c r="O559">
        <v>67.489004021520103</v>
      </c>
      <c r="P559">
        <v>3.25997805184734E-3</v>
      </c>
      <c r="Q559">
        <v>1.0426362421870401</v>
      </c>
      <c r="R559">
        <v>-3.4450746447713697E-2</v>
      </c>
      <c r="S559" t="s">
        <v>6870</v>
      </c>
      <c r="T559" t="s">
        <v>12620</v>
      </c>
      <c r="U559" t="s">
        <v>12620</v>
      </c>
      <c r="V559" t="s">
        <v>12620</v>
      </c>
      <c r="W559" t="s">
        <v>13162</v>
      </c>
      <c r="X559">
        <v>21</v>
      </c>
      <c r="Y559" t="s">
        <v>19411</v>
      </c>
      <c r="Z559" t="s">
        <v>25506</v>
      </c>
      <c r="AA559">
        <v>1.004448621713486</v>
      </c>
      <c r="AB559" t="str">
        <f>HYPERLINK("Melting_Curves/meltCurve_F8WB06_ATXN2.pdf", "Melting_Curves/meltCurve_F8WB06_ATXN2.pdf")</f>
        <v>Melting_Curves/meltCurve_F8WB06_ATXN2.pdf</v>
      </c>
    </row>
    <row r="560" spans="1:28" x14ac:dyDescent="0.25">
      <c r="A560" t="s">
        <v>564</v>
      </c>
      <c r="B560">
        <v>0.99987803227770999</v>
      </c>
      <c r="C560">
        <v>0.97339041392023895</v>
      </c>
      <c r="D560">
        <v>0.97785146254656496</v>
      </c>
      <c r="E560">
        <v>0.88692616520299505</v>
      </c>
      <c r="F560">
        <v>0.67908175027506001</v>
      </c>
      <c r="G560">
        <v>0.45081508949499</v>
      </c>
      <c r="H560">
        <v>0.35665681411737099</v>
      </c>
      <c r="I560">
        <v>0.36122273722487702</v>
      </c>
      <c r="J560">
        <v>0.255331813764057</v>
      </c>
      <c r="K560">
        <v>0.19857642996458399</v>
      </c>
      <c r="L560">
        <v>902.55500043278903</v>
      </c>
      <c r="M560">
        <v>16.589338215553902</v>
      </c>
      <c r="N560">
        <v>56.526015572494799</v>
      </c>
      <c r="O560">
        <v>53.633607435478801</v>
      </c>
      <c r="P560">
        <v>-5.9419422148240801E-2</v>
      </c>
      <c r="Q560">
        <v>0.23163645060743701</v>
      </c>
      <c r="R560">
        <v>0.98885700508100405</v>
      </c>
      <c r="S560" t="s">
        <v>6871</v>
      </c>
      <c r="T560" t="s">
        <v>12620</v>
      </c>
      <c r="U560" t="s">
        <v>12620</v>
      </c>
      <c r="V560" t="s">
        <v>12620</v>
      </c>
      <c r="W560" t="s">
        <v>13163</v>
      </c>
      <c r="X560">
        <v>3</v>
      </c>
      <c r="Y560" t="s">
        <v>19412</v>
      </c>
      <c r="Z560" t="s">
        <v>25507</v>
      </c>
      <c r="AA560">
        <v>0.61418610251872563</v>
      </c>
      <c r="AB560" t="str">
        <f>HYPERLINK("Melting_Curves/meltCurve_F8WBK5_MRPL40.pdf", "Melting_Curves/meltCurve_F8WBK5_MRPL40.pdf")</f>
        <v>Melting_Curves/meltCurve_F8WBK5_MRPL40.pdf</v>
      </c>
    </row>
    <row r="561" spans="1:28" x14ac:dyDescent="0.25">
      <c r="A561" t="s">
        <v>565</v>
      </c>
      <c r="B561">
        <v>0.99987803227770999</v>
      </c>
      <c r="C561">
        <v>1.12547742304829</v>
      </c>
      <c r="D561">
        <v>0.97699831726199904</v>
      </c>
      <c r="E561">
        <v>0.70931922995368202</v>
      </c>
      <c r="F561">
        <v>0.48424371861201698</v>
      </c>
      <c r="G561">
        <v>0.46954387638446299</v>
      </c>
      <c r="H561">
        <v>0.287090460234804</v>
      </c>
      <c r="I561">
        <v>0.191421429942674</v>
      </c>
      <c r="J561">
        <v>8.3875458256595106E-2</v>
      </c>
      <c r="K561">
        <v>6.1183135600606002E-2</v>
      </c>
      <c r="L561">
        <v>659.427214339898</v>
      </c>
      <c r="M561">
        <v>12.092647787690501</v>
      </c>
      <c r="N561">
        <v>54.796211114529299</v>
      </c>
      <c r="O561">
        <v>53.104237548008399</v>
      </c>
      <c r="P561">
        <v>-5.5325111250898E-2</v>
      </c>
      <c r="Q561">
        <v>2.8397892366624801E-2</v>
      </c>
      <c r="R561">
        <v>0.95897877061326597</v>
      </c>
      <c r="S561" t="s">
        <v>6872</v>
      </c>
      <c r="T561" t="s">
        <v>12620</v>
      </c>
      <c r="U561" t="s">
        <v>12620</v>
      </c>
      <c r="V561" t="s">
        <v>12620</v>
      </c>
      <c r="W561" t="s">
        <v>13164</v>
      </c>
      <c r="X561">
        <v>2</v>
      </c>
      <c r="Y561" t="s">
        <v>19413</v>
      </c>
      <c r="Z561" t="s">
        <v>25508</v>
      </c>
      <c r="AA561">
        <v>0.5229110664877028</v>
      </c>
      <c r="AB561" t="str">
        <f>HYPERLINK("Melting_Curves/meltCurve_F8WC89_SAC3D1.pdf", "Melting_Curves/meltCurve_F8WC89_SAC3D1.pdf")</f>
        <v>Melting_Curves/meltCurve_F8WC89_SAC3D1.pdf</v>
      </c>
    </row>
    <row r="562" spans="1:28" x14ac:dyDescent="0.25">
      <c r="A562" t="s">
        <v>566</v>
      </c>
      <c r="B562">
        <v>0.99987803227770999</v>
      </c>
      <c r="C562">
        <v>1.14686120119288</v>
      </c>
      <c r="D562">
        <v>1.0427865512682</v>
      </c>
      <c r="E562">
        <v>1.0560295721305999</v>
      </c>
      <c r="F562">
        <v>0.90911346908318202</v>
      </c>
      <c r="G562">
        <v>0.62591766440907903</v>
      </c>
      <c r="H562">
        <v>0.57722255835233505</v>
      </c>
      <c r="I562">
        <v>0.43040337713033699</v>
      </c>
      <c r="J562">
        <v>0.56835187749995097</v>
      </c>
      <c r="K562">
        <v>0.49448378820983802</v>
      </c>
      <c r="L562">
        <v>2105.77595027488</v>
      </c>
      <c r="M562">
        <v>38.099531771757597</v>
      </c>
      <c r="O562">
        <v>55.118780103120898</v>
      </c>
      <c r="P562">
        <v>-8.4258063455703303E-2</v>
      </c>
      <c r="Q562">
        <v>0.51241500362534997</v>
      </c>
      <c r="R562">
        <v>0.93775472238078095</v>
      </c>
      <c r="S562" t="s">
        <v>6873</v>
      </c>
      <c r="T562" t="s">
        <v>12620</v>
      </c>
      <c r="U562" t="s">
        <v>12620</v>
      </c>
      <c r="V562" t="s">
        <v>12620</v>
      </c>
      <c r="W562" t="s">
        <v>13165</v>
      </c>
      <c r="X562">
        <v>2</v>
      </c>
      <c r="Y562" t="s">
        <v>19414</v>
      </c>
      <c r="Z562" t="s">
        <v>25509</v>
      </c>
      <c r="AA562">
        <v>0.76264443701907692</v>
      </c>
      <c r="AB562" t="str">
        <f>HYPERLINK("Melting_Curves/meltCurve_F8WD19_DONSON.pdf", "Melting_Curves/meltCurve_F8WD19_DONSON.pdf")</f>
        <v>Melting_Curves/meltCurve_F8WD19_DONSON.pdf</v>
      </c>
    </row>
    <row r="563" spans="1:28" x14ac:dyDescent="0.25">
      <c r="A563" t="s">
        <v>567</v>
      </c>
      <c r="B563">
        <v>0.99987803227770999</v>
      </c>
      <c r="C563">
        <v>0.85695404323741697</v>
      </c>
      <c r="D563">
        <v>0.73815681297352098</v>
      </c>
      <c r="E563">
        <v>0.50319541591336203</v>
      </c>
      <c r="F563">
        <v>0.41482027008988798</v>
      </c>
      <c r="G563">
        <v>0.25260417234576699</v>
      </c>
      <c r="H563">
        <v>0.202522501677527</v>
      </c>
      <c r="I563">
        <v>0.160091938989086</v>
      </c>
      <c r="J563">
        <v>8.5036762760268503E-2</v>
      </c>
      <c r="K563">
        <v>5.3167878512446698E-2</v>
      </c>
      <c r="L563">
        <v>524.07263122616905</v>
      </c>
      <c r="M563">
        <v>10.3911254723546</v>
      </c>
      <c r="N563">
        <v>50.776982867485103</v>
      </c>
      <c r="O563">
        <v>48.673994297282</v>
      </c>
      <c r="P563">
        <v>-5.1587121843749598E-2</v>
      </c>
      <c r="Q563">
        <v>3.3830447664041897E-2</v>
      </c>
      <c r="R563">
        <v>0.99176280929456995</v>
      </c>
      <c r="S563" t="s">
        <v>6874</v>
      </c>
      <c r="T563" t="s">
        <v>12620</v>
      </c>
      <c r="U563" t="s">
        <v>12620</v>
      </c>
      <c r="V563" t="s">
        <v>12620</v>
      </c>
      <c r="W563" t="s">
        <v>13166</v>
      </c>
      <c r="X563">
        <v>4</v>
      </c>
      <c r="Y563" t="s">
        <v>19415</v>
      </c>
      <c r="Z563" t="s">
        <v>25510</v>
      </c>
      <c r="AA563">
        <v>0.40993609004666831</v>
      </c>
      <c r="AB563" t="str">
        <f>HYPERLINK("Melting_Curves/meltCurve_F8WEG4_CBWD2.pdf", "Melting_Curves/meltCurve_F8WEG4_CBWD2.pdf")</f>
        <v>Melting_Curves/meltCurve_F8WEG4_CBWD2.pdf</v>
      </c>
    </row>
    <row r="564" spans="1:28" x14ac:dyDescent="0.25">
      <c r="A564" t="s">
        <v>568</v>
      </c>
      <c r="B564">
        <v>0.99987803227770999</v>
      </c>
      <c r="C564">
        <v>0.99272432523468601</v>
      </c>
      <c r="D564">
        <v>0.97712080411128699</v>
      </c>
      <c r="E564">
        <v>0.75571195849446005</v>
      </c>
      <c r="F564">
        <v>0.60139340260436502</v>
      </c>
      <c r="G564">
        <v>0.37493669095992299</v>
      </c>
      <c r="H564">
        <v>0.31688906695552399</v>
      </c>
      <c r="I564">
        <v>0.27911105540468401</v>
      </c>
      <c r="J564">
        <v>0.232010084760982</v>
      </c>
      <c r="K564">
        <v>0.222567621609393</v>
      </c>
      <c r="L564">
        <v>921.29542546934294</v>
      </c>
      <c r="M564">
        <v>17.505588514842501</v>
      </c>
      <c r="N564">
        <v>54.532622815821</v>
      </c>
      <c r="O564">
        <v>51.9562703310187</v>
      </c>
      <c r="P564">
        <v>-6.4976189409943597E-2</v>
      </c>
      <c r="Q564">
        <v>0.228649850584108</v>
      </c>
      <c r="R564">
        <v>0.99645724928252399</v>
      </c>
      <c r="S564" t="s">
        <v>6875</v>
      </c>
      <c r="T564" t="s">
        <v>12620</v>
      </c>
      <c r="U564" t="s">
        <v>12620</v>
      </c>
      <c r="V564" t="s">
        <v>12620</v>
      </c>
      <c r="W564" t="s">
        <v>13167</v>
      </c>
      <c r="X564">
        <v>3</v>
      </c>
      <c r="Y564" t="s">
        <v>19416</v>
      </c>
      <c r="Z564" t="s">
        <v>25511</v>
      </c>
      <c r="AA564">
        <v>0.56665702125119277</v>
      </c>
      <c r="AB564" t="str">
        <f>HYPERLINK("Melting_Curves/meltCurve_F8WEG8_PRKRA.pdf", "Melting_Curves/meltCurve_F8WEG8_PRKRA.pdf")</f>
        <v>Melting_Curves/meltCurve_F8WEG8_PRKRA.pdf</v>
      </c>
    </row>
    <row r="565" spans="1:28" x14ac:dyDescent="0.25">
      <c r="A565" t="s">
        <v>569</v>
      </c>
      <c r="B565">
        <v>0.99987803227770999</v>
      </c>
      <c r="C565">
        <v>1.08645760677003</v>
      </c>
      <c r="D565">
        <v>1.04745769330163</v>
      </c>
      <c r="E565">
        <v>1.17416846161705</v>
      </c>
      <c r="F565">
        <v>0.94300710038350699</v>
      </c>
      <c r="G565">
        <v>0.72522267103534699</v>
      </c>
      <c r="H565">
        <v>0.50654982259998704</v>
      </c>
      <c r="I565">
        <v>0.39457261042092501</v>
      </c>
      <c r="J565">
        <v>0.30476500838348702</v>
      </c>
      <c r="K565">
        <v>0.22538726680752399</v>
      </c>
      <c r="L565">
        <v>1275.25258645434</v>
      </c>
      <c r="M565">
        <v>21.532569788763801</v>
      </c>
      <c r="N565">
        <v>61.007922165388401</v>
      </c>
      <c r="O565">
        <v>58.720639353063298</v>
      </c>
      <c r="P565">
        <v>-7.0263031624022004E-2</v>
      </c>
      <c r="Q565">
        <v>0.23357215793286401</v>
      </c>
      <c r="R565">
        <v>0.95630401616230598</v>
      </c>
      <c r="S565" t="s">
        <v>6876</v>
      </c>
      <c r="T565" t="s">
        <v>12620</v>
      </c>
      <c r="U565" t="s">
        <v>12620</v>
      </c>
      <c r="V565" t="s">
        <v>12620</v>
      </c>
      <c r="W565" t="s">
        <v>13168</v>
      </c>
      <c r="X565">
        <v>14</v>
      </c>
      <c r="Y565" t="s">
        <v>19417</v>
      </c>
      <c r="Z565" t="s">
        <v>25512</v>
      </c>
      <c r="AA565">
        <v>0.73181275688707503</v>
      </c>
      <c r="AB565" t="str">
        <f>HYPERLINK("Melting_Curves/meltCurve_F8WJN3_CPSF6.pdf", "Melting_Curves/meltCurve_F8WJN3_CPSF6.pdf")</f>
        <v>Melting_Curves/meltCurve_F8WJN3_CPSF6.pdf</v>
      </c>
    </row>
    <row r="566" spans="1:28" x14ac:dyDescent="0.25">
      <c r="A566" t="s">
        <v>570</v>
      </c>
      <c r="B566">
        <v>0.99987803227770999</v>
      </c>
      <c r="C566">
        <v>0.920027457180015</v>
      </c>
      <c r="D566">
        <v>0.64089051454065604</v>
      </c>
      <c r="E566">
        <v>0.398123611073882</v>
      </c>
      <c r="F566">
        <v>0.20469663835437199</v>
      </c>
      <c r="G566">
        <v>0.16638871502698999</v>
      </c>
      <c r="H566">
        <v>0.109995165191379</v>
      </c>
      <c r="I566">
        <v>7.8884341106678899E-2</v>
      </c>
      <c r="J566">
        <v>5.1457889000638503E-2</v>
      </c>
      <c r="K566">
        <v>3.74791784998331E-2</v>
      </c>
      <c r="L566">
        <v>782.72966710192998</v>
      </c>
      <c r="M566">
        <v>16.326057657502801</v>
      </c>
      <c r="N566">
        <v>48.330258753491698</v>
      </c>
      <c r="O566">
        <v>47.241577494026302</v>
      </c>
      <c r="P566">
        <v>-8.11127983575059E-2</v>
      </c>
      <c r="Q566">
        <v>6.1226142989466201E-2</v>
      </c>
      <c r="R566">
        <v>0.99259079249086202</v>
      </c>
      <c r="S566" t="s">
        <v>6877</v>
      </c>
      <c r="T566" t="s">
        <v>12620</v>
      </c>
      <c r="U566" t="s">
        <v>12620</v>
      </c>
      <c r="V566" t="s">
        <v>12620</v>
      </c>
      <c r="W566" t="s">
        <v>13169</v>
      </c>
      <c r="X566">
        <v>3</v>
      </c>
      <c r="Y566" t="s">
        <v>19418</v>
      </c>
      <c r="Z566" t="s">
        <v>25513</v>
      </c>
      <c r="AA566">
        <v>0.33022197172256029</v>
      </c>
      <c r="AB566" t="str">
        <f>HYPERLINK("Melting_Curves/meltCurve_G3V167_PARP2.pdf", "Melting_Curves/meltCurve_G3V167_PARP2.pdf")</f>
        <v>Melting_Curves/meltCurve_G3V167_PARP2.pdf</v>
      </c>
    </row>
    <row r="567" spans="1:28" x14ac:dyDescent="0.25">
      <c r="A567" t="s">
        <v>571</v>
      </c>
      <c r="B567">
        <v>0.99987803227770999</v>
      </c>
      <c r="C567">
        <v>0.96688075925496997</v>
      </c>
      <c r="D567">
        <v>1.01813159864659</v>
      </c>
      <c r="E567">
        <v>0.94702417857631604</v>
      </c>
      <c r="F567">
        <v>0.79202738341111201</v>
      </c>
      <c r="G567">
        <v>0.63634988200310905</v>
      </c>
      <c r="H567">
        <v>0.59233097705859905</v>
      </c>
      <c r="I567">
        <v>0.52982155843534995</v>
      </c>
      <c r="J567">
        <v>0.53307534326064099</v>
      </c>
      <c r="K567">
        <v>0.41920288283983098</v>
      </c>
      <c r="L567">
        <v>900.49808883977903</v>
      </c>
      <c r="M567">
        <v>16.338383731027299</v>
      </c>
      <c r="N567">
        <v>65.914676778151502</v>
      </c>
      <c r="O567">
        <v>54.309666717641903</v>
      </c>
      <c r="P567">
        <v>-4.0194118474799999E-2</v>
      </c>
      <c r="Q567">
        <v>0.46560895655609003</v>
      </c>
      <c r="R567">
        <v>0.97533272753696798</v>
      </c>
      <c r="S567" t="s">
        <v>6878</v>
      </c>
      <c r="T567" t="s">
        <v>12620</v>
      </c>
      <c r="U567" t="s">
        <v>12620</v>
      </c>
      <c r="V567" t="s">
        <v>12620</v>
      </c>
      <c r="W567" t="s">
        <v>13170</v>
      </c>
      <c r="X567">
        <v>66</v>
      </c>
      <c r="Y567" t="s">
        <v>19419</v>
      </c>
      <c r="Z567" t="s">
        <v>25514</v>
      </c>
      <c r="AA567">
        <v>0.7441546311945173</v>
      </c>
      <c r="AB567" t="str">
        <f>HYPERLINK("Melting_Curves/meltCurve_G3V1L9_TJP1.pdf", "Melting_Curves/meltCurve_G3V1L9_TJP1.pdf")</f>
        <v>Melting_Curves/meltCurve_G3V1L9_TJP1.pdf</v>
      </c>
    </row>
    <row r="568" spans="1:28" x14ac:dyDescent="0.25">
      <c r="A568" t="s">
        <v>572</v>
      </c>
      <c r="B568">
        <v>0.99987803227770999</v>
      </c>
      <c r="C568">
        <v>1.03791905729129</v>
      </c>
      <c r="D568">
        <v>1.0473325666294999</v>
      </c>
      <c r="E568">
        <v>1.0172509554408899</v>
      </c>
      <c r="F568">
        <v>0.89091369421873101</v>
      </c>
      <c r="G568">
        <v>0.67652326818831099</v>
      </c>
      <c r="H568">
        <v>0.386915477627295</v>
      </c>
      <c r="I568">
        <v>0.231006927079278</v>
      </c>
      <c r="J568">
        <v>0.120645897453815</v>
      </c>
      <c r="K568">
        <v>6.4682542134981993E-2</v>
      </c>
      <c r="L568">
        <v>1108.3866527479399</v>
      </c>
      <c r="M568">
        <v>18.685516912409501</v>
      </c>
      <c r="N568">
        <v>59.4388127529757</v>
      </c>
      <c r="O568">
        <v>58.651077204093397</v>
      </c>
      <c r="P568">
        <v>-7.8165636930315502E-2</v>
      </c>
      <c r="Q568">
        <v>1.8640200534197501E-2</v>
      </c>
      <c r="R568">
        <v>0.99539939691205903</v>
      </c>
      <c r="S568" t="s">
        <v>6879</v>
      </c>
      <c r="T568" t="s">
        <v>12620</v>
      </c>
      <c r="U568" t="s">
        <v>12620</v>
      </c>
      <c r="V568" t="s">
        <v>12620</v>
      </c>
      <c r="W568" t="s">
        <v>13171</v>
      </c>
      <c r="X568">
        <v>10</v>
      </c>
      <c r="Y568" t="s">
        <v>19420</v>
      </c>
      <c r="Z568" t="s">
        <v>25515</v>
      </c>
      <c r="AA568">
        <v>0.66022321997913835</v>
      </c>
      <c r="AB568" t="str">
        <f>HYPERLINK("Melting_Curves/meltCurve_G3V1P3_LOH12CR1.pdf", "Melting_Curves/meltCurve_G3V1P3_LOH12CR1.pdf")</f>
        <v>Melting_Curves/meltCurve_G3V1P3_LOH12CR1.pdf</v>
      </c>
    </row>
    <row r="569" spans="1:28" x14ac:dyDescent="0.25">
      <c r="A569" t="s">
        <v>573</v>
      </c>
      <c r="B569">
        <v>0.99987803227770999</v>
      </c>
      <c r="C569">
        <v>0.96220259835534705</v>
      </c>
      <c r="D569">
        <v>1.0442425043017001</v>
      </c>
      <c r="E569">
        <v>1.0356812674074301</v>
      </c>
      <c r="F569">
        <v>1.13485306204042</v>
      </c>
      <c r="G569">
        <v>1.13306988855153</v>
      </c>
      <c r="H569">
        <v>1.1869682863217299</v>
      </c>
      <c r="I569">
        <v>1.173588845581</v>
      </c>
      <c r="J569">
        <v>1.1069800949233299</v>
      </c>
      <c r="K569">
        <v>0.84958278595773895</v>
      </c>
      <c r="L569">
        <v>1539.25408027099</v>
      </c>
      <c r="M569">
        <v>31.6981935809067</v>
      </c>
      <c r="O569">
        <v>48.367635777888999</v>
      </c>
      <c r="P569">
        <v>1.55581923494468E-2</v>
      </c>
      <c r="Q569">
        <v>1.0949592333695599</v>
      </c>
      <c r="R569">
        <v>0.181521805323721</v>
      </c>
      <c r="S569" t="s">
        <v>6880</v>
      </c>
      <c r="T569" t="s">
        <v>12620</v>
      </c>
      <c r="U569" t="s">
        <v>12620</v>
      </c>
      <c r="V569" t="s">
        <v>12620</v>
      </c>
      <c r="W569" t="s">
        <v>13172</v>
      </c>
      <c r="X569">
        <v>3</v>
      </c>
      <c r="Y569" t="s">
        <v>19421</v>
      </c>
      <c r="Z569" t="s">
        <v>25516</v>
      </c>
      <c r="AA569">
        <v>1.0673519302304091</v>
      </c>
      <c r="AB569" t="str">
        <f>HYPERLINK("Melting_Curves/meltCurve_G3V1R3_ZEB1.pdf", "Melting_Curves/meltCurve_G3V1R3_ZEB1.pdf")</f>
        <v>Melting_Curves/meltCurve_G3V1R3_ZEB1.pdf</v>
      </c>
    </row>
    <row r="570" spans="1:28" x14ac:dyDescent="0.25">
      <c r="A570" t="s">
        <v>574</v>
      </c>
      <c r="B570">
        <v>0.99987803227770999</v>
      </c>
      <c r="C570">
        <v>1.18897837564404</v>
      </c>
      <c r="D570">
        <v>0.92643446941566698</v>
      </c>
      <c r="E570">
        <v>1.11744029021785</v>
      </c>
      <c r="F570">
        <v>0.78924547516017796</v>
      </c>
      <c r="G570">
        <v>0.97170429317486395</v>
      </c>
      <c r="H570">
        <v>1.1641823165103899</v>
      </c>
      <c r="I570">
        <v>0.97787824016330804</v>
      </c>
      <c r="J570">
        <v>0.77384412341027398</v>
      </c>
      <c r="K570">
        <v>0.51218038337486105</v>
      </c>
      <c r="L570">
        <v>4852.4812005371105</v>
      </c>
      <c r="M570">
        <v>72.182250845103198</v>
      </c>
      <c r="O570">
        <v>67.173863255194405</v>
      </c>
      <c r="P570">
        <v>-0.13851551453813701</v>
      </c>
      <c r="Q570">
        <v>0.48438180890094001</v>
      </c>
      <c r="R570">
        <v>0.66790783747150595</v>
      </c>
      <c r="S570" t="s">
        <v>6881</v>
      </c>
      <c r="T570" t="s">
        <v>12620</v>
      </c>
      <c r="U570" t="s">
        <v>12620</v>
      </c>
      <c r="V570" t="s">
        <v>12620</v>
      </c>
      <c r="W570" t="s">
        <v>13173</v>
      </c>
      <c r="X570">
        <v>13</v>
      </c>
      <c r="Y570" t="s">
        <v>19422</v>
      </c>
      <c r="Z570" t="s">
        <v>25517</v>
      </c>
      <c r="AA570">
        <v>0.95204877401798838</v>
      </c>
      <c r="AB570" t="str">
        <f>HYPERLINK("Melting_Curves/meltCurve_G3V1R9_ISYNA1.pdf", "Melting_Curves/meltCurve_G3V1R9_ISYNA1.pdf")</f>
        <v>Melting_Curves/meltCurve_G3V1R9_ISYNA1.pdf</v>
      </c>
    </row>
    <row r="571" spans="1:28" x14ac:dyDescent="0.25">
      <c r="A571" t="s">
        <v>575</v>
      </c>
      <c r="B571">
        <v>0.99987803227770999</v>
      </c>
      <c r="C571">
        <v>1.04259368663698</v>
      </c>
      <c r="D571">
        <v>0.86685129601530797</v>
      </c>
      <c r="E571">
        <v>1.0897582724975301</v>
      </c>
      <c r="F571">
        <v>1.3005250545112199</v>
      </c>
      <c r="G571">
        <v>1.29418019948801</v>
      </c>
      <c r="H571">
        <v>1.4133835113792299</v>
      </c>
      <c r="I571">
        <v>1.3476552955441199</v>
      </c>
      <c r="J571">
        <v>1.37577864593517</v>
      </c>
      <c r="K571">
        <v>1.1344002222859499</v>
      </c>
      <c r="L571">
        <v>3916.7373980903299</v>
      </c>
      <c r="M571">
        <v>77.414529441201793</v>
      </c>
      <c r="O571">
        <v>50.560613491399302</v>
      </c>
      <c r="P571">
        <v>0.119634835469487</v>
      </c>
      <c r="Q571">
        <v>1.3125413184311301</v>
      </c>
      <c r="R571">
        <v>0.78203118930837001</v>
      </c>
      <c r="S571" t="s">
        <v>6882</v>
      </c>
      <c r="T571" t="s">
        <v>12620</v>
      </c>
      <c r="U571" t="s">
        <v>12620</v>
      </c>
      <c r="V571" t="s">
        <v>12620</v>
      </c>
      <c r="W571" t="s">
        <v>13174</v>
      </c>
      <c r="X571">
        <v>12</v>
      </c>
      <c r="Y571" t="s">
        <v>19423</v>
      </c>
      <c r="Z571" t="s">
        <v>25518</v>
      </c>
      <c r="AA571">
        <v>1.201878948867239</v>
      </c>
      <c r="AB571" t="str">
        <f>HYPERLINK("Melting_Curves/meltCurve_G3V1V0_MYL6.pdf", "Melting_Curves/meltCurve_G3V1V0_MYL6.pdf")</f>
        <v>Melting_Curves/meltCurve_G3V1V0_MYL6.pdf</v>
      </c>
    </row>
    <row r="572" spans="1:28" x14ac:dyDescent="0.25">
      <c r="A572" t="s">
        <v>576</v>
      </c>
      <c r="B572">
        <v>0.99987803227770999</v>
      </c>
      <c r="C572">
        <v>0.977023578375669</v>
      </c>
      <c r="D572">
        <v>1.07313069497744</v>
      </c>
      <c r="E572">
        <v>0.91672108584767698</v>
      </c>
      <c r="F572">
        <v>0.82966225803329796</v>
      </c>
      <c r="G572">
        <v>0.63268064757503595</v>
      </c>
      <c r="H572">
        <v>0.59962736800024996</v>
      </c>
      <c r="I572">
        <v>0.67416219090955698</v>
      </c>
      <c r="J572">
        <v>0.45763956376807302</v>
      </c>
      <c r="K572">
        <v>0.25200353376346701</v>
      </c>
      <c r="L572">
        <v>514.71380393646302</v>
      </c>
      <c r="M572">
        <v>7.9669055181292396</v>
      </c>
      <c r="N572">
        <v>64.606488909027306</v>
      </c>
      <c r="O572">
        <v>60.916773847892202</v>
      </c>
      <c r="P572">
        <v>-3.2733416333161201E-2</v>
      </c>
      <c r="Q572">
        <v>0</v>
      </c>
      <c r="R572">
        <v>0.90396242854275199</v>
      </c>
      <c r="S572" t="s">
        <v>6883</v>
      </c>
      <c r="T572" t="s">
        <v>12620</v>
      </c>
      <c r="U572" t="s">
        <v>12620</v>
      </c>
      <c r="V572" t="s">
        <v>12620</v>
      </c>
      <c r="W572" t="s">
        <v>13175</v>
      </c>
      <c r="X572">
        <v>1</v>
      </c>
      <c r="Y572" t="s">
        <v>19424</v>
      </c>
      <c r="Z572" t="s">
        <v>25519</v>
      </c>
      <c r="AA572">
        <v>0.74983093392376443</v>
      </c>
      <c r="AB572" t="str">
        <f>HYPERLINK("Melting_Curves/meltCurve_G3V3A0_SERPINA3.pdf", "Melting_Curves/meltCurve_G3V3A0_SERPINA3.pdf")</f>
        <v>Melting_Curves/meltCurve_G3V3A0_SERPINA3.pdf</v>
      </c>
    </row>
    <row r="573" spans="1:28" x14ac:dyDescent="0.25">
      <c r="A573" t="s">
        <v>577</v>
      </c>
      <c r="B573">
        <v>0.99987803227770999</v>
      </c>
      <c r="C573">
        <v>1.0305327409199101</v>
      </c>
      <c r="D573">
        <v>0.83783502744961502</v>
      </c>
      <c r="E573">
        <v>0.92051865847779901</v>
      </c>
      <c r="F573">
        <v>0.53848634835574105</v>
      </c>
      <c r="G573">
        <v>0.28901170996394898</v>
      </c>
      <c r="H573">
        <v>0.17163921186988201</v>
      </c>
      <c r="I573">
        <v>0.10017574080814701</v>
      </c>
      <c r="J573">
        <v>7.4723948580246405E-2</v>
      </c>
      <c r="K573">
        <v>4.7354201441456197E-2</v>
      </c>
      <c r="L573">
        <v>1051.20012594841</v>
      </c>
      <c r="M573">
        <v>19.563928228933801</v>
      </c>
      <c r="N573">
        <v>54.0699633730936</v>
      </c>
      <c r="O573">
        <v>53.179603463023597</v>
      </c>
      <c r="P573">
        <v>-8.6674480992888894E-2</v>
      </c>
      <c r="Q573">
        <v>5.7622684956202597E-2</v>
      </c>
      <c r="R573">
        <v>0.97917594098410898</v>
      </c>
      <c r="S573" t="s">
        <v>6884</v>
      </c>
      <c r="T573" t="s">
        <v>12620</v>
      </c>
      <c r="U573" t="s">
        <v>12620</v>
      </c>
      <c r="V573" t="s">
        <v>12620</v>
      </c>
      <c r="W573" t="s">
        <v>13176</v>
      </c>
      <c r="X573">
        <v>9</v>
      </c>
      <c r="Y573" t="s">
        <v>19425</v>
      </c>
      <c r="Z573" t="s">
        <v>25520</v>
      </c>
      <c r="AA573">
        <v>0.50229349458477668</v>
      </c>
      <c r="AB573" t="str">
        <f>HYPERLINK("Melting_Curves/meltCurve_G3V3G9_DCAF8.pdf", "Melting_Curves/meltCurve_G3V3G9_DCAF8.pdf")</f>
        <v>Melting_Curves/meltCurve_G3V3G9_DCAF8.pdf</v>
      </c>
    </row>
    <row r="574" spans="1:28" x14ac:dyDescent="0.25">
      <c r="A574" t="s">
        <v>578</v>
      </c>
      <c r="B574">
        <v>0.99987803227770999</v>
      </c>
      <c r="C574">
        <v>1.1171283598861299</v>
      </c>
      <c r="D574">
        <v>1.0634666247067599</v>
      </c>
      <c r="E574">
        <v>0.90654707953351399</v>
      </c>
      <c r="F574">
        <v>0.42095999591234701</v>
      </c>
      <c r="G574">
        <v>0.21612379825229899</v>
      </c>
      <c r="H574">
        <v>8.7448029166911495E-2</v>
      </c>
      <c r="I574">
        <v>7.0557299558850803E-2</v>
      </c>
      <c r="J574">
        <v>5.2330357327632401E-2</v>
      </c>
      <c r="K574">
        <v>4.6540814126951498E-2</v>
      </c>
      <c r="L574">
        <v>1946.9411180319801</v>
      </c>
      <c r="M574">
        <v>37.102094920220203</v>
      </c>
      <c r="N574">
        <v>52.722899418926097</v>
      </c>
      <c r="O574">
        <v>52.323486740125396</v>
      </c>
      <c r="P574">
        <v>-0.16309629587730301</v>
      </c>
      <c r="Q574">
        <v>7.99718383085746E-2</v>
      </c>
      <c r="R574">
        <v>0.98421505277219901</v>
      </c>
      <c r="S574" t="s">
        <v>6885</v>
      </c>
      <c r="T574" t="s">
        <v>12620</v>
      </c>
      <c r="U574" t="s">
        <v>12620</v>
      </c>
      <c r="V574" t="s">
        <v>12620</v>
      </c>
      <c r="W574" t="s">
        <v>13177</v>
      </c>
      <c r="X574">
        <v>2</v>
      </c>
      <c r="Y574" t="s">
        <v>19426</v>
      </c>
      <c r="Z574" t="s">
        <v>25521</v>
      </c>
      <c r="AA574">
        <v>0.46643548747219998</v>
      </c>
      <c r="AB574" t="str">
        <f>HYPERLINK("Melting_Curves/meltCurve_G3V3I4_NFKBIA.pdf", "Melting_Curves/meltCurve_G3V3I4_NFKBIA.pdf")</f>
        <v>Melting_Curves/meltCurve_G3V3I4_NFKBIA.pdf</v>
      </c>
    </row>
    <row r="575" spans="1:28" x14ac:dyDescent="0.25">
      <c r="A575" t="s">
        <v>579</v>
      </c>
      <c r="B575">
        <v>0.99987803227770999</v>
      </c>
      <c r="C575">
        <v>0.86128107040114399</v>
      </c>
      <c r="D575">
        <v>1.00613341366575</v>
      </c>
      <c r="E575">
        <v>0.82176560283073097</v>
      </c>
      <c r="F575">
        <v>0.71810563957172502</v>
      </c>
      <c r="G575">
        <v>0.37189852429096998</v>
      </c>
      <c r="H575">
        <v>0.22061314317826</v>
      </c>
      <c r="I575">
        <v>0.15547824965673501</v>
      </c>
      <c r="J575">
        <v>0.123145414109038</v>
      </c>
      <c r="K575">
        <v>9.0879632114369002E-2</v>
      </c>
      <c r="L575">
        <v>929.96372047160401</v>
      </c>
      <c r="M575">
        <v>16.923750426239501</v>
      </c>
      <c r="N575">
        <v>55.466966142158299</v>
      </c>
      <c r="O575">
        <v>54.200187762660903</v>
      </c>
      <c r="P575">
        <v>-7.2372595305198906E-2</v>
      </c>
      <c r="Q575">
        <v>7.2933280950457396E-2</v>
      </c>
      <c r="R575">
        <v>0.98278123780438598</v>
      </c>
      <c r="S575" t="s">
        <v>6886</v>
      </c>
      <c r="T575" t="s">
        <v>12620</v>
      </c>
      <c r="U575" t="s">
        <v>12620</v>
      </c>
      <c r="V575" t="s">
        <v>12620</v>
      </c>
      <c r="W575" t="s">
        <v>13178</v>
      </c>
      <c r="X575">
        <v>10</v>
      </c>
      <c r="Y575" t="s">
        <v>19427</v>
      </c>
      <c r="Z575" t="s">
        <v>25522</v>
      </c>
      <c r="AA575">
        <v>0.55050749603455906</v>
      </c>
      <c r="AB575" t="str">
        <f>HYPERLINK("Melting_Curves/meltCurve_G3V3R7_ATXN3.pdf", "Melting_Curves/meltCurve_G3V3R7_ATXN3.pdf")</f>
        <v>Melting_Curves/meltCurve_G3V3R7_ATXN3.pdf</v>
      </c>
    </row>
    <row r="576" spans="1:28" x14ac:dyDescent="0.25">
      <c r="A576" t="s">
        <v>580</v>
      </c>
      <c r="B576">
        <v>0.99987803227770999</v>
      </c>
      <c r="C576">
        <v>0.93863571490589304</v>
      </c>
      <c r="D576">
        <v>0.82429786415995798</v>
      </c>
      <c r="E576">
        <v>0.61178986429598703</v>
      </c>
      <c r="F576">
        <v>0.40054437680173699</v>
      </c>
      <c r="G576">
        <v>0.38773482897753703</v>
      </c>
      <c r="H576">
        <v>0.208525375672547</v>
      </c>
      <c r="I576">
        <v>0.20599533459094799</v>
      </c>
      <c r="J576">
        <v>0.135713405865965</v>
      </c>
      <c r="K576">
        <v>0.12884392013958801</v>
      </c>
      <c r="L576">
        <v>623.85057837629597</v>
      </c>
      <c r="M576">
        <v>12.2060275048169</v>
      </c>
      <c r="N576">
        <v>52.2032185532453</v>
      </c>
      <c r="O576">
        <v>49.796244369691202</v>
      </c>
      <c r="P576">
        <v>-5.4381272127602902E-2</v>
      </c>
      <c r="Q576">
        <v>0.11277537589146699</v>
      </c>
      <c r="R576">
        <v>0.98765887468038405</v>
      </c>
      <c r="S576" t="s">
        <v>6887</v>
      </c>
      <c r="T576" t="s">
        <v>12620</v>
      </c>
      <c r="U576" t="s">
        <v>12620</v>
      </c>
      <c r="V576" t="s">
        <v>12620</v>
      </c>
      <c r="W576" t="s">
        <v>13179</v>
      </c>
      <c r="X576">
        <v>1</v>
      </c>
      <c r="Y576" t="s">
        <v>19428</v>
      </c>
      <c r="Z576" t="s">
        <v>25523</v>
      </c>
      <c r="AA576">
        <v>0.46939927388204622</v>
      </c>
      <c r="AB576" t="str">
        <f>HYPERLINK("Melting_Curves/meltCurve_G3V439_SIVA1.pdf", "Melting_Curves/meltCurve_G3V439_SIVA1.pdf")</f>
        <v>Melting_Curves/meltCurve_G3V439_SIVA1.pdf</v>
      </c>
    </row>
    <row r="577" spans="1:28" x14ac:dyDescent="0.25">
      <c r="A577" t="s">
        <v>581</v>
      </c>
      <c r="B577">
        <v>0.99987803227770999</v>
      </c>
      <c r="C577">
        <v>0.94627621345249702</v>
      </c>
      <c r="D577">
        <v>0.90687439083857901</v>
      </c>
      <c r="E577">
        <v>0.80958381247920197</v>
      </c>
      <c r="F577">
        <v>0.773383121685432</v>
      </c>
      <c r="G577">
        <v>0.62221456764720395</v>
      </c>
      <c r="H577">
        <v>0.68902677887073704</v>
      </c>
      <c r="I577">
        <v>0.61874572743752199</v>
      </c>
      <c r="J577">
        <v>0.63614936882434403</v>
      </c>
      <c r="K577">
        <v>0.48639010503880997</v>
      </c>
      <c r="L577">
        <v>449.50284766893401</v>
      </c>
      <c r="M577">
        <v>8.3837232316117092</v>
      </c>
      <c r="O577">
        <v>50.825943200871301</v>
      </c>
      <c r="P577">
        <v>-2.0657392225059499E-2</v>
      </c>
      <c r="Q577">
        <v>0.49953688198818402</v>
      </c>
      <c r="R577">
        <v>0.92815207459607196</v>
      </c>
      <c r="S577" t="s">
        <v>6888</v>
      </c>
      <c r="T577" t="s">
        <v>12620</v>
      </c>
      <c r="U577" t="s">
        <v>12620</v>
      </c>
      <c r="V577" t="s">
        <v>12620</v>
      </c>
      <c r="W577" t="s">
        <v>13180</v>
      </c>
      <c r="X577">
        <v>4</v>
      </c>
      <c r="Y577" t="s">
        <v>19429</v>
      </c>
      <c r="Z577" t="s">
        <v>25524</v>
      </c>
      <c r="AA577">
        <v>0.74457325857887513</v>
      </c>
      <c r="AB577" t="str">
        <f>HYPERLINK("Melting_Curves/meltCurve_G3V4J7_DCAF5.pdf", "Melting_Curves/meltCurve_G3V4J7_DCAF5.pdf")</f>
        <v>Melting_Curves/meltCurve_G3V4J7_DCAF5.pdf</v>
      </c>
    </row>
    <row r="578" spans="1:28" x14ac:dyDescent="0.25">
      <c r="A578" t="s">
        <v>582</v>
      </c>
      <c r="B578">
        <v>0.99987803227770999</v>
      </c>
      <c r="C578">
        <v>0.83627511033108703</v>
      </c>
      <c r="D578">
        <v>0.99512083546959795</v>
      </c>
      <c r="E578">
        <v>0.77023626172118498</v>
      </c>
      <c r="F578">
        <v>0.63610045685623595</v>
      </c>
      <c r="G578">
        <v>0.37633795508821499</v>
      </c>
      <c r="H578">
        <v>0.377823467253251</v>
      </c>
      <c r="I578">
        <v>0.31080701664274701</v>
      </c>
      <c r="J578">
        <v>0.39468370115029799</v>
      </c>
      <c r="K578">
        <v>0.34562292671656297</v>
      </c>
      <c r="L578">
        <v>1083.7324984622901</v>
      </c>
      <c r="M578">
        <v>20.901784720252198</v>
      </c>
      <c r="N578">
        <v>54.820523691929999</v>
      </c>
      <c r="O578">
        <v>51.381225367762099</v>
      </c>
      <c r="P578">
        <v>-6.7227796696913297E-2</v>
      </c>
      <c r="Q578">
        <v>0.33897493479256702</v>
      </c>
      <c r="R578">
        <v>0.95026537022507596</v>
      </c>
      <c r="S578" t="s">
        <v>6889</v>
      </c>
      <c r="T578" t="s">
        <v>12620</v>
      </c>
      <c r="U578" t="s">
        <v>12620</v>
      </c>
      <c r="V578" t="s">
        <v>12620</v>
      </c>
      <c r="W578" t="s">
        <v>13181</v>
      </c>
      <c r="X578">
        <v>11</v>
      </c>
      <c r="Y578" t="s">
        <v>19430</v>
      </c>
      <c r="Z578" t="s">
        <v>25525</v>
      </c>
      <c r="AA578">
        <v>0.60850071651484894</v>
      </c>
      <c r="AB578" t="str">
        <f>HYPERLINK("Melting_Curves/meltCurve_G3V4W0_HNRNPC.pdf", "Melting_Curves/meltCurve_G3V4W0_HNRNPC.pdf")</f>
        <v>Melting_Curves/meltCurve_G3V4W0_HNRNPC.pdf</v>
      </c>
    </row>
    <row r="579" spans="1:28" x14ac:dyDescent="0.25">
      <c r="A579" t="s">
        <v>583</v>
      </c>
      <c r="B579">
        <v>0.99987803227770999</v>
      </c>
      <c r="C579">
        <v>1.1554461591093299</v>
      </c>
      <c r="D579">
        <v>1.1584987481616</v>
      </c>
      <c r="E579">
        <v>1.1255416248678201</v>
      </c>
      <c r="F579">
        <v>1.0228500106752401</v>
      </c>
      <c r="G579">
        <v>0.71729334712368797</v>
      </c>
      <c r="H579">
        <v>0.56103141109649801</v>
      </c>
      <c r="I579">
        <v>0.54859642614308202</v>
      </c>
      <c r="J579">
        <v>0.54507134183018102</v>
      </c>
      <c r="K579">
        <v>0.44909230937962402</v>
      </c>
      <c r="L579">
        <v>3981.7746624309002</v>
      </c>
      <c r="M579">
        <v>70.224092108194398</v>
      </c>
      <c r="O579">
        <v>56.6550485847579</v>
      </c>
      <c r="P579">
        <v>-0.147255755060757</v>
      </c>
      <c r="Q579">
        <v>0.52479100624033004</v>
      </c>
      <c r="R579">
        <v>0.90294871684037903</v>
      </c>
      <c r="S579" t="s">
        <v>6890</v>
      </c>
      <c r="T579" t="s">
        <v>12620</v>
      </c>
      <c r="U579" t="s">
        <v>12620</v>
      </c>
      <c r="V579" t="s">
        <v>12620</v>
      </c>
      <c r="W579" t="s">
        <v>13182</v>
      </c>
      <c r="X579">
        <v>6</v>
      </c>
      <c r="Y579" t="s">
        <v>19431</v>
      </c>
      <c r="Z579" t="s">
        <v>25526</v>
      </c>
      <c r="AA579">
        <v>0.7899403368086928</v>
      </c>
      <c r="AB579" t="str">
        <f>HYPERLINK("Melting_Curves/meltCurve_G3V529_DDX24.pdf", "Melting_Curves/meltCurve_G3V529_DDX24.pdf")</f>
        <v>Melting_Curves/meltCurve_G3V529_DDX24.pdf</v>
      </c>
    </row>
    <row r="580" spans="1:28" x14ac:dyDescent="0.25">
      <c r="A580" t="s">
        <v>584</v>
      </c>
      <c r="B580">
        <v>0.99987803227770999</v>
      </c>
      <c r="C580">
        <v>0.80035687023521696</v>
      </c>
      <c r="D580">
        <v>0.899501358134292</v>
      </c>
      <c r="E580">
        <v>0.680710002516551</v>
      </c>
      <c r="F580">
        <v>0.70927872733511299</v>
      </c>
      <c r="G580">
        <v>0.64775341965312705</v>
      </c>
      <c r="H580">
        <v>0.78038905889287002</v>
      </c>
      <c r="I580">
        <v>0.68847602269556896</v>
      </c>
      <c r="J580">
        <v>0.625132102993878</v>
      </c>
      <c r="K580">
        <v>0.57436079818734498</v>
      </c>
      <c r="L580">
        <v>524.73003337982095</v>
      </c>
      <c r="M580">
        <v>11.4438928621313</v>
      </c>
      <c r="O580">
        <v>44.519315054201101</v>
      </c>
      <c r="P580">
        <v>-2.2993450357783999E-2</v>
      </c>
      <c r="Q580">
        <v>0.64230503719435705</v>
      </c>
      <c r="R580">
        <v>0.71813950516371605</v>
      </c>
      <c r="S580" t="s">
        <v>6891</v>
      </c>
      <c r="T580" t="s">
        <v>12620</v>
      </c>
      <c r="U580" t="s">
        <v>12620</v>
      </c>
      <c r="V580" t="s">
        <v>12620</v>
      </c>
      <c r="W580" t="s">
        <v>13183</v>
      </c>
      <c r="X580">
        <v>1</v>
      </c>
      <c r="Y580" t="s">
        <v>19432</v>
      </c>
      <c r="Z580" t="s">
        <v>25527</v>
      </c>
      <c r="AA580">
        <v>0.73007004388625429</v>
      </c>
      <c r="AB580" t="str">
        <f>HYPERLINK("Melting_Curves/meltCurve_G3V577_RPGRIP1.pdf", "Melting_Curves/meltCurve_G3V577_RPGRIP1.pdf")</f>
        <v>Melting_Curves/meltCurve_G3V577_RPGRIP1.pdf</v>
      </c>
    </row>
    <row r="581" spans="1:28" x14ac:dyDescent="0.25">
      <c r="A581" t="s">
        <v>585</v>
      </c>
      <c r="B581">
        <v>0.99987803227770999</v>
      </c>
      <c r="C581">
        <v>0.95261976681349603</v>
      </c>
      <c r="D581">
        <v>0.93367651212118996</v>
      </c>
      <c r="E581">
        <v>0.85121984361220104</v>
      </c>
      <c r="F581">
        <v>0.78885708524914799</v>
      </c>
      <c r="G581">
        <v>0.722400313339847</v>
      </c>
      <c r="H581">
        <v>0.64743559464977596</v>
      </c>
      <c r="I581">
        <v>0.66460137060123703</v>
      </c>
      <c r="J581">
        <v>0.57097570452645097</v>
      </c>
      <c r="K581">
        <v>0.44264546396126497</v>
      </c>
      <c r="L581">
        <v>329.55280413125303</v>
      </c>
      <c r="M581">
        <v>4.7393673015694899</v>
      </c>
      <c r="N581">
        <v>69.535189727291296</v>
      </c>
      <c r="O581">
        <v>59.904444453333298</v>
      </c>
      <c r="P581">
        <v>-1.9924265761495401E-2</v>
      </c>
      <c r="Q581">
        <v>0</v>
      </c>
      <c r="R581">
        <v>0.96754989835878302</v>
      </c>
      <c r="S581" t="s">
        <v>6892</v>
      </c>
      <c r="T581" t="s">
        <v>12620</v>
      </c>
      <c r="U581" t="s">
        <v>12620</v>
      </c>
      <c r="V581" t="s">
        <v>12620</v>
      </c>
      <c r="W581" t="s">
        <v>13184</v>
      </c>
      <c r="X581">
        <v>2</v>
      </c>
      <c r="Y581" t="s">
        <v>19433</v>
      </c>
      <c r="Z581" t="s">
        <v>25528</v>
      </c>
      <c r="AA581">
        <v>0.76160931510877738</v>
      </c>
      <c r="AB581" t="str">
        <f>HYPERLINK("Melting_Curves/meltCurve_G3V583_FAM177A1.pdf", "Melting_Curves/meltCurve_G3V583_FAM177A1.pdf")</f>
        <v>Melting_Curves/meltCurve_G3V583_FAM177A1.pdf</v>
      </c>
    </row>
    <row r="582" spans="1:28" x14ac:dyDescent="0.25">
      <c r="A582" t="s">
        <v>586</v>
      </c>
      <c r="B582">
        <v>0.99987803227770999</v>
      </c>
      <c r="C582">
        <v>0.86731716285759697</v>
      </c>
      <c r="D582">
        <v>1.00253287120934</v>
      </c>
      <c r="E582">
        <v>0.81767046847427205</v>
      </c>
      <c r="F582">
        <v>0.93802270016265799</v>
      </c>
      <c r="G582">
        <v>0.83692646264814197</v>
      </c>
      <c r="H582">
        <v>0.79123220080926304</v>
      </c>
      <c r="I582">
        <v>0.81994391232803499</v>
      </c>
      <c r="J582">
        <v>0.68697041309242901</v>
      </c>
      <c r="K582">
        <v>0.56191764254060905</v>
      </c>
      <c r="L582">
        <v>333.04898123136297</v>
      </c>
      <c r="M582">
        <v>4.2017672836401196</v>
      </c>
      <c r="O582">
        <v>66.064382450106194</v>
      </c>
      <c r="P582">
        <v>-1.6074582754177801E-2</v>
      </c>
      <c r="Q582">
        <v>0</v>
      </c>
      <c r="R582">
        <v>0.75779504964614597</v>
      </c>
      <c r="S582" t="s">
        <v>6893</v>
      </c>
      <c r="T582" t="s">
        <v>12620</v>
      </c>
      <c r="U582" t="s">
        <v>12620</v>
      </c>
      <c r="V582" t="s">
        <v>12620</v>
      </c>
      <c r="W582" t="s">
        <v>13185</v>
      </c>
      <c r="X582">
        <v>7</v>
      </c>
      <c r="Y582" t="s">
        <v>19434</v>
      </c>
      <c r="Z582" t="s">
        <v>25529</v>
      </c>
      <c r="AA582">
        <v>0.84517736119220899</v>
      </c>
      <c r="AB582" t="str">
        <f>HYPERLINK("Melting_Curves/meltCurve_G3V599_CTAGE5.pdf", "Melting_Curves/meltCurve_G3V599_CTAGE5.pdf")</f>
        <v>Melting_Curves/meltCurve_G3V599_CTAGE5.pdf</v>
      </c>
    </row>
    <row r="583" spans="1:28" x14ac:dyDescent="0.25">
      <c r="A583" t="s">
        <v>587</v>
      </c>
      <c r="B583">
        <v>0.99987803227770999</v>
      </c>
      <c r="C583">
        <v>0.93507517176055399</v>
      </c>
      <c r="D583">
        <v>1.06381706996807</v>
      </c>
      <c r="E583">
        <v>0.84389905228892503</v>
      </c>
      <c r="F583">
        <v>0.353199477754776</v>
      </c>
      <c r="G583">
        <v>0.143001968719841</v>
      </c>
      <c r="H583">
        <v>0.100003578120472</v>
      </c>
      <c r="I583">
        <v>8.0747062400866598E-2</v>
      </c>
      <c r="J583">
        <v>5.4072616405049997E-2</v>
      </c>
      <c r="K583">
        <v>3.5927913780878597E-2</v>
      </c>
      <c r="L583">
        <v>2086.8653695729899</v>
      </c>
      <c r="M583">
        <v>40.1717117654497</v>
      </c>
      <c r="N583">
        <v>52.161695430058899</v>
      </c>
      <c r="O583">
        <v>51.820395706715701</v>
      </c>
      <c r="P583">
        <v>-0.17913846028821201</v>
      </c>
      <c r="Q583">
        <v>7.5667279204937293E-2</v>
      </c>
      <c r="R583">
        <v>0.99241236676803402</v>
      </c>
      <c r="S583" t="s">
        <v>6894</v>
      </c>
      <c r="T583" t="s">
        <v>12620</v>
      </c>
      <c r="U583" t="s">
        <v>12620</v>
      </c>
      <c r="V583" t="s">
        <v>12620</v>
      </c>
      <c r="W583" t="s">
        <v>13186</v>
      </c>
      <c r="X583">
        <v>7</v>
      </c>
      <c r="Y583" t="s">
        <v>19435</v>
      </c>
      <c r="Z583" t="s">
        <v>25530</v>
      </c>
      <c r="AA583">
        <v>0.44710677415224442</v>
      </c>
      <c r="AB583" t="str">
        <f>HYPERLINK("Melting_Curves/meltCurve_G3V5T0_GSTZ1.pdf", "Melting_Curves/meltCurve_G3V5T0_GSTZ1.pdf")</f>
        <v>Melting_Curves/meltCurve_G3V5T0_GSTZ1.pdf</v>
      </c>
    </row>
    <row r="584" spans="1:28" x14ac:dyDescent="0.25">
      <c r="A584" t="s">
        <v>588</v>
      </c>
      <c r="B584">
        <v>0.99987803227770999</v>
      </c>
      <c r="C584">
        <v>0.97691156094728604</v>
      </c>
      <c r="D584">
        <v>0.95564265452660901</v>
      </c>
      <c r="E584">
        <v>0.78225184674386306</v>
      </c>
      <c r="F584">
        <v>0.63219917079226895</v>
      </c>
      <c r="G584">
        <v>0.43743995074517</v>
      </c>
      <c r="H584">
        <v>0.40966809160871598</v>
      </c>
      <c r="I584">
        <v>0.38544698362778501</v>
      </c>
      <c r="J584">
        <v>0.38845141461056398</v>
      </c>
      <c r="K584">
        <v>0.309984975306826</v>
      </c>
      <c r="L584">
        <v>941.35340270530003</v>
      </c>
      <c r="M584">
        <v>18.088455856356401</v>
      </c>
      <c r="N584">
        <v>55.727577997669002</v>
      </c>
      <c r="O584">
        <v>51.418118570124101</v>
      </c>
      <c r="P584">
        <v>-5.72691094952886E-2</v>
      </c>
      <c r="Q584">
        <v>0.34886050369739402</v>
      </c>
      <c r="R584">
        <v>0.99376768497720303</v>
      </c>
      <c r="S584" t="s">
        <v>6895</v>
      </c>
      <c r="T584" t="s">
        <v>12620</v>
      </c>
      <c r="U584" t="s">
        <v>12620</v>
      </c>
      <c r="V584" t="s">
        <v>12620</v>
      </c>
      <c r="W584" t="s">
        <v>13187</v>
      </c>
      <c r="X584">
        <v>13</v>
      </c>
      <c r="Y584" t="s">
        <v>19436</v>
      </c>
      <c r="Z584" t="s">
        <v>25531</v>
      </c>
      <c r="AA584">
        <v>0.62095988234046684</v>
      </c>
      <c r="AB584" t="str">
        <f>HYPERLINK("Melting_Curves/meltCurve_G3XAA0_ARID1B.pdf", "Melting_Curves/meltCurve_G3XAA0_ARID1B.pdf")</f>
        <v>Melting_Curves/meltCurve_G3XAA0_ARID1B.pdf</v>
      </c>
    </row>
    <row r="585" spans="1:28" x14ac:dyDescent="0.25">
      <c r="A585" t="s">
        <v>589</v>
      </c>
      <c r="B585">
        <v>0.99987803227770999</v>
      </c>
      <c r="C585">
        <v>0.79407420300848097</v>
      </c>
      <c r="D585">
        <v>0.77165388549349401</v>
      </c>
      <c r="E585">
        <v>0.75327308510966395</v>
      </c>
      <c r="F585">
        <v>0.56448034316370899</v>
      </c>
      <c r="G585">
        <v>0.54042492468296599</v>
      </c>
      <c r="H585">
        <v>0.598623423777638</v>
      </c>
      <c r="I585">
        <v>0.489412605514151</v>
      </c>
      <c r="J585">
        <v>0.419096179444922</v>
      </c>
      <c r="K585">
        <v>0.34523120139461499</v>
      </c>
      <c r="L585">
        <v>287.85713546187202</v>
      </c>
      <c r="M585">
        <v>5.18215388145906</v>
      </c>
      <c r="N585">
        <v>61.097711618716801</v>
      </c>
      <c r="O585">
        <v>48.877018239558303</v>
      </c>
      <c r="P585">
        <v>-2.1646827149392998E-2</v>
      </c>
      <c r="Q585">
        <v>0.18772732686240901</v>
      </c>
      <c r="R585">
        <v>0.901234261673446</v>
      </c>
      <c r="S585" t="s">
        <v>6896</v>
      </c>
      <c r="T585" t="s">
        <v>12620</v>
      </c>
      <c r="U585" t="s">
        <v>12620</v>
      </c>
      <c r="V585" t="s">
        <v>12620</v>
      </c>
      <c r="W585" t="s">
        <v>13188</v>
      </c>
      <c r="X585">
        <v>22</v>
      </c>
      <c r="Y585" t="s">
        <v>19437</v>
      </c>
      <c r="Z585" t="s">
        <v>25532</v>
      </c>
      <c r="AA585">
        <v>0.62293152899665871</v>
      </c>
      <c r="AB585" t="str">
        <f>HYPERLINK("Melting_Curves/meltCurve_G3XAA2_MAP4K4.pdf", "Melting_Curves/meltCurve_G3XAA2_MAP4K4.pdf")</f>
        <v>Melting_Curves/meltCurve_G3XAA2_MAP4K4.pdf</v>
      </c>
    </row>
    <row r="586" spans="1:28" x14ac:dyDescent="0.25">
      <c r="A586" t="s">
        <v>590</v>
      </c>
      <c r="B586">
        <v>0.99987803227770999</v>
      </c>
      <c r="C586">
        <v>0.86409947627404105</v>
      </c>
      <c r="D586">
        <v>0.94097199741247906</v>
      </c>
      <c r="E586">
        <v>0.87399624710597601</v>
      </c>
      <c r="F586">
        <v>1.05916397139453</v>
      </c>
      <c r="G586">
        <v>0.91889740198446901</v>
      </c>
      <c r="H586">
        <v>0.91004879233234004</v>
      </c>
      <c r="I586">
        <v>0.88713801544581905</v>
      </c>
      <c r="J586">
        <v>0.87578030048650202</v>
      </c>
      <c r="K586">
        <v>0.72903076491176699</v>
      </c>
      <c r="L586">
        <v>334.86198552409797</v>
      </c>
      <c r="M586">
        <v>3.4045612788356299</v>
      </c>
      <c r="Q586">
        <v>0</v>
      </c>
      <c r="R586">
        <v>0.34523307680783999</v>
      </c>
      <c r="S586" t="s">
        <v>6897</v>
      </c>
      <c r="T586" t="s">
        <v>12620</v>
      </c>
      <c r="U586" t="s">
        <v>12620</v>
      </c>
      <c r="V586" t="s">
        <v>12620</v>
      </c>
      <c r="W586" t="s">
        <v>13189</v>
      </c>
      <c r="X586">
        <v>3</v>
      </c>
      <c r="Y586" t="s">
        <v>19438</v>
      </c>
      <c r="Z586" t="s">
        <v>25533</v>
      </c>
      <c r="AA586">
        <v>0.9220937989656266</v>
      </c>
      <c r="AB586" t="str">
        <f>HYPERLINK("Melting_Curves/meltCurve_G3XAF7_BCAS1.pdf", "Melting_Curves/meltCurve_G3XAF7_BCAS1.pdf")</f>
        <v>Melting_Curves/meltCurve_G3XAF7_BCAS1.pdf</v>
      </c>
    </row>
    <row r="587" spans="1:28" x14ac:dyDescent="0.25">
      <c r="A587" t="s">
        <v>591</v>
      </c>
      <c r="B587">
        <v>0.99987803227770999</v>
      </c>
      <c r="C587">
        <v>1.1024137897144799</v>
      </c>
      <c r="D587">
        <v>1.34014113782878</v>
      </c>
      <c r="E587">
        <v>1.29424345069475</v>
      </c>
      <c r="F587">
        <v>0.94230797506661701</v>
      </c>
      <c r="G587">
        <v>0.600455533400024</v>
      </c>
      <c r="H587">
        <v>0.17754212890649501</v>
      </c>
      <c r="I587">
        <v>0.14424295261586401</v>
      </c>
      <c r="J587">
        <v>0.127979252518722</v>
      </c>
      <c r="K587">
        <v>0</v>
      </c>
      <c r="L587">
        <v>2125.7166988966301</v>
      </c>
      <c r="M587">
        <v>37.002205196404297</v>
      </c>
      <c r="N587">
        <v>57.724616503862897</v>
      </c>
      <c r="O587">
        <v>57.281358192781603</v>
      </c>
      <c r="P587">
        <v>-0.14839005550375201</v>
      </c>
      <c r="Q587">
        <v>8.1140208065406297E-2</v>
      </c>
      <c r="R587">
        <v>0.90877938192909002</v>
      </c>
      <c r="S587" t="s">
        <v>6898</v>
      </c>
      <c r="T587" t="s">
        <v>12620</v>
      </c>
      <c r="U587" t="s">
        <v>12620</v>
      </c>
      <c r="V587" t="s">
        <v>12620</v>
      </c>
      <c r="W587" t="s">
        <v>13190</v>
      </c>
      <c r="X587">
        <v>3</v>
      </c>
      <c r="Y587" t="s">
        <v>19439</v>
      </c>
      <c r="Z587" t="s">
        <v>25534</v>
      </c>
      <c r="AA587">
        <v>0.61973278871227366</v>
      </c>
      <c r="AB587" t="str">
        <f>HYPERLINK("Melting_Curves/meltCurve_G3XAH0_SEPT5.pdf", "Melting_Curves/meltCurve_G3XAH0_SEPT5.pdf")</f>
        <v>Melting_Curves/meltCurve_G3XAH0_SEPT5.pdf</v>
      </c>
    </row>
    <row r="588" spans="1:28" x14ac:dyDescent="0.25">
      <c r="A588" t="s">
        <v>592</v>
      </c>
      <c r="B588">
        <v>0.99987803227770999</v>
      </c>
      <c r="C588">
        <v>0.91028001857178198</v>
      </c>
      <c r="D588">
        <v>1.0548717662223701</v>
      </c>
      <c r="E588">
        <v>0.96724860681455305</v>
      </c>
      <c r="F588">
        <v>1.0934482916382999</v>
      </c>
      <c r="G588">
        <v>0.97755349827708604</v>
      </c>
      <c r="H588">
        <v>1.14133735498735</v>
      </c>
      <c r="I588">
        <v>0.99325055648075</v>
      </c>
      <c r="J588">
        <v>1.1712150127457299</v>
      </c>
      <c r="K588">
        <v>0.94718169801279395</v>
      </c>
      <c r="L588">
        <v>7667.6257150757301</v>
      </c>
      <c r="M588">
        <v>149.08941719135601</v>
      </c>
      <c r="O588">
        <v>51.420449046442698</v>
      </c>
      <c r="P588">
        <v>3.9116211217051403E-2</v>
      </c>
      <c r="Q588">
        <v>1.0539642198478301</v>
      </c>
      <c r="R588">
        <v>0.16176178082155299</v>
      </c>
      <c r="S588" t="s">
        <v>6899</v>
      </c>
      <c r="T588" t="s">
        <v>12620</v>
      </c>
      <c r="U588" t="s">
        <v>12620</v>
      </c>
      <c r="V588" t="s">
        <v>12620</v>
      </c>
      <c r="W588" t="s">
        <v>13191</v>
      </c>
      <c r="X588">
        <v>2</v>
      </c>
      <c r="Y588" t="s">
        <v>19440</v>
      </c>
      <c r="Z588" t="s">
        <v>25535</v>
      </c>
      <c r="AA588">
        <v>1.0333906699766839</v>
      </c>
      <c r="AB588" t="str">
        <f>HYPERLINK("Melting_Curves/meltCurve_G3XAI9_FAM133B.pdf", "Melting_Curves/meltCurve_G3XAI9_FAM133B.pdf")</f>
        <v>Melting_Curves/meltCurve_G3XAI9_FAM133B.pdf</v>
      </c>
    </row>
    <row r="589" spans="1:28" x14ac:dyDescent="0.25">
      <c r="A589" t="s">
        <v>593</v>
      </c>
      <c r="B589">
        <v>0.99987803227770999</v>
      </c>
      <c r="C589">
        <v>0.61321114553490996</v>
      </c>
      <c r="D589">
        <v>0.83678691206905098</v>
      </c>
      <c r="E589">
        <v>0.64104792662675603</v>
      </c>
      <c r="F589">
        <v>0.92069429582112905</v>
      </c>
      <c r="G589">
        <v>0.71719325888322705</v>
      </c>
      <c r="H589">
        <v>0.86680788838479395</v>
      </c>
      <c r="I589">
        <v>0.69878776442040202</v>
      </c>
      <c r="J589">
        <v>0.88617801251185602</v>
      </c>
      <c r="K589">
        <v>0.82728810681579501</v>
      </c>
      <c r="L589">
        <v>10232.458447209699</v>
      </c>
      <c r="M589">
        <v>250</v>
      </c>
      <c r="O589">
        <v>40.927203486587302</v>
      </c>
      <c r="P589">
        <v>-0.337999028114367</v>
      </c>
      <c r="Q589">
        <v>0.77866626013985596</v>
      </c>
      <c r="R589">
        <v>0.30214857065990902</v>
      </c>
      <c r="S589" t="s">
        <v>6900</v>
      </c>
      <c r="T589" t="s">
        <v>12620</v>
      </c>
      <c r="U589" t="s">
        <v>12620</v>
      </c>
      <c r="V589" t="s">
        <v>12620</v>
      </c>
      <c r="W589" t="s">
        <v>13192</v>
      </c>
      <c r="X589">
        <v>1</v>
      </c>
      <c r="Y589" t="s">
        <v>19441</v>
      </c>
      <c r="Z589" t="s">
        <v>25536</v>
      </c>
      <c r="AA589">
        <v>0.7855456995312462</v>
      </c>
      <c r="AB589" t="str">
        <f>HYPERLINK("Melting_Curves/meltCurve_G3XAJ6_RFTN1.pdf", "Melting_Curves/meltCurve_G3XAJ6_RFTN1.pdf")</f>
        <v>Melting_Curves/meltCurve_G3XAJ6_RFTN1.pdf</v>
      </c>
    </row>
    <row r="590" spans="1:28" x14ac:dyDescent="0.25">
      <c r="A590" t="s">
        <v>594</v>
      </c>
      <c r="B590">
        <v>0.99987803227770999</v>
      </c>
      <c r="C590">
        <v>0.790362148149101</v>
      </c>
      <c r="D590">
        <v>1.0702399094150501</v>
      </c>
      <c r="E590">
        <v>0.85623239344697899</v>
      </c>
      <c r="F590">
        <v>1.0815359476498301</v>
      </c>
      <c r="G590">
        <v>1.00955563454008</v>
      </c>
      <c r="H590">
        <v>1.07238781725006</v>
      </c>
      <c r="I590">
        <v>1.07290307758213</v>
      </c>
      <c r="J590">
        <v>0.99136020910979905</v>
      </c>
      <c r="K590">
        <v>0.89947270313455197</v>
      </c>
      <c r="L590">
        <v>15000</v>
      </c>
      <c r="M590">
        <v>221.51531154049101</v>
      </c>
      <c r="O590">
        <v>67.709891211011893</v>
      </c>
      <c r="P590">
        <v>-8.2279264603040594E-2</v>
      </c>
      <c r="Q590">
        <v>0.89939982184724898</v>
      </c>
      <c r="R590">
        <v>8.1874673133585402E-2</v>
      </c>
      <c r="S590" t="s">
        <v>6901</v>
      </c>
      <c r="T590" t="s">
        <v>12620</v>
      </c>
      <c r="U590" t="s">
        <v>12620</v>
      </c>
      <c r="V590" t="s">
        <v>12620</v>
      </c>
      <c r="W590" t="s">
        <v>13193</v>
      </c>
      <c r="X590">
        <v>5</v>
      </c>
      <c r="Y590" t="s">
        <v>19442</v>
      </c>
      <c r="Z590" t="s">
        <v>25537</v>
      </c>
      <c r="AA590">
        <v>0.99235341981800373</v>
      </c>
      <c r="AB590" t="str">
        <f>HYPERLINK("Melting_Curves/meltCurve_G3XAL9_SLC12A2.pdf", "Melting_Curves/meltCurve_G3XAL9_SLC12A2.pdf")</f>
        <v>Melting_Curves/meltCurve_G3XAL9_SLC12A2.pdf</v>
      </c>
    </row>
    <row r="591" spans="1:28" x14ac:dyDescent="0.25">
      <c r="A591" t="s">
        <v>595</v>
      </c>
      <c r="B591">
        <v>0.99987803227770999</v>
      </c>
      <c r="C591">
        <v>1.06424099350437</v>
      </c>
      <c r="D591">
        <v>1.0281586177753701</v>
      </c>
      <c r="E591">
        <v>1.0701936714117699</v>
      </c>
      <c r="F591">
        <v>1.16379188649126</v>
      </c>
      <c r="G591">
        <v>1.0572515407754499</v>
      </c>
      <c r="H591">
        <v>1.04418098473708</v>
      </c>
      <c r="I591">
        <v>0.98939259225152498</v>
      </c>
      <c r="J591">
        <v>0.85984987523724399</v>
      </c>
      <c r="K591">
        <v>0.70038694348640795</v>
      </c>
      <c r="L591">
        <v>4859.7508930983404</v>
      </c>
      <c r="M591">
        <v>72.306284706416406</v>
      </c>
      <c r="O591">
        <v>67.159273124357298</v>
      </c>
      <c r="P591">
        <v>-8.5156858790479101E-2</v>
      </c>
      <c r="Q591">
        <v>0.68361966633549398</v>
      </c>
      <c r="R591">
        <v>0.723018943252</v>
      </c>
      <c r="S591" t="s">
        <v>6902</v>
      </c>
      <c r="T591" t="s">
        <v>12620</v>
      </c>
      <c r="U591" t="s">
        <v>12620</v>
      </c>
      <c r="V591" t="s">
        <v>12620</v>
      </c>
      <c r="W591" t="s">
        <v>13194</v>
      </c>
      <c r="X591">
        <v>1</v>
      </c>
      <c r="Y591" t="s">
        <v>19443</v>
      </c>
      <c r="Z591" t="s">
        <v>25538</v>
      </c>
      <c r="AA591">
        <v>0.97043271658256558</v>
      </c>
      <c r="AB591" t="str">
        <f>HYPERLINK("Melting_Curves/meltCurve_G3XAM2_CFI.pdf", "Melting_Curves/meltCurve_G3XAM2_CFI.pdf")</f>
        <v>Melting_Curves/meltCurve_G3XAM2_CFI.pdf</v>
      </c>
    </row>
    <row r="592" spans="1:28" x14ac:dyDescent="0.25">
      <c r="A592" t="s">
        <v>596</v>
      </c>
      <c r="B592">
        <v>0.99987803227770999</v>
      </c>
      <c r="C592">
        <v>0.81027530561110905</v>
      </c>
      <c r="D592">
        <v>0.95887111669154401</v>
      </c>
      <c r="E592">
        <v>0.80518991804300699</v>
      </c>
      <c r="F592">
        <v>1.18964139822203</v>
      </c>
      <c r="G592">
        <v>1.34761806633518</v>
      </c>
      <c r="H592">
        <v>1.2062858479554399</v>
      </c>
      <c r="I592">
        <v>1.0310067928504101</v>
      </c>
      <c r="J592">
        <v>0.96998426234868995</v>
      </c>
      <c r="K592">
        <v>0.97839204917768796</v>
      </c>
      <c r="L592">
        <v>2724.6420929688702</v>
      </c>
      <c r="M592">
        <v>52.472371460355198</v>
      </c>
      <c r="O592">
        <v>51.8500170939936</v>
      </c>
      <c r="P592">
        <v>2.9400134929399701E-2</v>
      </c>
      <c r="Q592">
        <v>1.1162056440013299</v>
      </c>
      <c r="R592">
        <v>0.24914276455329701</v>
      </c>
      <c r="S592" t="s">
        <v>6903</v>
      </c>
      <c r="T592" t="s">
        <v>12620</v>
      </c>
      <c r="U592" t="s">
        <v>12620</v>
      </c>
      <c r="V592" t="s">
        <v>12620</v>
      </c>
      <c r="W592" t="s">
        <v>13195</v>
      </c>
      <c r="X592">
        <v>1</v>
      </c>
      <c r="Y592" t="s">
        <v>19444</v>
      </c>
      <c r="Z592" t="s">
        <v>25539</v>
      </c>
      <c r="AA592">
        <v>1.069771314525034</v>
      </c>
      <c r="AB592" t="str">
        <f>HYPERLINK("Melting_Curves/meltCurve_G3XAN4_TRAM1.pdf", "Melting_Curves/meltCurve_G3XAN4_TRAM1.pdf")</f>
        <v>Melting_Curves/meltCurve_G3XAN4_TRAM1.pdf</v>
      </c>
    </row>
    <row r="593" spans="1:28" x14ac:dyDescent="0.25">
      <c r="A593" t="s">
        <v>597</v>
      </c>
      <c r="B593">
        <v>0.99987803227770999</v>
      </c>
      <c r="C593">
        <v>0.93310616274459002</v>
      </c>
      <c r="D593">
        <v>0.84555503496264095</v>
      </c>
      <c r="E593">
        <v>0.60853280973389401</v>
      </c>
      <c r="F593">
        <v>0.40316628375410801</v>
      </c>
      <c r="G593">
        <v>0.27175667917490398</v>
      </c>
      <c r="H593">
        <v>0.26072368911270499</v>
      </c>
      <c r="I593">
        <v>0.25926830308690402</v>
      </c>
      <c r="J593">
        <v>0.22034900271931401</v>
      </c>
      <c r="K593">
        <v>0.17957240708328201</v>
      </c>
      <c r="L593">
        <v>849.93120872564305</v>
      </c>
      <c r="M593">
        <v>17.0598131211561</v>
      </c>
      <c r="N593">
        <v>51.442826685983697</v>
      </c>
      <c r="O593">
        <v>49.151195131536397</v>
      </c>
      <c r="P593">
        <v>-6.8725108803794399E-2</v>
      </c>
      <c r="Q593">
        <v>0.208029635097774</v>
      </c>
      <c r="R593">
        <v>0.99564561005827801</v>
      </c>
      <c r="S593" t="s">
        <v>6904</v>
      </c>
      <c r="T593" t="s">
        <v>12620</v>
      </c>
      <c r="U593" t="s">
        <v>12620</v>
      </c>
      <c r="V593" t="s">
        <v>12620</v>
      </c>
      <c r="W593" t="s">
        <v>13188</v>
      </c>
      <c r="X593">
        <v>21</v>
      </c>
      <c r="Y593" t="s">
        <v>19437</v>
      </c>
      <c r="Z593" t="s">
        <v>25540</v>
      </c>
      <c r="AA593">
        <v>0.48227693818060119</v>
      </c>
      <c r="AB593" t="str">
        <f>HYPERLINK("Melting_Curves/meltCurve_G5E948_MAP4K4.pdf", "Melting_Curves/meltCurve_G5E948_MAP4K4.pdf")</f>
        <v>Melting_Curves/meltCurve_G5E948_MAP4K4.pdf</v>
      </c>
    </row>
    <row r="594" spans="1:28" x14ac:dyDescent="0.25">
      <c r="A594" t="s">
        <v>598</v>
      </c>
      <c r="B594">
        <v>0.99987803227770999</v>
      </c>
      <c r="C594">
        <v>0.74387278978203597</v>
      </c>
      <c r="D594">
        <v>0.93450002949708599</v>
      </c>
      <c r="E594">
        <v>0.509239645243172</v>
      </c>
      <c r="F594">
        <v>0.201211549941054</v>
      </c>
      <c r="G594">
        <v>8.9141699616092807E-2</v>
      </c>
      <c r="H594">
        <v>6.6983562023733206E-2</v>
      </c>
      <c r="I594">
        <v>7.5975658713596794E-2</v>
      </c>
      <c r="J594">
        <v>3.6892528206937301E-2</v>
      </c>
      <c r="K594">
        <v>4.3172358196815502E-2</v>
      </c>
      <c r="L594">
        <v>1116.06596977246</v>
      </c>
      <c r="M594">
        <v>22.4358717026196</v>
      </c>
      <c r="N594">
        <v>49.947340063429898</v>
      </c>
      <c r="O594">
        <v>49.354573848922001</v>
      </c>
      <c r="P594">
        <v>-0.10870503109230301</v>
      </c>
      <c r="Q594">
        <v>4.3499672083054101E-2</v>
      </c>
      <c r="R594">
        <v>0.95658475251333197</v>
      </c>
      <c r="S594" t="s">
        <v>6905</v>
      </c>
      <c r="T594" t="s">
        <v>12620</v>
      </c>
      <c r="U594" t="s">
        <v>12620</v>
      </c>
      <c r="V594" t="s">
        <v>12620</v>
      </c>
      <c r="W594" t="s">
        <v>13196</v>
      </c>
      <c r="X594">
        <v>1</v>
      </c>
      <c r="Y594" t="s">
        <v>19445</v>
      </c>
      <c r="Z594" t="s">
        <v>25541</v>
      </c>
      <c r="AA594">
        <v>0.36479901133055492</v>
      </c>
      <c r="AB594" t="str">
        <f>HYPERLINK("Melting_Curves/meltCurve_G5E979_ATG4A.pdf", "Melting_Curves/meltCurve_G5E979_ATG4A.pdf")</f>
        <v>Melting_Curves/meltCurve_G5E979_ATG4A.pdf</v>
      </c>
    </row>
    <row r="595" spans="1:28" x14ac:dyDescent="0.25">
      <c r="A595" t="s">
        <v>599</v>
      </c>
      <c r="B595">
        <v>0.99987803227770999</v>
      </c>
      <c r="C595">
        <v>1.07061120585023</v>
      </c>
      <c r="D595">
        <v>0.61526595572952003</v>
      </c>
      <c r="E595">
        <v>0.55207006872928399</v>
      </c>
      <c r="F595">
        <v>0.29665092977730301</v>
      </c>
      <c r="G595">
        <v>0.19382978131981399</v>
      </c>
      <c r="H595">
        <v>0.15605679991909099</v>
      </c>
      <c r="I595">
        <v>0.19548278768782201</v>
      </c>
      <c r="J595">
        <v>7.8162119180847395E-2</v>
      </c>
      <c r="K595">
        <v>5.8269586279470202E-2</v>
      </c>
      <c r="L595">
        <v>754.89374727681002</v>
      </c>
      <c r="M595">
        <v>15.3799923778482</v>
      </c>
      <c r="N595">
        <v>49.7953011037796</v>
      </c>
      <c r="O595">
        <v>48.275501882559197</v>
      </c>
      <c r="P595">
        <v>-7.1787476677099199E-2</v>
      </c>
      <c r="Q595">
        <v>9.87618152804383E-2</v>
      </c>
      <c r="R595">
        <v>0.95053792642528301</v>
      </c>
      <c r="S595" t="s">
        <v>6906</v>
      </c>
      <c r="T595" t="s">
        <v>12620</v>
      </c>
      <c r="U595" t="s">
        <v>12620</v>
      </c>
      <c r="V595" t="s">
        <v>12620</v>
      </c>
      <c r="W595" t="s">
        <v>12790</v>
      </c>
      <c r="X595">
        <v>9</v>
      </c>
      <c r="Y595" t="s">
        <v>19446</v>
      </c>
      <c r="Z595" t="s">
        <v>25542</v>
      </c>
      <c r="AA595">
        <v>0.39277723328092651</v>
      </c>
      <c r="AB595" t="str">
        <f>HYPERLINK("Melting_Curves/meltCurve_G5E9A6_USP11.pdf", "Melting_Curves/meltCurve_G5E9A6_USP11.pdf")</f>
        <v>Melting_Curves/meltCurve_G5E9A6_USP11.pdf</v>
      </c>
    </row>
    <row r="596" spans="1:28" x14ac:dyDescent="0.25">
      <c r="A596" t="s">
        <v>600</v>
      </c>
      <c r="B596">
        <v>0.99987803227770999</v>
      </c>
      <c r="C596">
        <v>0.95067774221510204</v>
      </c>
      <c r="D596">
        <v>0.84471695587678897</v>
      </c>
      <c r="E596">
        <v>0.60770192652320498</v>
      </c>
      <c r="F596">
        <v>0.379704790365816</v>
      </c>
      <c r="G596">
        <v>0.26063911827308001</v>
      </c>
      <c r="H596">
        <v>0.215000684055491</v>
      </c>
      <c r="I596">
        <v>0.18852962066793499</v>
      </c>
      <c r="J596">
        <v>0.24606548578116799</v>
      </c>
      <c r="K596">
        <v>0.22840046847134601</v>
      </c>
      <c r="L596">
        <v>954.49614372507995</v>
      </c>
      <c r="M596">
        <v>19.197747534086499</v>
      </c>
      <c r="N596">
        <v>51.1443853386683</v>
      </c>
      <c r="O596">
        <v>49.189111308296198</v>
      </c>
      <c r="P596">
        <v>-7.7361489829833402E-2</v>
      </c>
      <c r="Q596">
        <v>0.20715738055761601</v>
      </c>
      <c r="R596">
        <v>0.99595917984576898</v>
      </c>
      <c r="S596" t="s">
        <v>6907</v>
      </c>
      <c r="T596" t="s">
        <v>12620</v>
      </c>
      <c r="U596" t="s">
        <v>12620</v>
      </c>
      <c r="V596" t="s">
        <v>12620</v>
      </c>
      <c r="W596" t="s">
        <v>13197</v>
      </c>
      <c r="X596">
        <v>1</v>
      </c>
      <c r="Y596" t="s">
        <v>19447</v>
      </c>
      <c r="Z596" t="s">
        <v>25543</v>
      </c>
      <c r="AA596">
        <v>0.47599328893756382</v>
      </c>
      <c r="AB596" t="str">
        <f>HYPERLINK("Melting_Curves/meltCurve_G5E9A7_DMWD.pdf", "Melting_Curves/meltCurve_G5E9A7_DMWD.pdf")</f>
        <v>Melting_Curves/meltCurve_G5E9A7_DMWD.pdf</v>
      </c>
    </row>
    <row r="597" spans="1:28" x14ac:dyDescent="0.25">
      <c r="A597" t="s">
        <v>601</v>
      </c>
      <c r="B597">
        <v>0.99987803227770999</v>
      </c>
      <c r="C597">
        <v>1.0907908321815001</v>
      </c>
      <c r="D597">
        <v>0.90255030993067498</v>
      </c>
      <c r="E597">
        <v>0.50080798943653004</v>
      </c>
      <c r="F597">
        <v>0.20776796838633199</v>
      </c>
      <c r="G597">
        <v>0.13602209826423101</v>
      </c>
      <c r="H597">
        <v>0.10360078147695299</v>
      </c>
      <c r="I597">
        <v>0.10115053597783601</v>
      </c>
      <c r="J597">
        <v>7.5079927084477693E-2</v>
      </c>
      <c r="K597">
        <v>5.4805641380935799E-2</v>
      </c>
      <c r="L597">
        <v>1449.30371046912</v>
      </c>
      <c r="M597">
        <v>29.181017656693601</v>
      </c>
      <c r="N597">
        <v>49.996535208014699</v>
      </c>
      <c r="O597">
        <v>49.434484202075801</v>
      </c>
      <c r="P597">
        <v>-0.134628826029522</v>
      </c>
      <c r="Q597">
        <v>8.7727752541944704E-2</v>
      </c>
      <c r="R597">
        <v>0.99216775498614196</v>
      </c>
      <c r="S597" t="s">
        <v>6908</v>
      </c>
      <c r="T597" t="s">
        <v>12620</v>
      </c>
      <c r="U597" t="s">
        <v>12620</v>
      </c>
      <c r="V597" t="s">
        <v>12620</v>
      </c>
      <c r="W597" t="s">
        <v>13198</v>
      </c>
      <c r="X597">
        <v>19</v>
      </c>
      <c r="Y597" t="s">
        <v>19448</v>
      </c>
      <c r="Z597" t="s">
        <v>25544</v>
      </c>
      <c r="AA597">
        <v>0.38759824775410318</v>
      </c>
      <c r="AB597" t="str">
        <f>HYPERLINK("Melting_Curves/meltCurve_G5E9C8_SOS1.pdf", "Melting_Curves/meltCurve_G5E9C8_SOS1.pdf")</f>
        <v>Melting_Curves/meltCurve_G5E9C8_SOS1.pdf</v>
      </c>
    </row>
    <row r="598" spans="1:28" x14ac:dyDescent="0.25">
      <c r="A598" t="s">
        <v>602</v>
      </c>
      <c r="B598">
        <v>0.99987803227770999</v>
      </c>
      <c r="C598">
        <v>0.97469868097266898</v>
      </c>
      <c r="D598">
        <v>0.99293516261901005</v>
      </c>
      <c r="E598">
        <v>1.07383073494117</v>
      </c>
      <c r="F598">
        <v>0.67973763555349997</v>
      </c>
      <c r="G598">
        <v>0.420173786593173</v>
      </c>
      <c r="H598">
        <v>0.46069685344898598</v>
      </c>
      <c r="I598">
        <v>0.39542605349828203</v>
      </c>
      <c r="J598">
        <v>0.391461164090463</v>
      </c>
      <c r="K598">
        <v>0.25218276832942199</v>
      </c>
      <c r="L598">
        <v>13245.7797704348</v>
      </c>
      <c r="M598">
        <v>250</v>
      </c>
      <c r="N598">
        <v>53.294558136091197</v>
      </c>
      <c r="O598">
        <v>52.979749897329803</v>
      </c>
      <c r="P598">
        <v>-0.726707058781073</v>
      </c>
      <c r="Q598">
        <v>0.383988116225709</v>
      </c>
      <c r="R598">
        <v>0.96576992785937998</v>
      </c>
      <c r="S598" t="s">
        <v>6909</v>
      </c>
      <c r="T598" t="s">
        <v>12620</v>
      </c>
      <c r="U598" t="s">
        <v>12620</v>
      </c>
      <c r="V598" t="s">
        <v>12620</v>
      </c>
      <c r="W598" t="s">
        <v>13199</v>
      </c>
      <c r="X598">
        <v>63</v>
      </c>
      <c r="Y598" t="s">
        <v>19419</v>
      </c>
      <c r="Z598" t="s">
        <v>25545</v>
      </c>
      <c r="AA598">
        <v>0.65063725057341038</v>
      </c>
      <c r="AB598" t="str">
        <f>HYPERLINK("Melting_Curves/meltCurve_G5E9E7_TJP1.pdf", "Melting_Curves/meltCurve_G5E9E7_TJP1.pdf")</f>
        <v>Melting_Curves/meltCurve_G5E9E7_TJP1.pdf</v>
      </c>
    </row>
    <row r="599" spans="1:28" x14ac:dyDescent="0.25">
      <c r="A599" t="s">
        <v>603</v>
      </c>
      <c r="B599">
        <v>0.99987803227770999</v>
      </c>
      <c r="C599">
        <v>0.75675309793179901</v>
      </c>
      <c r="D599">
        <v>0.58171480447361801</v>
      </c>
      <c r="E599">
        <v>0.38491181845198702</v>
      </c>
      <c r="F599">
        <v>0.29570063484895198</v>
      </c>
      <c r="G599">
        <v>0.18282261296267999</v>
      </c>
      <c r="H599">
        <v>0.15784828180109201</v>
      </c>
      <c r="I599">
        <v>0.128178619633015</v>
      </c>
      <c r="J599">
        <v>0.131431760046756</v>
      </c>
      <c r="K599">
        <v>9.9716890977625497E-2</v>
      </c>
      <c r="L599">
        <v>619.26265002195396</v>
      </c>
      <c r="M599">
        <v>13.230515068169</v>
      </c>
      <c r="N599">
        <v>47.702659051388103</v>
      </c>
      <c r="O599">
        <v>45.775081390314099</v>
      </c>
      <c r="P599">
        <v>-6.4311103875146006E-2</v>
      </c>
      <c r="Q599">
        <v>0.11012934332767201</v>
      </c>
      <c r="R599">
        <v>0.98758439316570001</v>
      </c>
      <c r="S599" t="s">
        <v>6910</v>
      </c>
      <c r="T599" t="s">
        <v>12620</v>
      </c>
      <c r="U599" t="s">
        <v>12620</v>
      </c>
      <c r="V599" t="s">
        <v>12620</v>
      </c>
      <c r="W599" t="s">
        <v>13200</v>
      </c>
      <c r="X599">
        <v>11</v>
      </c>
      <c r="Y599" t="s">
        <v>19449</v>
      </c>
      <c r="Z599" t="s">
        <v>25546</v>
      </c>
      <c r="AA599">
        <v>0.34351199796540849</v>
      </c>
      <c r="AB599" t="str">
        <f>HYPERLINK("Melting_Curves/meltCurve_G5E9I6_MAPRE2.pdf", "Melting_Curves/meltCurve_G5E9I6_MAPRE2.pdf")</f>
        <v>Melting_Curves/meltCurve_G5E9I6_MAPRE2.pdf</v>
      </c>
    </row>
    <row r="600" spans="1:28" x14ac:dyDescent="0.25">
      <c r="A600" t="s">
        <v>604</v>
      </c>
      <c r="B600">
        <v>0.99987803227770999</v>
      </c>
      <c r="C600">
        <v>0.99856469212536403</v>
      </c>
      <c r="D600">
        <v>0.73079641730080902</v>
      </c>
      <c r="E600">
        <v>0.52215169603587297</v>
      </c>
      <c r="F600">
        <v>0.27230575452679701</v>
      </c>
      <c r="G600">
        <v>0.143819682405181</v>
      </c>
      <c r="H600">
        <v>7.8372836833559403E-2</v>
      </c>
      <c r="I600">
        <v>7.0716421640822105E-2</v>
      </c>
      <c r="J600">
        <v>7.8026145364499006E-2</v>
      </c>
      <c r="K600">
        <v>1.2302299313722301E-2</v>
      </c>
      <c r="L600">
        <v>814.03557665031406</v>
      </c>
      <c r="M600">
        <v>16.404863908324501</v>
      </c>
      <c r="N600">
        <v>49.861083918952701</v>
      </c>
      <c r="O600">
        <v>48.901823529987503</v>
      </c>
      <c r="P600">
        <v>-8.0694821538583594E-2</v>
      </c>
      <c r="Q600">
        <v>3.7884519281138701E-2</v>
      </c>
      <c r="R600">
        <v>0.99142590213635096</v>
      </c>
      <c r="S600" t="s">
        <v>6911</v>
      </c>
      <c r="T600" t="s">
        <v>12620</v>
      </c>
      <c r="U600" t="s">
        <v>12620</v>
      </c>
      <c r="V600" t="s">
        <v>12620</v>
      </c>
      <c r="W600" t="s">
        <v>13201</v>
      </c>
      <c r="X600">
        <v>4</v>
      </c>
      <c r="Y600" t="s">
        <v>19450</v>
      </c>
      <c r="Z600" t="s">
        <v>25547</v>
      </c>
      <c r="AA600">
        <v>0.36614279908947028</v>
      </c>
      <c r="AB600" t="str">
        <f>HYPERLINK("Melting_Curves/meltCurve_G5E9L9_DCLK2.pdf", "Melting_Curves/meltCurve_G5E9L9_DCLK2.pdf")</f>
        <v>Melting_Curves/meltCurve_G5E9L9_DCLK2.pdf</v>
      </c>
    </row>
    <row r="601" spans="1:28" x14ac:dyDescent="0.25">
      <c r="A601" t="s">
        <v>605</v>
      </c>
      <c r="B601">
        <v>0.99987803227770999</v>
      </c>
      <c r="C601">
        <v>1.38757754915131</v>
      </c>
      <c r="D601">
        <v>1.3691188475637599</v>
      </c>
      <c r="E601">
        <v>1.1558199184595499</v>
      </c>
      <c r="F601">
        <v>0.84846353327152801</v>
      </c>
      <c r="G601">
        <v>0.42807722952465299</v>
      </c>
      <c r="H601">
        <v>0.26465095170901298</v>
      </c>
      <c r="I601">
        <v>0.23353889604810901</v>
      </c>
      <c r="J601">
        <v>0.24561137367040101</v>
      </c>
      <c r="K601">
        <v>0.19656869353430001</v>
      </c>
      <c r="L601">
        <v>2162.3197369763302</v>
      </c>
      <c r="M601">
        <v>39.056433335134003</v>
      </c>
      <c r="N601">
        <v>56.2495720322596</v>
      </c>
      <c r="O601">
        <v>55.219440740705799</v>
      </c>
      <c r="P601">
        <v>-0.13621599536149001</v>
      </c>
      <c r="Q601">
        <v>0.22965281422148801</v>
      </c>
      <c r="R601">
        <v>0.85425747910204097</v>
      </c>
      <c r="S601" t="s">
        <v>6912</v>
      </c>
      <c r="T601" t="s">
        <v>12620</v>
      </c>
      <c r="U601" t="s">
        <v>12620</v>
      </c>
      <c r="V601" t="s">
        <v>12620</v>
      </c>
      <c r="W601" t="s">
        <v>13202</v>
      </c>
      <c r="X601">
        <v>1</v>
      </c>
      <c r="Y601" t="s">
        <v>19451</v>
      </c>
      <c r="Z601" t="s">
        <v>25548</v>
      </c>
      <c r="AA601">
        <v>0.62724961354190079</v>
      </c>
      <c r="AB601" t="str">
        <f>HYPERLINK("Melting_Curves/meltCurve_G5E9R3_RPL37A.pdf", "Melting_Curves/meltCurve_G5E9R3_RPL37A.pdf")</f>
        <v>Melting_Curves/meltCurve_G5E9R3_RPL37A.pdf</v>
      </c>
    </row>
    <row r="602" spans="1:28" x14ac:dyDescent="0.25">
      <c r="A602" t="s">
        <v>606</v>
      </c>
      <c r="B602">
        <v>0.99987803227770999</v>
      </c>
      <c r="C602">
        <v>1.0367049342514201</v>
      </c>
      <c r="D602">
        <v>0.84447490970711503</v>
      </c>
      <c r="E602">
        <v>0.76355293908391697</v>
      </c>
      <c r="F602">
        <v>0.56993196942981605</v>
      </c>
      <c r="G602">
        <v>0.30999775045733602</v>
      </c>
      <c r="H602">
        <v>0.21861060461612999</v>
      </c>
      <c r="I602">
        <v>0.16356682057510399</v>
      </c>
      <c r="J602">
        <v>0.140319263306733</v>
      </c>
      <c r="K602">
        <v>9.8091743503852205E-2</v>
      </c>
      <c r="L602">
        <v>766.80380447927996</v>
      </c>
      <c r="M602">
        <v>14.403635882948601</v>
      </c>
      <c r="N602">
        <v>53.916114596935699</v>
      </c>
      <c r="O602">
        <v>52.2422044840363</v>
      </c>
      <c r="P602">
        <v>-6.32151559609406E-2</v>
      </c>
      <c r="Q602">
        <v>8.2979296857254803E-2</v>
      </c>
      <c r="R602">
        <v>0.99122063700524898</v>
      </c>
      <c r="S602" t="s">
        <v>6913</v>
      </c>
      <c r="T602" t="s">
        <v>12620</v>
      </c>
      <c r="U602" t="s">
        <v>12620</v>
      </c>
      <c r="V602" t="s">
        <v>12620</v>
      </c>
      <c r="W602" t="s">
        <v>13203</v>
      </c>
      <c r="X602">
        <v>2</v>
      </c>
      <c r="Y602" t="s">
        <v>19452</v>
      </c>
      <c r="Z602" t="s">
        <v>25549</v>
      </c>
      <c r="AA602">
        <v>0.5082100908471251</v>
      </c>
      <c r="AB602" t="str">
        <f>HYPERLINK("Melting_Curves/meltCurve_G5E9W7_MRPS22.pdf", "Melting_Curves/meltCurve_G5E9W7_MRPS22.pdf")</f>
        <v>Melting_Curves/meltCurve_G5E9W7_MRPS22.pdf</v>
      </c>
    </row>
    <row r="603" spans="1:28" x14ac:dyDescent="0.25">
      <c r="A603" t="s">
        <v>607</v>
      </c>
      <c r="B603">
        <v>0.99987803227770999</v>
      </c>
      <c r="C603">
        <v>0.94940523926248599</v>
      </c>
      <c r="D603">
        <v>0.91735186064951302</v>
      </c>
      <c r="E603">
        <v>0.89705769272365199</v>
      </c>
      <c r="F603">
        <v>0.71740865014179001</v>
      </c>
      <c r="G603">
        <v>0.62075695368205797</v>
      </c>
      <c r="H603">
        <v>0.47002728156967699</v>
      </c>
      <c r="I603">
        <v>0.31625607661577798</v>
      </c>
      <c r="J603">
        <v>0.203638090375243</v>
      </c>
      <c r="K603">
        <v>0.13680399937051299</v>
      </c>
      <c r="L603">
        <v>609.72547617227303</v>
      </c>
      <c r="M603">
        <v>10.3038141986895</v>
      </c>
      <c r="N603">
        <v>59.174721129863002</v>
      </c>
      <c r="O603">
        <v>57.075865408961697</v>
      </c>
      <c r="P603">
        <v>-4.5151673423361099E-2</v>
      </c>
      <c r="Q603">
        <v>0</v>
      </c>
      <c r="R603">
        <v>0.98945476335149596</v>
      </c>
      <c r="S603" t="s">
        <v>6914</v>
      </c>
      <c r="T603" t="s">
        <v>12620</v>
      </c>
      <c r="U603" t="s">
        <v>12620</v>
      </c>
      <c r="V603" t="s">
        <v>12620</v>
      </c>
      <c r="W603" t="s">
        <v>13204</v>
      </c>
      <c r="X603">
        <v>1</v>
      </c>
      <c r="Y603" t="s">
        <v>19453</v>
      </c>
      <c r="Z603" t="s">
        <v>25550</v>
      </c>
      <c r="AA603">
        <v>0.64223887517692479</v>
      </c>
      <c r="AB603" t="str">
        <f>HYPERLINK("Melting_Curves/meltCurve_G5EA37_WIPI1.pdf", "Melting_Curves/meltCurve_G5EA37_WIPI1.pdf")</f>
        <v>Melting_Curves/meltCurve_G5EA37_WIPI1.pdf</v>
      </c>
    </row>
    <row r="604" spans="1:28" x14ac:dyDescent="0.25">
      <c r="A604" t="s">
        <v>608</v>
      </c>
      <c r="B604">
        <v>0.99987803227770999</v>
      </c>
      <c r="C604">
        <v>1.1638409231075599</v>
      </c>
      <c r="D604">
        <v>0.890662098261085</v>
      </c>
      <c r="E604">
        <v>0.99419087896829605</v>
      </c>
      <c r="F604">
        <v>0.50090544153291205</v>
      </c>
      <c r="G604">
        <v>0.440578837658398</v>
      </c>
      <c r="H604">
        <v>0.27730919541739102</v>
      </c>
      <c r="I604">
        <v>0.23188165912729999</v>
      </c>
      <c r="J604">
        <v>0.185229870760275</v>
      </c>
      <c r="K604">
        <v>0.13588025994978001</v>
      </c>
      <c r="L604">
        <v>1103.7385796763699</v>
      </c>
      <c r="M604">
        <v>20.581171241316699</v>
      </c>
      <c r="N604">
        <v>54.848667133324298</v>
      </c>
      <c r="O604">
        <v>53.129963304218897</v>
      </c>
      <c r="P604">
        <v>-7.90584051118699E-2</v>
      </c>
      <c r="Q604">
        <v>0.18367171619628</v>
      </c>
      <c r="R604">
        <v>0.93810346388299404</v>
      </c>
      <c r="S604" t="s">
        <v>6915</v>
      </c>
      <c r="T604" t="s">
        <v>12620</v>
      </c>
      <c r="U604" t="s">
        <v>12620</v>
      </c>
      <c r="V604" t="s">
        <v>12620</v>
      </c>
      <c r="W604" t="s">
        <v>13205</v>
      </c>
      <c r="X604">
        <v>4</v>
      </c>
      <c r="Y604" t="s">
        <v>19454</v>
      </c>
      <c r="Z604" t="s">
        <v>25551</v>
      </c>
      <c r="AA604">
        <v>0.56515247271056857</v>
      </c>
      <c r="AB604" t="str">
        <f>HYPERLINK("Melting_Curves/meltCurve_G5EA42_TMOD2.pdf", "Melting_Curves/meltCurve_G5EA42_TMOD2.pdf")</f>
        <v>Melting_Curves/meltCurve_G5EA42_TMOD2.pdf</v>
      </c>
    </row>
    <row r="605" spans="1:28" x14ac:dyDescent="0.25">
      <c r="A605" t="s">
        <v>609</v>
      </c>
      <c r="B605">
        <v>0.99987803227770999</v>
      </c>
      <c r="C605">
        <v>0.83075601943378596</v>
      </c>
      <c r="D605">
        <v>1.0142309476229701</v>
      </c>
      <c r="E605">
        <v>0.77931546425265597</v>
      </c>
      <c r="F605">
        <v>0.456394186740472</v>
      </c>
      <c r="G605">
        <v>0.19530294633800399</v>
      </c>
      <c r="H605">
        <v>0.106172570952692</v>
      </c>
      <c r="I605">
        <v>9.3473707932237596E-2</v>
      </c>
      <c r="J605">
        <v>7.0819746312751994E-2</v>
      </c>
      <c r="K605">
        <v>5.40741202957035E-2</v>
      </c>
      <c r="L605">
        <v>1253.33775617214</v>
      </c>
      <c r="M605">
        <v>23.931824260454199</v>
      </c>
      <c r="N605">
        <v>52.700411943274098</v>
      </c>
      <c r="O605">
        <v>52.009612573008802</v>
      </c>
      <c r="P605">
        <v>-0.107049795729856</v>
      </c>
      <c r="Q605">
        <v>6.9435025163784206E-2</v>
      </c>
      <c r="R605">
        <v>0.97974146636646897</v>
      </c>
      <c r="S605" t="s">
        <v>6916</v>
      </c>
      <c r="T605" t="s">
        <v>12620</v>
      </c>
      <c r="U605" t="s">
        <v>12620</v>
      </c>
      <c r="V605" t="s">
        <v>12620</v>
      </c>
      <c r="W605" t="s">
        <v>13206</v>
      </c>
      <c r="X605">
        <v>37</v>
      </c>
      <c r="Y605" t="s">
        <v>19455</v>
      </c>
      <c r="Z605" t="s">
        <v>25552</v>
      </c>
      <c r="AA605">
        <v>0.46243525353695653</v>
      </c>
      <c r="AB605" t="str">
        <f>HYPERLINK("Melting_Curves/meltCurve_G5EA52_PDIA3.pdf", "Melting_Curves/meltCurve_G5EA52_PDIA3.pdf")</f>
        <v>Melting_Curves/meltCurve_G5EA52_PDIA3.pdf</v>
      </c>
    </row>
    <row r="606" spans="1:28" x14ac:dyDescent="0.25">
      <c r="A606" t="s">
        <v>610</v>
      </c>
      <c r="B606">
        <v>0.99987803227770999</v>
      </c>
      <c r="C606">
        <v>0.99197027069935695</v>
      </c>
      <c r="D606">
        <v>0.95865676891003104</v>
      </c>
      <c r="E606">
        <v>0.97215301579181901</v>
      </c>
      <c r="F606">
        <v>0.85230531825088596</v>
      </c>
      <c r="G606">
        <v>0.54783133873957002</v>
      </c>
      <c r="H606">
        <v>0.21301706542075799</v>
      </c>
      <c r="I606">
        <v>0.13621866731878701</v>
      </c>
      <c r="J606">
        <v>9.0528543518241605E-2</v>
      </c>
      <c r="K606">
        <v>6.2575659039154102E-2</v>
      </c>
      <c r="L606">
        <v>1307.1374901761201</v>
      </c>
      <c r="M606">
        <v>22.8943265036079</v>
      </c>
      <c r="N606">
        <v>57.377219851054903</v>
      </c>
      <c r="O606">
        <v>56.664160686801097</v>
      </c>
      <c r="P606">
        <v>-9.5620851387271499E-2</v>
      </c>
      <c r="Q606">
        <v>5.3360280807203703E-2</v>
      </c>
      <c r="R606">
        <v>0.99856819501647998</v>
      </c>
      <c r="S606" t="s">
        <v>6917</v>
      </c>
      <c r="T606" t="s">
        <v>12620</v>
      </c>
      <c r="U606" t="s">
        <v>12620</v>
      </c>
      <c r="V606" t="s">
        <v>12620</v>
      </c>
      <c r="W606" t="s">
        <v>13207</v>
      </c>
      <c r="X606">
        <v>4</v>
      </c>
      <c r="Y606" t="s">
        <v>19456</v>
      </c>
      <c r="Z606" t="s">
        <v>25553</v>
      </c>
      <c r="AA606">
        <v>0.60244719417572268</v>
      </c>
      <c r="AB606" t="str">
        <f>HYPERLINK("Melting_Curves/meltCurve_G8JLA8_TGFBI.pdf", "Melting_Curves/meltCurve_G8JLA8_TGFBI.pdf")</f>
        <v>Melting_Curves/meltCurve_G8JLA8_TGFBI.pdf</v>
      </c>
    </row>
    <row r="607" spans="1:28" x14ac:dyDescent="0.25">
      <c r="A607" t="s">
        <v>611</v>
      </c>
      <c r="B607">
        <v>0.99987803227770999</v>
      </c>
      <c r="C607">
        <v>1.06534528116772</v>
      </c>
      <c r="D607">
        <v>0.92555305561774903</v>
      </c>
      <c r="E607">
        <v>0.44054415907923899</v>
      </c>
      <c r="F607">
        <v>0.23946835745123499</v>
      </c>
      <c r="G607">
        <v>0.174606356290612</v>
      </c>
      <c r="H607">
        <v>0.13754811666643499</v>
      </c>
      <c r="I607">
        <v>0.125813975482234</v>
      </c>
      <c r="J607">
        <v>0.10637360991674299</v>
      </c>
      <c r="K607">
        <v>8.1151631667658902E-2</v>
      </c>
      <c r="L607">
        <v>1543.1864057301</v>
      </c>
      <c r="M607">
        <v>31.336401382233198</v>
      </c>
      <c r="N607">
        <v>49.702074165290497</v>
      </c>
      <c r="O607">
        <v>49.046559460124698</v>
      </c>
      <c r="P607">
        <v>-0.13976273982065099</v>
      </c>
      <c r="Q607">
        <v>0.124999214375155</v>
      </c>
      <c r="R607">
        <v>0.99282277525570495</v>
      </c>
      <c r="S607" t="s">
        <v>6918</v>
      </c>
      <c r="T607" t="s">
        <v>12620</v>
      </c>
      <c r="U607" t="s">
        <v>12620</v>
      </c>
      <c r="V607" t="s">
        <v>12620</v>
      </c>
      <c r="W607" t="s">
        <v>13208</v>
      </c>
      <c r="X607">
        <v>14</v>
      </c>
      <c r="Y607" t="s">
        <v>19457</v>
      </c>
      <c r="Z607" t="s">
        <v>25554</v>
      </c>
      <c r="AA607">
        <v>0.39956210351269073</v>
      </c>
      <c r="AB607" t="str">
        <f>HYPERLINK("Melting_Curves/meltCurve_G8JLB3_PUS1.pdf", "Melting_Curves/meltCurve_G8JLB3_PUS1.pdf")</f>
        <v>Melting_Curves/meltCurve_G8JLB3_PUS1.pdf</v>
      </c>
    </row>
    <row r="608" spans="1:28" x14ac:dyDescent="0.25">
      <c r="A608" t="s">
        <v>612</v>
      </c>
      <c r="B608">
        <v>0.99987803227770999</v>
      </c>
      <c r="C608">
        <v>0.97422652059865</v>
      </c>
      <c r="D608">
        <v>0.88345738405027896</v>
      </c>
      <c r="E608">
        <v>0.793076452319737</v>
      </c>
      <c r="F608">
        <v>0.55667331494596295</v>
      </c>
      <c r="G608">
        <v>0.45551688350737002</v>
      </c>
      <c r="H608">
        <v>0.34919502722160101</v>
      </c>
      <c r="I608">
        <v>0.30378644215532702</v>
      </c>
      <c r="J608">
        <v>0.175912819370108</v>
      </c>
      <c r="K608">
        <v>0.16243289972851799</v>
      </c>
      <c r="L608">
        <v>571.19248848015695</v>
      </c>
      <c r="M608">
        <v>10.439397806215601</v>
      </c>
      <c r="N608">
        <v>55.818883467186602</v>
      </c>
      <c r="O608">
        <v>52.8216473094988</v>
      </c>
      <c r="P608">
        <v>-4.4819295043375902E-2</v>
      </c>
      <c r="Q608">
        <v>9.3261024596346206E-2</v>
      </c>
      <c r="R608">
        <v>0.98836636724122295</v>
      </c>
      <c r="S608" t="s">
        <v>6919</v>
      </c>
      <c r="T608" t="s">
        <v>12620</v>
      </c>
      <c r="U608" t="s">
        <v>12620</v>
      </c>
      <c r="V608" t="s">
        <v>12620</v>
      </c>
      <c r="W608" t="s">
        <v>13209</v>
      </c>
      <c r="X608">
        <v>3</v>
      </c>
      <c r="Y608" t="s">
        <v>19458</v>
      </c>
      <c r="Z608" t="s">
        <v>25555</v>
      </c>
      <c r="AA608">
        <v>0.56209824487418247</v>
      </c>
      <c r="AB608" t="str">
        <f>HYPERLINK("Melting_Curves/meltCurve_G8JLH2_CDC25B.pdf", "Melting_Curves/meltCurve_G8JLH2_CDC25B.pdf")</f>
        <v>Melting_Curves/meltCurve_G8JLH2_CDC25B.pdf</v>
      </c>
    </row>
    <row r="609" spans="1:28" x14ac:dyDescent="0.25">
      <c r="A609" t="s">
        <v>613</v>
      </c>
      <c r="B609">
        <v>0.99987803227770999</v>
      </c>
      <c r="C609">
        <v>1.1708577506823501</v>
      </c>
      <c r="D609">
        <v>0.963642118313218</v>
      </c>
      <c r="E609">
        <v>1.28406004553889</v>
      </c>
      <c r="F609">
        <v>0.97238034216330005</v>
      </c>
      <c r="G609">
        <v>0.74407953904178104</v>
      </c>
      <c r="H609">
        <v>0.26136276702218197</v>
      </c>
      <c r="I609">
        <v>0.15390918923701599</v>
      </c>
      <c r="J609">
        <v>8.8108453708549694E-2</v>
      </c>
      <c r="K609">
        <v>5.8612616532531102E-2</v>
      </c>
      <c r="L609">
        <v>2041.18739490178</v>
      </c>
      <c r="M609">
        <v>34.821572270743602</v>
      </c>
      <c r="N609">
        <v>58.9037366380851</v>
      </c>
      <c r="O609">
        <v>58.426155711847102</v>
      </c>
      <c r="P609">
        <v>-0.13743797326933599</v>
      </c>
      <c r="Q609">
        <v>7.75897813916398E-2</v>
      </c>
      <c r="R609">
        <v>0.94483843935978795</v>
      </c>
      <c r="S609" t="s">
        <v>6920</v>
      </c>
      <c r="T609" t="s">
        <v>12620</v>
      </c>
      <c r="U609" t="s">
        <v>12620</v>
      </c>
      <c r="V609" t="s">
        <v>12620</v>
      </c>
      <c r="W609" t="s">
        <v>13210</v>
      </c>
      <c r="X609">
        <v>9</v>
      </c>
      <c r="Y609" t="s">
        <v>19459</v>
      </c>
      <c r="Z609" t="s">
        <v>25556</v>
      </c>
      <c r="AA609">
        <v>0.65472361046995498</v>
      </c>
      <c r="AB609" t="str">
        <f>HYPERLINK("Melting_Curves/meltCurve_G8JLI5_WDR45.pdf", "Melting_Curves/meltCurve_G8JLI5_WDR45.pdf")</f>
        <v>Melting_Curves/meltCurve_G8JLI5_WDR45.pdf</v>
      </c>
    </row>
    <row r="610" spans="1:28" x14ac:dyDescent="0.25">
      <c r="A610" t="s">
        <v>614</v>
      </c>
      <c r="B610">
        <v>0.99987803227770999</v>
      </c>
      <c r="C610">
        <v>0.97788782583898304</v>
      </c>
      <c r="D610">
        <v>0.982479671437686</v>
      </c>
      <c r="E610">
        <v>0.93814296651003404</v>
      </c>
      <c r="F610">
        <v>0.79652063389250505</v>
      </c>
      <c r="G610">
        <v>0.58304071302802896</v>
      </c>
      <c r="H610">
        <v>0.38208572999905199</v>
      </c>
      <c r="I610">
        <v>0.21557632833797699</v>
      </c>
      <c r="J610">
        <v>0.129513835722354</v>
      </c>
      <c r="K610">
        <v>8.5861626598699003E-2</v>
      </c>
      <c r="L610">
        <v>834.343679960646</v>
      </c>
      <c r="M610">
        <v>14.270547582227699</v>
      </c>
      <c r="N610">
        <v>58.466129461332898</v>
      </c>
      <c r="O610">
        <v>57.353986503638801</v>
      </c>
      <c r="P610">
        <v>-6.2211455527782802E-2</v>
      </c>
      <c r="Q610">
        <v>0</v>
      </c>
      <c r="R610">
        <v>0.99850890758474198</v>
      </c>
      <c r="S610" t="s">
        <v>6921</v>
      </c>
      <c r="T610" t="s">
        <v>12620</v>
      </c>
      <c r="U610" t="s">
        <v>12620</v>
      </c>
      <c r="V610" t="s">
        <v>12620</v>
      </c>
      <c r="W610" t="s">
        <v>13211</v>
      </c>
      <c r="X610">
        <v>10</v>
      </c>
      <c r="Y610" t="s">
        <v>19460</v>
      </c>
      <c r="Z610" t="s">
        <v>25557</v>
      </c>
      <c r="AA610">
        <v>0.62756131578209728</v>
      </c>
      <c r="AB610" t="str">
        <f>HYPERLINK("Melting_Curves/meltCurve_G8JLK3_PACS2.pdf", "Melting_Curves/meltCurve_G8JLK3_PACS2.pdf")</f>
        <v>Melting_Curves/meltCurve_G8JLK3_PACS2.pdf</v>
      </c>
    </row>
    <row r="611" spans="1:28" x14ac:dyDescent="0.25">
      <c r="A611" t="s">
        <v>615</v>
      </c>
      <c r="B611">
        <v>0.99987803227770999</v>
      </c>
      <c r="C611">
        <v>0.92241197560091803</v>
      </c>
      <c r="D611">
        <v>0.90026764233470702</v>
      </c>
      <c r="E611">
        <v>0.86154631519691305</v>
      </c>
      <c r="F611">
        <v>0.65974824296196999</v>
      </c>
      <c r="G611">
        <v>0.31523300430739598</v>
      </c>
      <c r="H611">
        <v>0.222479866247174</v>
      </c>
      <c r="I611">
        <v>0.17598733672158401</v>
      </c>
      <c r="J611">
        <v>0.108390904450749</v>
      </c>
      <c r="K611">
        <v>6.2385639107919097E-2</v>
      </c>
      <c r="L611">
        <v>891.498945625342</v>
      </c>
      <c r="M611">
        <v>16.3635280971565</v>
      </c>
      <c r="N611">
        <v>54.9465816267018</v>
      </c>
      <c r="O611">
        <v>53.686690178154898</v>
      </c>
      <c r="P611">
        <v>-7.1270086417828393E-2</v>
      </c>
      <c r="Q611">
        <v>6.4754178263171397E-2</v>
      </c>
      <c r="R611">
        <v>0.98861053411493804</v>
      </c>
      <c r="S611" t="s">
        <v>6922</v>
      </c>
      <c r="T611" t="s">
        <v>12620</v>
      </c>
      <c r="U611" t="s">
        <v>12620</v>
      </c>
      <c r="V611" t="s">
        <v>12620</v>
      </c>
      <c r="W611" t="s">
        <v>13212</v>
      </c>
      <c r="X611">
        <v>5</v>
      </c>
      <c r="Y611" t="s">
        <v>19461</v>
      </c>
      <c r="Z611" t="s">
        <v>25558</v>
      </c>
      <c r="AA611">
        <v>0.53297312301217237</v>
      </c>
      <c r="AB611" t="str">
        <f>HYPERLINK("Melting_Curves/meltCurve_G8JLP2_C14orf159.pdf", "Melting_Curves/meltCurve_G8JLP2_C14orf159.pdf")</f>
        <v>Melting_Curves/meltCurve_G8JLP2_C14orf159.pdf</v>
      </c>
    </row>
    <row r="612" spans="1:28" x14ac:dyDescent="0.25">
      <c r="A612" t="s">
        <v>616</v>
      </c>
      <c r="B612">
        <v>0.99987803227770999</v>
      </c>
      <c r="C612">
        <v>0.97441934401154795</v>
      </c>
      <c r="D612">
        <v>0.91992706017792603</v>
      </c>
      <c r="E612">
        <v>0.88324662933666698</v>
      </c>
      <c r="F612">
        <v>0.77761231514506102</v>
      </c>
      <c r="G612">
        <v>0.56454690967713805</v>
      </c>
      <c r="H612">
        <v>0.50816863726012196</v>
      </c>
      <c r="I612">
        <v>0.37946329475200702</v>
      </c>
      <c r="J612">
        <v>0.34748279377476698</v>
      </c>
      <c r="K612">
        <v>0.25397006199782901</v>
      </c>
      <c r="L612">
        <v>570.14492596047398</v>
      </c>
      <c r="M612">
        <v>9.7743776698260696</v>
      </c>
      <c r="N612">
        <v>60.217752547288697</v>
      </c>
      <c r="O612">
        <v>56.046163002425303</v>
      </c>
      <c r="P612">
        <v>-3.78678364389008E-2</v>
      </c>
      <c r="Q612">
        <v>0.131925604824043</v>
      </c>
      <c r="R612">
        <v>0.991383496964924</v>
      </c>
      <c r="S612" t="s">
        <v>6923</v>
      </c>
      <c r="T612" t="s">
        <v>12620</v>
      </c>
      <c r="U612" t="s">
        <v>12620</v>
      </c>
      <c r="V612" t="s">
        <v>12620</v>
      </c>
      <c r="W612" t="s">
        <v>13213</v>
      </c>
      <c r="X612">
        <v>36</v>
      </c>
      <c r="Y612" t="s">
        <v>19462</v>
      </c>
      <c r="Z612" t="s">
        <v>25559</v>
      </c>
      <c r="AA612">
        <v>0.66861930289375915</v>
      </c>
      <c r="AB612" t="str">
        <f>HYPERLINK("Melting_Curves/meltCurve_H0Y2S9_MPRIP.pdf", "Melting_Curves/meltCurve_H0Y2S9_MPRIP.pdf")</f>
        <v>Melting_Curves/meltCurve_H0Y2S9_MPRIP.pdf</v>
      </c>
    </row>
    <row r="613" spans="1:28" x14ac:dyDescent="0.25">
      <c r="A613" t="s">
        <v>617</v>
      </c>
      <c r="B613">
        <v>0.99987803227770999</v>
      </c>
      <c r="C613">
        <v>0.99660528657289904</v>
      </c>
      <c r="D613">
        <v>0.84165162065726495</v>
      </c>
      <c r="E613">
        <v>0.61761782563469902</v>
      </c>
      <c r="F613">
        <v>0.43891588321393099</v>
      </c>
      <c r="G613">
        <v>0.17130505962314299</v>
      </c>
      <c r="H613">
        <v>0.122739875407355</v>
      </c>
      <c r="I613">
        <v>0.105576104714224</v>
      </c>
      <c r="J613">
        <v>9.6532752984070505E-2</v>
      </c>
      <c r="K613">
        <v>7.4402548835754298E-2</v>
      </c>
      <c r="L613">
        <v>845.54876618039305</v>
      </c>
      <c r="M613">
        <v>16.524222548840498</v>
      </c>
      <c r="N613">
        <v>51.606837881525401</v>
      </c>
      <c r="O613">
        <v>50.4384531544871</v>
      </c>
      <c r="P613">
        <v>-7.6565740932442797E-2</v>
      </c>
      <c r="Q613">
        <v>6.5229091974360706E-2</v>
      </c>
      <c r="R613">
        <v>0.99602596668717802</v>
      </c>
      <c r="S613" t="s">
        <v>6924</v>
      </c>
      <c r="T613" t="s">
        <v>12620</v>
      </c>
      <c r="U613" t="s">
        <v>12620</v>
      </c>
      <c r="V613" t="s">
        <v>12620</v>
      </c>
      <c r="W613" t="s">
        <v>13214</v>
      </c>
      <c r="X613">
        <v>31</v>
      </c>
      <c r="Y613" t="s">
        <v>19120</v>
      </c>
      <c r="Z613" t="s">
        <v>25560</v>
      </c>
      <c r="AA613">
        <v>0.43154710123850681</v>
      </c>
      <c r="AB613" t="str">
        <f>HYPERLINK("Melting_Curves/meltCurve_H0Y3P2_EIF4G2.pdf", "Melting_Curves/meltCurve_H0Y3P2_EIF4G2.pdf")</f>
        <v>Melting_Curves/meltCurve_H0Y3P2_EIF4G2.pdf</v>
      </c>
    </row>
    <row r="614" spans="1:28" x14ac:dyDescent="0.25">
      <c r="A614" t="s">
        <v>618</v>
      </c>
      <c r="B614">
        <v>0.99987803227770999</v>
      </c>
      <c r="C614">
        <v>0.94039075447204401</v>
      </c>
      <c r="D614">
        <v>0.85201261261249694</v>
      </c>
      <c r="E614">
        <v>0.88117312426516603</v>
      </c>
      <c r="F614">
        <v>0.85546581775707897</v>
      </c>
      <c r="G614">
        <v>0.60749591623450805</v>
      </c>
      <c r="H614">
        <v>0.59311903439020397</v>
      </c>
      <c r="I614">
        <v>0.46419909749058402</v>
      </c>
      <c r="J614">
        <v>0.59363289436097799</v>
      </c>
      <c r="K614">
        <v>0.402442841231888</v>
      </c>
      <c r="L614">
        <v>451.97474390257997</v>
      </c>
      <c r="M614">
        <v>7.7646397597191203</v>
      </c>
      <c r="N614">
        <v>65.821240421740399</v>
      </c>
      <c r="O614">
        <v>54.726509317700597</v>
      </c>
      <c r="P614">
        <v>-2.4992063508890199E-2</v>
      </c>
      <c r="Q614">
        <v>0.296296051512287</v>
      </c>
      <c r="R614">
        <v>0.90943702354243505</v>
      </c>
      <c r="S614" t="s">
        <v>6925</v>
      </c>
      <c r="T614" t="s">
        <v>12620</v>
      </c>
      <c r="U614" t="s">
        <v>12620</v>
      </c>
      <c r="V614" t="s">
        <v>12620</v>
      </c>
      <c r="W614" t="s">
        <v>13215</v>
      </c>
      <c r="X614">
        <v>9</v>
      </c>
      <c r="Y614" t="s">
        <v>19419</v>
      </c>
      <c r="Z614" t="s">
        <v>25561</v>
      </c>
      <c r="AA614">
        <v>0.7238583696459554</v>
      </c>
      <c r="AB614" t="str">
        <f>HYPERLINK("Melting_Curves/meltCurve_H0Y3R8_TJP1.pdf", "Melting_Curves/meltCurve_H0Y3R8_TJP1.pdf")</f>
        <v>Melting_Curves/meltCurve_H0Y3R8_TJP1.pdf</v>
      </c>
    </row>
    <row r="615" spans="1:28" x14ac:dyDescent="0.25">
      <c r="A615" t="s">
        <v>619</v>
      </c>
      <c r="B615">
        <v>0.99987803227770999</v>
      </c>
      <c r="C615">
        <v>0.82074391746947295</v>
      </c>
      <c r="D615">
        <v>0.92623806490382399</v>
      </c>
      <c r="E615">
        <v>0.78545019679835604</v>
      </c>
      <c r="F615">
        <v>0.88601002070458901</v>
      </c>
      <c r="G615">
        <v>0.77664748729218502</v>
      </c>
      <c r="H615">
        <v>0.790873581538721</v>
      </c>
      <c r="I615">
        <v>0.75227885185488097</v>
      </c>
      <c r="J615">
        <v>0.66675150501562797</v>
      </c>
      <c r="K615">
        <v>0.62871448928496199</v>
      </c>
      <c r="L615">
        <v>194.58215681257201</v>
      </c>
      <c r="M615">
        <v>2.10641702648878</v>
      </c>
      <c r="O615">
        <v>56.613017457209203</v>
      </c>
      <c r="P615">
        <v>-1.0038643859846701E-2</v>
      </c>
      <c r="Q615">
        <v>0</v>
      </c>
      <c r="R615">
        <v>0.75713197811159305</v>
      </c>
      <c r="S615" t="s">
        <v>6926</v>
      </c>
      <c r="T615" t="s">
        <v>12620</v>
      </c>
      <c r="U615" t="s">
        <v>12620</v>
      </c>
      <c r="V615" t="s">
        <v>12620</v>
      </c>
      <c r="W615" t="s">
        <v>13216</v>
      </c>
      <c r="X615">
        <v>12</v>
      </c>
      <c r="Y615" t="s">
        <v>19463</v>
      </c>
      <c r="Z615" t="s">
        <v>25562</v>
      </c>
      <c r="AA615">
        <v>0.80546934544335513</v>
      </c>
      <c r="AB615" t="str">
        <f>HYPERLINK("Melting_Curves/meltCurve_H0Y412_PRRC2B.pdf", "Melting_Curves/meltCurve_H0Y412_PRRC2B.pdf")</f>
        <v>Melting_Curves/meltCurve_H0Y412_PRRC2B.pdf</v>
      </c>
    </row>
    <row r="616" spans="1:28" x14ac:dyDescent="0.25">
      <c r="A616" t="s">
        <v>620</v>
      </c>
      <c r="B616">
        <v>0.99987803227770999</v>
      </c>
      <c r="C616">
        <v>0.77159508253481601</v>
      </c>
      <c r="D616">
        <v>0.91398240526874097</v>
      </c>
      <c r="E616">
        <v>1.3692348283760101</v>
      </c>
      <c r="F616">
        <v>0.89426476190086401</v>
      </c>
      <c r="G616">
        <v>0.39814513217252101</v>
      </c>
      <c r="H616">
        <v>0.26664217180334898</v>
      </c>
      <c r="I616">
        <v>0.22939628101979501</v>
      </c>
      <c r="J616">
        <v>0.230245391171915</v>
      </c>
      <c r="K616">
        <v>0.17568094707047199</v>
      </c>
      <c r="L616">
        <v>2690.2545516674199</v>
      </c>
      <c r="M616">
        <v>48.4618886502805</v>
      </c>
      <c r="N616">
        <v>56.1976381929707</v>
      </c>
      <c r="O616">
        <v>55.4185287736045</v>
      </c>
      <c r="P616">
        <v>-0.16986690061403001</v>
      </c>
      <c r="Q616">
        <v>0.222996766485269</v>
      </c>
      <c r="R616">
        <v>0.87016270679622498</v>
      </c>
      <c r="S616" t="s">
        <v>6927</v>
      </c>
      <c r="T616" t="s">
        <v>12620</v>
      </c>
      <c r="U616" t="s">
        <v>12620</v>
      </c>
      <c r="V616" t="s">
        <v>12620</v>
      </c>
      <c r="W616" t="s">
        <v>13217</v>
      </c>
      <c r="X616">
        <v>12</v>
      </c>
      <c r="Y616" t="s">
        <v>19464</v>
      </c>
      <c r="Z616" t="s">
        <v>25563</v>
      </c>
      <c r="AA616">
        <v>0.62680352272239337</v>
      </c>
      <c r="AB616" t="str">
        <f>HYPERLINK("Melting_Curves/meltCurve_H0Y4R1_IMPDH2.pdf", "Melting_Curves/meltCurve_H0Y4R1_IMPDH2.pdf")</f>
        <v>Melting_Curves/meltCurve_H0Y4R1_IMPDH2.pdf</v>
      </c>
    </row>
    <row r="617" spans="1:28" x14ac:dyDescent="0.25">
      <c r="A617" t="s">
        <v>621</v>
      </c>
      <c r="B617">
        <v>0.99987803227770999</v>
      </c>
      <c r="C617">
        <v>0.87758682953590605</v>
      </c>
      <c r="D617">
        <v>0.94635430384292296</v>
      </c>
      <c r="E617">
        <v>0.83598094048847404</v>
      </c>
      <c r="F617">
        <v>1.0271678549255301</v>
      </c>
      <c r="G617">
        <v>0.83593691332311004</v>
      </c>
      <c r="H617">
        <v>0.87246899015981505</v>
      </c>
      <c r="I617">
        <v>0.71018313651285903</v>
      </c>
      <c r="J617">
        <v>0.72155075455029904</v>
      </c>
      <c r="K617">
        <v>0.63618040354907801</v>
      </c>
      <c r="L617">
        <v>338.96801217778301</v>
      </c>
      <c r="M617">
        <v>4.1702188598299301</v>
      </c>
      <c r="O617">
        <v>67.594598029509001</v>
      </c>
      <c r="P617">
        <v>-1.55969285458194E-2</v>
      </c>
      <c r="Q617">
        <v>0</v>
      </c>
      <c r="R617">
        <v>0.70422929082374197</v>
      </c>
      <c r="S617" t="s">
        <v>6928</v>
      </c>
      <c r="T617" t="s">
        <v>12620</v>
      </c>
      <c r="U617" t="s">
        <v>12620</v>
      </c>
      <c r="V617" t="s">
        <v>12620</v>
      </c>
      <c r="W617" t="s">
        <v>13218</v>
      </c>
      <c r="X617">
        <v>7</v>
      </c>
      <c r="Y617" t="s">
        <v>19465</v>
      </c>
      <c r="Z617" t="s">
        <v>25564</v>
      </c>
      <c r="AA617">
        <v>0.86030646112392506</v>
      </c>
      <c r="AB617" t="str">
        <f>HYPERLINK("Melting_Curves/meltCurve_H0Y4V9_LARP4B.pdf", "Melting_Curves/meltCurve_H0Y4V9_LARP4B.pdf")</f>
        <v>Melting_Curves/meltCurve_H0Y4V9_LARP4B.pdf</v>
      </c>
    </row>
    <row r="618" spans="1:28" x14ac:dyDescent="0.25">
      <c r="A618" t="s">
        <v>622</v>
      </c>
      <c r="B618">
        <v>0.99987803227770999</v>
      </c>
      <c r="C618">
        <v>1.0055749899488899</v>
      </c>
      <c r="D618">
        <v>0.98558895318055795</v>
      </c>
      <c r="E618">
        <v>1.2998140084802701</v>
      </c>
      <c r="F618">
        <v>0.98217538836610296</v>
      </c>
      <c r="G618">
        <v>0.70911890005278599</v>
      </c>
      <c r="H618">
        <v>0.26475614948703802</v>
      </c>
      <c r="I618">
        <v>0.213952104433968</v>
      </c>
      <c r="J618">
        <v>0.15741324792775899</v>
      </c>
      <c r="K618">
        <v>8.7142446082517602E-2</v>
      </c>
      <c r="L618">
        <v>2118.7674176309702</v>
      </c>
      <c r="M618">
        <v>36.4497735464019</v>
      </c>
      <c r="N618">
        <v>58.646939820921503</v>
      </c>
      <c r="O618">
        <v>57.954276108396897</v>
      </c>
      <c r="P618">
        <v>-0.135576428804185</v>
      </c>
      <c r="Q618">
        <v>0.13774935656621501</v>
      </c>
      <c r="R618">
        <v>0.94598938207662298</v>
      </c>
      <c r="S618" t="s">
        <v>6929</v>
      </c>
      <c r="T618" t="s">
        <v>12620</v>
      </c>
      <c r="U618" t="s">
        <v>12620</v>
      </c>
      <c r="V618" t="s">
        <v>12620</v>
      </c>
      <c r="W618" t="s">
        <v>13219</v>
      </c>
      <c r="X618">
        <v>3</v>
      </c>
      <c r="Y618" t="s">
        <v>19466</v>
      </c>
      <c r="Z618" t="s">
        <v>25565</v>
      </c>
      <c r="AA618">
        <v>0.66282424748033242</v>
      </c>
      <c r="AB618" t="str">
        <f>HYPERLINK("Melting_Curves/meltCurve_H0Y4W2_TRRAP.pdf", "Melting_Curves/meltCurve_H0Y4W2_TRRAP.pdf")</f>
        <v>Melting_Curves/meltCurve_H0Y4W2_TRRAP.pdf</v>
      </c>
    </row>
    <row r="619" spans="1:28" x14ac:dyDescent="0.25">
      <c r="A619" t="s">
        <v>623</v>
      </c>
      <c r="B619">
        <v>0.99987803227770999</v>
      </c>
      <c r="C619">
        <v>1.02851581916098</v>
      </c>
      <c r="D619">
        <v>0.98829649315665902</v>
      </c>
      <c r="E619">
        <v>0.91544194457787798</v>
      </c>
      <c r="F619">
        <v>0.95065972146130895</v>
      </c>
      <c r="G619">
        <v>0.63354113760123898</v>
      </c>
      <c r="H619">
        <v>0.62711261356907999</v>
      </c>
      <c r="I619">
        <v>0.69038290011812198</v>
      </c>
      <c r="J619">
        <v>0.613573857314759</v>
      </c>
      <c r="K619">
        <v>0.47564173318240299</v>
      </c>
      <c r="L619">
        <v>2994.90478885321</v>
      </c>
      <c r="M619">
        <v>54.718898424484301</v>
      </c>
      <c r="O619">
        <v>54.659596904691803</v>
      </c>
      <c r="P619">
        <v>-0.100150783930282</v>
      </c>
      <c r="Q619">
        <v>0.59983128861900203</v>
      </c>
      <c r="R619">
        <v>0.91334098443146705</v>
      </c>
      <c r="S619" t="s">
        <v>6930</v>
      </c>
      <c r="T619" t="s">
        <v>12620</v>
      </c>
      <c r="U619" t="s">
        <v>12620</v>
      </c>
      <c r="V619" t="s">
        <v>12620</v>
      </c>
      <c r="W619" t="s">
        <v>13220</v>
      </c>
      <c r="X619">
        <v>15</v>
      </c>
      <c r="Y619" t="s">
        <v>19467</v>
      </c>
      <c r="Z619" t="s">
        <v>25566</v>
      </c>
      <c r="AA619">
        <v>0.79715389681217219</v>
      </c>
      <c r="AB619" t="str">
        <f>HYPERLINK("Melting_Curves/meltCurve_H0Y5B0_EPB41L2.pdf", "Melting_Curves/meltCurve_H0Y5B0_EPB41L2.pdf")</f>
        <v>Melting_Curves/meltCurve_H0Y5B0_EPB41L2.pdf</v>
      </c>
    </row>
    <row r="620" spans="1:28" x14ac:dyDescent="0.25">
      <c r="A620" t="s">
        <v>624</v>
      </c>
      <c r="B620">
        <v>0.99987803227770999</v>
      </c>
      <c r="C620">
        <v>0.921071308878885</v>
      </c>
      <c r="D620">
        <v>0.95302027270113598</v>
      </c>
      <c r="E620">
        <v>0.66219749268356998</v>
      </c>
      <c r="F620">
        <v>0.35802173084008798</v>
      </c>
      <c r="G620">
        <v>0.32962081153578698</v>
      </c>
      <c r="H620">
        <v>0.171766858476435</v>
      </c>
      <c r="I620">
        <v>0.15325382800684001</v>
      </c>
      <c r="J620">
        <v>0.15049158932519599</v>
      </c>
      <c r="K620">
        <v>0.113679803043524</v>
      </c>
      <c r="L620">
        <v>969.13521243468699</v>
      </c>
      <c r="M620">
        <v>18.996019415517999</v>
      </c>
      <c r="N620">
        <v>51.917632947188203</v>
      </c>
      <c r="O620">
        <v>50.462504778250903</v>
      </c>
      <c r="P620">
        <v>-8.0912810494366202E-2</v>
      </c>
      <c r="Q620">
        <v>0.14026195054328899</v>
      </c>
      <c r="R620">
        <v>0.98466981456527303</v>
      </c>
      <c r="S620" t="s">
        <v>6931</v>
      </c>
      <c r="T620" t="s">
        <v>12620</v>
      </c>
      <c r="U620" t="s">
        <v>12620</v>
      </c>
      <c r="V620" t="s">
        <v>12620</v>
      </c>
      <c r="W620" t="s">
        <v>13221</v>
      </c>
      <c r="X620">
        <v>2</v>
      </c>
      <c r="Y620" t="s">
        <v>19468</v>
      </c>
      <c r="Z620" t="s">
        <v>25567</v>
      </c>
      <c r="AA620">
        <v>0.46913977429878839</v>
      </c>
      <c r="AB620" t="str">
        <f>HYPERLINK("Melting_Curves/meltCurve_H0Y5B5_PBRM1.pdf", "Melting_Curves/meltCurve_H0Y5B5_PBRM1.pdf")</f>
        <v>Melting_Curves/meltCurve_H0Y5B5_PBRM1.pdf</v>
      </c>
    </row>
    <row r="621" spans="1:28" x14ac:dyDescent="0.25">
      <c r="A621" t="s">
        <v>625</v>
      </c>
      <c r="B621">
        <v>0.99987803227770999</v>
      </c>
      <c r="C621">
        <v>0.85320863421936399</v>
      </c>
      <c r="D621">
        <v>0.98115256976185306</v>
      </c>
      <c r="E621">
        <v>0.74492296038748695</v>
      </c>
      <c r="F621">
        <v>0.79647375899766204</v>
      </c>
      <c r="G621">
        <v>0.59973219340129502</v>
      </c>
      <c r="H621">
        <v>0.49093308713698702</v>
      </c>
      <c r="I621">
        <v>0.36710571033739903</v>
      </c>
      <c r="J621">
        <v>0.27550025892336799</v>
      </c>
      <c r="K621">
        <v>0.19970946856878299</v>
      </c>
      <c r="L621">
        <v>489.05672359872602</v>
      </c>
      <c r="M621">
        <v>8.1878210266057305</v>
      </c>
      <c r="N621">
        <v>59.729776825875902</v>
      </c>
      <c r="O621">
        <v>56.484178133347697</v>
      </c>
      <c r="P621">
        <v>-3.6277023697471898E-2</v>
      </c>
      <c r="Q621">
        <v>0</v>
      </c>
      <c r="R621">
        <v>0.96161308311153504</v>
      </c>
      <c r="S621" t="s">
        <v>6932</v>
      </c>
      <c r="T621" t="s">
        <v>12620</v>
      </c>
      <c r="U621" t="s">
        <v>12620</v>
      </c>
      <c r="V621" t="s">
        <v>12620</v>
      </c>
      <c r="W621" t="s">
        <v>13222</v>
      </c>
      <c r="X621">
        <v>3</v>
      </c>
      <c r="Y621" t="s">
        <v>19469</v>
      </c>
      <c r="Z621" t="s">
        <v>25568</v>
      </c>
      <c r="AA621">
        <v>0.64648171280080902</v>
      </c>
      <c r="AB621" t="str">
        <f>HYPERLINK("Melting_Curves/meltCurve_H0Y614_UFM1.pdf", "Melting_Curves/meltCurve_H0Y614_UFM1.pdf")</f>
        <v>Melting_Curves/meltCurve_H0Y614_UFM1.pdf</v>
      </c>
    </row>
    <row r="622" spans="1:28" x14ac:dyDescent="0.25">
      <c r="A622" t="s">
        <v>626</v>
      </c>
      <c r="B622">
        <v>0.99987803227770999</v>
      </c>
      <c r="C622">
        <v>0.7970814306799</v>
      </c>
      <c r="D622">
        <v>1.0011354082441899</v>
      </c>
      <c r="E622">
        <v>0.79776892486101403</v>
      </c>
      <c r="F622">
        <v>0.90097346759892205</v>
      </c>
      <c r="G622">
        <v>0.60903948980849298</v>
      </c>
      <c r="H622">
        <v>0.59848748876361102</v>
      </c>
      <c r="I622">
        <v>0.54001300631910298</v>
      </c>
      <c r="J622">
        <v>0.63206895348254799</v>
      </c>
      <c r="K622">
        <v>0.50808669761569403</v>
      </c>
      <c r="L622">
        <v>451.93124200466298</v>
      </c>
      <c r="M622">
        <v>8.1208643927799304</v>
      </c>
      <c r="O622">
        <v>52.581110222468702</v>
      </c>
      <c r="P622">
        <v>-2.1796795629068701E-2</v>
      </c>
      <c r="Q622">
        <v>0.43608215635707698</v>
      </c>
      <c r="R622">
        <v>0.78606149641649603</v>
      </c>
      <c r="S622" t="s">
        <v>6933</v>
      </c>
      <c r="T622" t="s">
        <v>12620</v>
      </c>
      <c r="U622" t="s">
        <v>12620</v>
      </c>
      <c r="V622" t="s">
        <v>12620</v>
      </c>
      <c r="W622" t="s">
        <v>13223</v>
      </c>
      <c r="X622">
        <v>12</v>
      </c>
      <c r="Y622" t="s">
        <v>19470</v>
      </c>
      <c r="Z622" t="s">
        <v>25569</v>
      </c>
      <c r="AA622">
        <v>0.74297561656695421</v>
      </c>
      <c r="AB622" t="str">
        <f>HYPERLINK("Melting_Curves/meltCurve_H0Y6A0_ARFGAP3.pdf", "Melting_Curves/meltCurve_H0Y6A0_ARFGAP3.pdf")</f>
        <v>Melting_Curves/meltCurve_H0Y6A0_ARFGAP3.pdf</v>
      </c>
    </row>
    <row r="623" spans="1:28" x14ac:dyDescent="0.25">
      <c r="A623" t="s">
        <v>627</v>
      </c>
      <c r="B623">
        <v>0.99987803227770999</v>
      </c>
      <c r="C623">
        <v>0.87441505652930096</v>
      </c>
      <c r="D623">
        <v>0.78333745403018096</v>
      </c>
      <c r="E623">
        <v>0.47351081951808199</v>
      </c>
      <c r="F623">
        <v>0.26221293811934299</v>
      </c>
      <c r="G623">
        <v>0.189056985921084</v>
      </c>
      <c r="H623">
        <v>0.12872259440581901</v>
      </c>
      <c r="I623">
        <v>0.115837297495436</v>
      </c>
      <c r="J623">
        <v>8.7246092240538503E-2</v>
      </c>
      <c r="K623">
        <v>6.72951043897667E-2</v>
      </c>
      <c r="L623">
        <v>781.75058035475604</v>
      </c>
      <c r="M623">
        <v>15.951641230435699</v>
      </c>
      <c r="N623">
        <v>49.5489480708736</v>
      </c>
      <c r="O623">
        <v>48.256733400555298</v>
      </c>
      <c r="P623">
        <v>-7.6036133456565694E-2</v>
      </c>
      <c r="Q623">
        <v>7.9978237324149395E-2</v>
      </c>
      <c r="R623">
        <v>0.99585206114194602</v>
      </c>
      <c r="S623" t="s">
        <v>6934</v>
      </c>
      <c r="T623" t="s">
        <v>12620</v>
      </c>
      <c r="U623" t="s">
        <v>12620</v>
      </c>
      <c r="V623" t="s">
        <v>12620</v>
      </c>
      <c r="W623" t="s">
        <v>13224</v>
      </c>
      <c r="X623">
        <v>9</v>
      </c>
      <c r="Y623" t="s">
        <v>19471</v>
      </c>
      <c r="Z623" t="s">
        <v>25570</v>
      </c>
      <c r="AA623">
        <v>0.37640853037461969</v>
      </c>
      <c r="AB623" t="str">
        <f>HYPERLINK("Melting_Curves/meltCurve_H0Y6C3_PYCRL.pdf", "Melting_Curves/meltCurve_H0Y6C3_PYCRL.pdf")</f>
        <v>Melting_Curves/meltCurve_H0Y6C3_PYCRL.pdf</v>
      </c>
    </row>
    <row r="624" spans="1:28" x14ac:dyDescent="0.25">
      <c r="A624" t="s">
        <v>628</v>
      </c>
      <c r="B624">
        <v>0.99987803227770999</v>
      </c>
      <c r="C624">
        <v>0.95107554414871498</v>
      </c>
      <c r="D624">
        <v>1.0921514136774699</v>
      </c>
      <c r="E624">
        <v>0.96398771428152197</v>
      </c>
      <c r="F624">
        <v>1.0370605577441501</v>
      </c>
      <c r="G624">
        <v>0.76492866717559704</v>
      </c>
      <c r="H624">
        <v>0.83658469159828897</v>
      </c>
      <c r="I624">
        <v>0.66960018855458503</v>
      </c>
      <c r="J624">
        <v>0.75079583803206895</v>
      </c>
      <c r="K624">
        <v>0.65769474510904402</v>
      </c>
      <c r="L624">
        <v>14143.4568423126</v>
      </c>
      <c r="M624">
        <v>250</v>
      </c>
      <c r="O624">
        <v>56.570207026116798</v>
      </c>
      <c r="P624">
        <v>-0.29977256983748901</v>
      </c>
      <c r="Q624">
        <v>0.72866885896623401</v>
      </c>
      <c r="R624">
        <v>0.84522401413539106</v>
      </c>
      <c r="S624" t="s">
        <v>6935</v>
      </c>
      <c r="T624" t="s">
        <v>12620</v>
      </c>
      <c r="U624" t="s">
        <v>12620</v>
      </c>
      <c r="V624" t="s">
        <v>12620</v>
      </c>
      <c r="W624" t="s">
        <v>13225</v>
      </c>
      <c r="X624">
        <v>1</v>
      </c>
      <c r="Y624" t="s">
        <v>19472</v>
      </c>
      <c r="Z624" t="s">
        <v>25571</v>
      </c>
      <c r="AA624">
        <v>0.87859564811369817</v>
      </c>
      <c r="AB624" t="str">
        <f>HYPERLINK("Melting_Curves/meltCurve_H0Y6F0_EFCAB2.pdf", "Melting_Curves/meltCurve_H0Y6F0_EFCAB2.pdf")</f>
        <v>Melting_Curves/meltCurve_H0Y6F0_EFCAB2.pdf</v>
      </c>
    </row>
    <row r="625" spans="1:28" x14ac:dyDescent="0.25">
      <c r="A625" t="s">
        <v>629</v>
      </c>
      <c r="B625">
        <v>0.99987803227770999</v>
      </c>
      <c r="C625">
        <v>1.0052133420675</v>
      </c>
      <c r="D625">
        <v>0.93134431549518504</v>
      </c>
      <c r="E625">
        <v>0.76170954581077999</v>
      </c>
      <c r="F625">
        <v>0.65491607389921402</v>
      </c>
      <c r="G625">
        <v>0.56365975298487303</v>
      </c>
      <c r="H625">
        <v>0.70506110851619896</v>
      </c>
      <c r="I625">
        <v>0.43284905065318502</v>
      </c>
      <c r="J625">
        <v>0.26469196934151901</v>
      </c>
      <c r="K625">
        <v>0.17348646188986699</v>
      </c>
      <c r="L625">
        <v>443.89303456434402</v>
      </c>
      <c r="M625">
        <v>7.3441339472090901</v>
      </c>
      <c r="N625">
        <v>60.4418489251089</v>
      </c>
      <c r="O625">
        <v>56.444912817727698</v>
      </c>
      <c r="P625">
        <v>-3.25784263945368E-2</v>
      </c>
      <c r="Q625">
        <v>0</v>
      </c>
      <c r="R625">
        <v>0.89707927961462897</v>
      </c>
      <c r="S625" t="s">
        <v>6936</v>
      </c>
      <c r="T625" t="s">
        <v>12620</v>
      </c>
      <c r="U625" t="s">
        <v>12620</v>
      </c>
      <c r="V625" t="s">
        <v>12620</v>
      </c>
      <c r="W625" t="s">
        <v>13226</v>
      </c>
      <c r="X625">
        <v>12</v>
      </c>
      <c r="Z625" t="s">
        <v>25572</v>
      </c>
      <c r="AA625">
        <v>0.65621503339214382</v>
      </c>
      <c r="AB625" t="str">
        <f>HYPERLINK("Melting_Curves/meltCurve_H0Y858_.pdf", "Melting_Curves/meltCurve_H0Y858_.pdf")</f>
        <v>Melting_Curves/meltCurve_H0Y858_.pdf</v>
      </c>
    </row>
    <row r="626" spans="1:28" x14ac:dyDescent="0.25">
      <c r="A626" t="s">
        <v>630</v>
      </c>
      <c r="B626">
        <v>0.99987803227770999</v>
      </c>
      <c r="C626">
        <v>1.0940538303401</v>
      </c>
      <c r="D626">
        <v>0.91141294388190097</v>
      </c>
      <c r="E626">
        <v>0.59670614656866205</v>
      </c>
      <c r="F626">
        <v>0.34442274232835401</v>
      </c>
      <c r="G626">
        <v>0.24117562773465301</v>
      </c>
      <c r="H626">
        <v>0.16680685621119801</v>
      </c>
      <c r="I626">
        <v>0.15314952844106</v>
      </c>
      <c r="J626">
        <v>0.14304737826094599</v>
      </c>
      <c r="K626">
        <v>0.11650090796613601</v>
      </c>
      <c r="L626">
        <v>1182.9239385626699</v>
      </c>
      <c r="M626">
        <v>23.492932772630098</v>
      </c>
      <c r="N626">
        <v>51.110620408107103</v>
      </c>
      <c r="O626">
        <v>49.991753928241998</v>
      </c>
      <c r="P626">
        <v>-0.10019875737032</v>
      </c>
      <c r="Q626">
        <v>0.14714346556863001</v>
      </c>
      <c r="R626">
        <v>0.98923283342607504</v>
      </c>
      <c r="S626" t="s">
        <v>6937</v>
      </c>
      <c r="T626" t="s">
        <v>12620</v>
      </c>
      <c r="U626" t="s">
        <v>12620</v>
      </c>
      <c r="V626" t="s">
        <v>12620</v>
      </c>
      <c r="W626" t="s">
        <v>13227</v>
      </c>
      <c r="X626">
        <v>11</v>
      </c>
      <c r="Y626" t="s">
        <v>19473</v>
      </c>
      <c r="Z626" t="s">
        <v>25573</v>
      </c>
      <c r="AA626">
        <v>0.45010277044965391</v>
      </c>
      <c r="AB626" t="str">
        <f>HYPERLINK("Melting_Curves/meltCurve_H0Y9S9_PPIP5K2.pdf", "Melting_Curves/meltCurve_H0Y9S9_PPIP5K2.pdf")</f>
        <v>Melting_Curves/meltCurve_H0Y9S9_PPIP5K2.pdf</v>
      </c>
    </row>
    <row r="627" spans="1:28" x14ac:dyDescent="0.25">
      <c r="A627" t="s">
        <v>631</v>
      </c>
      <c r="B627">
        <v>0.99987803227770999</v>
      </c>
      <c r="C627">
        <v>0.80666770046923197</v>
      </c>
      <c r="D627">
        <v>1.0926724344730001</v>
      </c>
      <c r="E627">
        <v>0.91234903525755895</v>
      </c>
      <c r="F627">
        <v>1.3232067782424699</v>
      </c>
      <c r="G627">
        <v>1.07508811264982</v>
      </c>
      <c r="H627">
        <v>0.63631797580218397</v>
      </c>
      <c r="I627">
        <v>0.47377370275310299</v>
      </c>
      <c r="J627">
        <v>0.36380789904991601</v>
      </c>
      <c r="K627">
        <v>0.29073695239291403</v>
      </c>
      <c r="L627">
        <v>2868.4325545179499</v>
      </c>
      <c r="M627">
        <v>47.0075749192034</v>
      </c>
      <c r="N627">
        <v>62.5628135434469</v>
      </c>
      <c r="O627">
        <v>60.910518426270698</v>
      </c>
      <c r="P627">
        <v>-0.12674896428301499</v>
      </c>
      <c r="Q627">
        <v>0.34305594485303498</v>
      </c>
      <c r="R627">
        <v>0.834936910370353</v>
      </c>
      <c r="S627" t="s">
        <v>6938</v>
      </c>
      <c r="T627" t="s">
        <v>12620</v>
      </c>
      <c r="U627" t="s">
        <v>12620</v>
      </c>
      <c r="V627" t="s">
        <v>12620</v>
      </c>
      <c r="W627" t="s">
        <v>13228</v>
      </c>
      <c r="X627">
        <v>1</v>
      </c>
      <c r="Y627" t="s">
        <v>19474</v>
      </c>
      <c r="Z627" t="s">
        <v>25574</v>
      </c>
      <c r="AA627">
        <v>0.805276292998228</v>
      </c>
      <c r="AB627" t="str">
        <f>HYPERLINK("Melting_Curves/meltCurve_H0Y9V2_UBE2B.pdf", "Melting_Curves/meltCurve_H0Y9V2_UBE2B.pdf")</f>
        <v>Melting_Curves/meltCurve_H0Y9V2_UBE2B.pdf</v>
      </c>
    </row>
    <row r="628" spans="1:28" x14ac:dyDescent="0.25">
      <c r="A628" t="s">
        <v>632</v>
      </c>
      <c r="B628">
        <v>0.99987803227770999</v>
      </c>
      <c r="C628">
        <v>0.97944602812214099</v>
      </c>
      <c r="D628">
        <v>2.07699339139175</v>
      </c>
      <c r="E628">
        <v>0.931176794282222</v>
      </c>
      <c r="F628">
        <v>0.960992637877506</v>
      </c>
      <c r="G628">
        <v>0.63506226580839897</v>
      </c>
      <c r="H628">
        <v>0.83771395401837701</v>
      </c>
      <c r="I628">
        <v>0.6746960508723</v>
      </c>
      <c r="J628">
        <v>1.0571817764729099</v>
      </c>
      <c r="K628">
        <v>0.75578587140303999</v>
      </c>
      <c r="L628">
        <v>13327.675747688399</v>
      </c>
      <c r="M628">
        <v>250</v>
      </c>
      <c r="O628">
        <v>53.307291462006702</v>
      </c>
      <c r="P628">
        <v>-0.243765918349796</v>
      </c>
      <c r="Q628">
        <v>0.79208798652638701</v>
      </c>
      <c r="R628">
        <v>0.14513182813908401</v>
      </c>
      <c r="S628" t="s">
        <v>6939</v>
      </c>
      <c r="T628" t="s">
        <v>12620</v>
      </c>
      <c r="U628" t="s">
        <v>12620</v>
      </c>
      <c r="V628" t="s">
        <v>12620</v>
      </c>
      <c r="W628" t="s">
        <v>13229</v>
      </c>
      <c r="X628">
        <v>6</v>
      </c>
      <c r="Y628" t="s">
        <v>19475</v>
      </c>
      <c r="Z628" t="s">
        <v>25575</v>
      </c>
      <c r="AA628">
        <v>0.88435594064608536</v>
      </c>
      <c r="AB628" t="str">
        <f>HYPERLINK("Melting_Curves/meltCurve_H0Y9Y2_BOD1L1.pdf", "Melting_Curves/meltCurve_H0Y9Y2_BOD1L1.pdf")</f>
        <v>Melting_Curves/meltCurve_H0Y9Y2_BOD1L1.pdf</v>
      </c>
    </row>
    <row r="629" spans="1:28" x14ac:dyDescent="0.25">
      <c r="A629" t="s">
        <v>633</v>
      </c>
      <c r="B629">
        <v>0.99987803227770999</v>
      </c>
      <c r="C629">
        <v>1.33065172852568</v>
      </c>
      <c r="D629">
        <v>1.10417992897085</v>
      </c>
      <c r="E629">
        <v>1.0242479678159599</v>
      </c>
      <c r="F629">
        <v>0.98728974854710505</v>
      </c>
      <c r="G629">
        <v>0.73266587546101403</v>
      </c>
      <c r="H629">
        <v>0.666427701240214</v>
      </c>
      <c r="I629">
        <v>0.59515668629867102</v>
      </c>
      <c r="J629">
        <v>0.61237086178553002</v>
      </c>
      <c r="K629">
        <v>0.43075954162329899</v>
      </c>
      <c r="L629">
        <v>1199.6382773205301</v>
      </c>
      <c r="M629">
        <v>20.6645598064942</v>
      </c>
      <c r="O629">
        <v>57.517483780103902</v>
      </c>
      <c r="P629">
        <v>-4.4124085099282E-2</v>
      </c>
      <c r="Q629">
        <v>0.50875631651581199</v>
      </c>
      <c r="R629">
        <v>0.79683248937629103</v>
      </c>
      <c r="S629" t="s">
        <v>6940</v>
      </c>
      <c r="T629" t="s">
        <v>12620</v>
      </c>
      <c r="U629" t="s">
        <v>12620</v>
      </c>
      <c r="V629" t="s">
        <v>12620</v>
      </c>
      <c r="W629" t="s">
        <v>13230</v>
      </c>
      <c r="X629">
        <v>1</v>
      </c>
      <c r="Y629" t="s">
        <v>19476</v>
      </c>
      <c r="Z629" t="s">
        <v>25576</v>
      </c>
      <c r="AA629">
        <v>0.80973255869983285</v>
      </c>
      <c r="AB629" t="str">
        <f>HYPERLINK("Melting_Curves/meltCurve_H0YA59_STOX2.pdf", "Melting_Curves/meltCurve_H0YA59_STOX2.pdf")</f>
        <v>Melting_Curves/meltCurve_H0YA59_STOX2.pdf</v>
      </c>
    </row>
    <row r="630" spans="1:28" x14ac:dyDescent="0.25">
      <c r="A630" t="s">
        <v>634</v>
      </c>
      <c r="B630">
        <v>0.99987803227770999</v>
      </c>
      <c r="C630">
        <v>0.82416945264624697</v>
      </c>
      <c r="D630">
        <v>1.1192769179775599</v>
      </c>
      <c r="E630">
        <v>0.817073158716347</v>
      </c>
      <c r="F630">
        <v>1.0451383131416001</v>
      </c>
      <c r="G630">
        <v>0.71513447454677603</v>
      </c>
      <c r="H630">
        <v>0.56073593601831795</v>
      </c>
      <c r="I630">
        <v>0.48211715856109699</v>
      </c>
      <c r="J630">
        <v>0.51415298255625697</v>
      </c>
      <c r="K630">
        <v>0.448339914524781</v>
      </c>
      <c r="L630">
        <v>2570.4304101910602</v>
      </c>
      <c r="M630">
        <v>45.225095235575097</v>
      </c>
      <c r="N630">
        <v>62.733007571116502</v>
      </c>
      <c r="O630">
        <v>56.725575786001599</v>
      </c>
      <c r="P630">
        <v>-0.101077927540561</v>
      </c>
      <c r="Q630">
        <v>0.49287476264181401</v>
      </c>
      <c r="R630">
        <v>0.84180507938371996</v>
      </c>
      <c r="S630" t="s">
        <v>6941</v>
      </c>
      <c r="T630" t="s">
        <v>12620</v>
      </c>
      <c r="U630" t="s">
        <v>12620</v>
      </c>
      <c r="V630" t="s">
        <v>12620</v>
      </c>
      <c r="W630" t="s">
        <v>13231</v>
      </c>
      <c r="X630">
        <v>1</v>
      </c>
      <c r="Y630" t="s">
        <v>19477</v>
      </c>
      <c r="Z630" t="s">
        <v>25577</v>
      </c>
      <c r="AA630">
        <v>0.77902884851999776</v>
      </c>
      <c r="AB630" t="str">
        <f>HYPERLINK("Melting_Curves/meltCurve_H0YA61_RBM24.pdf", "Melting_Curves/meltCurve_H0YA61_RBM24.pdf")</f>
        <v>Melting_Curves/meltCurve_H0YA61_RBM24.pdf</v>
      </c>
    </row>
    <row r="631" spans="1:28" x14ac:dyDescent="0.25">
      <c r="A631" t="s">
        <v>635</v>
      </c>
      <c r="B631">
        <v>0.99987803227770999</v>
      </c>
      <c r="C631">
        <v>1.1724960865959699</v>
      </c>
      <c r="D631">
        <v>0.98251876753376999</v>
      </c>
      <c r="E631">
        <v>1.1292020391929001</v>
      </c>
      <c r="F631">
        <v>0.60410963565379405</v>
      </c>
      <c r="G631">
        <v>0.47578864368708601</v>
      </c>
      <c r="H631">
        <v>0.18023257684024799</v>
      </c>
      <c r="I631">
        <v>9.0485885023523102E-2</v>
      </c>
      <c r="J631">
        <v>5.7265690716553901E-2</v>
      </c>
      <c r="K631">
        <v>4.2894665690165701E-2</v>
      </c>
      <c r="L631">
        <v>1172.5598739427501</v>
      </c>
      <c r="M631">
        <v>20.998428772088101</v>
      </c>
      <c r="N631">
        <v>56.035013139019199</v>
      </c>
      <c r="O631">
        <v>55.341325559468103</v>
      </c>
      <c r="P631">
        <v>-9.1525020393308995E-2</v>
      </c>
      <c r="Q631">
        <v>3.5169711019776097E-2</v>
      </c>
      <c r="R631">
        <v>0.94812730869806905</v>
      </c>
      <c r="S631" t="s">
        <v>6942</v>
      </c>
      <c r="T631" t="s">
        <v>12620</v>
      </c>
      <c r="U631" t="s">
        <v>12620</v>
      </c>
      <c r="V631" t="s">
        <v>12620</v>
      </c>
      <c r="W631" t="s">
        <v>13232</v>
      </c>
      <c r="X631">
        <v>3</v>
      </c>
      <c r="Y631" t="s">
        <v>19478</v>
      </c>
      <c r="Z631" t="s">
        <v>25578</v>
      </c>
      <c r="AA631">
        <v>0.55628327828669544</v>
      </c>
      <c r="AB631" t="str">
        <f>HYPERLINK("Melting_Curves/meltCurve_H0YA68_MAN2B2.pdf", "Melting_Curves/meltCurve_H0YA68_MAN2B2.pdf")</f>
        <v>Melting_Curves/meltCurve_H0YA68_MAN2B2.pdf</v>
      </c>
    </row>
    <row r="632" spans="1:28" x14ac:dyDescent="0.25">
      <c r="A632" t="s">
        <v>636</v>
      </c>
      <c r="B632">
        <v>0.99987803227770999</v>
      </c>
      <c r="C632">
        <v>0.708021499345594</v>
      </c>
      <c r="D632">
        <v>0.93611382309444602</v>
      </c>
      <c r="E632">
        <v>0.63900233342002</v>
      </c>
      <c r="F632">
        <v>0.84299562101851</v>
      </c>
      <c r="G632">
        <v>0.45086756982262499</v>
      </c>
      <c r="H632">
        <v>0.86909956842265301</v>
      </c>
      <c r="I632">
        <v>0.60459449123923703</v>
      </c>
      <c r="J632">
        <v>1.2317044218900799</v>
      </c>
      <c r="K632">
        <v>1.0638690455406099</v>
      </c>
      <c r="L632">
        <v>10234.897658133301</v>
      </c>
      <c r="M632">
        <v>250</v>
      </c>
      <c r="O632">
        <v>40.936970943286603</v>
      </c>
      <c r="P632">
        <v>-0.28053481366530503</v>
      </c>
      <c r="Q632">
        <v>0.81625207274233402</v>
      </c>
      <c r="R632">
        <v>6.0261561683786297E-2</v>
      </c>
      <c r="S632" t="s">
        <v>6943</v>
      </c>
      <c r="T632" t="s">
        <v>12620</v>
      </c>
      <c r="U632" t="s">
        <v>12620</v>
      </c>
      <c r="V632" t="s">
        <v>12620</v>
      </c>
      <c r="W632" t="s">
        <v>13233</v>
      </c>
      <c r="X632">
        <v>2</v>
      </c>
      <c r="Y632" t="s">
        <v>19479</v>
      </c>
      <c r="Z632" t="s">
        <v>25579</v>
      </c>
      <c r="AA632">
        <v>0.8220228741300859</v>
      </c>
      <c r="AB632" t="str">
        <f>HYPERLINK("Melting_Curves/meltCurve_H0YAI5_RNF4.pdf", "Melting_Curves/meltCurve_H0YAI5_RNF4.pdf")</f>
        <v>Melting_Curves/meltCurve_H0YAI5_RNF4.pdf</v>
      </c>
    </row>
    <row r="633" spans="1:28" x14ac:dyDescent="0.25">
      <c r="A633" t="s">
        <v>637</v>
      </c>
      <c r="B633">
        <v>0.99987803227770999</v>
      </c>
      <c r="C633">
        <v>0.92973628402221398</v>
      </c>
      <c r="D633">
        <v>0.99102828252100095</v>
      </c>
      <c r="E633">
        <v>0.97525028619494902</v>
      </c>
      <c r="F633">
        <v>1.17342865943569</v>
      </c>
      <c r="G633">
        <v>0.73061202611893405</v>
      </c>
      <c r="H633">
        <v>0.76974720644341699</v>
      </c>
      <c r="I633">
        <v>0.70937676895864998</v>
      </c>
      <c r="J633">
        <v>0.57733124029607197</v>
      </c>
      <c r="K633">
        <v>0.52611331510880599</v>
      </c>
      <c r="L633">
        <v>1005.8368514431201</v>
      </c>
      <c r="M633">
        <v>16.4343403446011</v>
      </c>
      <c r="O633">
        <v>60.318693684335003</v>
      </c>
      <c r="P633">
        <v>-3.48865378049526E-2</v>
      </c>
      <c r="Q633">
        <v>0.48786217252911901</v>
      </c>
      <c r="R633">
        <v>0.80310885374754803</v>
      </c>
      <c r="S633" t="s">
        <v>6944</v>
      </c>
      <c r="T633" t="s">
        <v>12620</v>
      </c>
      <c r="U633" t="s">
        <v>12620</v>
      </c>
      <c r="V633" t="s">
        <v>12620</v>
      </c>
      <c r="W633" t="s">
        <v>13234</v>
      </c>
      <c r="X633">
        <v>1</v>
      </c>
      <c r="Y633" t="s">
        <v>19480</v>
      </c>
      <c r="Z633" t="s">
        <v>25580</v>
      </c>
      <c r="AA633">
        <v>0.85151820539815837</v>
      </c>
      <c r="AB633" t="str">
        <f>HYPERLINK("Melting_Curves/meltCurve_H0YAJ5_APBB2.pdf", "Melting_Curves/meltCurve_H0YAJ5_APBB2.pdf")</f>
        <v>Melting_Curves/meltCurve_H0YAJ5_APBB2.pdf</v>
      </c>
    </row>
    <row r="634" spans="1:28" x14ac:dyDescent="0.25">
      <c r="A634" t="s">
        <v>638</v>
      </c>
      <c r="B634">
        <v>0.99987803227770999</v>
      </c>
      <c r="C634">
        <v>1.17608977428953</v>
      </c>
      <c r="D634">
        <v>0.725336074676314</v>
      </c>
      <c r="E634">
        <v>0.48976717969975803</v>
      </c>
      <c r="F634">
        <v>0.25800167503086402</v>
      </c>
      <c r="G634">
        <v>0.181317360539447</v>
      </c>
      <c r="H634">
        <v>0.118499050194491</v>
      </c>
      <c r="I634">
        <v>9.7064932919260896E-2</v>
      </c>
      <c r="J634">
        <v>7.3880944639946697E-2</v>
      </c>
      <c r="K634">
        <v>4.65908045088365E-2</v>
      </c>
      <c r="L634">
        <v>1002.90598736472</v>
      </c>
      <c r="M634">
        <v>20.356585960673499</v>
      </c>
      <c r="N634">
        <v>49.721960986268698</v>
      </c>
      <c r="O634">
        <v>48.798856232616501</v>
      </c>
      <c r="P634">
        <v>-9.5427769031244503E-2</v>
      </c>
      <c r="Q634">
        <v>8.4989067521682005E-2</v>
      </c>
      <c r="R634">
        <v>0.95981048445063399</v>
      </c>
      <c r="S634" t="s">
        <v>6945</v>
      </c>
      <c r="T634" t="s">
        <v>12620</v>
      </c>
      <c r="U634" t="s">
        <v>12620</v>
      </c>
      <c r="V634" t="s">
        <v>12620</v>
      </c>
      <c r="W634" t="s">
        <v>13235</v>
      </c>
      <c r="X634">
        <v>10</v>
      </c>
      <c r="Y634" t="s">
        <v>19481</v>
      </c>
      <c r="Z634" t="s">
        <v>25581</v>
      </c>
      <c r="AA634">
        <v>0.37997481535692262</v>
      </c>
      <c r="AB634" t="str">
        <f>HYPERLINK("Melting_Curves/meltCurve_H0YAN8_ARHGEF10.pdf", "Melting_Curves/meltCurve_H0YAN8_ARHGEF10.pdf")</f>
        <v>Melting_Curves/meltCurve_H0YAN8_ARHGEF10.pdf</v>
      </c>
    </row>
    <row r="635" spans="1:28" x14ac:dyDescent="0.25">
      <c r="A635" t="s">
        <v>639</v>
      </c>
      <c r="B635">
        <v>0.99987803227770999</v>
      </c>
      <c r="C635">
        <v>2.2170682743407202</v>
      </c>
      <c r="D635">
        <v>1.5060170235796999</v>
      </c>
      <c r="E635">
        <v>3.5476677975896198</v>
      </c>
      <c r="F635">
        <v>1.5875642909454399</v>
      </c>
      <c r="G635">
        <v>0.71808924743457603</v>
      </c>
      <c r="H635">
        <v>2.0994239139927098</v>
      </c>
      <c r="I635">
        <v>2.44795426277265</v>
      </c>
      <c r="J635">
        <v>3.30520039118977</v>
      </c>
      <c r="K635">
        <v>0.74793131583241002</v>
      </c>
      <c r="L635">
        <v>1.0000000000000001E-5</v>
      </c>
      <c r="M635">
        <v>23.3607011391918</v>
      </c>
      <c r="Q635">
        <v>1.5</v>
      </c>
      <c r="R635">
        <v>-0.19570891710310601</v>
      </c>
      <c r="S635" t="s">
        <v>6946</v>
      </c>
      <c r="T635" t="s">
        <v>12620</v>
      </c>
      <c r="U635" t="s">
        <v>12620</v>
      </c>
      <c r="V635" t="s">
        <v>12620</v>
      </c>
      <c r="W635" t="s">
        <v>13236</v>
      </c>
      <c r="X635">
        <v>19</v>
      </c>
      <c r="Y635" t="s">
        <v>19482</v>
      </c>
      <c r="Z635" t="s">
        <v>25582</v>
      </c>
      <c r="AA635">
        <v>1.4999999999642279</v>
      </c>
      <c r="AB635" t="str">
        <f>HYPERLINK("Melting_Curves/meltCurve_H0YBD4_GSR.pdf", "Melting_Curves/meltCurve_H0YBD4_GSR.pdf")</f>
        <v>Melting_Curves/meltCurve_H0YBD4_GSR.pdf</v>
      </c>
    </row>
    <row r="636" spans="1:28" x14ac:dyDescent="0.25">
      <c r="A636" t="s">
        <v>640</v>
      </c>
      <c r="B636">
        <v>0.99987803227770999</v>
      </c>
      <c r="C636">
        <v>0.760336103160692</v>
      </c>
      <c r="D636">
        <v>0.89248361474693905</v>
      </c>
      <c r="E636">
        <v>0.70125026074979901</v>
      </c>
      <c r="F636">
        <v>1.0670544373956601</v>
      </c>
      <c r="G636">
        <v>0.81625824692716398</v>
      </c>
      <c r="H636">
        <v>0.84105251781802204</v>
      </c>
      <c r="I636">
        <v>0.82345446967750002</v>
      </c>
      <c r="J636">
        <v>0.99173491002302006</v>
      </c>
      <c r="K636">
        <v>0.893035838159143</v>
      </c>
      <c r="L636">
        <v>10230.170298967299</v>
      </c>
      <c r="M636">
        <v>250</v>
      </c>
      <c r="O636">
        <v>40.918063917143797</v>
      </c>
      <c r="P636">
        <v>-0.205922869077938</v>
      </c>
      <c r="Q636">
        <v>0.86518456277794997</v>
      </c>
      <c r="R636">
        <v>0.139314435799929</v>
      </c>
      <c r="S636" t="s">
        <v>6947</v>
      </c>
      <c r="T636" t="s">
        <v>12620</v>
      </c>
      <c r="U636" t="s">
        <v>12620</v>
      </c>
      <c r="V636" t="s">
        <v>12620</v>
      </c>
      <c r="W636" t="s">
        <v>13237</v>
      </c>
      <c r="X636">
        <v>1</v>
      </c>
      <c r="Y636" t="s">
        <v>19483</v>
      </c>
      <c r="Z636" t="s">
        <v>25583</v>
      </c>
      <c r="AA636">
        <v>0.86933385258608142</v>
      </c>
      <c r="AB636" t="str">
        <f>HYPERLINK("Melting_Curves/meltCurve_H0YCZ8_LETM2.pdf", "Melting_Curves/meltCurve_H0YCZ8_LETM2.pdf")</f>
        <v>Melting_Curves/meltCurve_H0YCZ8_LETM2.pdf</v>
      </c>
    </row>
    <row r="637" spans="1:28" x14ac:dyDescent="0.25">
      <c r="A637" t="s">
        <v>641</v>
      </c>
      <c r="B637">
        <v>0.99987803227770999</v>
      </c>
      <c r="C637">
        <v>1.3232134378118201</v>
      </c>
      <c r="D637">
        <v>0.93844332433965605</v>
      </c>
      <c r="E637">
        <v>1.3132055252466099</v>
      </c>
      <c r="F637">
        <v>1.1267219083031399</v>
      </c>
      <c r="G637">
        <v>0.55163868570868402</v>
      </c>
      <c r="H637">
        <v>0.130605008754304</v>
      </c>
      <c r="I637">
        <v>0.149223370978183</v>
      </c>
      <c r="J637">
        <v>9.4045575892301406E-2</v>
      </c>
      <c r="K637">
        <v>7.60278804825536E-2</v>
      </c>
      <c r="L637">
        <v>11958.210621530599</v>
      </c>
      <c r="M637">
        <v>209.813895902604</v>
      </c>
      <c r="N637">
        <v>57.063698198360498</v>
      </c>
      <c r="O637">
        <v>56.989191316781103</v>
      </c>
      <c r="P637">
        <v>-0.81688749366860502</v>
      </c>
      <c r="Q637">
        <v>0.11247523081302099</v>
      </c>
      <c r="R637">
        <v>0.90935420096809005</v>
      </c>
      <c r="S637" t="s">
        <v>6948</v>
      </c>
      <c r="T637" t="s">
        <v>12620</v>
      </c>
      <c r="U637" t="s">
        <v>12620</v>
      </c>
      <c r="V637" t="s">
        <v>12620</v>
      </c>
      <c r="W637" t="s">
        <v>13238</v>
      </c>
      <c r="X637">
        <v>1</v>
      </c>
      <c r="Y637" t="s">
        <v>19484</v>
      </c>
      <c r="Z637" t="s">
        <v>25584</v>
      </c>
      <c r="AA637">
        <v>0.61536539583401273</v>
      </c>
      <c r="AB637" t="str">
        <f>HYPERLINK("Melting_Curves/meltCurve_H0YDM5_SLC27A3.pdf", "Melting_Curves/meltCurve_H0YDM5_SLC27A3.pdf")</f>
        <v>Melting_Curves/meltCurve_H0YDM5_SLC27A3.pdf</v>
      </c>
    </row>
    <row r="638" spans="1:28" x14ac:dyDescent="0.25">
      <c r="A638" t="s">
        <v>642</v>
      </c>
      <c r="B638">
        <v>0.99987803227770999</v>
      </c>
      <c r="C638">
        <v>0.94509605709090305</v>
      </c>
      <c r="D638">
        <v>1.2242728351224701</v>
      </c>
      <c r="E638">
        <v>1.2742087533184601</v>
      </c>
      <c r="F638">
        <v>1.50789738989924</v>
      </c>
      <c r="G638">
        <v>0.88177020315415</v>
      </c>
      <c r="H638">
        <v>0.54782489329443995</v>
      </c>
      <c r="I638">
        <v>0.494587128178197</v>
      </c>
      <c r="J638">
        <v>0.33321500132084703</v>
      </c>
      <c r="K638">
        <v>0.25497492898033097</v>
      </c>
      <c r="L638">
        <v>2068.8890075875902</v>
      </c>
      <c r="M638">
        <v>34.279817158956597</v>
      </c>
      <c r="N638">
        <v>62.107925099273999</v>
      </c>
      <c r="O638">
        <v>60.148710762378997</v>
      </c>
      <c r="P638">
        <v>-9.82830354764931E-2</v>
      </c>
      <c r="Q638">
        <v>0.31019774435326503</v>
      </c>
      <c r="R638">
        <v>0.74770346065179205</v>
      </c>
      <c r="S638" t="s">
        <v>6949</v>
      </c>
      <c r="T638" t="s">
        <v>12620</v>
      </c>
      <c r="U638" t="s">
        <v>12620</v>
      </c>
      <c r="V638" t="s">
        <v>12620</v>
      </c>
      <c r="W638" t="s">
        <v>13239</v>
      </c>
      <c r="X638">
        <v>3</v>
      </c>
      <c r="Y638" t="s">
        <v>19485</v>
      </c>
      <c r="Z638" t="s">
        <v>25585</v>
      </c>
      <c r="AA638">
        <v>0.78159631518511807</v>
      </c>
      <c r="AB638" t="str">
        <f>HYPERLINK("Melting_Curves/meltCurve_H0YDP7_MRPL49.pdf", "Melting_Curves/meltCurve_H0YDP7_MRPL49.pdf")</f>
        <v>Melting_Curves/meltCurve_H0YDP7_MRPL49.pdf</v>
      </c>
    </row>
    <row r="639" spans="1:28" x14ac:dyDescent="0.25">
      <c r="A639" t="s">
        <v>643</v>
      </c>
      <c r="B639">
        <v>0.99987803227770999</v>
      </c>
      <c r="C639">
        <v>1.11385028312481</v>
      </c>
      <c r="D639">
        <v>1.98435861523739</v>
      </c>
      <c r="E639">
        <v>1.3753314164709201</v>
      </c>
      <c r="F639">
        <v>0.60577522175232201</v>
      </c>
      <c r="G639">
        <v>1.83806082262046</v>
      </c>
      <c r="H639">
        <v>0.52502989434289504</v>
      </c>
      <c r="I639">
        <v>0.83441135022277901</v>
      </c>
      <c r="J639">
        <v>1.0469149342639199</v>
      </c>
      <c r="K639">
        <v>1.01048267012783</v>
      </c>
      <c r="S639" t="s">
        <v>6950</v>
      </c>
      <c r="T639" t="s">
        <v>12620</v>
      </c>
      <c r="U639" t="s">
        <v>12621</v>
      </c>
      <c r="V639" t="s">
        <v>12620</v>
      </c>
      <c r="W639" t="s">
        <v>13240</v>
      </c>
      <c r="X639">
        <v>10</v>
      </c>
      <c r="Y639" t="s">
        <v>19280</v>
      </c>
      <c r="Z639" t="s">
        <v>25586</v>
      </c>
      <c r="AB639" t="str">
        <f>HYPERLINK("Melting_Curves/meltCurve_H0YDQ3_LMO7.pdf", "Melting_Curves/meltCurve_H0YDQ3_LMO7.pdf")</f>
        <v>Melting_Curves/meltCurve_H0YDQ3_LMO7.pdf</v>
      </c>
    </row>
    <row r="640" spans="1:28" x14ac:dyDescent="0.25">
      <c r="A640" t="s">
        <v>644</v>
      </c>
      <c r="B640">
        <v>0.99987803227770999</v>
      </c>
      <c r="C640">
        <v>0.923165372339948</v>
      </c>
      <c r="D640">
        <v>1.07007452714457</v>
      </c>
      <c r="E640">
        <v>0.95909877329108995</v>
      </c>
      <c r="F640">
        <v>1.1126713407566999</v>
      </c>
      <c r="G640">
        <v>1.0231995261679601</v>
      </c>
      <c r="H640">
        <v>1.1247315979438599</v>
      </c>
      <c r="I640">
        <v>1.0222015357618299</v>
      </c>
      <c r="J640">
        <v>0.95665481077174597</v>
      </c>
      <c r="K640">
        <v>0.71280656592564196</v>
      </c>
      <c r="L640">
        <v>15000</v>
      </c>
      <c r="M640">
        <v>222.15277223611099</v>
      </c>
      <c r="O640">
        <v>67.515630175105102</v>
      </c>
      <c r="P640">
        <v>-0.23633515611737299</v>
      </c>
      <c r="Q640">
        <v>0.71269650531981898</v>
      </c>
      <c r="R640">
        <v>0.66641273955437497</v>
      </c>
      <c r="S640" t="s">
        <v>6951</v>
      </c>
      <c r="T640" t="s">
        <v>12620</v>
      </c>
      <c r="U640" t="s">
        <v>12620</v>
      </c>
      <c r="V640" t="s">
        <v>12620</v>
      </c>
      <c r="W640" t="s">
        <v>13241</v>
      </c>
      <c r="X640">
        <v>2</v>
      </c>
      <c r="Y640" t="s">
        <v>19486</v>
      </c>
      <c r="Z640" t="s">
        <v>25587</v>
      </c>
      <c r="AA640">
        <v>0.97630203958338357</v>
      </c>
      <c r="AB640" t="str">
        <f>HYPERLINK("Melting_Curves/meltCurve_H0YDQ8_CRTC2.pdf", "Melting_Curves/meltCurve_H0YDQ8_CRTC2.pdf")</f>
        <v>Melting_Curves/meltCurve_H0YDQ8_CRTC2.pdf</v>
      </c>
    </row>
    <row r="641" spans="1:28" x14ac:dyDescent="0.25">
      <c r="A641" t="s">
        <v>645</v>
      </c>
      <c r="B641">
        <v>0.99987803227770999</v>
      </c>
      <c r="C641">
        <v>0.91988779476287197</v>
      </c>
      <c r="D641">
        <v>0.95054114100774501</v>
      </c>
      <c r="E641">
        <v>0.90790102136958595</v>
      </c>
      <c r="F641">
        <v>1.0131148025107899</v>
      </c>
      <c r="G641">
        <v>0.913684198318649</v>
      </c>
      <c r="H641">
        <v>0.99795230813254499</v>
      </c>
      <c r="I641">
        <v>0.97217355171046005</v>
      </c>
      <c r="J641">
        <v>0.831275974942838</v>
      </c>
      <c r="K641">
        <v>0.68771668857555301</v>
      </c>
      <c r="L641">
        <v>3354.8310246615001</v>
      </c>
      <c r="M641">
        <v>49.987096613388701</v>
      </c>
      <c r="O641">
        <v>67.006808254753594</v>
      </c>
      <c r="P641">
        <v>-6.5665467772986597E-2</v>
      </c>
      <c r="Q641">
        <v>0.64790686700398803</v>
      </c>
      <c r="R641">
        <v>0.71240931031410404</v>
      </c>
      <c r="S641" t="s">
        <v>6952</v>
      </c>
      <c r="T641" t="s">
        <v>12620</v>
      </c>
      <c r="U641" t="s">
        <v>12620</v>
      </c>
      <c r="V641" t="s">
        <v>12620</v>
      </c>
      <c r="W641" t="s">
        <v>13242</v>
      </c>
      <c r="X641">
        <v>5</v>
      </c>
      <c r="Y641" t="s">
        <v>19487</v>
      </c>
      <c r="Z641" t="s">
        <v>25588</v>
      </c>
      <c r="AA641">
        <v>0.96502177282477275</v>
      </c>
      <c r="AB641" t="str">
        <f>HYPERLINK("Melting_Curves/meltCurve_H0YDS0_UBQLN1.pdf", "Melting_Curves/meltCurve_H0YDS0_UBQLN1.pdf")</f>
        <v>Melting_Curves/meltCurve_H0YDS0_UBQLN1.pdf</v>
      </c>
    </row>
    <row r="642" spans="1:28" x14ac:dyDescent="0.25">
      <c r="A642" t="s">
        <v>646</v>
      </c>
      <c r="B642">
        <v>0.99987803227770999</v>
      </c>
      <c r="C642">
        <v>0.81575347650470698</v>
      </c>
      <c r="D642">
        <v>1.1451806845603301</v>
      </c>
      <c r="E642">
        <v>0.94208363665121697</v>
      </c>
      <c r="F642">
        <v>0.74651448064949</v>
      </c>
      <c r="G642">
        <v>0.50999417995471297</v>
      </c>
      <c r="H642">
        <v>0.23447414332997399</v>
      </c>
      <c r="I642">
        <v>0.13805175066198699</v>
      </c>
      <c r="J642">
        <v>0.121393426076652</v>
      </c>
      <c r="K642">
        <v>8.2375777213090196E-2</v>
      </c>
      <c r="L642">
        <v>1094.5793971376399</v>
      </c>
      <c r="M642">
        <v>19.415336746406801</v>
      </c>
      <c r="N642">
        <v>56.792782538129401</v>
      </c>
      <c r="O642">
        <v>55.789182442351098</v>
      </c>
      <c r="P642">
        <v>-8.1242763618939701E-2</v>
      </c>
      <c r="Q642">
        <v>6.6243032671969196E-2</v>
      </c>
      <c r="R642">
        <v>0.95902587510903403</v>
      </c>
      <c r="S642" t="s">
        <v>6953</v>
      </c>
      <c r="T642" t="s">
        <v>12620</v>
      </c>
      <c r="U642" t="s">
        <v>12620</v>
      </c>
      <c r="V642" t="s">
        <v>12620</v>
      </c>
      <c r="W642" t="s">
        <v>13243</v>
      </c>
      <c r="X642">
        <v>25</v>
      </c>
      <c r="Y642" t="s">
        <v>19488</v>
      </c>
      <c r="Z642" t="s">
        <v>25589</v>
      </c>
      <c r="AA642">
        <v>0.58826629907521122</v>
      </c>
      <c r="AB642" t="str">
        <f>HYPERLINK("Melting_Curves/meltCurve_H0YDU8_PPP5C.pdf", "Melting_Curves/meltCurve_H0YDU8_PPP5C.pdf")</f>
        <v>Melting_Curves/meltCurve_H0YDU8_PPP5C.pdf</v>
      </c>
    </row>
    <row r="643" spans="1:28" x14ac:dyDescent="0.25">
      <c r="A643" t="s">
        <v>647</v>
      </c>
      <c r="B643">
        <v>0.99987803227770999</v>
      </c>
      <c r="C643">
        <v>1.0516812817338399</v>
      </c>
      <c r="D643">
        <v>0.95647390970691304</v>
      </c>
      <c r="E643">
        <v>1.40631516263406</v>
      </c>
      <c r="F643">
        <v>0.89668185212638296</v>
      </c>
      <c r="G643">
        <v>1.2412609109970301</v>
      </c>
      <c r="H643">
        <v>1.4728584857541001</v>
      </c>
      <c r="I643">
        <v>1.4650294450930099</v>
      </c>
      <c r="J643">
        <v>1.32981455573979</v>
      </c>
      <c r="K643">
        <v>0.97038989998401803</v>
      </c>
      <c r="L643">
        <v>766.66712059828001</v>
      </c>
      <c r="M643">
        <v>15.356865222418801</v>
      </c>
      <c r="O643">
        <v>49.0998380104771</v>
      </c>
      <c r="P643">
        <v>2.2400370719196702E-2</v>
      </c>
      <c r="Q643">
        <v>1.2864525388075501</v>
      </c>
      <c r="R643">
        <v>0.249487791414124</v>
      </c>
      <c r="S643" t="s">
        <v>6954</v>
      </c>
      <c r="T643" t="s">
        <v>12620</v>
      </c>
      <c r="U643" t="s">
        <v>12620</v>
      </c>
      <c r="V643" t="s">
        <v>12620</v>
      </c>
      <c r="W643" t="s">
        <v>13244</v>
      </c>
      <c r="X643">
        <v>6</v>
      </c>
      <c r="Y643" t="s">
        <v>19489</v>
      </c>
      <c r="Z643" t="s">
        <v>25590</v>
      </c>
      <c r="AA643">
        <v>1.1851339957223499</v>
      </c>
      <c r="AB643" t="str">
        <f>HYPERLINK("Melting_Curves/meltCurve_H0YEB6_SSSCA1.pdf", "Melting_Curves/meltCurve_H0YEB6_SSSCA1.pdf")</f>
        <v>Melting_Curves/meltCurve_H0YEB6_SSSCA1.pdf</v>
      </c>
    </row>
    <row r="644" spans="1:28" x14ac:dyDescent="0.25">
      <c r="A644" t="s">
        <v>648</v>
      </c>
      <c r="B644">
        <v>0.99987803227770999</v>
      </c>
      <c r="C644">
        <v>1.0620043763559901</v>
      </c>
      <c r="D644">
        <v>0.82241542669477896</v>
      </c>
      <c r="E644">
        <v>0.60216059060170601</v>
      </c>
      <c r="F644">
        <v>0.41643228427137102</v>
      </c>
      <c r="G644">
        <v>0.284463296107898</v>
      </c>
      <c r="H644">
        <v>0.22896435670878201</v>
      </c>
      <c r="I644">
        <v>0.251181366452635</v>
      </c>
      <c r="J644">
        <v>0.190018502120545</v>
      </c>
      <c r="K644">
        <v>0.180926260350246</v>
      </c>
      <c r="L644">
        <v>917.89986417552404</v>
      </c>
      <c r="M644">
        <v>18.347157410586401</v>
      </c>
      <c r="N644">
        <v>51.470155989111603</v>
      </c>
      <c r="O644">
        <v>49.4465591750469</v>
      </c>
      <c r="P644">
        <v>-7.4138436403960006E-2</v>
      </c>
      <c r="Q644">
        <v>0.200808589600105</v>
      </c>
      <c r="R644">
        <v>0.98692839474870897</v>
      </c>
      <c r="S644" t="s">
        <v>6955</v>
      </c>
      <c r="T644" t="s">
        <v>12620</v>
      </c>
      <c r="U644" t="s">
        <v>12620</v>
      </c>
      <c r="V644" t="s">
        <v>12620</v>
      </c>
      <c r="W644" t="s">
        <v>13245</v>
      </c>
      <c r="X644">
        <v>4</v>
      </c>
      <c r="Y644" t="s">
        <v>19490</v>
      </c>
      <c r="Z644" t="s">
        <v>25591</v>
      </c>
      <c r="AA644">
        <v>0.48113052595248029</v>
      </c>
      <c r="AB644" t="str">
        <f>HYPERLINK("Melting_Curves/meltCurve_H0YEF3_RNASEH2C.pdf", "Melting_Curves/meltCurve_H0YEF3_RNASEH2C.pdf")</f>
        <v>Melting_Curves/meltCurve_H0YEF3_RNASEH2C.pdf</v>
      </c>
    </row>
    <row r="645" spans="1:28" x14ac:dyDescent="0.25">
      <c r="A645" t="s">
        <v>649</v>
      </c>
      <c r="B645">
        <v>0.99987803227770999</v>
      </c>
      <c r="C645">
        <v>1.0111650935708001</v>
      </c>
      <c r="D645">
        <v>1.11661457619964</v>
      </c>
      <c r="E645">
        <v>0.97100069573022996</v>
      </c>
      <c r="F645">
        <v>1.0232190386212101</v>
      </c>
      <c r="G645">
        <v>0.89515253324811195</v>
      </c>
      <c r="H645">
        <v>0.84994124721694198</v>
      </c>
      <c r="I645">
        <v>0.66946058130005004</v>
      </c>
      <c r="J645">
        <v>0.70138947493705395</v>
      </c>
      <c r="K645">
        <v>0.580192679068536</v>
      </c>
      <c r="L645">
        <v>1124.61962901734</v>
      </c>
      <c r="M645">
        <v>18.066768869104099</v>
      </c>
      <c r="O645">
        <v>61.5003656860763</v>
      </c>
      <c r="P645">
        <v>-3.3057319117214198E-2</v>
      </c>
      <c r="Q645">
        <v>0.54990549221118601</v>
      </c>
      <c r="R645">
        <v>0.91371548227472799</v>
      </c>
      <c r="S645" t="s">
        <v>6956</v>
      </c>
      <c r="T645" t="s">
        <v>12620</v>
      </c>
      <c r="U645" t="s">
        <v>12620</v>
      </c>
      <c r="V645" t="s">
        <v>12620</v>
      </c>
      <c r="W645" t="s">
        <v>13246</v>
      </c>
      <c r="X645">
        <v>2</v>
      </c>
      <c r="Y645" t="s">
        <v>19491</v>
      </c>
      <c r="Z645" t="s">
        <v>25592</v>
      </c>
      <c r="AA645">
        <v>0.88391819254390691</v>
      </c>
      <c r="AB645" t="str">
        <f>HYPERLINK("Melting_Curves/meltCurve_H0YEP0_KAT5.pdf", "Melting_Curves/meltCurve_H0YEP0_KAT5.pdf")</f>
        <v>Melting_Curves/meltCurve_H0YEP0_KAT5.pdf</v>
      </c>
    </row>
    <row r="646" spans="1:28" x14ac:dyDescent="0.25">
      <c r="A646" t="s">
        <v>650</v>
      </c>
      <c r="B646">
        <v>0.99987803227770999</v>
      </c>
      <c r="C646">
        <v>1.1544856557611101</v>
      </c>
      <c r="D646">
        <v>0.99301682048023998</v>
      </c>
      <c r="E646">
        <v>0.87772430052577599</v>
      </c>
      <c r="F646">
        <v>0.73593240778001001</v>
      </c>
      <c r="G646">
        <v>0.56319617806042999</v>
      </c>
      <c r="H646">
        <v>0.43340257981881603</v>
      </c>
      <c r="I646">
        <v>0.42110082353041001</v>
      </c>
      <c r="J646">
        <v>0.24206880534903</v>
      </c>
      <c r="K646">
        <v>0.123128784766853</v>
      </c>
      <c r="L646">
        <v>612.735960830512</v>
      </c>
      <c r="M646">
        <v>10.302563987358401</v>
      </c>
      <c r="N646">
        <v>59.4741041885556</v>
      </c>
      <c r="O646">
        <v>57.364149942356001</v>
      </c>
      <c r="P646">
        <v>-4.49193191871727E-2</v>
      </c>
      <c r="Q646">
        <v>0</v>
      </c>
      <c r="R646">
        <v>0.957108877930123</v>
      </c>
      <c r="S646" t="s">
        <v>6957</v>
      </c>
      <c r="T646" t="s">
        <v>12620</v>
      </c>
      <c r="U646" t="s">
        <v>12620</v>
      </c>
      <c r="V646" t="s">
        <v>12620</v>
      </c>
      <c r="W646" t="s">
        <v>13247</v>
      </c>
      <c r="X646">
        <v>1</v>
      </c>
      <c r="Y646" t="s">
        <v>19492</v>
      </c>
      <c r="Z646" t="s">
        <v>25593</v>
      </c>
      <c r="AA646">
        <v>0.65015304494991355</v>
      </c>
      <c r="AB646" t="str">
        <f>HYPERLINK("Melting_Curves/meltCurve_H0YEP5_SMPD1.pdf", "Melting_Curves/meltCurve_H0YEP5_SMPD1.pdf")</f>
        <v>Melting_Curves/meltCurve_H0YEP5_SMPD1.pdf</v>
      </c>
    </row>
    <row r="647" spans="1:28" x14ac:dyDescent="0.25">
      <c r="A647" t="s">
        <v>651</v>
      </c>
      <c r="B647">
        <v>0.99987803227770999</v>
      </c>
      <c r="C647">
        <v>0.91188508484602304</v>
      </c>
      <c r="D647">
        <v>1.12169729661341</v>
      </c>
      <c r="E647">
        <v>1.0145608046707999</v>
      </c>
      <c r="F647">
        <v>1.05067550339107</v>
      </c>
      <c r="G647">
        <v>0.90820449642441103</v>
      </c>
      <c r="H647">
        <v>0.71353917545448398</v>
      </c>
      <c r="I647">
        <v>0.64679702525140004</v>
      </c>
      <c r="J647">
        <v>0.36162382201719001</v>
      </c>
      <c r="K647">
        <v>0.22545818454021399</v>
      </c>
      <c r="L647">
        <v>1140.1352797581401</v>
      </c>
      <c r="M647">
        <v>17.488481408594701</v>
      </c>
      <c r="N647">
        <v>65.1934981596862</v>
      </c>
      <c r="O647">
        <v>64.3589867563946</v>
      </c>
      <c r="P647">
        <v>-6.7937072459067202E-2</v>
      </c>
      <c r="Q647">
        <v>0</v>
      </c>
      <c r="R647">
        <v>0.95659102282646502</v>
      </c>
      <c r="S647" t="s">
        <v>6958</v>
      </c>
      <c r="T647" t="s">
        <v>12620</v>
      </c>
      <c r="U647" t="s">
        <v>12620</v>
      </c>
      <c r="V647" t="s">
        <v>12620</v>
      </c>
      <c r="W647" t="s">
        <v>13248</v>
      </c>
      <c r="X647">
        <v>1</v>
      </c>
      <c r="Y647" t="s">
        <v>19493</v>
      </c>
      <c r="Z647" t="s">
        <v>25594</v>
      </c>
      <c r="AA647">
        <v>0.82042010720148761</v>
      </c>
      <c r="AB647" t="str">
        <f>HYPERLINK("Melting_Curves/meltCurve_H0YFI1_LAMTOR1.pdf", "Melting_Curves/meltCurve_H0YFI1_LAMTOR1.pdf")</f>
        <v>Melting_Curves/meltCurve_H0YFI1_LAMTOR1.pdf</v>
      </c>
    </row>
    <row r="648" spans="1:28" x14ac:dyDescent="0.25">
      <c r="A648" t="s">
        <v>652</v>
      </c>
      <c r="B648">
        <v>0.99987803227770999</v>
      </c>
      <c r="C648">
        <v>0.88698211622150702</v>
      </c>
      <c r="D648">
        <v>0.99014481836551504</v>
      </c>
      <c r="E648">
        <v>0.89916243190126999</v>
      </c>
      <c r="F648">
        <v>1.0412017989282401</v>
      </c>
      <c r="G648">
        <v>0.89086741665123304</v>
      </c>
      <c r="H648">
        <v>1.0082911627826401</v>
      </c>
      <c r="I648">
        <v>0.90325384630830197</v>
      </c>
      <c r="J648">
        <v>0.77730683579566595</v>
      </c>
      <c r="K648">
        <v>0.48084109231587702</v>
      </c>
      <c r="L648">
        <v>1911.4613139100099</v>
      </c>
      <c r="M648">
        <v>27.360882974027401</v>
      </c>
      <c r="N648">
        <v>69.861096711288099</v>
      </c>
      <c r="O648">
        <v>69.491109510004307</v>
      </c>
      <c r="P648">
        <v>-9.8433961586942897E-2</v>
      </c>
      <c r="Q648">
        <v>0</v>
      </c>
      <c r="R648">
        <v>0.84280882836566096</v>
      </c>
      <c r="S648" t="s">
        <v>6959</v>
      </c>
      <c r="T648" t="s">
        <v>12620</v>
      </c>
      <c r="U648" t="s">
        <v>12620</v>
      </c>
      <c r="V648" t="s">
        <v>12620</v>
      </c>
      <c r="W648" t="s">
        <v>13249</v>
      </c>
      <c r="X648">
        <v>16</v>
      </c>
      <c r="Y648" t="s">
        <v>19494</v>
      </c>
      <c r="Z648" t="s">
        <v>25595</v>
      </c>
      <c r="AA648">
        <v>0.94324103691673755</v>
      </c>
      <c r="AB648" t="str">
        <f>HYPERLINK("Melting_Curves/meltCurve_H0YGR4_REXO2.pdf", "Melting_Curves/meltCurve_H0YGR4_REXO2.pdf")</f>
        <v>Melting_Curves/meltCurve_H0YGR4_REXO2.pdf</v>
      </c>
    </row>
    <row r="649" spans="1:28" x14ac:dyDescent="0.25">
      <c r="A649" t="s">
        <v>653</v>
      </c>
      <c r="B649">
        <v>0.99987803227770999</v>
      </c>
      <c r="C649">
        <v>1.05748711414046</v>
      </c>
      <c r="D649">
        <v>0.78756312008099105</v>
      </c>
      <c r="E649">
        <v>0.72582202618638503</v>
      </c>
      <c r="F649">
        <v>0.71615529492783603</v>
      </c>
      <c r="G649">
        <v>0.60762112133832202</v>
      </c>
      <c r="H649">
        <v>0.42573749898501501</v>
      </c>
      <c r="I649">
        <v>0.29165310944010597</v>
      </c>
      <c r="J649">
        <v>0.16831861477340701</v>
      </c>
      <c r="K649">
        <v>7.5191972137393495E-2</v>
      </c>
      <c r="L649">
        <v>535.64461446351004</v>
      </c>
      <c r="M649">
        <v>9.2907389845193098</v>
      </c>
      <c r="N649">
        <v>57.653610337472003</v>
      </c>
      <c r="O649">
        <v>55.171492694707801</v>
      </c>
      <c r="P649">
        <v>-4.2126465230989202E-2</v>
      </c>
      <c r="Q649">
        <v>0</v>
      </c>
      <c r="R649">
        <v>0.94965273054535704</v>
      </c>
      <c r="S649" t="s">
        <v>6960</v>
      </c>
      <c r="T649" t="s">
        <v>12620</v>
      </c>
      <c r="U649" t="s">
        <v>12620</v>
      </c>
      <c r="V649" t="s">
        <v>12620</v>
      </c>
      <c r="W649" t="s">
        <v>13250</v>
      </c>
      <c r="X649">
        <v>6</v>
      </c>
      <c r="Y649" t="s">
        <v>19495</v>
      </c>
      <c r="Z649" t="s">
        <v>25596</v>
      </c>
      <c r="AA649">
        <v>0.59901642327352278</v>
      </c>
      <c r="AB649" t="str">
        <f>HYPERLINK("Melting_Curves/meltCurve_H0YI78_KIF21A.pdf", "Melting_Curves/meltCurve_H0YI78_KIF21A.pdf")</f>
        <v>Melting_Curves/meltCurve_H0YI78_KIF21A.pdf</v>
      </c>
    </row>
    <row r="650" spans="1:28" x14ac:dyDescent="0.25">
      <c r="A650" t="s">
        <v>654</v>
      </c>
      <c r="B650">
        <v>0.99987803227770999</v>
      </c>
      <c r="C650">
        <v>1.1206056749337201</v>
      </c>
      <c r="D650">
        <v>0.83900605849335996</v>
      </c>
      <c r="E650">
        <v>0.923554497111017</v>
      </c>
      <c r="F650">
        <v>0.64286420601222105</v>
      </c>
      <c r="G650">
        <v>0.35182281715491498</v>
      </c>
      <c r="H650">
        <v>0.25851805826090002</v>
      </c>
      <c r="I650">
        <v>0.207577518214172</v>
      </c>
      <c r="J650">
        <v>0.26362011104599598</v>
      </c>
      <c r="K650">
        <v>0.191957156557896</v>
      </c>
      <c r="L650">
        <v>1333.7639597008499</v>
      </c>
      <c r="M650">
        <v>24.9312244263607</v>
      </c>
      <c r="N650">
        <v>54.737073830694598</v>
      </c>
      <c r="O650">
        <v>53.157103387472901</v>
      </c>
      <c r="P650">
        <v>-9.19654859020579E-2</v>
      </c>
      <c r="Q650">
        <v>0.215673935170521</v>
      </c>
      <c r="R650">
        <v>0.96546143641974902</v>
      </c>
      <c r="S650" t="s">
        <v>6961</v>
      </c>
      <c r="T650" t="s">
        <v>12620</v>
      </c>
      <c r="U650" t="s">
        <v>12620</v>
      </c>
      <c r="V650" t="s">
        <v>12620</v>
      </c>
      <c r="W650" t="s">
        <v>13251</v>
      </c>
      <c r="X650">
        <v>1</v>
      </c>
      <c r="Y650" t="s">
        <v>19496</v>
      </c>
      <c r="Z650" t="s">
        <v>25597</v>
      </c>
      <c r="AA650">
        <v>0.57584184779867653</v>
      </c>
      <c r="AB650" t="str">
        <f>HYPERLINK("Melting_Curves/meltCurve_H0YIQ8_KANSL2.pdf", "Melting_Curves/meltCurve_H0YIQ8_KANSL2.pdf")</f>
        <v>Melting_Curves/meltCurve_H0YIQ8_KANSL2.pdf</v>
      </c>
    </row>
    <row r="651" spans="1:28" x14ac:dyDescent="0.25">
      <c r="A651" t="s">
        <v>655</v>
      </c>
      <c r="B651">
        <v>0.99987803227770999</v>
      </c>
      <c r="C651">
        <v>0.63987676335524002</v>
      </c>
      <c r="D651">
        <v>1.0884694765243601</v>
      </c>
      <c r="E651">
        <v>1.23216818790496</v>
      </c>
      <c r="F651">
        <v>2.7508467846549198</v>
      </c>
      <c r="G651">
        <v>1.7439160017169699</v>
      </c>
      <c r="H651">
        <v>1.9424128918016601</v>
      </c>
      <c r="I651">
        <v>1.60149650296188</v>
      </c>
      <c r="J651">
        <v>2.1385899647400501</v>
      </c>
      <c r="K651">
        <v>1.80328749573031</v>
      </c>
      <c r="L651">
        <v>12507.1432972434</v>
      </c>
      <c r="M651">
        <v>250</v>
      </c>
      <c r="O651">
        <v>50.025371703950299</v>
      </c>
      <c r="P651">
        <v>0.62468301542976201</v>
      </c>
      <c r="Q651">
        <v>1.5</v>
      </c>
      <c r="R651">
        <v>0.289415950665174</v>
      </c>
      <c r="S651" t="s">
        <v>6962</v>
      </c>
      <c r="T651" t="s">
        <v>12620</v>
      </c>
      <c r="U651" t="s">
        <v>12620</v>
      </c>
      <c r="V651" t="s">
        <v>12620</v>
      </c>
      <c r="W651" t="s">
        <v>13252</v>
      </c>
      <c r="X651">
        <v>1</v>
      </c>
      <c r="Y651" t="s">
        <v>19497</v>
      </c>
      <c r="Z651" t="s">
        <v>25598</v>
      </c>
      <c r="AA651">
        <v>1.3328132138334421</v>
      </c>
      <c r="AB651" t="str">
        <f>HYPERLINK("Melting_Curves/meltCurve_H0YJS3_FANCM.pdf", "Melting_Curves/meltCurve_H0YJS3_FANCM.pdf")</f>
        <v>Melting_Curves/meltCurve_H0YJS3_FANCM.pdf</v>
      </c>
    </row>
    <row r="652" spans="1:28" x14ac:dyDescent="0.25">
      <c r="A652" t="s">
        <v>656</v>
      </c>
      <c r="B652">
        <v>0.99987803227770999</v>
      </c>
      <c r="C652">
        <v>0.89423614022516096</v>
      </c>
      <c r="D652">
        <v>0.80290980422674496</v>
      </c>
      <c r="E652">
        <v>0.916731620782265</v>
      </c>
      <c r="F652">
        <v>0.71192977848702799</v>
      </c>
      <c r="G652">
        <v>0.39263238679798601</v>
      </c>
      <c r="H652">
        <v>0.33916121709753899</v>
      </c>
      <c r="I652">
        <v>0.280589188411345</v>
      </c>
      <c r="J652">
        <v>0.31199347384318799</v>
      </c>
      <c r="K652">
        <v>0.20993277876951899</v>
      </c>
      <c r="L652">
        <v>795.88635759123997</v>
      </c>
      <c r="M652">
        <v>14.670123870288601</v>
      </c>
      <c r="N652">
        <v>56.320073333159598</v>
      </c>
      <c r="O652">
        <v>53.274006415159803</v>
      </c>
      <c r="P652">
        <v>-5.4513815492395798E-2</v>
      </c>
      <c r="Q652">
        <v>0.20822773920679599</v>
      </c>
      <c r="R652">
        <v>0.94197764334141598</v>
      </c>
      <c r="S652" t="s">
        <v>6963</v>
      </c>
      <c r="T652" t="s">
        <v>12620</v>
      </c>
      <c r="U652" t="s">
        <v>12620</v>
      </c>
      <c r="V652" t="s">
        <v>12620</v>
      </c>
      <c r="W652" t="s">
        <v>13253</v>
      </c>
      <c r="X652">
        <v>2</v>
      </c>
      <c r="Y652" t="s">
        <v>19498</v>
      </c>
      <c r="Z652" t="s">
        <v>25599</v>
      </c>
      <c r="AA652">
        <v>0.60082210222098131</v>
      </c>
      <c r="AB652" t="str">
        <f>HYPERLINK("Melting_Curves/meltCurve_H0YJZ4_STRN3.pdf", "Melting_Curves/meltCurve_H0YJZ4_STRN3.pdf")</f>
        <v>Melting_Curves/meltCurve_H0YJZ4_STRN3.pdf</v>
      </c>
    </row>
    <row r="653" spans="1:28" x14ac:dyDescent="0.25">
      <c r="A653" t="s">
        <v>657</v>
      </c>
      <c r="B653">
        <v>0.99987803227770999</v>
      </c>
      <c r="C653">
        <v>0.94485936590842401</v>
      </c>
      <c r="D653">
        <v>0.89147695004646199</v>
      </c>
      <c r="E653">
        <v>0.87501895996493395</v>
      </c>
      <c r="F653">
        <v>0.50739754996416497</v>
      </c>
      <c r="G653">
        <v>0.41894409827844997</v>
      </c>
      <c r="H653">
        <v>0.371853122484608</v>
      </c>
      <c r="I653">
        <v>0.28174671056096201</v>
      </c>
      <c r="J653">
        <v>0.31003459255411803</v>
      </c>
      <c r="K653">
        <v>0.22664167702964799</v>
      </c>
      <c r="L653">
        <v>934.95785318972401</v>
      </c>
      <c r="M653">
        <v>17.867993773564301</v>
      </c>
      <c r="N653">
        <v>54.677040717493597</v>
      </c>
      <c r="O653">
        <v>51.683633655096003</v>
      </c>
      <c r="P653">
        <v>-6.3260129646966395E-2</v>
      </c>
      <c r="Q653">
        <v>0.26811093570380301</v>
      </c>
      <c r="R653">
        <v>0.96834899264920704</v>
      </c>
      <c r="S653" t="s">
        <v>6964</v>
      </c>
      <c r="T653" t="s">
        <v>12620</v>
      </c>
      <c r="U653" t="s">
        <v>12620</v>
      </c>
      <c r="V653" t="s">
        <v>12620</v>
      </c>
      <c r="W653" t="s">
        <v>13254</v>
      </c>
      <c r="X653">
        <v>2</v>
      </c>
      <c r="Y653" t="s">
        <v>19499</v>
      </c>
      <c r="Z653" t="s">
        <v>25600</v>
      </c>
      <c r="AA653">
        <v>0.58108787475219847</v>
      </c>
      <c r="AB653" t="str">
        <f>HYPERLINK("Melting_Curves/meltCurve_H0YKH1_PBX1.pdf", "Melting_Curves/meltCurve_H0YKH1_PBX1.pdf")</f>
        <v>Melting_Curves/meltCurve_H0YKH1_PBX1.pdf</v>
      </c>
    </row>
    <row r="654" spans="1:28" x14ac:dyDescent="0.25">
      <c r="A654" t="s">
        <v>658</v>
      </c>
      <c r="B654">
        <v>0.99987803227770999</v>
      </c>
      <c r="C654">
        <v>1.11015980437143</v>
      </c>
      <c r="D654">
        <v>1.0904711548041399</v>
      </c>
      <c r="E654">
        <v>1.2794498416659399</v>
      </c>
      <c r="F654">
        <v>0.90202684326002103</v>
      </c>
      <c r="G654">
        <v>0.30785611512983002</v>
      </c>
      <c r="H654">
        <v>0.23468251856725</v>
      </c>
      <c r="I654">
        <v>0.23818302380970499</v>
      </c>
      <c r="J654">
        <v>0.115110900992793</v>
      </c>
      <c r="K654">
        <v>0.104344138020799</v>
      </c>
      <c r="L654">
        <v>2928.39158422628</v>
      </c>
      <c r="M654">
        <v>53.006452263474003</v>
      </c>
      <c r="N654">
        <v>55.686988845478702</v>
      </c>
      <c r="O654">
        <v>55.167480222147603</v>
      </c>
      <c r="P654">
        <v>-0.19903208682240101</v>
      </c>
      <c r="Q654">
        <v>0.17141472262586399</v>
      </c>
      <c r="R654">
        <v>0.94287279711314698</v>
      </c>
      <c r="S654" t="s">
        <v>6965</v>
      </c>
      <c r="T654" t="s">
        <v>12620</v>
      </c>
      <c r="U654" t="s">
        <v>12620</v>
      </c>
      <c r="V654" t="s">
        <v>12620</v>
      </c>
      <c r="W654" t="s">
        <v>13255</v>
      </c>
      <c r="X654">
        <v>32</v>
      </c>
      <c r="Y654" t="s">
        <v>19500</v>
      </c>
      <c r="Z654" t="s">
        <v>25601</v>
      </c>
      <c r="AA654">
        <v>0.59429510537839636</v>
      </c>
      <c r="AB654" t="str">
        <f>HYPERLINK("Melting_Curves/meltCurve_H0YL33_ANXA2.pdf", "Melting_Curves/meltCurve_H0YL33_ANXA2.pdf")</f>
        <v>Melting_Curves/meltCurve_H0YL33_ANXA2.pdf</v>
      </c>
    </row>
    <row r="655" spans="1:28" x14ac:dyDescent="0.25">
      <c r="A655" t="s">
        <v>659</v>
      </c>
      <c r="B655">
        <v>0.99987803227770999</v>
      </c>
      <c r="C655">
        <v>0.92835970825577796</v>
      </c>
      <c r="D655">
        <v>1.0524739158168599</v>
      </c>
      <c r="E655">
        <v>0.836436802307024</v>
      </c>
      <c r="F655">
        <v>0.66795214709770201</v>
      </c>
      <c r="G655">
        <v>0.42827825195804597</v>
      </c>
      <c r="H655">
        <v>0.32548144417788499</v>
      </c>
      <c r="I655">
        <v>0.26776441244092802</v>
      </c>
      <c r="J655">
        <v>0.236379957682987</v>
      </c>
      <c r="K655">
        <v>0.15906189669332399</v>
      </c>
      <c r="L655">
        <v>913.58802705511096</v>
      </c>
      <c r="M655">
        <v>16.809507543567999</v>
      </c>
      <c r="N655">
        <v>55.9078361448179</v>
      </c>
      <c r="O655">
        <v>53.597775150397197</v>
      </c>
      <c r="P655">
        <v>-6.3744716488301198E-2</v>
      </c>
      <c r="Q655">
        <v>0.18704250658156801</v>
      </c>
      <c r="R655">
        <v>0.98520616864173005</v>
      </c>
      <c r="S655" t="s">
        <v>6966</v>
      </c>
      <c r="T655" t="s">
        <v>12620</v>
      </c>
      <c r="U655" t="s">
        <v>12620</v>
      </c>
      <c r="V655" t="s">
        <v>12620</v>
      </c>
      <c r="W655" t="s">
        <v>13256</v>
      </c>
      <c r="X655">
        <v>7</v>
      </c>
      <c r="Y655" t="s">
        <v>19501</v>
      </c>
      <c r="Z655" t="s">
        <v>25602</v>
      </c>
      <c r="AA655">
        <v>0.59005374805572453</v>
      </c>
      <c r="AB655" t="str">
        <f>HYPERLINK("Melting_Curves/meltCurve_H0YLB5_POU2F1.pdf", "Melting_Curves/meltCurve_H0YLB5_POU2F1.pdf")</f>
        <v>Melting_Curves/meltCurve_H0YLB5_POU2F1.pdf</v>
      </c>
    </row>
    <row r="656" spans="1:28" x14ac:dyDescent="0.25">
      <c r="A656" t="s">
        <v>660</v>
      </c>
      <c r="B656">
        <v>0.99987803227770999</v>
      </c>
      <c r="C656">
        <v>1.0066566994594599</v>
      </c>
      <c r="D656">
        <v>1.06322609284293</v>
      </c>
      <c r="E656">
        <v>0.94310504176843601</v>
      </c>
      <c r="F656">
        <v>0.76538873845236499</v>
      </c>
      <c r="G656">
        <v>0.40427318070181301</v>
      </c>
      <c r="H656">
        <v>0.20859409092268399</v>
      </c>
      <c r="I656">
        <v>0.108252629886298</v>
      </c>
      <c r="J656">
        <v>0.15590484804912599</v>
      </c>
      <c r="K656">
        <v>0.111032760617142</v>
      </c>
      <c r="L656">
        <v>1371.1757352339901</v>
      </c>
      <c r="M656">
        <v>24.795825973032901</v>
      </c>
      <c r="N656">
        <v>55.886172311462602</v>
      </c>
      <c r="O656">
        <v>54.942732129728498</v>
      </c>
      <c r="P656">
        <v>-9.9882365447937702E-2</v>
      </c>
      <c r="Q656">
        <v>0.114732510989787</v>
      </c>
      <c r="R656">
        <v>0.99523281564261001</v>
      </c>
      <c r="S656" t="s">
        <v>6967</v>
      </c>
      <c r="T656" t="s">
        <v>12620</v>
      </c>
      <c r="U656" t="s">
        <v>12620</v>
      </c>
      <c r="V656" t="s">
        <v>12620</v>
      </c>
      <c r="W656" t="s">
        <v>13257</v>
      </c>
      <c r="X656">
        <v>3</v>
      </c>
      <c r="Y656" t="s">
        <v>19502</v>
      </c>
      <c r="Z656" t="s">
        <v>25603</v>
      </c>
      <c r="AA656">
        <v>0.57447421005279831</v>
      </c>
      <c r="AB656" t="str">
        <f>HYPERLINK("Melting_Curves/meltCurve_H0YLF2_HMBOX1.pdf", "Melting_Curves/meltCurve_H0YLF2_HMBOX1.pdf")</f>
        <v>Melting_Curves/meltCurve_H0YLF2_HMBOX1.pdf</v>
      </c>
    </row>
    <row r="657" spans="1:28" x14ac:dyDescent="0.25">
      <c r="A657" t="s">
        <v>661</v>
      </c>
      <c r="B657">
        <v>0.99987803227770999</v>
      </c>
      <c r="C657">
        <v>1.0314818556140299</v>
      </c>
      <c r="D657">
        <v>1.0439575783778099</v>
      </c>
      <c r="E657">
        <v>0.97392913751966903</v>
      </c>
      <c r="F657">
        <v>0.98962240645126498</v>
      </c>
      <c r="G657">
        <v>0.94139472174397898</v>
      </c>
      <c r="H657">
        <v>0.89785337071909199</v>
      </c>
      <c r="I657">
        <v>0.872384326001997</v>
      </c>
      <c r="J657">
        <v>0.67913798538473702</v>
      </c>
      <c r="K657">
        <v>0.54321336000069698</v>
      </c>
      <c r="L657">
        <v>1045.6826359961501</v>
      </c>
      <c r="M657">
        <v>14.7659593542129</v>
      </c>
      <c r="O657">
        <v>69.556294588309896</v>
      </c>
      <c r="P657">
        <v>-5.3077676486492302E-2</v>
      </c>
      <c r="Q657">
        <v>0</v>
      </c>
      <c r="R657">
        <v>0.97014273514181204</v>
      </c>
      <c r="S657" t="s">
        <v>6968</v>
      </c>
      <c r="T657" t="s">
        <v>12620</v>
      </c>
      <c r="U657" t="s">
        <v>12620</v>
      </c>
      <c r="V657" t="s">
        <v>12620</v>
      </c>
      <c r="W657" t="s">
        <v>13258</v>
      </c>
      <c r="X657">
        <v>5</v>
      </c>
      <c r="Y657" t="s">
        <v>19503</v>
      </c>
      <c r="Z657" t="s">
        <v>25604</v>
      </c>
      <c r="AA657">
        <v>0.91691498367969682</v>
      </c>
      <c r="AB657" t="str">
        <f>HYPERLINK("Melting_Curves/meltCurve_H0YLX2_RFX7.pdf", "Melting_Curves/meltCurve_H0YLX2_RFX7.pdf")</f>
        <v>Melting_Curves/meltCurve_H0YLX2_RFX7.pdf</v>
      </c>
    </row>
    <row r="658" spans="1:28" x14ac:dyDescent="0.25">
      <c r="A658" t="s">
        <v>662</v>
      </c>
      <c r="B658">
        <v>0.99987803227770999</v>
      </c>
      <c r="C658">
        <v>0.83877199264205604</v>
      </c>
      <c r="D658">
        <v>0.98765580876822501</v>
      </c>
      <c r="E658">
        <v>0.58209608966804105</v>
      </c>
      <c r="F658">
        <v>1.0056069019335101</v>
      </c>
      <c r="G658">
        <v>0.48855081788418803</v>
      </c>
      <c r="H658">
        <v>0.97056378275959698</v>
      </c>
      <c r="I658">
        <v>0.88428806140821803</v>
      </c>
      <c r="J658">
        <v>1.2095369237500799</v>
      </c>
      <c r="K658">
        <v>0.89341176583939796</v>
      </c>
      <c r="L658">
        <v>10241.7545777837</v>
      </c>
      <c r="M658">
        <v>250</v>
      </c>
      <c r="O658">
        <v>40.9643759070714</v>
      </c>
      <c r="P658">
        <v>-0.193175643383864</v>
      </c>
      <c r="Q658">
        <v>0.87338682064439099</v>
      </c>
      <c r="R658">
        <v>3.5816373290646603E-2</v>
      </c>
      <c r="S658" t="s">
        <v>6969</v>
      </c>
      <c r="T658" t="s">
        <v>12620</v>
      </c>
      <c r="U658" t="s">
        <v>12620</v>
      </c>
      <c r="V658" t="s">
        <v>12620</v>
      </c>
      <c r="W658" t="s">
        <v>13259</v>
      </c>
      <c r="X658">
        <v>1</v>
      </c>
      <c r="Y658" t="s">
        <v>19504</v>
      </c>
      <c r="Z658" t="s">
        <v>25605</v>
      </c>
      <c r="AA658">
        <v>0.87747871603793293</v>
      </c>
      <c r="AB658" t="str">
        <f>HYPERLINK("Melting_Curves/meltCurve_H0YM51_CASC4.pdf", "Melting_Curves/meltCurve_H0YM51_CASC4.pdf")</f>
        <v>Melting_Curves/meltCurve_H0YM51_CASC4.pdf</v>
      </c>
    </row>
    <row r="659" spans="1:28" x14ac:dyDescent="0.25">
      <c r="A659" t="s">
        <v>663</v>
      </c>
      <c r="B659">
        <v>0.99987803227770999</v>
      </c>
      <c r="C659">
        <v>1.0003684683217999</v>
      </c>
      <c r="D659">
        <v>1.10924016727616</v>
      </c>
      <c r="E659">
        <v>1.01771575056653</v>
      </c>
      <c r="F659">
        <v>0.90826394012699196</v>
      </c>
      <c r="G659">
        <v>0.377236157466319</v>
      </c>
      <c r="H659">
        <v>0.12987030977042699</v>
      </c>
      <c r="I659">
        <v>8.9307602910246003E-2</v>
      </c>
      <c r="J659">
        <v>5.2632167559650597E-2</v>
      </c>
      <c r="K659">
        <v>2.6614487132155001E-2</v>
      </c>
      <c r="L659">
        <v>2094.8778331522799</v>
      </c>
      <c r="M659">
        <v>37.376409718490301</v>
      </c>
      <c r="N659">
        <v>56.237588592797998</v>
      </c>
      <c r="O659">
        <v>55.888411654930103</v>
      </c>
      <c r="P659">
        <v>-0.15730207813226199</v>
      </c>
      <c r="Q659">
        <v>5.9156398235567301E-2</v>
      </c>
      <c r="R659">
        <v>0.99235869402756605</v>
      </c>
      <c r="S659" t="s">
        <v>6970</v>
      </c>
      <c r="T659" t="s">
        <v>12620</v>
      </c>
      <c r="U659" t="s">
        <v>12620</v>
      </c>
      <c r="V659" t="s">
        <v>12620</v>
      </c>
      <c r="W659" t="s">
        <v>13260</v>
      </c>
      <c r="X659">
        <v>1</v>
      </c>
      <c r="Y659" t="s">
        <v>19505</v>
      </c>
      <c r="Z659" t="s">
        <v>25606</v>
      </c>
      <c r="AA659">
        <v>0.56658454195202212</v>
      </c>
      <c r="AB659" t="str">
        <f>HYPERLINK("Melting_Curves/meltCurve_H0YM91_T.pdf", "Melting_Curves/meltCurve_H0YM91_T.pdf")</f>
        <v>Melting_Curves/meltCurve_H0YM91_T.pdf</v>
      </c>
    </row>
    <row r="660" spans="1:28" x14ac:dyDescent="0.25">
      <c r="A660" t="s">
        <v>664</v>
      </c>
      <c r="B660">
        <v>0.99987803227770999</v>
      </c>
      <c r="C660">
        <v>1.11443667514987</v>
      </c>
      <c r="D660">
        <v>1.14903801830913</v>
      </c>
      <c r="E660">
        <v>1.1401274726060799</v>
      </c>
      <c r="F660">
        <v>0.83715061911120003</v>
      </c>
      <c r="G660">
        <v>0.85542856168331105</v>
      </c>
      <c r="H660">
        <v>1.2861364891781699</v>
      </c>
      <c r="I660">
        <v>1.2073473162085</v>
      </c>
      <c r="J660">
        <v>1.49635449999976</v>
      </c>
      <c r="K660">
        <v>0.97127881636353397</v>
      </c>
      <c r="L660">
        <v>5373.1861609595999</v>
      </c>
      <c r="M660">
        <v>90.6444795133376</v>
      </c>
      <c r="O660">
        <v>59.248753910325199</v>
      </c>
      <c r="P660">
        <v>9.2824922144506702E-2</v>
      </c>
      <c r="Q660">
        <v>1.2426958843087199</v>
      </c>
      <c r="R660">
        <v>0.31843069407749403</v>
      </c>
      <c r="S660" t="s">
        <v>6971</v>
      </c>
      <c r="T660" t="s">
        <v>12620</v>
      </c>
      <c r="U660" t="s">
        <v>12620</v>
      </c>
      <c r="V660" t="s">
        <v>12620</v>
      </c>
      <c r="W660" t="s">
        <v>13261</v>
      </c>
      <c r="X660">
        <v>12</v>
      </c>
      <c r="Y660" t="s">
        <v>19506</v>
      </c>
      <c r="Z660" t="s">
        <v>25607</v>
      </c>
      <c r="AA660">
        <v>1.0865505089593881</v>
      </c>
      <c r="AB660" t="str">
        <f>HYPERLINK("Melting_Curves/meltCurve_H0YMB3_GMPR2.pdf", "Melting_Curves/meltCurve_H0YMB3_GMPR2.pdf")</f>
        <v>Melting_Curves/meltCurve_H0YMB3_GMPR2.pdf</v>
      </c>
    </row>
    <row r="661" spans="1:28" x14ac:dyDescent="0.25">
      <c r="A661" t="s">
        <v>665</v>
      </c>
      <c r="B661">
        <v>0.99987803227770999</v>
      </c>
      <c r="C661">
        <v>0.85097515356851605</v>
      </c>
      <c r="D661">
        <v>0.92155999585164905</v>
      </c>
      <c r="E661">
        <v>0.69244133077520997</v>
      </c>
      <c r="F661">
        <v>0.62822912659838004</v>
      </c>
      <c r="G661">
        <v>0.34783743025060498</v>
      </c>
      <c r="H661">
        <v>0.163338832452809</v>
      </c>
      <c r="I661">
        <v>8.2833098853009907E-2</v>
      </c>
      <c r="J661">
        <v>7.1817999845734906E-2</v>
      </c>
      <c r="K661">
        <v>4.8741673777204599E-2</v>
      </c>
      <c r="L661">
        <v>690.41412206869597</v>
      </c>
      <c r="M661">
        <v>12.7824500844351</v>
      </c>
      <c r="N661">
        <v>54.012659083033</v>
      </c>
      <c r="O661">
        <v>52.741905123216497</v>
      </c>
      <c r="P661">
        <v>-6.0601061091427898E-2</v>
      </c>
      <c r="Q661">
        <v>0</v>
      </c>
      <c r="R661">
        <v>0.98306114578484805</v>
      </c>
      <c r="S661" t="s">
        <v>6972</v>
      </c>
      <c r="T661" t="s">
        <v>12620</v>
      </c>
      <c r="U661" t="s">
        <v>12620</v>
      </c>
      <c r="V661" t="s">
        <v>12620</v>
      </c>
      <c r="W661" t="s">
        <v>13262</v>
      </c>
      <c r="X661">
        <v>7</v>
      </c>
      <c r="Y661" t="s">
        <v>19507</v>
      </c>
      <c r="Z661" t="s">
        <v>25608</v>
      </c>
      <c r="AA661">
        <v>0.49163148189864181</v>
      </c>
      <c r="AB661" t="str">
        <f>HYPERLINK("Melting_Curves/meltCurve_H0YMJ0_MORF4L1.pdf", "Melting_Curves/meltCurve_H0YMJ0_MORF4L1.pdf")</f>
        <v>Melting_Curves/meltCurve_H0YMJ0_MORF4L1.pdf</v>
      </c>
    </row>
    <row r="662" spans="1:28" x14ac:dyDescent="0.25">
      <c r="A662" t="s">
        <v>666</v>
      </c>
      <c r="B662">
        <v>0.99987803227770999</v>
      </c>
      <c r="C662">
        <v>0.90482622214748998</v>
      </c>
      <c r="D662">
        <v>0.94908495485353706</v>
      </c>
      <c r="E662">
        <v>0.63548481777060095</v>
      </c>
      <c r="F662">
        <v>0.35302195822100502</v>
      </c>
      <c r="G662">
        <v>0.26070420042508602</v>
      </c>
      <c r="H662">
        <v>0.176314157139696</v>
      </c>
      <c r="I662">
        <v>0.15643794783003001</v>
      </c>
      <c r="J662">
        <v>0.127220406711155</v>
      </c>
      <c r="K662">
        <v>8.8706294943596206E-2</v>
      </c>
      <c r="L662">
        <v>1007.42881784587</v>
      </c>
      <c r="M662">
        <v>19.833307549977299</v>
      </c>
      <c r="N662">
        <v>51.557038746450097</v>
      </c>
      <c r="O662">
        <v>50.286883422319903</v>
      </c>
      <c r="P662">
        <v>-8.6074377346030906E-2</v>
      </c>
      <c r="Q662">
        <v>0.12707154973528101</v>
      </c>
      <c r="R662">
        <v>0.98906742701127104</v>
      </c>
      <c r="S662" t="s">
        <v>6973</v>
      </c>
      <c r="T662" t="s">
        <v>12620</v>
      </c>
      <c r="U662" t="s">
        <v>12620</v>
      </c>
      <c r="V662" t="s">
        <v>12620</v>
      </c>
      <c r="W662" t="s">
        <v>13263</v>
      </c>
      <c r="X662">
        <v>1</v>
      </c>
      <c r="Y662" t="s">
        <v>19508</v>
      </c>
      <c r="Z662" t="s">
        <v>25609</v>
      </c>
      <c r="AA662">
        <v>0.45349093643032662</v>
      </c>
      <c r="AB662" t="str">
        <f>HYPERLINK("Melting_Curves/meltCurve_H0YMM4_ISG20.pdf", "Melting_Curves/meltCurve_H0YMM4_ISG20.pdf")</f>
        <v>Melting_Curves/meltCurve_H0YMM4_ISG20.pdf</v>
      </c>
    </row>
    <row r="663" spans="1:28" x14ac:dyDescent="0.25">
      <c r="A663" t="s">
        <v>667</v>
      </c>
      <c r="B663">
        <v>0.99987803227770999</v>
      </c>
      <c r="C663">
        <v>0.83545755724003701</v>
      </c>
      <c r="D663">
        <v>1.01776642984163</v>
      </c>
      <c r="E663">
        <v>0.87459172226551096</v>
      </c>
      <c r="F663">
        <v>1.28343510486457</v>
      </c>
      <c r="G663">
        <v>1.19269713330229</v>
      </c>
      <c r="H663">
        <v>1.16263132950965</v>
      </c>
      <c r="I663">
        <v>1.13567837778654</v>
      </c>
      <c r="J663">
        <v>1.15918702253084</v>
      </c>
      <c r="K663">
        <v>0.83540792044578704</v>
      </c>
      <c r="L663">
        <v>4024.7034888763801</v>
      </c>
      <c r="M663">
        <v>78.327686095911503</v>
      </c>
      <c r="O663">
        <v>51.349458555763697</v>
      </c>
      <c r="P663">
        <v>4.7826848967020899E-2</v>
      </c>
      <c r="Q663">
        <v>1.12541574483436</v>
      </c>
      <c r="R663">
        <v>0.28732644291755199</v>
      </c>
      <c r="S663" t="s">
        <v>6974</v>
      </c>
      <c r="T663" t="s">
        <v>12620</v>
      </c>
      <c r="U663" t="s">
        <v>12620</v>
      </c>
      <c r="V663" t="s">
        <v>12620</v>
      </c>
      <c r="W663" t="s">
        <v>13264</v>
      </c>
      <c r="X663">
        <v>1</v>
      </c>
      <c r="Y663" t="s">
        <v>19509</v>
      </c>
      <c r="Z663" t="s">
        <v>25610</v>
      </c>
      <c r="AA663">
        <v>1.0777138119003591</v>
      </c>
      <c r="AB663" t="str">
        <f>HYPERLINK("Melting_Curves/meltCurve_H0YNA7_SPPL2A.pdf", "Melting_Curves/meltCurve_H0YNA7_SPPL2A.pdf")</f>
        <v>Melting_Curves/meltCurve_H0YNA7_SPPL2A.pdf</v>
      </c>
    </row>
    <row r="664" spans="1:28" x14ac:dyDescent="0.25">
      <c r="A664" t="s">
        <v>668</v>
      </c>
      <c r="B664">
        <v>0.99987803227770999</v>
      </c>
      <c r="C664">
        <v>1.0953136387922799</v>
      </c>
      <c r="D664">
        <v>1.15471271892052</v>
      </c>
      <c r="E664">
        <v>1.1050659867480199</v>
      </c>
      <c r="F664">
        <v>0.72534395889389203</v>
      </c>
      <c r="G664">
        <v>0.83875498453032005</v>
      </c>
      <c r="H664">
        <v>0.36676293976041402</v>
      </c>
      <c r="I664">
        <v>0.55590517768355896</v>
      </c>
      <c r="J664">
        <v>0.21093864383265001</v>
      </c>
      <c r="K664">
        <v>9.2482997947049894E-2</v>
      </c>
      <c r="L664">
        <v>859.42839838743498</v>
      </c>
      <c r="M664">
        <v>13.984741706630899</v>
      </c>
      <c r="N664">
        <v>61.454720931701303</v>
      </c>
      <c r="O664">
        <v>60.239035387276502</v>
      </c>
      <c r="P664">
        <v>-5.8046249120565101E-2</v>
      </c>
      <c r="Q664">
        <v>0</v>
      </c>
      <c r="R664">
        <v>0.88123623948748397</v>
      </c>
      <c r="S664" t="s">
        <v>6975</v>
      </c>
      <c r="T664" t="s">
        <v>12620</v>
      </c>
      <c r="U664" t="s">
        <v>12620</v>
      </c>
      <c r="V664" t="s">
        <v>12620</v>
      </c>
      <c r="W664" t="s">
        <v>13265</v>
      </c>
      <c r="X664">
        <v>2</v>
      </c>
      <c r="Y664" t="s">
        <v>19510</v>
      </c>
      <c r="Z664" t="s">
        <v>25611</v>
      </c>
      <c r="AA664">
        <v>0.71341809896659381</v>
      </c>
      <c r="AB664" t="str">
        <f>HYPERLINK("Melting_Curves/meltCurve_H0YNH6_EMC9.pdf", "Melting_Curves/meltCurve_H0YNH6_EMC9.pdf")</f>
        <v>Melting_Curves/meltCurve_H0YNH6_EMC9.pdf</v>
      </c>
    </row>
    <row r="665" spans="1:28" x14ac:dyDescent="0.25">
      <c r="A665" t="s">
        <v>669</v>
      </c>
      <c r="B665">
        <v>0.99987803227770999</v>
      </c>
      <c r="C665">
        <v>1.0079326612225601</v>
      </c>
      <c r="D665">
        <v>0.76478745032446405</v>
      </c>
      <c r="E665">
        <v>0.77457545469073197</v>
      </c>
      <c r="F665">
        <v>0.64985481886447005</v>
      </c>
      <c r="G665">
        <v>0.51863404542246705</v>
      </c>
      <c r="H665">
        <v>0.52154813688503598</v>
      </c>
      <c r="I665">
        <v>0.443790052278911</v>
      </c>
      <c r="J665">
        <v>0.45869110264774299</v>
      </c>
      <c r="K665">
        <v>0.35929836542126597</v>
      </c>
      <c r="L665">
        <v>515.91077886160701</v>
      </c>
      <c r="M665">
        <v>9.92650583183649</v>
      </c>
      <c r="N665">
        <v>59.6577669716877</v>
      </c>
      <c r="O665">
        <v>49.995702270120098</v>
      </c>
      <c r="P665">
        <v>-3.17439187445369E-2</v>
      </c>
      <c r="Q665">
        <v>0.36079585504696599</v>
      </c>
      <c r="R665">
        <v>0.95043921330063397</v>
      </c>
      <c r="S665" t="s">
        <v>6976</v>
      </c>
      <c r="T665" t="s">
        <v>12620</v>
      </c>
      <c r="U665" t="s">
        <v>12620</v>
      </c>
      <c r="V665" t="s">
        <v>12620</v>
      </c>
      <c r="W665" t="s">
        <v>13266</v>
      </c>
      <c r="X665">
        <v>46</v>
      </c>
      <c r="Y665" t="s">
        <v>19511</v>
      </c>
      <c r="Z665" t="s">
        <v>25612</v>
      </c>
      <c r="AA665">
        <v>0.64043009073149693</v>
      </c>
      <c r="AB665" t="str">
        <f>HYPERLINK("Melting_Curves/meltCurve_H0YNH8_UACA.pdf", "Melting_Curves/meltCurve_H0YNH8_UACA.pdf")</f>
        <v>Melting_Curves/meltCurve_H0YNH8_UACA.pdf</v>
      </c>
    </row>
    <row r="666" spans="1:28" x14ac:dyDescent="0.25">
      <c r="A666" t="s">
        <v>670</v>
      </c>
      <c r="B666">
        <v>0.99987803227770999</v>
      </c>
      <c r="C666">
        <v>0.92073181931175696</v>
      </c>
      <c r="D666">
        <v>0.54057988827661696</v>
      </c>
      <c r="E666">
        <v>0.73695955834508797</v>
      </c>
      <c r="F666">
        <v>0.313176792336885</v>
      </c>
      <c r="G666">
        <v>0.27228040090168598</v>
      </c>
      <c r="H666">
        <v>0.23261213892435101</v>
      </c>
      <c r="I666">
        <v>0.197905130727589</v>
      </c>
      <c r="J666">
        <v>0.17322479288259199</v>
      </c>
      <c r="K666">
        <v>0.141437595636911</v>
      </c>
      <c r="L666">
        <v>535.16674050801998</v>
      </c>
      <c r="M666">
        <v>10.804199710199599</v>
      </c>
      <c r="N666">
        <v>50.785140380728102</v>
      </c>
      <c r="O666">
        <v>47.926844200490201</v>
      </c>
      <c r="P666">
        <v>-4.9786959981771003E-2</v>
      </c>
      <c r="Q666">
        <v>0.116910261764877</v>
      </c>
      <c r="R666">
        <v>0.90046233996252101</v>
      </c>
      <c r="S666" t="s">
        <v>6977</v>
      </c>
      <c r="T666" t="s">
        <v>12620</v>
      </c>
      <c r="U666" t="s">
        <v>12620</v>
      </c>
      <c r="V666" t="s">
        <v>12620</v>
      </c>
      <c r="W666" t="s">
        <v>13267</v>
      </c>
      <c r="X666">
        <v>7</v>
      </c>
      <c r="Y666" t="s">
        <v>19512</v>
      </c>
      <c r="Z666" t="s">
        <v>25613</v>
      </c>
      <c r="AA666">
        <v>0.43454809856809301</v>
      </c>
      <c r="AB666" t="str">
        <f>HYPERLINK("Melting_Curves/meltCurve_H0YNU5_BLM.pdf", "Melting_Curves/meltCurve_H0YNU5_BLM.pdf")</f>
        <v>Melting_Curves/meltCurve_H0YNU5_BLM.pdf</v>
      </c>
    </row>
    <row r="667" spans="1:28" x14ac:dyDescent="0.25">
      <c r="A667" t="s">
        <v>671</v>
      </c>
      <c r="B667">
        <v>0.99987803227770999</v>
      </c>
      <c r="C667">
        <v>0.90737571817283502</v>
      </c>
      <c r="D667">
        <v>0.90004894911518296</v>
      </c>
      <c r="E667">
        <v>0.87956222270166895</v>
      </c>
      <c r="F667">
        <v>0.97090911531327195</v>
      </c>
      <c r="G667">
        <v>0.849148706749981</v>
      </c>
      <c r="H667">
        <v>0.94413864515324897</v>
      </c>
      <c r="I667">
        <v>0.92852822516327305</v>
      </c>
      <c r="J667">
        <v>0.69770062533994404</v>
      </c>
      <c r="K667">
        <v>0.58430535652454496</v>
      </c>
      <c r="L667">
        <v>1011.61242000448</v>
      </c>
      <c r="M667">
        <v>14.087956314314701</v>
      </c>
      <c r="Q667">
        <v>0</v>
      </c>
      <c r="R667">
        <v>0.61997901983045201</v>
      </c>
      <c r="S667" t="s">
        <v>6978</v>
      </c>
      <c r="T667" t="s">
        <v>12620</v>
      </c>
      <c r="U667" t="s">
        <v>12620</v>
      </c>
      <c r="V667" t="s">
        <v>12620</v>
      </c>
      <c r="W667" t="s">
        <v>13268</v>
      </c>
      <c r="X667">
        <v>1</v>
      </c>
      <c r="Y667" t="s">
        <v>19513</v>
      </c>
      <c r="Z667" t="s">
        <v>25614</v>
      </c>
      <c r="AA667">
        <v>0.92588135384518244</v>
      </c>
      <c r="AB667" t="str">
        <f>HYPERLINK("Melting_Curves/meltCurve_H0YNX7_GCHFR.pdf", "Melting_Curves/meltCurve_H0YNX7_GCHFR.pdf")</f>
        <v>Melting_Curves/meltCurve_H0YNX7_GCHFR.pdf</v>
      </c>
    </row>
    <row r="668" spans="1:28" x14ac:dyDescent="0.25">
      <c r="A668" t="s">
        <v>672</v>
      </c>
      <c r="B668">
        <v>0.99987803227770999</v>
      </c>
      <c r="C668">
        <v>0.98137972871488399</v>
      </c>
      <c r="D668">
        <v>1.02604684198194</v>
      </c>
      <c r="E668">
        <v>0.86779160051836202</v>
      </c>
      <c r="F668">
        <v>0.29735194726209302</v>
      </c>
      <c r="G668">
        <v>0.12268873332395</v>
      </c>
      <c r="H668">
        <v>7.9635226777770601E-2</v>
      </c>
      <c r="I668">
        <v>6.4457904999719901E-2</v>
      </c>
      <c r="J668">
        <v>5.7008056481734903E-2</v>
      </c>
      <c r="K668">
        <v>3.7129243812026098E-2</v>
      </c>
      <c r="L668">
        <v>2527.6714659199401</v>
      </c>
      <c r="M668">
        <v>48.785728211233703</v>
      </c>
      <c r="N668">
        <v>51.9701228780375</v>
      </c>
      <c r="O668">
        <v>51.724867854899898</v>
      </c>
      <c r="P668">
        <v>-0.21950275552583601</v>
      </c>
      <c r="Q668">
        <v>6.9093339514776697E-2</v>
      </c>
      <c r="R668">
        <v>0.99766006040559496</v>
      </c>
      <c r="S668" t="s">
        <v>6979</v>
      </c>
      <c r="T668" t="s">
        <v>12620</v>
      </c>
      <c r="U668" t="s">
        <v>12620</v>
      </c>
      <c r="V668" t="s">
        <v>12620</v>
      </c>
      <c r="W668" t="s">
        <v>13269</v>
      </c>
      <c r="X668">
        <v>11</v>
      </c>
      <c r="Y668" t="s">
        <v>19514</v>
      </c>
      <c r="Z668" t="s">
        <v>25615</v>
      </c>
      <c r="AA668">
        <v>0.4378481834700832</v>
      </c>
      <c r="AB668" t="str">
        <f>HYPERLINK("Melting_Curves/meltCurve_H3BLU7_AKR7A2.pdf", "Melting_Curves/meltCurve_H3BLU7_AKR7A2.pdf")</f>
        <v>Melting_Curves/meltCurve_H3BLU7_AKR7A2.pdf</v>
      </c>
    </row>
    <row r="669" spans="1:28" x14ac:dyDescent="0.25">
      <c r="A669" t="s">
        <v>673</v>
      </c>
      <c r="B669">
        <v>0.99987803227770999</v>
      </c>
      <c r="C669">
        <v>0.87190971012608498</v>
      </c>
      <c r="D669">
        <v>0.92752810140295705</v>
      </c>
      <c r="E669">
        <v>0.85301042744748501</v>
      </c>
      <c r="F669">
        <v>0.79875722266772198</v>
      </c>
      <c r="G669">
        <v>0.51605296103331699</v>
      </c>
      <c r="H669">
        <v>0.80599068834675403</v>
      </c>
      <c r="I669">
        <v>0.668747558954772</v>
      </c>
      <c r="J669">
        <v>0.87457218479739496</v>
      </c>
      <c r="K669">
        <v>0.53194154605024302</v>
      </c>
      <c r="L669">
        <v>614.25700852149896</v>
      </c>
      <c r="M669">
        <v>12.579436212705099</v>
      </c>
      <c r="O669">
        <v>47.645534303679803</v>
      </c>
      <c r="P669">
        <v>-2.16371467182284E-2</v>
      </c>
      <c r="Q669">
        <v>0.67225669818193701</v>
      </c>
      <c r="R669">
        <v>0.48344723779635901</v>
      </c>
      <c r="S669" t="s">
        <v>6980</v>
      </c>
      <c r="T669" t="s">
        <v>12620</v>
      </c>
      <c r="U669" t="s">
        <v>12620</v>
      </c>
      <c r="V669" t="s">
        <v>12620</v>
      </c>
      <c r="W669" t="s">
        <v>13270</v>
      </c>
      <c r="X669">
        <v>1</v>
      </c>
      <c r="Y669" t="s">
        <v>19515</v>
      </c>
      <c r="Z669" t="s">
        <v>25616</v>
      </c>
      <c r="AA669">
        <v>0.77994561669435003</v>
      </c>
      <c r="AB669" t="str">
        <f>HYPERLINK("Melting_Curves/meltCurve_H3BM42_GLG1.pdf", "Melting_Curves/meltCurve_H3BM42_GLG1.pdf")</f>
        <v>Melting_Curves/meltCurve_H3BM42_GLG1.pdf</v>
      </c>
    </row>
    <row r="670" spans="1:28" x14ac:dyDescent="0.25">
      <c r="A670" t="s">
        <v>674</v>
      </c>
      <c r="B670">
        <v>0.99987803227770999</v>
      </c>
      <c r="C670">
        <v>0.88142381066147402</v>
      </c>
      <c r="D670">
        <v>0.95907900584026395</v>
      </c>
      <c r="E670">
        <v>0.89312665950421399</v>
      </c>
      <c r="F670">
        <v>1.0071599371769699</v>
      </c>
      <c r="G670">
        <v>0.83650979512018797</v>
      </c>
      <c r="H670">
        <v>0.79965145432868201</v>
      </c>
      <c r="I670">
        <v>0.711044015752754</v>
      </c>
      <c r="J670">
        <v>0.63206961090518499</v>
      </c>
      <c r="K670">
        <v>0.41761888118031798</v>
      </c>
      <c r="L670">
        <v>657.27337461525701</v>
      </c>
      <c r="M670">
        <v>9.4799266268712898</v>
      </c>
      <c r="N670">
        <v>69.333171076335006</v>
      </c>
      <c r="O670">
        <v>66.458195757883004</v>
      </c>
      <c r="P670">
        <v>-3.5682502388110299E-2</v>
      </c>
      <c r="Q670">
        <v>0</v>
      </c>
      <c r="R670">
        <v>0.88900078499302504</v>
      </c>
      <c r="S670" t="s">
        <v>6981</v>
      </c>
      <c r="T670" t="s">
        <v>12620</v>
      </c>
      <c r="U670" t="s">
        <v>12620</v>
      </c>
      <c r="V670" t="s">
        <v>12620</v>
      </c>
      <c r="W670" t="s">
        <v>13271</v>
      </c>
      <c r="X670">
        <v>5</v>
      </c>
      <c r="Y670" t="s">
        <v>19516</v>
      </c>
      <c r="Z670" t="s">
        <v>25617</v>
      </c>
      <c r="AA670">
        <v>0.8516598638934133</v>
      </c>
      <c r="AB670" t="str">
        <f>HYPERLINK("Melting_Curves/meltCurve_H3BM67_NOL3.pdf", "Melting_Curves/meltCurve_H3BM67_NOL3.pdf")</f>
        <v>Melting_Curves/meltCurve_H3BM67_NOL3.pdf</v>
      </c>
    </row>
    <row r="671" spans="1:28" x14ac:dyDescent="0.25">
      <c r="A671" t="s">
        <v>675</v>
      </c>
      <c r="B671">
        <v>0.99987803227770999</v>
      </c>
      <c r="C671">
        <v>0.844689453614345</v>
      </c>
      <c r="D671">
        <v>0.87695179434609805</v>
      </c>
      <c r="E671">
        <v>0.71641817062174595</v>
      </c>
      <c r="F671">
        <v>0.79554576594371695</v>
      </c>
      <c r="G671">
        <v>0.61486184012515699</v>
      </c>
      <c r="H671">
        <v>0.76978336477150899</v>
      </c>
      <c r="I671">
        <v>0.62269341121550603</v>
      </c>
      <c r="J671">
        <v>0.64924379084428296</v>
      </c>
      <c r="K671">
        <v>0.546539365124879</v>
      </c>
      <c r="L671">
        <v>341.99522449986102</v>
      </c>
      <c r="M671">
        <v>6.74180300625562</v>
      </c>
      <c r="O671">
        <v>46.8242945822712</v>
      </c>
      <c r="P671">
        <v>-1.6372642348147899E-2</v>
      </c>
      <c r="Q671">
        <v>0.54610957621343803</v>
      </c>
      <c r="R671">
        <v>0.78000319165767396</v>
      </c>
      <c r="S671" t="s">
        <v>6982</v>
      </c>
      <c r="T671" t="s">
        <v>12620</v>
      </c>
      <c r="U671" t="s">
        <v>12620</v>
      </c>
      <c r="V671" t="s">
        <v>12620</v>
      </c>
      <c r="W671" t="s">
        <v>13272</v>
      </c>
      <c r="X671">
        <v>3</v>
      </c>
      <c r="Y671" t="s">
        <v>19517</v>
      </c>
      <c r="Z671" t="s">
        <v>25618</v>
      </c>
      <c r="AA671">
        <v>0.73785077053175385</v>
      </c>
      <c r="AB671" t="str">
        <f>HYPERLINK("Melting_Curves/meltCurve_H3BMJ2_C15orf39.pdf", "Melting_Curves/meltCurve_H3BMJ2_C15orf39.pdf")</f>
        <v>Melting_Curves/meltCurve_H3BMJ2_C15orf39.pdf</v>
      </c>
    </row>
    <row r="672" spans="1:28" x14ac:dyDescent="0.25">
      <c r="A672" t="s">
        <v>676</v>
      </c>
      <c r="B672">
        <v>0.99987803227770999</v>
      </c>
      <c r="C672">
        <v>0.85419148827008595</v>
      </c>
      <c r="D672">
        <v>0.96737332609818905</v>
      </c>
      <c r="E672">
        <v>0.82817492756329403</v>
      </c>
      <c r="F672">
        <v>0.91218747584279603</v>
      </c>
      <c r="G672">
        <v>0.68571415243494405</v>
      </c>
      <c r="H672">
        <v>0.68158434410562396</v>
      </c>
      <c r="I672">
        <v>0.66032780938744695</v>
      </c>
      <c r="J672">
        <v>0.69596575645324599</v>
      </c>
      <c r="K672">
        <v>0.57046985692977703</v>
      </c>
      <c r="L672">
        <v>334.41245755890998</v>
      </c>
      <c r="M672">
        <v>5.5177166211850803</v>
      </c>
      <c r="O672">
        <v>54.040801672682498</v>
      </c>
      <c r="P672">
        <v>-1.5039059252664201E-2</v>
      </c>
      <c r="Q672">
        <v>0.41338154296352098</v>
      </c>
      <c r="R672">
        <v>0.82739625287252505</v>
      </c>
      <c r="S672" t="s">
        <v>6983</v>
      </c>
      <c r="T672" t="s">
        <v>12620</v>
      </c>
      <c r="U672" t="s">
        <v>12620</v>
      </c>
      <c r="V672" t="s">
        <v>12620</v>
      </c>
      <c r="W672" t="s">
        <v>13273</v>
      </c>
      <c r="X672">
        <v>6</v>
      </c>
      <c r="Y672" t="s">
        <v>19518</v>
      </c>
      <c r="Z672" t="s">
        <v>25619</v>
      </c>
      <c r="AA672">
        <v>0.78775311390369973</v>
      </c>
      <c r="AB672" t="str">
        <f>HYPERLINK("Melting_Curves/meltCurve_H3BN72_COX4I1.pdf", "Melting_Curves/meltCurve_H3BN72_COX4I1.pdf")</f>
        <v>Melting_Curves/meltCurve_H3BN72_COX4I1.pdf</v>
      </c>
    </row>
    <row r="673" spans="1:28" x14ac:dyDescent="0.25">
      <c r="A673" t="s">
        <v>677</v>
      </c>
      <c r="B673">
        <v>0.99987803227770999</v>
      </c>
      <c r="C673">
        <v>0.890837532418019</v>
      </c>
      <c r="D673">
        <v>1.07945014204967</v>
      </c>
      <c r="E673">
        <v>0.84369332998007096</v>
      </c>
      <c r="F673">
        <v>0.85796456062677595</v>
      </c>
      <c r="G673">
        <v>0.53619764645157797</v>
      </c>
      <c r="H673">
        <v>0.68900739091544105</v>
      </c>
      <c r="I673">
        <v>0.68222805379668106</v>
      </c>
      <c r="J673">
        <v>0.61679961168035902</v>
      </c>
      <c r="K673">
        <v>0.52256940380233197</v>
      </c>
      <c r="L673">
        <v>1364.11192826514</v>
      </c>
      <c r="M673">
        <v>25.976950721660799</v>
      </c>
      <c r="O673">
        <v>52.2041609700103</v>
      </c>
      <c r="P673">
        <v>-4.9097356126942202E-2</v>
      </c>
      <c r="Q673">
        <v>0.60533371123545199</v>
      </c>
      <c r="R673">
        <v>0.812451800226487</v>
      </c>
      <c r="S673" t="s">
        <v>6984</v>
      </c>
      <c r="T673" t="s">
        <v>12620</v>
      </c>
      <c r="U673" t="s">
        <v>12620</v>
      </c>
      <c r="V673" t="s">
        <v>12620</v>
      </c>
      <c r="W673" t="s">
        <v>13274</v>
      </c>
      <c r="X673">
        <v>1</v>
      </c>
      <c r="Y673" t="s">
        <v>19519</v>
      </c>
      <c r="Z673" t="s">
        <v>25620</v>
      </c>
      <c r="AA673">
        <v>0.77330531424505389</v>
      </c>
      <c r="AB673" t="str">
        <f>HYPERLINK("Melting_Curves/meltCurve_H3BND2_PRR14.pdf", "Melting_Curves/meltCurve_H3BND2_PRR14.pdf")</f>
        <v>Melting_Curves/meltCurve_H3BND2_PRR14.pdf</v>
      </c>
    </row>
    <row r="674" spans="1:28" x14ac:dyDescent="0.25">
      <c r="A674" t="s">
        <v>678</v>
      </c>
      <c r="B674">
        <v>0.99987803227770999</v>
      </c>
      <c r="C674">
        <v>0.72783938436764495</v>
      </c>
      <c r="D674">
        <v>0.94817384703331797</v>
      </c>
      <c r="E674">
        <v>0.54714277316937499</v>
      </c>
      <c r="F674">
        <v>0.59861280618802204</v>
      </c>
      <c r="G674">
        <v>0.27641451701562397</v>
      </c>
      <c r="H674">
        <v>0.19883643144670299</v>
      </c>
      <c r="I674">
        <v>0.189746191621884</v>
      </c>
      <c r="J674">
        <v>0.17127128036195299</v>
      </c>
      <c r="K674">
        <v>0.13141016129095501</v>
      </c>
      <c r="L674">
        <v>526.46744632612103</v>
      </c>
      <c r="M674">
        <v>10.0842637733021</v>
      </c>
      <c r="N674">
        <v>52.822668188189802</v>
      </c>
      <c r="O674">
        <v>50.278523874321699</v>
      </c>
      <c r="P674">
        <v>-4.73835277252182E-2</v>
      </c>
      <c r="Q674">
        <v>5.5458186013529302E-2</v>
      </c>
      <c r="R674">
        <v>0.92220114446003898</v>
      </c>
      <c r="S674" t="s">
        <v>6985</v>
      </c>
      <c r="T674" t="s">
        <v>12620</v>
      </c>
      <c r="U674" t="s">
        <v>12620</v>
      </c>
      <c r="V674" t="s">
        <v>12620</v>
      </c>
      <c r="W674" t="s">
        <v>13275</v>
      </c>
      <c r="X674">
        <v>2</v>
      </c>
      <c r="Y674" t="s">
        <v>19520</v>
      </c>
      <c r="Z674" t="s">
        <v>25621</v>
      </c>
      <c r="AA674">
        <v>0.47461883446703179</v>
      </c>
      <c r="AB674" t="str">
        <f>HYPERLINK("Melting_Curves/meltCurve_H3BNK2_LYRM1.pdf", "Melting_Curves/meltCurve_H3BNK2_LYRM1.pdf")</f>
        <v>Melting_Curves/meltCurve_H3BNK2_LYRM1.pdf</v>
      </c>
    </row>
    <row r="675" spans="1:28" x14ac:dyDescent="0.25">
      <c r="A675" t="s">
        <v>679</v>
      </c>
      <c r="B675">
        <v>0.99987803227770999</v>
      </c>
      <c r="C675">
        <v>0.950528802427692</v>
      </c>
      <c r="D675">
        <v>1.0012706696626901</v>
      </c>
      <c r="E675">
        <v>0.89338049694717703</v>
      </c>
      <c r="F675">
        <v>0.91602060445571099</v>
      </c>
      <c r="G675">
        <v>0.89630394703998395</v>
      </c>
      <c r="H675">
        <v>0.81982907809557803</v>
      </c>
      <c r="I675">
        <v>1.0866500253625899</v>
      </c>
      <c r="J675">
        <v>0.58855354691231998</v>
      </c>
      <c r="K675">
        <v>0.51596919973734501</v>
      </c>
      <c r="L675">
        <v>15000</v>
      </c>
      <c r="M675">
        <v>225.612670798322</v>
      </c>
      <c r="O675">
        <v>66.480403610080401</v>
      </c>
      <c r="P675">
        <v>-0.41073044587618501</v>
      </c>
      <c r="Q675">
        <v>0.51588666304372899</v>
      </c>
      <c r="R675">
        <v>0.75959014636087796</v>
      </c>
      <c r="S675" t="s">
        <v>6986</v>
      </c>
      <c r="T675" t="s">
        <v>12620</v>
      </c>
      <c r="U675" t="s">
        <v>12620</v>
      </c>
      <c r="V675" t="s">
        <v>12620</v>
      </c>
      <c r="W675" t="s">
        <v>13276</v>
      </c>
      <c r="X675">
        <v>4</v>
      </c>
      <c r="Y675" t="s">
        <v>19521</v>
      </c>
      <c r="Z675" t="s">
        <v>25622</v>
      </c>
      <c r="AA675">
        <v>0.94335747891222932</v>
      </c>
      <c r="AB675" t="str">
        <f>HYPERLINK("Melting_Curves/meltCurve_H3BNM4_INO80E.pdf", "Melting_Curves/meltCurve_H3BNM4_INO80E.pdf")</f>
        <v>Melting_Curves/meltCurve_H3BNM4_INO80E.pdf</v>
      </c>
    </row>
    <row r="676" spans="1:28" x14ac:dyDescent="0.25">
      <c r="A676" t="s">
        <v>680</v>
      </c>
      <c r="B676">
        <v>0.99987803227770999</v>
      </c>
      <c r="C676">
        <v>0.88031737585242698</v>
      </c>
      <c r="D676">
        <v>1.0724869029750701</v>
      </c>
      <c r="E676">
        <v>1.0506025470759399</v>
      </c>
      <c r="F676">
        <v>1.14715298032637</v>
      </c>
      <c r="G676">
        <v>0.89944975910597902</v>
      </c>
      <c r="H676">
        <v>0.78064048742779901</v>
      </c>
      <c r="I676">
        <v>0.73028057178467698</v>
      </c>
      <c r="J676">
        <v>0.68143343162459202</v>
      </c>
      <c r="K676">
        <v>0.52926768414372904</v>
      </c>
      <c r="L676">
        <v>1178.94642494767</v>
      </c>
      <c r="M676">
        <v>18.727216804903499</v>
      </c>
      <c r="O676">
        <v>62.248999626381298</v>
      </c>
      <c r="P676">
        <v>-3.7228132794658898E-2</v>
      </c>
      <c r="Q676">
        <v>0.50503794483200704</v>
      </c>
      <c r="R676">
        <v>0.83530729419782801</v>
      </c>
      <c r="S676" t="s">
        <v>6987</v>
      </c>
      <c r="T676" t="s">
        <v>12620</v>
      </c>
      <c r="U676" t="s">
        <v>12620</v>
      </c>
      <c r="V676" t="s">
        <v>12620</v>
      </c>
      <c r="W676" t="s">
        <v>13277</v>
      </c>
      <c r="X676">
        <v>3</v>
      </c>
      <c r="Y676" t="s">
        <v>19522</v>
      </c>
      <c r="Z676" t="s">
        <v>25623</v>
      </c>
      <c r="AA676">
        <v>0.88273570366021092</v>
      </c>
      <c r="AB676" t="str">
        <f>HYPERLINK("Melting_Curves/meltCurve_H3BNT4_MPHOSPH6.pdf", "Melting_Curves/meltCurve_H3BNT4_MPHOSPH6.pdf")</f>
        <v>Melting_Curves/meltCurve_H3BNT4_MPHOSPH6.pdf</v>
      </c>
    </row>
    <row r="677" spans="1:28" x14ac:dyDescent="0.25">
      <c r="A677" t="s">
        <v>681</v>
      </c>
      <c r="B677">
        <v>0.99987803227770999</v>
      </c>
      <c r="C677">
        <v>1.19759776732803</v>
      </c>
      <c r="D677">
        <v>1.0686202997462699</v>
      </c>
      <c r="E677">
        <v>1.2568676031296699</v>
      </c>
      <c r="F677">
        <v>0.97163544243218303</v>
      </c>
      <c r="G677">
        <v>0.79412362769116296</v>
      </c>
      <c r="H677">
        <v>0.81168013372992798</v>
      </c>
      <c r="I677">
        <v>0.68085822662573103</v>
      </c>
      <c r="J677">
        <v>1.4056339058949401</v>
      </c>
      <c r="K677">
        <v>0.77311242068953101</v>
      </c>
      <c r="L677">
        <v>13303.988379210001</v>
      </c>
      <c r="M677">
        <v>250</v>
      </c>
      <c r="O677">
        <v>53.212555462047</v>
      </c>
      <c r="P677">
        <v>-0.12557933028047799</v>
      </c>
      <c r="Q677">
        <v>0.89308166174922998</v>
      </c>
      <c r="R677">
        <v>0.11421181643157</v>
      </c>
      <c r="S677" t="s">
        <v>6988</v>
      </c>
      <c r="T677" t="s">
        <v>12620</v>
      </c>
      <c r="U677" t="s">
        <v>12620</v>
      </c>
      <c r="V677" t="s">
        <v>12620</v>
      </c>
      <c r="W677" t="s">
        <v>13278</v>
      </c>
      <c r="X677">
        <v>8</v>
      </c>
      <c r="Y677" t="s">
        <v>19523</v>
      </c>
      <c r="Z677" t="s">
        <v>25624</v>
      </c>
      <c r="AA677">
        <v>0.94019257347245677</v>
      </c>
      <c r="AB677" t="str">
        <f>HYPERLINK("Melting_Curves/meltCurve_H3BNU9_CARHSP1.pdf", "Melting_Curves/meltCurve_H3BNU9_CARHSP1.pdf")</f>
        <v>Melting_Curves/meltCurve_H3BNU9_CARHSP1.pdf</v>
      </c>
    </row>
    <row r="678" spans="1:28" x14ac:dyDescent="0.25">
      <c r="A678" t="s">
        <v>682</v>
      </c>
      <c r="B678">
        <v>0.99987803227770999</v>
      </c>
      <c r="C678">
        <v>0.82021901289130605</v>
      </c>
      <c r="D678">
        <v>0.77354156764482895</v>
      </c>
      <c r="E678">
        <v>0.52715024184000303</v>
      </c>
      <c r="F678">
        <v>0.31309268771436399</v>
      </c>
      <c r="G678">
        <v>0.14583066198127201</v>
      </c>
      <c r="H678">
        <v>0.116837716869058</v>
      </c>
      <c r="I678">
        <v>0.11111975403256399</v>
      </c>
      <c r="J678">
        <v>6.4309729689932496E-2</v>
      </c>
      <c r="K678">
        <v>4.3772831043578903E-2</v>
      </c>
      <c r="L678">
        <v>653.48513153634497</v>
      </c>
      <c r="M678">
        <v>13.1498873873219</v>
      </c>
      <c r="N678">
        <v>49.947486439320301</v>
      </c>
      <c r="O678">
        <v>48.588005470096299</v>
      </c>
      <c r="P678">
        <v>-6.5496483883461104E-2</v>
      </c>
      <c r="Q678">
        <v>3.2142148479801798E-2</v>
      </c>
      <c r="R678">
        <v>0.99065960221759997</v>
      </c>
      <c r="S678" t="s">
        <v>6989</v>
      </c>
      <c r="T678" t="s">
        <v>12620</v>
      </c>
      <c r="U678" t="s">
        <v>12620</v>
      </c>
      <c r="V678" t="s">
        <v>12620</v>
      </c>
      <c r="W678" t="s">
        <v>13279</v>
      </c>
      <c r="X678">
        <v>6</v>
      </c>
      <c r="Y678" t="s">
        <v>19524</v>
      </c>
      <c r="Z678" t="s">
        <v>25625</v>
      </c>
      <c r="AA678">
        <v>0.37427215998280589</v>
      </c>
      <c r="AB678" t="str">
        <f>HYPERLINK("Melting_Curves/meltCurve_H3BPB8_MPI.pdf", "Melting_Curves/meltCurve_H3BPB8_MPI.pdf")</f>
        <v>Melting_Curves/meltCurve_H3BPB8_MPI.pdf</v>
      </c>
    </row>
    <row r="679" spans="1:28" x14ac:dyDescent="0.25">
      <c r="A679" t="s">
        <v>683</v>
      </c>
      <c r="B679">
        <v>0.99987803227770999</v>
      </c>
      <c r="C679">
        <v>1.3131354282891901</v>
      </c>
      <c r="D679">
        <v>0.89615522945580595</v>
      </c>
      <c r="E679">
        <v>1.2014604711853301</v>
      </c>
      <c r="F679">
        <v>0.40443170685963498</v>
      </c>
      <c r="G679">
        <v>0.28594030939509302</v>
      </c>
      <c r="H679">
        <v>0.190415251557395</v>
      </c>
      <c r="I679">
        <v>0.170833315364147</v>
      </c>
      <c r="J679">
        <v>0.14261457159600099</v>
      </c>
      <c r="K679">
        <v>0.10350398788941099</v>
      </c>
      <c r="L679">
        <v>13198.590412164</v>
      </c>
      <c r="M679">
        <v>250</v>
      </c>
      <c r="N679">
        <v>52.887892423880501</v>
      </c>
      <c r="O679">
        <v>52.790983437622202</v>
      </c>
      <c r="P679">
        <v>-0.97239453613582105</v>
      </c>
      <c r="Q679">
        <v>0.17866138365489601</v>
      </c>
      <c r="R679">
        <v>0.91816750535427805</v>
      </c>
      <c r="S679" t="s">
        <v>6990</v>
      </c>
      <c r="T679" t="s">
        <v>12620</v>
      </c>
      <c r="U679" t="s">
        <v>12620</v>
      </c>
      <c r="V679" t="s">
        <v>12620</v>
      </c>
      <c r="W679" t="s">
        <v>13280</v>
      </c>
      <c r="X679">
        <v>153</v>
      </c>
      <c r="Y679" t="s">
        <v>19272</v>
      </c>
      <c r="Z679" t="s">
        <v>25626</v>
      </c>
      <c r="AA679">
        <v>0.52902092649171373</v>
      </c>
      <c r="AB679" t="str">
        <f>HYPERLINK("Melting_Curves/meltCurve_H3BPE1_MACF1.pdf", "Melting_Curves/meltCurve_H3BPE1_MACF1.pdf")</f>
        <v>Melting_Curves/meltCurve_H3BPE1_MACF1.pdf</v>
      </c>
    </row>
    <row r="680" spans="1:28" x14ac:dyDescent="0.25">
      <c r="A680" t="s">
        <v>684</v>
      </c>
      <c r="B680">
        <v>0.99987803227770999</v>
      </c>
      <c r="C680">
        <v>1.0159369391010999</v>
      </c>
      <c r="D680">
        <v>1.0627870924898399</v>
      </c>
      <c r="E680">
        <v>1.22896052887144</v>
      </c>
      <c r="F680">
        <v>0.99408339954482605</v>
      </c>
      <c r="G680">
        <v>0.96304357214272396</v>
      </c>
      <c r="H680">
        <v>0.85648408744294402</v>
      </c>
      <c r="I680">
        <v>0.86854014355473197</v>
      </c>
      <c r="J680">
        <v>0.92235579243580701</v>
      </c>
      <c r="K680">
        <v>0.80168270610241998</v>
      </c>
      <c r="L680">
        <v>14307.1812172767</v>
      </c>
      <c r="M680">
        <v>250</v>
      </c>
      <c r="O680">
        <v>57.225062691911504</v>
      </c>
      <c r="P680">
        <v>-0.15043050798093499</v>
      </c>
      <c r="Q680">
        <v>0.86226567635809603</v>
      </c>
      <c r="R680">
        <v>0.51896434698065397</v>
      </c>
      <c r="S680" t="s">
        <v>6991</v>
      </c>
      <c r="T680" t="s">
        <v>12620</v>
      </c>
      <c r="U680" t="s">
        <v>12620</v>
      </c>
      <c r="V680" t="s">
        <v>12620</v>
      </c>
      <c r="W680" t="s">
        <v>13281</v>
      </c>
      <c r="X680">
        <v>3</v>
      </c>
      <c r="Y680" t="s">
        <v>19525</v>
      </c>
      <c r="Z680" t="s">
        <v>25627</v>
      </c>
      <c r="AA680">
        <v>0.94137906867867782</v>
      </c>
      <c r="AB680" t="str">
        <f>HYPERLINK("Melting_Curves/meltCurve_H3BPG5_RNPS1.pdf", "Melting_Curves/meltCurve_H3BPG5_RNPS1.pdf")</f>
        <v>Melting_Curves/meltCurve_H3BPG5_RNPS1.pdf</v>
      </c>
    </row>
    <row r="681" spans="1:28" x14ac:dyDescent="0.25">
      <c r="A681" t="s">
        <v>685</v>
      </c>
      <c r="B681">
        <v>0.99987803227770999</v>
      </c>
      <c r="C681">
        <v>1.18947739137977</v>
      </c>
      <c r="D681">
        <v>1.12657996657471</v>
      </c>
      <c r="E681">
        <v>1.7840676588231299</v>
      </c>
      <c r="F681">
        <v>1.0025601851067201</v>
      </c>
      <c r="G681">
        <v>0.88053777844105896</v>
      </c>
      <c r="H681">
        <v>1.03194102138915</v>
      </c>
      <c r="I681">
        <v>0.77451724824063894</v>
      </c>
      <c r="J681">
        <v>0.246446889099877</v>
      </c>
      <c r="K681">
        <v>0.21228614160275999</v>
      </c>
      <c r="L681">
        <v>6113.4965599694196</v>
      </c>
      <c r="M681">
        <v>94.607794560851701</v>
      </c>
      <c r="N681">
        <v>65.007446360728096</v>
      </c>
      <c r="O681">
        <v>64.590518493854702</v>
      </c>
      <c r="P681">
        <v>-0.287176878928187</v>
      </c>
      <c r="Q681">
        <v>0.21575585424153901</v>
      </c>
      <c r="R681">
        <v>0.63413560822344694</v>
      </c>
      <c r="S681" t="s">
        <v>6992</v>
      </c>
      <c r="T681" t="s">
        <v>12620</v>
      </c>
      <c r="U681" t="s">
        <v>12620</v>
      </c>
      <c r="V681" t="s">
        <v>12620</v>
      </c>
      <c r="W681" t="s">
        <v>13282</v>
      </c>
      <c r="X681">
        <v>26</v>
      </c>
      <c r="Y681" t="s">
        <v>19526</v>
      </c>
      <c r="Z681" t="s">
        <v>25628</v>
      </c>
      <c r="AA681">
        <v>0.85994950760047739</v>
      </c>
      <c r="AB681" t="str">
        <f>HYPERLINK("Melting_Curves/meltCurve_H3BPS8_ALDOA.pdf", "Melting_Curves/meltCurve_H3BPS8_ALDOA.pdf")</f>
        <v>Melting_Curves/meltCurve_H3BPS8_ALDOA.pdf</v>
      </c>
    </row>
    <row r="682" spans="1:28" x14ac:dyDescent="0.25">
      <c r="A682" t="s">
        <v>686</v>
      </c>
      <c r="B682">
        <v>0.99987803227770999</v>
      </c>
      <c r="C682">
        <v>0.94747046839236204</v>
      </c>
      <c r="D682">
        <v>0.95783589461482399</v>
      </c>
      <c r="E682">
        <v>0.92389612565170298</v>
      </c>
      <c r="F682">
        <v>0.92650691169495603</v>
      </c>
      <c r="G682">
        <v>0.60723084861128196</v>
      </c>
      <c r="H682">
        <v>0.52249796286889005</v>
      </c>
      <c r="I682">
        <v>0.45879651470253902</v>
      </c>
      <c r="J682">
        <v>0.48095736820445301</v>
      </c>
      <c r="K682">
        <v>0.40620444489855101</v>
      </c>
      <c r="L682">
        <v>1493.96836335696</v>
      </c>
      <c r="M682">
        <v>26.8440121503025</v>
      </c>
      <c r="N682">
        <v>60.636342473033302</v>
      </c>
      <c r="O682">
        <v>55.347608986051803</v>
      </c>
      <c r="P682">
        <v>-6.73050613031108E-2</v>
      </c>
      <c r="Q682">
        <v>0.44492125081508999</v>
      </c>
      <c r="R682">
        <v>0.97622007243236397</v>
      </c>
      <c r="S682" t="s">
        <v>6993</v>
      </c>
      <c r="T682" t="s">
        <v>12620</v>
      </c>
      <c r="U682" t="s">
        <v>12620</v>
      </c>
      <c r="V682" t="s">
        <v>12620</v>
      </c>
      <c r="W682" t="s">
        <v>13283</v>
      </c>
      <c r="X682">
        <v>1</v>
      </c>
      <c r="Y682" t="s">
        <v>19527</v>
      </c>
      <c r="Z682" t="s">
        <v>25629</v>
      </c>
      <c r="AA682">
        <v>0.73907741043049568</v>
      </c>
      <c r="AB682" t="str">
        <f>HYPERLINK("Melting_Curves/meltCurve_H3BPV0_MTSS1L.pdf", "Melting_Curves/meltCurve_H3BPV0_MTSS1L.pdf")</f>
        <v>Melting_Curves/meltCurve_H3BPV0_MTSS1L.pdf</v>
      </c>
    </row>
    <row r="683" spans="1:28" x14ac:dyDescent="0.25">
      <c r="A683" t="s">
        <v>687</v>
      </c>
      <c r="B683">
        <v>0.99987803227770999</v>
      </c>
      <c r="C683">
        <v>0.97290395962702703</v>
      </c>
      <c r="D683">
        <v>0.89160349569194297</v>
      </c>
      <c r="E683">
        <v>0.81774601466700803</v>
      </c>
      <c r="F683">
        <v>0.62218841808301895</v>
      </c>
      <c r="G683">
        <v>0.54014958856291495</v>
      </c>
      <c r="H683">
        <v>0.538655979825436</v>
      </c>
      <c r="I683">
        <v>0.51264859791718498</v>
      </c>
      <c r="J683">
        <v>0.45466381174422399</v>
      </c>
      <c r="K683">
        <v>0.37921463919850801</v>
      </c>
      <c r="L683">
        <v>657.64991517458304</v>
      </c>
      <c r="M683">
        <v>12.673467617974399</v>
      </c>
      <c r="N683">
        <v>60.529713769666103</v>
      </c>
      <c r="O683">
        <v>50.650752864650798</v>
      </c>
      <c r="P683">
        <v>-3.6409640766426797E-2</v>
      </c>
      <c r="Q683">
        <v>0.41805474019269701</v>
      </c>
      <c r="R683">
        <v>0.97300008631063895</v>
      </c>
      <c r="S683" t="s">
        <v>6994</v>
      </c>
      <c r="T683" t="s">
        <v>12620</v>
      </c>
      <c r="U683" t="s">
        <v>12620</v>
      </c>
      <c r="V683" t="s">
        <v>12620</v>
      </c>
      <c r="W683" t="s">
        <v>13284</v>
      </c>
      <c r="X683">
        <v>3</v>
      </c>
      <c r="Y683" t="s">
        <v>19528</v>
      </c>
      <c r="Z683" t="s">
        <v>25630</v>
      </c>
      <c r="AA683">
        <v>0.66541651889589026</v>
      </c>
      <c r="AB683" t="str">
        <f>HYPERLINK("Melting_Curves/meltCurve_H3BQA0_SNAPC5.pdf", "Melting_Curves/meltCurve_H3BQA0_SNAPC5.pdf")</f>
        <v>Melting_Curves/meltCurve_H3BQA0_SNAPC5.pdf</v>
      </c>
    </row>
    <row r="684" spans="1:28" x14ac:dyDescent="0.25">
      <c r="A684" t="s">
        <v>688</v>
      </c>
      <c r="B684">
        <v>0.99987803227770999</v>
      </c>
      <c r="C684">
        <v>0.961531105982809</v>
      </c>
      <c r="D684">
        <v>0.95154365410370101</v>
      </c>
      <c r="E684">
        <v>0.71718327691138495</v>
      </c>
      <c r="F684">
        <v>0.30643302327663802</v>
      </c>
      <c r="G684">
        <v>0.152657912129673</v>
      </c>
      <c r="H684">
        <v>7.7874060451358806E-2</v>
      </c>
      <c r="I684">
        <v>9.2624365548073406E-2</v>
      </c>
      <c r="J684">
        <v>8.5947717940935198E-2</v>
      </c>
      <c r="K684">
        <v>8.2383428501321104E-2</v>
      </c>
      <c r="L684">
        <v>1574.0655370187999</v>
      </c>
      <c r="M684">
        <v>30.748915173220102</v>
      </c>
      <c r="N684">
        <v>51.510378994642103</v>
      </c>
      <c r="O684">
        <v>50.9758768330463</v>
      </c>
      <c r="P684">
        <v>-0.13771144075008401</v>
      </c>
      <c r="Q684">
        <v>8.6807470665745207E-2</v>
      </c>
      <c r="R684">
        <v>0.99786495304748901</v>
      </c>
      <c r="S684" t="s">
        <v>6995</v>
      </c>
      <c r="T684" t="s">
        <v>12620</v>
      </c>
      <c r="U684" t="s">
        <v>12620</v>
      </c>
      <c r="V684" t="s">
        <v>12620</v>
      </c>
      <c r="W684" t="s">
        <v>13226</v>
      </c>
      <c r="X684">
        <v>1</v>
      </c>
      <c r="Z684" t="s">
        <v>25631</v>
      </c>
      <c r="AA684">
        <v>0.43293893888817259</v>
      </c>
      <c r="AB684" t="str">
        <f>HYPERLINK("Melting_Curves/meltCurve_H3BQF6_.pdf", "Melting_Curves/meltCurve_H3BQF6_.pdf")</f>
        <v>Melting_Curves/meltCurve_H3BQF6_.pdf</v>
      </c>
    </row>
    <row r="685" spans="1:28" x14ac:dyDescent="0.25">
      <c r="A685" t="s">
        <v>689</v>
      </c>
      <c r="B685">
        <v>0.99987803227770999</v>
      </c>
      <c r="C685">
        <v>1.1846796518007401</v>
      </c>
      <c r="D685">
        <v>0.50883691336415804</v>
      </c>
      <c r="E685">
        <v>0.37886494523471098</v>
      </c>
      <c r="F685">
        <v>0.185685790288174</v>
      </c>
      <c r="G685">
        <v>0.14720843648425999</v>
      </c>
      <c r="H685">
        <v>8.1438056793392097E-2</v>
      </c>
      <c r="I685">
        <v>7.4342038365680402E-2</v>
      </c>
      <c r="J685">
        <v>3.98455860928267E-2</v>
      </c>
      <c r="K685">
        <v>4.9371809945270802E-2</v>
      </c>
      <c r="L685">
        <v>1065.1736187679501</v>
      </c>
      <c r="M685">
        <v>22.5080367174922</v>
      </c>
      <c r="N685">
        <v>47.708715122749403</v>
      </c>
      <c r="O685">
        <v>46.9553375715914</v>
      </c>
      <c r="P685">
        <v>-0.10989731746154199</v>
      </c>
      <c r="Q685">
        <v>8.2965702699722199E-2</v>
      </c>
      <c r="R685">
        <v>0.92526080973034197</v>
      </c>
      <c r="S685" t="s">
        <v>6996</v>
      </c>
      <c r="T685" t="s">
        <v>12620</v>
      </c>
      <c r="U685" t="s">
        <v>12620</v>
      </c>
      <c r="V685" t="s">
        <v>12620</v>
      </c>
      <c r="W685" t="s">
        <v>13285</v>
      </c>
      <c r="X685">
        <v>2</v>
      </c>
      <c r="Y685" t="s">
        <v>19529</v>
      </c>
      <c r="Z685" t="s">
        <v>25632</v>
      </c>
      <c r="AA685">
        <v>0.31709381446625229</v>
      </c>
      <c r="AB685" t="str">
        <f>HYPERLINK("Melting_Curves/meltCurve_H3BQV3_COG8.pdf", "Melting_Curves/meltCurve_H3BQV3_COG8.pdf")</f>
        <v>Melting_Curves/meltCurve_H3BQV3_COG8.pdf</v>
      </c>
    </row>
    <row r="686" spans="1:28" x14ac:dyDescent="0.25">
      <c r="A686" t="s">
        <v>690</v>
      </c>
      <c r="B686">
        <v>0.99987803227770999</v>
      </c>
      <c r="C686">
        <v>1.0758798255262001</v>
      </c>
      <c r="D686">
        <v>1.0011893899931099</v>
      </c>
      <c r="E686">
        <v>0.850220920655401</v>
      </c>
      <c r="F686">
        <v>0.514399371062225</v>
      </c>
      <c r="G686">
        <v>0.28001432386695801</v>
      </c>
      <c r="H686">
        <v>0.19696930196375301</v>
      </c>
      <c r="I686">
        <v>0.179535678550344</v>
      </c>
      <c r="J686">
        <v>0.15681946163565999</v>
      </c>
      <c r="K686">
        <v>0.12449682881718099</v>
      </c>
      <c r="L686">
        <v>1421.01719402343</v>
      </c>
      <c r="M686">
        <v>27.0107381109618</v>
      </c>
      <c r="N686">
        <v>53.372796183204301</v>
      </c>
      <c r="O686">
        <v>52.323495495153402</v>
      </c>
      <c r="P686">
        <v>-0.108377591157463</v>
      </c>
      <c r="Q686">
        <v>0.16023909719514001</v>
      </c>
      <c r="R686">
        <v>0.993271448259895</v>
      </c>
      <c r="S686" t="s">
        <v>6997</v>
      </c>
      <c r="T686" t="s">
        <v>12620</v>
      </c>
      <c r="U686" t="s">
        <v>12620</v>
      </c>
      <c r="V686" t="s">
        <v>12620</v>
      </c>
      <c r="W686" t="s">
        <v>13286</v>
      </c>
      <c r="X686">
        <v>14</v>
      </c>
      <c r="Y686" t="s">
        <v>19530</v>
      </c>
      <c r="Z686" t="s">
        <v>25633</v>
      </c>
      <c r="AA686">
        <v>0.51984711358408564</v>
      </c>
      <c r="AB686" t="str">
        <f>HYPERLINK("Melting_Curves/meltCurve_H3BQZ7_hCG_2044799.pdf", "Melting_Curves/meltCurve_H3BQZ7_hCG_2044799.pdf")</f>
        <v>Melting_Curves/meltCurve_H3BQZ7_hCG_2044799.pdf</v>
      </c>
    </row>
    <row r="687" spans="1:28" x14ac:dyDescent="0.25">
      <c r="A687" t="s">
        <v>691</v>
      </c>
      <c r="B687">
        <v>0.99987803227770999</v>
      </c>
      <c r="C687">
        <v>1.33772445205554</v>
      </c>
      <c r="D687">
        <v>1.09533878081161</v>
      </c>
      <c r="E687">
        <v>1.22867404772949</v>
      </c>
      <c r="F687">
        <v>0.82497754511259302</v>
      </c>
      <c r="G687">
        <v>1.6151997415850401</v>
      </c>
      <c r="H687">
        <v>0.56067934904885797</v>
      </c>
      <c r="I687">
        <v>0.903433457992456</v>
      </c>
      <c r="J687">
        <v>0.167318735383753</v>
      </c>
      <c r="K687">
        <v>0.143834335107561</v>
      </c>
      <c r="L687">
        <v>7439.68888925171</v>
      </c>
      <c r="M687">
        <v>114.22016917643499</v>
      </c>
      <c r="N687">
        <v>65.320068085713899</v>
      </c>
      <c r="O687">
        <v>65.114673610751893</v>
      </c>
      <c r="P687">
        <v>-0.37781223401943798</v>
      </c>
      <c r="Q687">
        <v>0.13846671021091</v>
      </c>
      <c r="R687">
        <v>0.62758349627036203</v>
      </c>
      <c r="S687" t="s">
        <v>6998</v>
      </c>
      <c r="T687" t="s">
        <v>12620</v>
      </c>
      <c r="U687" t="s">
        <v>12620</v>
      </c>
      <c r="V687" t="s">
        <v>12620</v>
      </c>
      <c r="W687" t="s">
        <v>13287</v>
      </c>
      <c r="X687">
        <v>1</v>
      </c>
      <c r="Y687" t="s">
        <v>19531</v>
      </c>
      <c r="Z687" t="s">
        <v>25634</v>
      </c>
      <c r="AA687">
        <v>0.86074281647694617</v>
      </c>
      <c r="AB687" t="str">
        <f>HYPERLINK("Melting_Curves/meltCurve_H3BRB6_ZNRF1.pdf", "Melting_Curves/meltCurve_H3BRB6_ZNRF1.pdf")</f>
        <v>Melting_Curves/meltCurve_H3BRB6_ZNRF1.pdf</v>
      </c>
    </row>
    <row r="688" spans="1:28" x14ac:dyDescent="0.25">
      <c r="A688" t="s">
        <v>692</v>
      </c>
      <c r="B688">
        <v>0.99987803227770999</v>
      </c>
      <c r="C688">
        <v>0.87931052859129299</v>
      </c>
      <c r="D688">
        <v>0.97166756327950599</v>
      </c>
      <c r="E688">
        <v>0.87770930848165196</v>
      </c>
      <c r="F688">
        <v>1.0669955001836799</v>
      </c>
      <c r="G688">
        <v>0.80194146982117298</v>
      </c>
      <c r="H688">
        <v>0.94112141603596</v>
      </c>
      <c r="I688">
        <v>0.883113082892509</v>
      </c>
      <c r="J688">
        <v>0.93927386062837404</v>
      </c>
      <c r="K688">
        <v>0.74527655390743597</v>
      </c>
      <c r="L688">
        <v>193.07663180519199</v>
      </c>
      <c r="M688">
        <v>1.1047887157198799</v>
      </c>
      <c r="O688">
        <v>67.790991692089307</v>
      </c>
      <c r="P688">
        <v>-5.3240090235148396E-3</v>
      </c>
      <c r="Q688">
        <v>0</v>
      </c>
      <c r="R688">
        <v>0.220667471722785</v>
      </c>
      <c r="S688" t="s">
        <v>6999</v>
      </c>
      <c r="T688" t="s">
        <v>12620</v>
      </c>
      <c r="U688" t="s">
        <v>12620</v>
      </c>
      <c r="V688" t="s">
        <v>12620</v>
      </c>
      <c r="W688" t="s">
        <v>13288</v>
      </c>
      <c r="X688">
        <v>13</v>
      </c>
      <c r="Y688" t="s">
        <v>19532</v>
      </c>
      <c r="Z688" t="s">
        <v>25635</v>
      </c>
      <c r="AA688">
        <v>0.91415060256625646</v>
      </c>
      <c r="AB688" t="str">
        <f>HYPERLINK("Melting_Curves/meltCurve_H3BRF9_ZFYVE19.pdf", "Melting_Curves/meltCurve_H3BRF9_ZFYVE19.pdf")</f>
        <v>Melting_Curves/meltCurve_H3BRF9_ZFYVE19.pdf</v>
      </c>
    </row>
    <row r="689" spans="1:28" x14ac:dyDescent="0.25">
      <c r="A689" t="s">
        <v>693</v>
      </c>
      <c r="B689">
        <v>0.99987803227770999</v>
      </c>
      <c r="C689">
        <v>0.84632470981643204</v>
      </c>
      <c r="D689">
        <v>1.01577924565816</v>
      </c>
      <c r="E689">
        <v>0.82374230350585698</v>
      </c>
      <c r="F689">
        <v>1.0190554871709501</v>
      </c>
      <c r="G689">
        <v>0.60574846146719397</v>
      </c>
      <c r="H689">
        <v>0.26522857640742498</v>
      </c>
      <c r="I689">
        <v>0.15326989895507501</v>
      </c>
      <c r="J689">
        <v>0.11901334495978801</v>
      </c>
      <c r="K689">
        <v>8.8254066423324007E-2</v>
      </c>
      <c r="L689">
        <v>1685.49589112999</v>
      </c>
      <c r="M689">
        <v>29.2130153672177</v>
      </c>
      <c r="N689">
        <v>58.134954192960599</v>
      </c>
      <c r="O689">
        <v>57.428407056346899</v>
      </c>
      <c r="P689">
        <v>-0.114605489108467</v>
      </c>
      <c r="Q689">
        <v>9.8817723362239901E-2</v>
      </c>
      <c r="R689">
        <v>0.95835900019141596</v>
      </c>
      <c r="S689" t="s">
        <v>7000</v>
      </c>
      <c r="T689" t="s">
        <v>12620</v>
      </c>
      <c r="U689" t="s">
        <v>12620</v>
      </c>
      <c r="V689" t="s">
        <v>12620</v>
      </c>
      <c r="W689" t="s">
        <v>13289</v>
      </c>
      <c r="X689">
        <v>14</v>
      </c>
      <c r="Y689" t="s">
        <v>19533</v>
      </c>
      <c r="Z689" t="s">
        <v>25636</v>
      </c>
      <c r="AA689">
        <v>0.63664942096632704</v>
      </c>
      <c r="AB689" t="str">
        <f>HYPERLINK("Melting_Curves/meltCurve_H3BRL3_UBFD1.pdf", "Melting_Curves/meltCurve_H3BRL3_UBFD1.pdf")</f>
        <v>Melting_Curves/meltCurve_H3BRL3_UBFD1.pdf</v>
      </c>
    </row>
    <row r="690" spans="1:28" x14ac:dyDescent="0.25">
      <c r="A690" t="s">
        <v>694</v>
      </c>
      <c r="B690">
        <v>0.99987803227770999</v>
      </c>
      <c r="C690">
        <v>0.90794700360712399</v>
      </c>
      <c r="D690">
        <v>0.95116703892251497</v>
      </c>
      <c r="E690">
        <v>0.81042630892604495</v>
      </c>
      <c r="F690">
        <v>0.92400795633439303</v>
      </c>
      <c r="G690">
        <v>0.75459508387360896</v>
      </c>
      <c r="H690">
        <v>0.77682033896790603</v>
      </c>
      <c r="I690">
        <v>0.71772068211066498</v>
      </c>
      <c r="J690">
        <v>0.66732852656793595</v>
      </c>
      <c r="K690">
        <v>0.55071100115230698</v>
      </c>
      <c r="L690">
        <v>293.20875918938702</v>
      </c>
      <c r="M690">
        <v>3.7742340543838</v>
      </c>
      <c r="O690">
        <v>62.569069042539198</v>
      </c>
      <c r="P690">
        <v>-1.53134102218546E-2</v>
      </c>
      <c r="Q690">
        <v>0</v>
      </c>
      <c r="R690">
        <v>0.87718523124791803</v>
      </c>
      <c r="S690" t="s">
        <v>7001</v>
      </c>
      <c r="T690" t="s">
        <v>12620</v>
      </c>
      <c r="U690" t="s">
        <v>12620</v>
      </c>
      <c r="V690" t="s">
        <v>12620</v>
      </c>
      <c r="W690" t="s">
        <v>13290</v>
      </c>
      <c r="X690">
        <v>6</v>
      </c>
      <c r="Y690" t="s">
        <v>19534</v>
      </c>
      <c r="Z690" t="s">
        <v>25637</v>
      </c>
      <c r="AA690">
        <v>0.81254143695343728</v>
      </c>
      <c r="AB690" t="str">
        <f>HYPERLINK("Melting_Curves/meltCurve_H3BRS1_NFATC3.pdf", "Melting_Curves/meltCurve_H3BRS1_NFATC3.pdf")</f>
        <v>Melting_Curves/meltCurve_H3BRS1_NFATC3.pdf</v>
      </c>
    </row>
    <row r="691" spans="1:28" x14ac:dyDescent="0.25">
      <c r="A691" t="s">
        <v>695</v>
      </c>
      <c r="B691">
        <v>0.99987803227770999</v>
      </c>
      <c r="C691">
        <v>0.81493011206223298</v>
      </c>
      <c r="D691">
        <v>0.87278707840868297</v>
      </c>
      <c r="E691">
        <v>0.66112791030190199</v>
      </c>
      <c r="F691">
        <v>0.43423566627920501</v>
      </c>
      <c r="G691">
        <v>0.30471164017015101</v>
      </c>
      <c r="H691">
        <v>0.26466274762487402</v>
      </c>
      <c r="I691">
        <v>0.22187528464899101</v>
      </c>
      <c r="J691">
        <v>0.20581129569846199</v>
      </c>
      <c r="K691">
        <v>0.16037398870828501</v>
      </c>
      <c r="L691">
        <v>630.17648816608005</v>
      </c>
      <c r="M691">
        <v>12.3795766946453</v>
      </c>
      <c r="N691">
        <v>52.407577063552701</v>
      </c>
      <c r="O691">
        <v>49.630941111481299</v>
      </c>
      <c r="P691">
        <v>-5.3051352182044501E-2</v>
      </c>
      <c r="Q691">
        <v>0.149429354652377</v>
      </c>
      <c r="R691">
        <v>0.97786678151279105</v>
      </c>
      <c r="S691" t="s">
        <v>7002</v>
      </c>
      <c r="T691" t="s">
        <v>12620</v>
      </c>
      <c r="U691" t="s">
        <v>12620</v>
      </c>
      <c r="V691" t="s">
        <v>12620</v>
      </c>
      <c r="W691" t="s">
        <v>13291</v>
      </c>
      <c r="X691">
        <v>29</v>
      </c>
      <c r="Y691" t="s">
        <v>19535</v>
      </c>
      <c r="Z691" t="s">
        <v>25638</v>
      </c>
      <c r="AA691">
        <v>0.48526013759205122</v>
      </c>
      <c r="AB691" t="str">
        <f>HYPERLINK("Melting_Curves/meltCurve_H3BRV0_EIF3C.pdf", "Melting_Curves/meltCurve_H3BRV0_EIF3C.pdf")</f>
        <v>Melting_Curves/meltCurve_H3BRV0_EIF3C.pdf</v>
      </c>
    </row>
    <row r="692" spans="1:28" x14ac:dyDescent="0.25">
      <c r="A692" t="s">
        <v>696</v>
      </c>
      <c r="B692">
        <v>0.99987803227770999</v>
      </c>
      <c r="C692">
        <v>0.787660920559485</v>
      </c>
      <c r="D692">
        <v>1.0846861337376299</v>
      </c>
      <c r="E692">
        <v>0.91643453926450003</v>
      </c>
      <c r="F692">
        <v>1.1185314724186199</v>
      </c>
      <c r="G692">
        <v>0.76163903859779902</v>
      </c>
      <c r="H692">
        <v>0.44056889169367802</v>
      </c>
      <c r="I692">
        <v>0.28093535334181902</v>
      </c>
      <c r="J692">
        <v>0.49798578312842501</v>
      </c>
      <c r="K692">
        <v>0.40806299207011099</v>
      </c>
      <c r="L692">
        <v>4828.77184817342</v>
      </c>
      <c r="M692">
        <v>84.306215649021794</v>
      </c>
      <c r="N692">
        <v>58.434093019847303</v>
      </c>
      <c r="O692">
        <v>57.244377776917503</v>
      </c>
      <c r="P692">
        <v>-0.21874783430894701</v>
      </c>
      <c r="Q692">
        <v>0.40587619950804099</v>
      </c>
      <c r="R692">
        <v>0.88149428747139502</v>
      </c>
      <c r="S692" t="s">
        <v>7003</v>
      </c>
      <c r="T692" t="s">
        <v>12620</v>
      </c>
      <c r="U692" t="s">
        <v>12620</v>
      </c>
      <c r="V692" t="s">
        <v>12620</v>
      </c>
      <c r="W692" t="s">
        <v>13292</v>
      </c>
      <c r="X692">
        <v>13</v>
      </c>
      <c r="Y692" t="s">
        <v>19536</v>
      </c>
      <c r="Z692" t="s">
        <v>25639</v>
      </c>
      <c r="AA692">
        <v>0.74854987235901715</v>
      </c>
      <c r="AB692" t="str">
        <f>HYPERLINK("Melting_Curves/meltCurve_H3BSC1_RAB11A.pdf", "Melting_Curves/meltCurve_H3BSC1_RAB11A.pdf")</f>
        <v>Melting_Curves/meltCurve_H3BSC1_RAB11A.pdf</v>
      </c>
    </row>
    <row r="693" spans="1:28" x14ac:dyDescent="0.25">
      <c r="A693" t="s">
        <v>697</v>
      </c>
      <c r="B693">
        <v>0.99987803227770999</v>
      </c>
      <c r="C693">
        <v>0.90125116522423998</v>
      </c>
      <c r="D693">
        <v>0.76549101476974502</v>
      </c>
      <c r="E693">
        <v>0.69590088215129198</v>
      </c>
      <c r="F693">
        <v>0.76226907401125998</v>
      </c>
      <c r="G693">
        <v>0.40611164635761698</v>
      </c>
      <c r="H693">
        <v>0.37730369739136399</v>
      </c>
      <c r="I693">
        <v>0.32397764513112498</v>
      </c>
      <c r="J693">
        <v>0.32348233106078</v>
      </c>
      <c r="K693">
        <v>0.19457668276446399</v>
      </c>
      <c r="L693">
        <v>391.812999448553</v>
      </c>
      <c r="M693">
        <v>6.9120988933867702</v>
      </c>
      <c r="N693">
        <v>56.951101705529297</v>
      </c>
      <c r="O693">
        <v>52.510606525336399</v>
      </c>
      <c r="P693">
        <v>-3.2448268930902698E-2</v>
      </c>
      <c r="Q693">
        <v>1.58845426897231E-2</v>
      </c>
      <c r="R693">
        <v>0.94383486349240597</v>
      </c>
      <c r="S693" t="s">
        <v>7004</v>
      </c>
      <c r="T693" t="s">
        <v>12620</v>
      </c>
      <c r="U693" t="s">
        <v>12620</v>
      </c>
      <c r="V693" t="s">
        <v>12620</v>
      </c>
      <c r="W693" t="s">
        <v>13293</v>
      </c>
      <c r="X693">
        <v>1</v>
      </c>
      <c r="Y693" t="s">
        <v>19537</v>
      </c>
      <c r="Z693" t="s">
        <v>25640</v>
      </c>
      <c r="AA693">
        <v>0.57419683033219182</v>
      </c>
      <c r="AB693" t="str">
        <f>HYPERLINK("Melting_Curves/meltCurve_H3BSL4_E4F1.pdf", "Melting_Curves/meltCurve_H3BSL4_E4F1.pdf")</f>
        <v>Melting_Curves/meltCurve_H3BSL4_E4F1.pdf</v>
      </c>
    </row>
    <row r="694" spans="1:28" x14ac:dyDescent="0.25">
      <c r="A694" t="s">
        <v>698</v>
      </c>
      <c r="B694">
        <v>0.99987803227770999</v>
      </c>
      <c r="C694">
        <v>1.13010291058443</v>
      </c>
      <c r="D694">
        <v>1.13364849718452</v>
      </c>
      <c r="E694">
        <v>1.18807981498116</v>
      </c>
      <c r="F694">
        <v>0.99509112220036899</v>
      </c>
      <c r="G694">
        <v>0.66537609448152402</v>
      </c>
      <c r="H694">
        <v>0.421391356237726</v>
      </c>
      <c r="I694">
        <v>0.264104072570642</v>
      </c>
      <c r="J694">
        <v>0.17967838504866801</v>
      </c>
      <c r="K694">
        <v>0.12541691153882301</v>
      </c>
      <c r="L694">
        <v>1455.7148756029801</v>
      </c>
      <c r="M694">
        <v>24.754598270935102</v>
      </c>
      <c r="N694">
        <v>59.590338339131598</v>
      </c>
      <c r="O694">
        <v>58.426105444424799</v>
      </c>
      <c r="P694">
        <v>-9.1194516382778701E-2</v>
      </c>
      <c r="Q694">
        <v>0.13905839176226201</v>
      </c>
      <c r="R694">
        <v>0.94952388520912101</v>
      </c>
      <c r="S694" t="s">
        <v>7005</v>
      </c>
      <c r="T694" t="s">
        <v>12620</v>
      </c>
      <c r="U694" t="s">
        <v>12620</v>
      </c>
      <c r="V694" t="s">
        <v>12620</v>
      </c>
      <c r="W694" t="s">
        <v>13294</v>
      </c>
      <c r="X694">
        <v>1</v>
      </c>
      <c r="Y694" t="s">
        <v>19538</v>
      </c>
      <c r="Z694" t="s">
        <v>25641</v>
      </c>
      <c r="AA694">
        <v>0.68599046725787927</v>
      </c>
      <c r="AB694" t="str">
        <f>HYPERLINK("Melting_Curves/meltCurve_H3BST1_BLOC1S6.pdf", "Melting_Curves/meltCurve_H3BST1_BLOC1S6.pdf")</f>
        <v>Melting_Curves/meltCurve_H3BST1_BLOC1S6.pdf</v>
      </c>
    </row>
    <row r="695" spans="1:28" x14ac:dyDescent="0.25">
      <c r="A695" t="s">
        <v>699</v>
      </c>
      <c r="B695">
        <v>0.99987803227770999</v>
      </c>
      <c r="C695">
        <v>0.86679164490396499</v>
      </c>
      <c r="D695">
        <v>0.99802728407621599</v>
      </c>
      <c r="E695">
        <v>0.79962185067984903</v>
      </c>
      <c r="F695">
        <v>0.80358415135753902</v>
      </c>
      <c r="G695">
        <v>0.32797674510919</v>
      </c>
      <c r="H695">
        <v>4.6220662636999303E-2</v>
      </c>
      <c r="I695">
        <v>3.1370062479197498E-2</v>
      </c>
      <c r="J695">
        <v>1.8465430439181901E-2</v>
      </c>
      <c r="K695">
        <v>1.3955107722360799E-2</v>
      </c>
      <c r="L695">
        <v>1327.9038076539</v>
      </c>
      <c r="M695">
        <v>24.020044312577301</v>
      </c>
      <c r="N695">
        <v>55.283158651649003</v>
      </c>
      <c r="O695">
        <v>54.9042465043497</v>
      </c>
      <c r="P695">
        <v>-0.109374142487635</v>
      </c>
      <c r="Q695">
        <v>0</v>
      </c>
      <c r="R695">
        <v>0.97667323551955298</v>
      </c>
      <c r="S695" t="s">
        <v>7006</v>
      </c>
      <c r="T695" t="s">
        <v>12620</v>
      </c>
      <c r="U695" t="s">
        <v>12620</v>
      </c>
      <c r="V695" t="s">
        <v>12620</v>
      </c>
      <c r="W695" t="s">
        <v>13295</v>
      </c>
      <c r="X695">
        <v>4</v>
      </c>
      <c r="Y695" t="s">
        <v>19539</v>
      </c>
      <c r="Z695" t="s">
        <v>25642</v>
      </c>
      <c r="AA695">
        <v>0.51933097980043808</v>
      </c>
      <c r="AB695" t="str">
        <f>HYPERLINK("Melting_Curves/meltCurve_H3BSW0_LRRC57.pdf", "Melting_Curves/meltCurve_H3BSW0_LRRC57.pdf")</f>
        <v>Melting_Curves/meltCurve_H3BSW0_LRRC57.pdf</v>
      </c>
    </row>
    <row r="696" spans="1:28" x14ac:dyDescent="0.25">
      <c r="A696" t="s">
        <v>700</v>
      </c>
      <c r="B696">
        <v>0.99987803227770999</v>
      </c>
      <c r="C696">
        <v>0.951594764633796</v>
      </c>
      <c r="D696">
        <v>0.75372573973374202</v>
      </c>
      <c r="E696">
        <v>0.281957317154309</v>
      </c>
      <c r="F696">
        <v>0.13984203595411099</v>
      </c>
      <c r="G696">
        <v>8.7465183838214305E-2</v>
      </c>
      <c r="H696">
        <v>7.0364483010789097E-2</v>
      </c>
      <c r="I696">
        <v>6.4663469214734995E-2</v>
      </c>
      <c r="J696">
        <v>5.8965683560316798E-2</v>
      </c>
      <c r="K696">
        <v>4.019992279285E-2</v>
      </c>
      <c r="L696">
        <v>1232.0570549997601</v>
      </c>
      <c r="M696">
        <v>25.7703327489717</v>
      </c>
      <c r="N696">
        <v>48.051227205782602</v>
      </c>
      <c r="O696">
        <v>47.524024008350402</v>
      </c>
      <c r="P696">
        <v>-0.12731279153515701</v>
      </c>
      <c r="Q696">
        <v>6.0882290483362501E-2</v>
      </c>
      <c r="R696">
        <v>0.99940147835958204</v>
      </c>
      <c r="S696" t="s">
        <v>7007</v>
      </c>
      <c r="T696" t="s">
        <v>12620</v>
      </c>
      <c r="U696" t="s">
        <v>12620</v>
      </c>
      <c r="V696" t="s">
        <v>12620</v>
      </c>
      <c r="W696" t="s">
        <v>13296</v>
      </c>
      <c r="X696">
        <v>6</v>
      </c>
      <c r="Y696" t="s">
        <v>19540</v>
      </c>
      <c r="Z696" t="s">
        <v>25643</v>
      </c>
      <c r="AA696">
        <v>0.31312347111381927</v>
      </c>
      <c r="AB696" t="str">
        <f>HYPERLINK("Melting_Curves/meltCurve_H3BTB7_EARS2.pdf", "Melting_Curves/meltCurve_H3BTB7_EARS2.pdf")</f>
        <v>Melting_Curves/meltCurve_H3BTB7_EARS2.pdf</v>
      </c>
    </row>
    <row r="697" spans="1:28" x14ac:dyDescent="0.25">
      <c r="A697" t="s">
        <v>701</v>
      </c>
      <c r="B697">
        <v>0.99987803227770999</v>
      </c>
      <c r="C697">
        <v>1.19087990427615</v>
      </c>
      <c r="D697">
        <v>0.96020902581311796</v>
      </c>
      <c r="E697">
        <v>1.0802339438297599</v>
      </c>
      <c r="F697">
        <v>0.77261806647035403</v>
      </c>
      <c r="G697">
        <v>0.67750662543472295</v>
      </c>
      <c r="H697">
        <v>0.29492646365145297</v>
      </c>
      <c r="I697">
        <v>0.18953474485262001</v>
      </c>
      <c r="J697">
        <v>0.111589883076659</v>
      </c>
      <c r="K697">
        <v>7.2139274949864995E-2</v>
      </c>
      <c r="L697">
        <v>1131.2222003598699</v>
      </c>
      <c r="M697">
        <v>19.393857810072799</v>
      </c>
      <c r="N697">
        <v>58.552194003858602</v>
      </c>
      <c r="O697">
        <v>57.719348574239</v>
      </c>
      <c r="P697">
        <v>-8.1009346007590202E-2</v>
      </c>
      <c r="Q697">
        <v>3.5646307135823403E-2</v>
      </c>
      <c r="R697">
        <v>0.96001694268846305</v>
      </c>
      <c r="S697" t="s">
        <v>7008</v>
      </c>
      <c r="T697" t="s">
        <v>12620</v>
      </c>
      <c r="U697" t="s">
        <v>12620</v>
      </c>
      <c r="V697" t="s">
        <v>12620</v>
      </c>
      <c r="W697" t="s">
        <v>13297</v>
      </c>
      <c r="X697">
        <v>7</v>
      </c>
      <c r="Y697" t="s">
        <v>19541</v>
      </c>
      <c r="Z697" t="s">
        <v>25644</v>
      </c>
      <c r="AA697">
        <v>0.63567067336697236</v>
      </c>
      <c r="AB697" t="str">
        <f>HYPERLINK("Melting_Curves/meltCurve_H3BTL1_MAP1LC3B.pdf", "Melting_Curves/meltCurve_H3BTL1_MAP1LC3B.pdf")</f>
        <v>Melting_Curves/meltCurve_H3BTL1_MAP1LC3B.pdf</v>
      </c>
    </row>
    <row r="698" spans="1:28" x14ac:dyDescent="0.25">
      <c r="A698" t="s">
        <v>702</v>
      </c>
      <c r="B698">
        <v>0.99987803227770999</v>
      </c>
      <c r="C698">
        <v>1.6542469919680101</v>
      </c>
      <c r="D698">
        <v>1.1812303030546401</v>
      </c>
      <c r="E698">
        <v>2.3006810972840301</v>
      </c>
      <c r="F698">
        <v>0.97453859434621004</v>
      </c>
      <c r="G698">
        <v>1.18436916194954</v>
      </c>
      <c r="H698">
        <v>0.22320246616317799</v>
      </c>
      <c r="I698">
        <v>0.21143466743662601</v>
      </c>
      <c r="J698">
        <v>0.10113172464771</v>
      </c>
      <c r="K698">
        <v>8.2952275978773402E-2</v>
      </c>
      <c r="L698">
        <v>14464.3732633048</v>
      </c>
      <c r="M698">
        <v>239.26116934230299</v>
      </c>
      <c r="N698">
        <v>60.531755307663701</v>
      </c>
      <c r="O698">
        <v>60.450104537836097</v>
      </c>
      <c r="P698">
        <v>-0.859044772192886</v>
      </c>
      <c r="Q698">
        <v>0.13183829476221701</v>
      </c>
      <c r="R698">
        <v>0.55558303203926096</v>
      </c>
      <c r="S698" t="s">
        <v>7009</v>
      </c>
      <c r="T698" t="s">
        <v>12620</v>
      </c>
      <c r="U698" t="s">
        <v>12620</v>
      </c>
      <c r="V698" t="s">
        <v>12620</v>
      </c>
      <c r="W698" t="s">
        <v>13298</v>
      </c>
      <c r="X698">
        <v>54</v>
      </c>
      <c r="Y698" t="s">
        <v>19542</v>
      </c>
      <c r="Z698" t="s">
        <v>25645</v>
      </c>
      <c r="AA698">
        <v>0.72386100858211166</v>
      </c>
      <c r="AB698" t="str">
        <f>HYPERLINK("Melting_Curves/meltCurve_H3BTN5_PKM.pdf", "Melting_Curves/meltCurve_H3BTN5_PKM.pdf")</f>
        <v>Melting_Curves/meltCurve_H3BTN5_PKM.pdf</v>
      </c>
    </row>
    <row r="699" spans="1:28" x14ac:dyDescent="0.25">
      <c r="A699" t="s">
        <v>703</v>
      </c>
      <c r="B699">
        <v>0.99987803227770999</v>
      </c>
      <c r="C699">
        <v>1.00867003789246</v>
      </c>
      <c r="D699">
        <v>0.89468537604906195</v>
      </c>
      <c r="E699">
        <v>0.86069065046989601</v>
      </c>
      <c r="F699">
        <v>0.78882571481167496</v>
      </c>
      <c r="G699">
        <v>0.83165159457146898</v>
      </c>
      <c r="H699">
        <v>0.55548363216667096</v>
      </c>
      <c r="I699">
        <v>0.60340138138253196</v>
      </c>
      <c r="J699">
        <v>0.41167994085582799</v>
      </c>
      <c r="K699">
        <v>0.40333281530274601</v>
      </c>
      <c r="L699">
        <v>432.43082185648302</v>
      </c>
      <c r="M699">
        <v>6.5970814466476302</v>
      </c>
      <c r="N699">
        <v>65.548807462767499</v>
      </c>
      <c r="O699">
        <v>60.309999566380199</v>
      </c>
      <c r="P699">
        <v>-2.7409488958130598E-2</v>
      </c>
      <c r="Q699">
        <v>0</v>
      </c>
      <c r="R699">
        <v>0.94007808366231405</v>
      </c>
      <c r="S699" t="s">
        <v>7010</v>
      </c>
      <c r="T699" t="s">
        <v>12620</v>
      </c>
      <c r="U699" t="s">
        <v>12620</v>
      </c>
      <c r="V699" t="s">
        <v>12620</v>
      </c>
      <c r="W699" t="s">
        <v>13226</v>
      </c>
      <c r="X699">
        <v>4</v>
      </c>
      <c r="Z699" t="s">
        <v>25646</v>
      </c>
      <c r="AA699">
        <v>0.74654925364175717</v>
      </c>
      <c r="AB699" t="str">
        <f>HYPERLINK("Melting_Curves/meltCurve_H3BTX0_.pdf", "Melting_Curves/meltCurve_H3BTX0_.pdf")</f>
        <v>Melting_Curves/meltCurve_H3BTX0_.pdf</v>
      </c>
    </row>
    <row r="700" spans="1:28" x14ac:dyDescent="0.25">
      <c r="A700" t="s">
        <v>704</v>
      </c>
      <c r="B700">
        <v>0.99987803227770999</v>
      </c>
      <c r="C700">
        <v>0.85140187649381105</v>
      </c>
      <c r="D700">
        <v>1.0734799088640701</v>
      </c>
      <c r="E700">
        <v>0.96834498456232798</v>
      </c>
      <c r="F700">
        <v>1.57936611113632</v>
      </c>
      <c r="G700">
        <v>1.5601783901344899</v>
      </c>
      <c r="H700">
        <v>0.44208690145803498</v>
      </c>
      <c r="I700">
        <v>0.19793270557423001</v>
      </c>
      <c r="J700">
        <v>0.116925033100569</v>
      </c>
      <c r="K700">
        <v>7.8291700293218705E-2</v>
      </c>
      <c r="L700">
        <v>9681.6609319115105</v>
      </c>
      <c r="M700">
        <v>159.29882829513801</v>
      </c>
      <c r="N700">
        <v>60.892771544418402</v>
      </c>
      <c r="O700">
        <v>60.767146443932198</v>
      </c>
      <c r="P700">
        <v>-0.56956631101969502</v>
      </c>
      <c r="Q700">
        <v>0.13091842512882601</v>
      </c>
      <c r="R700">
        <v>0.75585418654635805</v>
      </c>
      <c r="S700" t="s">
        <v>7011</v>
      </c>
      <c r="T700" t="s">
        <v>12620</v>
      </c>
      <c r="U700" t="s">
        <v>12620</v>
      </c>
      <c r="V700" t="s">
        <v>12620</v>
      </c>
      <c r="W700" t="s">
        <v>13299</v>
      </c>
      <c r="X700">
        <v>4</v>
      </c>
      <c r="Y700" t="s">
        <v>19543</v>
      </c>
      <c r="Z700" t="s">
        <v>25647</v>
      </c>
      <c r="AA700">
        <v>0.73303574544415773</v>
      </c>
      <c r="AB700" t="str">
        <f>HYPERLINK("Melting_Curves/meltCurve_H3BU49_ARL2BP.pdf", "Melting_Curves/meltCurve_H3BU49_ARL2BP.pdf")</f>
        <v>Melting_Curves/meltCurve_H3BU49_ARL2BP.pdf</v>
      </c>
    </row>
    <row r="701" spans="1:28" x14ac:dyDescent="0.25">
      <c r="A701" t="s">
        <v>705</v>
      </c>
      <c r="B701">
        <v>0.99987803227770999</v>
      </c>
      <c r="C701">
        <v>0.92037379220034599</v>
      </c>
      <c r="D701">
        <v>1.10725168723055</v>
      </c>
      <c r="E701">
        <v>0.98268936861558098</v>
      </c>
      <c r="F701">
        <v>1.1762456616207699</v>
      </c>
      <c r="G701">
        <v>0.95119467521887702</v>
      </c>
      <c r="H701">
        <v>1.02939712787805</v>
      </c>
      <c r="I701">
        <v>0.90667521817531205</v>
      </c>
      <c r="J701">
        <v>0.853890151754502</v>
      </c>
      <c r="K701">
        <v>0.63520416318196204</v>
      </c>
      <c r="L701">
        <v>1689.33171838065</v>
      </c>
      <c r="M701">
        <v>23.5652741831375</v>
      </c>
      <c r="Q701">
        <v>0</v>
      </c>
      <c r="R701">
        <v>0.71925903694529003</v>
      </c>
      <c r="S701" t="s">
        <v>7012</v>
      </c>
      <c r="T701" t="s">
        <v>12620</v>
      </c>
      <c r="U701" t="s">
        <v>12620</v>
      </c>
      <c r="V701" t="s">
        <v>12620</v>
      </c>
      <c r="W701" t="s">
        <v>13300</v>
      </c>
      <c r="X701">
        <v>33</v>
      </c>
      <c r="Y701" t="s">
        <v>19544</v>
      </c>
      <c r="Z701" t="s">
        <v>25648</v>
      </c>
      <c r="AA701">
        <v>0.96016124029933381</v>
      </c>
      <c r="AB701" t="str">
        <f>HYPERLINK("Melting_Curves/meltCurve_H3BUF6_ATXN2L.pdf", "Melting_Curves/meltCurve_H3BUF6_ATXN2L.pdf")</f>
        <v>Melting_Curves/meltCurve_H3BUF6_ATXN2L.pdf</v>
      </c>
    </row>
    <row r="702" spans="1:28" x14ac:dyDescent="0.25">
      <c r="A702" t="s">
        <v>706</v>
      </c>
      <c r="B702">
        <v>0.99987803227770999</v>
      </c>
      <c r="C702">
        <v>0.99774296747041202</v>
      </c>
      <c r="D702">
        <v>1.14683120809207</v>
      </c>
      <c r="E702">
        <v>0.96891117184936304</v>
      </c>
      <c r="F702">
        <v>0.83429753824811603</v>
      </c>
      <c r="G702">
        <v>0.76870516104303299</v>
      </c>
      <c r="H702">
        <v>0.46479714494605101</v>
      </c>
      <c r="I702">
        <v>0.19622863293281201</v>
      </c>
      <c r="J702">
        <v>9.3779655551717703E-2</v>
      </c>
      <c r="K702">
        <v>5.4147387834313498E-2</v>
      </c>
      <c r="L702">
        <v>1180.46888092271</v>
      </c>
      <c r="M702">
        <v>19.6512225412371</v>
      </c>
      <c r="N702">
        <v>60.071016381725798</v>
      </c>
      <c r="O702">
        <v>59.459341821285001</v>
      </c>
      <c r="P702">
        <v>-8.2627528745886705E-2</v>
      </c>
      <c r="Q702">
        <v>0</v>
      </c>
      <c r="R702">
        <v>0.97674668573025802</v>
      </c>
      <c r="S702" t="s">
        <v>7013</v>
      </c>
      <c r="T702" t="s">
        <v>12620</v>
      </c>
      <c r="U702" t="s">
        <v>12620</v>
      </c>
      <c r="V702" t="s">
        <v>12620</v>
      </c>
      <c r="W702" t="s">
        <v>13301</v>
      </c>
      <c r="X702">
        <v>4</v>
      </c>
      <c r="Y702" t="s">
        <v>19545</v>
      </c>
      <c r="Z702" t="s">
        <v>25649</v>
      </c>
      <c r="AA702">
        <v>0.67725826374456155</v>
      </c>
      <c r="AB702" t="str">
        <f>HYPERLINK("Melting_Curves/meltCurve_H6UMI1_GABARAP.pdf", "Melting_Curves/meltCurve_H6UMI1_GABARAP.pdf")</f>
        <v>Melting_Curves/meltCurve_H6UMI1_GABARAP.pdf</v>
      </c>
    </row>
    <row r="703" spans="1:28" x14ac:dyDescent="0.25">
      <c r="A703" t="s">
        <v>707</v>
      </c>
      <c r="B703">
        <v>0.99987803227770999</v>
      </c>
      <c r="C703">
        <v>1.0629861984490201</v>
      </c>
      <c r="D703">
        <v>0.930007976315122</v>
      </c>
      <c r="E703">
        <v>0.87251381417030605</v>
      </c>
      <c r="F703">
        <v>0.52270533272208397</v>
      </c>
      <c r="G703">
        <v>0.39771866002817502</v>
      </c>
      <c r="H703">
        <v>0.22999271189721601</v>
      </c>
      <c r="I703">
        <v>0.176937855868016</v>
      </c>
      <c r="J703">
        <v>0.123962098492843</v>
      </c>
      <c r="K703">
        <v>0.10323661033936</v>
      </c>
      <c r="L703">
        <v>906.27331898468594</v>
      </c>
      <c r="M703">
        <v>16.845772511642199</v>
      </c>
      <c r="N703">
        <v>54.5722180318987</v>
      </c>
      <c r="O703">
        <v>53.057300688580398</v>
      </c>
      <c r="P703">
        <v>-7.0945651915763297E-2</v>
      </c>
      <c r="Q703">
        <v>0.10625798054098901</v>
      </c>
      <c r="R703">
        <v>0.98461137112715902</v>
      </c>
      <c r="S703" t="s">
        <v>7014</v>
      </c>
      <c r="T703" t="s">
        <v>12620</v>
      </c>
      <c r="U703" t="s">
        <v>12620</v>
      </c>
      <c r="V703" t="s">
        <v>12620</v>
      </c>
      <c r="W703" t="s">
        <v>13302</v>
      </c>
      <c r="X703">
        <v>1</v>
      </c>
      <c r="Y703" t="s">
        <v>19546</v>
      </c>
      <c r="Z703" t="s">
        <v>25650</v>
      </c>
      <c r="AA703">
        <v>0.53317345767579205</v>
      </c>
      <c r="AB703" t="str">
        <f>HYPERLINK("Melting_Curves/meltCurve_H7BXG2_NPRL3.pdf", "Melting_Curves/meltCurve_H7BXG2_NPRL3.pdf")</f>
        <v>Melting_Curves/meltCurve_H7BXG2_NPRL3.pdf</v>
      </c>
    </row>
    <row r="704" spans="1:28" x14ac:dyDescent="0.25">
      <c r="A704" t="s">
        <v>708</v>
      </c>
      <c r="B704">
        <v>0.99987803227770999</v>
      </c>
      <c r="C704">
        <v>0.95737477778066205</v>
      </c>
      <c r="D704">
        <v>0.968141458216499</v>
      </c>
      <c r="E704">
        <v>1.1635044128026899</v>
      </c>
      <c r="F704">
        <v>1.1292978251038299</v>
      </c>
      <c r="G704">
        <v>1.0236737084401</v>
      </c>
      <c r="H704">
        <v>0.55445350228776602</v>
      </c>
      <c r="I704">
        <v>0.40012350857391799</v>
      </c>
      <c r="J704">
        <v>0.388659933337344</v>
      </c>
      <c r="K704">
        <v>0.29919871003345999</v>
      </c>
      <c r="L704">
        <v>4829.02653979551</v>
      </c>
      <c r="M704">
        <v>79.969911954649007</v>
      </c>
      <c r="N704">
        <v>61.359888154336602</v>
      </c>
      <c r="O704">
        <v>60.347813087790499</v>
      </c>
      <c r="P704">
        <v>-0.212169517809563</v>
      </c>
      <c r="Q704">
        <v>0.35956089734671298</v>
      </c>
      <c r="R704">
        <v>0.94840382522718303</v>
      </c>
      <c r="S704" t="s">
        <v>7015</v>
      </c>
      <c r="T704" t="s">
        <v>12620</v>
      </c>
      <c r="U704" t="s">
        <v>12620</v>
      </c>
      <c r="V704" t="s">
        <v>12620</v>
      </c>
      <c r="W704" t="s">
        <v>13303</v>
      </c>
      <c r="X704">
        <v>22</v>
      </c>
      <c r="Y704" t="s">
        <v>19547</v>
      </c>
      <c r="Z704" t="s">
        <v>25651</v>
      </c>
      <c r="AA704">
        <v>0.79541507061768768</v>
      </c>
      <c r="AB704" t="str">
        <f>HYPERLINK("Melting_Curves/meltCurve_H7BXH2_PPP6R3.pdf", "Melting_Curves/meltCurve_H7BXH2_PPP6R3.pdf")</f>
        <v>Melting_Curves/meltCurve_H7BXH2_PPP6R3.pdf</v>
      </c>
    </row>
    <row r="705" spans="1:28" x14ac:dyDescent="0.25">
      <c r="A705" t="s">
        <v>709</v>
      </c>
      <c r="B705">
        <v>0.99987803227770999</v>
      </c>
      <c r="C705">
        <v>0.94647781863375502</v>
      </c>
      <c r="D705">
        <v>1.05297645721445</v>
      </c>
      <c r="E705">
        <v>0.95002101928386495</v>
      </c>
      <c r="F705">
        <v>0.81191688202861401</v>
      </c>
      <c r="G705">
        <v>0.43310988707103898</v>
      </c>
      <c r="H705">
        <v>0.30663672825858301</v>
      </c>
      <c r="I705">
        <v>0.31028641120341</v>
      </c>
      <c r="J705">
        <v>0.242884152614016</v>
      </c>
      <c r="K705">
        <v>0.18547566321146999</v>
      </c>
      <c r="L705">
        <v>1503.68577177111</v>
      </c>
      <c r="M705">
        <v>27.325794038090699</v>
      </c>
      <c r="N705">
        <v>56.374527414119498</v>
      </c>
      <c r="O705">
        <v>54.735879356620998</v>
      </c>
      <c r="P705">
        <v>-9.4895948351656406E-2</v>
      </c>
      <c r="Q705">
        <v>0.239668455184571</v>
      </c>
      <c r="R705">
        <v>0.98865101497136498</v>
      </c>
      <c r="S705" t="s">
        <v>7016</v>
      </c>
      <c r="T705" t="s">
        <v>12620</v>
      </c>
      <c r="U705" t="s">
        <v>12620</v>
      </c>
      <c r="V705" t="s">
        <v>12620</v>
      </c>
      <c r="W705" t="s">
        <v>13304</v>
      </c>
      <c r="X705">
        <v>4</v>
      </c>
      <c r="Y705" t="s">
        <v>19548</v>
      </c>
      <c r="Z705" t="s">
        <v>25652</v>
      </c>
      <c r="AA705">
        <v>0.6265452193939488</v>
      </c>
      <c r="AB705" t="str">
        <f>HYPERLINK("Melting_Curves/meltCurve_H7BXI1_ESYT2.pdf", "Melting_Curves/meltCurve_H7BXI1_ESYT2.pdf")</f>
        <v>Melting_Curves/meltCurve_H7BXI1_ESYT2.pdf</v>
      </c>
    </row>
    <row r="706" spans="1:28" x14ac:dyDescent="0.25">
      <c r="A706" t="s">
        <v>710</v>
      </c>
      <c r="B706">
        <v>0.99987803227770999</v>
      </c>
      <c r="C706">
        <v>0.97295195515461896</v>
      </c>
      <c r="D706">
        <v>0.926753325499311</v>
      </c>
      <c r="E706">
        <v>0.943239573755834</v>
      </c>
      <c r="F706">
        <v>1.0191576388964501</v>
      </c>
      <c r="G706">
        <v>0.69696527974383704</v>
      </c>
      <c r="H706">
        <v>0.82652851965429597</v>
      </c>
      <c r="I706">
        <v>0.81211372484669297</v>
      </c>
      <c r="J706">
        <v>0.68981740507268197</v>
      </c>
      <c r="K706">
        <v>0.63058558730066605</v>
      </c>
      <c r="L706">
        <v>356.699470451575</v>
      </c>
      <c r="M706">
        <v>4.4802695431082</v>
      </c>
      <c r="O706">
        <v>67.583497221989504</v>
      </c>
      <c r="P706">
        <v>-1.67201741958505E-2</v>
      </c>
      <c r="Q706">
        <v>0</v>
      </c>
      <c r="R706">
        <v>0.74930261648118601</v>
      </c>
      <c r="S706" t="s">
        <v>7017</v>
      </c>
      <c r="T706" t="s">
        <v>12620</v>
      </c>
      <c r="U706" t="s">
        <v>12620</v>
      </c>
      <c r="V706" t="s">
        <v>12620</v>
      </c>
      <c r="W706" t="s">
        <v>13305</v>
      </c>
      <c r="X706">
        <v>8</v>
      </c>
      <c r="Y706" t="s">
        <v>19549</v>
      </c>
      <c r="Z706" t="s">
        <v>25653</v>
      </c>
      <c r="AA706">
        <v>0.85901079955119075</v>
      </c>
      <c r="AB706" t="str">
        <f>HYPERLINK("Melting_Curves/meltCurve_H7BY36_EWSR1.pdf", "Melting_Curves/meltCurve_H7BY36_EWSR1.pdf")</f>
        <v>Melting_Curves/meltCurve_H7BY36_EWSR1.pdf</v>
      </c>
    </row>
    <row r="707" spans="1:28" x14ac:dyDescent="0.25">
      <c r="A707" t="s">
        <v>711</v>
      </c>
      <c r="B707">
        <v>0.99987803227770999</v>
      </c>
      <c r="C707">
        <v>1.03212977135247</v>
      </c>
      <c r="D707">
        <v>1.19261965716092</v>
      </c>
      <c r="E707">
        <v>0.97941617249536606</v>
      </c>
      <c r="F707">
        <v>1.1153713231264799</v>
      </c>
      <c r="G707">
        <v>0.97554209548655901</v>
      </c>
      <c r="H707">
        <v>1.08797442777238</v>
      </c>
      <c r="I707">
        <v>1.1383041589599201</v>
      </c>
      <c r="J707">
        <v>1.3426683175020599</v>
      </c>
      <c r="K707">
        <v>1.1506557982177299</v>
      </c>
      <c r="L707">
        <v>351.777538206104</v>
      </c>
      <c r="M707">
        <v>4.7195250561342696</v>
      </c>
      <c r="O707">
        <v>64.145037706295994</v>
      </c>
      <c r="P707">
        <v>9.2655558410844399E-3</v>
      </c>
      <c r="Q707">
        <v>1.5</v>
      </c>
      <c r="R707">
        <v>0.311792664351972</v>
      </c>
      <c r="S707" t="s">
        <v>7018</v>
      </c>
      <c r="T707" t="s">
        <v>12620</v>
      </c>
      <c r="U707" t="s">
        <v>12620</v>
      </c>
      <c r="V707" t="s">
        <v>12620</v>
      </c>
      <c r="W707" t="s">
        <v>13306</v>
      </c>
      <c r="X707">
        <v>43</v>
      </c>
      <c r="Y707" t="s">
        <v>19550</v>
      </c>
      <c r="Z707" t="s">
        <v>25654</v>
      </c>
      <c r="AA707">
        <v>1.0900295250670109</v>
      </c>
      <c r="AB707" t="str">
        <f>HYPERLINK("Melting_Curves/meltCurve_H7BYY1_TPM1.pdf", "Melting_Curves/meltCurve_H7BYY1_TPM1.pdf")</f>
        <v>Melting_Curves/meltCurve_H7BYY1_TPM1.pdf</v>
      </c>
    </row>
    <row r="708" spans="1:28" x14ac:dyDescent="0.25">
      <c r="A708" t="s">
        <v>712</v>
      </c>
      <c r="B708">
        <v>0.99987803227770999</v>
      </c>
      <c r="C708">
        <v>0.99914994611939301</v>
      </c>
      <c r="D708">
        <v>0.89356415814323098</v>
      </c>
      <c r="E708">
        <v>0.84721850711771396</v>
      </c>
      <c r="F708">
        <v>0.96352117957236605</v>
      </c>
      <c r="G708">
        <v>0.62586646054763795</v>
      </c>
      <c r="H708">
        <v>0.70032391292001595</v>
      </c>
      <c r="I708">
        <v>0.69809389481939299</v>
      </c>
      <c r="J708">
        <v>0.61683741193886499</v>
      </c>
      <c r="K708">
        <v>0.55094095030095103</v>
      </c>
      <c r="L708">
        <v>451.21775151343098</v>
      </c>
      <c r="M708">
        <v>7.7389515626187002</v>
      </c>
      <c r="O708">
        <v>54.795291749108401</v>
      </c>
      <c r="P708">
        <v>-1.8939947689685401E-2</v>
      </c>
      <c r="Q708">
        <v>0.46427207442579099</v>
      </c>
      <c r="R708">
        <v>0.83546201536111697</v>
      </c>
      <c r="S708" t="s">
        <v>7019</v>
      </c>
      <c r="T708" t="s">
        <v>12620</v>
      </c>
      <c r="U708" t="s">
        <v>12620</v>
      </c>
      <c r="V708" t="s">
        <v>12620</v>
      </c>
      <c r="W708" t="s">
        <v>13307</v>
      </c>
      <c r="X708">
        <v>3</v>
      </c>
      <c r="Y708" t="s">
        <v>19551</v>
      </c>
      <c r="Z708" t="s">
        <v>25655</v>
      </c>
      <c r="AA708">
        <v>0.79093565691179935</v>
      </c>
      <c r="AB708" t="str">
        <f>HYPERLINK("Melting_Curves/meltCurve_H7BYY2_BCOR.pdf", "Melting_Curves/meltCurve_H7BYY2_BCOR.pdf")</f>
        <v>Melting_Curves/meltCurve_H7BYY2_BCOR.pdf</v>
      </c>
    </row>
    <row r="709" spans="1:28" x14ac:dyDescent="0.25">
      <c r="A709" t="s">
        <v>713</v>
      </c>
      <c r="B709">
        <v>0.99987803227770999</v>
      </c>
      <c r="C709">
        <v>0.93194240652758897</v>
      </c>
      <c r="D709">
        <v>0.98238260487020801</v>
      </c>
      <c r="E709">
        <v>0.84267858675007501</v>
      </c>
      <c r="F709">
        <v>0.63038132714558504</v>
      </c>
      <c r="G709">
        <v>0.34952090149424803</v>
      </c>
      <c r="H709">
        <v>0.28714619636178002</v>
      </c>
      <c r="I709">
        <v>0.27151307142158698</v>
      </c>
      <c r="J709">
        <v>0.22382168024853</v>
      </c>
      <c r="K709">
        <v>0.180456684487278</v>
      </c>
      <c r="L709">
        <v>1102.34556453249</v>
      </c>
      <c r="M709">
        <v>20.698290227586</v>
      </c>
      <c r="N709">
        <v>54.723392724499298</v>
      </c>
      <c r="O709">
        <v>52.768145685811703</v>
      </c>
      <c r="P709">
        <v>-7.7199566894315994E-2</v>
      </c>
      <c r="Q709">
        <v>0.21277298055853699</v>
      </c>
      <c r="R709">
        <v>0.99258157348790499</v>
      </c>
      <c r="S709" t="s">
        <v>7020</v>
      </c>
      <c r="T709" t="s">
        <v>12620</v>
      </c>
      <c r="U709" t="s">
        <v>12620</v>
      </c>
      <c r="V709" t="s">
        <v>12620</v>
      </c>
      <c r="W709" t="s">
        <v>13308</v>
      </c>
      <c r="X709">
        <v>9</v>
      </c>
      <c r="Y709" t="s">
        <v>19455</v>
      </c>
      <c r="Z709" t="s">
        <v>25656</v>
      </c>
      <c r="AA709">
        <v>0.57085914662098936</v>
      </c>
      <c r="AB709" t="str">
        <f>HYPERLINK("Melting_Curves/meltCurve_H7BZJ3_PDIA3.pdf", "Melting_Curves/meltCurve_H7BZJ3_PDIA3.pdf")</f>
        <v>Melting_Curves/meltCurve_H7BZJ3_PDIA3.pdf</v>
      </c>
    </row>
    <row r="710" spans="1:28" x14ac:dyDescent="0.25">
      <c r="A710" t="s">
        <v>714</v>
      </c>
      <c r="B710">
        <v>0.99987803227770999</v>
      </c>
      <c r="C710">
        <v>0.81806015634497098</v>
      </c>
      <c r="D710">
        <v>0.92485749650650295</v>
      </c>
      <c r="E710">
        <v>0.78778306825085398</v>
      </c>
      <c r="F710">
        <v>0.97546335481110102</v>
      </c>
      <c r="G710">
        <v>0.92076984643410498</v>
      </c>
      <c r="H710">
        <v>0.83302314451524295</v>
      </c>
      <c r="I710">
        <v>0.97360804623730302</v>
      </c>
      <c r="J710">
        <v>0.76769294889717798</v>
      </c>
      <c r="K710">
        <v>0.64264470297254805</v>
      </c>
      <c r="L710">
        <v>173.41200517661201</v>
      </c>
      <c r="M710">
        <v>1.24733828861913</v>
      </c>
      <c r="O710">
        <v>59.344187337885998</v>
      </c>
      <c r="P710">
        <v>-6.5435231635097403E-3</v>
      </c>
      <c r="Q710">
        <v>0</v>
      </c>
      <c r="R710">
        <v>0.25717703612324799</v>
      </c>
      <c r="S710" t="s">
        <v>7021</v>
      </c>
      <c r="T710" t="s">
        <v>12620</v>
      </c>
      <c r="U710" t="s">
        <v>12620</v>
      </c>
      <c r="V710" t="s">
        <v>12620</v>
      </c>
      <c r="W710" t="s">
        <v>13309</v>
      </c>
      <c r="X710">
        <v>2</v>
      </c>
      <c r="Y710" t="s">
        <v>19552</v>
      </c>
      <c r="Z710" t="s">
        <v>25657</v>
      </c>
      <c r="AA710">
        <v>0.86884103343989216</v>
      </c>
      <c r="AB710" t="str">
        <f>HYPERLINK("Melting_Curves/meltCurve_H7BZL0_MKI67IP.pdf", "Melting_Curves/meltCurve_H7BZL0_MKI67IP.pdf")</f>
        <v>Melting_Curves/meltCurve_H7BZL0_MKI67IP.pdf</v>
      </c>
    </row>
    <row r="711" spans="1:28" x14ac:dyDescent="0.25">
      <c r="A711" t="s">
        <v>715</v>
      </c>
      <c r="B711">
        <v>0.99987803227770999</v>
      </c>
      <c r="C711">
        <v>0.97686431892618197</v>
      </c>
      <c r="D711">
        <v>1.0259516658234999</v>
      </c>
      <c r="E711">
        <v>1.1499682935759401</v>
      </c>
      <c r="F711">
        <v>1.19443940309757</v>
      </c>
      <c r="G711">
        <v>1.10010070070986</v>
      </c>
      <c r="H711">
        <v>0.95990886323137303</v>
      </c>
      <c r="I711">
        <v>1.05252224146471</v>
      </c>
      <c r="J711">
        <v>0.87239037054997204</v>
      </c>
      <c r="K711">
        <v>0.73347066058830301</v>
      </c>
      <c r="L711">
        <v>15000</v>
      </c>
      <c r="M711">
        <v>223.79544519383001</v>
      </c>
      <c r="O711">
        <v>67.020134973109705</v>
      </c>
      <c r="P711">
        <v>-0.22251799198401001</v>
      </c>
      <c r="Q711">
        <v>0.73344967687440599</v>
      </c>
      <c r="R711">
        <v>0.53378613114223294</v>
      </c>
      <c r="S711" t="s">
        <v>7022</v>
      </c>
      <c r="T711" t="s">
        <v>12620</v>
      </c>
      <c r="U711" t="s">
        <v>12620</v>
      </c>
      <c r="V711" t="s">
        <v>12620</v>
      </c>
      <c r="W711" t="s">
        <v>13310</v>
      </c>
      <c r="X711">
        <v>1</v>
      </c>
      <c r="Y711" t="s">
        <v>19553</v>
      </c>
      <c r="Z711" t="s">
        <v>25658</v>
      </c>
      <c r="AA711">
        <v>0.97361038285083512</v>
      </c>
      <c r="AB711" t="str">
        <f>HYPERLINK("Melting_Curves/meltCurve_H7C0D5_YIPF4.pdf", "Melting_Curves/meltCurve_H7C0D5_YIPF4.pdf")</f>
        <v>Melting_Curves/meltCurve_H7C0D5_YIPF4.pdf</v>
      </c>
    </row>
    <row r="712" spans="1:28" x14ac:dyDescent="0.25">
      <c r="A712" t="s">
        <v>716</v>
      </c>
      <c r="B712">
        <v>0.99987803227770999</v>
      </c>
      <c r="C712">
        <v>0.95819865668228799</v>
      </c>
      <c r="D712">
        <v>1.06149023800661</v>
      </c>
      <c r="E712">
        <v>0.96782087069539002</v>
      </c>
      <c r="F712">
        <v>1.03710199445489</v>
      </c>
      <c r="G712">
        <v>0.45985346825095003</v>
      </c>
      <c r="H712">
        <v>0.17934907486440799</v>
      </c>
      <c r="I712">
        <v>0.145932678496767</v>
      </c>
      <c r="J712">
        <v>9.8157726340524901E-2</v>
      </c>
      <c r="K712">
        <v>7.6297021620368194E-2</v>
      </c>
      <c r="L712">
        <v>4544.0163977887496</v>
      </c>
      <c r="M712">
        <v>80.1878351146066</v>
      </c>
      <c r="N712">
        <v>56.869201585662204</v>
      </c>
      <c r="O712">
        <v>56.631939722732099</v>
      </c>
      <c r="P712">
        <v>-0.31010814395698</v>
      </c>
      <c r="Q712">
        <v>0.12395573355053199</v>
      </c>
      <c r="R712">
        <v>0.99181668914863796</v>
      </c>
      <c r="S712" t="s">
        <v>7023</v>
      </c>
      <c r="T712" t="s">
        <v>12620</v>
      </c>
      <c r="U712" t="s">
        <v>12620</v>
      </c>
      <c r="V712" t="s">
        <v>12620</v>
      </c>
      <c r="W712" t="s">
        <v>13311</v>
      </c>
      <c r="X712">
        <v>4</v>
      </c>
      <c r="Y712" t="s">
        <v>19554</v>
      </c>
      <c r="Z712" t="s">
        <v>25659</v>
      </c>
      <c r="AA712">
        <v>0.61150968081343915</v>
      </c>
      <c r="AB712" t="str">
        <f>HYPERLINK("Melting_Curves/meltCurve_H7C0G7_NHEJ1.pdf", "Melting_Curves/meltCurve_H7C0G7_NHEJ1.pdf")</f>
        <v>Melting_Curves/meltCurve_H7C0G7_NHEJ1.pdf</v>
      </c>
    </row>
    <row r="713" spans="1:28" x14ac:dyDescent="0.25">
      <c r="A713" t="s">
        <v>717</v>
      </c>
      <c r="B713">
        <v>0.99987803227770999</v>
      </c>
      <c r="C713">
        <v>1.08973762171956</v>
      </c>
      <c r="D713">
        <v>1.94151267914965</v>
      </c>
      <c r="E713">
        <v>0.88095423209854795</v>
      </c>
      <c r="F713">
        <v>1.16748594531079</v>
      </c>
      <c r="G713">
        <v>0.25347859151243102</v>
      </c>
      <c r="H713">
        <v>1.09461901872695</v>
      </c>
      <c r="I713">
        <v>1.1743979671279501</v>
      </c>
      <c r="J713">
        <v>0.80021042009342802</v>
      </c>
      <c r="K713">
        <v>0.48423534792942802</v>
      </c>
      <c r="L713">
        <v>15000</v>
      </c>
      <c r="M713">
        <v>223.421911422492</v>
      </c>
      <c r="N713">
        <v>68.191517060719306</v>
      </c>
      <c r="O713">
        <v>67.132171386857394</v>
      </c>
      <c r="P713">
        <v>-0.42917561775631802</v>
      </c>
      <c r="Q713">
        <v>0.48417787458274097</v>
      </c>
      <c r="R713">
        <v>0.165741971219004</v>
      </c>
      <c r="S713" t="s">
        <v>7024</v>
      </c>
      <c r="T713" t="s">
        <v>12620</v>
      </c>
      <c r="U713" t="s">
        <v>12620</v>
      </c>
      <c r="V713" t="s">
        <v>12620</v>
      </c>
      <c r="W713" t="s">
        <v>13312</v>
      </c>
      <c r="X713">
        <v>4</v>
      </c>
      <c r="Y713" t="s">
        <v>19555</v>
      </c>
      <c r="Z713" t="s">
        <v>25660</v>
      </c>
      <c r="AA713">
        <v>0.95085834179888695</v>
      </c>
      <c r="AB713" t="str">
        <f>HYPERLINK("Melting_Curves/meltCurve_H7C0J3_CHD3.pdf", "Melting_Curves/meltCurve_H7C0J3_CHD3.pdf")</f>
        <v>Melting_Curves/meltCurve_H7C0J3_CHD3.pdf</v>
      </c>
    </row>
    <row r="714" spans="1:28" x14ac:dyDescent="0.25">
      <c r="A714" t="s">
        <v>718</v>
      </c>
      <c r="B714">
        <v>0.99987803227770999</v>
      </c>
      <c r="C714">
        <v>0.80403047502385505</v>
      </c>
      <c r="D714">
        <v>1.33045675577142</v>
      </c>
      <c r="E714">
        <v>0.60794098354046</v>
      </c>
      <c r="F714">
        <v>0.39108192260893698</v>
      </c>
      <c r="G714">
        <v>0.23512037074780501</v>
      </c>
      <c r="H714">
        <v>0.21154137781678001</v>
      </c>
      <c r="I714">
        <v>0.61506269025905902</v>
      </c>
      <c r="J714">
        <v>0.13649892204474301</v>
      </c>
      <c r="K714">
        <v>9.3577239839268703E-2</v>
      </c>
      <c r="L714">
        <v>3092.72194417439</v>
      </c>
      <c r="M714">
        <v>61.927252541821296</v>
      </c>
      <c r="N714">
        <v>50.5955399477144</v>
      </c>
      <c r="O714">
        <v>49.889210636820302</v>
      </c>
      <c r="P714">
        <v>-0.224819621185813</v>
      </c>
      <c r="Q714">
        <v>0.27553257061633601</v>
      </c>
      <c r="R714">
        <v>0.77826363226002504</v>
      </c>
      <c r="S714" t="s">
        <v>7025</v>
      </c>
      <c r="T714" t="s">
        <v>12620</v>
      </c>
      <c r="U714" t="s">
        <v>12620</v>
      </c>
      <c r="V714" t="s">
        <v>12620</v>
      </c>
      <c r="W714" t="s">
        <v>13313</v>
      </c>
      <c r="X714">
        <v>3</v>
      </c>
      <c r="Y714" t="s">
        <v>19556</v>
      </c>
      <c r="Z714" t="s">
        <v>25661</v>
      </c>
      <c r="AA714">
        <v>0.5166403649386172</v>
      </c>
      <c r="AB714" t="str">
        <f>HYPERLINK("Melting_Curves/meltCurve_H7C0S3_CDKN3.pdf", "Melting_Curves/meltCurve_H7C0S3_CDKN3.pdf")</f>
        <v>Melting_Curves/meltCurve_H7C0S3_CDKN3.pdf</v>
      </c>
    </row>
    <row r="715" spans="1:28" x14ac:dyDescent="0.25">
      <c r="A715" t="s">
        <v>719</v>
      </c>
      <c r="B715">
        <v>0.99987803227770999</v>
      </c>
      <c r="C715">
        <v>0.96404598964311095</v>
      </c>
      <c r="D715">
        <v>1.0741748492241701</v>
      </c>
      <c r="E715">
        <v>1.06303626918876</v>
      </c>
      <c r="F715">
        <v>1.1111406038776199</v>
      </c>
      <c r="G715">
        <v>0.80169103501882499</v>
      </c>
      <c r="H715">
        <v>0.82188703471976898</v>
      </c>
      <c r="I715">
        <v>0.95250657276154005</v>
      </c>
      <c r="J715">
        <v>0.68520449020139396</v>
      </c>
      <c r="K715">
        <v>0.60441456141248595</v>
      </c>
      <c r="L715">
        <v>774.94179006367597</v>
      </c>
      <c r="M715">
        <v>10.610045600877999</v>
      </c>
      <c r="Q715">
        <v>0</v>
      </c>
      <c r="R715">
        <v>0.71679261046528997</v>
      </c>
      <c r="S715" t="s">
        <v>7026</v>
      </c>
      <c r="T715" t="s">
        <v>12620</v>
      </c>
      <c r="U715" t="s">
        <v>12620</v>
      </c>
      <c r="V715" t="s">
        <v>12620</v>
      </c>
      <c r="W715" t="s">
        <v>13226</v>
      </c>
      <c r="X715">
        <v>4</v>
      </c>
      <c r="Z715" t="s">
        <v>25662</v>
      </c>
      <c r="AA715">
        <v>0.9134471047779158</v>
      </c>
      <c r="AB715" t="str">
        <f>HYPERLINK("Melting_Curves/meltCurve_H7C0S8_.pdf", "Melting_Curves/meltCurve_H7C0S8_.pdf")</f>
        <v>Melting_Curves/meltCurve_H7C0S8_.pdf</v>
      </c>
    </row>
    <row r="716" spans="1:28" x14ac:dyDescent="0.25">
      <c r="A716" t="s">
        <v>720</v>
      </c>
      <c r="B716">
        <v>0.99987803227770999</v>
      </c>
      <c r="C716">
        <v>0.99913619086498895</v>
      </c>
      <c r="D716">
        <v>0.95612687479307301</v>
      </c>
      <c r="E716">
        <v>0.69854330850702695</v>
      </c>
      <c r="F716">
        <v>0.49841643078064901</v>
      </c>
      <c r="G716">
        <v>0.32178883401039399</v>
      </c>
      <c r="H716">
        <v>0.29147257830696599</v>
      </c>
      <c r="I716">
        <v>0.25938817225315702</v>
      </c>
      <c r="J716">
        <v>0.23493604009958599</v>
      </c>
      <c r="K716">
        <v>0.179312771504577</v>
      </c>
      <c r="L716">
        <v>1008.77890612387</v>
      </c>
      <c r="M716">
        <v>19.633005052066299</v>
      </c>
      <c r="N716">
        <v>52.989836066407499</v>
      </c>
      <c r="O716">
        <v>50.857621866191302</v>
      </c>
      <c r="P716">
        <v>-7.4851916321774598E-2</v>
      </c>
      <c r="Q716">
        <v>0.224437165029511</v>
      </c>
      <c r="R716">
        <v>0.99502073760958798</v>
      </c>
      <c r="S716" t="s">
        <v>7027</v>
      </c>
      <c r="T716" t="s">
        <v>12620</v>
      </c>
      <c r="U716" t="s">
        <v>12620</v>
      </c>
      <c r="V716" t="s">
        <v>12620</v>
      </c>
      <c r="W716" t="s">
        <v>13314</v>
      </c>
      <c r="X716">
        <v>8</v>
      </c>
      <c r="Y716" t="s">
        <v>19557</v>
      </c>
      <c r="Z716" t="s">
        <v>25663</v>
      </c>
      <c r="AA716">
        <v>0.52980755602971585</v>
      </c>
      <c r="AB716" t="str">
        <f>HYPERLINK("Melting_Curves/meltCurve_H7C107_IQSEC1.pdf", "Melting_Curves/meltCurve_H7C107_IQSEC1.pdf")</f>
        <v>Melting_Curves/meltCurve_H7C107_IQSEC1.pdf</v>
      </c>
    </row>
    <row r="717" spans="1:28" x14ac:dyDescent="0.25">
      <c r="A717" t="s">
        <v>721</v>
      </c>
      <c r="B717">
        <v>0.99987803227770999</v>
      </c>
      <c r="C717">
        <v>0.98896770390342104</v>
      </c>
      <c r="D717">
        <v>1.0029105888563501</v>
      </c>
      <c r="E717">
        <v>0.64262376813557498</v>
      </c>
      <c r="F717">
        <v>0.42229561415877698</v>
      </c>
      <c r="G717">
        <v>0.34846655781754998</v>
      </c>
      <c r="H717">
        <v>0.34844953874775803</v>
      </c>
      <c r="I717">
        <v>0.31892396036759901</v>
      </c>
      <c r="J717">
        <v>0.290615711099795</v>
      </c>
      <c r="K717">
        <v>0.23148790086632501</v>
      </c>
      <c r="L717">
        <v>1578.07541449871</v>
      </c>
      <c r="M717">
        <v>31.5084841788637</v>
      </c>
      <c r="N717">
        <v>51.623936553893103</v>
      </c>
      <c r="O717">
        <v>49.883691107621402</v>
      </c>
      <c r="P717">
        <v>-0.109803408372836</v>
      </c>
      <c r="Q717">
        <v>0.30464819432319701</v>
      </c>
      <c r="R717">
        <v>0.98843676333470798</v>
      </c>
      <c r="S717" t="s">
        <v>7028</v>
      </c>
      <c r="T717" t="s">
        <v>12620</v>
      </c>
      <c r="U717" t="s">
        <v>12620</v>
      </c>
      <c r="V717" t="s">
        <v>12620</v>
      </c>
      <c r="W717" t="s">
        <v>13315</v>
      </c>
      <c r="X717">
        <v>6</v>
      </c>
      <c r="Y717" t="s">
        <v>19558</v>
      </c>
      <c r="Z717" t="s">
        <v>25664</v>
      </c>
      <c r="AA717">
        <v>0.5422824110713933</v>
      </c>
      <c r="AB717" t="str">
        <f>HYPERLINK("Melting_Curves/meltCurve_H7C1U3_CC2D1B.pdf", "Melting_Curves/meltCurve_H7C1U3_CC2D1B.pdf")</f>
        <v>Melting_Curves/meltCurve_H7C1U3_CC2D1B.pdf</v>
      </c>
    </row>
    <row r="718" spans="1:28" x14ac:dyDescent="0.25">
      <c r="A718" t="s">
        <v>722</v>
      </c>
      <c r="B718">
        <v>0.99987803227770999</v>
      </c>
      <c r="C718">
        <v>0.98250500304216404</v>
      </c>
      <c r="D718">
        <v>1.3156526213956601</v>
      </c>
      <c r="E718">
        <v>0.75585126418539805</v>
      </c>
      <c r="F718">
        <v>1.2539528230772199</v>
      </c>
      <c r="G718">
        <v>0.71129943230724502</v>
      </c>
      <c r="H718">
        <v>0.98053142955110095</v>
      </c>
      <c r="I718">
        <v>0.78795606333103596</v>
      </c>
      <c r="J718">
        <v>0.86343432710694601</v>
      </c>
      <c r="K718">
        <v>0.75624982269158803</v>
      </c>
      <c r="L718">
        <v>13757.169432812099</v>
      </c>
      <c r="M718">
        <v>250</v>
      </c>
      <c r="O718">
        <v>55.025155714106297</v>
      </c>
      <c r="P718">
        <v>-0.20457160216440901</v>
      </c>
      <c r="Q718">
        <v>0.81989465020068697</v>
      </c>
      <c r="R718">
        <v>0.32109938037811098</v>
      </c>
      <c r="S718" t="s">
        <v>7029</v>
      </c>
      <c r="T718" t="s">
        <v>12620</v>
      </c>
      <c r="U718" t="s">
        <v>12620</v>
      </c>
      <c r="V718" t="s">
        <v>12620</v>
      </c>
      <c r="W718" t="s">
        <v>13316</v>
      </c>
      <c r="X718">
        <v>1</v>
      </c>
      <c r="Y718" t="s">
        <v>19559</v>
      </c>
      <c r="Z718" t="s">
        <v>25665</v>
      </c>
      <c r="AA718">
        <v>0.91013688577351326</v>
      </c>
      <c r="AB718" t="str">
        <f>HYPERLINK("Melting_Curves/meltCurve_H7C284_MFSD6.pdf", "Melting_Curves/meltCurve_H7C284_MFSD6.pdf")</f>
        <v>Melting_Curves/meltCurve_H7C284_MFSD6.pdf</v>
      </c>
    </row>
    <row r="719" spans="1:28" x14ac:dyDescent="0.25">
      <c r="A719" t="s">
        <v>723</v>
      </c>
      <c r="B719">
        <v>0.99987803227770999</v>
      </c>
      <c r="C719">
        <v>1.0006450034094501</v>
      </c>
      <c r="D719">
        <v>1.5393131305699601</v>
      </c>
      <c r="E719">
        <v>0.93429139142107098</v>
      </c>
      <c r="F719">
        <v>1.5653572071205299</v>
      </c>
      <c r="G719">
        <v>0.88851721275080497</v>
      </c>
      <c r="H719">
        <v>1.1175366032649801</v>
      </c>
      <c r="I719">
        <v>1.0714544718999499</v>
      </c>
      <c r="J719">
        <v>1.80836049050768</v>
      </c>
      <c r="K719">
        <v>1.44655981611077</v>
      </c>
      <c r="L719">
        <v>262.15907552105699</v>
      </c>
      <c r="M719">
        <v>4.7271206851593996</v>
      </c>
      <c r="O719">
        <v>47.746166704746898</v>
      </c>
      <c r="P719">
        <v>1.2467431326661499E-2</v>
      </c>
      <c r="Q719">
        <v>1.5</v>
      </c>
      <c r="R719">
        <v>0.12480376082584101</v>
      </c>
      <c r="S719" t="s">
        <v>7030</v>
      </c>
      <c r="T719" t="s">
        <v>12620</v>
      </c>
      <c r="U719" t="s">
        <v>12620</v>
      </c>
      <c r="V719" t="s">
        <v>12620</v>
      </c>
      <c r="W719" t="s">
        <v>13317</v>
      </c>
      <c r="X719">
        <v>1</v>
      </c>
      <c r="Y719" t="s">
        <v>19560</v>
      </c>
      <c r="Z719" t="s">
        <v>25666</v>
      </c>
      <c r="AA719">
        <v>1.2338399607418391</v>
      </c>
      <c r="AB719" t="str">
        <f>HYPERLINK("Melting_Curves/meltCurve_H7C293_MZT2B.pdf", "Melting_Curves/meltCurve_H7C293_MZT2B.pdf")</f>
        <v>Melting_Curves/meltCurve_H7C293_MZT2B.pdf</v>
      </c>
    </row>
    <row r="720" spans="1:28" x14ac:dyDescent="0.25">
      <c r="A720" t="s">
        <v>724</v>
      </c>
      <c r="B720">
        <v>0.99987803227770999</v>
      </c>
      <c r="C720">
        <v>1.1950389628752101</v>
      </c>
      <c r="D720">
        <v>1.1000892629452099</v>
      </c>
      <c r="E720">
        <v>1.07306466517359</v>
      </c>
      <c r="F720">
        <v>0.99683576851790301</v>
      </c>
      <c r="G720">
        <v>0.237141358097297</v>
      </c>
      <c r="H720">
        <v>0.90217457753442198</v>
      </c>
      <c r="I720">
        <v>1.2167953769837101</v>
      </c>
      <c r="J720">
        <v>1.4465223047173801</v>
      </c>
      <c r="K720">
        <v>0.63801702990355702</v>
      </c>
      <c r="L720">
        <v>15000</v>
      </c>
      <c r="M720">
        <v>213.71862319503899</v>
      </c>
      <c r="Q720">
        <v>0</v>
      </c>
      <c r="R720">
        <v>0.124897916881548</v>
      </c>
      <c r="S720" t="s">
        <v>7031</v>
      </c>
      <c r="T720" t="s">
        <v>12620</v>
      </c>
      <c r="U720" t="s">
        <v>12620</v>
      </c>
      <c r="V720" t="s">
        <v>12620</v>
      </c>
      <c r="W720" t="s">
        <v>13318</v>
      </c>
      <c r="X720">
        <v>1</v>
      </c>
      <c r="Y720" t="s">
        <v>19561</v>
      </c>
      <c r="Z720" t="s">
        <v>25667</v>
      </c>
      <c r="AA720">
        <v>0.99515821305296981</v>
      </c>
      <c r="AB720" t="str">
        <f>HYPERLINK("Melting_Curves/meltCurve_H7C2G2_ART4.pdf", "Melting_Curves/meltCurve_H7C2G2_ART4.pdf")</f>
        <v>Melting_Curves/meltCurve_H7C2G2_ART4.pdf</v>
      </c>
    </row>
    <row r="721" spans="1:28" x14ac:dyDescent="0.25">
      <c r="A721" t="s">
        <v>725</v>
      </c>
      <c r="B721">
        <v>0.99987803227770999</v>
      </c>
      <c r="C721">
        <v>0.93701665956454006</v>
      </c>
      <c r="D721">
        <v>1.0587966867152401</v>
      </c>
      <c r="E721">
        <v>0.78833073768767503</v>
      </c>
      <c r="F721">
        <v>0.877088694457825</v>
      </c>
      <c r="G721">
        <v>0.71207004434909504</v>
      </c>
      <c r="H721">
        <v>0.78012874210074201</v>
      </c>
      <c r="I721">
        <v>0.75238864828638896</v>
      </c>
      <c r="J721">
        <v>0.68118191461921895</v>
      </c>
      <c r="K721">
        <v>0.59492100009712801</v>
      </c>
      <c r="L721">
        <v>421.05597897408597</v>
      </c>
      <c r="M721">
        <v>7.2856242931939699</v>
      </c>
      <c r="O721">
        <v>53.915966236505497</v>
      </c>
      <c r="P721">
        <v>-1.53040417346249E-2</v>
      </c>
      <c r="Q721">
        <v>0.547704312185747</v>
      </c>
      <c r="R721">
        <v>0.79295476403383502</v>
      </c>
      <c r="S721" t="s">
        <v>7032</v>
      </c>
      <c r="T721" t="s">
        <v>12620</v>
      </c>
      <c r="U721" t="s">
        <v>12620</v>
      </c>
      <c r="V721" t="s">
        <v>12620</v>
      </c>
      <c r="W721" t="s">
        <v>13319</v>
      </c>
      <c r="X721">
        <v>12</v>
      </c>
      <c r="Y721" t="s">
        <v>19562</v>
      </c>
      <c r="Z721" t="s">
        <v>25668</v>
      </c>
      <c r="AA721">
        <v>0.81689850180312829</v>
      </c>
      <c r="AB721" t="str">
        <f>HYPERLINK("Melting_Curves/meltCurve_H7C2K6_EPB41L1.pdf", "Melting_Curves/meltCurve_H7C2K6_EPB41L1.pdf")</f>
        <v>Melting_Curves/meltCurve_H7C2K6_EPB41L1.pdf</v>
      </c>
    </row>
    <row r="722" spans="1:28" x14ac:dyDescent="0.25">
      <c r="A722" t="s">
        <v>726</v>
      </c>
      <c r="B722">
        <v>0.99987803227770999</v>
      </c>
      <c r="C722">
        <v>1.04090658698312</v>
      </c>
      <c r="D722">
        <v>1.0507227382334801</v>
      </c>
      <c r="E722">
        <v>0.90668576876447504</v>
      </c>
      <c r="F722">
        <v>0.48664862797461</v>
      </c>
      <c r="G722">
        <v>0.15362869873909801</v>
      </c>
      <c r="H722">
        <v>0.10322766367832401</v>
      </c>
      <c r="I722">
        <v>9.5817411595209803E-2</v>
      </c>
      <c r="J722">
        <v>6.05069919031445E-2</v>
      </c>
      <c r="K722">
        <v>4.1144200525684203E-2</v>
      </c>
      <c r="L722">
        <v>1972.00651303423</v>
      </c>
      <c r="M722">
        <v>37.385608025069502</v>
      </c>
      <c r="N722">
        <v>52.986351994818101</v>
      </c>
      <c r="O722">
        <v>52.597503696447198</v>
      </c>
      <c r="P722">
        <v>-0.163930471525393</v>
      </c>
      <c r="Q722">
        <v>7.7472792237196206E-2</v>
      </c>
      <c r="R722">
        <v>0.99582424528343605</v>
      </c>
      <c r="S722" t="s">
        <v>7033</v>
      </c>
      <c r="T722" t="s">
        <v>12620</v>
      </c>
      <c r="U722" t="s">
        <v>12620</v>
      </c>
      <c r="V722" t="s">
        <v>12620</v>
      </c>
      <c r="W722" t="s">
        <v>13320</v>
      </c>
      <c r="X722">
        <v>5</v>
      </c>
      <c r="Y722" t="s">
        <v>19563</v>
      </c>
      <c r="Z722" t="s">
        <v>25669</v>
      </c>
      <c r="AA722">
        <v>0.47332603241719567</v>
      </c>
      <c r="AB722" t="str">
        <f>HYPERLINK("Melting_Curves/meltCurve_H7C2Z6_GCA.pdf", "Melting_Curves/meltCurve_H7C2Z6_GCA.pdf")</f>
        <v>Melting_Curves/meltCurve_H7C2Z6_GCA.pdf</v>
      </c>
    </row>
    <row r="723" spans="1:28" x14ac:dyDescent="0.25">
      <c r="A723" t="s">
        <v>727</v>
      </c>
      <c r="B723">
        <v>0.99987803227770999</v>
      </c>
      <c r="C723">
        <v>1.02365537317976</v>
      </c>
      <c r="D723">
        <v>0.97831006167475398</v>
      </c>
      <c r="E723">
        <v>0.94602925624852596</v>
      </c>
      <c r="F723">
        <v>0.76631962162704104</v>
      </c>
      <c r="G723">
        <v>0.41880790097727799</v>
      </c>
      <c r="H723">
        <v>0.357617683868934</v>
      </c>
      <c r="I723">
        <v>0.308012317319174</v>
      </c>
      <c r="J723">
        <v>0.26054009073696499</v>
      </c>
      <c r="K723">
        <v>0.206477569935622</v>
      </c>
      <c r="L723">
        <v>1349.82802024583</v>
      </c>
      <c r="M723">
        <v>24.722806258099201</v>
      </c>
      <c r="N723">
        <v>56.236688250098503</v>
      </c>
      <c r="O723">
        <v>54.245034147437202</v>
      </c>
      <c r="P723">
        <v>-8.4696689881180703E-2</v>
      </c>
      <c r="Q723">
        <v>0.25666848343696003</v>
      </c>
      <c r="R723">
        <v>0.99213240180613405</v>
      </c>
      <c r="S723" t="s">
        <v>7034</v>
      </c>
      <c r="T723" t="s">
        <v>12620</v>
      </c>
      <c r="U723" t="s">
        <v>12620</v>
      </c>
      <c r="V723" t="s">
        <v>12620</v>
      </c>
      <c r="W723" t="s">
        <v>13321</v>
      </c>
      <c r="X723">
        <v>2</v>
      </c>
      <c r="Y723" t="s">
        <v>19564</v>
      </c>
      <c r="Z723" t="s">
        <v>25670</v>
      </c>
      <c r="AA723">
        <v>0.62540651372267497</v>
      </c>
      <c r="AB723" t="str">
        <f>HYPERLINK("Melting_Curves/meltCurve_H7C331_SDCCAG3.pdf", "Melting_Curves/meltCurve_H7C331_SDCCAG3.pdf")</f>
        <v>Melting_Curves/meltCurve_H7C331_SDCCAG3.pdf</v>
      </c>
    </row>
    <row r="724" spans="1:28" x14ac:dyDescent="0.25">
      <c r="A724" t="s">
        <v>728</v>
      </c>
      <c r="B724">
        <v>0.99987803227770999</v>
      </c>
      <c r="C724">
        <v>1.0111242367221001</v>
      </c>
      <c r="D724">
        <v>1.04551414655775</v>
      </c>
      <c r="E724">
        <v>0.97984808281889402</v>
      </c>
      <c r="F724">
        <v>0.87922982160129204</v>
      </c>
      <c r="G724">
        <v>0.65189927459884101</v>
      </c>
      <c r="H724">
        <v>0.58193169275962797</v>
      </c>
      <c r="I724">
        <v>0.54724245862060195</v>
      </c>
      <c r="J724">
        <v>0.52921742058533705</v>
      </c>
      <c r="K724">
        <v>0.39581278073350001</v>
      </c>
      <c r="L724">
        <v>1100.4854231418799</v>
      </c>
      <c r="M724">
        <v>19.595998375753801</v>
      </c>
      <c r="N724">
        <v>64.882163857240499</v>
      </c>
      <c r="O724">
        <v>55.583656146946097</v>
      </c>
      <c r="P724">
        <v>-4.7231867255660497E-2</v>
      </c>
      <c r="Q724">
        <v>0.46412992930988201</v>
      </c>
      <c r="R724">
        <v>0.97123959261211201</v>
      </c>
      <c r="S724" t="s">
        <v>7035</v>
      </c>
      <c r="T724" t="s">
        <v>12620</v>
      </c>
      <c r="U724" t="s">
        <v>12620</v>
      </c>
      <c r="V724" t="s">
        <v>12620</v>
      </c>
      <c r="W724" t="s">
        <v>13213</v>
      </c>
      <c r="X724">
        <v>17</v>
      </c>
      <c r="Y724" t="s">
        <v>19462</v>
      </c>
      <c r="Z724" t="s">
        <v>25671</v>
      </c>
      <c r="AA724">
        <v>0.75980513559034601</v>
      </c>
      <c r="AB724" t="str">
        <f>HYPERLINK("Melting_Curves/meltCurve_H7C3G6_MPRIP.pdf", "Melting_Curves/meltCurve_H7C3G6_MPRIP.pdf")</f>
        <v>Melting_Curves/meltCurve_H7C3G6_MPRIP.pdf</v>
      </c>
    </row>
    <row r="725" spans="1:28" x14ac:dyDescent="0.25">
      <c r="A725" t="s">
        <v>729</v>
      </c>
      <c r="B725">
        <v>0.99987803227770999</v>
      </c>
      <c r="C725">
        <v>0.68961350165761004</v>
      </c>
      <c r="D725">
        <v>0.75480701312295095</v>
      </c>
      <c r="E725">
        <v>0.45633176391140301</v>
      </c>
      <c r="F725">
        <v>0.51717079363461105</v>
      </c>
      <c r="G725">
        <v>0.28279968031330099</v>
      </c>
      <c r="H725">
        <v>0.28034917013802302</v>
      </c>
      <c r="I725">
        <v>0.208220047781141</v>
      </c>
      <c r="J725">
        <v>0.286969288474197</v>
      </c>
      <c r="K725">
        <v>0.26323378239515399</v>
      </c>
      <c r="L725">
        <v>501.13051293641502</v>
      </c>
      <c r="M725">
        <v>10.4924839542026</v>
      </c>
      <c r="N725">
        <v>50.433183484220699</v>
      </c>
      <c r="O725">
        <v>46.1238593508725</v>
      </c>
      <c r="P725">
        <v>-4.4762153650158197E-2</v>
      </c>
      <c r="Q725">
        <v>0.21323940859135199</v>
      </c>
      <c r="R725">
        <v>0.92013671273841402</v>
      </c>
      <c r="S725" t="s">
        <v>7036</v>
      </c>
      <c r="T725" t="s">
        <v>12620</v>
      </c>
      <c r="U725" t="s">
        <v>12620</v>
      </c>
      <c r="V725" t="s">
        <v>12620</v>
      </c>
      <c r="W725" t="s">
        <v>13322</v>
      </c>
      <c r="X725">
        <v>2</v>
      </c>
      <c r="Y725" t="s">
        <v>19565</v>
      </c>
      <c r="Z725" t="s">
        <v>25672</v>
      </c>
      <c r="AA725">
        <v>0.4561104542190576</v>
      </c>
      <c r="AB725" t="str">
        <f>HYPERLINK("Melting_Curves/meltCurve_H7C3J6_SAMD11.pdf", "Melting_Curves/meltCurve_H7C3J6_SAMD11.pdf")</f>
        <v>Melting_Curves/meltCurve_H7C3J6_SAMD11.pdf</v>
      </c>
    </row>
    <row r="726" spans="1:28" x14ac:dyDescent="0.25">
      <c r="A726" t="s">
        <v>730</v>
      </c>
      <c r="B726">
        <v>0.99987803227770999</v>
      </c>
      <c r="C726">
        <v>1.1622575871159699</v>
      </c>
      <c r="D726">
        <v>1.1083193214765501</v>
      </c>
      <c r="E726">
        <v>1.2056980240002599</v>
      </c>
      <c r="F726">
        <v>1.1082372249841901</v>
      </c>
      <c r="G726">
        <v>1.1300130261184</v>
      </c>
      <c r="H726">
        <v>1.1184507583368499</v>
      </c>
      <c r="I726">
        <v>0.74814675376156003</v>
      </c>
      <c r="J726">
        <v>0.30730712699211798</v>
      </c>
      <c r="K726">
        <v>0.15861459405401199</v>
      </c>
      <c r="L726">
        <v>3975.7319851996699</v>
      </c>
      <c r="M726">
        <v>61.131354277538698</v>
      </c>
      <c r="N726">
        <v>65.461468894588293</v>
      </c>
      <c r="O726">
        <v>64.966414053474594</v>
      </c>
      <c r="P726">
        <v>-0.196666594620337</v>
      </c>
      <c r="Q726">
        <v>0.16398279502329999</v>
      </c>
      <c r="R726">
        <v>0.90014497032212804</v>
      </c>
      <c r="S726" t="s">
        <v>7037</v>
      </c>
      <c r="T726" t="s">
        <v>12620</v>
      </c>
      <c r="U726" t="s">
        <v>12620</v>
      </c>
      <c r="V726" t="s">
        <v>12620</v>
      </c>
      <c r="W726" t="s">
        <v>13323</v>
      </c>
      <c r="X726">
        <v>7</v>
      </c>
      <c r="Y726" t="s">
        <v>19566</v>
      </c>
      <c r="Z726" t="s">
        <v>25673</v>
      </c>
      <c r="AA726">
        <v>0.86280170323132455</v>
      </c>
      <c r="AB726" t="str">
        <f>HYPERLINK("Melting_Curves/meltCurve_H7C3P4_GNS.pdf", "Melting_Curves/meltCurve_H7C3P4_GNS.pdf")</f>
        <v>Melting_Curves/meltCurve_H7C3P4_GNS.pdf</v>
      </c>
    </row>
    <row r="727" spans="1:28" x14ac:dyDescent="0.25">
      <c r="A727" t="s">
        <v>731</v>
      </c>
      <c r="B727">
        <v>0.99987803227770999</v>
      </c>
      <c r="C727">
        <v>0.97968076296866902</v>
      </c>
      <c r="D727">
        <v>1.03882850515988</v>
      </c>
      <c r="E727">
        <v>0.99075652902614897</v>
      </c>
      <c r="F727">
        <v>0.74122476736787402</v>
      </c>
      <c r="G727">
        <v>0.73030431534762297</v>
      </c>
      <c r="H727">
        <v>0.76237587831277498</v>
      </c>
      <c r="I727">
        <v>0.81906816469326504</v>
      </c>
      <c r="J727">
        <v>0.76829836989996103</v>
      </c>
      <c r="K727">
        <v>0.64208066828594501</v>
      </c>
      <c r="L727">
        <v>12664.239799687901</v>
      </c>
      <c r="M727">
        <v>250</v>
      </c>
      <c r="O727">
        <v>50.653717470555797</v>
      </c>
      <c r="P727">
        <v>-0.31600424464468402</v>
      </c>
      <c r="Q727">
        <v>0.743891364561451</v>
      </c>
      <c r="R727">
        <v>0.89370400292888996</v>
      </c>
      <c r="S727" t="s">
        <v>7038</v>
      </c>
      <c r="T727" t="s">
        <v>12620</v>
      </c>
      <c r="U727" t="s">
        <v>12620</v>
      </c>
      <c r="V727" t="s">
        <v>12620</v>
      </c>
      <c r="W727" t="s">
        <v>13324</v>
      </c>
      <c r="X727">
        <v>1</v>
      </c>
      <c r="Y727" t="s">
        <v>19567</v>
      </c>
      <c r="Z727" t="s">
        <v>25674</v>
      </c>
      <c r="AA727">
        <v>0.83489210912006351</v>
      </c>
      <c r="AB727" t="str">
        <f>HYPERLINK("Melting_Curves/meltCurve_H7C4E7_CSDC2.pdf", "Melting_Curves/meltCurve_H7C4E7_CSDC2.pdf")</f>
        <v>Melting_Curves/meltCurve_H7C4E7_CSDC2.pdf</v>
      </c>
    </row>
    <row r="728" spans="1:28" x14ac:dyDescent="0.25">
      <c r="A728" t="s">
        <v>732</v>
      </c>
      <c r="B728">
        <v>0.99987803227770999</v>
      </c>
      <c r="C728">
        <v>0.91466604035027599</v>
      </c>
      <c r="D728">
        <v>0.93880565844776298</v>
      </c>
      <c r="E728">
        <v>0.69580069278071799</v>
      </c>
      <c r="F728">
        <v>0.59021143257834296</v>
      </c>
      <c r="G728">
        <v>0.47009406495989597</v>
      </c>
      <c r="H728">
        <v>0.46438258408636202</v>
      </c>
      <c r="I728">
        <v>0.41916041702665802</v>
      </c>
      <c r="J728">
        <v>0.47435727939370598</v>
      </c>
      <c r="K728">
        <v>0.39188946659073898</v>
      </c>
      <c r="L728">
        <v>884.08750297865799</v>
      </c>
      <c r="M728">
        <v>17.668333689716398</v>
      </c>
      <c r="N728">
        <v>55.993870887773603</v>
      </c>
      <c r="O728">
        <v>49.410164276611397</v>
      </c>
      <c r="P728">
        <v>-5.15259275592777E-2</v>
      </c>
      <c r="Q728">
        <v>0.42365371842762001</v>
      </c>
      <c r="R728">
        <v>0.98151715597646605</v>
      </c>
      <c r="S728" t="s">
        <v>7039</v>
      </c>
      <c r="T728" t="s">
        <v>12620</v>
      </c>
      <c r="U728" t="s">
        <v>12620</v>
      </c>
      <c r="V728" t="s">
        <v>12620</v>
      </c>
      <c r="W728" t="s">
        <v>13325</v>
      </c>
      <c r="X728">
        <v>5</v>
      </c>
      <c r="Y728" t="s">
        <v>19568</v>
      </c>
      <c r="Z728" t="s">
        <v>25675</v>
      </c>
      <c r="AA728">
        <v>0.62667386233148392</v>
      </c>
      <c r="AB728" t="str">
        <f>HYPERLINK("Melting_Curves/meltCurve_H7C4X9_ZMYND8.pdf", "Melting_Curves/meltCurve_H7C4X9_ZMYND8.pdf")</f>
        <v>Melting_Curves/meltCurve_H7C4X9_ZMYND8.pdf</v>
      </c>
    </row>
    <row r="729" spans="1:28" x14ac:dyDescent="0.25">
      <c r="A729" t="s">
        <v>733</v>
      </c>
      <c r="B729">
        <v>0.99987803227770999</v>
      </c>
      <c r="C729">
        <v>0.89736209301568304</v>
      </c>
      <c r="D729">
        <v>0.988175806284457</v>
      </c>
      <c r="E729">
        <v>0.88017345393658397</v>
      </c>
      <c r="F729">
        <v>1.19756847183995</v>
      </c>
      <c r="G729">
        <v>1.1726598925398699</v>
      </c>
      <c r="H729">
        <v>1.08844131289879</v>
      </c>
      <c r="I729">
        <v>1.118195816714</v>
      </c>
      <c r="J729">
        <v>1.0547779495071901</v>
      </c>
      <c r="K729">
        <v>0.85058910724524495</v>
      </c>
      <c r="L729">
        <v>15000</v>
      </c>
      <c r="M729">
        <v>212.546444722525</v>
      </c>
      <c r="Q729">
        <v>0</v>
      </c>
      <c r="R729">
        <v>0.119988568593333</v>
      </c>
      <c r="S729" t="s">
        <v>7040</v>
      </c>
      <c r="T729" t="s">
        <v>12620</v>
      </c>
      <c r="U729" t="s">
        <v>12620</v>
      </c>
      <c r="V729" t="s">
        <v>12620</v>
      </c>
      <c r="W729" t="s">
        <v>13326</v>
      </c>
      <c r="X729">
        <v>1</v>
      </c>
      <c r="Y729" t="s">
        <v>19569</v>
      </c>
      <c r="Z729" t="s">
        <v>25676</v>
      </c>
      <c r="AA729">
        <v>0.99825484234808681</v>
      </c>
      <c r="AB729" t="str">
        <f>HYPERLINK("Melting_Curves/meltCurve_H7C5A5_STIM2.pdf", "Melting_Curves/meltCurve_H7C5A5_STIM2.pdf")</f>
        <v>Melting_Curves/meltCurve_H7C5A5_STIM2.pdf</v>
      </c>
    </row>
    <row r="730" spans="1:28" x14ac:dyDescent="0.25">
      <c r="A730" t="s">
        <v>734</v>
      </c>
      <c r="B730">
        <v>0.99987803227770999</v>
      </c>
      <c r="C730">
        <v>0.95555826032895996</v>
      </c>
      <c r="D730">
        <v>1.01616270868398</v>
      </c>
      <c r="E730">
        <v>0.98887108720859695</v>
      </c>
      <c r="F730">
        <v>1.12434519153552</v>
      </c>
      <c r="G730">
        <v>1.0873731735499901</v>
      </c>
      <c r="H730">
        <v>0.93828561572875002</v>
      </c>
      <c r="I730">
        <v>0.52301621631858897</v>
      </c>
      <c r="J730">
        <v>0.157140337909148</v>
      </c>
      <c r="K730">
        <v>7.7134506430119196E-2</v>
      </c>
      <c r="L730">
        <v>3441.6193037521198</v>
      </c>
      <c r="M730">
        <v>53.823372159134401</v>
      </c>
      <c r="N730">
        <v>64.137055826645394</v>
      </c>
      <c r="O730">
        <v>63.854753484755001</v>
      </c>
      <c r="P730">
        <v>-0.194879821501377</v>
      </c>
      <c r="Q730">
        <v>7.5197663903121298E-2</v>
      </c>
      <c r="R730">
        <v>0.98106406036264504</v>
      </c>
      <c r="S730" t="s">
        <v>7041</v>
      </c>
      <c r="T730" t="s">
        <v>12620</v>
      </c>
      <c r="U730" t="s">
        <v>12620</v>
      </c>
      <c r="V730" t="s">
        <v>12620</v>
      </c>
      <c r="W730" t="s">
        <v>13327</v>
      </c>
      <c r="X730">
        <v>7</v>
      </c>
      <c r="Y730" t="s">
        <v>19570</v>
      </c>
      <c r="Z730" t="s">
        <v>25677</v>
      </c>
      <c r="AA730">
        <v>0.8150941477944168</v>
      </c>
      <c r="AB730" t="str">
        <f>HYPERLINK("Melting_Curves/meltCurve_H7C5G1_IAH1.pdf", "Melting_Curves/meltCurve_H7C5G1_IAH1.pdf")</f>
        <v>Melting_Curves/meltCurve_H7C5G1_IAH1.pdf</v>
      </c>
    </row>
    <row r="731" spans="1:28" x14ac:dyDescent="0.25">
      <c r="A731" t="s">
        <v>735</v>
      </c>
      <c r="B731">
        <v>0.99987803227770999</v>
      </c>
      <c r="C731">
        <v>1.7243760545429001</v>
      </c>
      <c r="D731">
        <v>1.1912995858147299</v>
      </c>
      <c r="E731">
        <v>3.0453695727102801</v>
      </c>
      <c r="F731">
        <v>0.76087605097723499</v>
      </c>
      <c r="G731">
        <v>0.53901518548237703</v>
      </c>
      <c r="H731">
        <v>1.49781815659494</v>
      </c>
      <c r="I731">
        <v>1.1758645100227301</v>
      </c>
      <c r="J731">
        <v>1.9568702881184801</v>
      </c>
      <c r="K731">
        <v>0.28720091837697798</v>
      </c>
      <c r="L731">
        <v>15000</v>
      </c>
      <c r="M731">
        <v>215.19089889807</v>
      </c>
      <c r="N731">
        <v>69.705550186359204</v>
      </c>
      <c r="O731">
        <v>69.699529891689494</v>
      </c>
      <c r="P731">
        <v>-0.77185204755663495</v>
      </c>
      <c r="Q731">
        <v>0</v>
      </c>
      <c r="R731">
        <v>-8.8067479724456901E-2</v>
      </c>
      <c r="S731" t="s">
        <v>7042</v>
      </c>
      <c r="T731" t="s">
        <v>12620</v>
      </c>
      <c r="U731" t="s">
        <v>12620</v>
      </c>
      <c r="V731" t="s">
        <v>12620</v>
      </c>
      <c r="W731" t="s">
        <v>13328</v>
      </c>
      <c r="X731">
        <v>10</v>
      </c>
      <c r="Y731" t="s">
        <v>19571</v>
      </c>
      <c r="Z731" t="s">
        <v>25678</v>
      </c>
      <c r="AA731">
        <v>0.98661350878803178</v>
      </c>
      <c r="AB731" t="str">
        <f>HYPERLINK("Melting_Curves/meltCurve_H8Y6P7_GCOM1.pdf", "Melting_Curves/meltCurve_H8Y6P7_GCOM1.pdf")</f>
        <v>Melting_Curves/meltCurve_H8Y6P7_GCOM1.pdf</v>
      </c>
    </row>
    <row r="732" spans="1:28" x14ac:dyDescent="0.25">
      <c r="A732" t="s">
        <v>736</v>
      </c>
      <c r="B732">
        <v>0.99987803227770999</v>
      </c>
      <c r="C732">
        <v>0.93585463736089203</v>
      </c>
      <c r="D732">
        <v>0.96784604042217903</v>
      </c>
      <c r="E732">
        <v>0.71761091896597295</v>
      </c>
      <c r="F732">
        <v>0.563595045580918</v>
      </c>
      <c r="G732">
        <v>0.39875864613637702</v>
      </c>
      <c r="H732">
        <v>0.39425841731254802</v>
      </c>
      <c r="I732">
        <v>0.30143151351331299</v>
      </c>
      <c r="J732">
        <v>0.38474041675519899</v>
      </c>
      <c r="K732">
        <v>0.33389185776900299</v>
      </c>
      <c r="L732">
        <v>1032.0172299027199</v>
      </c>
      <c r="M732">
        <v>20.242307564308899</v>
      </c>
      <c r="N732">
        <v>54.051322866704098</v>
      </c>
      <c r="O732">
        <v>50.493432551164801</v>
      </c>
      <c r="P732">
        <v>-6.5995842441400804E-2</v>
      </c>
      <c r="Q732">
        <v>0.34152703548542501</v>
      </c>
      <c r="R732">
        <v>0.98691706851273198</v>
      </c>
      <c r="S732" t="s">
        <v>7043</v>
      </c>
      <c r="T732" t="s">
        <v>12620</v>
      </c>
      <c r="U732" t="s">
        <v>12620</v>
      </c>
      <c r="V732" t="s">
        <v>12620</v>
      </c>
      <c r="W732" t="s">
        <v>13329</v>
      </c>
      <c r="X732">
        <v>4</v>
      </c>
      <c r="Y732" t="s">
        <v>19572</v>
      </c>
      <c r="Z732" t="s">
        <v>25679</v>
      </c>
      <c r="AA732">
        <v>0.59153470724625479</v>
      </c>
      <c r="AB732" t="str">
        <f>HYPERLINK("Melting_Curves/meltCurve_H9KV61_PWWP2B.pdf", "Melting_Curves/meltCurve_H9KV61_PWWP2B.pdf")</f>
        <v>Melting_Curves/meltCurve_H9KV61_PWWP2B.pdf</v>
      </c>
    </row>
    <row r="733" spans="1:28" x14ac:dyDescent="0.25">
      <c r="A733" t="s">
        <v>737</v>
      </c>
      <c r="B733">
        <v>0.99987803227770999</v>
      </c>
      <c r="C733">
        <v>1.0235731322628701</v>
      </c>
      <c r="D733">
        <v>0.70064864254054204</v>
      </c>
      <c r="E733">
        <v>0.39382911700874201</v>
      </c>
      <c r="F733">
        <v>0.24103356975588899</v>
      </c>
      <c r="G733">
        <v>0.18536251333009801</v>
      </c>
      <c r="H733">
        <v>9.5874051391177897E-2</v>
      </c>
      <c r="I733">
        <v>0.13328849115454899</v>
      </c>
      <c r="J733">
        <v>8.8198189283981404E-2</v>
      </c>
      <c r="K733">
        <v>8.9611546883356805E-2</v>
      </c>
      <c r="L733">
        <v>985.51856766636001</v>
      </c>
      <c r="M733">
        <v>20.4758538167249</v>
      </c>
      <c r="N733">
        <v>48.711686220951201</v>
      </c>
      <c r="O733">
        <v>47.678741691136103</v>
      </c>
      <c r="P733">
        <v>-9.5735517008239304E-2</v>
      </c>
      <c r="Q733">
        <v>0.108332449468725</v>
      </c>
      <c r="R733">
        <v>0.98821593050947498</v>
      </c>
      <c r="S733" t="s">
        <v>7044</v>
      </c>
      <c r="T733" t="s">
        <v>12620</v>
      </c>
      <c r="U733" t="s">
        <v>12620</v>
      </c>
      <c r="V733" t="s">
        <v>12620</v>
      </c>
      <c r="W733" t="s">
        <v>13330</v>
      </c>
      <c r="X733">
        <v>2</v>
      </c>
      <c r="Y733" t="s">
        <v>19573</v>
      </c>
      <c r="Z733" t="s">
        <v>25680</v>
      </c>
      <c r="AA733">
        <v>0.36202428167471712</v>
      </c>
      <c r="AB733" t="str">
        <f>HYPERLINK("Melting_Curves/meltCurve_H9ZYI9_GABPB1.pdf", "Melting_Curves/meltCurve_H9ZYI9_GABPB1.pdf")</f>
        <v>Melting_Curves/meltCurve_H9ZYI9_GABPB1.pdf</v>
      </c>
    </row>
    <row r="734" spans="1:28" x14ac:dyDescent="0.25">
      <c r="A734" t="s">
        <v>738</v>
      </c>
      <c r="B734">
        <v>0.99987803227770999</v>
      </c>
      <c r="C734">
        <v>0.96439114751954502</v>
      </c>
      <c r="D734">
        <v>0.809363619196245</v>
      </c>
      <c r="E734">
        <v>0.59555611372558404</v>
      </c>
      <c r="F734">
        <v>0.35981256292439701</v>
      </c>
      <c r="G734">
        <v>0.20840857426398501</v>
      </c>
      <c r="H734">
        <v>0.18778981048956001</v>
      </c>
      <c r="I734">
        <v>0.24914440405962801</v>
      </c>
      <c r="J734">
        <v>6.4150583422488694E-2</v>
      </c>
      <c r="K734">
        <v>7.5456338607812298E-2</v>
      </c>
      <c r="L734">
        <v>786.95659746735998</v>
      </c>
      <c r="M734">
        <v>15.6603508194528</v>
      </c>
      <c r="N734">
        <v>51.054384879010399</v>
      </c>
      <c r="O734">
        <v>49.453527062110901</v>
      </c>
      <c r="P734">
        <v>-7.0532511562049899E-2</v>
      </c>
      <c r="Q734">
        <v>0.109142851594674</v>
      </c>
      <c r="R734">
        <v>0.98193879256295102</v>
      </c>
      <c r="S734" t="s">
        <v>7045</v>
      </c>
      <c r="T734" t="s">
        <v>12620</v>
      </c>
      <c r="U734" t="s">
        <v>12620</v>
      </c>
      <c r="V734" t="s">
        <v>12620</v>
      </c>
      <c r="W734" t="s">
        <v>13331</v>
      </c>
      <c r="X734">
        <v>1</v>
      </c>
      <c r="Y734" t="s">
        <v>19574</v>
      </c>
      <c r="Z734" t="s">
        <v>25681</v>
      </c>
      <c r="AA734">
        <v>0.43309909147669662</v>
      </c>
      <c r="AB734" t="str">
        <f>HYPERLINK("Melting_Curves/meltCurve_I3L077_MYO15B.pdf", "Melting_Curves/meltCurve_I3L077_MYO15B.pdf")</f>
        <v>Melting_Curves/meltCurve_I3L077_MYO15B.pdf</v>
      </c>
    </row>
    <row r="735" spans="1:28" x14ac:dyDescent="0.25">
      <c r="A735" t="s">
        <v>739</v>
      </c>
      <c r="B735">
        <v>0.99987803227770999</v>
      </c>
      <c r="C735">
        <v>0.96440209959599299</v>
      </c>
      <c r="D735">
        <v>0.99744396730229101</v>
      </c>
      <c r="E735">
        <v>0.87344225282967902</v>
      </c>
      <c r="F735">
        <v>0.87866500924277202</v>
      </c>
      <c r="G735">
        <v>0.67583893809449902</v>
      </c>
      <c r="H735">
        <v>0.65629869110430805</v>
      </c>
      <c r="I735">
        <v>0.61495647144993903</v>
      </c>
      <c r="J735">
        <v>0.58502206702847703</v>
      </c>
      <c r="K735">
        <v>0.50354753778523498</v>
      </c>
      <c r="L735">
        <v>631.61709745128496</v>
      </c>
      <c r="M735">
        <v>11.1665744235237</v>
      </c>
      <c r="O735">
        <v>54.840112627980297</v>
      </c>
      <c r="P735">
        <v>-2.6334325901833301E-2</v>
      </c>
      <c r="Q735">
        <v>0.48284314053947502</v>
      </c>
      <c r="R735">
        <v>0.96867057789181699</v>
      </c>
      <c r="S735" t="s">
        <v>7046</v>
      </c>
      <c r="T735" t="s">
        <v>12620</v>
      </c>
      <c r="U735" t="s">
        <v>12620</v>
      </c>
      <c r="V735" t="s">
        <v>12620</v>
      </c>
      <c r="W735" t="s">
        <v>12870</v>
      </c>
      <c r="X735">
        <v>10</v>
      </c>
      <c r="Z735" t="s">
        <v>25682</v>
      </c>
      <c r="AA735">
        <v>0.77796158018244044</v>
      </c>
      <c r="AB735" t="str">
        <f>HYPERLINK("Melting_Curves/meltCurve_I3L097_.pdf", "Melting_Curves/meltCurve_I3L097_.pdf")</f>
        <v>Melting_Curves/meltCurve_I3L097_.pdf</v>
      </c>
    </row>
    <row r="736" spans="1:28" x14ac:dyDescent="0.25">
      <c r="A736" t="s">
        <v>740</v>
      </c>
      <c r="B736">
        <v>0.99987803227770999</v>
      </c>
      <c r="C736">
        <v>0.91837863203982995</v>
      </c>
      <c r="D736">
        <v>0.57060365376693101</v>
      </c>
      <c r="E736">
        <v>0.38724998476599498</v>
      </c>
      <c r="F736">
        <v>0.25761637027933798</v>
      </c>
      <c r="G736">
        <v>0.16421758420090499</v>
      </c>
      <c r="H736">
        <v>0.10557896353924801</v>
      </c>
      <c r="I736">
        <v>8.5632558786168503E-2</v>
      </c>
      <c r="J736">
        <v>7.17005276075241E-2</v>
      </c>
      <c r="K736">
        <v>5.3700756688825499E-2</v>
      </c>
      <c r="L736">
        <v>728.68440003964997</v>
      </c>
      <c r="M736">
        <v>15.316049078017301</v>
      </c>
      <c r="N736">
        <v>48.062083815422099</v>
      </c>
      <c r="O736">
        <v>46.7876055343202</v>
      </c>
      <c r="P736">
        <v>-7.59792243291178E-2</v>
      </c>
      <c r="Q736">
        <v>7.1678577951611103E-2</v>
      </c>
      <c r="R736">
        <v>0.98587179847120299</v>
      </c>
      <c r="S736" t="s">
        <v>7047</v>
      </c>
      <c r="T736" t="s">
        <v>12620</v>
      </c>
      <c r="U736" t="s">
        <v>12620</v>
      </c>
      <c r="V736" t="s">
        <v>12620</v>
      </c>
      <c r="W736" t="s">
        <v>13332</v>
      </c>
      <c r="X736">
        <v>23</v>
      </c>
      <c r="Y736" t="s">
        <v>19575</v>
      </c>
      <c r="Z736" t="s">
        <v>25683</v>
      </c>
      <c r="AA736">
        <v>0.32951845399373331</v>
      </c>
      <c r="AB736" t="str">
        <f>HYPERLINK("Melting_Curves/meltCurve_I3L0N3_NSF.pdf", "Melting_Curves/meltCurve_I3L0N3_NSF.pdf")</f>
        <v>Melting_Curves/meltCurve_I3L0N3_NSF.pdf</v>
      </c>
    </row>
    <row r="737" spans="1:28" x14ac:dyDescent="0.25">
      <c r="A737" t="s">
        <v>741</v>
      </c>
      <c r="B737">
        <v>0.99987803227770999</v>
      </c>
      <c r="C737">
        <v>0.85340977253072903</v>
      </c>
      <c r="D737">
        <v>0.979538254977527</v>
      </c>
      <c r="E737">
        <v>0.87245319957309497</v>
      </c>
      <c r="F737">
        <v>0.65063068918259603</v>
      </c>
      <c r="G737">
        <v>0.40831117872061601</v>
      </c>
      <c r="H737">
        <v>0.258838894489961</v>
      </c>
      <c r="I737">
        <v>0.28780370550789403</v>
      </c>
      <c r="J737">
        <v>0.17407849663411101</v>
      </c>
      <c r="K737">
        <v>0.104212320657445</v>
      </c>
      <c r="L737">
        <v>815.66522634126397</v>
      </c>
      <c r="M737">
        <v>14.889940612855</v>
      </c>
      <c r="N737">
        <v>55.777003283244298</v>
      </c>
      <c r="O737">
        <v>53.820032356676798</v>
      </c>
      <c r="P737">
        <v>-6.10878849991646E-2</v>
      </c>
      <c r="Q737">
        <v>0.116877597130894</v>
      </c>
      <c r="R737">
        <v>0.97309757131979202</v>
      </c>
      <c r="S737" t="s">
        <v>7048</v>
      </c>
      <c r="T737" t="s">
        <v>12620</v>
      </c>
      <c r="U737" t="s">
        <v>12620</v>
      </c>
      <c r="V737" t="s">
        <v>12620</v>
      </c>
      <c r="W737" t="s">
        <v>13333</v>
      </c>
      <c r="X737">
        <v>1</v>
      </c>
      <c r="Y737" t="s">
        <v>19576</v>
      </c>
      <c r="Z737" t="s">
        <v>25684</v>
      </c>
      <c r="AA737">
        <v>0.56938188982021076</v>
      </c>
      <c r="AB737" t="str">
        <f>HYPERLINK("Melting_Curves/meltCurve_I3L121_CLUAP1.pdf", "Melting_Curves/meltCurve_I3L121_CLUAP1.pdf")</f>
        <v>Melting_Curves/meltCurve_I3L121_CLUAP1.pdf</v>
      </c>
    </row>
    <row r="738" spans="1:28" x14ac:dyDescent="0.25">
      <c r="A738" t="s">
        <v>742</v>
      </c>
      <c r="B738">
        <v>0.99987803227770999</v>
      </c>
      <c r="C738">
        <v>0.88703972424526001</v>
      </c>
      <c r="D738">
        <v>0.76392675494204498</v>
      </c>
      <c r="E738">
        <v>0.69961607827730898</v>
      </c>
      <c r="F738">
        <v>0.84982916260151098</v>
      </c>
      <c r="G738">
        <v>0.46635461401633199</v>
      </c>
      <c r="H738">
        <v>0.40278149577580002</v>
      </c>
      <c r="I738">
        <v>0.37951388249975698</v>
      </c>
      <c r="J738">
        <v>0.446399200300512</v>
      </c>
      <c r="K738">
        <v>0.37008778505871098</v>
      </c>
      <c r="L738">
        <v>412.65141246168702</v>
      </c>
      <c r="M738">
        <v>7.6382213108817796</v>
      </c>
      <c r="N738">
        <v>59.231292790467897</v>
      </c>
      <c r="O738">
        <v>50.6949522503986</v>
      </c>
      <c r="P738">
        <v>-2.84955530181435E-2</v>
      </c>
      <c r="Q738">
        <v>0.24451402134167799</v>
      </c>
      <c r="R738">
        <v>0.87112646148293305</v>
      </c>
      <c r="S738" t="s">
        <v>7049</v>
      </c>
      <c r="T738" t="s">
        <v>12620</v>
      </c>
      <c r="U738" t="s">
        <v>12620</v>
      </c>
      <c r="V738" t="s">
        <v>12620</v>
      </c>
      <c r="W738" t="s">
        <v>13334</v>
      </c>
      <c r="X738">
        <v>1</v>
      </c>
      <c r="Y738" t="s">
        <v>19577</v>
      </c>
      <c r="Z738" t="s">
        <v>25685</v>
      </c>
      <c r="AA738">
        <v>0.62379342151926509</v>
      </c>
      <c r="AB738" t="str">
        <f>HYPERLINK("Melting_Curves/meltCurve_I3L192_BSG.pdf", "Melting_Curves/meltCurve_I3L192_BSG.pdf")</f>
        <v>Melting_Curves/meltCurve_I3L192_BSG.pdf</v>
      </c>
    </row>
    <row r="739" spans="1:28" x14ac:dyDescent="0.25">
      <c r="A739" t="s">
        <v>743</v>
      </c>
      <c r="B739">
        <v>0.99987803227770999</v>
      </c>
      <c r="C739">
        <v>1.04593871349529</v>
      </c>
      <c r="D739">
        <v>0.91493449543140004</v>
      </c>
      <c r="E739">
        <v>0.74696563449967202</v>
      </c>
      <c r="F739">
        <v>0.52917480193087596</v>
      </c>
      <c r="G739">
        <v>0.39982885093299902</v>
      </c>
      <c r="H739">
        <v>0.41177220119375002</v>
      </c>
      <c r="I739">
        <v>0.40404927155419801</v>
      </c>
      <c r="J739">
        <v>0.43666834689489797</v>
      </c>
      <c r="K739">
        <v>0.33323462860393999</v>
      </c>
      <c r="L739">
        <v>1252.7675638128501</v>
      </c>
      <c r="M739">
        <v>24.803280978530399</v>
      </c>
      <c r="N739">
        <v>53.748307872251303</v>
      </c>
      <c r="O739">
        <v>50.183259631379698</v>
      </c>
      <c r="P739">
        <v>-7.56339183158352E-2</v>
      </c>
      <c r="Q739">
        <v>0.38790300039488301</v>
      </c>
      <c r="R739">
        <v>0.98473765568108296</v>
      </c>
      <c r="S739" t="s">
        <v>7050</v>
      </c>
      <c r="T739" t="s">
        <v>12620</v>
      </c>
      <c r="U739" t="s">
        <v>12620</v>
      </c>
      <c r="V739" t="s">
        <v>12620</v>
      </c>
      <c r="W739" t="s">
        <v>13335</v>
      </c>
      <c r="X739">
        <v>2</v>
      </c>
      <c r="Y739" t="s">
        <v>19578</v>
      </c>
      <c r="Z739" t="s">
        <v>25686</v>
      </c>
      <c r="AA739">
        <v>0.60789014958973242</v>
      </c>
      <c r="AB739" t="str">
        <f>HYPERLINK("Melting_Curves/meltCurve_I3L1B0_CNTROB.pdf", "Melting_Curves/meltCurve_I3L1B0_CNTROB.pdf")</f>
        <v>Melting_Curves/meltCurve_I3L1B0_CNTROB.pdf</v>
      </c>
    </row>
    <row r="740" spans="1:28" x14ac:dyDescent="0.25">
      <c r="A740" t="s">
        <v>744</v>
      </c>
      <c r="B740">
        <v>0.99987803227770999</v>
      </c>
      <c r="C740">
        <v>1.0757397042927099</v>
      </c>
      <c r="D740">
        <v>1.0311863359637501</v>
      </c>
      <c r="E740">
        <v>1.0506621020711799</v>
      </c>
      <c r="F740">
        <v>0.89367545120524206</v>
      </c>
      <c r="G740">
        <v>0.64079237118257504</v>
      </c>
      <c r="H740">
        <v>0.39097729553195998</v>
      </c>
      <c r="I740">
        <v>0.28740558619963302</v>
      </c>
      <c r="J740">
        <v>0.20251587645710101</v>
      </c>
      <c r="K740">
        <v>0.15620330051256801</v>
      </c>
      <c r="L740">
        <v>1223.97723770267</v>
      </c>
      <c r="M740">
        <v>21.057050027517199</v>
      </c>
      <c r="N740">
        <v>59.162669334346901</v>
      </c>
      <c r="O740">
        <v>57.610095837507501</v>
      </c>
      <c r="P740">
        <v>-7.72901578474217E-2</v>
      </c>
      <c r="Q740">
        <v>0.15418823102367299</v>
      </c>
      <c r="R740">
        <v>0.98867704906982801</v>
      </c>
      <c r="S740" t="s">
        <v>7051</v>
      </c>
      <c r="T740" t="s">
        <v>12620</v>
      </c>
      <c r="U740" t="s">
        <v>12620</v>
      </c>
      <c r="V740" t="s">
        <v>12620</v>
      </c>
      <c r="W740" t="s">
        <v>13336</v>
      </c>
      <c r="X740">
        <v>9</v>
      </c>
      <c r="Y740" t="s">
        <v>19579</v>
      </c>
      <c r="Z740" t="s">
        <v>25687</v>
      </c>
      <c r="AA740">
        <v>0.67424777616703624</v>
      </c>
      <c r="AB740" t="str">
        <f>HYPERLINK("Melting_Curves/meltCurve_I3L1H5_DPH1.pdf", "Melting_Curves/meltCurve_I3L1H5_DPH1.pdf")</f>
        <v>Melting_Curves/meltCurve_I3L1H5_DPH1.pdf</v>
      </c>
    </row>
    <row r="741" spans="1:28" x14ac:dyDescent="0.25">
      <c r="A741" t="s">
        <v>745</v>
      </c>
      <c r="B741">
        <v>0.99987803227770999</v>
      </c>
      <c r="C741">
        <v>0.89512303942332305</v>
      </c>
      <c r="D741">
        <v>0.869085448210001</v>
      </c>
      <c r="E741">
        <v>1.24886743539828</v>
      </c>
      <c r="F741">
        <v>1.05998974662402</v>
      </c>
      <c r="G741">
        <v>0.95648228237408905</v>
      </c>
      <c r="H741">
        <v>0.90612165579476101</v>
      </c>
      <c r="I741">
        <v>0.92868008635890298</v>
      </c>
      <c r="J741">
        <v>0.47432765286946299</v>
      </c>
      <c r="K741">
        <v>0.29119448882197202</v>
      </c>
      <c r="L741">
        <v>4329.8293690949804</v>
      </c>
      <c r="M741">
        <v>65.565240678571499</v>
      </c>
      <c r="N741">
        <v>66.841694107990506</v>
      </c>
      <c r="O741">
        <v>65.977135040991598</v>
      </c>
      <c r="P741">
        <v>-0.18071524348440801</v>
      </c>
      <c r="Q741">
        <v>0.27259807451130502</v>
      </c>
      <c r="R741">
        <v>0.85171032584500495</v>
      </c>
      <c r="S741" t="s">
        <v>7052</v>
      </c>
      <c r="T741" t="s">
        <v>12620</v>
      </c>
      <c r="U741" t="s">
        <v>12620</v>
      </c>
      <c r="V741" t="s">
        <v>12620</v>
      </c>
      <c r="W741" t="s">
        <v>13337</v>
      </c>
      <c r="X741">
        <v>4</v>
      </c>
      <c r="Y741" t="s">
        <v>19580</v>
      </c>
      <c r="Z741" t="s">
        <v>25688</v>
      </c>
      <c r="AA741">
        <v>0.90448975321948233</v>
      </c>
      <c r="AB741" t="str">
        <f>HYPERLINK("Melting_Curves/meltCurve_I3L1Q3_ELP5.pdf", "Melting_Curves/meltCurve_I3L1Q3_ELP5.pdf")</f>
        <v>Melting_Curves/meltCurve_I3L1Q3_ELP5.pdf</v>
      </c>
    </row>
    <row r="742" spans="1:28" x14ac:dyDescent="0.25">
      <c r="A742" t="s">
        <v>746</v>
      </c>
      <c r="B742">
        <v>0.99987803227770999</v>
      </c>
      <c r="C742">
        <v>1.13254809974294</v>
      </c>
      <c r="D742">
        <v>0.85634880538755098</v>
      </c>
      <c r="E742">
        <v>0.562363085469469</v>
      </c>
      <c r="F742">
        <v>0.25291976380627701</v>
      </c>
      <c r="G742">
        <v>0.17775399518582199</v>
      </c>
      <c r="H742">
        <v>0.145257305536801</v>
      </c>
      <c r="I742">
        <v>0.126285789617021</v>
      </c>
      <c r="J742">
        <v>0.13283495894271499</v>
      </c>
      <c r="K742">
        <v>0.10757630059894401</v>
      </c>
      <c r="L742">
        <v>1306.2242721662301</v>
      </c>
      <c r="M742">
        <v>26.2293846727428</v>
      </c>
      <c r="N742">
        <v>50.363839931369498</v>
      </c>
      <c r="O742">
        <v>49.513280122887402</v>
      </c>
      <c r="P742">
        <v>-0.115588367030412</v>
      </c>
      <c r="Q742">
        <v>0.12722405257859501</v>
      </c>
      <c r="R742">
        <v>0.98240410484269503</v>
      </c>
      <c r="S742" t="s">
        <v>7053</v>
      </c>
      <c r="T742" t="s">
        <v>12620</v>
      </c>
      <c r="U742" t="s">
        <v>12620</v>
      </c>
      <c r="V742" t="s">
        <v>12620</v>
      </c>
      <c r="W742" t="s">
        <v>13338</v>
      </c>
      <c r="X742">
        <v>23</v>
      </c>
      <c r="Y742" t="s">
        <v>19581</v>
      </c>
      <c r="Z742" t="s">
        <v>25689</v>
      </c>
      <c r="AA742">
        <v>0.41939679995561863</v>
      </c>
      <c r="AB742" t="str">
        <f>HYPERLINK("Melting_Curves/meltCurve_I3L2B0_CLUH.pdf", "Melting_Curves/meltCurve_I3L2B0_CLUH.pdf")</f>
        <v>Melting_Curves/meltCurve_I3L2B0_CLUH.pdf</v>
      </c>
    </row>
    <row r="743" spans="1:28" x14ac:dyDescent="0.25">
      <c r="A743" t="s">
        <v>747</v>
      </c>
      <c r="B743">
        <v>0.99987803227770999</v>
      </c>
      <c r="C743">
        <v>1.00915177503017</v>
      </c>
      <c r="D743">
        <v>0.89900509554345698</v>
      </c>
      <c r="E743">
        <v>0.74548218871334004</v>
      </c>
      <c r="F743">
        <v>0.55144301610649304</v>
      </c>
      <c r="G743">
        <v>0.33258233340725801</v>
      </c>
      <c r="H743">
        <v>0.27074402525940899</v>
      </c>
      <c r="I743">
        <v>0.19559466092832301</v>
      </c>
      <c r="J743">
        <v>0.14818568233183199</v>
      </c>
      <c r="K743">
        <v>0.10636572738862</v>
      </c>
      <c r="L743">
        <v>746.41623439719604</v>
      </c>
      <c r="M743">
        <v>14.043990588025901</v>
      </c>
      <c r="N743">
        <v>54.053236382233202</v>
      </c>
      <c r="O743">
        <v>52.1056365529858</v>
      </c>
      <c r="P743">
        <v>-6.0332111962236597E-2</v>
      </c>
      <c r="Q743">
        <v>0.10474670384347</v>
      </c>
      <c r="R743">
        <v>0.99578530809608501</v>
      </c>
      <c r="S743" t="s">
        <v>7054</v>
      </c>
      <c r="T743" t="s">
        <v>12620</v>
      </c>
      <c r="U743" t="s">
        <v>12620</v>
      </c>
      <c r="V743" t="s">
        <v>12620</v>
      </c>
      <c r="W743" t="s">
        <v>13339</v>
      </c>
      <c r="X743">
        <v>9</v>
      </c>
      <c r="Y743" t="s">
        <v>19582</v>
      </c>
      <c r="Z743" t="s">
        <v>25690</v>
      </c>
      <c r="AA743">
        <v>0.51801351823643738</v>
      </c>
      <c r="AB743" t="str">
        <f>HYPERLINK("Melting_Curves/meltCurve_I3L2C7_GEMIN4.pdf", "Melting_Curves/meltCurve_I3L2C7_GEMIN4.pdf")</f>
        <v>Melting_Curves/meltCurve_I3L2C7_GEMIN4.pdf</v>
      </c>
    </row>
    <row r="744" spans="1:28" x14ac:dyDescent="0.25">
      <c r="A744" t="s">
        <v>748</v>
      </c>
      <c r="B744">
        <v>0.99987803227770999</v>
      </c>
      <c r="C744">
        <v>1.02836514942817</v>
      </c>
      <c r="D744">
        <v>0.98234969180463105</v>
      </c>
      <c r="E744">
        <v>0.886215980409082</v>
      </c>
      <c r="F744">
        <v>0.78269638282071696</v>
      </c>
      <c r="G744">
        <v>0.63582334034713395</v>
      </c>
      <c r="H744">
        <v>0.53613593482333799</v>
      </c>
      <c r="I744">
        <v>0.51697129160139899</v>
      </c>
      <c r="J744">
        <v>0.37955307923294002</v>
      </c>
      <c r="K744">
        <v>0.30711169967162399</v>
      </c>
      <c r="L744">
        <v>570.83468478156999</v>
      </c>
      <c r="M744">
        <v>9.6247576487591893</v>
      </c>
      <c r="N744">
        <v>62.241714920296502</v>
      </c>
      <c r="O744">
        <v>56.918323839561303</v>
      </c>
      <c r="P744">
        <v>-3.4587247955220599E-2</v>
      </c>
      <c r="Q744">
        <v>0.18230036259766899</v>
      </c>
      <c r="R744">
        <v>0.98463842660295398</v>
      </c>
      <c r="S744" t="s">
        <v>7055</v>
      </c>
      <c r="T744" t="s">
        <v>12620</v>
      </c>
      <c r="U744" t="s">
        <v>12620</v>
      </c>
      <c r="V744" t="s">
        <v>12620</v>
      </c>
      <c r="W744" t="s">
        <v>13340</v>
      </c>
      <c r="X744">
        <v>19</v>
      </c>
      <c r="Y744" t="s">
        <v>19583</v>
      </c>
      <c r="Z744" t="s">
        <v>25691</v>
      </c>
      <c r="AA744">
        <v>0.70841594423610776</v>
      </c>
      <c r="AB744" t="str">
        <f>HYPERLINK("Melting_Curves/meltCurve_I3L2J0_CIC.pdf", "Melting_Curves/meltCurve_I3L2J0_CIC.pdf")</f>
        <v>Melting_Curves/meltCurve_I3L2J0_CIC.pdf</v>
      </c>
    </row>
    <row r="745" spans="1:28" x14ac:dyDescent="0.25">
      <c r="A745" t="s">
        <v>749</v>
      </c>
      <c r="B745">
        <v>0.99987803227770999</v>
      </c>
      <c r="C745">
        <v>0.88368173893831903</v>
      </c>
      <c r="D745">
        <v>0.797525886934077</v>
      </c>
      <c r="E745">
        <v>0.69927078122550901</v>
      </c>
      <c r="F745">
        <v>0.73818065732225202</v>
      </c>
      <c r="G745">
        <v>0.55311116482723499</v>
      </c>
      <c r="H745">
        <v>0.61994872166945303</v>
      </c>
      <c r="I745">
        <v>0.69412903196142295</v>
      </c>
      <c r="J745">
        <v>0.60359077559469099</v>
      </c>
      <c r="K745">
        <v>0.52692884863228295</v>
      </c>
      <c r="L745">
        <v>583.82951605364201</v>
      </c>
      <c r="M745">
        <v>12.494089357752699</v>
      </c>
      <c r="O745">
        <v>45.579822547290199</v>
      </c>
      <c r="P745">
        <v>-2.80577828213858E-2</v>
      </c>
      <c r="Q745">
        <v>0.59065278078668404</v>
      </c>
      <c r="R745">
        <v>0.86607599342663899</v>
      </c>
      <c r="S745" t="s">
        <v>7056</v>
      </c>
      <c r="T745" t="s">
        <v>12620</v>
      </c>
      <c r="U745" t="s">
        <v>12620</v>
      </c>
      <c r="V745" t="s">
        <v>12620</v>
      </c>
      <c r="W745" t="s">
        <v>13341</v>
      </c>
      <c r="X745">
        <v>10</v>
      </c>
      <c r="Y745" t="s">
        <v>19584</v>
      </c>
      <c r="Z745" t="s">
        <v>25692</v>
      </c>
      <c r="AA745">
        <v>0.6987348730376326</v>
      </c>
      <c r="AB745" t="str">
        <f>HYPERLINK("Melting_Curves/meltCurve_I3L2N2_DVL2.pdf", "Melting_Curves/meltCurve_I3L2N2_DVL2.pdf")</f>
        <v>Melting_Curves/meltCurve_I3L2N2_DVL2.pdf</v>
      </c>
    </row>
    <row r="746" spans="1:28" x14ac:dyDescent="0.25">
      <c r="A746" t="s">
        <v>750</v>
      </c>
      <c r="B746">
        <v>0.99987803227770999</v>
      </c>
      <c r="C746">
        <v>0.89657455905127603</v>
      </c>
      <c r="D746">
        <v>1.0883791078468501</v>
      </c>
      <c r="E746">
        <v>0.92105514322139803</v>
      </c>
      <c r="F746">
        <v>0.95127938626729003</v>
      </c>
      <c r="G746">
        <v>0.74173406809708498</v>
      </c>
      <c r="H746">
        <v>0.76293375865310697</v>
      </c>
      <c r="I746">
        <v>0.80448006812968798</v>
      </c>
      <c r="J746">
        <v>0.76040223747604097</v>
      </c>
      <c r="K746">
        <v>0.61919268353317003</v>
      </c>
      <c r="S746" t="s">
        <v>7057</v>
      </c>
      <c r="T746" t="s">
        <v>12620</v>
      </c>
      <c r="U746" t="s">
        <v>12621</v>
      </c>
      <c r="V746" t="s">
        <v>12620</v>
      </c>
      <c r="W746" t="s">
        <v>13342</v>
      </c>
      <c r="X746">
        <v>3</v>
      </c>
      <c r="Y746" t="s">
        <v>19585</v>
      </c>
      <c r="Z746" t="s">
        <v>25693</v>
      </c>
      <c r="AB746" t="str">
        <f>HYPERLINK("Melting_Curves/meltCurve_I3L2Z5_MAZ.pdf", "Melting_Curves/meltCurve_I3L2Z5_MAZ.pdf")</f>
        <v>Melting_Curves/meltCurve_I3L2Z5_MAZ.pdf</v>
      </c>
    </row>
    <row r="747" spans="1:28" x14ac:dyDescent="0.25">
      <c r="A747" t="s">
        <v>751</v>
      </c>
      <c r="B747">
        <v>0.99987803227770999</v>
      </c>
      <c r="C747">
        <v>0.85269954389871505</v>
      </c>
      <c r="D747">
        <v>1.0402286904011899</v>
      </c>
      <c r="E747">
        <v>0.70939261438596302</v>
      </c>
      <c r="F747">
        <v>0.96821759118609796</v>
      </c>
      <c r="G747">
        <v>0.71996124724397403</v>
      </c>
      <c r="H747">
        <v>0.89095346862253499</v>
      </c>
      <c r="I747">
        <v>0.93188861745024698</v>
      </c>
      <c r="J747">
        <v>1.0341898569651899</v>
      </c>
      <c r="K747">
        <v>0.89140126026856803</v>
      </c>
      <c r="L747">
        <v>10236.956996254999</v>
      </c>
      <c r="M747">
        <v>250</v>
      </c>
      <c r="O747">
        <v>40.9452081717086</v>
      </c>
      <c r="P747">
        <v>-0.163000258328795</v>
      </c>
      <c r="Q747">
        <v>0.893214729478225</v>
      </c>
      <c r="R747">
        <v>8.2371918740669306E-2</v>
      </c>
      <c r="S747" t="s">
        <v>7058</v>
      </c>
      <c r="T747" t="s">
        <v>12620</v>
      </c>
      <c r="U747" t="s">
        <v>12620</v>
      </c>
      <c r="V747" t="s">
        <v>12620</v>
      </c>
      <c r="W747" t="s">
        <v>13343</v>
      </c>
      <c r="X747">
        <v>2</v>
      </c>
      <c r="Y747" t="s">
        <v>19586</v>
      </c>
      <c r="Z747" t="s">
        <v>25694</v>
      </c>
      <c r="AA747">
        <v>0.89659768018195762</v>
      </c>
      <c r="AB747" t="str">
        <f>HYPERLINK("Melting_Curves/meltCurve_I3L380_ABHD12.pdf", "Melting_Curves/meltCurve_I3L380_ABHD12.pdf")</f>
        <v>Melting_Curves/meltCurve_I3L380_ABHD12.pdf</v>
      </c>
    </row>
    <row r="748" spans="1:28" x14ac:dyDescent="0.25">
      <c r="A748" t="s">
        <v>752</v>
      </c>
      <c r="B748">
        <v>0.99987803227770999</v>
      </c>
      <c r="C748">
        <v>1.09471103316561</v>
      </c>
      <c r="D748">
        <v>1.0006483167615301</v>
      </c>
      <c r="E748">
        <v>0.87342452436770102</v>
      </c>
      <c r="F748">
        <v>0.46590856359507699</v>
      </c>
      <c r="G748">
        <v>0.21194768016037899</v>
      </c>
      <c r="H748">
        <v>0.154013857972749</v>
      </c>
      <c r="I748">
        <v>0.127516942077609</v>
      </c>
      <c r="J748">
        <v>8.6120819002907897E-2</v>
      </c>
      <c r="K748">
        <v>6.0986333951610197E-2</v>
      </c>
      <c r="L748">
        <v>1665.82823832399</v>
      </c>
      <c r="M748">
        <v>31.7145282509439</v>
      </c>
      <c r="N748">
        <v>52.934936874862501</v>
      </c>
      <c r="O748">
        <v>52.318203526924499</v>
      </c>
      <c r="P748">
        <v>-0.13507130316350599</v>
      </c>
      <c r="Q748">
        <v>0.10871757360119701</v>
      </c>
      <c r="R748">
        <v>0.99063000063290896</v>
      </c>
      <c r="S748" t="s">
        <v>7059</v>
      </c>
      <c r="T748" t="s">
        <v>12620</v>
      </c>
      <c r="U748" t="s">
        <v>12620</v>
      </c>
      <c r="V748" t="s">
        <v>12620</v>
      </c>
      <c r="W748" t="s">
        <v>13344</v>
      </c>
      <c r="X748">
        <v>6</v>
      </c>
      <c r="Y748" t="s">
        <v>19587</v>
      </c>
      <c r="Z748" t="s">
        <v>25695</v>
      </c>
      <c r="AA748">
        <v>0.48599222294205979</v>
      </c>
      <c r="AB748" t="str">
        <f>HYPERLINK("Melting_Curves/meltCurve_I3L3P7_RPS15A.pdf", "Melting_Curves/meltCurve_I3L3P7_RPS15A.pdf")</f>
        <v>Melting_Curves/meltCurve_I3L3P7_RPS15A.pdf</v>
      </c>
    </row>
    <row r="749" spans="1:28" x14ac:dyDescent="0.25">
      <c r="A749" t="s">
        <v>753</v>
      </c>
      <c r="B749">
        <v>0.99987803227770999</v>
      </c>
      <c r="C749">
        <v>0.923337896001307</v>
      </c>
      <c r="D749">
        <v>0.94664265844265405</v>
      </c>
      <c r="E749">
        <v>0.87551076241301395</v>
      </c>
      <c r="F749">
        <v>1.0323583635905</v>
      </c>
      <c r="G749">
        <v>0.85298315514332101</v>
      </c>
      <c r="H749">
        <v>0.80738518865503395</v>
      </c>
      <c r="I749">
        <v>0.64735788077574496</v>
      </c>
      <c r="J749">
        <v>0.76259808820296504</v>
      </c>
      <c r="K749">
        <v>0.67755732531657098</v>
      </c>
      <c r="L749">
        <v>444.99694838699702</v>
      </c>
      <c r="M749">
        <v>6.8238847564349001</v>
      </c>
      <c r="O749">
        <v>60.299384083559602</v>
      </c>
      <c r="P749">
        <v>-1.51298433810431E-2</v>
      </c>
      <c r="Q749">
        <v>0.46630554647064598</v>
      </c>
      <c r="R749">
        <v>0.75043953448266898</v>
      </c>
      <c r="S749" t="s">
        <v>7060</v>
      </c>
      <c r="T749" t="s">
        <v>12620</v>
      </c>
      <c r="U749" t="s">
        <v>12620</v>
      </c>
      <c r="V749" t="s">
        <v>12620</v>
      </c>
      <c r="W749" t="s">
        <v>13345</v>
      </c>
      <c r="X749">
        <v>1</v>
      </c>
      <c r="Y749" t="s">
        <v>19588</v>
      </c>
      <c r="Z749" t="s">
        <v>25696</v>
      </c>
      <c r="AA749">
        <v>0.86365945040202086</v>
      </c>
      <c r="AB749" t="str">
        <f>HYPERLINK("Melting_Curves/meltCurve_I3L4B1_MYL4.pdf", "Melting_Curves/meltCurve_I3L4B1_MYL4.pdf")</f>
        <v>Melting_Curves/meltCurve_I3L4B1_MYL4.pdf</v>
      </c>
    </row>
    <row r="750" spans="1:28" x14ac:dyDescent="0.25">
      <c r="A750" t="s">
        <v>754</v>
      </c>
      <c r="B750">
        <v>0.99987803227770999</v>
      </c>
      <c r="C750">
        <v>0.85237161891258095</v>
      </c>
      <c r="D750">
        <v>0.91900420721123</v>
      </c>
      <c r="E750">
        <v>0.85860424240758504</v>
      </c>
      <c r="F750">
        <v>0.99089420213663004</v>
      </c>
      <c r="G750">
        <v>0.69746054678213898</v>
      </c>
      <c r="H750">
        <v>0.76045104640305805</v>
      </c>
      <c r="I750">
        <v>0.68464705322401598</v>
      </c>
      <c r="J750">
        <v>0.81905676835808106</v>
      </c>
      <c r="K750">
        <v>0.72026986824784001</v>
      </c>
      <c r="L750">
        <v>307.629625570526</v>
      </c>
      <c r="M750">
        <v>5.5913913174236303</v>
      </c>
      <c r="O750">
        <v>49.187629275330899</v>
      </c>
      <c r="P750">
        <v>-1.02545993240666E-2</v>
      </c>
      <c r="Q750">
        <v>0.64065383369454398</v>
      </c>
      <c r="R750">
        <v>0.542248203176251</v>
      </c>
      <c r="S750" t="s">
        <v>7061</v>
      </c>
      <c r="T750" t="s">
        <v>12620</v>
      </c>
      <c r="U750" t="s">
        <v>12620</v>
      </c>
      <c r="V750" t="s">
        <v>12620</v>
      </c>
      <c r="W750" t="s">
        <v>13346</v>
      </c>
      <c r="X750">
        <v>16</v>
      </c>
      <c r="Y750" t="s">
        <v>19589</v>
      </c>
      <c r="Z750" t="s">
        <v>25697</v>
      </c>
      <c r="AA750">
        <v>0.82964092518142507</v>
      </c>
      <c r="AB750" t="str">
        <f>HYPERLINK("Melting_Curves/meltCurve_I3L4C3_SPAG7.pdf", "Melting_Curves/meltCurve_I3L4C3_SPAG7.pdf")</f>
        <v>Melting_Curves/meltCurve_I3L4C3_SPAG7.pdf</v>
      </c>
    </row>
    <row r="751" spans="1:28" x14ac:dyDescent="0.25">
      <c r="A751" t="s">
        <v>755</v>
      </c>
      <c r="B751">
        <v>0.99987803227770999</v>
      </c>
      <c r="C751">
        <v>0.99609086535845703</v>
      </c>
      <c r="D751">
        <v>1.1079115842064799</v>
      </c>
      <c r="E751">
        <v>1.03371686472512</v>
      </c>
      <c r="F751">
        <v>0.66903858041044495</v>
      </c>
      <c r="G751">
        <v>0.39300710156296997</v>
      </c>
      <c r="H751">
        <v>0.40018478661698598</v>
      </c>
      <c r="I751">
        <v>0.22783914116659301</v>
      </c>
      <c r="J751">
        <v>0.13540333698804899</v>
      </c>
      <c r="K751">
        <v>8.0763633388249004E-2</v>
      </c>
      <c r="L751">
        <v>1081.58510607426</v>
      </c>
      <c r="M751">
        <v>19.514219936946301</v>
      </c>
      <c r="N751">
        <v>56.356776345553399</v>
      </c>
      <c r="O751">
        <v>54.853283038651398</v>
      </c>
      <c r="P751">
        <v>-7.6683575079620495E-2</v>
      </c>
      <c r="Q751">
        <v>0.13781950335441301</v>
      </c>
      <c r="R751">
        <v>0.95402497255410001</v>
      </c>
      <c r="S751" t="s">
        <v>7062</v>
      </c>
      <c r="T751" t="s">
        <v>12620</v>
      </c>
      <c r="U751" t="s">
        <v>12620</v>
      </c>
      <c r="V751" t="s">
        <v>12620</v>
      </c>
      <c r="W751" t="s">
        <v>13347</v>
      </c>
      <c r="X751">
        <v>1</v>
      </c>
      <c r="Y751" t="s">
        <v>19590</v>
      </c>
      <c r="Z751" t="s">
        <v>25698</v>
      </c>
      <c r="AA751">
        <v>0.59288156808433679</v>
      </c>
      <c r="AB751" t="str">
        <f>HYPERLINK("Melting_Curves/meltCurve_I3L4D1_ELMO3.pdf", "Melting_Curves/meltCurve_I3L4D1_ELMO3.pdf")</f>
        <v>Melting_Curves/meltCurve_I3L4D1_ELMO3.pdf</v>
      </c>
    </row>
    <row r="752" spans="1:28" x14ac:dyDescent="0.25">
      <c r="A752" t="s">
        <v>756</v>
      </c>
      <c r="B752">
        <v>0.99987803227770999</v>
      </c>
      <c r="C752">
        <v>0.78900499162236304</v>
      </c>
      <c r="D752">
        <v>0.67424970906265702</v>
      </c>
      <c r="E752">
        <v>0.63617333604524295</v>
      </c>
      <c r="F752">
        <v>0.65576831386549905</v>
      </c>
      <c r="G752">
        <v>0.34231791575465098</v>
      </c>
      <c r="H752">
        <v>0.34428141060348399</v>
      </c>
      <c r="I752">
        <v>0.49832472458553601</v>
      </c>
      <c r="J752">
        <v>0.43333671086278103</v>
      </c>
      <c r="K752">
        <v>0.32026014381400397</v>
      </c>
      <c r="L752">
        <v>455.80985219955397</v>
      </c>
      <c r="M752">
        <v>9.5007686928220707</v>
      </c>
      <c r="N752">
        <v>54.620521572283899</v>
      </c>
      <c r="O752">
        <v>45.994855166479503</v>
      </c>
      <c r="P752">
        <v>-3.39691034934161E-2</v>
      </c>
      <c r="Q752">
        <v>0.34258766490682002</v>
      </c>
      <c r="R752">
        <v>0.85365139607744001</v>
      </c>
      <c r="S752" t="s">
        <v>7063</v>
      </c>
      <c r="T752" t="s">
        <v>12620</v>
      </c>
      <c r="U752" t="s">
        <v>12620</v>
      </c>
      <c r="V752" t="s">
        <v>12620</v>
      </c>
      <c r="W752" t="s">
        <v>13348</v>
      </c>
      <c r="X752">
        <v>22</v>
      </c>
      <c r="Y752" t="s">
        <v>19591</v>
      </c>
      <c r="Z752" t="s">
        <v>25699</v>
      </c>
      <c r="AA752">
        <v>0.55509085181016937</v>
      </c>
      <c r="AB752" t="str">
        <f>HYPERLINK("Melting_Curves/meltCurve_I3L4N8_ACTG1.pdf", "Melting_Curves/meltCurve_I3L4N8_ACTG1.pdf")</f>
        <v>Melting_Curves/meltCurve_I3L4N8_ACTG1.pdf</v>
      </c>
    </row>
    <row r="753" spans="1:28" x14ac:dyDescent="0.25">
      <c r="A753" t="s">
        <v>757</v>
      </c>
      <c r="B753">
        <v>0.99987803227770999</v>
      </c>
      <c r="C753">
        <v>1.0935128330650099</v>
      </c>
      <c r="D753">
        <v>1.06431844640741</v>
      </c>
      <c r="E753">
        <v>0.97042905201257401</v>
      </c>
      <c r="F753">
        <v>1.0336241419810099</v>
      </c>
      <c r="G753">
        <v>0.69382648270326797</v>
      </c>
      <c r="H753">
        <v>0.86149690334862505</v>
      </c>
      <c r="I753">
        <v>0.81323492450173696</v>
      </c>
      <c r="J753">
        <v>0.86138716284374695</v>
      </c>
      <c r="K753">
        <v>0.74545852626786901</v>
      </c>
      <c r="L753">
        <v>13703.5079066446</v>
      </c>
      <c r="M753">
        <v>250</v>
      </c>
      <c r="O753">
        <v>54.810501465531097</v>
      </c>
      <c r="P753">
        <v>-0.233667862165641</v>
      </c>
      <c r="Q753">
        <v>0.79508067263073601</v>
      </c>
      <c r="R753">
        <v>0.78668154861890704</v>
      </c>
      <c r="S753" t="s">
        <v>7064</v>
      </c>
      <c r="T753" t="s">
        <v>12620</v>
      </c>
      <c r="U753" t="s">
        <v>12620</v>
      </c>
      <c r="V753" t="s">
        <v>12620</v>
      </c>
      <c r="W753" t="s">
        <v>13349</v>
      </c>
      <c r="X753">
        <v>4</v>
      </c>
      <c r="Y753" t="s">
        <v>19592</v>
      </c>
      <c r="Z753" t="s">
        <v>25700</v>
      </c>
      <c r="AA753">
        <v>0.89628976529840121</v>
      </c>
      <c r="AB753" t="str">
        <f>HYPERLINK("Melting_Curves/meltCurve_I3L4Q0_FAM195B.pdf", "Melting_Curves/meltCurve_I3L4Q0_FAM195B.pdf")</f>
        <v>Melting_Curves/meltCurve_I3L4Q0_FAM195B.pdf</v>
      </c>
    </row>
    <row r="754" spans="1:28" x14ac:dyDescent="0.25">
      <c r="A754" t="s">
        <v>758</v>
      </c>
      <c r="B754">
        <v>0.99987803227770999</v>
      </c>
      <c r="C754">
        <v>1.0320213552206301</v>
      </c>
      <c r="D754">
        <v>1.0082792887757299</v>
      </c>
      <c r="E754">
        <v>0.89187642604143802</v>
      </c>
      <c r="F754">
        <v>0.55989323811331804</v>
      </c>
      <c r="G754">
        <v>0.31386916656354702</v>
      </c>
      <c r="H754">
        <v>0.12715763190995999</v>
      </c>
      <c r="I754">
        <v>9.12550202645213E-2</v>
      </c>
      <c r="J754">
        <v>8.9163444667230904E-2</v>
      </c>
      <c r="K754">
        <v>6.0054965111737801E-2</v>
      </c>
      <c r="L754">
        <v>1204.40788242544</v>
      </c>
      <c r="M754">
        <v>22.4028231821937</v>
      </c>
      <c r="N754">
        <v>54.129902882802398</v>
      </c>
      <c r="O754">
        <v>53.338564636453903</v>
      </c>
      <c r="P754">
        <v>-9.7579137466946297E-2</v>
      </c>
      <c r="Q754">
        <v>7.0720164399677293E-2</v>
      </c>
      <c r="R754">
        <v>0.99523235064995696</v>
      </c>
      <c r="S754" t="s">
        <v>7065</v>
      </c>
      <c r="T754" t="s">
        <v>12620</v>
      </c>
      <c r="U754" t="s">
        <v>12620</v>
      </c>
      <c r="V754" t="s">
        <v>12620</v>
      </c>
      <c r="W754" t="s">
        <v>13350</v>
      </c>
      <c r="X754">
        <v>3</v>
      </c>
      <c r="Y754" t="s">
        <v>19593</v>
      </c>
      <c r="Z754" t="s">
        <v>25701</v>
      </c>
      <c r="AA754">
        <v>0.50745433746419932</v>
      </c>
      <c r="AB754" t="str">
        <f>HYPERLINK("Melting_Curves/meltCurve_I3L4X3_NFKBIB.pdf", "Melting_Curves/meltCurve_I3L4X3_NFKBIB.pdf")</f>
        <v>Melting_Curves/meltCurve_I3L4X3_NFKBIB.pdf</v>
      </c>
    </row>
    <row r="755" spans="1:28" x14ac:dyDescent="0.25">
      <c r="A755" t="s">
        <v>759</v>
      </c>
      <c r="B755">
        <v>0.99987803227770999</v>
      </c>
      <c r="C755">
        <v>0.99095028495463899</v>
      </c>
      <c r="D755">
        <v>0.93206384344717297</v>
      </c>
      <c r="E755">
        <v>0.79408169192837397</v>
      </c>
      <c r="F755">
        <v>0.86655728087214101</v>
      </c>
      <c r="G755">
        <v>0.56267073736442597</v>
      </c>
      <c r="H755">
        <v>0.462528102967384</v>
      </c>
      <c r="I755">
        <v>0.43200708295711099</v>
      </c>
      <c r="J755">
        <v>0.39166378825220799</v>
      </c>
      <c r="K755">
        <v>0.30577321838819799</v>
      </c>
      <c r="L755">
        <v>622.19213972048203</v>
      </c>
      <c r="M755">
        <v>10.961010882771999</v>
      </c>
      <c r="N755">
        <v>60.4317875565131</v>
      </c>
      <c r="O755">
        <v>54.972842936271597</v>
      </c>
      <c r="P755">
        <v>-3.7751188000068298E-2</v>
      </c>
      <c r="Q755">
        <v>0.24292369764847299</v>
      </c>
      <c r="R755">
        <v>0.96890840264073197</v>
      </c>
      <c r="S755" t="s">
        <v>7066</v>
      </c>
      <c r="T755" t="s">
        <v>12620</v>
      </c>
      <c r="U755" t="s">
        <v>12620</v>
      </c>
      <c r="V755" t="s">
        <v>12620</v>
      </c>
      <c r="W755" t="s">
        <v>13351</v>
      </c>
      <c r="X755">
        <v>2</v>
      </c>
      <c r="Y755" t="s">
        <v>19594</v>
      </c>
      <c r="Z755" t="s">
        <v>25702</v>
      </c>
      <c r="AA755">
        <v>0.67933302415940111</v>
      </c>
      <c r="AB755" t="str">
        <f>HYPERLINK("Melting_Curves/meltCurve_I3L505_NDUFAB1.pdf", "Melting_Curves/meltCurve_I3L505_NDUFAB1.pdf")</f>
        <v>Melting_Curves/meltCurve_I3L505_NDUFAB1.pdf</v>
      </c>
    </row>
    <row r="756" spans="1:28" x14ac:dyDescent="0.25">
      <c r="A756" t="s">
        <v>760</v>
      </c>
      <c r="B756">
        <v>0.99987803227770999</v>
      </c>
      <c r="C756">
        <v>0.86236868956618296</v>
      </c>
      <c r="D756">
        <v>1.1170346340199999</v>
      </c>
      <c r="E756">
        <v>0.93979517899858001</v>
      </c>
      <c r="F756">
        <v>1.13976588531992</v>
      </c>
      <c r="G756">
        <v>1.0076526109224899</v>
      </c>
      <c r="H756">
        <v>0.94262198780286299</v>
      </c>
      <c r="I756">
        <v>0.674557802233128</v>
      </c>
      <c r="J756">
        <v>0.44118128310002003</v>
      </c>
      <c r="K756">
        <v>0.246387101159874</v>
      </c>
      <c r="L756">
        <v>2107.0045630923801</v>
      </c>
      <c r="M756">
        <v>32.351687931290201</v>
      </c>
      <c r="N756">
        <v>66.035972352884798</v>
      </c>
      <c r="O756">
        <v>64.880805514536704</v>
      </c>
      <c r="P756">
        <v>-0.102280908753186</v>
      </c>
      <c r="Q756">
        <v>0.17951312728259</v>
      </c>
      <c r="R756">
        <v>0.92509637451503202</v>
      </c>
      <c r="S756" t="s">
        <v>7067</v>
      </c>
      <c r="T756" t="s">
        <v>12620</v>
      </c>
      <c r="U756" t="s">
        <v>12620</v>
      </c>
      <c r="V756" t="s">
        <v>12620</v>
      </c>
      <c r="W756" t="s">
        <v>13352</v>
      </c>
      <c r="X756">
        <v>15</v>
      </c>
      <c r="Y756" t="s">
        <v>19595</v>
      </c>
      <c r="Z756" t="s">
        <v>25703</v>
      </c>
      <c r="AA756">
        <v>0.86558331010255396</v>
      </c>
      <c r="AB756" t="str">
        <f>HYPERLINK("Melting_Curves/meltCurve_I6L8B7_FABP5.pdf", "Melting_Curves/meltCurve_I6L8B7_FABP5.pdf")</f>
        <v>Melting_Curves/meltCurve_I6L8B7_FABP5.pdf</v>
      </c>
    </row>
    <row r="757" spans="1:28" x14ac:dyDescent="0.25">
      <c r="A757" t="s">
        <v>761</v>
      </c>
      <c r="B757">
        <v>0.99987803227770999</v>
      </c>
      <c r="C757">
        <v>0.90325580794079596</v>
      </c>
      <c r="D757">
        <v>0.87435848823569295</v>
      </c>
      <c r="E757">
        <v>0.82077064207817196</v>
      </c>
      <c r="F757">
        <v>0.76303535608654904</v>
      </c>
      <c r="G757">
        <v>0.51339210374726396</v>
      </c>
      <c r="H757">
        <v>0.536944825507358</v>
      </c>
      <c r="I757">
        <v>0.55412361831657997</v>
      </c>
      <c r="J757">
        <v>0.53567672694917201</v>
      </c>
      <c r="K757">
        <v>0.39677232546708302</v>
      </c>
      <c r="L757">
        <v>492.58118085372899</v>
      </c>
      <c r="M757">
        <v>9.21306695598307</v>
      </c>
      <c r="N757">
        <v>64.405911012613402</v>
      </c>
      <c r="O757">
        <v>51.127491612209703</v>
      </c>
      <c r="P757">
        <v>-2.72525247864535E-2</v>
      </c>
      <c r="Q757">
        <v>0.39545524427798701</v>
      </c>
      <c r="R757">
        <v>0.93207246236574204</v>
      </c>
      <c r="S757" t="s">
        <v>7068</v>
      </c>
      <c r="T757" t="s">
        <v>12620</v>
      </c>
      <c r="U757" t="s">
        <v>12620</v>
      </c>
      <c r="V757" t="s">
        <v>12620</v>
      </c>
      <c r="W757" t="s">
        <v>13353</v>
      </c>
      <c r="X757">
        <v>2</v>
      </c>
      <c r="Y757" t="s">
        <v>19596</v>
      </c>
      <c r="Z757" t="s">
        <v>25704</v>
      </c>
      <c r="AA757">
        <v>0.68763279306561509</v>
      </c>
      <c r="AB757" t="str">
        <f>HYPERLINK("Melting_Curves/meltCurve_I6L9B4_DNAJC24.pdf", "Melting_Curves/meltCurve_I6L9B4_DNAJC24.pdf")</f>
        <v>Melting_Curves/meltCurve_I6L9B4_DNAJC24.pdf</v>
      </c>
    </row>
    <row r="758" spans="1:28" x14ac:dyDescent="0.25">
      <c r="A758" t="s">
        <v>762</v>
      </c>
      <c r="B758">
        <v>0.99987803227770999</v>
      </c>
      <c r="C758">
        <v>1.04101090729359</v>
      </c>
      <c r="D758">
        <v>0.89947043917535596</v>
      </c>
      <c r="E758">
        <v>1.59744023854328</v>
      </c>
      <c r="F758">
        <v>1.3140010532376001</v>
      </c>
      <c r="G758">
        <v>1.07274677673791</v>
      </c>
      <c r="H758">
        <v>0.30323485062095101</v>
      </c>
      <c r="I758">
        <v>0.24446998378329901</v>
      </c>
      <c r="J758">
        <v>0.10552338316547399</v>
      </c>
      <c r="K758">
        <v>0.10500095581492901</v>
      </c>
      <c r="L758">
        <v>8401.4823538797591</v>
      </c>
      <c r="M758">
        <v>139.250475344352</v>
      </c>
      <c r="N758">
        <v>60.490368071932501</v>
      </c>
      <c r="O758">
        <v>60.3211662575604</v>
      </c>
      <c r="P758">
        <v>-0.48970619997071102</v>
      </c>
      <c r="Q758">
        <v>0.15146733040570401</v>
      </c>
      <c r="R758">
        <v>0.81276569083055805</v>
      </c>
      <c r="S758" t="s">
        <v>7069</v>
      </c>
      <c r="T758" t="s">
        <v>12620</v>
      </c>
      <c r="U758" t="s">
        <v>12620</v>
      </c>
      <c r="V758" t="s">
        <v>12620</v>
      </c>
      <c r="W758" t="s">
        <v>12922</v>
      </c>
      <c r="X758">
        <v>12</v>
      </c>
      <c r="Y758" t="s">
        <v>19170</v>
      </c>
      <c r="Z758" t="s">
        <v>25705</v>
      </c>
      <c r="AA758">
        <v>0.72688116992602625</v>
      </c>
      <c r="AB758" t="str">
        <f>HYPERLINK("Melting_Curves/meltCurve_J3KMW7_UBR5.pdf", "Melting_Curves/meltCurve_J3KMW7_UBR5.pdf")</f>
        <v>Melting_Curves/meltCurve_J3KMW7_UBR5.pdf</v>
      </c>
    </row>
    <row r="759" spans="1:28" x14ac:dyDescent="0.25">
      <c r="A759" t="s">
        <v>763</v>
      </c>
      <c r="B759">
        <v>0.99987803227770999</v>
      </c>
      <c r="C759">
        <v>1.1075255831533299</v>
      </c>
      <c r="D759">
        <v>0.62442352589737804</v>
      </c>
      <c r="E759">
        <v>0.38723916280527498</v>
      </c>
      <c r="F759">
        <v>0.21573179684462099</v>
      </c>
      <c r="G759">
        <v>0.14452199613019401</v>
      </c>
      <c r="H759">
        <v>0.101826437092811</v>
      </c>
      <c r="I759">
        <v>9.6489914690744499E-2</v>
      </c>
      <c r="J759">
        <v>8.2944746529074104E-2</v>
      </c>
      <c r="K759">
        <v>7.0260317697887695E-2</v>
      </c>
      <c r="L759">
        <v>1031.15687482258</v>
      </c>
      <c r="M759">
        <v>21.5503752799086</v>
      </c>
      <c r="N759">
        <v>48.324823788831303</v>
      </c>
      <c r="O759">
        <v>47.442382110297501</v>
      </c>
      <c r="P759">
        <v>-0.102700753812707</v>
      </c>
      <c r="Q759">
        <v>9.5653833422737394E-2</v>
      </c>
      <c r="R759">
        <v>0.96695245077528902</v>
      </c>
      <c r="S759" t="s">
        <v>7070</v>
      </c>
      <c r="T759" t="s">
        <v>12620</v>
      </c>
      <c r="U759" t="s">
        <v>12620</v>
      </c>
      <c r="V759" t="s">
        <v>12620</v>
      </c>
      <c r="W759" t="s">
        <v>13354</v>
      </c>
      <c r="X759">
        <v>7</v>
      </c>
      <c r="Y759" t="s">
        <v>19597</v>
      </c>
      <c r="Z759" t="s">
        <v>25706</v>
      </c>
      <c r="AA759">
        <v>0.34324196817799713</v>
      </c>
      <c r="AB759" t="str">
        <f>HYPERLINK("Melting_Curves/meltCurve_J3KMX2_SMARCD2.pdf", "Melting_Curves/meltCurve_J3KMX2_SMARCD2.pdf")</f>
        <v>Melting_Curves/meltCurve_J3KMX2_SMARCD2.pdf</v>
      </c>
    </row>
    <row r="760" spans="1:28" x14ac:dyDescent="0.25">
      <c r="A760" t="s">
        <v>764</v>
      </c>
      <c r="B760">
        <v>0.99987803227770999</v>
      </c>
      <c r="C760">
        <v>0.94546457540509499</v>
      </c>
      <c r="D760">
        <v>1.19474450722229</v>
      </c>
      <c r="E760">
        <v>0.97136007159507398</v>
      </c>
      <c r="F760">
        <v>1.3293669716954499</v>
      </c>
      <c r="G760">
        <v>1.0729231785481601</v>
      </c>
      <c r="H760">
        <v>1.1585157905407499</v>
      </c>
      <c r="I760">
        <v>0.97524649291490795</v>
      </c>
      <c r="J760">
        <v>0.93245875715388005</v>
      </c>
      <c r="K760">
        <v>0.62342060237446195</v>
      </c>
      <c r="L760">
        <v>3790.2306117125399</v>
      </c>
      <c r="M760">
        <v>54.401429218287397</v>
      </c>
      <c r="O760">
        <v>69.577574349829106</v>
      </c>
      <c r="P760">
        <v>-0.130623729328182</v>
      </c>
      <c r="Q760">
        <v>0.33174723340955597</v>
      </c>
      <c r="R760">
        <v>0.44012410178556399</v>
      </c>
      <c r="S760" t="s">
        <v>7071</v>
      </c>
      <c r="T760" t="s">
        <v>12620</v>
      </c>
      <c r="U760" t="s">
        <v>12620</v>
      </c>
      <c r="V760" t="s">
        <v>12620</v>
      </c>
      <c r="W760" t="s">
        <v>13355</v>
      </c>
      <c r="X760">
        <v>8</v>
      </c>
      <c r="Y760" t="s">
        <v>19598</v>
      </c>
      <c r="Z760" t="s">
        <v>25707</v>
      </c>
      <c r="AA760">
        <v>0.97714873791034884</v>
      </c>
      <c r="AB760" t="str">
        <f>HYPERLINK("Melting_Curves/meltCurve_J3KMY5_NPC2.pdf", "Melting_Curves/meltCurve_J3KMY5_NPC2.pdf")</f>
        <v>Melting_Curves/meltCurve_J3KMY5_NPC2.pdf</v>
      </c>
    </row>
    <row r="761" spans="1:28" x14ac:dyDescent="0.25">
      <c r="A761" t="s">
        <v>765</v>
      </c>
      <c r="B761">
        <v>0.99987803227770999</v>
      </c>
      <c r="C761">
        <v>1.2664613068734201</v>
      </c>
      <c r="D761">
        <v>0.93707502745277105</v>
      </c>
      <c r="E761">
        <v>0.66382077949878604</v>
      </c>
      <c r="F761">
        <v>0.229095802538371</v>
      </c>
      <c r="G761">
        <v>0.14054358459598601</v>
      </c>
      <c r="H761">
        <v>6.3297225415388306E-2</v>
      </c>
      <c r="I761">
        <v>7.1960678360319094E-2</v>
      </c>
      <c r="J761">
        <v>3.9838358758221198E-2</v>
      </c>
      <c r="K761">
        <v>0</v>
      </c>
      <c r="L761">
        <v>1673.6108747416699</v>
      </c>
      <c r="M761">
        <v>32.918924025246199</v>
      </c>
      <c r="N761">
        <v>51.016633153754398</v>
      </c>
      <c r="O761">
        <v>50.653875603709203</v>
      </c>
      <c r="P761">
        <v>-0.15373894000156901</v>
      </c>
      <c r="Q761">
        <v>5.3743369828548597E-2</v>
      </c>
      <c r="R761">
        <v>0.96069364264106005</v>
      </c>
      <c r="S761" t="s">
        <v>7072</v>
      </c>
      <c r="T761" t="s">
        <v>12620</v>
      </c>
      <c r="U761" t="s">
        <v>12620</v>
      </c>
      <c r="V761" t="s">
        <v>12620</v>
      </c>
      <c r="W761" t="s">
        <v>13356</v>
      </c>
      <c r="X761">
        <v>4</v>
      </c>
      <c r="Y761" t="s">
        <v>19599</v>
      </c>
      <c r="Z761" t="s">
        <v>25708</v>
      </c>
      <c r="AA761">
        <v>0.4005934912714641</v>
      </c>
      <c r="AB761" t="str">
        <f>HYPERLINK("Melting_Curves/meltCurve_J3KMZ7_INTS2.pdf", "Melting_Curves/meltCurve_J3KMZ7_INTS2.pdf")</f>
        <v>Melting_Curves/meltCurve_J3KMZ7_INTS2.pdf</v>
      </c>
    </row>
    <row r="762" spans="1:28" x14ac:dyDescent="0.25">
      <c r="A762" t="s">
        <v>766</v>
      </c>
      <c r="B762">
        <v>0.99987803227770999</v>
      </c>
      <c r="C762">
        <v>0.857598792517831</v>
      </c>
      <c r="D762">
        <v>0.82643850337344604</v>
      </c>
      <c r="E762">
        <v>0.737423564615864</v>
      </c>
      <c r="F762">
        <v>0.74645830000137503</v>
      </c>
      <c r="G762">
        <v>0.42194982124098201</v>
      </c>
      <c r="H762">
        <v>0.461473282543574</v>
      </c>
      <c r="I762">
        <v>0.36140791033590203</v>
      </c>
      <c r="J762">
        <v>0.41713955795677798</v>
      </c>
      <c r="K762">
        <v>0.30084150621108402</v>
      </c>
      <c r="L762">
        <v>431.04414505600602</v>
      </c>
      <c r="M762">
        <v>7.9522044823664997</v>
      </c>
      <c r="N762">
        <v>58.239149651796303</v>
      </c>
      <c r="O762">
        <v>51.098324238135902</v>
      </c>
      <c r="P762">
        <v>-3.0701788174290898E-2</v>
      </c>
      <c r="Q762">
        <v>0.21179215451251401</v>
      </c>
      <c r="R762">
        <v>0.93760239359861797</v>
      </c>
      <c r="S762" t="s">
        <v>7073</v>
      </c>
      <c r="T762" t="s">
        <v>12620</v>
      </c>
      <c r="U762" t="s">
        <v>12620</v>
      </c>
      <c r="V762" t="s">
        <v>12620</v>
      </c>
      <c r="W762" t="s">
        <v>13357</v>
      </c>
      <c r="X762">
        <v>2</v>
      </c>
      <c r="Y762" t="s">
        <v>19600</v>
      </c>
      <c r="Z762" t="s">
        <v>25709</v>
      </c>
      <c r="AA762">
        <v>0.61083076733636532</v>
      </c>
      <c r="AB762" t="str">
        <f>HYPERLINK("Melting_Curves/meltCurve_J3KN10_PI4KA.pdf", "Melting_Curves/meltCurve_J3KN10_PI4KA.pdf")</f>
        <v>Melting_Curves/meltCurve_J3KN10_PI4KA.pdf</v>
      </c>
    </row>
    <row r="763" spans="1:28" x14ac:dyDescent="0.25">
      <c r="A763" t="s">
        <v>767</v>
      </c>
      <c r="B763">
        <v>0.99987803227770999</v>
      </c>
      <c r="C763">
        <v>1.1253124518197599</v>
      </c>
      <c r="D763">
        <v>0.85583095968211498</v>
      </c>
      <c r="E763">
        <v>0.72665692081562205</v>
      </c>
      <c r="F763">
        <v>0.423681758490284</v>
      </c>
      <c r="G763">
        <v>0.31225864298997402</v>
      </c>
      <c r="H763">
        <v>0.24647547598587299</v>
      </c>
      <c r="I763">
        <v>0.21285412013137101</v>
      </c>
      <c r="J763">
        <v>0.220054625468869</v>
      </c>
      <c r="K763">
        <v>0.180794410329019</v>
      </c>
      <c r="L763">
        <v>1065.26832523024</v>
      </c>
      <c r="M763">
        <v>20.854405863666098</v>
      </c>
      <c r="N763">
        <v>52.4114003658377</v>
      </c>
      <c r="O763">
        <v>50.618473525037601</v>
      </c>
      <c r="P763">
        <v>-8.1835667382207003E-2</v>
      </c>
      <c r="Q763">
        <v>0.205485409744571</v>
      </c>
      <c r="R763">
        <v>0.97533436823017905</v>
      </c>
      <c r="S763" t="s">
        <v>7074</v>
      </c>
      <c r="T763" t="s">
        <v>12620</v>
      </c>
      <c r="U763" t="s">
        <v>12620</v>
      </c>
      <c r="V763" t="s">
        <v>12620</v>
      </c>
      <c r="W763" t="s">
        <v>13358</v>
      </c>
      <c r="X763">
        <v>8</v>
      </c>
      <c r="Y763" t="s">
        <v>19601</v>
      </c>
      <c r="Z763" t="s">
        <v>25710</v>
      </c>
      <c r="AA763">
        <v>0.50915221761300133</v>
      </c>
      <c r="AB763" t="str">
        <f>HYPERLINK("Melting_Curves/meltCurve_J3KN32_RCOR1.pdf", "Melting_Curves/meltCurve_J3KN32_RCOR1.pdf")</f>
        <v>Melting_Curves/meltCurve_J3KN32_RCOR1.pdf</v>
      </c>
    </row>
    <row r="764" spans="1:28" x14ac:dyDescent="0.25">
      <c r="A764" t="s">
        <v>768</v>
      </c>
      <c r="B764">
        <v>0.99987803227770999</v>
      </c>
      <c r="C764">
        <v>0.93114839667484695</v>
      </c>
      <c r="D764">
        <v>0.90236497298054696</v>
      </c>
      <c r="E764">
        <v>0.70627291173656004</v>
      </c>
      <c r="F764">
        <v>0.60132077167624698</v>
      </c>
      <c r="G764">
        <v>0.45551632029204198</v>
      </c>
      <c r="H764">
        <v>0.39681984873397702</v>
      </c>
      <c r="I764">
        <v>0.31185873265866099</v>
      </c>
      <c r="J764">
        <v>0.30443791088691302</v>
      </c>
      <c r="K764">
        <v>0.26058039442849901</v>
      </c>
      <c r="L764">
        <v>596.26933064366904</v>
      </c>
      <c r="M764">
        <v>11.325215054001999</v>
      </c>
      <c r="N764">
        <v>55.734717098443397</v>
      </c>
      <c r="O764">
        <v>51.088309173442298</v>
      </c>
      <c r="P764">
        <v>-4.25270736110515E-2</v>
      </c>
      <c r="Q764">
        <v>0.232869070179405</v>
      </c>
      <c r="R764">
        <v>0.99548191109232098</v>
      </c>
      <c r="S764" t="s">
        <v>7075</v>
      </c>
      <c r="T764" t="s">
        <v>12620</v>
      </c>
      <c r="U764" t="s">
        <v>12620</v>
      </c>
      <c r="V764" t="s">
        <v>12620</v>
      </c>
      <c r="W764" t="s">
        <v>13359</v>
      </c>
      <c r="X764">
        <v>2</v>
      </c>
      <c r="Y764" t="s">
        <v>19602</v>
      </c>
      <c r="Z764" t="s">
        <v>25711</v>
      </c>
      <c r="AA764">
        <v>0.58029962660499335</v>
      </c>
      <c r="AB764" t="str">
        <f>HYPERLINK("Melting_Curves/meltCurve_J3KN33_CNTLN.pdf", "Melting_Curves/meltCurve_J3KN33_CNTLN.pdf")</f>
        <v>Melting_Curves/meltCurve_J3KN33_CNTLN.pdf</v>
      </c>
    </row>
    <row r="765" spans="1:28" x14ac:dyDescent="0.25">
      <c r="A765" t="s">
        <v>769</v>
      </c>
      <c r="B765">
        <v>0.99987803227770999</v>
      </c>
      <c r="C765">
        <v>0.87542013146855102</v>
      </c>
      <c r="D765">
        <v>1.0019372750840301</v>
      </c>
      <c r="E765">
        <v>0.81713182574880505</v>
      </c>
      <c r="F765">
        <v>0.932498941393341</v>
      </c>
      <c r="G765">
        <v>0.65553736548479402</v>
      </c>
      <c r="H765">
        <v>0.69762975507451197</v>
      </c>
      <c r="I765">
        <v>0.68447538518939299</v>
      </c>
      <c r="J765">
        <v>0.64579918755974797</v>
      </c>
      <c r="K765">
        <v>0.56273087645614495</v>
      </c>
      <c r="L765">
        <v>401.16700888484002</v>
      </c>
      <c r="M765">
        <v>6.8074076106819499</v>
      </c>
      <c r="O765">
        <v>54.4728779644498</v>
      </c>
      <c r="P765">
        <v>-1.71902766922255E-2</v>
      </c>
      <c r="Q765">
        <v>0.45090101351032302</v>
      </c>
      <c r="R765">
        <v>0.82226195114657996</v>
      </c>
      <c r="S765" t="s">
        <v>7076</v>
      </c>
      <c r="T765" t="s">
        <v>12620</v>
      </c>
      <c r="U765" t="s">
        <v>12620</v>
      </c>
      <c r="V765" t="s">
        <v>12620</v>
      </c>
      <c r="W765" t="s">
        <v>13360</v>
      </c>
      <c r="X765">
        <v>9</v>
      </c>
      <c r="Y765" t="s">
        <v>19603</v>
      </c>
      <c r="Z765" t="s">
        <v>25712</v>
      </c>
      <c r="AA765">
        <v>0.79031362817931139</v>
      </c>
      <c r="AB765" t="str">
        <f>HYPERLINK("Melting_Curves/meltCurve_J3KN68_VGLL4.pdf", "Melting_Curves/meltCurve_J3KN68_VGLL4.pdf")</f>
        <v>Melting_Curves/meltCurve_J3KN68_VGLL4.pdf</v>
      </c>
    </row>
    <row r="766" spans="1:28" x14ac:dyDescent="0.25">
      <c r="A766" t="s">
        <v>770</v>
      </c>
      <c r="B766">
        <v>0.99987803227770999</v>
      </c>
      <c r="C766">
        <v>1.18427001473591</v>
      </c>
      <c r="D766">
        <v>0.98630083955848602</v>
      </c>
      <c r="E766">
        <v>1.10351325770631</v>
      </c>
      <c r="F766">
        <v>0.47303221975576998</v>
      </c>
      <c r="G766">
        <v>0.27026582685962097</v>
      </c>
      <c r="H766">
        <v>9.3169702959799205E-2</v>
      </c>
      <c r="I766">
        <v>5.9747064117700303E-2</v>
      </c>
      <c r="J766">
        <v>3.1599956484334203E-2</v>
      </c>
      <c r="K766">
        <v>2.6173755022437201E-2</v>
      </c>
      <c r="L766">
        <v>13232.2282959189</v>
      </c>
      <c r="M766">
        <v>250</v>
      </c>
      <c r="N766">
        <v>52.974180979582101</v>
      </c>
      <c r="O766">
        <v>52.925536129380603</v>
      </c>
      <c r="P766">
        <v>-1.06731196751979</v>
      </c>
      <c r="Q766">
        <v>9.6191242518745904E-2</v>
      </c>
      <c r="R766">
        <v>0.96057269519535404</v>
      </c>
      <c r="S766" t="s">
        <v>7077</v>
      </c>
      <c r="T766" t="s">
        <v>12620</v>
      </c>
      <c r="U766" t="s">
        <v>12620</v>
      </c>
      <c r="V766" t="s">
        <v>12620</v>
      </c>
      <c r="W766" t="s">
        <v>13361</v>
      </c>
      <c r="X766">
        <v>1</v>
      </c>
      <c r="Y766" t="s">
        <v>19604</v>
      </c>
      <c r="Z766" t="s">
        <v>25713</v>
      </c>
      <c r="AA766">
        <v>0.48578402879303839</v>
      </c>
      <c r="AB766" t="str">
        <f>HYPERLINK("Melting_Curves/meltCurve_J3KN75_TBC1D8B.pdf", "Melting_Curves/meltCurve_J3KN75_TBC1D8B.pdf")</f>
        <v>Melting_Curves/meltCurve_J3KN75_TBC1D8B.pdf</v>
      </c>
    </row>
    <row r="767" spans="1:28" x14ac:dyDescent="0.25">
      <c r="A767" t="s">
        <v>771</v>
      </c>
      <c r="B767">
        <v>0.99987803227770999</v>
      </c>
      <c r="C767">
        <v>1.1025605205443001</v>
      </c>
      <c r="D767">
        <v>0.67911111992412199</v>
      </c>
      <c r="E767">
        <v>0.59354378574783795</v>
      </c>
      <c r="F767">
        <v>0.33273389922975499</v>
      </c>
      <c r="G767">
        <v>0.223561755584023</v>
      </c>
      <c r="H767">
        <v>0.12646954229273399</v>
      </c>
      <c r="I767">
        <v>0.121756410210193</v>
      </c>
      <c r="J767">
        <v>8.7078728122092705E-2</v>
      </c>
      <c r="K767">
        <v>7.2615224376292004E-2</v>
      </c>
      <c r="L767">
        <v>770.796331126994</v>
      </c>
      <c r="M767">
        <v>15.387745887200399</v>
      </c>
      <c r="N767">
        <v>50.637191185432798</v>
      </c>
      <c r="O767">
        <v>49.268441273326701</v>
      </c>
      <c r="P767">
        <v>-7.2122786731852906E-2</v>
      </c>
      <c r="Q767">
        <v>7.6394242231324697E-2</v>
      </c>
      <c r="R767">
        <v>0.96283574562186602</v>
      </c>
      <c r="S767" t="s">
        <v>7078</v>
      </c>
      <c r="T767" t="s">
        <v>12620</v>
      </c>
      <c r="U767" t="s">
        <v>12620</v>
      </c>
      <c r="V767" t="s">
        <v>12620</v>
      </c>
      <c r="W767" t="s">
        <v>13362</v>
      </c>
      <c r="X767">
        <v>1</v>
      </c>
      <c r="Y767" t="s">
        <v>19605</v>
      </c>
      <c r="Z767" t="s">
        <v>25714</v>
      </c>
      <c r="AA767">
        <v>0.40807120198325653</v>
      </c>
      <c r="AB767" t="str">
        <f>HYPERLINK("Melting_Curves/meltCurve_J3KNB8_MAP3K4.pdf", "Melting_Curves/meltCurve_J3KNB8_MAP3K4.pdf")</f>
        <v>Melting_Curves/meltCurve_J3KNB8_MAP3K4.pdf</v>
      </c>
    </row>
    <row r="768" spans="1:28" x14ac:dyDescent="0.25">
      <c r="A768" t="s">
        <v>772</v>
      </c>
      <c r="B768">
        <v>0.99987803227770999</v>
      </c>
      <c r="C768">
        <v>1.1569565771586301</v>
      </c>
      <c r="D768">
        <v>0.94225077766251897</v>
      </c>
      <c r="E768">
        <v>0.93550955286481496</v>
      </c>
      <c r="F768">
        <v>0.30810795311151801</v>
      </c>
      <c r="G768">
        <v>0.45056542295395702</v>
      </c>
      <c r="H768">
        <v>8.0840565814478196E-2</v>
      </c>
      <c r="I768">
        <v>0.22354518983719199</v>
      </c>
      <c r="J768">
        <v>4.4803793134776303E-2</v>
      </c>
      <c r="K768">
        <v>8.5179752221465205E-3</v>
      </c>
      <c r="L768">
        <v>1078.7630917633801</v>
      </c>
      <c r="M768">
        <v>20.400457798647899</v>
      </c>
      <c r="N768">
        <v>53.366061446078298</v>
      </c>
      <c r="O768">
        <v>52.379115088269899</v>
      </c>
      <c r="P768">
        <v>-8.9106656439134901E-2</v>
      </c>
      <c r="Q768">
        <v>8.4885782098778395E-2</v>
      </c>
      <c r="R768">
        <v>0.90879854065344901</v>
      </c>
      <c r="S768" t="s">
        <v>7079</v>
      </c>
      <c r="T768" t="s">
        <v>12620</v>
      </c>
      <c r="U768" t="s">
        <v>12620</v>
      </c>
      <c r="V768" t="s">
        <v>12620</v>
      </c>
      <c r="W768" t="s">
        <v>13363</v>
      </c>
      <c r="X768">
        <v>11</v>
      </c>
      <c r="Y768" t="s">
        <v>19606</v>
      </c>
      <c r="Z768" t="s">
        <v>25715</v>
      </c>
      <c r="AA768">
        <v>0.48993012520156859</v>
      </c>
      <c r="AB768" t="str">
        <f>HYPERLINK("Melting_Curves/meltCurve_J3KND1_SAAL1.pdf", "Melting_Curves/meltCurve_J3KND1_SAAL1.pdf")</f>
        <v>Melting_Curves/meltCurve_J3KND1_SAAL1.pdf</v>
      </c>
    </row>
    <row r="769" spans="1:28" x14ac:dyDescent="0.25">
      <c r="A769" t="s">
        <v>773</v>
      </c>
      <c r="B769">
        <v>0.99987803227770999</v>
      </c>
      <c r="C769">
        <v>0.90331862905553895</v>
      </c>
      <c r="D769">
        <v>1.01561367401574</v>
      </c>
      <c r="E769">
        <v>0.86948747374953494</v>
      </c>
      <c r="F769">
        <v>0.90731797481169796</v>
      </c>
      <c r="G769">
        <v>0.58422261378191997</v>
      </c>
      <c r="H769">
        <v>0.49603911050810501</v>
      </c>
      <c r="I769">
        <v>0.37757096084617903</v>
      </c>
      <c r="J769">
        <v>0.36140919284842399</v>
      </c>
      <c r="K769">
        <v>0.26052943191097599</v>
      </c>
      <c r="L769">
        <v>810.70724565376895</v>
      </c>
      <c r="M769">
        <v>14.061456995430801</v>
      </c>
      <c r="N769">
        <v>60.3030635396603</v>
      </c>
      <c r="O769">
        <v>56.526067392210003</v>
      </c>
      <c r="P769">
        <v>-4.7869325186617601E-2</v>
      </c>
      <c r="Q769">
        <v>0.23037484557999499</v>
      </c>
      <c r="R769">
        <v>0.96707389168050695</v>
      </c>
      <c r="S769" t="s">
        <v>7080</v>
      </c>
      <c r="T769" t="s">
        <v>12620</v>
      </c>
      <c r="U769" t="s">
        <v>12620</v>
      </c>
      <c r="V769" t="s">
        <v>12620</v>
      </c>
      <c r="W769" t="s">
        <v>13364</v>
      </c>
      <c r="X769">
        <v>11</v>
      </c>
      <c r="Y769" t="s">
        <v>19607</v>
      </c>
      <c r="Z769" t="s">
        <v>25716</v>
      </c>
      <c r="AA769">
        <v>0.69447237423017683</v>
      </c>
      <c r="AB769" t="str">
        <f>HYPERLINK("Melting_Curves/meltCurve_J3KNF4_CCS.pdf", "Melting_Curves/meltCurve_J3KNF4_CCS.pdf")</f>
        <v>Melting_Curves/meltCurve_J3KNF4_CCS.pdf</v>
      </c>
    </row>
    <row r="770" spans="1:28" x14ac:dyDescent="0.25">
      <c r="A770" t="s">
        <v>774</v>
      </c>
      <c r="B770">
        <v>0.99987803227770999</v>
      </c>
      <c r="C770">
        <v>0.85612499555163801</v>
      </c>
      <c r="D770">
        <v>0.93904359006487503</v>
      </c>
      <c r="E770">
        <v>0.75218452088212195</v>
      </c>
      <c r="F770">
        <v>0.88905300344612703</v>
      </c>
      <c r="G770">
        <v>0.56020172884008801</v>
      </c>
      <c r="H770">
        <v>0.70503962557543098</v>
      </c>
      <c r="I770">
        <v>0.55261552124951596</v>
      </c>
      <c r="J770">
        <v>0.67906076219290001</v>
      </c>
      <c r="K770">
        <v>0.58064509793026697</v>
      </c>
      <c r="L770">
        <v>454.12672787212199</v>
      </c>
      <c r="M770">
        <v>8.7818389638995509</v>
      </c>
      <c r="O770">
        <v>49.240877784966102</v>
      </c>
      <c r="P770">
        <v>-1.9897909557746701E-2</v>
      </c>
      <c r="Q770">
        <v>0.55407498792798104</v>
      </c>
      <c r="R770">
        <v>0.73743980536235398</v>
      </c>
      <c r="S770" t="s">
        <v>7081</v>
      </c>
      <c r="T770" t="s">
        <v>12620</v>
      </c>
      <c r="U770" t="s">
        <v>12620</v>
      </c>
      <c r="V770" t="s">
        <v>12620</v>
      </c>
      <c r="W770" t="s">
        <v>13365</v>
      </c>
      <c r="X770">
        <v>1</v>
      </c>
      <c r="Y770" t="s">
        <v>19608</v>
      </c>
      <c r="Z770" t="s">
        <v>25717</v>
      </c>
      <c r="AA770">
        <v>0.74813586783055663</v>
      </c>
      <c r="AB770" t="str">
        <f>HYPERLINK("Melting_Curves/meltCurve_J3KNH7_SENP3.pdf", "Melting_Curves/meltCurve_J3KNH7_SENP3.pdf")</f>
        <v>Melting_Curves/meltCurve_J3KNH7_SENP3.pdf</v>
      </c>
    </row>
    <row r="771" spans="1:28" x14ac:dyDescent="0.25">
      <c r="A771" t="s">
        <v>775</v>
      </c>
      <c r="B771">
        <v>0.99987803227770999</v>
      </c>
      <c r="C771">
        <v>0.91532319910233495</v>
      </c>
      <c r="D771">
        <v>0.95240863260882003</v>
      </c>
      <c r="E771">
        <v>0.81354357981851699</v>
      </c>
      <c r="F771">
        <v>0.81594916693653297</v>
      </c>
      <c r="G771">
        <v>0.77402151687405296</v>
      </c>
      <c r="H771">
        <v>0.79166821565164502</v>
      </c>
      <c r="I771">
        <v>0.48530109790318599</v>
      </c>
      <c r="J771">
        <v>0.16021755221853501</v>
      </c>
      <c r="K771">
        <v>8.0932133846962795E-2</v>
      </c>
      <c r="L771">
        <v>1289.8176505271499</v>
      </c>
      <c r="M771">
        <v>20.388245196827</v>
      </c>
      <c r="N771">
        <v>63.2628120532342</v>
      </c>
      <c r="O771">
        <v>62.663653392440402</v>
      </c>
      <c r="P771">
        <v>-8.1342478470560697E-2</v>
      </c>
      <c r="Q771">
        <v>0</v>
      </c>
      <c r="R771">
        <v>0.88553687380909196</v>
      </c>
      <c r="S771" t="s">
        <v>7082</v>
      </c>
      <c r="T771" t="s">
        <v>12620</v>
      </c>
      <c r="U771" t="s">
        <v>12620</v>
      </c>
      <c r="V771" t="s">
        <v>12620</v>
      </c>
      <c r="W771" t="s">
        <v>13366</v>
      </c>
      <c r="X771">
        <v>3</v>
      </c>
      <c r="Y771" t="s">
        <v>19609</v>
      </c>
      <c r="Z771" t="s">
        <v>25718</v>
      </c>
      <c r="AA771">
        <v>0.77379505061770726</v>
      </c>
      <c r="AB771" t="str">
        <f>HYPERLINK("Melting_Curves/meltCurve_J3KNK4_AP4S1.pdf", "Melting_Curves/meltCurve_J3KNK4_AP4S1.pdf")</f>
        <v>Melting_Curves/meltCurve_J3KNK4_AP4S1.pdf</v>
      </c>
    </row>
    <row r="772" spans="1:28" x14ac:dyDescent="0.25">
      <c r="A772" t="s">
        <v>776</v>
      </c>
      <c r="B772">
        <v>0.99987803227770999</v>
      </c>
      <c r="C772">
        <v>0.96442355505144695</v>
      </c>
      <c r="D772">
        <v>0.92593462930679205</v>
      </c>
      <c r="E772">
        <v>0.79866363604198098</v>
      </c>
      <c r="F772">
        <v>0.76781859583733303</v>
      </c>
      <c r="G772">
        <v>0.66525351484056905</v>
      </c>
      <c r="H772">
        <v>0.68101504848054195</v>
      </c>
      <c r="I772">
        <v>0.66983617986242405</v>
      </c>
      <c r="J772">
        <v>0.66389053974157297</v>
      </c>
      <c r="K772">
        <v>0.56109085218173504</v>
      </c>
      <c r="L772">
        <v>624.54298133316001</v>
      </c>
      <c r="M772">
        <v>12.33391643387</v>
      </c>
      <c r="O772">
        <v>49.360348749529898</v>
      </c>
      <c r="P772">
        <v>-2.4180699808641501E-2</v>
      </c>
      <c r="Q772">
        <v>0.61299913586815202</v>
      </c>
      <c r="R772">
        <v>0.957670554859266</v>
      </c>
      <c r="S772" t="s">
        <v>7083</v>
      </c>
      <c r="T772" t="s">
        <v>12620</v>
      </c>
      <c r="U772" t="s">
        <v>12620</v>
      </c>
      <c r="V772" t="s">
        <v>12620</v>
      </c>
      <c r="W772" t="s">
        <v>13367</v>
      </c>
      <c r="X772">
        <v>35</v>
      </c>
      <c r="Y772" t="s">
        <v>19610</v>
      </c>
      <c r="Z772" t="s">
        <v>25719</v>
      </c>
      <c r="AA772">
        <v>0.76258989677339517</v>
      </c>
      <c r="AB772" t="str">
        <f>HYPERLINK("Melting_Curves/meltCurve_J3KNL6_SEC16A.pdf", "Melting_Curves/meltCurve_J3KNL6_SEC16A.pdf")</f>
        <v>Melting_Curves/meltCurve_J3KNL6_SEC16A.pdf</v>
      </c>
    </row>
    <row r="773" spans="1:28" x14ac:dyDescent="0.25">
      <c r="A773" t="s">
        <v>777</v>
      </c>
      <c r="B773">
        <v>0.99987803227770999</v>
      </c>
      <c r="C773">
        <v>0.859371081894439</v>
      </c>
      <c r="D773">
        <v>0.92036346809761904</v>
      </c>
      <c r="E773">
        <v>0.66696127742846201</v>
      </c>
      <c r="F773">
        <v>0.71887887898198899</v>
      </c>
      <c r="G773">
        <v>0.43209114249095898</v>
      </c>
      <c r="H773">
        <v>0.39347339147407201</v>
      </c>
      <c r="I773">
        <v>0.42443831703038698</v>
      </c>
      <c r="J773">
        <v>0.37063342124001902</v>
      </c>
      <c r="K773">
        <v>0.254076473317356</v>
      </c>
      <c r="L773">
        <v>490.70734845858698</v>
      </c>
      <c r="M773">
        <v>9.1720882470544698</v>
      </c>
      <c r="N773">
        <v>57.233824959222197</v>
      </c>
      <c r="O773">
        <v>51.141107903450603</v>
      </c>
      <c r="P773">
        <v>-3.47658650300968E-2</v>
      </c>
      <c r="Q773">
        <v>0.22514313689235901</v>
      </c>
      <c r="R773">
        <v>0.942890894647335</v>
      </c>
      <c r="S773" t="s">
        <v>7084</v>
      </c>
      <c r="T773" t="s">
        <v>12620</v>
      </c>
      <c r="U773" t="s">
        <v>12620</v>
      </c>
      <c r="V773" t="s">
        <v>12620</v>
      </c>
      <c r="W773" t="s">
        <v>13368</v>
      </c>
      <c r="X773">
        <v>3</v>
      </c>
      <c r="Y773" t="s">
        <v>19611</v>
      </c>
      <c r="Z773" t="s">
        <v>25720</v>
      </c>
      <c r="AA773">
        <v>0.60047781709263504</v>
      </c>
      <c r="AB773" t="str">
        <f>HYPERLINK("Melting_Curves/meltCurve_J3KNL9_ZFYVE1.pdf", "Melting_Curves/meltCurve_J3KNL9_ZFYVE1.pdf")</f>
        <v>Melting_Curves/meltCurve_J3KNL9_ZFYVE1.pdf</v>
      </c>
    </row>
    <row r="774" spans="1:28" x14ac:dyDescent="0.25">
      <c r="A774" t="s">
        <v>778</v>
      </c>
      <c r="B774">
        <v>0.99987803227770999</v>
      </c>
      <c r="C774">
        <v>0.93046425015642698</v>
      </c>
      <c r="D774">
        <v>1.01138491175557</v>
      </c>
      <c r="E774">
        <v>0.81441565448829101</v>
      </c>
      <c r="F774">
        <v>0.61536606138132599</v>
      </c>
      <c r="G774">
        <v>0.35812581743864402</v>
      </c>
      <c r="H774">
        <v>0.20559987256557999</v>
      </c>
      <c r="I774">
        <v>0.14896753384033601</v>
      </c>
      <c r="J774">
        <v>0.12449784930083201</v>
      </c>
      <c r="K774">
        <v>8.7750844338884498E-2</v>
      </c>
      <c r="L774">
        <v>928.58399534564296</v>
      </c>
      <c r="M774">
        <v>17.158618434438502</v>
      </c>
      <c r="N774">
        <v>54.708050555794401</v>
      </c>
      <c r="O774">
        <v>53.398620777217197</v>
      </c>
      <c r="P774">
        <v>-7.3547100738513296E-2</v>
      </c>
      <c r="Q774">
        <v>8.4523083265326607E-2</v>
      </c>
      <c r="R774">
        <v>0.99488397902807402</v>
      </c>
      <c r="S774" t="s">
        <v>7085</v>
      </c>
      <c r="T774" t="s">
        <v>12620</v>
      </c>
      <c r="U774" t="s">
        <v>12620</v>
      </c>
      <c r="V774" t="s">
        <v>12620</v>
      </c>
      <c r="W774" t="s">
        <v>13369</v>
      </c>
      <c r="X774">
        <v>12</v>
      </c>
      <c r="Y774" t="s">
        <v>19612</v>
      </c>
      <c r="Z774" t="s">
        <v>25721</v>
      </c>
      <c r="AA774">
        <v>0.53097496354690477</v>
      </c>
      <c r="AB774" t="str">
        <f>HYPERLINK("Melting_Curves/meltCurve_J3KNN7_BRAP.pdf", "Melting_Curves/meltCurve_J3KNN7_BRAP.pdf")</f>
        <v>Melting_Curves/meltCurve_J3KNN7_BRAP.pdf</v>
      </c>
    </row>
    <row r="775" spans="1:28" x14ac:dyDescent="0.25">
      <c r="A775" t="s">
        <v>779</v>
      </c>
      <c r="B775">
        <v>0.99987803227770999</v>
      </c>
      <c r="C775">
        <v>1.01470857520778</v>
      </c>
      <c r="D775">
        <v>0.75112818641103596</v>
      </c>
      <c r="E775">
        <v>0.46465630287167597</v>
      </c>
      <c r="F775">
        <v>0.274376568195</v>
      </c>
      <c r="G775">
        <v>0.205154827941854</v>
      </c>
      <c r="H775">
        <v>0.12851072871414501</v>
      </c>
      <c r="I775">
        <v>8.2605327776705595E-2</v>
      </c>
      <c r="J775">
        <v>4.9641641801420403E-2</v>
      </c>
      <c r="K775">
        <v>3.7405490764097903E-2</v>
      </c>
      <c r="L775">
        <v>835.23916882540902</v>
      </c>
      <c r="M775">
        <v>16.9420491682719</v>
      </c>
      <c r="N775">
        <v>49.708696386567802</v>
      </c>
      <c r="O775">
        <v>48.628289137372001</v>
      </c>
      <c r="P775">
        <v>-8.1439207966342006E-2</v>
      </c>
      <c r="Q775">
        <v>6.5047863552641E-2</v>
      </c>
      <c r="R775">
        <v>0.98932617071596796</v>
      </c>
      <c r="S775" t="s">
        <v>7086</v>
      </c>
      <c r="T775" t="s">
        <v>12620</v>
      </c>
      <c r="U775" t="s">
        <v>12620</v>
      </c>
      <c r="V775" t="s">
        <v>12620</v>
      </c>
      <c r="W775" t="s">
        <v>13370</v>
      </c>
      <c r="X775">
        <v>6</v>
      </c>
      <c r="Y775" t="s">
        <v>19613</v>
      </c>
      <c r="Z775" t="s">
        <v>25722</v>
      </c>
      <c r="AA775">
        <v>0.37300359908417657</v>
      </c>
      <c r="AB775" t="str">
        <f>HYPERLINK("Melting_Curves/meltCurve_J3KNU8_ALDH6A1.pdf", "Melting_Curves/meltCurve_J3KNU8_ALDH6A1.pdf")</f>
        <v>Melting_Curves/meltCurve_J3KNU8_ALDH6A1.pdf</v>
      </c>
    </row>
    <row r="776" spans="1:28" x14ac:dyDescent="0.25">
      <c r="A776" t="s">
        <v>780</v>
      </c>
      <c r="B776">
        <v>0.99987803227770999</v>
      </c>
      <c r="C776">
        <v>1.0260630880934001</v>
      </c>
      <c r="D776">
        <v>0.83823573455945599</v>
      </c>
      <c r="E776">
        <v>0.74951682323728996</v>
      </c>
      <c r="F776">
        <v>0.54053168973814503</v>
      </c>
      <c r="G776">
        <v>0.415934275407359</v>
      </c>
      <c r="H776">
        <v>0.35544366601482202</v>
      </c>
      <c r="I776">
        <v>0.31222498077327299</v>
      </c>
      <c r="J776">
        <v>0.29958447561239099</v>
      </c>
      <c r="K776">
        <v>0.225810190070901</v>
      </c>
      <c r="L776">
        <v>713.17506550604799</v>
      </c>
      <c r="M776">
        <v>13.7489956983543</v>
      </c>
      <c r="N776">
        <v>54.585980321182802</v>
      </c>
      <c r="O776">
        <v>50.810669717909001</v>
      </c>
      <c r="P776">
        <v>-5.0901724163516703E-2</v>
      </c>
      <c r="Q776">
        <v>0.24765895361318899</v>
      </c>
      <c r="R776">
        <v>0.98572360509483203</v>
      </c>
      <c r="S776" t="s">
        <v>7087</v>
      </c>
      <c r="T776" t="s">
        <v>12620</v>
      </c>
      <c r="U776" t="s">
        <v>12620</v>
      </c>
      <c r="V776" t="s">
        <v>12620</v>
      </c>
      <c r="W776" t="s">
        <v>13371</v>
      </c>
      <c r="X776">
        <v>3</v>
      </c>
      <c r="Y776" t="s">
        <v>19614</v>
      </c>
      <c r="Z776" t="s">
        <v>25723</v>
      </c>
      <c r="AA776">
        <v>0.56461304194831219</v>
      </c>
      <c r="AB776" t="str">
        <f>HYPERLINK("Melting_Curves/meltCurve_J3KNV5_INTS8.pdf", "Melting_Curves/meltCurve_J3KNV5_INTS8.pdf")</f>
        <v>Melting_Curves/meltCurve_J3KNV5_INTS8.pdf</v>
      </c>
    </row>
    <row r="777" spans="1:28" x14ac:dyDescent="0.25">
      <c r="A777" t="s">
        <v>781</v>
      </c>
      <c r="B777">
        <v>0.99987803227770999</v>
      </c>
      <c r="C777">
        <v>0.841802196718058</v>
      </c>
      <c r="D777">
        <v>0.81851379457195195</v>
      </c>
      <c r="E777">
        <v>0.73424902015812399</v>
      </c>
      <c r="F777">
        <v>0.82379659351544599</v>
      </c>
      <c r="G777">
        <v>0.60872003491346005</v>
      </c>
      <c r="H777">
        <v>0.62665347265244598</v>
      </c>
      <c r="I777">
        <v>0.59778270837374303</v>
      </c>
      <c r="J777">
        <v>0.38846546792694697</v>
      </c>
      <c r="K777">
        <v>0.36713588583705897</v>
      </c>
      <c r="L777">
        <v>291.05633287846803</v>
      </c>
      <c r="M777">
        <v>4.5012298033519702</v>
      </c>
      <c r="N777">
        <v>64.661513920177498</v>
      </c>
      <c r="O777">
        <v>54.959146858797901</v>
      </c>
      <c r="P777">
        <v>-2.0654267576423899E-2</v>
      </c>
      <c r="Q777">
        <v>0</v>
      </c>
      <c r="R777">
        <v>0.88753682153930402</v>
      </c>
      <c r="S777" t="s">
        <v>7088</v>
      </c>
      <c r="T777" t="s">
        <v>12620</v>
      </c>
      <c r="U777" t="s">
        <v>12620</v>
      </c>
      <c r="V777" t="s">
        <v>12620</v>
      </c>
      <c r="W777" t="s">
        <v>13372</v>
      </c>
      <c r="X777">
        <v>2</v>
      </c>
      <c r="Y777" t="s">
        <v>19615</v>
      </c>
      <c r="Z777" t="s">
        <v>25724</v>
      </c>
      <c r="AA777">
        <v>0.68584652687745939</v>
      </c>
      <c r="AB777" t="str">
        <f>HYPERLINK("Melting_Curves/meltCurve_J3KNZ9_FBRS.pdf", "Melting_Curves/meltCurve_J3KNZ9_FBRS.pdf")</f>
        <v>Melting_Curves/meltCurve_J3KNZ9_FBRS.pdf</v>
      </c>
    </row>
    <row r="778" spans="1:28" x14ac:dyDescent="0.25">
      <c r="A778" t="s">
        <v>782</v>
      </c>
      <c r="B778">
        <v>0.99987803227770999</v>
      </c>
      <c r="C778">
        <v>0.89801062206121895</v>
      </c>
      <c r="D778">
        <v>0.97034834021193905</v>
      </c>
      <c r="E778">
        <v>0.98662308357803696</v>
      </c>
      <c r="F778">
        <v>0.99867992131708505</v>
      </c>
      <c r="G778">
        <v>0.78616700372675796</v>
      </c>
      <c r="H778">
        <v>0.78168933040801603</v>
      </c>
      <c r="I778">
        <v>0.733497886196807</v>
      </c>
      <c r="J778">
        <v>0.77624188240606695</v>
      </c>
      <c r="K778">
        <v>0.62515365225393305</v>
      </c>
      <c r="L778">
        <v>3451.45590513859</v>
      </c>
      <c r="M778">
        <v>61.789079875486202</v>
      </c>
      <c r="O778">
        <v>55.800250372695601</v>
      </c>
      <c r="P778">
        <v>-7.5260013855014601E-2</v>
      </c>
      <c r="Q778">
        <v>0.72813797630825905</v>
      </c>
      <c r="R778">
        <v>0.82794585297622503</v>
      </c>
      <c r="S778" t="s">
        <v>7089</v>
      </c>
      <c r="T778" t="s">
        <v>12620</v>
      </c>
      <c r="U778" t="s">
        <v>12620</v>
      </c>
      <c r="V778" t="s">
        <v>12620</v>
      </c>
      <c r="W778" t="s">
        <v>13373</v>
      </c>
      <c r="X778">
        <v>5</v>
      </c>
      <c r="Y778" t="s">
        <v>19616</v>
      </c>
      <c r="Z778" t="s">
        <v>25725</v>
      </c>
      <c r="AA778">
        <v>0.87228805379161878</v>
      </c>
      <c r="AB778" t="str">
        <f>HYPERLINK("Melting_Curves/meltCurve_J3KP15_SRSF2.pdf", "Melting_Curves/meltCurve_J3KP15_SRSF2.pdf")</f>
        <v>Melting_Curves/meltCurve_J3KP15_SRSF2.pdf</v>
      </c>
    </row>
    <row r="779" spans="1:28" x14ac:dyDescent="0.25">
      <c r="A779" t="s">
        <v>783</v>
      </c>
      <c r="B779">
        <v>0.99987803227770999</v>
      </c>
      <c r="C779">
        <v>1.02087286778318</v>
      </c>
      <c r="D779">
        <v>1.06678281719616</v>
      </c>
      <c r="E779">
        <v>0.93527523919867595</v>
      </c>
      <c r="F779">
        <v>0.76262666323690997</v>
      </c>
      <c r="G779">
        <v>0.288243444711136</v>
      </c>
      <c r="H779">
        <v>0.19860898946696601</v>
      </c>
      <c r="I779">
        <v>0.17021897721072901</v>
      </c>
      <c r="J779">
        <v>0.116597757165049</v>
      </c>
      <c r="K779">
        <v>7.1090603723366702E-2</v>
      </c>
      <c r="L779">
        <v>1680.6742994799499</v>
      </c>
      <c r="M779">
        <v>30.789988204881102</v>
      </c>
      <c r="N779">
        <v>55.092235326669098</v>
      </c>
      <c r="O779">
        <v>54.3563868553261</v>
      </c>
      <c r="P779">
        <v>-0.124136953430244</v>
      </c>
      <c r="Q779">
        <v>0.12340381678908</v>
      </c>
      <c r="R779">
        <v>0.99249378602485305</v>
      </c>
      <c r="S779" t="s">
        <v>7090</v>
      </c>
      <c r="T779" t="s">
        <v>12620</v>
      </c>
      <c r="U779" t="s">
        <v>12620</v>
      </c>
      <c r="V779" t="s">
        <v>12620</v>
      </c>
      <c r="W779" t="s">
        <v>13374</v>
      </c>
      <c r="X779">
        <v>3</v>
      </c>
      <c r="Y779" t="s">
        <v>19617</v>
      </c>
      <c r="Z779" t="s">
        <v>25726</v>
      </c>
      <c r="AA779">
        <v>0.5550911051609676</v>
      </c>
      <c r="AB779" t="str">
        <f>HYPERLINK("Melting_Curves/meltCurve_J3KP22_PTPRA.pdf", "Melting_Curves/meltCurve_J3KP22_PTPRA.pdf")</f>
        <v>Melting_Curves/meltCurve_J3KP22_PTPRA.pdf</v>
      </c>
    </row>
    <row r="780" spans="1:28" x14ac:dyDescent="0.25">
      <c r="A780" t="s">
        <v>784</v>
      </c>
      <c r="B780">
        <v>0.99987803227770999</v>
      </c>
      <c r="C780">
        <v>1.0445860369190101</v>
      </c>
      <c r="D780">
        <v>1.10354265255262</v>
      </c>
      <c r="E780">
        <v>1.17149272322427</v>
      </c>
      <c r="F780">
        <v>1.00217278141819</v>
      </c>
      <c r="G780">
        <v>1.154821817005</v>
      </c>
      <c r="H780">
        <v>1.28713134065664</v>
      </c>
      <c r="I780">
        <v>1.1520509011637601</v>
      </c>
      <c r="J780">
        <v>1.0662640078316099</v>
      </c>
      <c r="K780">
        <v>0.82326763661982705</v>
      </c>
      <c r="L780">
        <v>15000</v>
      </c>
      <c r="M780">
        <v>212.74702370330999</v>
      </c>
      <c r="Q780">
        <v>0</v>
      </c>
      <c r="R780">
        <v>-0.235903348291441</v>
      </c>
      <c r="S780" t="s">
        <v>7091</v>
      </c>
      <c r="T780" t="s">
        <v>12620</v>
      </c>
      <c r="U780" t="s">
        <v>12620</v>
      </c>
      <c r="V780" t="s">
        <v>12620</v>
      </c>
      <c r="W780" t="s">
        <v>13375</v>
      </c>
      <c r="X780">
        <v>4</v>
      </c>
      <c r="Y780" t="s">
        <v>19618</v>
      </c>
      <c r="Z780" t="s">
        <v>25727</v>
      </c>
      <c r="AA780">
        <v>0.99790293585074252</v>
      </c>
      <c r="AB780" t="str">
        <f>HYPERLINK("Melting_Curves/meltCurve_J3KP75_PHACTR2.pdf", "Melting_Curves/meltCurve_J3KP75_PHACTR2.pdf")</f>
        <v>Melting_Curves/meltCurve_J3KP75_PHACTR2.pdf</v>
      </c>
    </row>
    <row r="781" spans="1:28" x14ac:dyDescent="0.25">
      <c r="A781" t="s">
        <v>785</v>
      </c>
      <c r="B781">
        <v>0.99987803227770999</v>
      </c>
      <c r="C781">
        <v>0.90677587721078101</v>
      </c>
      <c r="D781">
        <v>0.96428113832170304</v>
      </c>
      <c r="E781">
        <v>0.84507051702082603</v>
      </c>
      <c r="F781">
        <v>0.95519532073441205</v>
      </c>
      <c r="G781">
        <v>0.74744578218912705</v>
      </c>
      <c r="H781">
        <v>0.74601484901325699</v>
      </c>
      <c r="I781">
        <v>0.73171180758104604</v>
      </c>
      <c r="J781">
        <v>0.68379524589020602</v>
      </c>
      <c r="K781">
        <v>0.55145051820306301</v>
      </c>
      <c r="L781">
        <v>318.29901834401397</v>
      </c>
      <c r="M781">
        <v>4.1434163301495097</v>
      </c>
      <c r="O781">
        <v>63.759239765117997</v>
      </c>
      <c r="P781">
        <v>-1.6432726782840398E-2</v>
      </c>
      <c r="Q781">
        <v>0</v>
      </c>
      <c r="R781">
        <v>0.87176020268672505</v>
      </c>
      <c r="S781" t="s">
        <v>7092</v>
      </c>
      <c r="T781" t="s">
        <v>12620</v>
      </c>
      <c r="U781" t="s">
        <v>12620</v>
      </c>
      <c r="V781" t="s">
        <v>12620</v>
      </c>
      <c r="W781" t="s">
        <v>13376</v>
      </c>
      <c r="X781">
        <v>20</v>
      </c>
      <c r="Y781" t="s">
        <v>19619</v>
      </c>
      <c r="Z781" t="s">
        <v>25728</v>
      </c>
      <c r="AA781">
        <v>0.82082222785480619</v>
      </c>
      <c r="AB781" t="str">
        <f>HYPERLINK("Melting_Curves/meltCurve_J3KPS2_FAM83H.pdf", "Melting_Curves/meltCurve_J3KPS2_FAM83H.pdf")</f>
        <v>Melting_Curves/meltCurve_J3KPS2_FAM83H.pdf</v>
      </c>
    </row>
    <row r="782" spans="1:28" x14ac:dyDescent="0.25">
      <c r="A782" t="s">
        <v>786</v>
      </c>
      <c r="B782">
        <v>0.99987803227770999</v>
      </c>
      <c r="C782">
        <v>0.76190246998677202</v>
      </c>
      <c r="D782">
        <v>0.861114355378507</v>
      </c>
      <c r="E782">
        <v>0.41201993864451297</v>
      </c>
      <c r="F782">
        <v>0.16698702166394799</v>
      </c>
      <c r="G782">
        <v>0.11842216142586701</v>
      </c>
      <c r="H782">
        <v>7.8377013145368296E-2</v>
      </c>
      <c r="I782">
        <v>5.5489785802607598E-2</v>
      </c>
      <c r="J782">
        <v>3.8494654916391501E-2</v>
      </c>
      <c r="K782">
        <v>3.0455953191788999E-2</v>
      </c>
      <c r="L782">
        <v>890.96664574582405</v>
      </c>
      <c r="M782">
        <v>18.2507435435495</v>
      </c>
      <c r="N782">
        <v>49.011989322509898</v>
      </c>
      <c r="O782">
        <v>48.2433228009941</v>
      </c>
      <c r="P782">
        <v>-9.1286972126785604E-2</v>
      </c>
      <c r="Q782">
        <v>3.4826982977586199E-2</v>
      </c>
      <c r="R782">
        <v>0.96835434037400503</v>
      </c>
      <c r="S782" t="s">
        <v>7093</v>
      </c>
      <c r="T782" t="s">
        <v>12620</v>
      </c>
      <c r="U782" t="s">
        <v>12620</v>
      </c>
      <c r="V782" t="s">
        <v>12620</v>
      </c>
      <c r="W782" t="s">
        <v>13377</v>
      </c>
      <c r="X782">
        <v>8</v>
      </c>
      <c r="Y782" t="s">
        <v>19620</v>
      </c>
      <c r="Z782" t="s">
        <v>25729</v>
      </c>
      <c r="AA782">
        <v>0.33484312712551328</v>
      </c>
      <c r="AB782" t="str">
        <f>HYPERLINK("Melting_Curves/meltCurve_J3KPU4_MYD88.pdf", "Melting_Curves/meltCurve_J3KPU4_MYD88.pdf")</f>
        <v>Melting_Curves/meltCurve_J3KPU4_MYD88.pdf</v>
      </c>
    </row>
    <row r="783" spans="1:28" x14ac:dyDescent="0.25">
      <c r="A783" t="s">
        <v>787</v>
      </c>
      <c r="B783">
        <v>0.99987803227770999</v>
      </c>
      <c r="C783">
        <v>0.85824627123292696</v>
      </c>
      <c r="D783">
        <v>0.98342938152655002</v>
      </c>
      <c r="E783">
        <v>0.66119955750545201</v>
      </c>
      <c r="F783">
        <v>0.24602391119296299</v>
      </c>
      <c r="G783">
        <v>0.12235594715053399</v>
      </c>
      <c r="H783">
        <v>8.9984004451462304E-2</v>
      </c>
      <c r="I783">
        <v>8.6511846668685402E-2</v>
      </c>
      <c r="J783">
        <v>5.8304853961571902E-2</v>
      </c>
      <c r="K783">
        <v>3.9054187440250701E-2</v>
      </c>
      <c r="L783">
        <v>1683.1647913997001</v>
      </c>
      <c r="M783">
        <v>33.134263403491303</v>
      </c>
      <c r="N783">
        <v>51.036215469161903</v>
      </c>
      <c r="O783">
        <v>50.614355766135702</v>
      </c>
      <c r="P783">
        <v>-0.1519505392221</v>
      </c>
      <c r="Q783">
        <v>7.1553864453692495E-2</v>
      </c>
      <c r="R783">
        <v>0.98538856420019705</v>
      </c>
      <c r="S783" t="s">
        <v>7094</v>
      </c>
      <c r="T783" t="s">
        <v>12620</v>
      </c>
      <c r="U783" t="s">
        <v>12620</v>
      </c>
      <c r="V783" t="s">
        <v>12620</v>
      </c>
      <c r="W783" t="s">
        <v>13378</v>
      </c>
      <c r="X783">
        <v>17</v>
      </c>
      <c r="Y783" t="s">
        <v>19621</v>
      </c>
      <c r="Z783" t="s">
        <v>25730</v>
      </c>
      <c r="AA783">
        <v>0.41050690796101308</v>
      </c>
      <c r="AB783" t="str">
        <f>HYPERLINK("Melting_Curves/meltCurve_J3KPV7_MPST.pdf", "Melting_Curves/meltCurve_J3KPV7_MPST.pdf")</f>
        <v>Melting_Curves/meltCurve_J3KPV7_MPST.pdf</v>
      </c>
    </row>
    <row r="784" spans="1:28" x14ac:dyDescent="0.25">
      <c r="A784" t="s">
        <v>788</v>
      </c>
      <c r="B784">
        <v>0.99987803227770999</v>
      </c>
      <c r="C784">
        <v>1.0655877225733801</v>
      </c>
      <c r="D784">
        <v>0.83343742551573496</v>
      </c>
      <c r="E784">
        <v>1.3556099622385001</v>
      </c>
      <c r="F784">
        <v>1.02298206918808</v>
      </c>
      <c r="G784">
        <v>0.92717281969431697</v>
      </c>
      <c r="H784">
        <v>0.26063297467583701</v>
      </c>
      <c r="I784">
        <v>0.14194632508803501</v>
      </c>
      <c r="J784">
        <v>0.105359106004858</v>
      </c>
      <c r="K784">
        <v>6.2649838444118006E-2</v>
      </c>
      <c r="L784">
        <v>3343.6321449542802</v>
      </c>
      <c r="M784">
        <v>56.275798255760101</v>
      </c>
      <c r="N784">
        <v>59.640924555487601</v>
      </c>
      <c r="O784">
        <v>59.340215136307201</v>
      </c>
      <c r="P784">
        <v>-0.214339650566336</v>
      </c>
      <c r="Q784">
        <v>9.5955685996267803E-2</v>
      </c>
      <c r="R784">
        <v>0.92272102458231897</v>
      </c>
      <c r="S784" t="s">
        <v>7095</v>
      </c>
      <c r="T784" t="s">
        <v>12620</v>
      </c>
      <c r="U784" t="s">
        <v>12620</v>
      </c>
      <c r="V784" t="s">
        <v>12620</v>
      </c>
      <c r="W784" t="s">
        <v>13379</v>
      </c>
      <c r="X784">
        <v>8</v>
      </c>
      <c r="Y784" t="s">
        <v>19622</v>
      </c>
      <c r="Z784" t="s">
        <v>25731</v>
      </c>
      <c r="AA784">
        <v>0.68288487157581668</v>
      </c>
      <c r="AB784" t="str">
        <f>HYPERLINK("Melting_Curves/meltCurve_J3KQ34_COPS7B.pdf", "Melting_Curves/meltCurve_J3KQ34_COPS7B.pdf")</f>
        <v>Melting_Curves/meltCurve_J3KQ34_COPS7B.pdf</v>
      </c>
    </row>
    <row r="785" spans="1:28" x14ac:dyDescent="0.25">
      <c r="A785" t="s">
        <v>789</v>
      </c>
      <c r="B785">
        <v>0.99987803227770999</v>
      </c>
      <c r="C785">
        <v>0.81029709990429799</v>
      </c>
      <c r="D785">
        <v>0.84680157700527403</v>
      </c>
      <c r="E785">
        <v>0.72512445210299703</v>
      </c>
      <c r="F785">
        <v>0.59719671577730904</v>
      </c>
      <c r="G785">
        <v>0.32475429683488399</v>
      </c>
      <c r="H785">
        <v>7.2973664494561094E-2</v>
      </c>
      <c r="I785">
        <v>0.92341160710391301</v>
      </c>
      <c r="J785">
        <v>0.15422207358701001</v>
      </c>
      <c r="K785">
        <v>0.16414865855701999</v>
      </c>
      <c r="L785">
        <v>510.38174063163098</v>
      </c>
      <c r="M785">
        <v>9.9101628824303596</v>
      </c>
      <c r="N785">
        <v>54.868704434685803</v>
      </c>
      <c r="O785">
        <v>49.535398036573298</v>
      </c>
      <c r="P785">
        <v>-3.8638434959404E-2</v>
      </c>
      <c r="Q785">
        <v>0.22786048038170001</v>
      </c>
      <c r="R785">
        <v>0.54472307658965202</v>
      </c>
      <c r="S785" t="s">
        <v>7096</v>
      </c>
      <c r="T785" t="s">
        <v>12620</v>
      </c>
      <c r="U785" t="s">
        <v>12620</v>
      </c>
      <c r="V785" t="s">
        <v>12620</v>
      </c>
      <c r="W785" t="s">
        <v>13380</v>
      </c>
      <c r="X785">
        <v>2</v>
      </c>
      <c r="Y785" t="s">
        <v>19623</v>
      </c>
      <c r="Z785" t="s">
        <v>25732</v>
      </c>
      <c r="AA785">
        <v>0.55491128784748034</v>
      </c>
      <c r="AB785" t="str">
        <f>HYPERLINK("Melting_Curves/meltCurve_J3KQ72_FBXO6.pdf", "Melting_Curves/meltCurve_J3KQ72_FBXO6.pdf")</f>
        <v>Melting_Curves/meltCurve_J3KQ72_FBXO6.pdf</v>
      </c>
    </row>
    <row r="786" spans="1:28" x14ac:dyDescent="0.25">
      <c r="A786" t="s">
        <v>790</v>
      </c>
      <c r="B786">
        <v>0.99987803227770999</v>
      </c>
      <c r="C786">
        <v>0.92689650727341499</v>
      </c>
      <c r="D786">
        <v>0.69877262811287</v>
      </c>
      <c r="E786">
        <v>0.46700413855775902</v>
      </c>
      <c r="F786">
        <v>0.25973328466089801</v>
      </c>
      <c r="G786">
        <v>0.235238889879681</v>
      </c>
      <c r="H786">
        <v>0.14889058736676999</v>
      </c>
      <c r="I786">
        <v>0.118285025820936</v>
      </c>
      <c r="J786">
        <v>8.6610571901224606E-2</v>
      </c>
      <c r="K786">
        <v>6.8832577585207902E-2</v>
      </c>
      <c r="L786">
        <v>733.82948108503797</v>
      </c>
      <c r="M786">
        <v>15.0814175489368</v>
      </c>
      <c r="N786">
        <v>49.305674019822497</v>
      </c>
      <c r="O786">
        <v>47.826411312651899</v>
      </c>
      <c r="P786">
        <v>-7.1755867327275902E-2</v>
      </c>
      <c r="Q786">
        <v>8.9877059632436196E-2</v>
      </c>
      <c r="R786">
        <v>0.99176736138695998</v>
      </c>
      <c r="S786" t="s">
        <v>7097</v>
      </c>
      <c r="T786" t="s">
        <v>12620</v>
      </c>
      <c r="U786" t="s">
        <v>12620</v>
      </c>
      <c r="V786" t="s">
        <v>12620</v>
      </c>
      <c r="W786" t="s">
        <v>13381</v>
      </c>
      <c r="X786">
        <v>9</v>
      </c>
      <c r="Y786" t="s">
        <v>19624</v>
      </c>
      <c r="Z786" t="s">
        <v>25733</v>
      </c>
      <c r="AA786">
        <v>0.37506018612544051</v>
      </c>
      <c r="AB786" t="str">
        <f>HYPERLINK("Melting_Curves/meltCurve_J3KQ98_PPP1R37.pdf", "Melting_Curves/meltCurve_J3KQ98_PPP1R37.pdf")</f>
        <v>Melting_Curves/meltCurve_J3KQ98_PPP1R37.pdf</v>
      </c>
    </row>
    <row r="787" spans="1:28" x14ac:dyDescent="0.25">
      <c r="A787" t="s">
        <v>791</v>
      </c>
      <c r="B787">
        <v>0.99987803227770999</v>
      </c>
      <c r="C787">
        <v>1.0177007969549099</v>
      </c>
      <c r="D787">
        <v>1.00298456150573</v>
      </c>
      <c r="E787">
        <v>0.85801597879677105</v>
      </c>
      <c r="F787">
        <v>0.61038259242181503</v>
      </c>
      <c r="G787">
        <v>0.354167225868113</v>
      </c>
      <c r="H787">
        <v>0.204816174521019</v>
      </c>
      <c r="I787">
        <v>0.18708940317160999</v>
      </c>
      <c r="J787">
        <v>0.12938473618325</v>
      </c>
      <c r="K787">
        <v>6.9074696929016396E-2</v>
      </c>
      <c r="L787">
        <v>1020.47207229041</v>
      </c>
      <c r="M787">
        <v>18.863775849371301</v>
      </c>
      <c r="N787">
        <v>54.758486403588698</v>
      </c>
      <c r="O787">
        <v>53.499964811333697</v>
      </c>
      <c r="P787">
        <v>-7.9169441163029902E-2</v>
      </c>
      <c r="Q787">
        <v>0.101900107402097</v>
      </c>
      <c r="R787">
        <v>0.99549360676863996</v>
      </c>
      <c r="S787" t="s">
        <v>7098</v>
      </c>
      <c r="T787" t="s">
        <v>12620</v>
      </c>
      <c r="U787" t="s">
        <v>12620</v>
      </c>
      <c r="V787" t="s">
        <v>12620</v>
      </c>
      <c r="W787" t="s">
        <v>13382</v>
      </c>
      <c r="X787">
        <v>4</v>
      </c>
      <c r="Y787" t="s">
        <v>19625</v>
      </c>
      <c r="Z787" t="s">
        <v>25734</v>
      </c>
      <c r="AA787">
        <v>0.53727097189885831</v>
      </c>
      <c r="AB787" t="str">
        <f>HYPERLINK("Melting_Curves/meltCurve_J3KQG4_GBA.pdf", "Melting_Curves/meltCurve_J3KQG4_GBA.pdf")</f>
        <v>Melting_Curves/meltCurve_J3KQG4_GBA.pdf</v>
      </c>
    </row>
    <row r="788" spans="1:28" x14ac:dyDescent="0.25">
      <c r="A788" t="s">
        <v>792</v>
      </c>
      <c r="B788">
        <v>0.99987803227770999</v>
      </c>
      <c r="C788">
        <v>1.2584602066905901</v>
      </c>
      <c r="D788">
        <v>0.909834470189542</v>
      </c>
      <c r="E788">
        <v>1.3600437960451699</v>
      </c>
      <c r="F788">
        <v>0.76610478550047201</v>
      </c>
      <c r="G788">
        <v>0.75983523936910502</v>
      </c>
      <c r="H788">
        <v>0.59184891169699405</v>
      </c>
      <c r="I788">
        <v>0.32662456244481602</v>
      </c>
      <c r="J788">
        <v>0.336560492742698</v>
      </c>
      <c r="K788">
        <v>0.24480161135378301</v>
      </c>
      <c r="L788">
        <v>1137.9774344371001</v>
      </c>
      <c r="M788">
        <v>19.039819920402898</v>
      </c>
      <c r="N788">
        <v>61.546633640837499</v>
      </c>
      <c r="O788">
        <v>59.120677794962297</v>
      </c>
      <c r="P788">
        <v>-6.3481350331050096E-2</v>
      </c>
      <c r="Q788">
        <v>0.21156561645934899</v>
      </c>
      <c r="R788">
        <v>0.81026233791069902</v>
      </c>
      <c r="S788" t="s">
        <v>7099</v>
      </c>
      <c r="T788" t="s">
        <v>12620</v>
      </c>
      <c r="U788" t="s">
        <v>12620</v>
      </c>
      <c r="V788" t="s">
        <v>12620</v>
      </c>
      <c r="W788" t="s">
        <v>13383</v>
      </c>
      <c r="X788">
        <v>6</v>
      </c>
      <c r="Y788" t="s">
        <v>19626</v>
      </c>
      <c r="Z788" t="s">
        <v>25735</v>
      </c>
      <c r="AA788">
        <v>0.7381001409394512</v>
      </c>
      <c r="AB788" t="str">
        <f>HYPERLINK("Melting_Curves/meltCurve_J3KQS6_BABAM1.pdf", "Melting_Curves/meltCurve_J3KQS6_BABAM1.pdf")</f>
        <v>Melting_Curves/meltCurve_J3KQS6_BABAM1.pdf</v>
      </c>
    </row>
    <row r="789" spans="1:28" x14ac:dyDescent="0.25">
      <c r="A789" t="s">
        <v>793</v>
      </c>
      <c r="B789">
        <v>0.99987803227770999</v>
      </c>
      <c r="C789">
        <v>1.0811189759086299</v>
      </c>
      <c r="D789">
        <v>0.98332743596463001</v>
      </c>
      <c r="E789">
        <v>1.11238778727656</v>
      </c>
      <c r="F789">
        <v>0.97160693078049098</v>
      </c>
      <c r="G789">
        <v>0.992639287447457</v>
      </c>
      <c r="H789">
        <v>0.80824872307789197</v>
      </c>
      <c r="I789">
        <v>0.481990935236014</v>
      </c>
      <c r="J789">
        <v>0.122964669841897</v>
      </c>
      <c r="K789">
        <v>8.1134761691744703E-2</v>
      </c>
      <c r="L789">
        <v>2305.05206690775</v>
      </c>
      <c r="M789">
        <v>36.249984154973802</v>
      </c>
      <c r="N789">
        <v>63.682291730755701</v>
      </c>
      <c r="O789">
        <v>63.395086601163399</v>
      </c>
      <c r="P789">
        <v>-0.139204967138914</v>
      </c>
      <c r="Q789">
        <v>2.6219283659411698E-2</v>
      </c>
      <c r="R789">
        <v>0.98326896464264901</v>
      </c>
      <c r="S789" t="s">
        <v>7100</v>
      </c>
      <c r="T789" t="s">
        <v>12620</v>
      </c>
      <c r="U789" t="s">
        <v>12620</v>
      </c>
      <c r="V789" t="s">
        <v>12620</v>
      </c>
      <c r="W789" t="s">
        <v>13384</v>
      </c>
      <c r="X789">
        <v>5</v>
      </c>
      <c r="Y789" t="s">
        <v>19627</v>
      </c>
      <c r="Z789" t="s">
        <v>25736</v>
      </c>
      <c r="AA789">
        <v>0.79446833492038305</v>
      </c>
      <c r="AB789" t="str">
        <f>HYPERLINK("Melting_Curves/meltCurve_J3KQT5_KCTD1.pdf", "Melting_Curves/meltCurve_J3KQT5_KCTD1.pdf")</f>
        <v>Melting_Curves/meltCurve_J3KQT5_KCTD1.pdf</v>
      </c>
    </row>
    <row r="790" spans="1:28" x14ac:dyDescent="0.25">
      <c r="A790" t="s">
        <v>794</v>
      </c>
      <c r="B790">
        <v>0.99987803227770999</v>
      </c>
      <c r="C790">
        <v>0.95273025478026296</v>
      </c>
      <c r="D790">
        <v>0.872133929365419</v>
      </c>
      <c r="E790">
        <v>0.90159355673763597</v>
      </c>
      <c r="F790">
        <v>0.80896088012810097</v>
      </c>
      <c r="G790">
        <v>0.64995797337111005</v>
      </c>
      <c r="H790">
        <v>0.69373278574494401</v>
      </c>
      <c r="I790">
        <v>0.57070318430147604</v>
      </c>
      <c r="J790">
        <v>0.65894269914972303</v>
      </c>
      <c r="K790">
        <v>0.51897017083461106</v>
      </c>
      <c r="L790">
        <v>445.40326619579798</v>
      </c>
      <c r="M790">
        <v>7.97075087860346</v>
      </c>
      <c r="O790">
        <v>52.6911972721784</v>
      </c>
      <c r="P790">
        <v>-1.99657826294788E-2</v>
      </c>
      <c r="Q790">
        <v>0.47266405538390799</v>
      </c>
      <c r="R790">
        <v>0.91677399781167301</v>
      </c>
      <c r="S790" t="s">
        <v>7101</v>
      </c>
      <c r="T790" t="s">
        <v>12620</v>
      </c>
      <c r="U790" t="s">
        <v>12620</v>
      </c>
      <c r="V790" t="s">
        <v>12620</v>
      </c>
      <c r="W790" t="s">
        <v>13385</v>
      </c>
      <c r="X790">
        <v>2</v>
      </c>
      <c r="Y790" t="s">
        <v>19628</v>
      </c>
      <c r="Z790" t="s">
        <v>25737</v>
      </c>
      <c r="AA790">
        <v>0.7627045959609805</v>
      </c>
      <c r="AB790" t="str">
        <f>HYPERLINK("Melting_Curves/meltCurve_J3KRL7_PER1.pdf", "Melting_Curves/meltCurve_J3KRL7_PER1.pdf")</f>
        <v>Melting_Curves/meltCurve_J3KRL7_PER1.pdf</v>
      </c>
    </row>
    <row r="791" spans="1:28" x14ac:dyDescent="0.25">
      <c r="A791" t="s">
        <v>795</v>
      </c>
      <c r="B791">
        <v>0.99987803227770999</v>
      </c>
      <c r="C791">
        <v>0.91258953565082301</v>
      </c>
      <c r="D791">
        <v>0.92904520321825401</v>
      </c>
      <c r="E791">
        <v>0.88993433832602997</v>
      </c>
      <c r="F791">
        <v>0.99084618164511795</v>
      </c>
      <c r="G791">
        <v>0.88445467156565405</v>
      </c>
      <c r="H791">
        <v>0.88062824349028901</v>
      </c>
      <c r="I791">
        <v>0.91338491236625996</v>
      </c>
      <c r="J791">
        <v>0.82054733826105597</v>
      </c>
      <c r="K791">
        <v>0.70398585343720199</v>
      </c>
      <c r="L791">
        <v>280.427167876954</v>
      </c>
      <c r="M791">
        <v>2.7548345312973401</v>
      </c>
      <c r="Q791">
        <v>0</v>
      </c>
      <c r="R791">
        <v>0.60997919653018595</v>
      </c>
      <c r="S791" t="s">
        <v>7102</v>
      </c>
      <c r="T791" t="s">
        <v>12620</v>
      </c>
      <c r="U791" t="s">
        <v>12620</v>
      </c>
      <c r="V791" t="s">
        <v>12620</v>
      </c>
      <c r="W791" t="s">
        <v>13386</v>
      </c>
      <c r="X791">
        <v>3</v>
      </c>
      <c r="Y791" t="s">
        <v>19629</v>
      </c>
      <c r="Z791" t="s">
        <v>25738</v>
      </c>
      <c r="AA791">
        <v>0.90186016898630694</v>
      </c>
      <c r="AB791" t="str">
        <f>HYPERLINK("Melting_Curves/meltCurve_J3KRP6_SS18.pdf", "Melting_Curves/meltCurve_J3KRP6_SS18.pdf")</f>
        <v>Melting_Curves/meltCurve_J3KRP6_SS18.pdf</v>
      </c>
    </row>
    <row r="792" spans="1:28" x14ac:dyDescent="0.25">
      <c r="A792" t="s">
        <v>796</v>
      </c>
      <c r="B792">
        <v>0.99987803227770999</v>
      </c>
      <c r="C792">
        <v>0.94219680225069802</v>
      </c>
      <c r="D792">
        <v>0.95431416680241898</v>
      </c>
      <c r="E792">
        <v>0.82577348586291199</v>
      </c>
      <c r="F792">
        <v>0.63946639858004495</v>
      </c>
      <c r="G792">
        <v>0.23265100097470301</v>
      </c>
      <c r="H792">
        <v>0.110277580757731</v>
      </c>
      <c r="I792">
        <v>7.5812068096220001E-2</v>
      </c>
      <c r="J792">
        <v>9.1268912764618002E-2</v>
      </c>
      <c r="K792">
        <v>6.8393815881477193E-2</v>
      </c>
      <c r="L792">
        <v>1225.98659354658</v>
      </c>
      <c r="M792">
        <v>22.824250889916801</v>
      </c>
      <c r="N792">
        <v>54.017355208462099</v>
      </c>
      <c r="O792">
        <v>53.306975866958602</v>
      </c>
      <c r="P792">
        <v>-0.100608945915851</v>
      </c>
      <c r="Q792">
        <v>6.0112835745879299E-2</v>
      </c>
      <c r="R792">
        <v>0.99532865762199796</v>
      </c>
      <c r="S792" t="s">
        <v>7103</v>
      </c>
      <c r="T792" t="s">
        <v>12620</v>
      </c>
      <c r="U792" t="s">
        <v>12620</v>
      </c>
      <c r="V792" t="s">
        <v>12620</v>
      </c>
      <c r="W792" t="s">
        <v>13387</v>
      </c>
      <c r="X792">
        <v>2</v>
      </c>
      <c r="Y792" t="s">
        <v>19630</v>
      </c>
      <c r="Z792" t="s">
        <v>25739</v>
      </c>
      <c r="AA792">
        <v>0.5000131148922311</v>
      </c>
      <c r="AB792" t="str">
        <f>HYPERLINK("Melting_Curves/meltCurve_J3KRR7_CYLD.pdf", "Melting_Curves/meltCurve_J3KRR7_CYLD.pdf")</f>
        <v>Melting_Curves/meltCurve_J3KRR7_CYLD.pdf</v>
      </c>
    </row>
    <row r="793" spans="1:28" x14ac:dyDescent="0.25">
      <c r="A793" t="s">
        <v>797</v>
      </c>
      <c r="B793">
        <v>0.99987803227770999</v>
      </c>
      <c r="C793">
        <v>0.90037160184231302</v>
      </c>
      <c r="D793">
        <v>1.04961503534918</v>
      </c>
      <c r="E793">
        <v>0.95999132071494497</v>
      </c>
      <c r="F793">
        <v>1.11507778339093</v>
      </c>
      <c r="G793">
        <v>0.97477965612995598</v>
      </c>
      <c r="H793">
        <v>1.07473697383487</v>
      </c>
      <c r="I793">
        <v>0.98210598942511795</v>
      </c>
      <c r="J793">
        <v>0.92781478666185202</v>
      </c>
      <c r="K793">
        <v>0.73704655336375702</v>
      </c>
      <c r="L793">
        <v>3599.55367682216</v>
      </c>
      <c r="M793">
        <v>52.320815224870799</v>
      </c>
      <c r="O793">
        <v>68.697453415502693</v>
      </c>
      <c r="P793">
        <v>-7.0437318509929001E-2</v>
      </c>
      <c r="Q793">
        <v>0.63006226458682202</v>
      </c>
      <c r="R793">
        <v>0.66486373812694399</v>
      </c>
      <c r="S793" t="s">
        <v>7104</v>
      </c>
      <c r="T793" t="s">
        <v>12620</v>
      </c>
      <c r="U793" t="s">
        <v>12620</v>
      </c>
      <c r="V793" t="s">
        <v>12620</v>
      </c>
      <c r="W793" t="s">
        <v>13388</v>
      </c>
      <c r="X793">
        <v>5</v>
      </c>
      <c r="Y793" t="s">
        <v>19631</v>
      </c>
      <c r="Z793" t="s">
        <v>25740</v>
      </c>
      <c r="AA793">
        <v>0.9802070703839677</v>
      </c>
      <c r="AB793" t="str">
        <f>HYPERLINK("Melting_Curves/meltCurve_J3KS05_CBX1.pdf", "Melting_Curves/meltCurve_J3KS05_CBX1.pdf")</f>
        <v>Melting_Curves/meltCurve_J3KS05_CBX1.pdf</v>
      </c>
    </row>
    <row r="794" spans="1:28" x14ac:dyDescent="0.25">
      <c r="A794" t="s">
        <v>798</v>
      </c>
      <c r="B794">
        <v>0.99987803227770999</v>
      </c>
      <c r="C794">
        <v>1.1583592986934299</v>
      </c>
      <c r="D794">
        <v>1.11006903377154</v>
      </c>
      <c r="E794">
        <v>0.83175637775298195</v>
      </c>
      <c r="F794">
        <v>0.43498701274924201</v>
      </c>
      <c r="G794">
        <v>0.41426943908607999</v>
      </c>
      <c r="H794">
        <v>0.291727287015211</v>
      </c>
      <c r="I794">
        <v>0.247760673078601</v>
      </c>
      <c r="J794">
        <v>0.227905195103107</v>
      </c>
      <c r="K794">
        <v>0.15434647372726901</v>
      </c>
      <c r="L794">
        <v>1838.9280878874699</v>
      </c>
      <c r="M794">
        <v>35.599397601202803</v>
      </c>
      <c r="N794">
        <v>52.717910696426401</v>
      </c>
      <c r="O794">
        <v>51.493971014375099</v>
      </c>
      <c r="P794">
        <v>-0.12860717006922101</v>
      </c>
      <c r="Q794">
        <v>0.25588945359027998</v>
      </c>
      <c r="R794">
        <v>0.94956246908601805</v>
      </c>
      <c r="S794" t="s">
        <v>7105</v>
      </c>
      <c r="T794" t="s">
        <v>12620</v>
      </c>
      <c r="U794" t="s">
        <v>12620</v>
      </c>
      <c r="V794" t="s">
        <v>12620</v>
      </c>
      <c r="W794" t="s">
        <v>13389</v>
      </c>
      <c r="X794">
        <v>1</v>
      </c>
      <c r="Y794" t="s">
        <v>19632</v>
      </c>
      <c r="Z794" t="s">
        <v>25741</v>
      </c>
      <c r="AA794">
        <v>0.54836265080360547</v>
      </c>
      <c r="AB794" t="str">
        <f>HYPERLINK("Melting_Curves/meltCurve_J3KS15_ICT1.pdf", "Melting_Curves/meltCurve_J3KS15_ICT1.pdf")</f>
        <v>Melting_Curves/meltCurve_J3KS15_ICT1.pdf</v>
      </c>
    </row>
    <row r="795" spans="1:28" x14ac:dyDescent="0.25">
      <c r="A795" t="s">
        <v>799</v>
      </c>
      <c r="B795">
        <v>0.99987803227770999</v>
      </c>
      <c r="C795">
        <v>0.83943929359257297</v>
      </c>
      <c r="D795">
        <v>1.2674341513610901</v>
      </c>
      <c r="E795">
        <v>0.85736312497187095</v>
      </c>
      <c r="F795">
        <v>1.1904991465336701</v>
      </c>
      <c r="G795">
        <v>1.0578081045283301</v>
      </c>
      <c r="H795">
        <v>1.20922389441915</v>
      </c>
      <c r="I795">
        <v>1.2959354174764199</v>
      </c>
      <c r="J795">
        <v>1.30351383265</v>
      </c>
      <c r="K795">
        <v>1.17278553495226</v>
      </c>
      <c r="L795">
        <v>975.35187569916104</v>
      </c>
      <c r="M795">
        <v>17.206365843668799</v>
      </c>
      <c r="O795">
        <v>55.936458609338899</v>
      </c>
      <c r="P795">
        <v>2.0568764461309199E-2</v>
      </c>
      <c r="Q795">
        <v>1.2674536228712801</v>
      </c>
      <c r="R795">
        <v>0.40279459756154301</v>
      </c>
      <c r="S795" t="s">
        <v>7106</v>
      </c>
      <c r="T795" t="s">
        <v>12620</v>
      </c>
      <c r="U795" t="s">
        <v>12620</v>
      </c>
      <c r="V795" t="s">
        <v>12620</v>
      </c>
      <c r="W795" t="s">
        <v>13390</v>
      </c>
      <c r="X795">
        <v>2</v>
      </c>
      <c r="Y795" t="s">
        <v>19633</v>
      </c>
      <c r="Z795" t="s">
        <v>25742</v>
      </c>
      <c r="AA795">
        <v>1.114761799144169</v>
      </c>
      <c r="AB795" t="str">
        <f>HYPERLINK("Melting_Curves/meltCurve_J3KTD6_AURKB.pdf", "Melting_Curves/meltCurve_J3KTD6_AURKB.pdf")</f>
        <v>Melting_Curves/meltCurve_J3KTD6_AURKB.pdf</v>
      </c>
    </row>
    <row r="796" spans="1:28" x14ac:dyDescent="0.25">
      <c r="A796" t="s">
        <v>800</v>
      </c>
      <c r="B796">
        <v>0.99987803227770999</v>
      </c>
      <c r="C796">
        <v>0.86063583459831705</v>
      </c>
      <c r="D796">
        <v>0.88836494454975801</v>
      </c>
      <c r="E796">
        <v>0.51327468113460695</v>
      </c>
      <c r="F796">
        <v>0.35019390480503099</v>
      </c>
      <c r="G796">
        <v>0.26981219802932399</v>
      </c>
      <c r="H796">
        <v>0.24034057926720001</v>
      </c>
      <c r="I796">
        <v>0.19792061040379899</v>
      </c>
      <c r="J796">
        <v>0.14911169939567101</v>
      </c>
      <c r="K796">
        <v>6.9690756584273095E-2</v>
      </c>
      <c r="L796">
        <v>760.40778962875595</v>
      </c>
      <c r="M796">
        <v>15.2873309004858</v>
      </c>
      <c r="N796">
        <v>50.800312332353599</v>
      </c>
      <c r="O796">
        <v>48.913201769638597</v>
      </c>
      <c r="P796">
        <v>-6.7477711948070507E-2</v>
      </c>
      <c r="Q796">
        <v>0.13647675097112399</v>
      </c>
      <c r="R796">
        <v>0.97619596934554598</v>
      </c>
      <c r="S796" t="s">
        <v>7107</v>
      </c>
      <c r="T796" t="s">
        <v>12620</v>
      </c>
      <c r="U796" t="s">
        <v>12620</v>
      </c>
      <c r="V796" t="s">
        <v>12620</v>
      </c>
      <c r="W796" t="s">
        <v>13391</v>
      </c>
      <c r="X796">
        <v>3</v>
      </c>
      <c r="Y796" t="s">
        <v>19634</v>
      </c>
      <c r="Z796" t="s">
        <v>25743</v>
      </c>
      <c r="AA796">
        <v>0.4369304252679076</v>
      </c>
      <c r="AB796" t="str">
        <f>HYPERLINK("Melting_Curves/meltCurve_J3QL56_SCO1.pdf", "Melting_Curves/meltCurve_J3QL56_SCO1.pdf")</f>
        <v>Melting_Curves/meltCurve_J3QL56_SCO1.pdf</v>
      </c>
    </row>
    <row r="797" spans="1:28" x14ac:dyDescent="0.25">
      <c r="A797" t="s">
        <v>801</v>
      </c>
      <c r="B797">
        <v>0.99987803227770999</v>
      </c>
      <c r="C797">
        <v>0.90794264217673104</v>
      </c>
      <c r="D797">
        <v>1.05355246572463</v>
      </c>
      <c r="E797">
        <v>0.77334745437960795</v>
      </c>
      <c r="F797">
        <v>0.85968585304254397</v>
      </c>
      <c r="G797">
        <v>0.692890205296679</v>
      </c>
      <c r="H797">
        <v>0.61397396467021503</v>
      </c>
      <c r="I797">
        <v>0.60249479390350202</v>
      </c>
      <c r="J797">
        <v>0.58248241026679404</v>
      </c>
      <c r="K797">
        <v>0.49937949285716499</v>
      </c>
      <c r="L797">
        <v>539.01036653346296</v>
      </c>
      <c r="M797">
        <v>9.6071176315356599</v>
      </c>
      <c r="O797">
        <v>53.836003421354199</v>
      </c>
      <c r="P797">
        <v>-2.4179251220885999E-2</v>
      </c>
      <c r="Q797">
        <v>0.458327908063559</v>
      </c>
      <c r="R797">
        <v>0.90053319586570302</v>
      </c>
      <c r="S797" t="s">
        <v>7108</v>
      </c>
      <c r="T797" t="s">
        <v>12620</v>
      </c>
      <c r="U797" t="s">
        <v>12620</v>
      </c>
      <c r="V797" t="s">
        <v>12620</v>
      </c>
      <c r="W797" t="s">
        <v>13392</v>
      </c>
      <c r="X797">
        <v>4</v>
      </c>
      <c r="Y797" t="s">
        <v>19635</v>
      </c>
      <c r="Z797" t="s">
        <v>25744</v>
      </c>
      <c r="AA797">
        <v>0.76020936900887615</v>
      </c>
      <c r="AB797" t="str">
        <f>HYPERLINK("Melting_Curves/meltCurve_J3QLD9_FLOT2.pdf", "Melting_Curves/meltCurve_J3QLD9_FLOT2.pdf")</f>
        <v>Melting_Curves/meltCurve_J3QLD9_FLOT2.pdf</v>
      </c>
    </row>
    <row r="798" spans="1:28" x14ac:dyDescent="0.25">
      <c r="A798" t="s">
        <v>802</v>
      </c>
      <c r="B798">
        <v>0.99987803227770999</v>
      </c>
      <c r="C798">
        <v>0.90810375899615103</v>
      </c>
      <c r="D798">
        <v>1.1024516939787601</v>
      </c>
      <c r="E798">
        <v>0.98682620574727598</v>
      </c>
      <c r="F798">
        <v>1.1584712960505399</v>
      </c>
      <c r="G798">
        <v>1.0129084167559399</v>
      </c>
      <c r="H798">
        <v>0.94002504268517295</v>
      </c>
      <c r="I798">
        <v>1.0015260690983601</v>
      </c>
      <c r="J798">
        <v>0.87269986495137697</v>
      </c>
      <c r="K798">
        <v>0.70611132403311805</v>
      </c>
      <c r="L798">
        <v>15000</v>
      </c>
      <c r="M798">
        <v>223.61145848305699</v>
      </c>
      <c r="O798">
        <v>67.075271204615802</v>
      </c>
      <c r="P798">
        <v>-0.24495887622107901</v>
      </c>
      <c r="Q798">
        <v>0.706085113600318</v>
      </c>
      <c r="R798">
        <v>0.65937049459681396</v>
      </c>
      <c r="S798" t="s">
        <v>7109</v>
      </c>
      <c r="T798" t="s">
        <v>12620</v>
      </c>
      <c r="U798" t="s">
        <v>12620</v>
      </c>
      <c r="V798" t="s">
        <v>12620</v>
      </c>
      <c r="W798" t="s">
        <v>13393</v>
      </c>
      <c r="X798">
        <v>13</v>
      </c>
      <c r="Y798" t="s">
        <v>19636</v>
      </c>
      <c r="Z798" t="s">
        <v>25745</v>
      </c>
      <c r="AA798">
        <v>0.97144153002022271</v>
      </c>
      <c r="AB798" t="str">
        <f>HYPERLINK("Melting_Curves/meltCurve_J3QQJ0_SAP30BP.pdf", "Melting_Curves/meltCurve_J3QQJ0_SAP30BP.pdf")</f>
        <v>Melting_Curves/meltCurve_J3QQJ0_SAP30BP.pdf</v>
      </c>
    </row>
    <row r="799" spans="1:28" x14ac:dyDescent="0.25">
      <c r="A799" t="s">
        <v>803</v>
      </c>
      <c r="B799">
        <v>0.99987803227770999</v>
      </c>
      <c r="C799">
        <v>0.88648557046714604</v>
      </c>
      <c r="D799">
        <v>0.77687520142858901</v>
      </c>
      <c r="E799">
        <v>0.77137565364838201</v>
      </c>
      <c r="F799">
        <v>0.46568922438098898</v>
      </c>
      <c r="G799">
        <v>0.24293937333156701</v>
      </c>
      <c r="H799">
        <v>0.20349520072781699</v>
      </c>
      <c r="I799">
        <v>0.14597143504523399</v>
      </c>
      <c r="J799">
        <v>0.13299627791913601</v>
      </c>
      <c r="K799">
        <v>7.1022144624100197E-2</v>
      </c>
      <c r="L799">
        <v>620.030523008302</v>
      </c>
      <c r="M799">
        <v>11.8200546192788</v>
      </c>
      <c r="N799">
        <v>52.795739080141303</v>
      </c>
      <c r="O799">
        <v>51.021929352294499</v>
      </c>
      <c r="P799">
        <v>-5.5808707483161198E-2</v>
      </c>
      <c r="Q799">
        <v>3.6640347754331497E-2</v>
      </c>
      <c r="R799">
        <v>0.97615090527405901</v>
      </c>
      <c r="S799" t="s">
        <v>7110</v>
      </c>
      <c r="T799" t="s">
        <v>12620</v>
      </c>
      <c r="U799" t="s">
        <v>12620</v>
      </c>
      <c r="V799" t="s">
        <v>12620</v>
      </c>
      <c r="W799" t="s">
        <v>13394</v>
      </c>
      <c r="X799">
        <v>9</v>
      </c>
      <c r="Y799" t="s">
        <v>19637</v>
      </c>
      <c r="Z799" t="s">
        <v>25746</v>
      </c>
      <c r="AA799">
        <v>0.46571065237446208</v>
      </c>
      <c r="AB799" t="str">
        <f>HYPERLINK("Melting_Curves/meltCurve_J3QQJ5_TRAPPC8.pdf", "Melting_Curves/meltCurve_J3QQJ5_TRAPPC8.pdf")</f>
        <v>Melting_Curves/meltCurve_J3QQJ5_TRAPPC8.pdf</v>
      </c>
    </row>
    <row r="800" spans="1:28" x14ac:dyDescent="0.25">
      <c r="A800" t="s">
        <v>804</v>
      </c>
      <c r="B800">
        <v>0.99987803227770999</v>
      </c>
      <c r="C800">
        <v>0.793875868155278</v>
      </c>
      <c r="D800">
        <v>0.82992173700447003</v>
      </c>
      <c r="E800">
        <v>0.78204987036159201</v>
      </c>
      <c r="F800">
        <v>0.91360932437739995</v>
      </c>
      <c r="G800">
        <v>0.51726386948785696</v>
      </c>
      <c r="H800">
        <v>0.49567306351885498</v>
      </c>
      <c r="I800">
        <v>0.34435053161811302</v>
      </c>
      <c r="J800">
        <v>0.54578962659814201</v>
      </c>
      <c r="K800">
        <v>0.398733349515207</v>
      </c>
      <c r="L800">
        <v>353.78113917446302</v>
      </c>
      <c r="M800">
        <v>6.0803543781768097</v>
      </c>
      <c r="N800">
        <v>62.547692740638603</v>
      </c>
      <c r="O800">
        <v>52.8310670594771</v>
      </c>
      <c r="P800">
        <v>-2.3872936506466099E-2</v>
      </c>
      <c r="Q800">
        <v>0.172844430389724</v>
      </c>
      <c r="R800">
        <v>0.78260224288352798</v>
      </c>
      <c r="S800" t="s">
        <v>7111</v>
      </c>
      <c r="T800" t="s">
        <v>12620</v>
      </c>
      <c r="U800" t="s">
        <v>12620</v>
      </c>
      <c r="V800" t="s">
        <v>12620</v>
      </c>
      <c r="W800" t="s">
        <v>13395</v>
      </c>
      <c r="X800">
        <v>2</v>
      </c>
      <c r="Y800" t="s">
        <v>19638</v>
      </c>
      <c r="Z800" t="s">
        <v>25747</v>
      </c>
      <c r="AA800">
        <v>0.66582933751984197</v>
      </c>
      <c r="AB800" t="str">
        <f>HYPERLINK("Melting_Curves/meltCurve_J3QQM5_LIMD2.pdf", "Melting_Curves/meltCurve_J3QQM5_LIMD2.pdf")</f>
        <v>Melting_Curves/meltCurve_J3QQM5_LIMD2.pdf</v>
      </c>
    </row>
    <row r="801" spans="1:28" x14ac:dyDescent="0.25">
      <c r="A801" t="s">
        <v>805</v>
      </c>
      <c r="B801">
        <v>0.99987803227770999</v>
      </c>
      <c r="C801">
        <v>1.0837710822876601</v>
      </c>
      <c r="D801">
        <v>1.05728214613717</v>
      </c>
      <c r="E801">
        <v>1.0925452588209399</v>
      </c>
      <c r="F801">
        <v>0.88269659712155701</v>
      </c>
      <c r="G801">
        <v>0.71869412988324399</v>
      </c>
      <c r="H801">
        <v>0.43253433946367498</v>
      </c>
      <c r="I801">
        <v>0.41473671267492002</v>
      </c>
      <c r="J801">
        <v>0.34335764097520399</v>
      </c>
      <c r="K801">
        <v>0.26631354048329398</v>
      </c>
      <c r="L801">
        <v>1344.9194030229401</v>
      </c>
      <c r="M801">
        <v>23.2369794645948</v>
      </c>
      <c r="N801">
        <v>60.2096972830686</v>
      </c>
      <c r="O801">
        <v>57.454865554565799</v>
      </c>
      <c r="P801">
        <v>-7.1115892553318197E-2</v>
      </c>
      <c r="Q801">
        <v>0.29665890847515503</v>
      </c>
      <c r="R801">
        <v>0.97037464109040705</v>
      </c>
      <c r="S801" t="s">
        <v>7112</v>
      </c>
      <c r="T801" t="s">
        <v>12620</v>
      </c>
      <c r="U801" t="s">
        <v>12620</v>
      </c>
      <c r="V801" t="s">
        <v>12620</v>
      </c>
      <c r="W801" t="s">
        <v>13396</v>
      </c>
      <c r="X801">
        <v>6</v>
      </c>
      <c r="Y801" t="s">
        <v>19639</v>
      </c>
      <c r="Z801" t="s">
        <v>25748</v>
      </c>
      <c r="AA801">
        <v>0.72260230925191804</v>
      </c>
      <c r="AB801" t="str">
        <f>HYPERLINK("Melting_Curves/meltCurve_J3QQT2_RPL17.pdf", "Melting_Curves/meltCurve_J3QQT2_RPL17.pdf")</f>
        <v>Melting_Curves/meltCurve_J3QQT2_RPL17.pdf</v>
      </c>
    </row>
    <row r="802" spans="1:28" x14ac:dyDescent="0.25">
      <c r="A802" t="s">
        <v>806</v>
      </c>
      <c r="B802">
        <v>0.99987803227770999</v>
      </c>
      <c r="C802">
        <v>1.41863198454188</v>
      </c>
      <c r="D802">
        <v>1.26487957367675</v>
      </c>
      <c r="E802">
        <v>1.07561749711481</v>
      </c>
      <c r="F802">
        <v>0.71894653458842905</v>
      </c>
      <c r="G802">
        <v>0.78631925081371701</v>
      </c>
      <c r="H802">
        <v>0.486441549714975</v>
      </c>
      <c r="I802">
        <v>0.39057769088566202</v>
      </c>
      <c r="J802">
        <v>0.22626137335844199</v>
      </c>
      <c r="K802">
        <v>7.5096206169358803E-2</v>
      </c>
      <c r="L802">
        <v>911.96656676500595</v>
      </c>
      <c r="M802">
        <v>14.917385231297301</v>
      </c>
      <c r="N802">
        <v>61.134478518945201</v>
      </c>
      <c r="O802">
        <v>60.067399756609298</v>
      </c>
      <c r="P802">
        <v>-6.20924403339723E-2</v>
      </c>
      <c r="Q802">
        <v>0</v>
      </c>
      <c r="R802">
        <v>0.83059530021364802</v>
      </c>
      <c r="S802" t="s">
        <v>7113</v>
      </c>
      <c r="T802" t="s">
        <v>12620</v>
      </c>
      <c r="U802" t="s">
        <v>12620</v>
      </c>
      <c r="V802" t="s">
        <v>12620</v>
      </c>
      <c r="W802" t="s">
        <v>13397</v>
      </c>
      <c r="X802">
        <v>3</v>
      </c>
      <c r="Y802" t="s">
        <v>19640</v>
      </c>
      <c r="Z802" t="s">
        <v>25749</v>
      </c>
      <c r="AA802">
        <v>0.70618265661738688</v>
      </c>
      <c r="AB802" t="str">
        <f>HYPERLINK("Melting_Curves/meltCurve_J3QQW9_SUZ12.pdf", "Melting_Curves/meltCurve_J3QQW9_SUZ12.pdf")</f>
        <v>Melting_Curves/meltCurve_J3QQW9_SUZ12.pdf</v>
      </c>
    </row>
    <row r="803" spans="1:28" x14ac:dyDescent="0.25">
      <c r="A803" t="s">
        <v>807</v>
      </c>
      <c r="B803">
        <v>0.99987803227770999</v>
      </c>
      <c r="C803">
        <v>0.61504369548481697</v>
      </c>
      <c r="D803">
        <v>0.43342051985484598</v>
      </c>
      <c r="E803">
        <v>0.28294689866713701</v>
      </c>
      <c r="F803">
        <v>0.21192639809430999</v>
      </c>
      <c r="G803">
        <v>0.153861145442971</v>
      </c>
      <c r="H803">
        <v>0.13265860408841901</v>
      </c>
      <c r="I803">
        <v>0.127459802687481</v>
      </c>
      <c r="J803">
        <v>9.6713171935929002E-2</v>
      </c>
      <c r="K803">
        <v>6.1458483353337201E-2</v>
      </c>
      <c r="L803">
        <v>730.15730190109105</v>
      </c>
      <c r="M803">
        <v>16.379896697373201</v>
      </c>
      <c r="N803">
        <v>45.295973255185601</v>
      </c>
      <c r="O803">
        <v>43.927907733561</v>
      </c>
      <c r="P803">
        <v>-8.2547990143831199E-2</v>
      </c>
      <c r="Q803">
        <v>0.11454842174721699</v>
      </c>
      <c r="R803">
        <v>0.96568865596350895</v>
      </c>
      <c r="S803" t="s">
        <v>7114</v>
      </c>
      <c r="T803" t="s">
        <v>12620</v>
      </c>
      <c r="U803" t="s">
        <v>12620</v>
      </c>
      <c r="V803" t="s">
        <v>12620</v>
      </c>
      <c r="W803" t="s">
        <v>13398</v>
      </c>
      <c r="X803">
        <v>20</v>
      </c>
      <c r="Y803" t="s">
        <v>19641</v>
      </c>
      <c r="Z803" t="s">
        <v>25750</v>
      </c>
      <c r="AA803">
        <v>0.27438012397767519</v>
      </c>
      <c r="AB803" t="str">
        <f>HYPERLINK("Melting_Curves/meltCurve_J3QQX3_FDXR.pdf", "Melting_Curves/meltCurve_J3QQX3_FDXR.pdf")</f>
        <v>Melting_Curves/meltCurve_J3QQX3_FDXR.pdf</v>
      </c>
    </row>
    <row r="804" spans="1:28" x14ac:dyDescent="0.25">
      <c r="A804" t="s">
        <v>808</v>
      </c>
      <c r="B804">
        <v>0.99987803227770999</v>
      </c>
      <c r="C804">
        <v>0.91336001928786803</v>
      </c>
      <c r="D804">
        <v>0.96161485820008097</v>
      </c>
      <c r="E804">
        <v>0.774614902443158</v>
      </c>
      <c r="F804">
        <v>0.99976018811738998</v>
      </c>
      <c r="G804">
        <v>0.61801887573322201</v>
      </c>
      <c r="H804">
        <v>0.69969984400848895</v>
      </c>
      <c r="I804">
        <v>0.70085310744443097</v>
      </c>
      <c r="J804">
        <v>0.82538195761125599</v>
      </c>
      <c r="K804">
        <v>0.71501249180928195</v>
      </c>
      <c r="L804">
        <v>625.74656656743002</v>
      </c>
      <c r="M804">
        <v>12.4789928569202</v>
      </c>
      <c r="O804">
        <v>48.908540845096297</v>
      </c>
      <c r="P804">
        <v>-1.8429173934158501E-2</v>
      </c>
      <c r="Q804">
        <v>0.71114420041175896</v>
      </c>
      <c r="R804">
        <v>0.53513330092254696</v>
      </c>
      <c r="S804" t="s">
        <v>7115</v>
      </c>
      <c r="T804" t="s">
        <v>12620</v>
      </c>
      <c r="U804" t="s">
        <v>12620</v>
      </c>
      <c r="V804" t="s">
        <v>12620</v>
      </c>
      <c r="W804" t="s">
        <v>13399</v>
      </c>
      <c r="X804">
        <v>5</v>
      </c>
      <c r="Y804" t="s">
        <v>19642</v>
      </c>
      <c r="Z804" t="s">
        <v>25751</v>
      </c>
      <c r="AA804">
        <v>0.8181420227944064</v>
      </c>
      <c r="AB804" t="str">
        <f>HYPERLINK("Melting_Curves/meltCurve_J3QQY0_MSL1.pdf", "Melting_Curves/meltCurve_J3QQY0_MSL1.pdf")</f>
        <v>Melting_Curves/meltCurve_J3QQY0_MSL1.pdf</v>
      </c>
    </row>
    <row r="805" spans="1:28" x14ac:dyDescent="0.25">
      <c r="A805" t="s">
        <v>809</v>
      </c>
      <c r="B805">
        <v>0.99987803227770999</v>
      </c>
      <c r="C805">
        <v>1.2019920869009799</v>
      </c>
      <c r="D805">
        <v>1.08966685546084</v>
      </c>
      <c r="E805">
        <v>1.2959558788038601</v>
      </c>
      <c r="F805">
        <v>0.941813572099511</v>
      </c>
      <c r="G805">
        <v>0.53744096201807601</v>
      </c>
      <c r="H805">
        <v>0.37603141478398</v>
      </c>
      <c r="I805">
        <v>0.27427817606045901</v>
      </c>
      <c r="J805">
        <v>0.25723183782949899</v>
      </c>
      <c r="K805">
        <v>0.15705107304521501</v>
      </c>
      <c r="L805">
        <v>2088.75174145858</v>
      </c>
      <c r="M805">
        <v>36.937735701828998</v>
      </c>
      <c r="N805">
        <v>57.603045350065102</v>
      </c>
      <c r="O805">
        <v>56.382933723135302</v>
      </c>
      <c r="P805">
        <v>-0.123518852205366</v>
      </c>
      <c r="Q805">
        <v>0.245829739454166</v>
      </c>
      <c r="R805">
        <v>0.90862693563325203</v>
      </c>
      <c r="S805" t="s">
        <v>7116</v>
      </c>
      <c r="T805" t="s">
        <v>12620</v>
      </c>
      <c r="U805" t="s">
        <v>12620</v>
      </c>
      <c r="V805" t="s">
        <v>12620</v>
      </c>
      <c r="W805" t="s">
        <v>13400</v>
      </c>
      <c r="X805">
        <v>10</v>
      </c>
      <c r="Y805" t="s">
        <v>19643</v>
      </c>
      <c r="Z805" t="s">
        <v>25752</v>
      </c>
      <c r="AA805">
        <v>0.66523866609396309</v>
      </c>
      <c r="AB805" t="str">
        <f>HYPERLINK("Melting_Curves/meltCurve_J3QR09_RPL19.pdf", "Melting_Curves/meltCurve_J3QR09_RPL19.pdf")</f>
        <v>Melting_Curves/meltCurve_J3QR09_RPL19.pdf</v>
      </c>
    </row>
    <row r="806" spans="1:28" x14ac:dyDescent="0.25">
      <c r="A806" t="s">
        <v>810</v>
      </c>
      <c r="B806">
        <v>0.99987803227770999</v>
      </c>
      <c r="C806">
        <v>0.73267939878878197</v>
      </c>
      <c r="D806">
        <v>0.486477866822288</v>
      </c>
      <c r="E806">
        <v>0.27722137675154801</v>
      </c>
      <c r="F806">
        <v>0.204145089498243</v>
      </c>
      <c r="G806">
        <v>0.136946559908007</v>
      </c>
      <c r="H806">
        <v>0.123030609867244</v>
      </c>
      <c r="I806">
        <v>0.10040297173481801</v>
      </c>
      <c r="J806">
        <v>8.64766851715838E-2</v>
      </c>
      <c r="K806">
        <v>7.2626498691630403E-2</v>
      </c>
      <c r="L806">
        <v>770.26188798516205</v>
      </c>
      <c r="M806">
        <v>16.924195572303098</v>
      </c>
      <c r="N806">
        <v>46.1110784643272</v>
      </c>
      <c r="O806">
        <v>44.891265415340598</v>
      </c>
      <c r="P806">
        <v>-8.4960901041486098E-2</v>
      </c>
      <c r="Q806">
        <v>9.8624348599230194E-2</v>
      </c>
      <c r="R806">
        <v>0.98873246745655397</v>
      </c>
      <c r="S806" t="s">
        <v>7117</v>
      </c>
      <c r="T806" t="s">
        <v>12620</v>
      </c>
      <c r="U806" t="s">
        <v>12620</v>
      </c>
      <c r="V806" t="s">
        <v>12620</v>
      </c>
      <c r="W806" t="s">
        <v>13401</v>
      </c>
      <c r="X806">
        <v>2</v>
      </c>
      <c r="Y806" t="s">
        <v>19644</v>
      </c>
      <c r="Z806" t="s">
        <v>25753</v>
      </c>
      <c r="AA806">
        <v>0.28542128366152292</v>
      </c>
      <c r="AB806" t="str">
        <f>HYPERLINK("Melting_Curves/meltCurve_J3QRC3_NAT9.pdf", "Melting_Curves/meltCurve_J3QRC3_NAT9.pdf")</f>
        <v>Melting_Curves/meltCurve_J3QRC3_NAT9.pdf</v>
      </c>
    </row>
    <row r="807" spans="1:28" x14ac:dyDescent="0.25">
      <c r="A807" t="s">
        <v>811</v>
      </c>
      <c r="B807">
        <v>0.99987803227770999</v>
      </c>
      <c r="C807">
        <v>0.87118733289974304</v>
      </c>
      <c r="D807">
        <v>0.673980068931051</v>
      </c>
      <c r="E807">
        <v>0.53608336931393796</v>
      </c>
      <c r="F807">
        <v>0.236887329178535</v>
      </c>
      <c r="G807">
        <v>0.131977060584337</v>
      </c>
      <c r="H807">
        <v>6.7882872829912205E-2</v>
      </c>
      <c r="I807">
        <v>0.102229378332872</v>
      </c>
      <c r="J807">
        <v>4.8495193229975003E-2</v>
      </c>
      <c r="K807">
        <v>2.2381095727776999E-2</v>
      </c>
      <c r="L807">
        <v>669.53906313279003</v>
      </c>
      <c r="M807">
        <v>13.620381647742899</v>
      </c>
      <c r="N807">
        <v>49.296527555060003</v>
      </c>
      <c r="O807">
        <v>48.133808743654399</v>
      </c>
      <c r="P807">
        <v>-6.9416216137370104E-2</v>
      </c>
      <c r="Q807">
        <v>1.8889417320374701E-2</v>
      </c>
      <c r="R807">
        <v>0.98692535664588199</v>
      </c>
      <c r="S807" t="s">
        <v>7118</v>
      </c>
      <c r="T807" t="s">
        <v>12620</v>
      </c>
      <c r="U807" t="s">
        <v>12620</v>
      </c>
      <c r="V807" t="s">
        <v>12620</v>
      </c>
      <c r="W807" t="s">
        <v>13402</v>
      </c>
      <c r="X807">
        <v>3</v>
      </c>
      <c r="Y807" t="s">
        <v>19645</v>
      </c>
      <c r="Z807" t="s">
        <v>25754</v>
      </c>
      <c r="AA807">
        <v>0.34707063227227131</v>
      </c>
      <c r="AB807" t="str">
        <f>HYPERLINK("Melting_Curves/meltCurve_J3QRD1_ALDH3A2.pdf", "Melting_Curves/meltCurve_J3QRD1_ALDH3A2.pdf")</f>
        <v>Melting_Curves/meltCurve_J3QRD1_ALDH3A2.pdf</v>
      </c>
    </row>
    <row r="808" spans="1:28" x14ac:dyDescent="0.25">
      <c r="A808" t="s">
        <v>812</v>
      </c>
      <c r="B808">
        <v>0.99987803227770999</v>
      </c>
      <c r="C808">
        <v>1.04839141711682</v>
      </c>
      <c r="D808">
        <v>0.88014767561282303</v>
      </c>
      <c r="E808">
        <v>1.3481169088654299</v>
      </c>
      <c r="F808">
        <v>0.76082525457346095</v>
      </c>
      <c r="G808">
        <v>0.88756717766762006</v>
      </c>
      <c r="H808">
        <v>0.92395903329395301</v>
      </c>
      <c r="I808">
        <v>0.83916551804968798</v>
      </c>
      <c r="J808">
        <v>1.09119625064854</v>
      </c>
      <c r="K808">
        <v>0.62440055013240503</v>
      </c>
      <c r="L808">
        <v>15000</v>
      </c>
      <c r="M808">
        <v>213.77737758202201</v>
      </c>
      <c r="Q808">
        <v>0</v>
      </c>
      <c r="R808">
        <v>0.29869553361235202</v>
      </c>
      <c r="S808" t="s">
        <v>7119</v>
      </c>
      <c r="T808" t="s">
        <v>12620</v>
      </c>
      <c r="U808" t="s">
        <v>12620</v>
      </c>
      <c r="V808" t="s">
        <v>12620</v>
      </c>
      <c r="W808" t="s">
        <v>13403</v>
      </c>
      <c r="X808">
        <v>1</v>
      </c>
      <c r="Y808" t="s">
        <v>19646</v>
      </c>
      <c r="Z808" t="s">
        <v>25755</v>
      </c>
      <c r="AA808">
        <v>0.99492501643030673</v>
      </c>
      <c r="AB808" t="str">
        <f>HYPERLINK("Melting_Curves/meltCurve_J3QRK2_hCG_1996301.pdf", "Melting_Curves/meltCurve_J3QRK2_hCG_1996301.pdf")</f>
        <v>Melting_Curves/meltCurve_J3QRK2_hCG_1996301.pdf</v>
      </c>
    </row>
    <row r="809" spans="1:28" x14ac:dyDescent="0.25">
      <c r="A809" t="s">
        <v>813</v>
      </c>
      <c r="B809">
        <v>0.99987803227770999</v>
      </c>
      <c r="C809">
        <v>0.98817722012130504</v>
      </c>
      <c r="D809">
        <v>0.93373307022731999</v>
      </c>
      <c r="E809">
        <v>0.96922135051092495</v>
      </c>
      <c r="F809">
        <v>0.94262446305890402</v>
      </c>
      <c r="G809">
        <v>0.74592895560179195</v>
      </c>
      <c r="H809">
        <v>0.67069216695983203</v>
      </c>
      <c r="I809">
        <v>0.53354770299235998</v>
      </c>
      <c r="J809">
        <v>0.36941443924200501</v>
      </c>
      <c r="K809">
        <v>0.265099095591671</v>
      </c>
      <c r="L809">
        <v>717.58974147032097</v>
      </c>
      <c r="M809">
        <v>11.185861157838501</v>
      </c>
      <c r="N809">
        <v>64.151513326317598</v>
      </c>
      <c r="O809">
        <v>62.203670708848698</v>
      </c>
      <c r="P809">
        <v>-4.49708301984992E-2</v>
      </c>
      <c r="Q809">
        <v>0</v>
      </c>
      <c r="R809">
        <v>0.98611984048073098</v>
      </c>
      <c r="S809" t="s">
        <v>7120</v>
      </c>
      <c r="T809" t="s">
        <v>12620</v>
      </c>
      <c r="U809" t="s">
        <v>12620</v>
      </c>
      <c r="V809" t="s">
        <v>12620</v>
      </c>
      <c r="W809" t="s">
        <v>13404</v>
      </c>
      <c r="X809">
        <v>1</v>
      </c>
      <c r="Y809" t="s">
        <v>19647</v>
      </c>
      <c r="Z809" t="s">
        <v>25756</v>
      </c>
      <c r="AA809">
        <v>0.76949574113363151</v>
      </c>
      <c r="AB809" t="str">
        <f>HYPERLINK("Melting_Curves/meltCurve_J3QRT4_ZSWIM7.pdf", "Melting_Curves/meltCurve_J3QRT4_ZSWIM7.pdf")</f>
        <v>Melting_Curves/meltCurve_J3QRT4_ZSWIM7.pdf</v>
      </c>
    </row>
    <row r="810" spans="1:28" x14ac:dyDescent="0.25">
      <c r="A810" t="s">
        <v>814</v>
      </c>
      <c r="B810">
        <v>0.99987803227770999</v>
      </c>
      <c r="C810">
        <v>0.955269771075547</v>
      </c>
      <c r="D810">
        <v>1.0403430071659301</v>
      </c>
      <c r="E810">
        <v>0.82379770412530895</v>
      </c>
      <c r="F810">
        <v>0.60984033724738795</v>
      </c>
      <c r="G810">
        <v>0.35256538323679698</v>
      </c>
      <c r="H810">
        <v>0.15331942399352599</v>
      </c>
      <c r="I810">
        <v>0.11601214418021499</v>
      </c>
      <c r="J810">
        <v>7.5068883728729802E-2</v>
      </c>
      <c r="K810">
        <v>4.9837034713607398E-2</v>
      </c>
      <c r="L810">
        <v>977.40488757966705</v>
      </c>
      <c r="M810">
        <v>17.985070641944901</v>
      </c>
      <c r="N810">
        <v>54.626023778082597</v>
      </c>
      <c r="O810">
        <v>53.686841692617499</v>
      </c>
      <c r="P810">
        <v>-8.0057637938267201E-2</v>
      </c>
      <c r="Q810">
        <v>4.4134265379171103E-2</v>
      </c>
      <c r="R810">
        <v>0.99458766356860595</v>
      </c>
      <c r="S810" t="s">
        <v>7121</v>
      </c>
      <c r="T810" t="s">
        <v>12620</v>
      </c>
      <c r="U810" t="s">
        <v>12620</v>
      </c>
      <c r="V810" t="s">
        <v>12620</v>
      </c>
      <c r="W810" t="s">
        <v>13405</v>
      </c>
      <c r="X810">
        <v>7</v>
      </c>
      <c r="Y810" t="s">
        <v>19648</v>
      </c>
      <c r="Z810" t="s">
        <v>25757</v>
      </c>
      <c r="AA810">
        <v>0.51636465810160992</v>
      </c>
      <c r="AB810" t="str">
        <f>HYPERLINK("Melting_Curves/meltCurve_J3QRZ6_MIF4GD.pdf", "Melting_Curves/meltCurve_J3QRZ6_MIF4GD.pdf")</f>
        <v>Melting_Curves/meltCurve_J3QRZ6_MIF4GD.pdf</v>
      </c>
    </row>
    <row r="811" spans="1:28" x14ac:dyDescent="0.25">
      <c r="A811" t="s">
        <v>815</v>
      </c>
      <c r="B811">
        <v>0.99987803227770999</v>
      </c>
      <c r="C811">
        <v>1.0592878739426801</v>
      </c>
      <c r="D811">
        <v>0.96443127500126402</v>
      </c>
      <c r="E811">
        <v>0.96538182165881203</v>
      </c>
      <c r="F811">
        <v>0.85331034763418501</v>
      </c>
      <c r="G811">
        <v>0.54029004445892503</v>
      </c>
      <c r="H811">
        <v>0.47822722857168298</v>
      </c>
      <c r="I811">
        <v>0.46647223912059999</v>
      </c>
      <c r="J811">
        <v>0.49490383166321</v>
      </c>
      <c r="K811">
        <v>0.32858703446693099</v>
      </c>
      <c r="L811">
        <v>1664.16609261126</v>
      </c>
      <c r="M811">
        <v>30.4338113808322</v>
      </c>
      <c r="N811">
        <v>58.474768719249901</v>
      </c>
      <c r="O811">
        <v>54.447024510004702</v>
      </c>
      <c r="P811">
        <v>-7.9573334897651102E-2</v>
      </c>
      <c r="Q811">
        <v>0.43056693614727298</v>
      </c>
      <c r="R811">
        <v>0.969573460984827</v>
      </c>
      <c r="S811" t="s">
        <v>7122</v>
      </c>
      <c r="T811" t="s">
        <v>12620</v>
      </c>
      <c r="U811" t="s">
        <v>12620</v>
      </c>
      <c r="V811" t="s">
        <v>12620</v>
      </c>
      <c r="W811" t="s">
        <v>13406</v>
      </c>
      <c r="X811">
        <v>4</v>
      </c>
      <c r="Y811" t="s">
        <v>19649</v>
      </c>
      <c r="Z811" t="s">
        <v>25758</v>
      </c>
      <c r="AA811">
        <v>0.71290309515575268</v>
      </c>
      <c r="AB811" t="str">
        <f>HYPERLINK("Melting_Curves/meltCurve_J3QS27_ZNF207.pdf", "Melting_Curves/meltCurve_J3QS27_ZNF207.pdf")</f>
        <v>Melting_Curves/meltCurve_J3QS27_ZNF207.pdf</v>
      </c>
    </row>
    <row r="812" spans="1:28" x14ac:dyDescent="0.25">
      <c r="A812" t="s">
        <v>816</v>
      </c>
      <c r="B812">
        <v>0.99987803227770999</v>
      </c>
      <c r="C812">
        <v>1.1576260425756799</v>
      </c>
      <c r="D812">
        <v>0.85645728128981402</v>
      </c>
      <c r="E812">
        <v>1.1331834197881201</v>
      </c>
      <c r="F812">
        <v>0.64346761374419603</v>
      </c>
      <c r="G812">
        <v>0.36422608717941102</v>
      </c>
      <c r="H812">
        <v>9.5105983534730501E-2</v>
      </c>
      <c r="I812">
        <v>8.2976975583865395E-2</v>
      </c>
      <c r="J812">
        <v>4.8531109822194697E-2</v>
      </c>
      <c r="K812">
        <v>3.47544967772477E-2</v>
      </c>
      <c r="L812">
        <v>1473.37312938075</v>
      </c>
      <c r="M812">
        <v>26.7820426664099</v>
      </c>
      <c r="N812">
        <v>55.213220236368798</v>
      </c>
      <c r="O812">
        <v>54.709502224041699</v>
      </c>
      <c r="P812">
        <v>-0.116733395038442</v>
      </c>
      <c r="Q812">
        <v>4.61727417811909E-2</v>
      </c>
      <c r="R812">
        <v>0.95195481476427801</v>
      </c>
      <c r="S812" t="s">
        <v>7123</v>
      </c>
      <c r="T812" t="s">
        <v>12620</v>
      </c>
      <c r="U812" t="s">
        <v>12620</v>
      </c>
      <c r="V812" t="s">
        <v>12620</v>
      </c>
      <c r="W812" t="s">
        <v>13407</v>
      </c>
      <c r="X812">
        <v>5</v>
      </c>
      <c r="Y812" t="s">
        <v>19650</v>
      </c>
      <c r="Z812" t="s">
        <v>25759</v>
      </c>
      <c r="AA812">
        <v>0.53132069755447708</v>
      </c>
      <c r="AB812" t="str">
        <f>HYPERLINK("Melting_Curves/meltCurve_J3QT87_CRBN.pdf", "Melting_Curves/meltCurve_J3QT87_CRBN.pdf")</f>
        <v>Melting_Curves/meltCurve_J3QT87_CRBN.pdf</v>
      </c>
    </row>
    <row r="813" spans="1:28" x14ac:dyDescent="0.25">
      <c r="A813" t="s">
        <v>817</v>
      </c>
      <c r="B813">
        <v>0.99987803227770999</v>
      </c>
      <c r="C813">
        <v>1.13854029999012</v>
      </c>
      <c r="D813">
        <v>0.99313118587802696</v>
      </c>
      <c r="E813">
        <v>1.6106313808797501</v>
      </c>
      <c r="F813">
        <v>1.2007847428763201</v>
      </c>
      <c r="G813">
        <v>0.70120640950042401</v>
      </c>
      <c r="H813">
        <v>0.23175466421591401</v>
      </c>
      <c r="I813">
        <v>0.130363163182073</v>
      </c>
      <c r="J813">
        <v>0.133610774344391</v>
      </c>
      <c r="K813">
        <v>9.0071472947727202E-2</v>
      </c>
      <c r="L813">
        <v>2911.4275189893201</v>
      </c>
      <c r="M813">
        <v>50.303598991260202</v>
      </c>
      <c r="N813">
        <v>58.216104624497397</v>
      </c>
      <c r="O813">
        <v>57.7858610210723</v>
      </c>
      <c r="P813">
        <v>-0.19000046477624299</v>
      </c>
      <c r="Q813">
        <v>0.12695442591015199</v>
      </c>
      <c r="R813">
        <v>0.83575728515375902</v>
      </c>
      <c r="S813" t="s">
        <v>7124</v>
      </c>
      <c r="T813" t="s">
        <v>12620</v>
      </c>
      <c r="U813" t="s">
        <v>12620</v>
      </c>
      <c r="V813" t="s">
        <v>12620</v>
      </c>
      <c r="W813" t="s">
        <v>13408</v>
      </c>
      <c r="X813">
        <v>6</v>
      </c>
      <c r="Y813" t="s">
        <v>19651</v>
      </c>
      <c r="Z813" t="s">
        <v>25760</v>
      </c>
      <c r="AA813">
        <v>0.64939924315033748</v>
      </c>
      <c r="AB813" t="str">
        <f>HYPERLINK("Melting_Curves/meltCurve_J9JIC5_C17orf75.pdf", "Melting_Curves/meltCurve_J9JIC5_C17orf75.pdf")</f>
        <v>Melting_Curves/meltCurve_J9JIC5_C17orf75.pdf</v>
      </c>
    </row>
    <row r="814" spans="1:28" x14ac:dyDescent="0.25">
      <c r="A814" t="s">
        <v>818</v>
      </c>
      <c r="B814">
        <v>0.99987803227770999</v>
      </c>
      <c r="C814">
        <v>0.72230531660359798</v>
      </c>
      <c r="D814">
        <v>1.00184885985304</v>
      </c>
      <c r="E814">
        <v>0.72662871525778305</v>
      </c>
      <c r="F814">
        <v>0.89798776504718103</v>
      </c>
      <c r="G814">
        <v>0.88649913535464198</v>
      </c>
      <c r="H814">
        <v>0.86136501068924898</v>
      </c>
      <c r="I814">
        <v>0.93634010888228802</v>
      </c>
      <c r="J814">
        <v>0.87415442026830803</v>
      </c>
      <c r="K814">
        <v>0.64230478097764598</v>
      </c>
      <c r="L814">
        <v>87.244746202728194</v>
      </c>
      <c r="M814">
        <v>1.0000000000000001E-5</v>
      </c>
      <c r="Q814">
        <v>0.13291159622875601</v>
      </c>
      <c r="R814">
        <v>8.5898380968216004E-2</v>
      </c>
      <c r="S814" t="s">
        <v>7125</v>
      </c>
      <c r="T814" t="s">
        <v>12620</v>
      </c>
      <c r="U814" t="s">
        <v>12620</v>
      </c>
      <c r="V814" t="s">
        <v>12620</v>
      </c>
      <c r="W814" t="s">
        <v>13409</v>
      </c>
      <c r="X814">
        <v>2</v>
      </c>
      <c r="Y814" t="s">
        <v>19652</v>
      </c>
      <c r="Z814" t="s">
        <v>25761</v>
      </c>
      <c r="AA814">
        <v>0.85489377691560364</v>
      </c>
      <c r="AB814" t="str">
        <f>HYPERLINK("Melting_Curves/meltCurve_J9JIE0_GPRC5C.pdf", "Melting_Curves/meltCurve_J9JIE0_GPRC5C.pdf")</f>
        <v>Melting_Curves/meltCurve_J9JIE0_GPRC5C.pdf</v>
      </c>
    </row>
    <row r="815" spans="1:28" x14ac:dyDescent="0.25">
      <c r="A815" t="s">
        <v>819</v>
      </c>
      <c r="B815">
        <v>0.99987803227770999</v>
      </c>
      <c r="C815">
        <v>0.89187647408872595</v>
      </c>
      <c r="D815">
        <v>0.94435045693520203</v>
      </c>
      <c r="E815">
        <v>0.68960818718141004</v>
      </c>
      <c r="F815">
        <v>0.43789375473554498</v>
      </c>
      <c r="G815">
        <v>0.23978008341783899</v>
      </c>
      <c r="H815">
        <v>0.23929299265921899</v>
      </c>
      <c r="I815">
        <v>0.24535158989693601</v>
      </c>
      <c r="J815">
        <v>0.22096076534350301</v>
      </c>
      <c r="K815">
        <v>0.18475428403525501</v>
      </c>
      <c r="L815">
        <v>1152.3309125256999</v>
      </c>
      <c r="M815">
        <v>22.652079541910201</v>
      </c>
      <c r="N815">
        <v>52.111961751778303</v>
      </c>
      <c r="O815">
        <v>50.479379049784299</v>
      </c>
      <c r="P815">
        <v>-8.8798923783976302E-2</v>
      </c>
      <c r="Q815">
        <v>0.20847436458101601</v>
      </c>
      <c r="R815">
        <v>0.98791133652296603</v>
      </c>
      <c r="S815" t="s">
        <v>7126</v>
      </c>
      <c r="T815" t="s">
        <v>12620</v>
      </c>
      <c r="U815" t="s">
        <v>12620</v>
      </c>
      <c r="V815" t="s">
        <v>12620</v>
      </c>
      <c r="W815" t="s">
        <v>13410</v>
      </c>
      <c r="X815">
        <v>4</v>
      </c>
      <c r="Y815" t="s">
        <v>19653</v>
      </c>
      <c r="Z815" t="s">
        <v>25762</v>
      </c>
      <c r="AA815">
        <v>0.50395472679896935</v>
      </c>
      <c r="AB815" t="str">
        <f>HYPERLINK("Melting_Curves/meltCurve_K4DI92_RWDD4.pdf", "Melting_Curves/meltCurve_K4DI92_RWDD4.pdf")</f>
        <v>Melting_Curves/meltCurve_K4DI92_RWDD4.pdf</v>
      </c>
    </row>
    <row r="816" spans="1:28" x14ac:dyDescent="0.25">
      <c r="A816" t="s">
        <v>820</v>
      </c>
      <c r="B816">
        <v>0.99987803227770999</v>
      </c>
      <c r="C816">
        <v>1.1293758860744201</v>
      </c>
      <c r="D816">
        <v>0.88621263025307795</v>
      </c>
      <c r="E816">
        <v>1.3297156964622101</v>
      </c>
      <c r="F816">
        <v>0.87917765433949602</v>
      </c>
      <c r="G816">
        <v>0.64707207564040103</v>
      </c>
      <c r="H816">
        <v>0.18856123196320099</v>
      </c>
      <c r="I816">
        <v>0.208703199697679</v>
      </c>
      <c r="J816">
        <v>0.12404526971866101</v>
      </c>
      <c r="K816">
        <v>9.3305066106481094E-2</v>
      </c>
      <c r="L816">
        <v>2080.3023733065702</v>
      </c>
      <c r="M816">
        <v>36.177375680281202</v>
      </c>
      <c r="N816">
        <v>57.958638746145297</v>
      </c>
      <c r="O816">
        <v>57.3280056924552</v>
      </c>
      <c r="P816">
        <v>-0.138232511845815</v>
      </c>
      <c r="Q816">
        <v>0.12380937915175901</v>
      </c>
      <c r="R816">
        <v>0.91963957703583499</v>
      </c>
      <c r="S816" t="s">
        <v>7127</v>
      </c>
      <c r="T816" t="s">
        <v>12620</v>
      </c>
      <c r="U816" t="s">
        <v>12620</v>
      </c>
      <c r="V816" t="s">
        <v>12620</v>
      </c>
      <c r="W816" t="s">
        <v>13411</v>
      </c>
      <c r="X816">
        <v>39</v>
      </c>
      <c r="Y816" t="s">
        <v>19654</v>
      </c>
      <c r="Z816" t="s">
        <v>25763</v>
      </c>
      <c r="AA816">
        <v>0.63915537474103379</v>
      </c>
      <c r="AB816" t="str">
        <f>HYPERLINK("Melting_Curves/meltCurve_K4DI93_CUL4B.pdf", "Melting_Curves/meltCurve_K4DI93_CUL4B.pdf")</f>
        <v>Melting_Curves/meltCurve_K4DI93_CUL4B.pdf</v>
      </c>
    </row>
    <row r="817" spans="1:28" x14ac:dyDescent="0.25">
      <c r="A817" t="s">
        <v>821</v>
      </c>
      <c r="B817">
        <v>0.99987803227770999</v>
      </c>
      <c r="C817">
        <v>1.0223714866487299</v>
      </c>
      <c r="D817">
        <v>0.862065722652267</v>
      </c>
      <c r="E817">
        <v>0.90488315167293498</v>
      </c>
      <c r="F817">
        <v>0.67122331583851003</v>
      </c>
      <c r="G817">
        <v>0.48242063400847102</v>
      </c>
      <c r="H817">
        <v>0.43487349338320103</v>
      </c>
      <c r="I817">
        <v>0.47524437992601698</v>
      </c>
      <c r="J817">
        <v>0.36063615442514602</v>
      </c>
      <c r="K817">
        <v>0.27949483025638799</v>
      </c>
      <c r="L817">
        <v>749.89623080476304</v>
      </c>
      <c r="M817">
        <v>13.925432065469799</v>
      </c>
      <c r="N817">
        <v>58.014385291069999</v>
      </c>
      <c r="O817">
        <v>52.776780030526801</v>
      </c>
      <c r="P817">
        <v>-4.5128745297450201E-2</v>
      </c>
      <c r="Q817">
        <v>0.31594852598509598</v>
      </c>
      <c r="R817">
        <v>0.95708978215224405</v>
      </c>
      <c r="S817" t="s">
        <v>7128</v>
      </c>
      <c r="T817" t="s">
        <v>12620</v>
      </c>
      <c r="U817" t="s">
        <v>12620</v>
      </c>
      <c r="V817" t="s">
        <v>12620</v>
      </c>
      <c r="W817" t="s">
        <v>13412</v>
      </c>
      <c r="X817">
        <v>5</v>
      </c>
      <c r="Y817" t="s">
        <v>19655</v>
      </c>
      <c r="Z817" t="s">
        <v>25764</v>
      </c>
      <c r="AA817">
        <v>0.64725167698856312</v>
      </c>
      <c r="AB817" t="str">
        <f>HYPERLINK("Melting_Curves/meltCurve_K7EIE8_MBD3.pdf", "Melting_Curves/meltCurve_K7EIE8_MBD3.pdf")</f>
        <v>Melting_Curves/meltCurve_K7EIE8_MBD3.pdf</v>
      </c>
    </row>
    <row r="818" spans="1:28" x14ac:dyDescent="0.25">
      <c r="A818" t="s">
        <v>822</v>
      </c>
      <c r="B818">
        <v>0.99987803227770999</v>
      </c>
      <c r="C818">
        <v>1.2153964434775499</v>
      </c>
      <c r="D818">
        <v>0.83849564865608395</v>
      </c>
      <c r="E818">
        <v>0.60997138261476602</v>
      </c>
      <c r="F818">
        <v>0.26044599134205598</v>
      </c>
      <c r="G818">
        <v>0.17137830361286299</v>
      </c>
      <c r="H818">
        <v>0.112930306724649</v>
      </c>
      <c r="I818">
        <v>9.5950027928021403E-2</v>
      </c>
      <c r="J818">
        <v>7.3844131280631095E-2</v>
      </c>
      <c r="K818">
        <v>5.1067068005197398E-2</v>
      </c>
      <c r="L818">
        <v>1233.1470136826699</v>
      </c>
      <c r="M818">
        <v>24.484201033402101</v>
      </c>
      <c r="N818">
        <v>50.742080045502703</v>
      </c>
      <c r="O818">
        <v>50.032641413197602</v>
      </c>
      <c r="P818">
        <v>-0.112166910739329</v>
      </c>
      <c r="Q818">
        <v>8.3176192343359406E-2</v>
      </c>
      <c r="R818">
        <v>0.96318218713877302</v>
      </c>
      <c r="S818" t="s">
        <v>7129</v>
      </c>
      <c r="T818" t="s">
        <v>12620</v>
      </c>
      <c r="U818" t="s">
        <v>12620</v>
      </c>
      <c r="V818" t="s">
        <v>12620</v>
      </c>
      <c r="W818" t="s">
        <v>13338</v>
      </c>
      <c r="X818">
        <v>46</v>
      </c>
      <c r="Y818" t="s">
        <v>19581</v>
      </c>
      <c r="Z818" t="s">
        <v>25765</v>
      </c>
      <c r="AA818">
        <v>0.40851358742054389</v>
      </c>
      <c r="AB818" t="str">
        <f>HYPERLINK("Melting_Curves/meltCurve_K7EIG1_CLUH.pdf", "Melting_Curves/meltCurve_K7EIG1_CLUH.pdf")</f>
        <v>Melting_Curves/meltCurve_K7EIG1_CLUH.pdf</v>
      </c>
    </row>
    <row r="819" spans="1:28" x14ac:dyDescent="0.25">
      <c r="A819" t="s">
        <v>823</v>
      </c>
      <c r="B819">
        <v>0.99987803227770999</v>
      </c>
      <c r="C819">
        <v>0.80058158112449096</v>
      </c>
      <c r="D819">
        <v>0.80766544190877498</v>
      </c>
      <c r="E819">
        <v>0.79651540269781496</v>
      </c>
      <c r="F819">
        <v>1.0458411186818599</v>
      </c>
      <c r="G819">
        <v>1.58240003181944</v>
      </c>
      <c r="H819">
        <v>0.82562678156442904</v>
      </c>
      <c r="I819">
        <v>0.31545163058592501</v>
      </c>
      <c r="J819">
        <v>0.13330128886685699</v>
      </c>
      <c r="K819">
        <v>9.6649781817529007E-2</v>
      </c>
      <c r="L819">
        <v>3764.9938294491499</v>
      </c>
      <c r="M819">
        <v>60.103354088065501</v>
      </c>
      <c r="N819">
        <v>62.898396270269899</v>
      </c>
      <c r="O819">
        <v>62.572762875453698</v>
      </c>
      <c r="P819">
        <v>-0.21404299640682001</v>
      </c>
      <c r="Q819">
        <v>0.108651748786373</v>
      </c>
      <c r="R819">
        <v>0.74981493109564301</v>
      </c>
      <c r="S819" t="s">
        <v>7130</v>
      </c>
      <c r="T819" t="s">
        <v>12620</v>
      </c>
      <c r="U819" t="s">
        <v>12620</v>
      </c>
      <c r="V819" t="s">
        <v>12620</v>
      </c>
      <c r="W819" t="s">
        <v>13413</v>
      </c>
      <c r="X819">
        <v>2</v>
      </c>
      <c r="Y819" t="s">
        <v>19656</v>
      </c>
      <c r="Z819" t="s">
        <v>25766</v>
      </c>
      <c r="AA819">
        <v>0.78301085598644893</v>
      </c>
      <c r="AB819" t="str">
        <f>HYPERLINK("Melting_Curves/meltCurve_K7EIJ0_WBP2.pdf", "Melting_Curves/meltCurve_K7EIJ0_WBP2.pdf")</f>
        <v>Melting_Curves/meltCurve_K7EIJ0_WBP2.pdf</v>
      </c>
    </row>
    <row r="820" spans="1:28" x14ac:dyDescent="0.25">
      <c r="A820" t="s">
        <v>824</v>
      </c>
      <c r="B820">
        <v>0.99987803227770999</v>
      </c>
      <c r="C820">
        <v>0.90726194742003297</v>
      </c>
      <c r="D820">
        <v>0.82440988893866896</v>
      </c>
      <c r="E820">
        <v>0.79693663008861904</v>
      </c>
      <c r="F820">
        <v>0.66328009859283199</v>
      </c>
      <c r="G820">
        <v>0.51803250296480496</v>
      </c>
      <c r="H820">
        <v>0.309446695519771</v>
      </c>
      <c r="I820">
        <v>0.32748905532257599</v>
      </c>
      <c r="J820">
        <v>0.20758954923679299</v>
      </c>
      <c r="K820">
        <v>0.17794052430944701</v>
      </c>
      <c r="L820">
        <v>470.34140407502701</v>
      </c>
      <c r="M820">
        <v>8.2563542294811398</v>
      </c>
      <c r="N820">
        <v>56.967179989244798</v>
      </c>
      <c r="O820">
        <v>53.918459110434704</v>
      </c>
      <c r="P820">
        <v>-3.83201496159273E-2</v>
      </c>
      <c r="Q820">
        <v>0</v>
      </c>
      <c r="R820">
        <v>0.98601929260496102</v>
      </c>
      <c r="S820" t="s">
        <v>7131</v>
      </c>
      <c r="T820" t="s">
        <v>12620</v>
      </c>
      <c r="U820" t="s">
        <v>12620</v>
      </c>
      <c r="V820" t="s">
        <v>12620</v>
      </c>
      <c r="W820" t="s">
        <v>13414</v>
      </c>
      <c r="X820">
        <v>2</v>
      </c>
      <c r="Y820" t="s">
        <v>19657</v>
      </c>
      <c r="Z820" t="s">
        <v>25767</v>
      </c>
      <c r="AA820">
        <v>0.57851612339202307</v>
      </c>
      <c r="AB820" t="str">
        <f>HYPERLINK("Melting_Curves/meltCurve_K7EIN2_NUDT16L1.pdf", "Melting_Curves/meltCurve_K7EIN2_NUDT16L1.pdf")</f>
        <v>Melting_Curves/meltCurve_K7EIN2_NUDT16L1.pdf</v>
      </c>
    </row>
    <row r="821" spans="1:28" x14ac:dyDescent="0.25">
      <c r="A821" t="s">
        <v>825</v>
      </c>
      <c r="B821">
        <v>0.99987803227770999</v>
      </c>
      <c r="C821">
        <v>1.27005864729021</v>
      </c>
      <c r="D821">
        <v>1.03871391470883</v>
      </c>
      <c r="E821">
        <v>1.4619474261587699</v>
      </c>
      <c r="F821">
        <v>0.89121238172321404</v>
      </c>
      <c r="G821">
        <v>0.36632496916114099</v>
      </c>
      <c r="H821">
        <v>0.21736582590488601</v>
      </c>
      <c r="I821">
        <v>0.20067691285089401</v>
      </c>
      <c r="J821">
        <v>0.14600330126632299</v>
      </c>
      <c r="K821">
        <v>0.124400904498757</v>
      </c>
      <c r="L821">
        <v>2721.4268801656899</v>
      </c>
      <c r="M821">
        <v>48.935468785554697</v>
      </c>
      <c r="N821">
        <v>56.085945341678404</v>
      </c>
      <c r="O821">
        <v>55.519928083063299</v>
      </c>
      <c r="P821">
        <v>-0.18307245824708601</v>
      </c>
      <c r="Q821">
        <v>0.16917846699660199</v>
      </c>
      <c r="R821">
        <v>0.87450556176399796</v>
      </c>
      <c r="S821" t="s">
        <v>7132</v>
      </c>
      <c r="T821" t="s">
        <v>12620</v>
      </c>
      <c r="U821" t="s">
        <v>12620</v>
      </c>
      <c r="V821" t="s">
        <v>12620</v>
      </c>
      <c r="W821" t="s">
        <v>13415</v>
      </c>
      <c r="X821">
        <v>2</v>
      </c>
      <c r="Y821" t="s">
        <v>19658</v>
      </c>
      <c r="Z821" t="s">
        <v>25768</v>
      </c>
      <c r="AA821">
        <v>0.60367959986633679</v>
      </c>
      <c r="AB821" t="str">
        <f>HYPERLINK("Melting_Curves/meltCurve_K7EIR0_WDR18.pdf", "Melting_Curves/meltCurve_K7EIR0_WDR18.pdf")</f>
        <v>Melting_Curves/meltCurve_K7EIR0_WDR18.pdf</v>
      </c>
    </row>
    <row r="822" spans="1:28" x14ac:dyDescent="0.25">
      <c r="A822" t="s">
        <v>826</v>
      </c>
      <c r="B822">
        <v>0.99987803227770999</v>
      </c>
      <c r="C822">
        <v>0.89349266897392099</v>
      </c>
      <c r="D822">
        <v>1.0075991207780299</v>
      </c>
      <c r="E822">
        <v>0.90676850771955997</v>
      </c>
      <c r="F822">
        <v>0.92306931221328903</v>
      </c>
      <c r="G822">
        <v>0.48690540714373498</v>
      </c>
      <c r="H822">
        <v>0.22365349948160099</v>
      </c>
      <c r="I822">
        <v>0.11312746116624101</v>
      </c>
      <c r="J822">
        <v>8.0193612079176205E-2</v>
      </c>
      <c r="K822">
        <v>5.0442185529418697E-2</v>
      </c>
      <c r="L822">
        <v>1436.7953532461199</v>
      </c>
      <c r="M822">
        <v>25.262446005069702</v>
      </c>
      <c r="N822">
        <v>57.148354193994798</v>
      </c>
      <c r="O822">
        <v>56.521956972312303</v>
      </c>
      <c r="P822">
        <v>-0.10537417887457701</v>
      </c>
      <c r="Q822">
        <v>5.6959414799799199E-2</v>
      </c>
      <c r="R822">
        <v>0.98735239267492303</v>
      </c>
      <c r="S822" t="s">
        <v>7133</v>
      </c>
      <c r="T822" t="s">
        <v>12620</v>
      </c>
      <c r="U822" t="s">
        <v>12620</v>
      </c>
      <c r="V822" t="s">
        <v>12620</v>
      </c>
      <c r="W822" t="s">
        <v>13416</v>
      </c>
      <c r="X822">
        <v>12</v>
      </c>
      <c r="Y822" t="s">
        <v>19659</v>
      </c>
      <c r="Z822" t="s">
        <v>25769</v>
      </c>
      <c r="AA822">
        <v>0.59579534515695676</v>
      </c>
      <c r="AB822" t="str">
        <f>HYPERLINK("Melting_Curves/meltCurve_K7EIU8_SMAD4.pdf", "Melting_Curves/meltCurve_K7EIU8_SMAD4.pdf")</f>
        <v>Melting_Curves/meltCurve_K7EIU8_SMAD4.pdf</v>
      </c>
    </row>
    <row r="823" spans="1:28" x14ac:dyDescent="0.25">
      <c r="A823" t="s">
        <v>827</v>
      </c>
      <c r="B823">
        <v>0.99987803227770999</v>
      </c>
      <c r="C823">
        <v>1.04125857686004</v>
      </c>
      <c r="D823">
        <v>1.01871745639066</v>
      </c>
      <c r="E823">
        <v>0.78121868261026906</v>
      </c>
      <c r="F823">
        <v>0.52834030322863801</v>
      </c>
      <c r="G823">
        <v>0.30362735744560598</v>
      </c>
      <c r="H823">
        <v>0.18651002600532199</v>
      </c>
      <c r="I823">
        <v>0.15951380662318401</v>
      </c>
      <c r="J823">
        <v>0.160914750449173</v>
      </c>
      <c r="K823">
        <v>0.12281518559768199</v>
      </c>
      <c r="L823">
        <v>1152.38245272275</v>
      </c>
      <c r="M823">
        <v>21.886666595959799</v>
      </c>
      <c r="N823">
        <v>53.476977937145897</v>
      </c>
      <c r="O823">
        <v>52.218621082470001</v>
      </c>
      <c r="P823">
        <v>-8.9777011088526301E-2</v>
      </c>
      <c r="Q823">
        <v>0.143236380991389</v>
      </c>
      <c r="R823">
        <v>0.99516295011913503</v>
      </c>
      <c r="S823" t="s">
        <v>7134</v>
      </c>
      <c r="T823" t="s">
        <v>12620</v>
      </c>
      <c r="U823" t="s">
        <v>12620</v>
      </c>
      <c r="V823" t="s">
        <v>12620</v>
      </c>
      <c r="W823" t="s">
        <v>13417</v>
      </c>
      <c r="X823">
        <v>1</v>
      </c>
      <c r="Y823" t="s">
        <v>19660</v>
      </c>
      <c r="Z823" t="s">
        <v>25770</v>
      </c>
      <c r="AA823">
        <v>0.51463797568943059</v>
      </c>
      <c r="AB823" t="str">
        <f>HYPERLINK("Melting_Curves/meltCurve_K7EJ78_RPS15.pdf", "Melting_Curves/meltCurve_K7EJ78_RPS15.pdf")</f>
        <v>Melting_Curves/meltCurve_K7EJ78_RPS15.pdf</v>
      </c>
    </row>
    <row r="824" spans="1:28" x14ac:dyDescent="0.25">
      <c r="A824" t="s">
        <v>828</v>
      </c>
      <c r="B824">
        <v>0.99987803227770999</v>
      </c>
      <c r="C824">
        <v>1.1075848570227</v>
      </c>
      <c r="D824">
        <v>2.8559147706666899</v>
      </c>
      <c r="E824">
        <v>1.30883857384206</v>
      </c>
      <c r="F824">
        <v>1.2018697195232</v>
      </c>
      <c r="G824">
        <v>1.531553721821</v>
      </c>
      <c r="H824">
        <v>0.93143739384254798</v>
      </c>
      <c r="I824">
        <v>1.1305721065812699</v>
      </c>
      <c r="J824">
        <v>1.9665760939153001</v>
      </c>
      <c r="K824">
        <v>0</v>
      </c>
      <c r="L824">
        <v>15000</v>
      </c>
      <c r="M824">
        <v>217.45466888065101</v>
      </c>
      <c r="N824">
        <v>68.979893932764199</v>
      </c>
      <c r="O824">
        <v>68.974060061661902</v>
      </c>
      <c r="P824">
        <v>-0.78817554842006599</v>
      </c>
      <c r="Q824">
        <v>0</v>
      </c>
      <c r="R824">
        <v>1.51917426843549E-2</v>
      </c>
      <c r="S824" t="s">
        <v>7135</v>
      </c>
      <c r="T824" t="s">
        <v>12620</v>
      </c>
      <c r="U824" t="s">
        <v>12620</v>
      </c>
      <c r="V824" t="s">
        <v>12620</v>
      </c>
      <c r="W824" t="s">
        <v>13418</v>
      </c>
      <c r="X824">
        <v>1</v>
      </c>
      <c r="Y824" t="s">
        <v>19661</v>
      </c>
      <c r="Z824" t="s">
        <v>25771</v>
      </c>
      <c r="AA824">
        <v>0.96570370683660911</v>
      </c>
      <c r="AB824" t="str">
        <f>HYPERLINK("Melting_Curves/meltCurve_K7EJG0_hCG_27535.pdf", "Melting_Curves/meltCurve_K7EJG0_hCG_27535.pdf")</f>
        <v>Melting_Curves/meltCurve_K7EJG0_hCG_27535.pdf</v>
      </c>
    </row>
    <row r="825" spans="1:28" x14ac:dyDescent="0.25">
      <c r="A825" t="s">
        <v>829</v>
      </c>
      <c r="B825">
        <v>0.99987803227770999</v>
      </c>
      <c r="C825">
        <v>1.0316900723940401</v>
      </c>
      <c r="D825">
        <v>1.0296897034754999</v>
      </c>
      <c r="E825">
        <v>0.82420239963240005</v>
      </c>
      <c r="F825">
        <v>0.50071928853716796</v>
      </c>
      <c r="G825">
        <v>0.23004450276828201</v>
      </c>
      <c r="H825">
        <v>0.18791136478366199</v>
      </c>
      <c r="I825">
        <v>0.19510676571975</v>
      </c>
      <c r="J825">
        <v>0.15987557675879899</v>
      </c>
      <c r="K825">
        <v>0.13145720690861601</v>
      </c>
      <c r="L825">
        <v>1572.1542882993101</v>
      </c>
      <c r="M825">
        <v>30.063474566712902</v>
      </c>
      <c r="N825">
        <v>52.9984695040365</v>
      </c>
      <c r="O825">
        <v>52.064753655235201</v>
      </c>
      <c r="P825">
        <v>-0.120593629414673</v>
      </c>
      <c r="Q825">
        <v>0.164615966938532</v>
      </c>
      <c r="R825">
        <v>0.99646127431409204</v>
      </c>
      <c r="S825" t="s">
        <v>7136</v>
      </c>
      <c r="T825" t="s">
        <v>12620</v>
      </c>
      <c r="U825" t="s">
        <v>12620</v>
      </c>
      <c r="V825" t="s">
        <v>12620</v>
      </c>
      <c r="W825" t="s">
        <v>13419</v>
      </c>
      <c r="X825">
        <v>6</v>
      </c>
      <c r="Y825" t="s">
        <v>19662</v>
      </c>
      <c r="Z825" t="s">
        <v>25772</v>
      </c>
      <c r="AA825">
        <v>0.51230966121910848</v>
      </c>
      <c r="AB825" t="str">
        <f>HYPERLINK("Melting_Curves/meltCurve_K7EJH0_SPC24.pdf", "Melting_Curves/meltCurve_K7EJH0_SPC24.pdf")</f>
        <v>Melting_Curves/meltCurve_K7EJH0_SPC24.pdf</v>
      </c>
    </row>
    <row r="826" spans="1:28" x14ac:dyDescent="0.25">
      <c r="A826" t="s">
        <v>830</v>
      </c>
      <c r="B826">
        <v>0.99987803227770999</v>
      </c>
      <c r="C826">
        <v>1.0535639999401201</v>
      </c>
      <c r="D826">
        <v>1.19486357816241</v>
      </c>
      <c r="E826">
        <v>0.64391415890092196</v>
      </c>
      <c r="F826">
        <v>0.38068316450465001</v>
      </c>
      <c r="G826">
        <v>0.20043822264132</v>
      </c>
      <c r="H826">
        <v>0.16682143015293199</v>
      </c>
      <c r="I826">
        <v>0.13863934859452301</v>
      </c>
      <c r="J826">
        <v>6.4180605081926898E-2</v>
      </c>
      <c r="K826">
        <v>5.7033960243001697E-2</v>
      </c>
      <c r="L826">
        <v>1547.05231656823</v>
      </c>
      <c r="M826">
        <v>30.211077552120798</v>
      </c>
      <c r="N826">
        <v>51.661945246139702</v>
      </c>
      <c r="O826">
        <v>50.985317893595301</v>
      </c>
      <c r="P826">
        <v>-0.13087198012874501</v>
      </c>
      <c r="Q826">
        <v>0.116548269106209</v>
      </c>
      <c r="R826">
        <v>0.96139764396687799</v>
      </c>
      <c r="S826" t="s">
        <v>7137</v>
      </c>
      <c r="T826" t="s">
        <v>12620</v>
      </c>
      <c r="U826" t="s">
        <v>12620</v>
      </c>
      <c r="V826" t="s">
        <v>12620</v>
      </c>
      <c r="W826" t="s">
        <v>13420</v>
      </c>
      <c r="X826">
        <v>7</v>
      </c>
      <c r="Y826" t="s">
        <v>19663</v>
      </c>
      <c r="Z826" t="s">
        <v>25773</v>
      </c>
      <c r="AA826">
        <v>0.45210521961790878</v>
      </c>
      <c r="AB826" t="str">
        <f>HYPERLINK("Melting_Curves/meltCurve_K7EK07_H3F3B.pdf", "Melting_Curves/meltCurve_K7EK07_H3F3B.pdf")</f>
        <v>Melting_Curves/meltCurve_K7EK07_H3F3B.pdf</v>
      </c>
    </row>
    <row r="827" spans="1:28" x14ac:dyDescent="0.25">
      <c r="A827" t="s">
        <v>831</v>
      </c>
      <c r="B827">
        <v>0.99987803227770999</v>
      </c>
      <c r="C827">
        <v>1.0676561012691399</v>
      </c>
      <c r="D827">
        <v>0.90776720420716805</v>
      </c>
      <c r="E827">
        <v>0.96856410948587401</v>
      </c>
      <c r="F827">
        <v>1.87255101295644</v>
      </c>
      <c r="G827">
        <v>0.95490091867601901</v>
      </c>
      <c r="H827">
        <v>1.7116259776488201</v>
      </c>
      <c r="I827">
        <v>2.7203386550253801</v>
      </c>
      <c r="J827">
        <v>0.75079259849284696</v>
      </c>
      <c r="K827">
        <v>0.65623378011319899</v>
      </c>
      <c r="L827">
        <v>12799.3366621982</v>
      </c>
      <c r="M827">
        <v>250</v>
      </c>
      <c r="O827">
        <v>51.194076885343897</v>
      </c>
      <c r="P827">
        <v>0.54253611252506495</v>
      </c>
      <c r="Q827">
        <v>1.4443941102551401</v>
      </c>
      <c r="R827">
        <v>0.13453276188920801</v>
      </c>
      <c r="S827" t="s">
        <v>7138</v>
      </c>
      <c r="T827" t="s">
        <v>12620</v>
      </c>
      <c r="U827" t="s">
        <v>12620</v>
      </c>
      <c r="V827" t="s">
        <v>12620</v>
      </c>
      <c r="W827" t="s">
        <v>13421</v>
      </c>
      <c r="X827">
        <v>13</v>
      </c>
      <c r="Y827" t="s">
        <v>19664</v>
      </c>
      <c r="Z827" t="s">
        <v>25774</v>
      </c>
      <c r="AA827">
        <v>1.2784863511611571</v>
      </c>
      <c r="AB827" t="str">
        <f>HYPERLINK("Melting_Curves/meltCurve_K7EK35_STAT5A.pdf", "Melting_Curves/meltCurve_K7EK35_STAT5A.pdf")</f>
        <v>Melting_Curves/meltCurve_K7EK35_STAT5A.pdf</v>
      </c>
    </row>
    <row r="828" spans="1:28" x14ac:dyDescent="0.25">
      <c r="A828" t="s">
        <v>832</v>
      </c>
      <c r="B828">
        <v>0.99987803227770999</v>
      </c>
      <c r="C828">
        <v>0.96982231831214605</v>
      </c>
      <c r="D828">
        <v>0.93980465769172605</v>
      </c>
      <c r="E828">
        <v>0.989168189245756</v>
      </c>
      <c r="F828">
        <v>0.74526813660082902</v>
      </c>
      <c r="G828">
        <v>0.64860567732244201</v>
      </c>
      <c r="H828">
        <v>0.43110185442844001</v>
      </c>
      <c r="I828">
        <v>0.38346937518567198</v>
      </c>
      <c r="J828">
        <v>0.32355675490181601</v>
      </c>
      <c r="K828">
        <v>0.26730628409727603</v>
      </c>
      <c r="L828">
        <v>801.26865555623101</v>
      </c>
      <c r="M828">
        <v>14.008601017166001</v>
      </c>
      <c r="N828">
        <v>59.745423855681103</v>
      </c>
      <c r="O828">
        <v>56.070562233873702</v>
      </c>
      <c r="P828">
        <v>-4.8423248411502799E-2</v>
      </c>
      <c r="Q828">
        <v>0.22483024257741899</v>
      </c>
      <c r="R828">
        <v>0.98268840088578202</v>
      </c>
      <c r="S828" t="s">
        <v>7139</v>
      </c>
      <c r="T828" t="s">
        <v>12620</v>
      </c>
      <c r="U828" t="s">
        <v>12620</v>
      </c>
      <c r="V828" t="s">
        <v>12620</v>
      </c>
      <c r="W828" t="s">
        <v>13422</v>
      </c>
      <c r="X828">
        <v>1</v>
      </c>
      <c r="Y828" t="s">
        <v>19665</v>
      </c>
      <c r="Z828" t="s">
        <v>25775</v>
      </c>
      <c r="AA828">
        <v>0.68148681406140865</v>
      </c>
      <c r="AB828" t="str">
        <f>HYPERLINK("Melting_Curves/meltCurve_K7EK99_LIN37.pdf", "Melting_Curves/meltCurve_K7EK99_LIN37.pdf")</f>
        <v>Melting_Curves/meltCurve_K7EK99_LIN37.pdf</v>
      </c>
    </row>
    <row r="829" spans="1:28" x14ac:dyDescent="0.25">
      <c r="A829" t="s">
        <v>833</v>
      </c>
      <c r="B829">
        <v>0.99987803227770999</v>
      </c>
      <c r="C829">
        <v>1.03275179047537</v>
      </c>
      <c r="D829">
        <v>0.95827148008865504</v>
      </c>
      <c r="E829">
        <v>0.44872486621646201</v>
      </c>
      <c r="F829">
        <v>0.25054779957904799</v>
      </c>
      <c r="G829">
        <v>0.174336634678015</v>
      </c>
      <c r="H829">
        <v>0.121210895792819</v>
      </c>
      <c r="I829">
        <v>0.10379180041960601</v>
      </c>
      <c r="J829">
        <v>7.8343965537206794E-2</v>
      </c>
      <c r="K829">
        <v>5.57717870233004E-2</v>
      </c>
      <c r="L829">
        <v>1504.0606714148</v>
      </c>
      <c r="M829">
        <v>30.392115621550602</v>
      </c>
      <c r="N829">
        <v>49.879859064529299</v>
      </c>
      <c r="O829">
        <v>49.275738886577798</v>
      </c>
      <c r="P829">
        <v>-0.13783867790254101</v>
      </c>
      <c r="Q829">
        <v>0.106075959330833</v>
      </c>
      <c r="R829">
        <v>0.99199573780553396</v>
      </c>
      <c r="S829" t="s">
        <v>7140</v>
      </c>
      <c r="T829" t="s">
        <v>12620</v>
      </c>
      <c r="U829" t="s">
        <v>12620</v>
      </c>
      <c r="V829" t="s">
        <v>12620</v>
      </c>
      <c r="W829" t="s">
        <v>13423</v>
      </c>
      <c r="X829">
        <v>23</v>
      </c>
      <c r="Y829" t="s">
        <v>19666</v>
      </c>
      <c r="Z829" t="s">
        <v>25776</v>
      </c>
      <c r="AA829">
        <v>0.39415095165600261</v>
      </c>
      <c r="AB829" t="str">
        <f>HYPERLINK("Melting_Curves/meltCurve_K7EKE6_LONP1.pdf", "Melting_Curves/meltCurve_K7EKE6_LONP1.pdf")</f>
        <v>Melting_Curves/meltCurve_K7EKE6_LONP1.pdf</v>
      </c>
    </row>
    <row r="830" spans="1:28" x14ac:dyDescent="0.25">
      <c r="A830" t="s">
        <v>834</v>
      </c>
      <c r="B830">
        <v>0.99987803227770999</v>
      </c>
      <c r="C830">
        <v>1.2598685502465601</v>
      </c>
      <c r="D830">
        <v>1.10733181490609</v>
      </c>
      <c r="E830">
        <v>1.2321489633943601</v>
      </c>
      <c r="F830">
        <v>1.24686884785812</v>
      </c>
      <c r="G830">
        <v>0.98979585484152799</v>
      </c>
      <c r="H830">
        <v>0.62060940025476097</v>
      </c>
      <c r="I830">
        <v>0.437903395454734</v>
      </c>
      <c r="J830">
        <v>0.43133637248504703</v>
      </c>
      <c r="K830">
        <v>0.29127642057816899</v>
      </c>
      <c r="L830">
        <v>2804.3619834753699</v>
      </c>
      <c r="M830">
        <v>46.266295257066098</v>
      </c>
      <c r="N830">
        <v>62.366478954673603</v>
      </c>
      <c r="O830">
        <v>60.500583136434599</v>
      </c>
      <c r="P830">
        <v>-0.12163060704506801</v>
      </c>
      <c r="Q830">
        <v>0.36379482394200502</v>
      </c>
      <c r="R830">
        <v>0.84117928131615605</v>
      </c>
      <c r="S830" t="s">
        <v>7141</v>
      </c>
      <c r="T830" t="s">
        <v>12620</v>
      </c>
      <c r="U830" t="s">
        <v>12620</v>
      </c>
      <c r="V830" t="s">
        <v>12620</v>
      </c>
      <c r="W830" t="s">
        <v>13424</v>
      </c>
      <c r="X830">
        <v>1</v>
      </c>
      <c r="Y830" t="s">
        <v>19667</v>
      </c>
      <c r="Z830" t="s">
        <v>25777</v>
      </c>
      <c r="AA830">
        <v>0.8028516044120384</v>
      </c>
      <c r="AB830" t="str">
        <f>HYPERLINK("Melting_Curves/meltCurve_K7EKG9_ATXN7L3.pdf", "Melting_Curves/meltCurve_K7EKG9_ATXN7L3.pdf")</f>
        <v>Melting_Curves/meltCurve_K7EKG9_ATXN7L3.pdf</v>
      </c>
    </row>
    <row r="831" spans="1:28" x14ac:dyDescent="0.25">
      <c r="A831" t="s">
        <v>835</v>
      </c>
      <c r="B831">
        <v>0.99987803227770999</v>
      </c>
      <c r="C831">
        <v>1.1828798449236999</v>
      </c>
      <c r="D831">
        <v>1.1007565214892701</v>
      </c>
      <c r="E831">
        <v>0.94810845659355603</v>
      </c>
      <c r="F831">
        <v>0.685819239887557</v>
      </c>
      <c r="G831">
        <v>0.63555635280352096</v>
      </c>
      <c r="H831">
        <v>0.66660925215983302</v>
      </c>
      <c r="I831">
        <v>0.57379387508872204</v>
      </c>
      <c r="J831">
        <v>0.55606525800762996</v>
      </c>
      <c r="K831">
        <v>0.45602653965457401</v>
      </c>
      <c r="L831">
        <v>2506.0206881957001</v>
      </c>
      <c r="M831">
        <v>48.238506067088402</v>
      </c>
      <c r="O831">
        <v>51.861580727920597</v>
      </c>
      <c r="P831">
        <v>-9.8763398698748006E-2</v>
      </c>
      <c r="Q831">
        <v>0.57527532542881998</v>
      </c>
      <c r="R831">
        <v>0.88027564312998097</v>
      </c>
      <c r="S831" t="s">
        <v>7142</v>
      </c>
      <c r="T831" t="s">
        <v>12620</v>
      </c>
      <c r="U831" t="s">
        <v>12620</v>
      </c>
      <c r="V831" t="s">
        <v>12620</v>
      </c>
      <c r="W831" t="s">
        <v>13425</v>
      </c>
      <c r="X831">
        <v>4</v>
      </c>
      <c r="Y831" t="s">
        <v>19668</v>
      </c>
      <c r="Z831" t="s">
        <v>25778</v>
      </c>
      <c r="AA831">
        <v>0.74551220399324469</v>
      </c>
      <c r="AB831" t="str">
        <f>HYPERLINK("Melting_Curves/meltCurve_K7EKI8_PPL.pdf", "Melting_Curves/meltCurve_K7EKI8_PPL.pdf")</f>
        <v>Melting_Curves/meltCurve_K7EKI8_PPL.pdf</v>
      </c>
    </row>
    <row r="832" spans="1:28" x14ac:dyDescent="0.25">
      <c r="A832" t="s">
        <v>836</v>
      </c>
      <c r="B832">
        <v>0.99987803227770999</v>
      </c>
      <c r="C832">
        <v>0.88774655306994199</v>
      </c>
      <c r="D832">
        <v>1.97461332321622</v>
      </c>
      <c r="E832">
        <v>0.94247403271485297</v>
      </c>
      <c r="F832">
        <v>0.74825422060650904</v>
      </c>
      <c r="G832">
        <v>0.67055502879875395</v>
      </c>
      <c r="H832">
        <v>0.54888155408169503</v>
      </c>
      <c r="I832">
        <v>0.64729225183929395</v>
      </c>
      <c r="J832">
        <v>0.67043463715100504</v>
      </c>
      <c r="K832">
        <v>0.460830553640448</v>
      </c>
      <c r="L832">
        <v>2455.4766079777701</v>
      </c>
      <c r="M832">
        <v>46.790878268864297</v>
      </c>
      <c r="O832">
        <v>52.382091802887203</v>
      </c>
      <c r="P832">
        <v>-9.0087037051022306E-2</v>
      </c>
      <c r="Q832">
        <v>0.59659297882900097</v>
      </c>
      <c r="R832">
        <v>0.39759851854616601</v>
      </c>
      <c r="S832" t="s">
        <v>7143</v>
      </c>
      <c r="T832" t="s">
        <v>12620</v>
      </c>
      <c r="U832" t="s">
        <v>12620</v>
      </c>
      <c r="V832" t="s">
        <v>12620</v>
      </c>
      <c r="W832" t="s">
        <v>13226</v>
      </c>
      <c r="X832">
        <v>2</v>
      </c>
      <c r="Z832" t="s">
        <v>25779</v>
      </c>
      <c r="AA832">
        <v>0.76544598518751805</v>
      </c>
      <c r="AB832" t="str">
        <f>HYPERLINK("Melting_Curves/meltCurve_K7EKZ2_.pdf", "Melting_Curves/meltCurve_K7EKZ2_.pdf")</f>
        <v>Melting_Curves/meltCurve_K7EKZ2_.pdf</v>
      </c>
    </row>
    <row r="833" spans="1:28" x14ac:dyDescent="0.25">
      <c r="A833" t="s">
        <v>837</v>
      </c>
      <c r="B833">
        <v>0.99987803227770999</v>
      </c>
      <c r="C833">
        <v>0.69429377772447498</v>
      </c>
      <c r="D833">
        <v>0.89431583161156702</v>
      </c>
      <c r="E833">
        <v>0.46591851932224898</v>
      </c>
      <c r="F833">
        <v>0.48403741055029398</v>
      </c>
      <c r="G833">
        <v>0.53385706522398602</v>
      </c>
      <c r="H833">
        <v>0.49163293292304</v>
      </c>
      <c r="I833">
        <v>0.33160330630948598</v>
      </c>
      <c r="J833">
        <v>0.352600218856987</v>
      </c>
      <c r="K833">
        <v>0.29599330905178101</v>
      </c>
      <c r="L833">
        <v>445.75958958242899</v>
      </c>
      <c r="M833">
        <v>9.2286015505442194</v>
      </c>
      <c r="N833">
        <v>53.923109346904099</v>
      </c>
      <c r="O833">
        <v>46.196359358210998</v>
      </c>
      <c r="P833">
        <v>-3.4535845016440997E-2</v>
      </c>
      <c r="Q833">
        <v>0.30894082849882998</v>
      </c>
      <c r="R833">
        <v>0.81384403602695798</v>
      </c>
      <c r="S833" t="s">
        <v>7144</v>
      </c>
      <c r="T833" t="s">
        <v>12620</v>
      </c>
      <c r="U833" t="s">
        <v>12620</v>
      </c>
      <c r="V833" t="s">
        <v>12620</v>
      </c>
      <c r="W833" t="s">
        <v>13426</v>
      </c>
      <c r="X833">
        <v>2</v>
      </c>
      <c r="Y833" t="s">
        <v>19669</v>
      </c>
      <c r="Z833" t="s">
        <v>25780</v>
      </c>
      <c r="AA833">
        <v>0.54043010906589084</v>
      </c>
      <c r="AB833" t="str">
        <f>HYPERLINK("Melting_Curves/meltCurve_K7ELW5_PTBP1.pdf", "Melting_Curves/meltCurve_K7ELW5_PTBP1.pdf")</f>
        <v>Melting_Curves/meltCurve_K7ELW5_PTBP1.pdf</v>
      </c>
    </row>
    <row r="834" spans="1:28" x14ac:dyDescent="0.25">
      <c r="A834" t="s">
        <v>838</v>
      </c>
      <c r="B834">
        <v>0.99987803227770999</v>
      </c>
      <c r="C834">
        <v>0.91023881039819399</v>
      </c>
      <c r="D834">
        <v>0.97496668696196198</v>
      </c>
      <c r="E834">
        <v>1.0326454562648799</v>
      </c>
      <c r="F834">
        <v>0.94534819644093204</v>
      </c>
      <c r="G834">
        <v>0.85672368676283095</v>
      </c>
      <c r="H834">
        <v>0.77522710072154899</v>
      </c>
      <c r="I834">
        <v>0.65789407398917699</v>
      </c>
      <c r="J834">
        <v>0.51933794104719999</v>
      </c>
      <c r="K834">
        <v>0.454957883712233</v>
      </c>
      <c r="L834">
        <v>777.90107860697594</v>
      </c>
      <c r="M834">
        <v>11.8980579030061</v>
      </c>
      <c r="N834">
        <v>68.199365299487795</v>
      </c>
      <c r="O834">
        <v>63.615667532545402</v>
      </c>
      <c r="P834">
        <v>-3.7685201448036498E-2</v>
      </c>
      <c r="Q834">
        <v>0.19423084953870501</v>
      </c>
      <c r="R834">
        <v>0.96720320412003602</v>
      </c>
      <c r="S834" t="s">
        <v>7145</v>
      </c>
      <c r="T834" t="s">
        <v>12620</v>
      </c>
      <c r="U834" t="s">
        <v>12620</v>
      </c>
      <c r="V834" t="s">
        <v>12620</v>
      </c>
      <c r="W834" t="s">
        <v>13427</v>
      </c>
      <c r="X834">
        <v>2</v>
      </c>
      <c r="Y834" t="s">
        <v>19670</v>
      </c>
      <c r="Z834" t="s">
        <v>25781</v>
      </c>
      <c r="AA834">
        <v>0.8397231365871185</v>
      </c>
      <c r="AB834" t="str">
        <f>HYPERLINK("Melting_Curves/meltCurve_K7ELY2_STX10.pdf", "Melting_Curves/meltCurve_K7ELY2_STX10.pdf")</f>
        <v>Melting_Curves/meltCurve_K7ELY2_STX10.pdf</v>
      </c>
    </row>
    <row r="835" spans="1:28" x14ac:dyDescent="0.25">
      <c r="A835" t="s">
        <v>839</v>
      </c>
      <c r="B835">
        <v>0.99987803227770999</v>
      </c>
      <c r="C835">
        <v>0.90396887515665703</v>
      </c>
      <c r="D835">
        <v>0.87273869000307402</v>
      </c>
      <c r="E835">
        <v>1.49069503602334</v>
      </c>
      <c r="F835">
        <v>1.0948806385721499</v>
      </c>
      <c r="G835">
        <v>1.3799605446843499</v>
      </c>
      <c r="H835">
        <v>1.0652866522554501</v>
      </c>
      <c r="I835">
        <v>1.1526155044977899</v>
      </c>
      <c r="J835">
        <v>1.0504753756084999</v>
      </c>
      <c r="K835">
        <v>0.12966177878073101</v>
      </c>
      <c r="L835">
        <v>15000</v>
      </c>
      <c r="M835">
        <v>216.18784783522</v>
      </c>
      <c r="N835">
        <v>69.384108993572198</v>
      </c>
      <c r="O835">
        <v>69.378166078740904</v>
      </c>
      <c r="P835">
        <v>-0.77901975729204298</v>
      </c>
      <c r="Q835">
        <v>0</v>
      </c>
      <c r="R835">
        <v>0.62685001477828695</v>
      </c>
      <c r="S835" t="s">
        <v>7146</v>
      </c>
      <c r="T835" t="s">
        <v>12620</v>
      </c>
      <c r="U835" t="s">
        <v>12620</v>
      </c>
      <c r="V835" t="s">
        <v>12620</v>
      </c>
      <c r="W835" t="s">
        <v>13428</v>
      </c>
      <c r="X835">
        <v>1</v>
      </c>
      <c r="Y835" t="s">
        <v>19671</v>
      </c>
      <c r="Z835" t="s">
        <v>25782</v>
      </c>
      <c r="AA835">
        <v>0.97810336690340427</v>
      </c>
      <c r="AB835" t="str">
        <f>HYPERLINK("Melting_Curves/meltCurve_K7EM02_KATNAL2.pdf", "Melting_Curves/meltCurve_K7EM02_KATNAL2.pdf")</f>
        <v>Melting_Curves/meltCurve_K7EM02_KATNAL2.pdf</v>
      </c>
    </row>
    <row r="836" spans="1:28" x14ac:dyDescent="0.25">
      <c r="A836" t="s">
        <v>840</v>
      </c>
      <c r="B836">
        <v>0.99987803227770999</v>
      </c>
      <c r="C836">
        <v>1.0461194258098001</v>
      </c>
      <c r="D836">
        <v>0.91816246168182603</v>
      </c>
      <c r="E836">
        <v>0.94678396207826099</v>
      </c>
      <c r="F836">
        <v>0.52847573275883797</v>
      </c>
      <c r="G836">
        <v>0.31048086510279099</v>
      </c>
      <c r="H836">
        <v>0.18063521136795699</v>
      </c>
      <c r="I836">
        <v>0.19348120167340299</v>
      </c>
      <c r="J836">
        <v>0.16748998389216699</v>
      </c>
      <c r="K836">
        <v>0.110071061106278</v>
      </c>
      <c r="L836">
        <v>1589.0513968442799</v>
      </c>
      <c r="M836">
        <v>29.994918283724498</v>
      </c>
      <c r="N836">
        <v>53.695996956709699</v>
      </c>
      <c r="O836">
        <v>52.7435360915605</v>
      </c>
      <c r="P836">
        <v>-0.118669803834436</v>
      </c>
      <c r="Q836">
        <v>0.165321829429633</v>
      </c>
      <c r="R836">
        <v>0.98475599707308803</v>
      </c>
      <c r="S836" t="s">
        <v>7147</v>
      </c>
      <c r="T836" t="s">
        <v>12620</v>
      </c>
      <c r="U836" t="s">
        <v>12620</v>
      </c>
      <c r="V836" t="s">
        <v>12620</v>
      </c>
      <c r="W836" t="s">
        <v>13429</v>
      </c>
      <c r="X836">
        <v>3</v>
      </c>
      <c r="Y836" t="s">
        <v>19672</v>
      </c>
      <c r="Z836" t="s">
        <v>25783</v>
      </c>
      <c r="AA836">
        <v>0.53179859850602618</v>
      </c>
      <c r="AB836" t="str">
        <f>HYPERLINK("Melting_Curves/meltCurve_K7EMV5_ZNF444.pdf", "Melting_Curves/meltCurve_K7EMV5_ZNF444.pdf")</f>
        <v>Melting_Curves/meltCurve_K7EMV5_ZNF444.pdf</v>
      </c>
    </row>
    <row r="837" spans="1:28" x14ac:dyDescent="0.25">
      <c r="A837" t="s">
        <v>841</v>
      </c>
      <c r="B837">
        <v>0.99987803227770999</v>
      </c>
      <c r="C837">
        <v>1.0749635412354901</v>
      </c>
      <c r="D837">
        <v>0.87626486326441999</v>
      </c>
      <c r="E837">
        <v>0.74291996337390898</v>
      </c>
      <c r="F837">
        <v>0.71565983516542198</v>
      </c>
      <c r="G837">
        <v>0.47336193813850402</v>
      </c>
      <c r="H837">
        <v>0.42017670489748998</v>
      </c>
      <c r="I837">
        <v>0.29612188406768802</v>
      </c>
      <c r="J837">
        <v>0.39866765165472701</v>
      </c>
      <c r="K837">
        <v>0.31071576837306703</v>
      </c>
      <c r="L837">
        <v>722.461950146346</v>
      </c>
      <c r="M837">
        <v>13.605589716521401</v>
      </c>
      <c r="N837">
        <v>56.901389308360301</v>
      </c>
      <c r="O837">
        <v>51.992638159539297</v>
      </c>
      <c r="P837">
        <v>-4.5898992623445302E-2</v>
      </c>
      <c r="Q837">
        <v>0.29850693726316602</v>
      </c>
      <c r="R837">
        <v>0.96325345541111895</v>
      </c>
      <c r="S837" t="s">
        <v>7148</v>
      </c>
      <c r="T837" t="s">
        <v>12620</v>
      </c>
      <c r="U837" t="s">
        <v>12620</v>
      </c>
      <c r="V837" t="s">
        <v>12620</v>
      </c>
      <c r="W837" t="s">
        <v>13430</v>
      </c>
      <c r="X837">
        <v>13</v>
      </c>
      <c r="Y837" t="s">
        <v>19673</v>
      </c>
      <c r="Z837" t="s">
        <v>25784</v>
      </c>
      <c r="AA837">
        <v>0.62192602753241133</v>
      </c>
      <c r="AB837" t="str">
        <f>HYPERLINK("Melting_Curves/meltCurve_K7EMZ9_LSM14A.pdf", "Melting_Curves/meltCurve_K7EMZ9_LSM14A.pdf")</f>
        <v>Melting_Curves/meltCurve_K7EMZ9_LSM14A.pdf</v>
      </c>
    </row>
    <row r="838" spans="1:28" x14ac:dyDescent="0.25">
      <c r="A838" t="s">
        <v>842</v>
      </c>
      <c r="B838">
        <v>0.99987803227770999</v>
      </c>
      <c r="C838">
        <v>0.96597517972788705</v>
      </c>
      <c r="D838">
        <v>1.0197577091794301</v>
      </c>
      <c r="E838">
        <v>1.02290460533664</v>
      </c>
      <c r="F838">
        <v>1.0988520916754201</v>
      </c>
      <c r="G838">
        <v>0.89711811802779795</v>
      </c>
      <c r="H838">
        <v>0.76348196038437599</v>
      </c>
      <c r="I838">
        <v>0.63513120638758602</v>
      </c>
      <c r="J838">
        <v>0.55320319615181401</v>
      </c>
      <c r="K838">
        <v>0.41209357108983802</v>
      </c>
      <c r="L838">
        <v>1198.1476191910699</v>
      </c>
      <c r="M838">
        <v>18.9508266170462</v>
      </c>
      <c r="N838">
        <v>67.448882043639102</v>
      </c>
      <c r="O838">
        <v>62.532665541342197</v>
      </c>
      <c r="P838">
        <v>-4.94424338117316E-2</v>
      </c>
      <c r="Q838">
        <v>0.34743920367178599</v>
      </c>
      <c r="R838">
        <v>0.96131692104050903</v>
      </c>
      <c r="S838" t="s">
        <v>7149</v>
      </c>
      <c r="T838" t="s">
        <v>12620</v>
      </c>
      <c r="U838" t="s">
        <v>12620</v>
      </c>
      <c r="V838" t="s">
        <v>12620</v>
      </c>
      <c r="W838" t="s">
        <v>13431</v>
      </c>
      <c r="X838">
        <v>1</v>
      </c>
      <c r="Y838" t="s">
        <v>19674</v>
      </c>
      <c r="Z838" t="s">
        <v>25785</v>
      </c>
      <c r="AA838">
        <v>0.85057964739625036</v>
      </c>
      <c r="AB838" t="str">
        <f>HYPERLINK("Melting_Curves/meltCurve_K7EN05_ELOF1.pdf", "Melting_Curves/meltCurve_K7EN05_ELOF1.pdf")</f>
        <v>Melting_Curves/meltCurve_K7EN05_ELOF1.pdf</v>
      </c>
    </row>
    <row r="839" spans="1:28" x14ac:dyDescent="0.25">
      <c r="A839" t="s">
        <v>843</v>
      </c>
      <c r="B839">
        <v>0.99987803227770999</v>
      </c>
      <c r="C839">
        <v>0.980572470924018</v>
      </c>
      <c r="D839">
        <v>0.83597656266200904</v>
      </c>
      <c r="E839">
        <v>0.82290697753451103</v>
      </c>
      <c r="F839">
        <v>0.32543418129794099</v>
      </c>
      <c r="G839">
        <v>0.14303844773100899</v>
      </c>
      <c r="H839">
        <v>4.8334150099573099E-2</v>
      </c>
      <c r="I839">
        <v>2.0145771810091001E-2</v>
      </c>
      <c r="J839">
        <v>5.6004044213626501E-2</v>
      </c>
      <c r="K839">
        <v>4.1540774726050798E-2</v>
      </c>
      <c r="L839">
        <v>1632.0887148414899</v>
      </c>
      <c r="M839">
        <v>31.479984565238698</v>
      </c>
      <c r="N839">
        <v>52.001462284874698</v>
      </c>
      <c r="O839">
        <v>51.637424744313002</v>
      </c>
      <c r="P839">
        <v>-0.145534928564335</v>
      </c>
      <c r="Q839">
        <v>4.5106665974035398E-2</v>
      </c>
      <c r="R839">
        <v>0.98238394916787697</v>
      </c>
      <c r="S839" t="s">
        <v>7150</v>
      </c>
      <c r="T839" t="s">
        <v>12620</v>
      </c>
      <c r="U839" t="s">
        <v>12620</v>
      </c>
      <c r="V839" t="s">
        <v>12620</v>
      </c>
      <c r="W839" t="s">
        <v>13432</v>
      </c>
      <c r="X839">
        <v>5</v>
      </c>
      <c r="Y839" t="s">
        <v>19675</v>
      </c>
      <c r="Z839" t="s">
        <v>25786</v>
      </c>
      <c r="AA839">
        <v>0.42766949410648147</v>
      </c>
      <c r="AB839" t="str">
        <f>HYPERLINK("Melting_Curves/meltCurve_K7EN88_hCG_2039718.pdf", "Melting_Curves/meltCurve_K7EN88_hCG_2039718.pdf")</f>
        <v>Melting_Curves/meltCurve_K7EN88_hCG_2039718.pdf</v>
      </c>
    </row>
    <row r="840" spans="1:28" x14ac:dyDescent="0.25">
      <c r="A840" t="s">
        <v>844</v>
      </c>
      <c r="B840">
        <v>0.99987803227770999</v>
      </c>
      <c r="C840">
        <v>1.06273190652399</v>
      </c>
      <c r="D840">
        <v>1.0052219662078901</v>
      </c>
      <c r="E840">
        <v>0.83760136361256698</v>
      </c>
      <c r="F840">
        <v>0.43844926229363501</v>
      </c>
      <c r="G840">
        <v>0.29017092935719102</v>
      </c>
      <c r="H840">
        <v>0.271113878990691</v>
      </c>
      <c r="I840">
        <v>0.24281151522515701</v>
      </c>
      <c r="J840">
        <v>0.23363687628323199</v>
      </c>
      <c r="K840">
        <v>0.178309223387739</v>
      </c>
      <c r="L840">
        <v>1972.6200164946299</v>
      </c>
      <c r="M840">
        <v>38.181917249974397</v>
      </c>
      <c r="N840">
        <v>52.548687831797103</v>
      </c>
      <c r="O840">
        <v>51.522615894305702</v>
      </c>
      <c r="P840">
        <v>-0.14133243542062099</v>
      </c>
      <c r="Q840">
        <v>0.23714688295678099</v>
      </c>
      <c r="R840">
        <v>0.99213980819895797</v>
      </c>
      <c r="S840" t="s">
        <v>7151</v>
      </c>
      <c r="T840" t="s">
        <v>12620</v>
      </c>
      <c r="U840" t="s">
        <v>12620</v>
      </c>
      <c r="V840" t="s">
        <v>12620</v>
      </c>
      <c r="W840" t="s">
        <v>13433</v>
      </c>
      <c r="X840">
        <v>3</v>
      </c>
      <c r="Y840" t="s">
        <v>19676</v>
      </c>
      <c r="Z840" t="s">
        <v>25787</v>
      </c>
      <c r="AA840">
        <v>0.53672768362064716</v>
      </c>
      <c r="AB840" t="str">
        <f>HYPERLINK("Melting_Curves/meltCurve_K7ENF0_NARS.pdf", "Melting_Curves/meltCurve_K7ENF0_NARS.pdf")</f>
        <v>Melting_Curves/meltCurve_K7ENF0_NARS.pdf</v>
      </c>
    </row>
    <row r="841" spans="1:28" x14ac:dyDescent="0.25">
      <c r="A841" t="s">
        <v>845</v>
      </c>
      <c r="B841">
        <v>0.99987803227770999</v>
      </c>
      <c r="C841">
        <v>1.0947248502020701</v>
      </c>
      <c r="D841">
        <v>0.92536115820050302</v>
      </c>
      <c r="E841">
        <v>0.96001085945517495</v>
      </c>
      <c r="F841">
        <v>0.33940937474591898</v>
      </c>
      <c r="G841">
        <v>0.22111495132360201</v>
      </c>
      <c r="H841">
        <v>0.13312096814275501</v>
      </c>
      <c r="I841">
        <v>9.7624680982526996E-2</v>
      </c>
      <c r="J841">
        <v>7.6798139212645999E-2</v>
      </c>
      <c r="K841">
        <v>5.42786009405914E-2</v>
      </c>
      <c r="L841">
        <v>3439.2372393994901</v>
      </c>
      <c r="M841">
        <v>65.946569452903404</v>
      </c>
      <c r="N841">
        <v>52.360040700704701</v>
      </c>
      <c r="O841">
        <v>52.103980601850402</v>
      </c>
      <c r="P841">
        <v>-0.27993303678405501</v>
      </c>
      <c r="Q841">
        <v>0.115306731680496</v>
      </c>
      <c r="R841">
        <v>0.98252653534284895</v>
      </c>
      <c r="S841" t="s">
        <v>7152</v>
      </c>
      <c r="T841" t="s">
        <v>12620</v>
      </c>
      <c r="U841" t="s">
        <v>12620</v>
      </c>
      <c r="V841" t="s">
        <v>12620</v>
      </c>
      <c r="W841" t="s">
        <v>13434</v>
      </c>
      <c r="X841">
        <v>7</v>
      </c>
      <c r="Y841" t="s">
        <v>19677</v>
      </c>
      <c r="Z841" t="s">
        <v>25788</v>
      </c>
      <c r="AA841">
        <v>0.47482993367266668</v>
      </c>
      <c r="AB841" t="str">
        <f>HYPERLINK("Melting_Curves/meltCurve_K7ENL9_C18orf8.pdf", "Melting_Curves/meltCurve_K7ENL9_C18orf8.pdf")</f>
        <v>Melting_Curves/meltCurve_K7ENL9_C18orf8.pdf</v>
      </c>
    </row>
    <row r="842" spans="1:28" x14ac:dyDescent="0.25">
      <c r="A842" t="s">
        <v>846</v>
      </c>
      <c r="B842">
        <v>0.99987803227770999</v>
      </c>
      <c r="C842">
        <v>0.92782873004376398</v>
      </c>
      <c r="D842">
        <v>0.933243988881297</v>
      </c>
      <c r="E842">
        <v>0.88174776405629995</v>
      </c>
      <c r="F842">
        <v>0.80765641012947298</v>
      </c>
      <c r="G842">
        <v>0.59032493696205701</v>
      </c>
      <c r="H842">
        <v>0.486981219346584</v>
      </c>
      <c r="I842">
        <v>0.46151804136861702</v>
      </c>
      <c r="J842">
        <v>0.38694306210511198</v>
      </c>
      <c r="K842">
        <v>0.351016322246548</v>
      </c>
      <c r="L842">
        <v>644.10464262766004</v>
      </c>
      <c r="M842">
        <v>11.3986426288691</v>
      </c>
      <c r="N842">
        <v>61.026748237826197</v>
      </c>
      <c r="O842">
        <v>54.851808624974801</v>
      </c>
      <c r="P842">
        <v>-3.7154283783295897E-2</v>
      </c>
      <c r="Q842">
        <v>0.28504461741649101</v>
      </c>
      <c r="R842">
        <v>0.987955417620071</v>
      </c>
      <c r="S842" t="s">
        <v>7153</v>
      </c>
      <c r="T842" t="s">
        <v>12620</v>
      </c>
      <c r="U842" t="s">
        <v>12620</v>
      </c>
      <c r="V842" t="s">
        <v>12620</v>
      </c>
      <c r="W842" t="s">
        <v>13435</v>
      </c>
      <c r="X842">
        <v>3</v>
      </c>
      <c r="Y842" t="s">
        <v>19678</v>
      </c>
      <c r="Z842" t="s">
        <v>25789</v>
      </c>
      <c r="AA842">
        <v>0.69186136693525779</v>
      </c>
      <c r="AB842" t="str">
        <f>HYPERLINK("Melting_Curves/meltCurve_K7ENW0_GGNBP2.pdf", "Melting_Curves/meltCurve_K7ENW0_GGNBP2.pdf")</f>
        <v>Melting_Curves/meltCurve_K7ENW0_GGNBP2.pdf</v>
      </c>
    </row>
    <row r="843" spans="1:28" x14ac:dyDescent="0.25">
      <c r="A843" t="s">
        <v>847</v>
      </c>
      <c r="B843">
        <v>0.99987803227770999</v>
      </c>
      <c r="C843">
        <v>0.76041875912176304</v>
      </c>
      <c r="D843">
        <v>0.56989003243772096</v>
      </c>
      <c r="E843">
        <v>0.46012361606635299</v>
      </c>
      <c r="F843">
        <v>0.40968148674120097</v>
      </c>
      <c r="G843">
        <v>0.282197682711751</v>
      </c>
      <c r="H843">
        <v>0.284270141517171</v>
      </c>
      <c r="I843">
        <v>0.26363114196439302</v>
      </c>
      <c r="J843">
        <v>0.34799307496818399</v>
      </c>
      <c r="K843">
        <v>0.28759509521480597</v>
      </c>
      <c r="L843">
        <v>719.19674430406599</v>
      </c>
      <c r="M843">
        <v>15.8803552111922</v>
      </c>
      <c r="N843">
        <v>47.975067188313098</v>
      </c>
      <c r="O843">
        <v>44.5885489369469</v>
      </c>
      <c r="P843">
        <v>-6.2819061285189604E-2</v>
      </c>
      <c r="Q843">
        <v>0.294528489902319</v>
      </c>
      <c r="R843">
        <v>0.96648138313807297</v>
      </c>
      <c r="S843" t="s">
        <v>7154</v>
      </c>
      <c r="T843" t="s">
        <v>12620</v>
      </c>
      <c r="U843" t="s">
        <v>12620</v>
      </c>
      <c r="V843" t="s">
        <v>12620</v>
      </c>
      <c r="W843" t="s">
        <v>13436</v>
      </c>
      <c r="X843">
        <v>3</v>
      </c>
      <c r="Y843" t="s">
        <v>19679</v>
      </c>
      <c r="Z843" t="s">
        <v>25790</v>
      </c>
      <c r="AA843">
        <v>0.43835991765021992</v>
      </c>
      <c r="AB843" t="str">
        <f>HYPERLINK("Melting_Curves/meltCurve_K7EP32_UBXN6.pdf", "Melting_Curves/meltCurve_K7EP32_UBXN6.pdf")</f>
        <v>Melting_Curves/meltCurve_K7EP32_UBXN6.pdf</v>
      </c>
    </row>
    <row r="844" spans="1:28" x14ac:dyDescent="0.25">
      <c r="A844" t="s">
        <v>848</v>
      </c>
      <c r="B844">
        <v>0.99987803227770999</v>
      </c>
      <c r="C844">
        <v>0.99136283956609605</v>
      </c>
      <c r="D844">
        <v>1.0734129176945699</v>
      </c>
      <c r="E844">
        <v>0.96468566719230397</v>
      </c>
      <c r="F844">
        <v>0.94731366549249796</v>
      </c>
      <c r="G844">
        <v>0.79411396346749497</v>
      </c>
      <c r="H844">
        <v>0.48023810060983202</v>
      </c>
      <c r="I844">
        <v>0.40136207742476498</v>
      </c>
      <c r="J844">
        <v>0.13406661845713899</v>
      </c>
      <c r="K844">
        <v>8.2914122792407299E-2</v>
      </c>
      <c r="L844">
        <v>1092.1400471209399</v>
      </c>
      <c r="M844">
        <v>17.8200134679341</v>
      </c>
      <c r="N844">
        <v>61.2872750790509</v>
      </c>
      <c r="O844">
        <v>60.531096824804898</v>
      </c>
      <c r="P844">
        <v>-7.3602358710319907E-2</v>
      </c>
      <c r="Q844">
        <v>0</v>
      </c>
      <c r="R844">
        <v>0.98696130333273902</v>
      </c>
      <c r="S844" t="s">
        <v>7155</v>
      </c>
      <c r="T844" t="s">
        <v>12620</v>
      </c>
      <c r="U844" t="s">
        <v>12620</v>
      </c>
      <c r="V844" t="s">
        <v>12620</v>
      </c>
      <c r="W844" t="s">
        <v>13437</v>
      </c>
      <c r="X844">
        <v>3</v>
      </c>
      <c r="Y844" t="s">
        <v>19680</v>
      </c>
      <c r="Z844" t="s">
        <v>25791</v>
      </c>
      <c r="AA844">
        <v>0.71374152516846323</v>
      </c>
      <c r="AB844" t="str">
        <f>HYPERLINK("Melting_Curves/meltCurve_K7EPS8_C19orf12.pdf", "Melting_Curves/meltCurve_K7EPS8_C19orf12.pdf")</f>
        <v>Melting_Curves/meltCurve_K7EPS8_C19orf12.pdf</v>
      </c>
    </row>
    <row r="845" spans="1:28" x14ac:dyDescent="0.25">
      <c r="A845" t="s">
        <v>849</v>
      </c>
      <c r="B845">
        <v>0.99987803227770999</v>
      </c>
      <c r="C845">
        <v>0.90863855175462704</v>
      </c>
      <c r="D845">
        <v>0.91025328584113296</v>
      </c>
      <c r="E845">
        <v>0.94672984417349204</v>
      </c>
      <c r="F845">
        <v>0.99075680118707699</v>
      </c>
      <c r="G845">
        <v>0.67590366882898001</v>
      </c>
      <c r="H845">
        <v>0.70041209922176095</v>
      </c>
      <c r="I845">
        <v>0.92937746500504703</v>
      </c>
      <c r="J845">
        <v>0.61438250544231099</v>
      </c>
      <c r="K845">
        <v>0.44172655977539499</v>
      </c>
      <c r="L845">
        <v>425.36261707820699</v>
      </c>
      <c r="M845">
        <v>5.86860659795415</v>
      </c>
      <c r="O845">
        <v>65.398545426418394</v>
      </c>
      <c r="P845">
        <v>-2.2512618233052201E-2</v>
      </c>
      <c r="Q845">
        <v>0</v>
      </c>
      <c r="R845">
        <v>0.64239522797537596</v>
      </c>
      <c r="S845" t="s">
        <v>7156</v>
      </c>
      <c r="T845" t="s">
        <v>12620</v>
      </c>
      <c r="U845" t="s">
        <v>12620</v>
      </c>
      <c r="V845" t="s">
        <v>12620</v>
      </c>
      <c r="W845" t="s">
        <v>13438</v>
      </c>
      <c r="X845">
        <v>4</v>
      </c>
      <c r="Y845" t="s">
        <v>19681</v>
      </c>
      <c r="Z845" t="s">
        <v>25792</v>
      </c>
      <c r="AA845">
        <v>0.83114043203222232</v>
      </c>
      <c r="AB845" t="str">
        <f>HYPERLINK("Melting_Curves/meltCurve_K7EQU4_SAFB2.pdf", "Melting_Curves/meltCurve_K7EQU4_SAFB2.pdf")</f>
        <v>Melting_Curves/meltCurve_K7EQU4_SAFB2.pdf</v>
      </c>
    </row>
    <row r="846" spans="1:28" x14ac:dyDescent="0.25">
      <c r="A846" t="s">
        <v>850</v>
      </c>
      <c r="B846">
        <v>0.99987803227770999</v>
      </c>
      <c r="C846">
        <v>1.1447675452422601</v>
      </c>
      <c r="D846">
        <v>1.2230286292300201</v>
      </c>
      <c r="E846">
        <v>1.05558466144244</v>
      </c>
      <c r="F846">
        <v>0.99674529344275997</v>
      </c>
      <c r="G846">
        <v>0.81617902359872596</v>
      </c>
      <c r="H846">
        <v>0.69876619647468796</v>
      </c>
      <c r="I846">
        <v>0.83439641837962797</v>
      </c>
      <c r="J846">
        <v>0.33674716025374402</v>
      </c>
      <c r="K846">
        <v>0.34464375779308498</v>
      </c>
      <c r="L846">
        <v>937.70944288125895</v>
      </c>
      <c r="M846">
        <v>14.1241258484251</v>
      </c>
      <c r="N846">
        <v>66.390595528820995</v>
      </c>
      <c r="O846">
        <v>65.102259544612807</v>
      </c>
      <c r="P846">
        <v>-5.4245166844996397E-2</v>
      </c>
      <c r="Q846">
        <v>0</v>
      </c>
      <c r="R846">
        <v>0.82290627809941896</v>
      </c>
      <c r="S846" t="s">
        <v>7157</v>
      </c>
      <c r="T846" t="s">
        <v>12620</v>
      </c>
      <c r="U846" t="s">
        <v>12620</v>
      </c>
      <c r="V846" t="s">
        <v>12620</v>
      </c>
      <c r="W846" t="s">
        <v>13439</v>
      </c>
      <c r="X846">
        <v>7</v>
      </c>
      <c r="Y846" t="s">
        <v>19682</v>
      </c>
      <c r="Z846" t="s">
        <v>25793</v>
      </c>
      <c r="AA846">
        <v>0.8352766430354619</v>
      </c>
      <c r="AB846" t="str">
        <f>HYPERLINK("Melting_Curves/meltCurve_K7EQW8_TPM4.pdf", "Melting_Curves/meltCurve_K7EQW8_TPM4.pdf")</f>
        <v>Melting_Curves/meltCurve_K7EQW8_TPM4.pdf</v>
      </c>
    </row>
    <row r="847" spans="1:28" x14ac:dyDescent="0.25">
      <c r="A847" t="s">
        <v>851</v>
      </c>
      <c r="B847">
        <v>0.99987803227770999</v>
      </c>
      <c r="C847">
        <v>0.80654987049943905</v>
      </c>
      <c r="D847">
        <v>1.0943981075415501</v>
      </c>
      <c r="E847">
        <v>0.88873569496656901</v>
      </c>
      <c r="F847">
        <v>1.16264209058096</v>
      </c>
      <c r="G847">
        <v>0.97815957419965305</v>
      </c>
      <c r="H847">
        <v>1.0084761778622</v>
      </c>
      <c r="I847">
        <v>0.98619313766953798</v>
      </c>
      <c r="J847">
        <v>1.07595695534158</v>
      </c>
      <c r="K847">
        <v>0.80281845278447395</v>
      </c>
      <c r="L847">
        <v>15000</v>
      </c>
      <c r="M847">
        <v>212.88165985734199</v>
      </c>
      <c r="Q847">
        <v>0</v>
      </c>
      <c r="R847">
        <v>0.27645688997971701</v>
      </c>
      <c r="S847" t="s">
        <v>7158</v>
      </c>
      <c r="T847" t="s">
        <v>12620</v>
      </c>
      <c r="U847" t="s">
        <v>12620</v>
      </c>
      <c r="V847" t="s">
        <v>12620</v>
      </c>
      <c r="W847" t="s">
        <v>13226</v>
      </c>
      <c r="X847">
        <v>3</v>
      </c>
      <c r="Z847" t="s">
        <v>25794</v>
      </c>
      <c r="AA847">
        <v>0.99763186009801641</v>
      </c>
      <c r="AB847" t="str">
        <f>HYPERLINK("Melting_Curves/meltCurve_K7EQZ3_.pdf", "Melting_Curves/meltCurve_K7EQZ3_.pdf")</f>
        <v>Melting_Curves/meltCurve_K7EQZ3_.pdf</v>
      </c>
    </row>
    <row r="848" spans="1:28" x14ac:dyDescent="0.25">
      <c r="A848" t="s">
        <v>852</v>
      </c>
      <c r="B848">
        <v>0.99987803227770999</v>
      </c>
      <c r="C848">
        <v>1.13566899789375</v>
      </c>
      <c r="D848">
        <v>0.81270102925727605</v>
      </c>
      <c r="E848">
        <v>1.0661996187623499</v>
      </c>
      <c r="F848">
        <v>1.2311765859528301</v>
      </c>
      <c r="G848">
        <v>0.71912606943053003</v>
      </c>
      <c r="H848">
        <v>0.89379239741383998</v>
      </c>
      <c r="I848">
        <v>0.81500969587712802</v>
      </c>
      <c r="J848">
        <v>0.42557984408188898</v>
      </c>
      <c r="K848">
        <v>0.17022526551199799</v>
      </c>
      <c r="L848">
        <v>1980.2665400467399</v>
      </c>
      <c r="M848">
        <v>29.790349115293601</v>
      </c>
      <c r="N848">
        <v>66.473426858254001</v>
      </c>
      <c r="O848">
        <v>66.176061045710895</v>
      </c>
      <c r="P848">
        <v>-0.112542794748895</v>
      </c>
      <c r="Q848">
        <v>0</v>
      </c>
      <c r="R848">
        <v>0.79915457377382404</v>
      </c>
      <c r="S848" t="s">
        <v>7159</v>
      </c>
      <c r="T848" t="s">
        <v>12620</v>
      </c>
      <c r="U848" t="s">
        <v>12620</v>
      </c>
      <c r="V848" t="s">
        <v>12620</v>
      </c>
      <c r="W848" t="s">
        <v>13440</v>
      </c>
      <c r="X848">
        <v>2</v>
      </c>
      <c r="Y848" t="s">
        <v>19666</v>
      </c>
      <c r="Z848" t="s">
        <v>25795</v>
      </c>
      <c r="AA848">
        <v>0.87280211774894245</v>
      </c>
      <c r="AB848" t="str">
        <f>HYPERLINK("Melting_Curves/meltCurve_K7ER56_LONP1.pdf", "Melting_Curves/meltCurve_K7ER56_LONP1.pdf")</f>
        <v>Melting_Curves/meltCurve_K7ER56_LONP1.pdf</v>
      </c>
    </row>
    <row r="849" spans="1:28" x14ac:dyDescent="0.25">
      <c r="A849" t="s">
        <v>853</v>
      </c>
      <c r="B849">
        <v>0.99987803227770999</v>
      </c>
      <c r="C849">
        <v>0.90217877483507802</v>
      </c>
      <c r="D849">
        <v>0.96489132470250905</v>
      </c>
      <c r="E849">
        <v>0.81130486071889796</v>
      </c>
      <c r="F849">
        <v>0.99582671748741902</v>
      </c>
      <c r="G849">
        <v>0.72247592886511502</v>
      </c>
      <c r="H849">
        <v>0.77829109237475702</v>
      </c>
      <c r="I849">
        <v>0.95447553615765801</v>
      </c>
      <c r="J849">
        <v>0.67391832526045103</v>
      </c>
      <c r="K849">
        <v>0.57995059727217602</v>
      </c>
      <c r="L849">
        <v>282.61587645524401</v>
      </c>
      <c r="M849">
        <v>3.33730105107343</v>
      </c>
      <c r="O849">
        <v>65.189484632056093</v>
      </c>
      <c r="P849">
        <v>-1.30873852966715E-2</v>
      </c>
      <c r="Q849">
        <v>0</v>
      </c>
      <c r="R849">
        <v>0.52692145321143402</v>
      </c>
      <c r="S849" t="s">
        <v>7160</v>
      </c>
      <c r="T849" t="s">
        <v>12620</v>
      </c>
      <c r="U849" t="s">
        <v>12620</v>
      </c>
      <c r="V849" t="s">
        <v>12620</v>
      </c>
      <c r="W849" t="s">
        <v>13441</v>
      </c>
      <c r="X849">
        <v>2</v>
      </c>
      <c r="Y849" t="s">
        <v>19683</v>
      </c>
      <c r="Z849" t="s">
        <v>25796</v>
      </c>
      <c r="AA849">
        <v>0.84589233325074242</v>
      </c>
      <c r="AB849" t="str">
        <f>HYPERLINK("Melting_Curves/meltCurve_K7ER93_C19orf55.pdf", "Melting_Curves/meltCurve_K7ER93_C19orf55.pdf")</f>
        <v>Melting_Curves/meltCurve_K7ER93_C19orf55.pdf</v>
      </c>
    </row>
    <row r="850" spans="1:28" x14ac:dyDescent="0.25">
      <c r="A850" t="s">
        <v>854</v>
      </c>
      <c r="B850">
        <v>0.99987803227770999</v>
      </c>
      <c r="C850">
        <v>0.85270026902601603</v>
      </c>
      <c r="D850">
        <v>0.966338288980511</v>
      </c>
      <c r="E850">
        <v>0.97079856678725596</v>
      </c>
      <c r="F850">
        <v>0.53698279580035002</v>
      </c>
      <c r="G850">
        <v>0.19880604598083401</v>
      </c>
      <c r="H850">
        <v>0.13221739687211301</v>
      </c>
      <c r="I850">
        <v>0.124963931093569</v>
      </c>
      <c r="J850">
        <v>8.3514438667569996E-2</v>
      </c>
      <c r="K850">
        <v>5.5834438009766903E-2</v>
      </c>
      <c r="L850">
        <v>2131.77525117082</v>
      </c>
      <c r="M850">
        <v>40.195550559406797</v>
      </c>
      <c r="N850">
        <v>53.350060090475303</v>
      </c>
      <c r="O850">
        <v>52.904350874798901</v>
      </c>
      <c r="P850">
        <v>-0.169883494191995</v>
      </c>
      <c r="Q850">
        <v>0.10561677976306499</v>
      </c>
      <c r="R850">
        <v>0.980335961567257</v>
      </c>
      <c r="S850" t="s">
        <v>7161</v>
      </c>
      <c r="T850" t="s">
        <v>12620</v>
      </c>
      <c r="U850" t="s">
        <v>12620</v>
      </c>
      <c r="V850" t="s">
        <v>12620</v>
      </c>
      <c r="W850" t="s">
        <v>13442</v>
      </c>
      <c r="X850">
        <v>9</v>
      </c>
      <c r="Y850" t="s">
        <v>19684</v>
      </c>
      <c r="Z850" t="s">
        <v>25797</v>
      </c>
      <c r="AA850">
        <v>0.49747273015201843</v>
      </c>
      <c r="AB850" t="str">
        <f>HYPERLINK("Melting_Curves/meltCurve_K7ERF1_EIF3K.pdf", "Melting_Curves/meltCurve_K7ERF1_EIF3K.pdf")</f>
        <v>Melting_Curves/meltCurve_K7ERF1_EIF3K.pdf</v>
      </c>
    </row>
    <row r="851" spans="1:28" x14ac:dyDescent="0.25">
      <c r="A851" t="s">
        <v>855</v>
      </c>
      <c r="B851">
        <v>0.99987803227770999</v>
      </c>
      <c r="C851">
        <v>0.97905802813848297</v>
      </c>
      <c r="D851">
        <v>1.02086915741129</v>
      </c>
      <c r="E851">
        <v>0.93515633749401395</v>
      </c>
      <c r="F851">
        <v>0.98058043175940002</v>
      </c>
      <c r="G851">
        <v>0.78942808588755997</v>
      </c>
      <c r="H851">
        <v>0.834254606415339</v>
      </c>
      <c r="I851">
        <v>0.97168733565422905</v>
      </c>
      <c r="J851">
        <v>0.63386146580538905</v>
      </c>
      <c r="K851">
        <v>0.52552679770094701</v>
      </c>
      <c r="L851">
        <v>735.10492287335501</v>
      </c>
      <c r="M851">
        <v>10.2227570509563</v>
      </c>
      <c r="O851">
        <v>69.3199311814151</v>
      </c>
      <c r="P851">
        <v>-3.6884511638906499E-2</v>
      </c>
      <c r="Q851">
        <v>0</v>
      </c>
      <c r="R851">
        <v>0.74349601466957005</v>
      </c>
      <c r="S851" t="s">
        <v>7162</v>
      </c>
      <c r="T851" t="s">
        <v>12620</v>
      </c>
      <c r="U851" t="s">
        <v>12620</v>
      </c>
      <c r="V851" t="s">
        <v>12620</v>
      </c>
      <c r="W851" t="s">
        <v>13443</v>
      </c>
      <c r="X851">
        <v>1</v>
      </c>
      <c r="Y851" t="s">
        <v>19685</v>
      </c>
      <c r="Z851" t="s">
        <v>25798</v>
      </c>
      <c r="AA851">
        <v>0.89609393800816028</v>
      </c>
      <c r="AB851" t="str">
        <f>HYPERLINK("Melting_Curves/meltCurve_K7ERI9_APOC1.pdf", "Melting_Curves/meltCurve_K7ERI9_APOC1.pdf")</f>
        <v>Melting_Curves/meltCurve_K7ERI9_APOC1.pdf</v>
      </c>
    </row>
    <row r="852" spans="1:28" x14ac:dyDescent="0.25">
      <c r="A852" t="s">
        <v>856</v>
      </c>
      <c r="B852">
        <v>0.99987803227770999</v>
      </c>
      <c r="C852">
        <v>0.99076649825012397</v>
      </c>
      <c r="D852">
        <v>0.96625721572849299</v>
      </c>
      <c r="E852">
        <v>0.925710636958337</v>
      </c>
      <c r="F852">
        <v>0.87691362160112496</v>
      </c>
      <c r="G852">
        <v>0.84167256961806503</v>
      </c>
      <c r="H852">
        <v>0.977287685710859</v>
      </c>
      <c r="I852">
        <v>0.81417338510864201</v>
      </c>
      <c r="J852">
        <v>0.69827429729044399</v>
      </c>
      <c r="K852">
        <v>0.50426004854390405</v>
      </c>
      <c r="L852">
        <v>930.96413048603904</v>
      </c>
      <c r="M852">
        <v>13.1483984531245</v>
      </c>
      <c r="O852">
        <v>69.226641060168603</v>
      </c>
      <c r="P852">
        <v>-4.7491185220154802E-2</v>
      </c>
      <c r="Q852">
        <v>0</v>
      </c>
      <c r="R852">
        <v>0.81306236973682999</v>
      </c>
      <c r="S852" t="s">
        <v>7163</v>
      </c>
      <c r="T852" t="s">
        <v>12620</v>
      </c>
      <c r="U852" t="s">
        <v>12620</v>
      </c>
      <c r="V852" t="s">
        <v>12620</v>
      </c>
      <c r="W852" t="s">
        <v>13444</v>
      </c>
      <c r="X852">
        <v>18</v>
      </c>
      <c r="Y852" t="s">
        <v>19686</v>
      </c>
      <c r="Z852" t="s">
        <v>25799</v>
      </c>
      <c r="AA852">
        <v>0.90663272604785006</v>
      </c>
      <c r="AB852" t="str">
        <f>HYPERLINK("Melting_Curves/meltCurve_K7ERV3_TK1.pdf", "Melting_Curves/meltCurve_K7ERV3_TK1.pdf")</f>
        <v>Melting_Curves/meltCurve_K7ERV3_TK1.pdf</v>
      </c>
    </row>
    <row r="853" spans="1:28" x14ac:dyDescent="0.25">
      <c r="A853" t="s">
        <v>857</v>
      </c>
      <c r="B853">
        <v>0.99987803227770999</v>
      </c>
      <c r="C853">
        <v>1.0673177814022099</v>
      </c>
      <c r="D853">
        <v>0.77904044020537699</v>
      </c>
      <c r="E853">
        <v>0.91221336945737896</v>
      </c>
      <c r="F853">
        <v>0.50530234994731305</v>
      </c>
      <c r="G853">
        <v>0.44352580287443999</v>
      </c>
      <c r="H853">
        <v>0.27187971151615498</v>
      </c>
      <c r="I853">
        <v>0.227666463655121</v>
      </c>
      <c r="J853">
        <v>0.220166818071933</v>
      </c>
      <c r="K853">
        <v>0.170816537818202</v>
      </c>
      <c r="L853">
        <v>764.618270949416</v>
      </c>
      <c r="M853">
        <v>14.293054658985</v>
      </c>
      <c r="N853">
        <v>54.946482795352999</v>
      </c>
      <c r="O853">
        <v>52.481293251423502</v>
      </c>
      <c r="P853">
        <v>-5.73925241449907E-2</v>
      </c>
      <c r="Q853">
        <v>0.15716644159377799</v>
      </c>
      <c r="R853">
        <v>0.94407729904091497</v>
      </c>
      <c r="S853" t="s">
        <v>7164</v>
      </c>
      <c r="T853" t="s">
        <v>12620</v>
      </c>
      <c r="U853" t="s">
        <v>12620</v>
      </c>
      <c r="V853" t="s">
        <v>12620</v>
      </c>
      <c r="W853" t="s">
        <v>13445</v>
      </c>
      <c r="X853">
        <v>26</v>
      </c>
      <c r="Y853" t="s">
        <v>19687</v>
      </c>
      <c r="Z853" t="s">
        <v>25800</v>
      </c>
      <c r="AA853">
        <v>0.55519992728839918</v>
      </c>
      <c r="AB853" t="str">
        <f>HYPERLINK("Melting_Curves/meltCurve_K7ES11_UBE2O.pdf", "Melting_Curves/meltCurve_K7ES11_UBE2O.pdf")</f>
        <v>Melting_Curves/meltCurve_K7ES11_UBE2O.pdf</v>
      </c>
    </row>
    <row r="854" spans="1:28" x14ac:dyDescent="0.25">
      <c r="A854" t="s">
        <v>858</v>
      </c>
      <c r="B854">
        <v>0.99987803227770999</v>
      </c>
      <c r="C854">
        <v>2.0705174365907202</v>
      </c>
      <c r="D854">
        <v>1.56526230968701</v>
      </c>
      <c r="E854">
        <v>3.0767935785989899</v>
      </c>
      <c r="F854">
        <v>1.66176401022224</v>
      </c>
      <c r="G854">
        <v>1.09471679147858</v>
      </c>
      <c r="H854">
        <v>1.1625294690518599</v>
      </c>
      <c r="I854">
        <v>0.65330162346736798</v>
      </c>
      <c r="J854">
        <v>0.50281111876720097</v>
      </c>
      <c r="K854">
        <v>0.47519447817949401</v>
      </c>
      <c r="L854">
        <v>15000</v>
      </c>
      <c r="M854">
        <v>235.12157738190501</v>
      </c>
      <c r="N854">
        <v>64.849349991513094</v>
      </c>
      <c r="O854">
        <v>63.792153595537897</v>
      </c>
      <c r="P854">
        <v>-0.47085790358555402</v>
      </c>
      <c r="Q854">
        <v>0.488995505434696</v>
      </c>
      <c r="R854">
        <v>-7.2404961515905905E-2</v>
      </c>
      <c r="S854" t="s">
        <v>7165</v>
      </c>
      <c r="T854" t="s">
        <v>12620</v>
      </c>
      <c r="U854" t="s">
        <v>12620</v>
      </c>
      <c r="V854" t="s">
        <v>12620</v>
      </c>
      <c r="W854" t="s">
        <v>13446</v>
      </c>
      <c r="X854">
        <v>3</v>
      </c>
      <c r="Y854" t="s">
        <v>19688</v>
      </c>
      <c r="Z854" t="s">
        <v>25801</v>
      </c>
      <c r="AA854">
        <v>0.89440227467780176</v>
      </c>
      <c r="AB854" t="str">
        <f>HYPERLINK("Melting_Curves/meltCurve_K7ES25_PEPD.pdf", "Melting_Curves/meltCurve_K7ES25_PEPD.pdf")</f>
        <v>Melting_Curves/meltCurve_K7ES25_PEPD.pdf</v>
      </c>
    </row>
    <row r="855" spans="1:28" x14ac:dyDescent="0.25">
      <c r="A855" t="s">
        <v>859</v>
      </c>
      <c r="B855">
        <v>0.99987803227770999</v>
      </c>
      <c r="C855">
        <v>0.90155071194744796</v>
      </c>
      <c r="D855">
        <v>0.87920646471202302</v>
      </c>
      <c r="E855">
        <v>0.77356759082497395</v>
      </c>
      <c r="F855">
        <v>0.85380173785579805</v>
      </c>
      <c r="G855">
        <v>0.53450060636428998</v>
      </c>
      <c r="H855">
        <v>0.66300737327610504</v>
      </c>
      <c r="I855">
        <v>0.693261090717324</v>
      </c>
      <c r="J855">
        <v>0.70618714259160098</v>
      </c>
      <c r="K855">
        <v>0.63799624020300705</v>
      </c>
      <c r="L855">
        <v>596.020738590723</v>
      </c>
      <c r="M855">
        <v>12.3179126474526</v>
      </c>
      <c r="O855">
        <v>47.164273777222199</v>
      </c>
      <c r="P855">
        <v>-2.3238471862845E-2</v>
      </c>
      <c r="Q855">
        <v>0.64416473542335895</v>
      </c>
      <c r="R855">
        <v>0.75402930916820698</v>
      </c>
      <c r="S855" t="s">
        <v>7166</v>
      </c>
      <c r="T855" t="s">
        <v>12620</v>
      </c>
      <c r="U855" t="s">
        <v>12620</v>
      </c>
      <c r="V855" t="s">
        <v>12620</v>
      </c>
      <c r="W855" t="s">
        <v>13447</v>
      </c>
      <c r="X855">
        <v>2</v>
      </c>
      <c r="Y855" t="s">
        <v>19689</v>
      </c>
      <c r="Z855" t="s">
        <v>25802</v>
      </c>
      <c r="AA855">
        <v>0.75661212568433522</v>
      </c>
      <c r="AB855" t="str">
        <f>HYPERLINK("Melting_Curves/meltCurve_K7ES54_FSTL3.pdf", "Melting_Curves/meltCurve_K7ES54_FSTL3.pdf")</f>
        <v>Melting_Curves/meltCurve_K7ES54_FSTL3.pdf</v>
      </c>
    </row>
    <row r="856" spans="1:28" x14ac:dyDescent="0.25">
      <c r="A856" t="s">
        <v>860</v>
      </c>
      <c r="B856">
        <v>0.99987803227770999</v>
      </c>
      <c r="C856">
        <v>0.83078998523912795</v>
      </c>
      <c r="D856">
        <v>0.90621364803182303</v>
      </c>
      <c r="E856">
        <v>0.86568368396697704</v>
      </c>
      <c r="F856">
        <v>1.10890828642657</v>
      </c>
      <c r="G856">
        <v>0.95527238082355204</v>
      </c>
      <c r="H856">
        <v>0.99617982567184804</v>
      </c>
      <c r="I856">
        <v>0.92073726709839598</v>
      </c>
      <c r="J856">
        <v>1.0030079615441301</v>
      </c>
      <c r="K856">
        <v>0.74219289078738504</v>
      </c>
      <c r="L856">
        <v>15000</v>
      </c>
      <c r="M856">
        <v>213.228314825696</v>
      </c>
      <c r="Q856">
        <v>0</v>
      </c>
      <c r="R856">
        <v>0.220711750860342</v>
      </c>
      <c r="S856" t="s">
        <v>7167</v>
      </c>
      <c r="T856" t="s">
        <v>12620</v>
      </c>
      <c r="U856" t="s">
        <v>12620</v>
      </c>
      <c r="V856" t="s">
        <v>12620</v>
      </c>
      <c r="W856" t="s">
        <v>13448</v>
      </c>
      <c r="X856">
        <v>14</v>
      </c>
      <c r="Y856" t="s">
        <v>19690</v>
      </c>
      <c r="Z856" t="s">
        <v>25803</v>
      </c>
      <c r="AA856">
        <v>0.99678569343324308</v>
      </c>
      <c r="AB856" t="str">
        <f>HYPERLINK("Melting_Curves/meltCurve_K7ESE3_RAD23A.pdf", "Melting_Curves/meltCurve_K7ESE3_RAD23A.pdf")</f>
        <v>Melting_Curves/meltCurve_K7ESE3_RAD23A.pdf</v>
      </c>
    </row>
    <row r="857" spans="1:28" x14ac:dyDescent="0.25">
      <c r="A857" t="s">
        <v>861</v>
      </c>
      <c r="B857">
        <v>0.99987803227770999</v>
      </c>
      <c r="C857">
        <v>1.09652997833271</v>
      </c>
      <c r="D857">
        <v>0.84805691313875597</v>
      </c>
      <c r="E857">
        <v>0.90844814050463296</v>
      </c>
      <c r="F857">
        <v>0.28324741320260599</v>
      </c>
      <c r="G857">
        <v>0.13809040615257701</v>
      </c>
      <c r="H857">
        <v>8.4256467837356103E-2</v>
      </c>
      <c r="I857">
        <v>8.1403643259439398E-2</v>
      </c>
      <c r="J857">
        <v>5.25075016370877E-2</v>
      </c>
      <c r="K857">
        <v>3.84250483836657E-2</v>
      </c>
      <c r="L857">
        <v>2951.3043674078199</v>
      </c>
      <c r="M857">
        <v>56.900383120588302</v>
      </c>
      <c r="N857">
        <v>52.021020292184197</v>
      </c>
      <c r="O857">
        <v>51.8039917004294</v>
      </c>
      <c r="P857">
        <v>-0.25342470585451599</v>
      </c>
      <c r="Q857">
        <v>7.7095935234068796E-2</v>
      </c>
      <c r="R857">
        <v>0.97927612094171301</v>
      </c>
      <c r="S857" t="s">
        <v>7168</v>
      </c>
      <c r="T857" t="s">
        <v>12620</v>
      </c>
      <c r="U857" t="s">
        <v>12620</v>
      </c>
      <c r="V857" t="s">
        <v>12620</v>
      </c>
      <c r="W857" t="s">
        <v>12971</v>
      </c>
      <c r="X857">
        <v>18</v>
      </c>
      <c r="Y857" t="s">
        <v>19218</v>
      </c>
      <c r="Z857" t="s">
        <v>25804</v>
      </c>
      <c r="AA857">
        <v>0.44382257713064732</v>
      </c>
      <c r="AB857" t="str">
        <f>HYPERLINK("Melting_Curves/meltCurve_M0QWZ7_SARS2.pdf", "Melting_Curves/meltCurve_M0QWZ7_SARS2.pdf")</f>
        <v>Melting_Curves/meltCurve_M0QWZ7_SARS2.pdf</v>
      </c>
    </row>
    <row r="858" spans="1:28" x14ac:dyDescent="0.25">
      <c r="A858" t="s">
        <v>862</v>
      </c>
      <c r="B858">
        <v>0.99987803227770999</v>
      </c>
      <c r="C858">
        <v>1.00911039256468</v>
      </c>
      <c r="D858">
        <v>0.72148153989654196</v>
      </c>
      <c r="E858">
        <v>0.55251504742681601</v>
      </c>
      <c r="F858">
        <v>0.37315067092707399</v>
      </c>
      <c r="G858">
        <v>0.321735163549982</v>
      </c>
      <c r="H858">
        <v>0.30701708687106</v>
      </c>
      <c r="I858">
        <v>0.31126658615290398</v>
      </c>
      <c r="J858">
        <v>0.39267392353198599</v>
      </c>
      <c r="K858">
        <v>0.31223474065603302</v>
      </c>
      <c r="L858">
        <v>1022.41337753665</v>
      </c>
      <c r="M858">
        <v>21.489516101373699</v>
      </c>
      <c r="N858">
        <v>50.018018522853602</v>
      </c>
      <c r="O858">
        <v>47.171074068232002</v>
      </c>
      <c r="P858">
        <v>-7.6902677605914002E-2</v>
      </c>
      <c r="Q858">
        <v>0.32478854754167202</v>
      </c>
      <c r="R858">
        <v>0.97593295472855501</v>
      </c>
      <c r="S858" t="s">
        <v>7169</v>
      </c>
      <c r="T858" t="s">
        <v>12620</v>
      </c>
      <c r="U858" t="s">
        <v>12620</v>
      </c>
      <c r="V858" t="s">
        <v>12620</v>
      </c>
      <c r="W858" t="s">
        <v>13449</v>
      </c>
      <c r="X858">
        <v>14</v>
      </c>
      <c r="Y858" t="s">
        <v>19691</v>
      </c>
      <c r="Z858" t="s">
        <v>25805</v>
      </c>
      <c r="AA858">
        <v>0.50362995573487401</v>
      </c>
      <c r="AB858" t="str">
        <f>HYPERLINK("Melting_Curves/meltCurve_M0QX35_PAF1.pdf", "Melting_Curves/meltCurve_M0QX35_PAF1.pdf")</f>
        <v>Melting_Curves/meltCurve_M0QX35_PAF1.pdf</v>
      </c>
    </row>
    <row r="859" spans="1:28" x14ac:dyDescent="0.25">
      <c r="A859" t="s">
        <v>863</v>
      </c>
      <c r="B859">
        <v>0.99987803227770999</v>
      </c>
      <c r="C859">
        <v>1.0081765958042499</v>
      </c>
      <c r="D859">
        <v>0.96761047112449905</v>
      </c>
      <c r="E859">
        <v>0.93166228743402502</v>
      </c>
      <c r="F859">
        <v>0.53851112826663605</v>
      </c>
      <c r="G859">
        <v>0.30722725686721303</v>
      </c>
      <c r="H859">
        <v>0.18417577852177</v>
      </c>
      <c r="I859">
        <v>0.109473673277278</v>
      </c>
      <c r="J859">
        <v>8.8366270143032596E-2</v>
      </c>
      <c r="K859">
        <v>5.3902488385478599E-2</v>
      </c>
      <c r="L859">
        <v>1215.2968323995001</v>
      </c>
      <c r="M859">
        <v>22.643032013461799</v>
      </c>
      <c r="N859">
        <v>54.123709363451098</v>
      </c>
      <c r="O859">
        <v>53.258630939363698</v>
      </c>
      <c r="P859">
        <v>-9.7138980938624803E-2</v>
      </c>
      <c r="Q859">
        <v>8.6096579680965402E-2</v>
      </c>
      <c r="R859">
        <v>0.99039019689233698</v>
      </c>
      <c r="S859" t="s">
        <v>7170</v>
      </c>
      <c r="T859" t="s">
        <v>12620</v>
      </c>
      <c r="U859" t="s">
        <v>12620</v>
      </c>
      <c r="V859" t="s">
        <v>12620</v>
      </c>
      <c r="W859" t="s">
        <v>13450</v>
      </c>
      <c r="X859">
        <v>1</v>
      </c>
      <c r="Y859" t="s">
        <v>19692</v>
      </c>
      <c r="Z859" t="s">
        <v>25806</v>
      </c>
      <c r="AA859">
        <v>0.51269171663559066</v>
      </c>
      <c r="AB859" t="str">
        <f>HYPERLINK("Melting_Curves/meltCurve_M0QXX4_KPTN.pdf", "Melting_Curves/meltCurve_M0QXX4_KPTN.pdf")</f>
        <v>Melting_Curves/meltCurve_M0QXX4_KPTN.pdf</v>
      </c>
    </row>
    <row r="860" spans="1:28" x14ac:dyDescent="0.25">
      <c r="A860" t="s">
        <v>864</v>
      </c>
      <c r="B860">
        <v>0.99987803227770999</v>
      </c>
      <c r="C860">
        <v>0.81893000411025496</v>
      </c>
      <c r="D860">
        <v>1.02692688054837</v>
      </c>
      <c r="E860">
        <v>0.82296621595730501</v>
      </c>
      <c r="F860">
        <v>1.2113671293658701</v>
      </c>
      <c r="G860">
        <v>1.0046094690947101</v>
      </c>
      <c r="H860">
        <v>1.14378936807883</v>
      </c>
      <c r="I860">
        <v>1.1190394259664</v>
      </c>
      <c r="J860">
        <v>1.14596011712449</v>
      </c>
      <c r="K860">
        <v>1.00529465899922</v>
      </c>
      <c r="L860">
        <v>12878.613121702399</v>
      </c>
      <c r="M860">
        <v>250</v>
      </c>
      <c r="O860">
        <v>51.5111650181248</v>
      </c>
      <c r="P860">
        <v>0.12739307077902501</v>
      </c>
      <c r="Q860">
        <v>1.10499462920705</v>
      </c>
      <c r="R860">
        <v>0.36477511001651097</v>
      </c>
      <c r="S860" t="s">
        <v>7171</v>
      </c>
      <c r="T860" t="s">
        <v>12620</v>
      </c>
      <c r="U860" t="s">
        <v>12620</v>
      </c>
      <c r="V860" t="s">
        <v>12620</v>
      </c>
      <c r="W860" t="s">
        <v>13451</v>
      </c>
      <c r="X860">
        <v>5</v>
      </c>
      <c r="Y860" t="s">
        <v>19693</v>
      </c>
      <c r="Z860" t="s">
        <v>25807</v>
      </c>
      <c r="AA860">
        <v>1.0646866146385661</v>
      </c>
      <c r="AB860" t="str">
        <f>HYPERLINK("Melting_Curves/meltCurve_M0QXZ5_ZNF428.pdf", "Melting_Curves/meltCurve_M0QXZ5_ZNF428.pdf")</f>
        <v>Melting_Curves/meltCurve_M0QXZ5_ZNF428.pdf</v>
      </c>
    </row>
    <row r="861" spans="1:28" x14ac:dyDescent="0.25">
      <c r="A861" t="s">
        <v>865</v>
      </c>
      <c r="B861">
        <v>0.99987803227770999</v>
      </c>
      <c r="C861">
        <v>0.98226257787761695</v>
      </c>
      <c r="D861">
        <v>0.74521764870127305</v>
      </c>
      <c r="E861">
        <v>0.60006583098097399</v>
      </c>
      <c r="F861">
        <v>0.300519028828721</v>
      </c>
      <c r="G861">
        <v>0.21572180086164899</v>
      </c>
      <c r="H861">
        <v>0.124181254512874</v>
      </c>
      <c r="I861">
        <v>8.2153394011743403E-2</v>
      </c>
      <c r="J861">
        <v>6.2114376187258999E-2</v>
      </c>
      <c r="K861">
        <v>4.3465916735477401E-2</v>
      </c>
      <c r="L861">
        <v>734.04603328194696</v>
      </c>
      <c r="M861">
        <v>14.575630680895999</v>
      </c>
      <c r="N861">
        <v>50.657526517466998</v>
      </c>
      <c r="O861">
        <v>49.441690480545702</v>
      </c>
      <c r="P861">
        <v>-7.0697220143658299E-2</v>
      </c>
      <c r="Q861">
        <v>4.0865997021914E-2</v>
      </c>
      <c r="R861">
        <v>0.98940531753847405</v>
      </c>
      <c r="S861" t="s">
        <v>7172</v>
      </c>
      <c r="T861" t="s">
        <v>12620</v>
      </c>
      <c r="U861" t="s">
        <v>12620</v>
      </c>
      <c r="V861" t="s">
        <v>12620</v>
      </c>
      <c r="W861" t="s">
        <v>13452</v>
      </c>
      <c r="X861">
        <v>1</v>
      </c>
      <c r="Y861" t="s">
        <v>19694</v>
      </c>
      <c r="Z861" t="s">
        <v>25808</v>
      </c>
      <c r="AA861">
        <v>0.39587712732166869</v>
      </c>
      <c r="AB861" t="str">
        <f>HYPERLINK("Melting_Curves/meltCurve_M0QYH6_PTOV1.pdf", "Melting_Curves/meltCurve_M0QYH6_PTOV1.pdf")</f>
        <v>Melting_Curves/meltCurve_M0QYH6_PTOV1.pdf</v>
      </c>
    </row>
    <row r="862" spans="1:28" x14ac:dyDescent="0.25">
      <c r="A862" t="s">
        <v>866</v>
      </c>
      <c r="B862">
        <v>0.99987803227770999</v>
      </c>
      <c r="C862">
        <v>0.79711972400852005</v>
      </c>
      <c r="D862">
        <v>0.99983161326804204</v>
      </c>
      <c r="E862">
        <v>0.79249691528155997</v>
      </c>
      <c r="F862">
        <v>1.06228727788125</v>
      </c>
      <c r="G862">
        <v>0.83043536938515705</v>
      </c>
      <c r="H862">
        <v>0.94116186409497005</v>
      </c>
      <c r="I862">
        <v>0.87315355794621496</v>
      </c>
      <c r="J862">
        <v>0.94896404313693505</v>
      </c>
      <c r="K862">
        <v>0.70994107938896001</v>
      </c>
      <c r="L862">
        <v>121.39721257388599</v>
      </c>
      <c r="M862">
        <v>4.9862627321496301E-2</v>
      </c>
      <c r="O862">
        <v>50.272257479991403</v>
      </c>
      <c r="P862">
        <v>-3.7711630231192202E-3</v>
      </c>
      <c r="Q862">
        <v>0</v>
      </c>
      <c r="R862">
        <v>9.5609076546368299E-2</v>
      </c>
      <c r="S862" t="s">
        <v>7173</v>
      </c>
      <c r="T862" t="s">
        <v>12620</v>
      </c>
      <c r="U862" t="s">
        <v>12620</v>
      </c>
      <c r="V862" t="s">
        <v>12620</v>
      </c>
      <c r="W862" t="s">
        <v>13453</v>
      </c>
      <c r="X862">
        <v>2</v>
      </c>
      <c r="Y862" t="s">
        <v>19695</v>
      </c>
      <c r="Z862" t="s">
        <v>25809</v>
      </c>
      <c r="AA862">
        <v>0.89687595537073694</v>
      </c>
      <c r="AB862" t="str">
        <f>HYPERLINK("Melting_Curves/meltCurve_M0QYJ8_GMFG.pdf", "Melting_Curves/meltCurve_M0QYJ8_GMFG.pdf")</f>
        <v>Melting_Curves/meltCurve_M0QYJ8_GMFG.pdf</v>
      </c>
    </row>
    <row r="863" spans="1:28" x14ac:dyDescent="0.25">
      <c r="A863" t="s">
        <v>867</v>
      </c>
      <c r="B863">
        <v>0.99987803227770999</v>
      </c>
      <c r="C863">
        <v>1.4232927853158901</v>
      </c>
      <c r="D863">
        <v>0.96736022640233699</v>
      </c>
      <c r="E863">
        <v>1.6403855981150499</v>
      </c>
      <c r="F863">
        <v>0.95984398966056395</v>
      </c>
      <c r="G863">
        <v>0.683518952643695</v>
      </c>
      <c r="H863">
        <v>0.36937092308278502</v>
      </c>
      <c r="I863">
        <v>0.39452671107715798</v>
      </c>
      <c r="J863">
        <v>0.20073267943156101</v>
      </c>
      <c r="K863">
        <v>0.222755752462657</v>
      </c>
      <c r="L863">
        <v>2055.2545354436902</v>
      </c>
      <c r="M863">
        <v>35.628299203615001</v>
      </c>
      <c r="N863">
        <v>58.924965247831601</v>
      </c>
      <c r="O863">
        <v>57.505191928471902</v>
      </c>
      <c r="P863">
        <v>-0.114061169243034</v>
      </c>
      <c r="Q863">
        <v>0.26360930171295599</v>
      </c>
      <c r="R863">
        <v>0.72630478055744796</v>
      </c>
      <c r="S863" t="s">
        <v>7174</v>
      </c>
      <c r="T863" t="s">
        <v>12620</v>
      </c>
      <c r="U863" t="s">
        <v>12620</v>
      </c>
      <c r="V863" t="s">
        <v>12620</v>
      </c>
      <c r="W863" t="s">
        <v>13454</v>
      </c>
      <c r="X863">
        <v>6</v>
      </c>
      <c r="Y863" t="s">
        <v>19696</v>
      </c>
      <c r="Z863" t="s">
        <v>25810</v>
      </c>
      <c r="AA863">
        <v>0.70132793040249186</v>
      </c>
      <c r="AB863" t="str">
        <f>HYPERLINK("Melting_Curves/meltCurve_M0QYM7_TUBB4A.pdf", "Melting_Curves/meltCurve_M0QYM7_TUBB4A.pdf")</f>
        <v>Melting_Curves/meltCurve_M0QYM7_TUBB4A.pdf</v>
      </c>
    </row>
    <row r="864" spans="1:28" x14ac:dyDescent="0.25">
      <c r="A864" t="s">
        <v>868</v>
      </c>
      <c r="B864">
        <v>0.99987803227770999</v>
      </c>
      <c r="C864">
        <v>0.91383337251695496</v>
      </c>
      <c r="D864">
        <v>0.66726394120923205</v>
      </c>
      <c r="E864">
        <v>0.524362761923301</v>
      </c>
      <c r="F864">
        <v>0.51008299321375405</v>
      </c>
      <c r="G864">
        <v>0.51271951895096501</v>
      </c>
      <c r="H864">
        <v>0.35479995197000302</v>
      </c>
      <c r="I864">
        <v>0.32463567255126802</v>
      </c>
      <c r="J864">
        <v>0.206819026302588</v>
      </c>
      <c r="K864">
        <v>0.132355851057016</v>
      </c>
      <c r="L864">
        <v>344.86689755350199</v>
      </c>
      <c r="M864">
        <v>6.3887985367689204</v>
      </c>
      <c r="N864">
        <v>54.051660563014202</v>
      </c>
      <c r="O864">
        <v>49.418467304284</v>
      </c>
      <c r="P864">
        <v>-3.2266657003561301E-2</v>
      </c>
      <c r="Q864">
        <v>4.2212912477607402E-3</v>
      </c>
      <c r="R864">
        <v>0.93167315466452905</v>
      </c>
      <c r="S864" t="s">
        <v>7175</v>
      </c>
      <c r="T864" t="s">
        <v>12620</v>
      </c>
      <c r="U864" t="s">
        <v>12620</v>
      </c>
      <c r="V864" t="s">
        <v>12620</v>
      </c>
      <c r="W864" t="s">
        <v>13455</v>
      </c>
      <c r="X864">
        <v>1</v>
      </c>
      <c r="Y864" t="s">
        <v>19697</v>
      </c>
      <c r="Z864" t="s">
        <v>25811</v>
      </c>
      <c r="AA864">
        <v>0.5048741141717672</v>
      </c>
      <c r="AB864" t="str">
        <f>HYPERLINK("Melting_Curves/meltCurve_M0QZ09_SIRT6.pdf", "Melting_Curves/meltCurve_M0QZ09_SIRT6.pdf")</f>
        <v>Melting_Curves/meltCurve_M0QZ09_SIRT6.pdf</v>
      </c>
    </row>
    <row r="865" spans="1:28" x14ac:dyDescent="0.25">
      <c r="A865" t="s">
        <v>869</v>
      </c>
      <c r="B865">
        <v>0.99987803227770999</v>
      </c>
      <c r="C865">
        <v>0.60822628278327995</v>
      </c>
      <c r="D865">
        <v>0.97412184749450204</v>
      </c>
      <c r="E865">
        <v>0.94005121331609998</v>
      </c>
      <c r="F865">
        <v>0.770499628903907</v>
      </c>
      <c r="G865">
        <v>0.57202708581876205</v>
      </c>
      <c r="H865">
        <v>0.34528997689969798</v>
      </c>
      <c r="I865">
        <v>0.17088746886872999</v>
      </c>
      <c r="J865">
        <v>0.114555926515698</v>
      </c>
      <c r="K865">
        <v>8.3023518253008202E-2</v>
      </c>
      <c r="L865">
        <v>810.032055000215</v>
      </c>
      <c r="M865">
        <v>14.000168508982799</v>
      </c>
      <c r="N865">
        <v>57.858736159164799</v>
      </c>
      <c r="O865">
        <v>56.716624530090598</v>
      </c>
      <c r="P865">
        <v>-6.17192101691579E-2</v>
      </c>
      <c r="Q865">
        <v>0</v>
      </c>
      <c r="R865">
        <v>0.871476032898022</v>
      </c>
      <c r="S865" t="s">
        <v>7176</v>
      </c>
      <c r="T865" t="s">
        <v>12620</v>
      </c>
      <c r="U865" t="s">
        <v>12620</v>
      </c>
      <c r="V865" t="s">
        <v>12620</v>
      </c>
      <c r="W865" t="s">
        <v>13456</v>
      </c>
      <c r="X865">
        <v>3</v>
      </c>
      <c r="Y865" t="s">
        <v>19698</v>
      </c>
      <c r="Z865" t="s">
        <v>25812</v>
      </c>
      <c r="AA865">
        <v>0.60921601919713875</v>
      </c>
      <c r="AB865" t="str">
        <f>HYPERLINK("Melting_Curves/meltCurve_M0QZ22_SAMD4B.pdf", "Melting_Curves/meltCurve_M0QZ22_SAMD4B.pdf")</f>
        <v>Melting_Curves/meltCurve_M0QZ22_SAMD4B.pdf</v>
      </c>
    </row>
    <row r="866" spans="1:28" x14ac:dyDescent="0.25">
      <c r="A866" t="s">
        <v>870</v>
      </c>
      <c r="B866">
        <v>0.99987803227770999</v>
      </c>
      <c r="C866">
        <v>0.86433206999188805</v>
      </c>
      <c r="D866">
        <v>1.0129988841878801</v>
      </c>
      <c r="E866">
        <v>0.60325430448249495</v>
      </c>
      <c r="F866">
        <v>0.496701167513801</v>
      </c>
      <c r="G866">
        <v>0.33884622008604298</v>
      </c>
      <c r="H866">
        <v>0.33344673778580503</v>
      </c>
      <c r="I866">
        <v>0.32999762623106299</v>
      </c>
      <c r="J866">
        <v>0.232073194912995</v>
      </c>
      <c r="K866">
        <v>0.22136530403142601</v>
      </c>
      <c r="L866">
        <v>977.709330972104</v>
      </c>
      <c r="M866">
        <v>19.378424765625901</v>
      </c>
      <c r="N866">
        <v>52.5236104671758</v>
      </c>
      <c r="O866">
        <v>49.925427905668201</v>
      </c>
      <c r="P866">
        <v>-7.1126314681610903E-2</v>
      </c>
      <c r="Q866">
        <v>0.267044497849314</v>
      </c>
      <c r="R866">
        <v>0.95675607746792302</v>
      </c>
      <c r="S866" t="s">
        <v>7177</v>
      </c>
      <c r="T866" t="s">
        <v>12620</v>
      </c>
      <c r="U866" t="s">
        <v>12620</v>
      </c>
      <c r="V866" t="s">
        <v>12620</v>
      </c>
      <c r="W866" t="s">
        <v>13457</v>
      </c>
      <c r="X866">
        <v>22</v>
      </c>
      <c r="Y866" t="s">
        <v>19699</v>
      </c>
      <c r="Z866" t="s">
        <v>25813</v>
      </c>
      <c r="AA866">
        <v>0.53326373097027235</v>
      </c>
      <c r="AB866" t="str">
        <f>HYPERLINK("Melting_Curves/meltCurve_M0QZM1_HNRNPM.pdf", "Melting_Curves/meltCurve_M0QZM1_HNRNPM.pdf")</f>
        <v>Melting_Curves/meltCurve_M0QZM1_HNRNPM.pdf</v>
      </c>
    </row>
    <row r="867" spans="1:28" x14ac:dyDescent="0.25">
      <c r="A867" t="s">
        <v>871</v>
      </c>
      <c r="B867">
        <v>0.99987803227770999</v>
      </c>
      <c r="C867">
        <v>1.07432369016028</v>
      </c>
      <c r="D867">
        <v>0.826171378404296</v>
      </c>
      <c r="E867">
        <v>0.47556596851511601</v>
      </c>
      <c r="F867">
        <v>0.25342691784948801</v>
      </c>
      <c r="G867">
        <v>0.15499963244550699</v>
      </c>
      <c r="H867">
        <v>0.10839396116458</v>
      </c>
      <c r="I867">
        <v>0.100481856466426</v>
      </c>
      <c r="J867">
        <v>6.6091807967027294E-2</v>
      </c>
      <c r="K867">
        <v>4.5287362775715698E-2</v>
      </c>
      <c r="L867">
        <v>1099.9376477697999</v>
      </c>
      <c r="M867">
        <v>22.248909142450401</v>
      </c>
      <c r="N867">
        <v>49.831816561637197</v>
      </c>
      <c r="O867">
        <v>49.043659782599903</v>
      </c>
      <c r="P867">
        <v>-0.104268919518664</v>
      </c>
      <c r="Q867">
        <v>8.0652869187534906E-2</v>
      </c>
      <c r="R867">
        <v>0.99023613683189404</v>
      </c>
      <c r="S867" t="s">
        <v>7178</v>
      </c>
      <c r="T867" t="s">
        <v>12620</v>
      </c>
      <c r="U867" t="s">
        <v>12620</v>
      </c>
      <c r="V867" t="s">
        <v>12620</v>
      </c>
      <c r="W867" t="s">
        <v>13458</v>
      </c>
      <c r="X867">
        <v>36</v>
      </c>
      <c r="Y867" t="s">
        <v>19700</v>
      </c>
      <c r="Z867" t="s">
        <v>25814</v>
      </c>
      <c r="AA867">
        <v>0.38023240951328691</v>
      </c>
      <c r="AB867" t="str">
        <f>HYPERLINK("Melting_Curves/meltCurve_M0QZR4_ARHGEF1.pdf", "Melting_Curves/meltCurve_M0QZR4_ARHGEF1.pdf")</f>
        <v>Melting_Curves/meltCurve_M0QZR4_ARHGEF1.pdf</v>
      </c>
    </row>
    <row r="868" spans="1:28" x14ac:dyDescent="0.25">
      <c r="A868" t="s">
        <v>872</v>
      </c>
      <c r="B868">
        <v>0.99987803227770999</v>
      </c>
      <c r="C868">
        <v>1.1587523174573799</v>
      </c>
      <c r="D868">
        <v>1.03900208487487</v>
      </c>
      <c r="E868">
        <v>1.0330606962436799</v>
      </c>
      <c r="F868">
        <v>0.77651875248158597</v>
      </c>
      <c r="G868">
        <v>0.63001841141386306</v>
      </c>
      <c r="H868">
        <v>0.365302413949947</v>
      </c>
      <c r="I868">
        <v>0.23772255953825999</v>
      </c>
      <c r="J868">
        <v>0.152813480947803</v>
      </c>
      <c r="K868">
        <v>0.104277730102925</v>
      </c>
      <c r="L868">
        <v>992.25122860262195</v>
      </c>
      <c r="M868">
        <v>17.031301870407098</v>
      </c>
      <c r="N868">
        <v>58.7167978603023</v>
      </c>
      <c r="O868">
        <v>57.4750428589103</v>
      </c>
      <c r="P868">
        <v>-6.9493211942092806E-2</v>
      </c>
      <c r="Q868">
        <v>6.1990924910176798E-2</v>
      </c>
      <c r="R868">
        <v>0.97184864633349599</v>
      </c>
      <c r="S868" t="s">
        <v>7179</v>
      </c>
      <c r="T868" t="s">
        <v>12620</v>
      </c>
      <c r="U868" t="s">
        <v>12620</v>
      </c>
      <c r="V868" t="s">
        <v>12620</v>
      </c>
      <c r="W868" t="s">
        <v>13459</v>
      </c>
      <c r="X868">
        <v>4</v>
      </c>
      <c r="Y868" t="s">
        <v>19701</v>
      </c>
      <c r="Z868" t="s">
        <v>25815</v>
      </c>
      <c r="AA868">
        <v>0.64448847431842793</v>
      </c>
      <c r="AB868" t="str">
        <f>HYPERLINK("Melting_Curves/meltCurve_M0R0B4_KXD1.pdf", "Melting_Curves/meltCurve_M0R0B4_KXD1.pdf")</f>
        <v>Melting_Curves/meltCurve_M0R0B4_KXD1.pdf</v>
      </c>
    </row>
    <row r="869" spans="1:28" x14ac:dyDescent="0.25">
      <c r="A869" t="s">
        <v>873</v>
      </c>
      <c r="B869">
        <v>0.99987803227770999</v>
      </c>
      <c r="C869">
        <v>0.83716905313721002</v>
      </c>
      <c r="D869">
        <v>0.61224950987819904</v>
      </c>
      <c r="E869">
        <v>0.45891965884561597</v>
      </c>
      <c r="F869">
        <v>0.25068699279497603</v>
      </c>
      <c r="G869">
        <v>0.12459269456331901</v>
      </c>
      <c r="H869">
        <v>7.9361244259184102E-2</v>
      </c>
      <c r="I869">
        <v>6.8891522857491796E-2</v>
      </c>
      <c r="J869">
        <v>6.8324730694931002E-2</v>
      </c>
      <c r="K869">
        <v>4.7578520098779997E-2</v>
      </c>
      <c r="L869">
        <v>637.89052104560005</v>
      </c>
      <c r="M869">
        <v>13.226710942879</v>
      </c>
      <c r="N869">
        <v>48.469851496130403</v>
      </c>
      <c r="O869">
        <v>47.1650262473906</v>
      </c>
      <c r="P869">
        <v>-6.7876153508578202E-2</v>
      </c>
      <c r="Q869">
        <v>3.2003728742874903E-2</v>
      </c>
      <c r="R869">
        <v>0.99099960754515604</v>
      </c>
      <c r="S869" t="s">
        <v>7180</v>
      </c>
      <c r="T869" t="s">
        <v>12620</v>
      </c>
      <c r="U869" t="s">
        <v>12620</v>
      </c>
      <c r="V869" t="s">
        <v>12620</v>
      </c>
      <c r="W869" t="s">
        <v>13460</v>
      </c>
      <c r="X869">
        <v>8</v>
      </c>
      <c r="Y869" t="s">
        <v>19702</v>
      </c>
      <c r="Z869" t="s">
        <v>25816</v>
      </c>
      <c r="AA869">
        <v>0.3288035833940644</v>
      </c>
      <c r="AB869" t="str">
        <f>HYPERLINK("Melting_Curves/meltCurve_M0R0F0_RPS5.pdf", "Melting_Curves/meltCurve_M0R0F0_RPS5.pdf")</f>
        <v>Melting_Curves/meltCurve_M0R0F0_RPS5.pdf</v>
      </c>
    </row>
    <row r="870" spans="1:28" x14ac:dyDescent="0.25">
      <c r="A870" t="s">
        <v>874</v>
      </c>
      <c r="B870">
        <v>0.99987803227770999</v>
      </c>
      <c r="C870">
        <v>0.99642095049022295</v>
      </c>
      <c r="D870">
        <v>0.65682462985696299</v>
      </c>
      <c r="E870">
        <v>0.47024768908891701</v>
      </c>
      <c r="F870">
        <v>0.32988600846361599</v>
      </c>
      <c r="G870">
        <v>0.244135632251613</v>
      </c>
      <c r="H870">
        <v>0.20383318718921001</v>
      </c>
      <c r="I870">
        <v>0.16611157738146101</v>
      </c>
      <c r="J870">
        <v>0.146603563711279</v>
      </c>
      <c r="K870">
        <v>0.10312147878374001</v>
      </c>
      <c r="L870">
        <v>763.64530350540895</v>
      </c>
      <c r="M870">
        <v>15.7871588636844</v>
      </c>
      <c r="N870">
        <v>49.4430993308399</v>
      </c>
      <c r="O870">
        <v>47.615133403989503</v>
      </c>
      <c r="P870">
        <v>-7.0884063267881506E-2</v>
      </c>
      <c r="Q870">
        <v>0.14490647872663401</v>
      </c>
      <c r="R870">
        <v>0.980049581672644</v>
      </c>
      <c r="S870" t="s">
        <v>7181</v>
      </c>
      <c r="T870" t="s">
        <v>12620</v>
      </c>
      <c r="U870" t="s">
        <v>12620</v>
      </c>
      <c r="V870" t="s">
        <v>12620</v>
      </c>
      <c r="W870" t="s">
        <v>13461</v>
      </c>
      <c r="X870">
        <v>14</v>
      </c>
      <c r="Y870" t="s">
        <v>19703</v>
      </c>
      <c r="Z870" t="s">
        <v>25817</v>
      </c>
      <c r="AA870">
        <v>0.40308721298469741</v>
      </c>
      <c r="AB870" t="str">
        <f>HYPERLINK("Melting_Curves/meltCurve_M0R0P8_MYO9B.pdf", "Melting_Curves/meltCurve_M0R0P8_MYO9B.pdf")</f>
        <v>Melting_Curves/meltCurve_M0R0P8_MYO9B.pdf</v>
      </c>
    </row>
    <row r="871" spans="1:28" x14ac:dyDescent="0.25">
      <c r="A871" t="s">
        <v>875</v>
      </c>
      <c r="B871">
        <v>0.99987803227770999</v>
      </c>
      <c r="C871">
        <v>1.03563810479509</v>
      </c>
      <c r="D871">
        <v>0.86511366238941401</v>
      </c>
      <c r="E871">
        <v>0.64361905667792296</v>
      </c>
      <c r="F871">
        <v>0.240315594046276</v>
      </c>
      <c r="G871">
        <v>0.137975544691013</v>
      </c>
      <c r="H871">
        <v>0.107859229518959</v>
      </c>
      <c r="I871">
        <v>0.10423715358263599</v>
      </c>
      <c r="J871">
        <v>7.7210400547824506E-2</v>
      </c>
      <c r="K871">
        <v>5.4341818182850603E-2</v>
      </c>
      <c r="L871">
        <v>1321.7583425026</v>
      </c>
      <c r="M871">
        <v>26.182292300547498</v>
      </c>
      <c r="N871">
        <v>50.822345202712803</v>
      </c>
      <c r="O871">
        <v>50.191188130669602</v>
      </c>
      <c r="P871">
        <v>-0.119953027432219</v>
      </c>
      <c r="Q871">
        <v>8.0215616868306305E-2</v>
      </c>
      <c r="R871">
        <v>0.99180453039356997</v>
      </c>
      <c r="S871" t="s">
        <v>7182</v>
      </c>
      <c r="T871" t="s">
        <v>12620</v>
      </c>
      <c r="U871" t="s">
        <v>12620</v>
      </c>
      <c r="V871" t="s">
        <v>12620</v>
      </c>
      <c r="W871" t="s">
        <v>13462</v>
      </c>
      <c r="X871">
        <v>1</v>
      </c>
      <c r="Y871" t="s">
        <v>19704</v>
      </c>
      <c r="Z871" t="s">
        <v>25818</v>
      </c>
      <c r="AA871">
        <v>0.40915154993208691</v>
      </c>
      <c r="AB871" t="str">
        <f>HYPERLINK("Melting_Curves/meltCurve_M0R0W0_METTL6.pdf", "Melting_Curves/meltCurve_M0R0W0_METTL6.pdf")</f>
        <v>Melting_Curves/meltCurve_M0R0W0_METTL6.pdf</v>
      </c>
    </row>
    <row r="872" spans="1:28" x14ac:dyDescent="0.25">
      <c r="A872" t="s">
        <v>876</v>
      </c>
      <c r="B872">
        <v>0.99987803227770999</v>
      </c>
      <c r="C872">
        <v>1.0363921550475801</v>
      </c>
      <c r="D872">
        <v>0.82328435668617606</v>
      </c>
      <c r="E872">
        <v>1.04867410547241</v>
      </c>
      <c r="F872">
        <v>0.89233690883195604</v>
      </c>
      <c r="G872">
        <v>0.80295953988637603</v>
      </c>
      <c r="H872">
        <v>0.54301668938171299</v>
      </c>
      <c r="I872">
        <v>0.646046083213212</v>
      </c>
      <c r="J872">
        <v>0.42387500151938501</v>
      </c>
      <c r="K872">
        <v>0.315192941658615</v>
      </c>
      <c r="L872">
        <v>614.44391205919806</v>
      </c>
      <c r="M872">
        <v>9.4493235047997501</v>
      </c>
      <c r="N872">
        <v>65.025168216520399</v>
      </c>
      <c r="O872">
        <v>62.312543689019698</v>
      </c>
      <c r="P872">
        <v>-3.7933890916952401E-2</v>
      </c>
      <c r="Q872">
        <v>0</v>
      </c>
      <c r="R872">
        <v>0.89933591512826805</v>
      </c>
      <c r="S872" t="s">
        <v>7183</v>
      </c>
      <c r="T872" t="s">
        <v>12620</v>
      </c>
      <c r="U872" t="s">
        <v>12620</v>
      </c>
      <c r="V872" t="s">
        <v>12620</v>
      </c>
      <c r="W872" t="s">
        <v>13463</v>
      </c>
      <c r="X872">
        <v>3</v>
      </c>
      <c r="Y872" t="s">
        <v>19705</v>
      </c>
      <c r="Z872" t="s">
        <v>25819</v>
      </c>
      <c r="AA872">
        <v>0.77442741159036399</v>
      </c>
      <c r="AB872" t="str">
        <f>HYPERLINK("Melting_Curves/meltCurve_M0R2P6_SHKBP1.pdf", "Melting_Curves/meltCurve_M0R2P6_SHKBP1.pdf")</f>
        <v>Melting_Curves/meltCurve_M0R2P6_SHKBP1.pdf</v>
      </c>
    </row>
    <row r="873" spans="1:28" x14ac:dyDescent="0.25">
      <c r="A873" t="s">
        <v>877</v>
      </c>
      <c r="B873">
        <v>0.99987803227770999</v>
      </c>
      <c r="C873">
        <v>1.1111053328594001</v>
      </c>
      <c r="D873">
        <v>0.85831495085529896</v>
      </c>
      <c r="E873">
        <v>1.16053572244576</v>
      </c>
      <c r="F873">
        <v>0.79242497473239004</v>
      </c>
      <c r="G873">
        <v>1.1082429430429701</v>
      </c>
      <c r="H873">
        <v>1.0396739932350201</v>
      </c>
      <c r="I873">
        <v>0.78168200512585395</v>
      </c>
      <c r="J873">
        <v>0.86873169460243305</v>
      </c>
      <c r="K873">
        <v>0.50729924384812297</v>
      </c>
      <c r="L873">
        <v>1742.8589140622501</v>
      </c>
      <c r="M873">
        <v>24.755392897634</v>
      </c>
      <c r="O873">
        <v>69.948609705039104</v>
      </c>
      <c r="P873">
        <v>-8.8478309580762901E-2</v>
      </c>
      <c r="Q873">
        <v>0</v>
      </c>
      <c r="R873">
        <v>0.597252181365448</v>
      </c>
      <c r="S873" t="s">
        <v>7184</v>
      </c>
      <c r="T873" t="s">
        <v>12620</v>
      </c>
      <c r="U873" t="s">
        <v>12620</v>
      </c>
      <c r="V873" t="s">
        <v>12620</v>
      </c>
      <c r="W873" t="s">
        <v>13464</v>
      </c>
      <c r="X873">
        <v>3</v>
      </c>
      <c r="Y873" t="s">
        <v>19706</v>
      </c>
      <c r="Z873" t="s">
        <v>25820</v>
      </c>
      <c r="AA873">
        <v>0.94635245206791796</v>
      </c>
      <c r="AB873" t="str">
        <f>HYPERLINK("Melting_Curves/meltCurve_M0R3D4_RABAC1.pdf", "Melting_Curves/meltCurve_M0R3D4_RABAC1.pdf")</f>
        <v>Melting_Curves/meltCurve_M0R3D4_RABAC1.pdf</v>
      </c>
    </row>
    <row r="874" spans="1:28" x14ac:dyDescent="0.25">
      <c r="A874" t="s">
        <v>878</v>
      </c>
      <c r="B874">
        <v>0.99987803227770999</v>
      </c>
      <c r="C874">
        <v>1.06882546263865</v>
      </c>
      <c r="D874">
        <v>0.91315283912951295</v>
      </c>
      <c r="E874">
        <v>0.66708219815392</v>
      </c>
      <c r="F874">
        <v>0.197367389830019</v>
      </c>
      <c r="G874">
        <v>0.103646487691007</v>
      </c>
      <c r="H874">
        <v>8.4821145890561403E-2</v>
      </c>
      <c r="I874">
        <v>8.8724850902267102E-2</v>
      </c>
      <c r="J874">
        <v>7.6811094555921305E-2</v>
      </c>
      <c r="K874">
        <v>3.9683636286210897E-2</v>
      </c>
      <c r="L874">
        <v>1958.9682255575699</v>
      </c>
      <c r="M874">
        <v>38.668608302748197</v>
      </c>
      <c r="N874">
        <v>50.869793798104702</v>
      </c>
      <c r="O874">
        <v>50.525486206047702</v>
      </c>
      <c r="P874">
        <v>-0.17725566594669001</v>
      </c>
      <c r="Q874">
        <v>7.3572970198795606E-2</v>
      </c>
      <c r="R874">
        <v>0.99296427034695101</v>
      </c>
      <c r="S874" t="s">
        <v>7185</v>
      </c>
      <c r="T874" t="s">
        <v>12620</v>
      </c>
      <c r="U874" t="s">
        <v>12620</v>
      </c>
      <c r="V874" t="s">
        <v>12620</v>
      </c>
      <c r="W874" t="s">
        <v>13465</v>
      </c>
      <c r="X874">
        <v>3</v>
      </c>
      <c r="Y874" t="s">
        <v>19707</v>
      </c>
      <c r="Z874" t="s">
        <v>25821</v>
      </c>
      <c r="AA874">
        <v>0.4062500454391163</v>
      </c>
      <c r="AB874" t="str">
        <f>HYPERLINK("Melting_Curves/meltCurve_O00116_AGPS.pdf", "Melting_Curves/meltCurve_O00116_AGPS.pdf")</f>
        <v>Melting_Curves/meltCurve_O00116_AGPS.pdf</v>
      </c>
    </row>
    <row r="875" spans="1:28" x14ac:dyDescent="0.25">
      <c r="A875" t="s">
        <v>879</v>
      </c>
      <c r="B875">
        <v>0.99987803227770999</v>
      </c>
      <c r="C875">
        <v>0.94030222958498899</v>
      </c>
      <c r="D875">
        <v>0.77033978158440497</v>
      </c>
      <c r="E875">
        <v>0.58866908180093902</v>
      </c>
      <c r="F875">
        <v>0.75789272165147203</v>
      </c>
      <c r="G875">
        <v>0.57649603693588103</v>
      </c>
      <c r="H875">
        <v>0.75196504414196397</v>
      </c>
      <c r="I875">
        <v>0.64051871308066899</v>
      </c>
      <c r="J875">
        <v>0.46321223632015202</v>
      </c>
      <c r="K875">
        <v>0.46283242648855699</v>
      </c>
      <c r="S875" t="s">
        <v>7186</v>
      </c>
      <c r="T875" t="s">
        <v>12620</v>
      </c>
      <c r="U875" t="s">
        <v>12621</v>
      </c>
      <c r="V875" t="s">
        <v>12620</v>
      </c>
      <c r="W875" t="s">
        <v>13466</v>
      </c>
      <c r="X875">
        <v>15</v>
      </c>
      <c r="Y875" t="s">
        <v>19708</v>
      </c>
      <c r="Z875" t="s">
        <v>25822</v>
      </c>
      <c r="AB875" t="str">
        <f>HYPERLINK("Melting_Curves/meltCurve_O00139_1_KIF2A.pdf", "Melting_Curves/meltCurve_O00139_1_KIF2A.pdf")</f>
        <v>Melting_Curves/meltCurve_O00139_1_KIF2A.pdf</v>
      </c>
    </row>
    <row r="876" spans="1:28" x14ac:dyDescent="0.25">
      <c r="A876" t="s">
        <v>880</v>
      </c>
      <c r="B876">
        <v>0.99987803227770999</v>
      </c>
      <c r="C876">
        <v>0.93932602302924595</v>
      </c>
      <c r="D876">
        <v>0.73756540108901103</v>
      </c>
      <c r="E876">
        <v>0.42654270822137602</v>
      </c>
      <c r="F876">
        <v>0.34216007143947003</v>
      </c>
      <c r="G876">
        <v>0.218493429651718</v>
      </c>
      <c r="H876">
        <v>0.22360650097975199</v>
      </c>
      <c r="I876">
        <v>0.193567366895844</v>
      </c>
      <c r="J876">
        <v>0.22344342486233101</v>
      </c>
      <c r="K876">
        <v>0.18406309588356001</v>
      </c>
      <c r="L876">
        <v>926.067855303643</v>
      </c>
      <c r="M876">
        <v>19.361195301442802</v>
      </c>
      <c r="N876">
        <v>49.138212172430997</v>
      </c>
      <c r="O876">
        <v>47.3296306060818</v>
      </c>
      <c r="P876">
        <v>-8.1689175677479103E-2</v>
      </c>
      <c r="Q876">
        <v>0.20125273706263999</v>
      </c>
      <c r="R876">
        <v>0.99620773378564498</v>
      </c>
      <c r="S876" t="s">
        <v>7187</v>
      </c>
      <c r="T876" t="s">
        <v>12620</v>
      </c>
      <c r="U876" t="s">
        <v>12620</v>
      </c>
      <c r="V876" t="s">
        <v>12620</v>
      </c>
      <c r="W876" t="s">
        <v>13467</v>
      </c>
      <c r="X876">
        <v>15</v>
      </c>
      <c r="Y876" t="s">
        <v>19708</v>
      </c>
      <c r="Z876" t="s">
        <v>25823</v>
      </c>
      <c r="AA876">
        <v>0.42196591828300178</v>
      </c>
      <c r="AB876" t="str">
        <f>HYPERLINK("Melting_Curves/meltCurve_O00139_2_KIF2A.pdf", "Melting_Curves/meltCurve_O00139_2_KIF2A.pdf")</f>
        <v>Melting_Curves/meltCurve_O00139_2_KIF2A.pdf</v>
      </c>
    </row>
    <row r="877" spans="1:28" x14ac:dyDescent="0.25">
      <c r="A877" t="s">
        <v>881</v>
      </c>
      <c r="B877">
        <v>0.99987803227770999</v>
      </c>
      <c r="C877">
        <v>0.69047292834741802</v>
      </c>
      <c r="D877">
        <v>0.43282113152053497</v>
      </c>
      <c r="E877">
        <v>0.37183309466050002</v>
      </c>
      <c r="F877">
        <v>0.28351062882970701</v>
      </c>
      <c r="G877">
        <v>0.19877398808672</v>
      </c>
      <c r="H877">
        <v>0.137047404244212</v>
      </c>
      <c r="I877">
        <v>0.12967129263131899</v>
      </c>
      <c r="J877">
        <v>0.10293638299652499</v>
      </c>
      <c r="K877">
        <v>6.4374559762482395E-2</v>
      </c>
      <c r="L877">
        <v>593.81464538530304</v>
      </c>
      <c r="M877">
        <v>13.022223650145801</v>
      </c>
      <c r="N877">
        <v>46.454691955205902</v>
      </c>
      <c r="O877">
        <v>44.564953443202903</v>
      </c>
      <c r="P877">
        <v>-6.5282383865297999E-2</v>
      </c>
      <c r="Q877">
        <v>0.106513503705186</v>
      </c>
      <c r="R877">
        <v>0.95684115614301901</v>
      </c>
      <c r="S877" t="s">
        <v>7188</v>
      </c>
      <c r="T877" t="s">
        <v>12620</v>
      </c>
      <c r="U877" t="s">
        <v>12620</v>
      </c>
      <c r="V877" t="s">
        <v>12620</v>
      </c>
      <c r="W877" t="s">
        <v>13468</v>
      </c>
      <c r="X877">
        <v>19</v>
      </c>
      <c r="Y877" t="s">
        <v>19709</v>
      </c>
      <c r="Z877" t="s">
        <v>25824</v>
      </c>
      <c r="AA877">
        <v>0.30934032708817488</v>
      </c>
      <c r="AB877" t="str">
        <f>HYPERLINK("Melting_Curves/meltCurve_O00148_DDX39A.pdf", "Melting_Curves/meltCurve_O00148_DDX39A.pdf")</f>
        <v>Melting_Curves/meltCurve_O00148_DDX39A.pdf</v>
      </c>
    </row>
    <row r="878" spans="1:28" x14ac:dyDescent="0.25">
      <c r="A878" t="s">
        <v>882</v>
      </c>
      <c r="B878">
        <v>0.99987803227770999</v>
      </c>
      <c r="C878">
        <v>0.83400671890094102</v>
      </c>
      <c r="D878">
        <v>0.97594756622734102</v>
      </c>
      <c r="E878">
        <v>0.87581807442967397</v>
      </c>
      <c r="F878">
        <v>1.03690944937417</v>
      </c>
      <c r="G878">
        <v>0.89405292917669499</v>
      </c>
      <c r="H878">
        <v>0.93118553243690405</v>
      </c>
      <c r="I878">
        <v>0.98527918154577898</v>
      </c>
      <c r="J878">
        <v>0.95026911691393001</v>
      </c>
      <c r="K878">
        <v>0.76384878411725798</v>
      </c>
      <c r="L878">
        <v>109.30393902639</v>
      </c>
      <c r="M878">
        <v>1.0000000000000001E-5</v>
      </c>
      <c r="O878">
        <v>45.555449712113401</v>
      </c>
      <c r="P878">
        <v>-2.4987074490484102E-3</v>
      </c>
      <c r="Q878">
        <v>0.37819135433643097</v>
      </c>
      <c r="R878">
        <v>6.0496360928562497E-2</v>
      </c>
      <c r="S878" t="s">
        <v>7189</v>
      </c>
      <c r="T878" t="s">
        <v>12620</v>
      </c>
      <c r="U878" t="s">
        <v>12620</v>
      </c>
      <c r="V878" t="s">
        <v>12620</v>
      </c>
      <c r="W878" t="s">
        <v>13469</v>
      </c>
      <c r="X878">
        <v>22</v>
      </c>
      <c r="Y878" t="s">
        <v>19710</v>
      </c>
      <c r="Z878" t="s">
        <v>25825</v>
      </c>
      <c r="AA878">
        <v>0.92577591216643895</v>
      </c>
      <c r="AB878" t="str">
        <f>HYPERLINK("Melting_Curves/meltCurve_O00151_PDLIM1.pdf", "Melting_Curves/meltCurve_O00151_PDLIM1.pdf")</f>
        <v>Melting_Curves/meltCurve_O00151_PDLIM1.pdf</v>
      </c>
    </row>
    <row r="879" spans="1:28" x14ac:dyDescent="0.25">
      <c r="A879" t="s">
        <v>883</v>
      </c>
      <c r="B879">
        <v>0.99987803227770999</v>
      </c>
      <c r="C879">
        <v>1.1239127273507099</v>
      </c>
      <c r="D879">
        <v>0.94183064939030703</v>
      </c>
      <c r="E879">
        <v>1.0586053594881999</v>
      </c>
      <c r="F879">
        <v>0.83840650754405099</v>
      </c>
      <c r="G879">
        <v>0.88289424179850995</v>
      </c>
      <c r="H879">
        <v>0.94544605510845303</v>
      </c>
      <c r="I879">
        <v>0.38166339609295202</v>
      </c>
      <c r="J879">
        <v>0.11815335087923801</v>
      </c>
      <c r="K879">
        <v>7.9398477790956504E-2</v>
      </c>
      <c r="L879">
        <v>4413.5396822678804</v>
      </c>
      <c r="M879">
        <v>69.694141807514598</v>
      </c>
      <c r="N879">
        <v>63.502965747999099</v>
      </c>
      <c r="O879">
        <v>63.275190324528403</v>
      </c>
      <c r="P879">
        <v>-0.25121441201448802</v>
      </c>
      <c r="Q879">
        <v>8.7691693418568903E-2</v>
      </c>
      <c r="R879">
        <v>0.95499611037947896</v>
      </c>
      <c r="S879" t="s">
        <v>7190</v>
      </c>
      <c r="T879" t="s">
        <v>12620</v>
      </c>
      <c r="U879" t="s">
        <v>12620</v>
      </c>
      <c r="V879" t="s">
        <v>12620</v>
      </c>
      <c r="W879" t="s">
        <v>13470</v>
      </c>
      <c r="X879">
        <v>18</v>
      </c>
      <c r="Y879" t="s">
        <v>19711</v>
      </c>
      <c r="Z879" t="s">
        <v>25826</v>
      </c>
      <c r="AA879">
        <v>0.79834309610999887</v>
      </c>
      <c r="AB879" t="str">
        <f>HYPERLINK("Melting_Curves/meltCurve_O00154_4_ACOT7.pdf", "Melting_Curves/meltCurve_O00154_4_ACOT7.pdf")</f>
        <v>Melting_Curves/meltCurve_O00154_4_ACOT7.pdf</v>
      </c>
    </row>
    <row r="880" spans="1:28" x14ac:dyDescent="0.25">
      <c r="A880" t="s">
        <v>884</v>
      </c>
      <c r="B880">
        <v>0.99987803227770999</v>
      </c>
      <c r="C880">
        <v>0.51349406546910203</v>
      </c>
      <c r="D880">
        <v>0.30886741532406797</v>
      </c>
      <c r="E880">
        <v>0.27458858200818298</v>
      </c>
      <c r="F880">
        <v>0.16364098780524</v>
      </c>
      <c r="G880">
        <v>9.2730652226923602E-2</v>
      </c>
      <c r="H880">
        <v>6.9963032562421507E-2</v>
      </c>
      <c r="I880">
        <v>5.8126048530383702E-2</v>
      </c>
      <c r="J880">
        <v>5.2077953354845198E-2</v>
      </c>
      <c r="K880">
        <v>3.8157622470471199E-2</v>
      </c>
      <c r="L880">
        <v>867.37747091008396</v>
      </c>
      <c r="M880">
        <v>19.920523578567199</v>
      </c>
      <c r="N880">
        <v>43.960166044704103</v>
      </c>
      <c r="O880">
        <v>43.110234648351003</v>
      </c>
      <c r="P880">
        <v>-0.105551586234161</v>
      </c>
      <c r="Q880">
        <v>8.6328596089374293E-2</v>
      </c>
      <c r="R880">
        <v>0.93878662520878198</v>
      </c>
      <c r="S880" t="s">
        <v>7191</v>
      </c>
      <c r="T880" t="s">
        <v>12620</v>
      </c>
      <c r="U880" t="s">
        <v>12620</v>
      </c>
      <c r="V880" t="s">
        <v>12620</v>
      </c>
      <c r="W880" t="s">
        <v>13471</v>
      </c>
      <c r="X880">
        <v>37</v>
      </c>
      <c r="Y880" t="s">
        <v>19712</v>
      </c>
      <c r="Z880" t="s">
        <v>25827</v>
      </c>
      <c r="AA880">
        <v>0.21363513271001719</v>
      </c>
      <c r="AB880" t="str">
        <f>HYPERLINK("Melting_Curves/meltCurve_O00159_MYO1C.pdf", "Melting_Curves/meltCurve_O00159_MYO1C.pdf")</f>
        <v>Melting_Curves/meltCurve_O00159_MYO1C.pdf</v>
      </c>
    </row>
    <row r="881" spans="1:28" x14ac:dyDescent="0.25">
      <c r="A881" t="s">
        <v>885</v>
      </c>
      <c r="B881">
        <v>0.99987803227770999</v>
      </c>
      <c r="C881">
        <v>0.86093994491710601</v>
      </c>
      <c r="D881">
        <v>0.97513292270053598</v>
      </c>
      <c r="E881">
        <v>0.88953295012126399</v>
      </c>
      <c r="F881">
        <v>1.00651641249984</v>
      </c>
      <c r="G881">
        <v>0.92697280149926697</v>
      </c>
      <c r="H881">
        <v>0.80702707699863396</v>
      </c>
      <c r="I881">
        <v>0.86653925013736899</v>
      </c>
      <c r="J881">
        <v>0.69082352701294503</v>
      </c>
      <c r="K881">
        <v>0.57679915921404401</v>
      </c>
      <c r="L881">
        <v>643.13379695975095</v>
      </c>
      <c r="M881">
        <v>8.7663056119471001</v>
      </c>
      <c r="O881">
        <v>69.846978257858197</v>
      </c>
      <c r="P881">
        <v>-3.1401994239144297E-2</v>
      </c>
      <c r="Q881">
        <v>0</v>
      </c>
      <c r="R881">
        <v>0.76822116204523905</v>
      </c>
      <c r="S881" t="s">
        <v>7192</v>
      </c>
      <c r="T881" t="s">
        <v>12620</v>
      </c>
      <c r="U881" t="s">
        <v>12620</v>
      </c>
      <c r="V881" t="s">
        <v>12620</v>
      </c>
      <c r="W881" t="s">
        <v>13472</v>
      </c>
      <c r="X881">
        <v>9</v>
      </c>
      <c r="Y881" t="s">
        <v>19713</v>
      </c>
      <c r="Z881" t="s">
        <v>25828</v>
      </c>
      <c r="AA881">
        <v>0.89577294596494061</v>
      </c>
      <c r="AB881" t="str">
        <f>HYPERLINK("Melting_Curves/meltCurve_O00161_SNAP23.pdf", "Melting_Curves/meltCurve_O00161_SNAP23.pdf")</f>
        <v>Melting_Curves/meltCurve_O00161_SNAP23.pdf</v>
      </c>
    </row>
    <row r="882" spans="1:28" x14ac:dyDescent="0.25">
      <c r="A882" t="s">
        <v>886</v>
      </c>
      <c r="B882">
        <v>0.99987803227770999</v>
      </c>
      <c r="C882">
        <v>0.86567238738622199</v>
      </c>
      <c r="D882">
        <v>0.989022763209643</v>
      </c>
      <c r="E882">
        <v>0.88627707390066901</v>
      </c>
      <c r="F882">
        <v>0.59281505783097999</v>
      </c>
      <c r="G882">
        <v>0.21238935515232299</v>
      </c>
      <c r="H882">
        <v>0.117774784334419</v>
      </c>
      <c r="I882">
        <v>0.107736525549045</v>
      </c>
      <c r="J882">
        <v>8.0126844012904805E-2</v>
      </c>
      <c r="K882">
        <v>5.2445464460504701E-2</v>
      </c>
      <c r="L882">
        <v>1463.1519215508599</v>
      </c>
      <c r="M882">
        <v>27.365894337660102</v>
      </c>
      <c r="N882">
        <v>53.792905956496902</v>
      </c>
      <c r="O882">
        <v>53.183191695885398</v>
      </c>
      <c r="P882">
        <v>-0.118793341643519</v>
      </c>
      <c r="Q882">
        <v>7.6551219357075304E-2</v>
      </c>
      <c r="R882">
        <v>0.987612272358662</v>
      </c>
      <c r="S882" t="s">
        <v>7193</v>
      </c>
      <c r="T882" t="s">
        <v>12620</v>
      </c>
      <c r="U882" t="s">
        <v>12620</v>
      </c>
      <c r="V882" t="s">
        <v>12620</v>
      </c>
      <c r="W882" t="s">
        <v>13473</v>
      </c>
      <c r="X882">
        <v>13</v>
      </c>
      <c r="Y882" t="s">
        <v>19714</v>
      </c>
      <c r="Z882" t="s">
        <v>25829</v>
      </c>
      <c r="AA882">
        <v>0.49825825287698788</v>
      </c>
      <c r="AB882" t="str">
        <f>HYPERLINK("Melting_Curves/meltCurve_O00170_AIP.pdf", "Melting_Curves/meltCurve_O00170_AIP.pdf")</f>
        <v>Melting_Curves/meltCurve_O00170_AIP.pdf</v>
      </c>
    </row>
    <row r="883" spans="1:28" x14ac:dyDescent="0.25">
      <c r="A883" t="s">
        <v>887</v>
      </c>
      <c r="B883">
        <v>0.99987803227770999</v>
      </c>
      <c r="C883">
        <v>0.99801797166602901</v>
      </c>
      <c r="D883">
        <v>0.93488608795847805</v>
      </c>
      <c r="E883">
        <v>0.78569035939446996</v>
      </c>
      <c r="F883">
        <v>0.39728938233408501</v>
      </c>
      <c r="G883">
        <v>0.193791854673906</v>
      </c>
      <c r="H883">
        <v>0.145244546415704</v>
      </c>
      <c r="I883">
        <v>0.12720271523471</v>
      </c>
      <c r="J883">
        <v>9.2613684191216197E-2</v>
      </c>
      <c r="K883">
        <v>7.3394368148437902E-2</v>
      </c>
      <c r="L883">
        <v>1406.51310683008</v>
      </c>
      <c r="M883">
        <v>27.1337503424879</v>
      </c>
      <c r="N883">
        <v>52.292019523868298</v>
      </c>
      <c r="O883">
        <v>51.557191839204897</v>
      </c>
      <c r="P883">
        <v>-0.11771845158442</v>
      </c>
      <c r="Q883">
        <v>0.105295235476961</v>
      </c>
      <c r="R883">
        <v>0.99641298490557295</v>
      </c>
      <c r="S883" t="s">
        <v>7194</v>
      </c>
      <c r="T883" t="s">
        <v>12620</v>
      </c>
      <c r="U883" t="s">
        <v>12620</v>
      </c>
      <c r="V883" t="s">
        <v>12620</v>
      </c>
      <c r="W883" t="s">
        <v>13474</v>
      </c>
      <c r="X883">
        <v>6</v>
      </c>
      <c r="Y883" t="s">
        <v>19715</v>
      </c>
      <c r="Z883" t="s">
        <v>25830</v>
      </c>
      <c r="AA883">
        <v>0.46524729822238681</v>
      </c>
      <c r="AB883" t="str">
        <f>HYPERLINK("Melting_Curves/meltCurve_O00178_GTPBP1.pdf", "Melting_Curves/meltCurve_O00178_GTPBP1.pdf")</f>
        <v>Melting_Curves/meltCurve_O00178_GTPBP1.pdf</v>
      </c>
    </row>
    <row r="884" spans="1:28" x14ac:dyDescent="0.25">
      <c r="A884" t="s">
        <v>888</v>
      </c>
      <c r="B884">
        <v>0.99987803227770999</v>
      </c>
      <c r="C884">
        <v>1.11839163443668</v>
      </c>
      <c r="D884">
        <v>1.00003636195735</v>
      </c>
      <c r="E884">
        <v>0.91207503299708503</v>
      </c>
      <c r="F884">
        <v>0.87675023109414096</v>
      </c>
      <c r="G884">
        <v>0.3857037900361</v>
      </c>
      <c r="H884">
        <v>0.47417028390361199</v>
      </c>
      <c r="I884">
        <v>0.49790402901249797</v>
      </c>
      <c r="J884">
        <v>0.28835683161006298</v>
      </c>
      <c r="K884">
        <v>0.130433015408532</v>
      </c>
      <c r="L884">
        <v>940.51234025554402</v>
      </c>
      <c r="M884">
        <v>16.811493610181699</v>
      </c>
      <c r="N884">
        <v>58.295972275728701</v>
      </c>
      <c r="O884">
        <v>55.171000633829102</v>
      </c>
      <c r="P884">
        <v>-5.7426891638485397E-2</v>
      </c>
      <c r="Q884">
        <v>0.24620742807551399</v>
      </c>
      <c r="R884">
        <v>0.89997133619167002</v>
      </c>
      <c r="S884" t="s">
        <v>7195</v>
      </c>
      <c r="T884" t="s">
        <v>12620</v>
      </c>
      <c r="U884" t="s">
        <v>12620</v>
      </c>
      <c r="V884" t="s">
        <v>12620</v>
      </c>
      <c r="W884" t="s">
        <v>13475</v>
      </c>
      <c r="X884">
        <v>1</v>
      </c>
      <c r="Y884" t="s">
        <v>19716</v>
      </c>
      <c r="Z884" t="s">
        <v>25831</v>
      </c>
      <c r="AA884">
        <v>0.65887674866174117</v>
      </c>
      <c r="AB884" t="str">
        <f>HYPERLINK("Melting_Curves/meltCurve_O00194_RAB27B.pdf", "Melting_Curves/meltCurve_O00194_RAB27B.pdf")</f>
        <v>Melting_Curves/meltCurve_O00194_RAB27B.pdf</v>
      </c>
    </row>
    <row r="885" spans="1:28" x14ac:dyDescent="0.25">
      <c r="A885" t="s">
        <v>889</v>
      </c>
      <c r="B885">
        <v>0.99987803227770999</v>
      </c>
      <c r="C885">
        <v>1.12192943403066</v>
      </c>
      <c r="D885">
        <v>0.89470226491087701</v>
      </c>
      <c r="E885">
        <v>1.01083201722203</v>
      </c>
      <c r="F885">
        <v>0.39448100599497499</v>
      </c>
      <c r="G885">
        <v>0.23751284121609301</v>
      </c>
      <c r="H885">
        <v>0.13083469032166301</v>
      </c>
      <c r="I885">
        <v>0.108206110258677</v>
      </c>
      <c r="J885">
        <v>8.7585202042527302E-2</v>
      </c>
      <c r="K885">
        <v>6.18971417325846E-2</v>
      </c>
      <c r="L885">
        <v>13207.0510827201</v>
      </c>
      <c r="M885">
        <v>250</v>
      </c>
      <c r="N885">
        <v>52.889171427133498</v>
      </c>
      <c r="O885">
        <v>52.824836971311299</v>
      </c>
      <c r="P885">
        <v>-1.0350162442048501</v>
      </c>
      <c r="Q885">
        <v>0.12520719052669499</v>
      </c>
      <c r="R885">
        <v>0.97511035963343895</v>
      </c>
      <c r="S885" t="s">
        <v>7196</v>
      </c>
      <c r="T885" t="s">
        <v>12620</v>
      </c>
      <c r="U885" t="s">
        <v>12620</v>
      </c>
      <c r="V885" t="s">
        <v>12620</v>
      </c>
      <c r="W885" t="s">
        <v>13476</v>
      </c>
      <c r="X885">
        <v>30</v>
      </c>
      <c r="Y885" t="s">
        <v>19717</v>
      </c>
      <c r="Z885" t="s">
        <v>25832</v>
      </c>
      <c r="AA885">
        <v>0.49935565847965008</v>
      </c>
      <c r="AB885" t="str">
        <f>HYPERLINK("Melting_Curves/meltCurve_O00203_AP3B1.pdf", "Melting_Curves/meltCurve_O00203_AP3B1.pdf")</f>
        <v>Melting_Curves/meltCurve_O00203_AP3B1.pdf</v>
      </c>
    </row>
    <row r="886" spans="1:28" x14ac:dyDescent="0.25">
      <c r="A886" t="s">
        <v>890</v>
      </c>
      <c r="B886">
        <v>0.99987803227770999</v>
      </c>
      <c r="C886">
        <v>0.80965220107108204</v>
      </c>
      <c r="D886">
        <v>0.76429146115831104</v>
      </c>
      <c r="E886">
        <v>0.28775806816223898</v>
      </c>
      <c r="F886">
        <v>0.207257556788074</v>
      </c>
      <c r="G886">
        <v>0.14568834037598</v>
      </c>
      <c r="H886">
        <v>9.6791895740822601E-2</v>
      </c>
      <c r="I886">
        <v>8.8236013477468497E-2</v>
      </c>
      <c r="J886">
        <v>6.6163995365894304E-2</v>
      </c>
      <c r="K886">
        <v>4.3864524372873803E-2</v>
      </c>
      <c r="L886">
        <v>881.16676185770905</v>
      </c>
      <c r="M886">
        <v>18.479254341453199</v>
      </c>
      <c r="N886">
        <v>48.076024195239903</v>
      </c>
      <c r="O886">
        <v>47.136220414026603</v>
      </c>
      <c r="P886">
        <v>-9.1160786419888298E-2</v>
      </c>
      <c r="Q886">
        <v>6.99227075509542E-2</v>
      </c>
      <c r="R886">
        <v>0.98318179725358701</v>
      </c>
      <c r="S886" t="s">
        <v>7197</v>
      </c>
      <c r="T886" t="s">
        <v>12620</v>
      </c>
      <c r="U886" t="s">
        <v>12620</v>
      </c>
      <c r="V886" t="s">
        <v>12620</v>
      </c>
      <c r="W886" t="s">
        <v>13477</v>
      </c>
      <c r="X886">
        <v>4</v>
      </c>
      <c r="Y886" t="s">
        <v>19718</v>
      </c>
      <c r="Z886" t="s">
        <v>25833</v>
      </c>
      <c r="AA886">
        <v>0.32391922803237883</v>
      </c>
      <c r="AB886" t="str">
        <f>HYPERLINK("Melting_Curves/meltCurve_O00204_2_SULT2B1.pdf", "Melting_Curves/meltCurve_O00204_2_SULT2B1.pdf")</f>
        <v>Melting_Curves/meltCurve_O00204_2_SULT2B1.pdf</v>
      </c>
    </row>
    <row r="887" spans="1:28" x14ac:dyDescent="0.25">
      <c r="A887" t="s">
        <v>891</v>
      </c>
      <c r="B887">
        <v>0.99987803227770999</v>
      </c>
      <c r="C887">
        <v>0.83881276609376898</v>
      </c>
      <c r="D887">
        <v>0.94818561097552601</v>
      </c>
      <c r="E887">
        <v>0.69679191791586303</v>
      </c>
      <c r="F887">
        <v>0.84140708644572204</v>
      </c>
      <c r="G887">
        <v>0.59062417587361604</v>
      </c>
      <c r="H887">
        <v>0.73596498432257895</v>
      </c>
      <c r="I887">
        <v>0.57765672454086803</v>
      </c>
      <c r="J887">
        <v>0.81273350219249196</v>
      </c>
      <c r="K887">
        <v>0.69169210760482602</v>
      </c>
      <c r="L887">
        <v>639.880630282629</v>
      </c>
      <c r="M887">
        <v>13.711026380622799</v>
      </c>
      <c r="O887">
        <v>45.709885829329998</v>
      </c>
      <c r="P887">
        <v>-2.3684825241037599E-2</v>
      </c>
      <c r="Q887">
        <v>0.68420296725264496</v>
      </c>
      <c r="R887">
        <v>0.56248860551923296</v>
      </c>
      <c r="S887" t="s">
        <v>7198</v>
      </c>
      <c r="T887" t="s">
        <v>12620</v>
      </c>
      <c r="U887" t="s">
        <v>12620</v>
      </c>
      <c r="V887" t="s">
        <v>12620</v>
      </c>
      <c r="W887" t="s">
        <v>13478</v>
      </c>
      <c r="X887">
        <v>5</v>
      </c>
      <c r="Y887" t="s">
        <v>19719</v>
      </c>
      <c r="Z887" t="s">
        <v>25834</v>
      </c>
      <c r="AA887">
        <v>0.76493304066063772</v>
      </c>
      <c r="AB887" t="str">
        <f>HYPERLINK("Melting_Curves/meltCurve_O00213_2_APBB1.pdf", "Melting_Curves/meltCurve_O00213_2_APBB1.pdf")</f>
        <v>Melting_Curves/meltCurve_O00213_2_APBB1.pdf</v>
      </c>
    </row>
    <row r="888" spans="1:28" x14ac:dyDescent="0.25">
      <c r="A888" t="s">
        <v>892</v>
      </c>
      <c r="B888">
        <v>0.99987803227770999</v>
      </c>
      <c r="C888">
        <v>1.0277899325740401</v>
      </c>
      <c r="D888">
        <v>0.96335617709166699</v>
      </c>
      <c r="E888">
        <v>0.84404280678015098</v>
      </c>
      <c r="F888">
        <v>0.64935368359533296</v>
      </c>
      <c r="G888">
        <v>0.39680078051879503</v>
      </c>
      <c r="H888">
        <v>0.40761136037748802</v>
      </c>
      <c r="I888">
        <v>0.42344847387215001</v>
      </c>
      <c r="J888">
        <v>0.26865749247201798</v>
      </c>
      <c r="K888">
        <v>0.18814234750393899</v>
      </c>
      <c r="L888">
        <v>894.86019355170902</v>
      </c>
      <c r="M888">
        <v>16.742622153225501</v>
      </c>
      <c r="N888">
        <v>56.008393207138198</v>
      </c>
      <c r="O888">
        <v>52.703001919067198</v>
      </c>
      <c r="P888">
        <v>-5.8185148033515002E-2</v>
      </c>
      <c r="Q888">
        <v>0.26741921681924502</v>
      </c>
      <c r="R888">
        <v>0.96627585592336895</v>
      </c>
      <c r="S888" t="s">
        <v>7199</v>
      </c>
      <c r="T888" t="s">
        <v>12620</v>
      </c>
      <c r="U888" t="s">
        <v>12620</v>
      </c>
      <c r="V888" t="s">
        <v>12620</v>
      </c>
      <c r="W888" t="s">
        <v>13479</v>
      </c>
      <c r="X888">
        <v>2</v>
      </c>
      <c r="Y888" t="s">
        <v>19720</v>
      </c>
      <c r="Z888" t="s">
        <v>25835</v>
      </c>
      <c r="AA888">
        <v>0.60906702838435867</v>
      </c>
      <c r="AB888" t="str">
        <f>HYPERLINK("Melting_Curves/meltCurve_O00220_TNFRSF10A.pdf", "Melting_Curves/meltCurve_O00220_TNFRSF10A.pdf")</f>
        <v>Melting_Curves/meltCurve_O00220_TNFRSF10A.pdf</v>
      </c>
    </row>
    <row r="889" spans="1:28" x14ac:dyDescent="0.25">
      <c r="A889" t="s">
        <v>893</v>
      </c>
      <c r="B889">
        <v>0.99987803227770999</v>
      </c>
      <c r="C889">
        <v>0.97830153293758204</v>
      </c>
      <c r="D889">
        <v>0.96704737815016295</v>
      </c>
      <c r="E889">
        <v>0.83815637307580304</v>
      </c>
      <c r="F889">
        <v>0.67532836875218305</v>
      </c>
      <c r="G889">
        <v>0.42674709185946902</v>
      </c>
      <c r="H889">
        <v>0.39430263965641998</v>
      </c>
      <c r="I889">
        <v>0.364805284924897</v>
      </c>
      <c r="J889">
        <v>0.34673016477877799</v>
      </c>
      <c r="K889">
        <v>0.297187673315157</v>
      </c>
      <c r="L889">
        <v>1053.8237874076799</v>
      </c>
      <c r="M889">
        <v>19.895554863366002</v>
      </c>
      <c r="N889">
        <v>55.9182260901975</v>
      </c>
      <c r="O889">
        <v>52.441390326937302</v>
      </c>
      <c r="P889">
        <v>-6.4024740746798703E-2</v>
      </c>
      <c r="Q889">
        <v>0.32498794333527897</v>
      </c>
      <c r="R889">
        <v>0.99541159461566397</v>
      </c>
      <c r="S889" t="s">
        <v>7200</v>
      </c>
      <c r="T889" t="s">
        <v>12620</v>
      </c>
      <c r="U889" t="s">
        <v>12620</v>
      </c>
      <c r="V889" t="s">
        <v>12620</v>
      </c>
      <c r="W889" t="s">
        <v>13480</v>
      </c>
      <c r="X889">
        <v>7</v>
      </c>
      <c r="Y889" t="s">
        <v>19721</v>
      </c>
      <c r="Z889" t="s">
        <v>25836</v>
      </c>
      <c r="AA889">
        <v>0.62613858822942758</v>
      </c>
      <c r="AB889" t="str">
        <f>HYPERLINK("Melting_Curves/meltCurve_O00221_NFKBIE.pdf", "Melting_Curves/meltCurve_O00221_NFKBIE.pdf")</f>
        <v>Melting_Curves/meltCurve_O00221_NFKBIE.pdf</v>
      </c>
    </row>
    <row r="890" spans="1:28" x14ac:dyDescent="0.25">
      <c r="A890" t="s">
        <v>894</v>
      </c>
      <c r="B890">
        <v>0.99987803227770999</v>
      </c>
      <c r="C890">
        <v>0.960109117454645</v>
      </c>
      <c r="D890">
        <v>0.85806070584268401</v>
      </c>
      <c r="E890">
        <v>1.1497692863679601</v>
      </c>
      <c r="F890">
        <v>0.74083651928541805</v>
      </c>
      <c r="G890">
        <v>0.37901600228166499</v>
      </c>
      <c r="H890">
        <v>0.12724856203971799</v>
      </c>
      <c r="I890">
        <v>0.11434069155948</v>
      </c>
      <c r="J890">
        <v>7.0799531106334607E-2</v>
      </c>
      <c r="K890">
        <v>4.3118548402512002E-2</v>
      </c>
      <c r="L890">
        <v>1631.93388985962</v>
      </c>
      <c r="M890">
        <v>29.4264015887588</v>
      </c>
      <c r="N890">
        <v>55.739516181749302</v>
      </c>
      <c r="O890">
        <v>55.2039282113602</v>
      </c>
      <c r="P890">
        <v>-0.124065802899207</v>
      </c>
      <c r="Q890">
        <v>6.9016840760214596E-2</v>
      </c>
      <c r="R890">
        <v>0.96421457458623006</v>
      </c>
      <c r="S890" t="s">
        <v>7201</v>
      </c>
      <c r="T890" t="s">
        <v>12620</v>
      </c>
      <c r="U890" t="s">
        <v>12620</v>
      </c>
      <c r="V890" t="s">
        <v>12620</v>
      </c>
      <c r="W890" t="s">
        <v>13481</v>
      </c>
      <c r="X890">
        <v>24</v>
      </c>
      <c r="Y890" t="s">
        <v>19722</v>
      </c>
      <c r="Z890" t="s">
        <v>25837</v>
      </c>
      <c r="AA890">
        <v>0.55514706333840458</v>
      </c>
      <c r="AB890" t="str">
        <f>HYPERLINK("Melting_Curves/meltCurve_O00231_PSMD11.pdf", "Melting_Curves/meltCurve_O00231_PSMD11.pdf")</f>
        <v>Melting_Curves/meltCurve_O00231_PSMD11.pdf</v>
      </c>
    </row>
    <row r="891" spans="1:28" x14ac:dyDescent="0.25">
      <c r="A891" t="s">
        <v>895</v>
      </c>
      <c r="B891">
        <v>0.99987803227770999</v>
      </c>
      <c r="C891">
        <v>0.91016605372373904</v>
      </c>
      <c r="D891">
        <v>0.81552972842258498</v>
      </c>
      <c r="E891">
        <v>1.2333500389330601</v>
      </c>
      <c r="F891">
        <v>0.71862526458950804</v>
      </c>
      <c r="G891">
        <v>0.38213248548774598</v>
      </c>
      <c r="H891">
        <v>0.14229884351719699</v>
      </c>
      <c r="I891">
        <v>0.104489396289832</v>
      </c>
      <c r="J891">
        <v>8.5234853503767E-2</v>
      </c>
      <c r="K891">
        <v>5.38761479334878E-2</v>
      </c>
      <c r="L891">
        <v>1688.6747567150901</v>
      </c>
      <c r="M891">
        <v>30.486544987741301</v>
      </c>
      <c r="N891">
        <v>55.7109525788835</v>
      </c>
      <c r="O891">
        <v>55.154130595790001</v>
      </c>
      <c r="P891">
        <v>-0.12708546703636001</v>
      </c>
      <c r="Q891">
        <v>8.0348971861517599E-2</v>
      </c>
      <c r="R891">
        <v>0.92961411002655503</v>
      </c>
      <c r="S891" t="s">
        <v>7202</v>
      </c>
      <c r="T891" t="s">
        <v>12620</v>
      </c>
      <c r="U891" t="s">
        <v>12620</v>
      </c>
      <c r="V891" t="s">
        <v>12620</v>
      </c>
      <c r="W891" t="s">
        <v>13482</v>
      </c>
      <c r="X891">
        <v>29</v>
      </c>
      <c r="Y891" t="s">
        <v>19723</v>
      </c>
      <c r="Z891" t="s">
        <v>25838</v>
      </c>
      <c r="AA891">
        <v>0.55809034966383286</v>
      </c>
      <c r="AB891" t="str">
        <f>HYPERLINK("Melting_Curves/meltCurve_O00232_PSMD12.pdf", "Melting_Curves/meltCurve_O00232_PSMD12.pdf")</f>
        <v>Melting_Curves/meltCurve_O00232_PSMD12.pdf</v>
      </c>
    </row>
    <row r="892" spans="1:28" x14ac:dyDescent="0.25">
      <c r="A892" t="s">
        <v>896</v>
      </c>
      <c r="B892">
        <v>0.99987803227770999</v>
      </c>
      <c r="C892">
        <v>0.97568943069250902</v>
      </c>
      <c r="D892">
        <v>0.86467689088785404</v>
      </c>
      <c r="E892">
        <v>0.83254484641803195</v>
      </c>
      <c r="F892">
        <v>1.2666280600811499</v>
      </c>
      <c r="G892">
        <v>1.0812819938498599</v>
      </c>
      <c r="H892">
        <v>1.2182129292231301</v>
      </c>
      <c r="I892">
        <v>1.160496862222</v>
      </c>
      <c r="J892">
        <v>1.28386905371099</v>
      </c>
      <c r="K892">
        <v>1.0540945362251699</v>
      </c>
      <c r="L892">
        <v>4743.2580917734103</v>
      </c>
      <c r="M892">
        <v>91.879646667256097</v>
      </c>
      <c r="O892">
        <v>51.6002505706196</v>
      </c>
      <c r="P892">
        <v>7.8814112353461196E-2</v>
      </c>
      <c r="Q892">
        <v>1.1770501925814401</v>
      </c>
      <c r="R892">
        <v>0.56656974312325803</v>
      </c>
      <c r="S892" t="s">
        <v>7203</v>
      </c>
      <c r="T892" t="s">
        <v>12620</v>
      </c>
      <c r="U892" t="s">
        <v>12620</v>
      </c>
      <c r="V892" t="s">
        <v>12620</v>
      </c>
      <c r="W892" t="s">
        <v>13483</v>
      </c>
      <c r="X892">
        <v>13</v>
      </c>
      <c r="Y892" t="s">
        <v>19724</v>
      </c>
      <c r="Z892" t="s">
        <v>25839</v>
      </c>
      <c r="AA892">
        <v>1.108326156002726</v>
      </c>
      <c r="AB892" t="str">
        <f>HYPERLINK("Melting_Curves/meltCurve_O00233_PSMD9.pdf", "Melting_Curves/meltCurve_O00233_PSMD9.pdf")</f>
        <v>Melting_Curves/meltCurve_O00233_PSMD9.pdf</v>
      </c>
    </row>
    <row r="893" spans="1:28" x14ac:dyDescent="0.25">
      <c r="A893" t="s">
        <v>897</v>
      </c>
      <c r="B893">
        <v>0.99987803227770999</v>
      </c>
      <c r="C893">
        <v>0.79403495729422902</v>
      </c>
      <c r="D893">
        <v>0.98163407166622996</v>
      </c>
      <c r="E893">
        <v>0.80147089360659296</v>
      </c>
      <c r="F893">
        <v>0.96778149221552201</v>
      </c>
      <c r="G893">
        <v>0.84182124756333399</v>
      </c>
      <c r="H893">
        <v>0.85782221829106298</v>
      </c>
      <c r="I893">
        <v>0.81252523501261298</v>
      </c>
      <c r="J893">
        <v>0.77146036863794598</v>
      </c>
      <c r="K893">
        <v>0.56238408225107295</v>
      </c>
      <c r="L893">
        <v>263.75683205172402</v>
      </c>
      <c r="M893">
        <v>2.9751003565958101</v>
      </c>
      <c r="O893">
        <v>65.036237348864503</v>
      </c>
      <c r="P893">
        <v>-1.1798155044214E-2</v>
      </c>
      <c r="Q893">
        <v>0</v>
      </c>
      <c r="R893">
        <v>0.50057301007866195</v>
      </c>
      <c r="S893" t="s">
        <v>7204</v>
      </c>
      <c r="T893" t="s">
        <v>12620</v>
      </c>
      <c r="U893" t="s">
        <v>12620</v>
      </c>
      <c r="V893" t="s">
        <v>12620</v>
      </c>
      <c r="W893" t="s">
        <v>13484</v>
      </c>
      <c r="X893">
        <v>8</v>
      </c>
      <c r="Y893" t="s">
        <v>19725</v>
      </c>
      <c r="Z893" t="s">
        <v>25840</v>
      </c>
      <c r="AA893">
        <v>0.85056178964243101</v>
      </c>
      <c r="AB893" t="str">
        <f>HYPERLINK("Melting_Curves/meltCurve_O00244_ATOX1.pdf", "Melting_Curves/meltCurve_O00244_ATOX1.pdf")</f>
        <v>Melting_Curves/meltCurve_O00244_ATOX1.pdf</v>
      </c>
    </row>
    <row r="894" spans="1:28" x14ac:dyDescent="0.25">
      <c r="A894" t="s">
        <v>898</v>
      </c>
      <c r="B894">
        <v>0.99987803227770999</v>
      </c>
      <c r="C894">
        <v>0.81611186697694504</v>
      </c>
      <c r="D894">
        <v>1.07286812257182</v>
      </c>
      <c r="E894">
        <v>0.71128615388303396</v>
      </c>
      <c r="F894">
        <v>0.62678516747368995</v>
      </c>
      <c r="G894">
        <v>0.36403481652424602</v>
      </c>
      <c r="H894">
        <v>0.30441925969560701</v>
      </c>
      <c r="I894">
        <v>0.58549738036297705</v>
      </c>
      <c r="J894">
        <v>0.25781461287727397</v>
      </c>
      <c r="K894">
        <v>0.185129108193859</v>
      </c>
      <c r="L894">
        <v>948.362924917025</v>
      </c>
      <c r="M894">
        <v>18.270570355527799</v>
      </c>
      <c r="N894">
        <v>54.7095288356034</v>
      </c>
      <c r="O894">
        <v>51.296726234904703</v>
      </c>
      <c r="P894">
        <v>-6.1984633435605598E-2</v>
      </c>
      <c r="Q894">
        <v>0.303916186138732</v>
      </c>
      <c r="R894">
        <v>0.837036496854482</v>
      </c>
      <c r="S894" t="s">
        <v>7205</v>
      </c>
      <c r="T894" t="s">
        <v>12620</v>
      </c>
      <c r="U894" t="s">
        <v>12620</v>
      </c>
      <c r="V894" t="s">
        <v>12620</v>
      </c>
      <c r="W894" t="s">
        <v>13485</v>
      </c>
      <c r="X894">
        <v>1</v>
      </c>
      <c r="Y894" t="s">
        <v>19726</v>
      </c>
      <c r="Z894" t="s">
        <v>25841</v>
      </c>
      <c r="AA894">
        <v>0.59148631607362057</v>
      </c>
      <c r="AB894" t="str">
        <f>HYPERLINK("Melting_Curves/meltCurve_O00257_CBX4.pdf", "Melting_Curves/meltCurve_O00257_CBX4.pdf")</f>
        <v>Melting_Curves/meltCurve_O00257_CBX4.pdf</v>
      </c>
    </row>
    <row r="895" spans="1:28" x14ac:dyDescent="0.25">
      <c r="A895" t="s">
        <v>899</v>
      </c>
      <c r="B895">
        <v>0.99987803227770999</v>
      </c>
      <c r="C895">
        <v>1.0227901342155601</v>
      </c>
      <c r="D895">
        <v>1.00012112324504</v>
      </c>
      <c r="E895">
        <v>0.99584957386654505</v>
      </c>
      <c r="F895">
        <v>0.63187449907413595</v>
      </c>
      <c r="G895">
        <v>0.459078606502692</v>
      </c>
      <c r="H895">
        <v>0.39940577709387998</v>
      </c>
      <c r="I895">
        <v>0.358365449307393</v>
      </c>
      <c r="J895">
        <v>0.32258237283091001</v>
      </c>
      <c r="K895">
        <v>0.244396540801568</v>
      </c>
      <c r="L895">
        <v>1646.1730646506901</v>
      </c>
      <c r="M895">
        <v>30.927886474902099</v>
      </c>
      <c r="N895">
        <v>55.184152986302898</v>
      </c>
      <c r="O895">
        <v>53.005141911823202</v>
      </c>
      <c r="P895">
        <v>-9.7279427719143802E-2</v>
      </c>
      <c r="Q895">
        <v>0.33312231895844402</v>
      </c>
      <c r="R895">
        <v>0.97562165028162995</v>
      </c>
      <c r="S895" t="s">
        <v>7206</v>
      </c>
      <c r="T895" t="s">
        <v>12620</v>
      </c>
      <c r="U895" t="s">
        <v>12620</v>
      </c>
      <c r="V895" t="s">
        <v>12620</v>
      </c>
      <c r="W895" t="s">
        <v>13486</v>
      </c>
      <c r="X895">
        <v>34</v>
      </c>
      <c r="Y895" t="s">
        <v>19727</v>
      </c>
      <c r="Z895" t="s">
        <v>25842</v>
      </c>
      <c r="AA895">
        <v>0.63121736393649575</v>
      </c>
      <c r="AB895" t="str">
        <f>HYPERLINK("Melting_Curves/meltCurve_O00267_2_SUPT5H.pdf", "Melting_Curves/meltCurve_O00267_2_SUPT5H.pdf")</f>
        <v>Melting_Curves/meltCurve_O00267_2_SUPT5H.pdf</v>
      </c>
    </row>
    <row r="896" spans="1:28" x14ac:dyDescent="0.25">
      <c r="A896" t="s">
        <v>900</v>
      </c>
      <c r="B896">
        <v>0.99987803227770999</v>
      </c>
      <c r="C896">
        <v>0.96135016785544103</v>
      </c>
      <c r="D896">
        <v>0.919515227671451</v>
      </c>
      <c r="E896">
        <v>0.72506323056794597</v>
      </c>
      <c r="F896">
        <v>0.802573286791185</v>
      </c>
      <c r="G896">
        <v>0.530295893842749</v>
      </c>
      <c r="H896">
        <v>0.56377746069995305</v>
      </c>
      <c r="I896">
        <v>0.53343057755229895</v>
      </c>
      <c r="J896">
        <v>0.46010349474365397</v>
      </c>
      <c r="K896">
        <v>0.39795673277874299</v>
      </c>
      <c r="L896">
        <v>503.44893663934499</v>
      </c>
      <c r="M896">
        <v>9.2809359815988905</v>
      </c>
      <c r="N896">
        <v>63.104017783894299</v>
      </c>
      <c r="O896">
        <v>51.9055095995502</v>
      </c>
      <c r="P896">
        <v>-2.8442793240119401E-2</v>
      </c>
      <c r="Q896">
        <v>0.36412264665918598</v>
      </c>
      <c r="R896">
        <v>0.942534465955854</v>
      </c>
      <c r="S896" t="s">
        <v>7207</v>
      </c>
      <c r="T896" t="s">
        <v>12620</v>
      </c>
      <c r="U896" t="s">
        <v>12620</v>
      </c>
      <c r="V896" t="s">
        <v>12620</v>
      </c>
      <c r="W896" t="s">
        <v>13487</v>
      </c>
      <c r="X896">
        <v>9</v>
      </c>
      <c r="Y896" t="s">
        <v>19728</v>
      </c>
      <c r="Z896" t="s">
        <v>25843</v>
      </c>
      <c r="AA896">
        <v>0.68542356598547771</v>
      </c>
      <c r="AB896" t="str">
        <f>HYPERLINK("Melting_Curves/meltCurve_O00268_TAF4.pdf", "Melting_Curves/meltCurve_O00268_TAF4.pdf")</f>
        <v>Melting_Curves/meltCurve_O00268_TAF4.pdf</v>
      </c>
    </row>
    <row r="897" spans="1:28" x14ac:dyDescent="0.25">
      <c r="A897" t="s">
        <v>901</v>
      </c>
      <c r="B897">
        <v>0.99987803227770999</v>
      </c>
      <c r="C897">
        <v>0.91142904666607505</v>
      </c>
      <c r="D897">
        <v>1.0079739777374399</v>
      </c>
      <c r="E897">
        <v>0.91538981234869099</v>
      </c>
      <c r="F897">
        <v>1.07094251341689</v>
      </c>
      <c r="G897">
        <v>0.76100640277053</v>
      </c>
      <c r="H897">
        <v>0.94078751357145096</v>
      </c>
      <c r="I897">
        <v>0.93976495388048897</v>
      </c>
      <c r="J897">
        <v>1.0047739748376601</v>
      </c>
      <c r="K897">
        <v>0.813767725839594</v>
      </c>
      <c r="L897">
        <v>153.794629557104</v>
      </c>
      <c r="M897">
        <v>7.7076597977878497E-2</v>
      </c>
      <c r="O897">
        <v>63.462145550832297</v>
      </c>
      <c r="P897">
        <v>-3.0444875523857901E-3</v>
      </c>
      <c r="Q897">
        <v>0</v>
      </c>
      <c r="R897">
        <v>0.100089745373122</v>
      </c>
      <c r="S897" t="s">
        <v>7208</v>
      </c>
      <c r="T897" t="s">
        <v>12620</v>
      </c>
      <c r="U897" t="s">
        <v>12620</v>
      </c>
      <c r="V897" t="s">
        <v>12620</v>
      </c>
      <c r="W897" t="s">
        <v>13488</v>
      </c>
      <c r="X897">
        <v>17</v>
      </c>
      <c r="Y897" t="s">
        <v>19729</v>
      </c>
      <c r="Z897" t="s">
        <v>25844</v>
      </c>
      <c r="AA897">
        <v>0.93718077866337979</v>
      </c>
      <c r="AB897" t="str">
        <f>HYPERLINK("Melting_Curves/meltCurve_O00273_DFFA.pdf", "Melting_Curves/meltCurve_O00273_DFFA.pdf")</f>
        <v>Melting_Curves/meltCurve_O00273_DFFA.pdf</v>
      </c>
    </row>
    <row r="898" spans="1:28" x14ac:dyDescent="0.25">
      <c r="A898" t="s">
        <v>902</v>
      </c>
      <c r="B898">
        <v>0.99987803227770999</v>
      </c>
      <c r="C898">
        <v>0.82749274785496696</v>
      </c>
      <c r="D898">
        <v>1.00764373396022</v>
      </c>
      <c r="E898">
        <v>0.934639268324019</v>
      </c>
      <c r="F898">
        <v>1.19552263442984</v>
      </c>
      <c r="G898">
        <v>0.94405627393490799</v>
      </c>
      <c r="H898">
        <v>0.98220484083937198</v>
      </c>
      <c r="I898">
        <v>0.87035880258638898</v>
      </c>
      <c r="J898">
        <v>0.87301465392323097</v>
      </c>
      <c r="K898">
        <v>0.722011014507976</v>
      </c>
      <c r="L898">
        <v>1065.1631734467601</v>
      </c>
      <c r="M898">
        <v>14.228115556229699</v>
      </c>
      <c r="Q898">
        <v>0</v>
      </c>
      <c r="R898">
        <v>0.45369592554811899</v>
      </c>
      <c r="S898" t="s">
        <v>7209</v>
      </c>
      <c r="T898" t="s">
        <v>12620</v>
      </c>
      <c r="U898" t="s">
        <v>12620</v>
      </c>
      <c r="V898" t="s">
        <v>12620</v>
      </c>
      <c r="W898" t="s">
        <v>13489</v>
      </c>
      <c r="X898">
        <v>13</v>
      </c>
      <c r="Y898" t="s">
        <v>19729</v>
      </c>
      <c r="Z898" t="s">
        <v>25845</v>
      </c>
      <c r="AA898">
        <v>0.95725850831691284</v>
      </c>
      <c r="AB898" t="str">
        <f>HYPERLINK("Melting_Curves/meltCurve_O00273_2_DFFA.pdf", "Melting_Curves/meltCurve_O00273_2_DFFA.pdf")</f>
        <v>Melting_Curves/meltCurve_O00273_2_DFFA.pdf</v>
      </c>
    </row>
    <row r="899" spans="1:28" x14ac:dyDescent="0.25">
      <c r="A899" t="s">
        <v>903</v>
      </c>
      <c r="B899">
        <v>0.99987803227770999</v>
      </c>
      <c r="C899">
        <v>1.0526470401861701</v>
      </c>
      <c r="D899">
        <v>0.98143253665610197</v>
      </c>
      <c r="E899">
        <v>0.94538353618414805</v>
      </c>
      <c r="F899">
        <v>0.47753174026266199</v>
      </c>
      <c r="G899">
        <v>0.31195843758417202</v>
      </c>
      <c r="H899">
        <v>0.23399115011645899</v>
      </c>
      <c r="I899">
        <v>0.18686745041247199</v>
      </c>
      <c r="J899">
        <v>0.167114298212479</v>
      </c>
      <c r="K899">
        <v>0.109863827548383</v>
      </c>
      <c r="L899">
        <v>2227.5135295506898</v>
      </c>
      <c r="M899">
        <v>42.488809493912399</v>
      </c>
      <c r="N899">
        <v>53.035076530390299</v>
      </c>
      <c r="O899">
        <v>52.3101497812521</v>
      </c>
      <c r="P899">
        <v>-0.16385328065371399</v>
      </c>
      <c r="Q899">
        <v>0.193088577239654</v>
      </c>
      <c r="R899">
        <v>0.98395172739702697</v>
      </c>
      <c r="S899" t="s">
        <v>7210</v>
      </c>
      <c r="T899" t="s">
        <v>12620</v>
      </c>
      <c r="U899" t="s">
        <v>12620</v>
      </c>
      <c r="V899" t="s">
        <v>12620</v>
      </c>
      <c r="W899" t="s">
        <v>13490</v>
      </c>
      <c r="X899">
        <v>12</v>
      </c>
      <c r="Y899" t="s">
        <v>19730</v>
      </c>
      <c r="Z899" t="s">
        <v>25846</v>
      </c>
      <c r="AA899">
        <v>0.52989651555506212</v>
      </c>
      <c r="AB899" t="str">
        <f>HYPERLINK("Melting_Curves/meltCurve_O00291_HIP1.pdf", "Melting_Curves/meltCurve_O00291_HIP1.pdf")</f>
        <v>Melting_Curves/meltCurve_O00291_HIP1.pdf</v>
      </c>
    </row>
    <row r="900" spans="1:28" x14ac:dyDescent="0.25">
      <c r="A900" t="s">
        <v>904</v>
      </c>
      <c r="B900">
        <v>0.99987803227770999</v>
      </c>
      <c r="C900">
        <v>0.84985049040702199</v>
      </c>
      <c r="D900">
        <v>0.99115065052013196</v>
      </c>
      <c r="E900">
        <v>0.81152754926867099</v>
      </c>
      <c r="F900">
        <v>0.91277832134366998</v>
      </c>
      <c r="G900">
        <v>0.229464933447283</v>
      </c>
      <c r="H900">
        <v>0.132650664626632</v>
      </c>
      <c r="I900">
        <v>0.113202485899754</v>
      </c>
      <c r="J900">
        <v>8.0077406023116998E-2</v>
      </c>
      <c r="K900">
        <v>5.6725548293517898E-2</v>
      </c>
      <c r="L900">
        <v>2730.4898018971999</v>
      </c>
      <c r="M900">
        <v>49.530782721157898</v>
      </c>
      <c r="N900">
        <v>55.352864010319003</v>
      </c>
      <c r="O900">
        <v>55.037489107271298</v>
      </c>
      <c r="P900">
        <v>-0.20441066123410101</v>
      </c>
      <c r="Q900">
        <v>9.14547287878308E-2</v>
      </c>
      <c r="R900">
        <v>0.96295991622411503</v>
      </c>
      <c r="S900" t="s">
        <v>7211</v>
      </c>
      <c r="T900" t="s">
        <v>12620</v>
      </c>
      <c r="U900" t="s">
        <v>12620</v>
      </c>
      <c r="V900" t="s">
        <v>12620</v>
      </c>
      <c r="W900" t="s">
        <v>13491</v>
      </c>
      <c r="X900">
        <v>14</v>
      </c>
      <c r="Y900" t="s">
        <v>19731</v>
      </c>
      <c r="Z900" t="s">
        <v>25847</v>
      </c>
      <c r="AA900">
        <v>0.55182746679354211</v>
      </c>
      <c r="AB900" t="str">
        <f>HYPERLINK("Melting_Curves/meltCurve_O00299_CLIC1.pdf", "Melting_Curves/meltCurve_O00299_CLIC1.pdf")</f>
        <v>Melting_Curves/meltCurve_O00299_CLIC1.pdf</v>
      </c>
    </row>
    <row r="901" spans="1:28" x14ac:dyDescent="0.25">
      <c r="A901" t="s">
        <v>905</v>
      </c>
      <c r="B901">
        <v>0.99987803227770999</v>
      </c>
      <c r="C901">
        <v>1.0088614877119</v>
      </c>
      <c r="D901">
        <v>0.85764281269005505</v>
      </c>
      <c r="E901">
        <v>0.71803162095613504</v>
      </c>
      <c r="F901">
        <v>0.27230185711284299</v>
      </c>
      <c r="G901">
        <v>0.198701063255387</v>
      </c>
      <c r="H901">
        <v>0.10401291686813301</v>
      </c>
      <c r="I901">
        <v>8.7423562668366497E-2</v>
      </c>
      <c r="J901">
        <v>7.7119259291606096E-2</v>
      </c>
      <c r="K901">
        <v>5.0464714830861603E-2</v>
      </c>
      <c r="L901">
        <v>1203.4993684276401</v>
      </c>
      <c r="M901">
        <v>23.584641222606901</v>
      </c>
      <c r="N901">
        <v>51.386534768758501</v>
      </c>
      <c r="O901">
        <v>50.666344963261899</v>
      </c>
      <c r="P901">
        <v>-0.107567094310571</v>
      </c>
      <c r="Q901">
        <v>7.5680333309090506E-2</v>
      </c>
      <c r="R901">
        <v>0.98643659129146499</v>
      </c>
      <c r="S901" t="s">
        <v>7212</v>
      </c>
      <c r="T901" t="s">
        <v>12620</v>
      </c>
      <c r="U901" t="s">
        <v>12620</v>
      </c>
      <c r="V901" t="s">
        <v>12620</v>
      </c>
      <c r="W901" t="s">
        <v>13492</v>
      </c>
      <c r="X901">
        <v>9</v>
      </c>
      <c r="Y901" t="s">
        <v>19732</v>
      </c>
      <c r="Z901" t="s">
        <v>25848</v>
      </c>
      <c r="AA901">
        <v>0.42485147233107567</v>
      </c>
      <c r="AB901" t="str">
        <f>HYPERLINK("Melting_Curves/meltCurve_O00303_EIF3F.pdf", "Melting_Curves/meltCurve_O00303_EIF3F.pdf")</f>
        <v>Melting_Curves/meltCurve_O00303_EIF3F.pdf</v>
      </c>
    </row>
    <row r="902" spans="1:28" x14ac:dyDescent="0.25">
      <c r="A902" t="s">
        <v>906</v>
      </c>
      <c r="B902">
        <v>0.99987803227770999</v>
      </c>
      <c r="C902">
        <v>0.86535778552566101</v>
      </c>
      <c r="D902">
        <v>1.0019231184784201</v>
      </c>
      <c r="E902">
        <v>0.78636197175085798</v>
      </c>
      <c r="F902">
        <v>0.61984012366830599</v>
      </c>
      <c r="G902">
        <v>0.26628653536603297</v>
      </c>
      <c r="H902">
        <v>0.16747057307691601</v>
      </c>
      <c r="I902">
        <v>0.144801747271051</v>
      </c>
      <c r="J902">
        <v>0.12053640650975</v>
      </c>
      <c r="K902">
        <v>7.7962569282920002E-2</v>
      </c>
      <c r="L902">
        <v>1036.8780561312401</v>
      </c>
      <c r="M902">
        <v>19.3880542601778</v>
      </c>
      <c r="N902">
        <v>54.025310283552699</v>
      </c>
      <c r="O902">
        <v>52.921071703360901</v>
      </c>
      <c r="P902">
        <v>-8.3456591655353699E-2</v>
      </c>
      <c r="Q902">
        <v>8.8831129745665302E-2</v>
      </c>
      <c r="R902">
        <v>0.98381182124127997</v>
      </c>
      <c r="S902" t="s">
        <v>7213</v>
      </c>
      <c r="T902" t="s">
        <v>12620</v>
      </c>
      <c r="U902" t="s">
        <v>12620</v>
      </c>
      <c r="V902" t="s">
        <v>12620</v>
      </c>
      <c r="W902" t="s">
        <v>13493</v>
      </c>
      <c r="X902">
        <v>4</v>
      </c>
      <c r="Y902" t="s">
        <v>19733</v>
      </c>
      <c r="Z902" t="s">
        <v>25849</v>
      </c>
      <c r="AA902">
        <v>0.5113836578276626</v>
      </c>
      <c r="AB902" t="str">
        <f>HYPERLINK("Melting_Curves/meltCurve_O00308_WWP2.pdf", "Melting_Curves/meltCurve_O00308_WWP2.pdf")</f>
        <v>Melting_Curves/meltCurve_O00308_WWP2.pdf</v>
      </c>
    </row>
    <row r="903" spans="1:28" x14ac:dyDescent="0.25">
      <c r="A903" t="s">
        <v>907</v>
      </c>
      <c r="B903">
        <v>0.99987803227770999</v>
      </c>
      <c r="C903">
        <v>1.32372465015607</v>
      </c>
      <c r="D903">
        <v>0.73841544594835196</v>
      </c>
      <c r="E903">
        <v>1.0095314773867301</v>
      </c>
      <c r="F903">
        <v>0.50974264261027202</v>
      </c>
      <c r="G903">
        <v>0.26811848163628899</v>
      </c>
      <c r="H903">
        <v>7.4128248911386599E-2</v>
      </c>
      <c r="I903">
        <v>0</v>
      </c>
      <c r="J903">
        <v>0</v>
      </c>
      <c r="K903">
        <v>4.0386568660969402E-2</v>
      </c>
      <c r="L903">
        <v>1326.13709494773</v>
      </c>
      <c r="M903">
        <v>24.642042546487598</v>
      </c>
      <c r="N903">
        <v>53.878681543804298</v>
      </c>
      <c r="O903">
        <v>53.465401878079298</v>
      </c>
      <c r="P903">
        <v>-0.11359890527076</v>
      </c>
      <c r="Q903">
        <v>1.4120342602126201E-2</v>
      </c>
      <c r="R903">
        <v>0.90881063268397599</v>
      </c>
      <c r="S903" t="s">
        <v>7214</v>
      </c>
      <c r="T903" t="s">
        <v>12620</v>
      </c>
      <c r="U903" t="s">
        <v>12620</v>
      </c>
      <c r="V903" t="s">
        <v>12620</v>
      </c>
      <c r="W903" t="s">
        <v>13494</v>
      </c>
      <c r="X903">
        <v>2</v>
      </c>
      <c r="Y903" t="s">
        <v>19734</v>
      </c>
      <c r="Z903" t="s">
        <v>25850</v>
      </c>
      <c r="AA903">
        <v>0.47751315007871548</v>
      </c>
      <c r="AB903" t="str">
        <f>HYPERLINK("Melting_Curves/meltCurve_O00329_PIK3CD.pdf", "Melting_Curves/meltCurve_O00329_PIK3CD.pdf")</f>
        <v>Melting_Curves/meltCurve_O00329_PIK3CD.pdf</v>
      </c>
    </row>
    <row r="904" spans="1:28" x14ac:dyDescent="0.25">
      <c r="A904" t="s">
        <v>908</v>
      </c>
      <c r="B904">
        <v>0.99987803227770999</v>
      </c>
      <c r="C904">
        <v>0.94256871266197595</v>
      </c>
      <c r="D904">
        <v>1.06846790775961</v>
      </c>
      <c r="E904">
        <v>1.38053241269562</v>
      </c>
      <c r="F904">
        <v>1.29543868174729</v>
      </c>
      <c r="G904">
        <v>1.12306944511207</v>
      </c>
      <c r="H904">
        <v>1.09191631114314</v>
      </c>
      <c r="I904">
        <v>0.78385109204563896</v>
      </c>
      <c r="J904">
        <v>0.376262418755966</v>
      </c>
      <c r="K904">
        <v>0.20931126905042299</v>
      </c>
      <c r="L904">
        <v>3645.2177278022</v>
      </c>
      <c r="M904">
        <v>55.801638777045</v>
      </c>
      <c r="N904">
        <v>65.930202217704306</v>
      </c>
      <c r="O904">
        <v>65.240828910081106</v>
      </c>
      <c r="P904">
        <v>-0.17094941555914001</v>
      </c>
      <c r="Q904">
        <v>0.20053421390315401</v>
      </c>
      <c r="R904">
        <v>0.78945982306874296</v>
      </c>
      <c r="S904" t="s">
        <v>7215</v>
      </c>
      <c r="T904" t="s">
        <v>12620</v>
      </c>
      <c r="U904" t="s">
        <v>12620</v>
      </c>
      <c r="V904" t="s">
        <v>12620</v>
      </c>
      <c r="W904" t="s">
        <v>13495</v>
      </c>
      <c r="X904">
        <v>3</v>
      </c>
      <c r="Y904" t="s">
        <v>19735</v>
      </c>
      <c r="Z904" t="s">
        <v>25851</v>
      </c>
      <c r="AA904">
        <v>0.87636572019521097</v>
      </c>
      <c r="AB904" t="str">
        <f>HYPERLINK("Melting_Curves/meltCurve_O00399_DCTN6.pdf", "Melting_Curves/meltCurve_O00399_DCTN6.pdf")</f>
        <v>Melting_Curves/meltCurve_O00399_DCTN6.pdf</v>
      </c>
    </row>
    <row r="905" spans="1:28" x14ac:dyDescent="0.25">
      <c r="A905" t="s">
        <v>909</v>
      </c>
      <c r="B905">
        <v>0.99987803227770999</v>
      </c>
      <c r="C905">
        <v>1.0631169176264701</v>
      </c>
      <c r="D905">
        <v>0.98916593629909899</v>
      </c>
      <c r="E905">
        <v>0.91721922039752102</v>
      </c>
      <c r="F905">
        <v>0.65196967308957898</v>
      </c>
      <c r="G905">
        <v>0.31428867369088098</v>
      </c>
      <c r="H905">
        <v>0.242859437026195</v>
      </c>
      <c r="I905">
        <v>0.24829819439897199</v>
      </c>
      <c r="J905">
        <v>0.205219722333083</v>
      </c>
      <c r="K905">
        <v>0.160348809598375</v>
      </c>
      <c r="L905">
        <v>1561.0404277410801</v>
      </c>
      <c r="M905">
        <v>29.1814785152831</v>
      </c>
      <c r="N905">
        <v>54.480410128473999</v>
      </c>
      <c r="O905">
        <v>53.2449095756917</v>
      </c>
      <c r="P905">
        <v>-0.108903611760616</v>
      </c>
      <c r="Q905">
        <v>0.20517818105087299</v>
      </c>
      <c r="R905">
        <v>0.99397037272703004</v>
      </c>
      <c r="S905" t="s">
        <v>7216</v>
      </c>
      <c r="T905" t="s">
        <v>12620</v>
      </c>
      <c r="U905" t="s">
        <v>12620</v>
      </c>
      <c r="V905" t="s">
        <v>12620</v>
      </c>
      <c r="W905" t="s">
        <v>13496</v>
      </c>
      <c r="X905">
        <v>23</v>
      </c>
      <c r="Y905" t="s">
        <v>19736</v>
      </c>
      <c r="Z905" t="s">
        <v>25852</v>
      </c>
      <c r="AA905">
        <v>0.56816970568267611</v>
      </c>
      <c r="AB905" t="str">
        <f>HYPERLINK("Melting_Curves/meltCurve_O00401_WASL.pdf", "Melting_Curves/meltCurve_O00401_WASL.pdf")</f>
        <v>Melting_Curves/meltCurve_O00401_WASL.pdf</v>
      </c>
    </row>
    <row r="906" spans="1:28" x14ac:dyDescent="0.25">
      <c r="A906" t="s">
        <v>910</v>
      </c>
      <c r="B906">
        <v>0.99987803227770999</v>
      </c>
      <c r="C906">
        <v>1.16125787345823</v>
      </c>
      <c r="D906">
        <v>0.97251407443592996</v>
      </c>
      <c r="E906">
        <v>1.2391648790358001</v>
      </c>
      <c r="F906">
        <v>0.977030152208194</v>
      </c>
      <c r="G906">
        <v>0.83671165701870498</v>
      </c>
      <c r="H906">
        <v>0.15375648392071101</v>
      </c>
      <c r="I906">
        <v>0.12201834521809</v>
      </c>
      <c r="J906">
        <v>7.4442361903309703E-2</v>
      </c>
      <c r="K906">
        <v>5.3671329519856301E-2</v>
      </c>
      <c r="L906">
        <v>3367.3304340017698</v>
      </c>
      <c r="M906">
        <v>57.553243123919401</v>
      </c>
      <c r="N906">
        <v>58.684072428147402</v>
      </c>
      <c r="O906">
        <v>58.437579783772797</v>
      </c>
      <c r="P906">
        <v>-0.226701972000102</v>
      </c>
      <c r="Q906">
        <v>7.9258965504248893E-2</v>
      </c>
      <c r="R906">
        <v>0.96048877531104804</v>
      </c>
      <c r="S906" t="s">
        <v>7217</v>
      </c>
      <c r="T906" t="s">
        <v>12620</v>
      </c>
      <c r="U906" t="s">
        <v>12620</v>
      </c>
      <c r="V906" t="s">
        <v>12620</v>
      </c>
      <c r="W906" t="s">
        <v>13497</v>
      </c>
      <c r="X906">
        <v>41</v>
      </c>
      <c r="Y906" t="s">
        <v>19737</v>
      </c>
      <c r="Z906" t="s">
        <v>25853</v>
      </c>
      <c r="AA906">
        <v>0.64908494656114257</v>
      </c>
      <c r="AB906" t="str">
        <f>HYPERLINK("Melting_Curves/meltCurve_O00410_IPO5.pdf", "Melting_Curves/meltCurve_O00410_IPO5.pdf")</f>
        <v>Melting_Curves/meltCurve_O00410_IPO5.pdf</v>
      </c>
    </row>
    <row r="907" spans="1:28" x14ac:dyDescent="0.25">
      <c r="A907" t="s">
        <v>911</v>
      </c>
      <c r="B907">
        <v>0.99987803227770999</v>
      </c>
      <c r="C907">
        <v>0.887201736059965</v>
      </c>
      <c r="D907">
        <v>0.42443252845451002</v>
      </c>
      <c r="E907">
        <v>0.378571021576665</v>
      </c>
      <c r="F907">
        <v>0.27129189698325201</v>
      </c>
      <c r="G907">
        <v>0.19228628313447299</v>
      </c>
      <c r="H907">
        <v>0.16818361310952001</v>
      </c>
      <c r="I907">
        <v>0.154056608466073</v>
      </c>
      <c r="J907">
        <v>0.17270674957835699</v>
      </c>
      <c r="K907">
        <v>0.109518288098712</v>
      </c>
      <c r="L907">
        <v>957.85041916030696</v>
      </c>
      <c r="M907">
        <v>21.067745311083701</v>
      </c>
      <c r="N907">
        <v>46.410963016222297</v>
      </c>
      <c r="O907">
        <v>45.061579789227203</v>
      </c>
      <c r="P907">
        <v>-9.6487767093958204E-2</v>
      </c>
      <c r="Q907">
        <v>0.17451536313948299</v>
      </c>
      <c r="R907">
        <v>0.95876604257892695</v>
      </c>
      <c r="S907" t="s">
        <v>7218</v>
      </c>
      <c r="T907" t="s">
        <v>12620</v>
      </c>
      <c r="U907" t="s">
        <v>12620</v>
      </c>
      <c r="V907" t="s">
        <v>12620</v>
      </c>
      <c r="W907" t="s">
        <v>13498</v>
      </c>
      <c r="X907">
        <v>5</v>
      </c>
      <c r="Y907" t="s">
        <v>19738</v>
      </c>
      <c r="Z907" t="s">
        <v>25854</v>
      </c>
      <c r="AA907">
        <v>0.33670313419930881</v>
      </c>
      <c r="AB907" t="str">
        <f>HYPERLINK("Melting_Curves/meltCurve_O00418_EEF2K.pdf", "Melting_Curves/meltCurve_O00418_EEF2K.pdf")</f>
        <v>Melting_Curves/meltCurve_O00418_EEF2K.pdf</v>
      </c>
    </row>
    <row r="908" spans="1:28" x14ac:dyDescent="0.25">
      <c r="A908" t="s">
        <v>912</v>
      </c>
      <c r="B908">
        <v>0.99987803227770999</v>
      </c>
      <c r="C908">
        <v>0.876525696532367</v>
      </c>
      <c r="D908">
        <v>0.78038963701715602</v>
      </c>
      <c r="E908">
        <v>0.60254387018141897</v>
      </c>
      <c r="F908">
        <v>0.41109891086506001</v>
      </c>
      <c r="G908">
        <v>0.23514894801215799</v>
      </c>
      <c r="H908">
        <v>0.19967972323684299</v>
      </c>
      <c r="I908">
        <v>0.15643156007588099</v>
      </c>
      <c r="J908">
        <v>0.175451379623976</v>
      </c>
      <c r="K908">
        <v>0.122661423438055</v>
      </c>
      <c r="L908">
        <v>645.59020799066002</v>
      </c>
      <c r="M908">
        <v>12.8490638760022</v>
      </c>
      <c r="N908">
        <v>51.238946914302502</v>
      </c>
      <c r="O908">
        <v>49.073806439635497</v>
      </c>
      <c r="P908">
        <v>-5.8242665380500602E-2</v>
      </c>
      <c r="Q908">
        <v>0.110390921882385</v>
      </c>
      <c r="R908">
        <v>0.99418481749731002</v>
      </c>
      <c r="S908" t="s">
        <v>7219</v>
      </c>
      <c r="T908" t="s">
        <v>12620</v>
      </c>
      <c r="U908" t="s">
        <v>12620</v>
      </c>
      <c r="V908" t="s">
        <v>12620</v>
      </c>
      <c r="W908" t="s">
        <v>13499</v>
      </c>
      <c r="X908">
        <v>2</v>
      </c>
      <c r="Y908" t="s">
        <v>19739</v>
      </c>
      <c r="Z908" t="s">
        <v>25855</v>
      </c>
      <c r="AA908">
        <v>0.44144038380486089</v>
      </c>
      <c r="AB908" t="str">
        <f>HYPERLINK("Melting_Curves/meltCurve_O00422_SAP18.pdf", "Melting_Curves/meltCurve_O00422_SAP18.pdf")</f>
        <v>Melting_Curves/meltCurve_O00422_SAP18.pdf</v>
      </c>
    </row>
    <row r="909" spans="1:28" x14ac:dyDescent="0.25">
      <c r="A909" t="s">
        <v>913</v>
      </c>
      <c r="B909">
        <v>0.99987803227770999</v>
      </c>
      <c r="C909">
        <v>0.82897754330878903</v>
      </c>
      <c r="D909">
        <v>0.84823899061750696</v>
      </c>
      <c r="E909">
        <v>0.67186702021364297</v>
      </c>
      <c r="F909">
        <v>0.50039992926527699</v>
      </c>
      <c r="G909">
        <v>0.30301681367976102</v>
      </c>
      <c r="H909">
        <v>0.243746865611565</v>
      </c>
      <c r="I909">
        <v>0.239393530050099</v>
      </c>
      <c r="J909">
        <v>0.15419344799224799</v>
      </c>
      <c r="K909">
        <v>0.12773703847863099</v>
      </c>
      <c r="L909">
        <v>546.88752749443597</v>
      </c>
      <c r="M909">
        <v>10.484332604343299</v>
      </c>
      <c r="N909">
        <v>53.035017383203197</v>
      </c>
      <c r="O909">
        <v>50.371828986670501</v>
      </c>
      <c r="P909">
        <v>-4.7931629794435403E-2</v>
      </c>
      <c r="Q909">
        <v>7.9226344139702504E-2</v>
      </c>
      <c r="R909">
        <v>0.98476699739691298</v>
      </c>
      <c r="S909" t="s">
        <v>7220</v>
      </c>
      <c r="T909" t="s">
        <v>12620</v>
      </c>
      <c r="U909" t="s">
        <v>12620</v>
      </c>
      <c r="V909" t="s">
        <v>12620</v>
      </c>
      <c r="W909" t="s">
        <v>13500</v>
      </c>
      <c r="X909">
        <v>13</v>
      </c>
      <c r="Y909" t="s">
        <v>19740</v>
      </c>
      <c r="Z909" t="s">
        <v>25856</v>
      </c>
      <c r="AA909">
        <v>0.4852120356337965</v>
      </c>
      <c r="AB909" t="str">
        <f>HYPERLINK("Melting_Curves/meltCurve_O00425_IGF2BP3.pdf", "Melting_Curves/meltCurve_O00425_IGF2BP3.pdf")</f>
        <v>Melting_Curves/meltCurve_O00425_IGF2BP3.pdf</v>
      </c>
    </row>
    <row r="910" spans="1:28" x14ac:dyDescent="0.25">
      <c r="A910" t="s">
        <v>914</v>
      </c>
      <c r="B910">
        <v>0.99987803227770999</v>
      </c>
      <c r="C910">
        <v>1.15244110428424</v>
      </c>
      <c r="D910">
        <v>0.986195591564202</v>
      </c>
      <c r="E910">
        <v>0.79785368813413704</v>
      </c>
      <c r="F910">
        <v>0.116353019335503</v>
      </c>
      <c r="G910">
        <v>9.7166596411110195E-2</v>
      </c>
      <c r="H910">
        <v>4.5719239165490699E-2</v>
      </c>
      <c r="I910">
        <v>4.2425151255437901E-2</v>
      </c>
      <c r="J910">
        <v>4.5365634802172497E-2</v>
      </c>
      <c r="K910">
        <v>3.2746972038300098E-2</v>
      </c>
      <c r="L910">
        <v>3449.48438278207</v>
      </c>
      <c r="M910">
        <v>67.686794383733996</v>
      </c>
      <c r="N910">
        <v>51.045772317913602</v>
      </c>
      <c r="O910">
        <v>50.918013301890703</v>
      </c>
      <c r="P910">
        <v>-0.31495307277270901</v>
      </c>
      <c r="Q910">
        <v>5.22948635756465E-2</v>
      </c>
      <c r="R910">
        <v>0.98767465042153901</v>
      </c>
      <c r="S910" t="s">
        <v>7221</v>
      </c>
      <c r="T910" t="s">
        <v>12620</v>
      </c>
      <c r="U910" t="s">
        <v>12620</v>
      </c>
      <c r="V910" t="s">
        <v>12620</v>
      </c>
      <c r="W910" t="s">
        <v>13501</v>
      </c>
      <c r="X910">
        <v>39</v>
      </c>
      <c r="Y910" t="s">
        <v>19741</v>
      </c>
      <c r="Z910" t="s">
        <v>25857</v>
      </c>
      <c r="AA910">
        <v>0.39975985664687491</v>
      </c>
      <c r="AB910" t="str">
        <f>HYPERLINK("Melting_Curves/meltCurve_O00429_3_DNM1L.pdf", "Melting_Curves/meltCurve_O00429_3_DNM1L.pdf")</f>
        <v>Melting_Curves/meltCurve_O00429_3_DNM1L.pdf</v>
      </c>
    </row>
    <row r="911" spans="1:28" x14ac:dyDescent="0.25">
      <c r="A911" t="s">
        <v>915</v>
      </c>
      <c r="B911">
        <v>0.99987803227770999</v>
      </c>
      <c r="C911">
        <v>1.0492876938142</v>
      </c>
      <c r="D911">
        <v>0.88502671976713898</v>
      </c>
      <c r="E911">
        <v>0.89555349708698495</v>
      </c>
      <c r="F911">
        <v>0.215206244138681</v>
      </c>
      <c r="G911">
        <v>0.13885241613478</v>
      </c>
      <c r="H911">
        <v>8.8200214000758698E-2</v>
      </c>
      <c r="I911">
        <v>7.2516877544871503E-2</v>
      </c>
      <c r="J911">
        <v>5.9128498419927102E-2</v>
      </c>
      <c r="K911">
        <v>4.4111202218149098E-2</v>
      </c>
      <c r="L911">
        <v>3323.0229630939398</v>
      </c>
      <c r="M911">
        <v>64.432260050874106</v>
      </c>
      <c r="N911">
        <v>51.713314391409803</v>
      </c>
      <c r="O911">
        <v>51.5242885424286</v>
      </c>
      <c r="P911">
        <v>-0.287705707693099</v>
      </c>
      <c r="Q911">
        <v>7.9726380667486704E-2</v>
      </c>
      <c r="R911">
        <v>0.98847219048093105</v>
      </c>
      <c r="S911" t="s">
        <v>7222</v>
      </c>
      <c r="T911" t="s">
        <v>12620</v>
      </c>
      <c r="U911" t="s">
        <v>12620</v>
      </c>
      <c r="V911" t="s">
        <v>12620</v>
      </c>
      <c r="W911" t="s">
        <v>13502</v>
      </c>
      <c r="X911">
        <v>39</v>
      </c>
      <c r="Y911" t="s">
        <v>19741</v>
      </c>
      <c r="Z911" t="s">
        <v>25858</v>
      </c>
      <c r="AA911">
        <v>0.43602280168840202</v>
      </c>
      <c r="AB911" t="str">
        <f>HYPERLINK("Melting_Curves/meltCurve_O00429_4_DNM1L.pdf", "Melting_Curves/meltCurve_O00429_4_DNM1L.pdf")</f>
        <v>Melting_Curves/meltCurve_O00429_4_DNM1L.pdf</v>
      </c>
    </row>
    <row r="912" spans="1:28" x14ac:dyDescent="0.25">
      <c r="A912" t="s">
        <v>916</v>
      </c>
      <c r="B912">
        <v>0.99987803227770999</v>
      </c>
      <c r="C912">
        <v>0.88130633866072505</v>
      </c>
      <c r="D912">
        <v>0.76664635404299197</v>
      </c>
      <c r="E912">
        <v>0.33406915774944801</v>
      </c>
      <c r="F912">
        <v>0.14696888391632601</v>
      </c>
      <c r="G912">
        <v>9.216213545509E-2</v>
      </c>
      <c r="H912">
        <v>6.4402128430376404E-2</v>
      </c>
      <c r="I912">
        <v>6.0120403404656797E-2</v>
      </c>
      <c r="J912">
        <v>4.0234585445998998E-2</v>
      </c>
      <c r="K912">
        <v>2.46628478181623E-2</v>
      </c>
      <c r="L912">
        <v>1014.69317820157</v>
      </c>
      <c r="M912">
        <v>21.084139332981501</v>
      </c>
      <c r="N912">
        <v>48.3290055345309</v>
      </c>
      <c r="O912">
        <v>47.699244625474797</v>
      </c>
      <c r="P912">
        <v>-0.10582367147161501</v>
      </c>
      <c r="Q912">
        <v>4.2393756190594198E-2</v>
      </c>
      <c r="R912">
        <v>0.99648355712992798</v>
      </c>
      <c r="S912" t="s">
        <v>7223</v>
      </c>
      <c r="T912" t="s">
        <v>12620</v>
      </c>
      <c r="U912" t="s">
        <v>12620</v>
      </c>
      <c r="V912" t="s">
        <v>12620</v>
      </c>
      <c r="W912" t="s">
        <v>13503</v>
      </c>
      <c r="X912">
        <v>6</v>
      </c>
      <c r="Y912" t="s">
        <v>19742</v>
      </c>
      <c r="Z912" t="s">
        <v>25859</v>
      </c>
      <c r="AA912">
        <v>0.31391597126925552</v>
      </c>
      <c r="AB912" t="str">
        <f>HYPERLINK("Melting_Curves/meltCurve_O00442_RTCA.pdf", "Melting_Curves/meltCurve_O00442_RTCA.pdf")</f>
        <v>Melting_Curves/meltCurve_O00442_RTCA.pdf</v>
      </c>
    </row>
    <row r="913" spans="1:28" x14ac:dyDescent="0.25">
      <c r="A913" t="s">
        <v>917</v>
      </c>
      <c r="B913">
        <v>0.99987803227770999</v>
      </c>
      <c r="C913">
        <v>1.1169594764342901</v>
      </c>
      <c r="D913">
        <v>1.06069637507064</v>
      </c>
      <c r="E913">
        <v>1.1177863367441201</v>
      </c>
      <c r="F913">
        <v>0.76969728020992301</v>
      </c>
      <c r="G913">
        <v>0.72689646996173396</v>
      </c>
      <c r="H913">
        <v>0.68698581960461402</v>
      </c>
      <c r="I913">
        <v>0.61331400503841904</v>
      </c>
      <c r="J913">
        <v>0.56624292191854697</v>
      </c>
      <c r="K913">
        <v>0.46984447840117799</v>
      </c>
      <c r="L913">
        <v>939.58713794702805</v>
      </c>
      <c r="M913">
        <v>16.491178271700001</v>
      </c>
      <c r="O913">
        <v>56.1571322715834</v>
      </c>
      <c r="P913">
        <v>-3.5911509051506897E-2</v>
      </c>
      <c r="Q913">
        <v>0.51087874052917603</v>
      </c>
      <c r="R913">
        <v>0.86893150201548297</v>
      </c>
      <c r="S913" t="s">
        <v>7224</v>
      </c>
      <c r="T913" t="s">
        <v>12620</v>
      </c>
      <c r="U913" t="s">
        <v>12620</v>
      </c>
      <c r="V913" t="s">
        <v>12620</v>
      </c>
      <c r="W913" t="s">
        <v>13504</v>
      </c>
      <c r="X913">
        <v>3</v>
      </c>
      <c r="Y913" t="s">
        <v>19743</v>
      </c>
      <c r="Z913" t="s">
        <v>25860</v>
      </c>
      <c r="AA913">
        <v>0.79491472336485414</v>
      </c>
      <c r="AB913" t="str">
        <f>HYPERLINK("Melting_Curves/meltCurve_O00443_PIK3C2A.pdf", "Melting_Curves/meltCurve_O00443_PIK3C2A.pdf")</f>
        <v>Melting_Curves/meltCurve_O00443_PIK3C2A.pdf</v>
      </c>
    </row>
    <row r="914" spans="1:28" x14ac:dyDescent="0.25">
      <c r="A914" t="s">
        <v>918</v>
      </c>
      <c r="B914">
        <v>0.99987803227770999</v>
      </c>
      <c r="C914">
        <v>0.98470309723216598</v>
      </c>
      <c r="D914">
        <v>0.68401741088728696</v>
      </c>
      <c r="E914">
        <v>0.72639248161098802</v>
      </c>
      <c r="F914">
        <v>0.31539748702696602</v>
      </c>
      <c r="G914">
        <v>0.281447019668562</v>
      </c>
      <c r="H914">
        <v>0.33209153677522302</v>
      </c>
      <c r="I914">
        <v>0.446292457643442</v>
      </c>
      <c r="J914">
        <v>0.17800591385189399</v>
      </c>
      <c r="K914">
        <v>5.6652619433513303E-2</v>
      </c>
      <c r="L914">
        <v>650.499354156344</v>
      </c>
      <c r="M914">
        <v>13.0671631782783</v>
      </c>
      <c r="N914">
        <v>51.725666864737597</v>
      </c>
      <c r="O914">
        <v>48.658628828505897</v>
      </c>
      <c r="P914">
        <v>-5.41178539553114E-2</v>
      </c>
      <c r="Q914">
        <v>0.19405780502654901</v>
      </c>
      <c r="R914">
        <v>0.86537988479905004</v>
      </c>
      <c r="S914" t="s">
        <v>7225</v>
      </c>
      <c r="T914" t="s">
        <v>12620</v>
      </c>
      <c r="U914" t="s">
        <v>12620</v>
      </c>
      <c r="V914" t="s">
        <v>12620</v>
      </c>
      <c r="W914" t="s">
        <v>13505</v>
      </c>
      <c r="X914">
        <v>6</v>
      </c>
      <c r="Y914" t="s">
        <v>19744</v>
      </c>
      <c r="Z914" t="s">
        <v>25861</v>
      </c>
      <c r="AA914">
        <v>0.48142266565692299</v>
      </c>
      <c r="AB914" t="str">
        <f>HYPERLINK("Melting_Curves/meltCurve_O00459_PIK3R2.pdf", "Melting_Curves/meltCurve_O00459_PIK3R2.pdf")</f>
        <v>Melting_Curves/meltCurve_O00459_PIK3R2.pdf</v>
      </c>
    </row>
    <row r="915" spans="1:28" x14ac:dyDescent="0.25">
      <c r="A915" t="s">
        <v>919</v>
      </c>
      <c r="B915">
        <v>0.99987803227770999</v>
      </c>
      <c r="C915">
        <v>0.93085609596751395</v>
      </c>
      <c r="D915">
        <v>0.88489509813381595</v>
      </c>
      <c r="E915">
        <v>0.85664958614408304</v>
      </c>
      <c r="F915">
        <v>0.872079392329004</v>
      </c>
      <c r="G915">
        <v>0.76716516893810405</v>
      </c>
      <c r="H915">
        <v>0.80676653807661802</v>
      </c>
      <c r="I915">
        <v>0.80609734393292398</v>
      </c>
      <c r="J915">
        <v>0.76961958141403897</v>
      </c>
      <c r="K915">
        <v>0.60752504264167595</v>
      </c>
      <c r="L915">
        <v>213.40099878114901</v>
      </c>
      <c r="M915">
        <v>2.24968376421733</v>
      </c>
      <c r="O915">
        <v>60.400032004756099</v>
      </c>
      <c r="P915">
        <v>-9.9378500591285005E-3</v>
      </c>
      <c r="Q915">
        <v>0</v>
      </c>
      <c r="R915">
        <v>0.80455032523139602</v>
      </c>
      <c r="S915" t="s">
        <v>7226</v>
      </c>
      <c r="T915" t="s">
        <v>12620</v>
      </c>
      <c r="U915" t="s">
        <v>12620</v>
      </c>
      <c r="V915" t="s">
        <v>12620</v>
      </c>
      <c r="W915" t="s">
        <v>13506</v>
      </c>
      <c r="X915">
        <v>6</v>
      </c>
      <c r="Y915" t="s">
        <v>19745</v>
      </c>
      <c r="Z915" t="s">
        <v>25862</v>
      </c>
      <c r="AA915">
        <v>0.83195027069816918</v>
      </c>
      <c r="AB915" t="str">
        <f>HYPERLINK("Melting_Curves/meltCurve_O00468_2_AGRN.pdf", "Melting_Curves/meltCurve_O00468_2_AGRN.pdf")</f>
        <v>Melting_Curves/meltCurve_O00468_2_AGRN.pdf</v>
      </c>
    </row>
    <row r="916" spans="1:28" x14ac:dyDescent="0.25">
      <c r="A916" t="s">
        <v>920</v>
      </c>
      <c r="B916">
        <v>0.99987803227770999</v>
      </c>
      <c r="C916">
        <v>1.01270512492202</v>
      </c>
      <c r="D916">
        <v>0.93795471845430101</v>
      </c>
      <c r="E916">
        <v>0.81147628688324303</v>
      </c>
      <c r="F916">
        <v>0.37689908820314999</v>
      </c>
      <c r="G916">
        <v>0.210204166114769</v>
      </c>
      <c r="H916">
        <v>0.177964410403428</v>
      </c>
      <c r="I916">
        <v>0.14520759297661101</v>
      </c>
      <c r="J916">
        <v>0.115794885822517</v>
      </c>
      <c r="K916">
        <v>8.10920838496859E-2</v>
      </c>
      <c r="L916">
        <v>1703.6832716049801</v>
      </c>
      <c r="M916">
        <v>32.945823972689602</v>
      </c>
      <c r="N916">
        <v>52.205129495873599</v>
      </c>
      <c r="O916">
        <v>51.5222359518649</v>
      </c>
      <c r="P916">
        <v>-0.13847290639549401</v>
      </c>
      <c r="Q916">
        <v>0.133801659542681</v>
      </c>
      <c r="R916">
        <v>0.99326787239718595</v>
      </c>
      <c r="S916" t="s">
        <v>7227</v>
      </c>
      <c r="T916" t="s">
        <v>12620</v>
      </c>
      <c r="U916" t="s">
        <v>12620</v>
      </c>
      <c r="V916" t="s">
        <v>12620</v>
      </c>
      <c r="W916" t="s">
        <v>13507</v>
      </c>
      <c r="X916">
        <v>20</v>
      </c>
      <c r="Y916" t="s">
        <v>19746</v>
      </c>
      <c r="Z916" t="s">
        <v>25863</v>
      </c>
      <c r="AA916">
        <v>0.47652558228374248</v>
      </c>
      <c r="AB916" t="str">
        <f>HYPERLINK("Melting_Curves/meltCurve_O00471_EXOC5.pdf", "Melting_Curves/meltCurve_O00471_EXOC5.pdf")</f>
        <v>Melting_Curves/meltCurve_O00471_EXOC5.pdf</v>
      </c>
    </row>
    <row r="917" spans="1:28" x14ac:dyDescent="0.25">
      <c r="A917" t="s">
        <v>921</v>
      </c>
      <c r="B917">
        <v>0.99987803227770999</v>
      </c>
      <c r="C917">
        <v>0.69545260054848601</v>
      </c>
      <c r="D917">
        <v>0.92556410119149402</v>
      </c>
      <c r="E917">
        <v>0.754875472264248</v>
      </c>
      <c r="F917">
        <v>0.98938748652037301</v>
      </c>
      <c r="G917">
        <v>0.42453838005686501</v>
      </c>
      <c r="H917">
        <v>0.96690869956126102</v>
      </c>
      <c r="I917">
        <v>0.640006592271538</v>
      </c>
      <c r="J917">
        <v>1.3643858907612501</v>
      </c>
      <c r="K917">
        <v>1.2643617394914599</v>
      </c>
      <c r="L917">
        <v>10218.8984058566</v>
      </c>
      <c r="M917">
        <v>250</v>
      </c>
      <c r="O917">
        <v>40.872977870909402</v>
      </c>
      <c r="P917">
        <v>-0.16557342934459299</v>
      </c>
      <c r="Q917">
        <v>0.89172033434714804</v>
      </c>
      <c r="R917">
        <v>1.4461262204251001E-2</v>
      </c>
      <c r="S917" t="s">
        <v>7228</v>
      </c>
      <c r="T917" t="s">
        <v>12620</v>
      </c>
      <c r="U917" t="s">
        <v>12620</v>
      </c>
      <c r="V917" t="s">
        <v>12620</v>
      </c>
      <c r="W917" t="s">
        <v>13508</v>
      </c>
      <c r="X917">
        <v>4</v>
      </c>
      <c r="Y917" t="s">
        <v>19747</v>
      </c>
      <c r="Z917" t="s">
        <v>25864</v>
      </c>
      <c r="AA917">
        <v>0.89489075207882685</v>
      </c>
      <c r="AB917" t="str">
        <f>HYPERLINK("Melting_Curves/meltCurve_O00479_HMGN4.pdf", "Melting_Curves/meltCurve_O00479_HMGN4.pdf")</f>
        <v>Melting_Curves/meltCurve_O00479_HMGN4.pdf</v>
      </c>
    </row>
    <row r="918" spans="1:28" x14ac:dyDescent="0.25">
      <c r="A918" t="s">
        <v>922</v>
      </c>
      <c r="B918">
        <v>0.99987803227770999</v>
      </c>
      <c r="C918">
        <v>0.892890148610754</v>
      </c>
      <c r="D918">
        <v>0.75888547784846505</v>
      </c>
      <c r="E918">
        <v>1.4543010875689499</v>
      </c>
      <c r="F918">
        <v>0.57516688105374703</v>
      </c>
      <c r="G918">
        <v>0.40378413950865499</v>
      </c>
      <c r="H918">
        <v>0.15438497261966599</v>
      </c>
      <c r="I918">
        <v>0.11842618377261099</v>
      </c>
      <c r="J918">
        <v>9.4326345715047499E-2</v>
      </c>
      <c r="K918">
        <v>5.9900805799772999E-2</v>
      </c>
      <c r="L918">
        <v>1727.1592190223701</v>
      </c>
      <c r="M918">
        <v>31.496686911845298</v>
      </c>
      <c r="N918">
        <v>55.248428955765398</v>
      </c>
      <c r="O918">
        <v>54.616588645838597</v>
      </c>
      <c r="P918">
        <v>-0.12907567582016</v>
      </c>
      <c r="Q918">
        <v>0.10471405558196401</v>
      </c>
      <c r="R918">
        <v>0.81734171613257101</v>
      </c>
      <c r="S918" t="s">
        <v>7229</v>
      </c>
      <c r="T918" t="s">
        <v>12620</v>
      </c>
      <c r="U918" t="s">
        <v>12620</v>
      </c>
      <c r="V918" t="s">
        <v>12620</v>
      </c>
      <c r="W918" t="s">
        <v>13509</v>
      </c>
      <c r="X918">
        <v>7</v>
      </c>
      <c r="Y918" t="s">
        <v>19748</v>
      </c>
      <c r="Z918" t="s">
        <v>25865</v>
      </c>
      <c r="AA918">
        <v>0.55287396507388442</v>
      </c>
      <c r="AB918" t="str">
        <f>HYPERLINK("Melting_Curves/meltCurve_O00487_PSMD14.pdf", "Melting_Curves/meltCurve_O00487_PSMD14.pdf")</f>
        <v>Melting_Curves/meltCurve_O00487_PSMD14.pdf</v>
      </c>
    </row>
    <row r="919" spans="1:28" x14ac:dyDescent="0.25">
      <c r="A919" t="s">
        <v>923</v>
      </c>
      <c r="B919">
        <v>0.99987803227770999</v>
      </c>
      <c r="C919">
        <v>1.0517681115259601</v>
      </c>
      <c r="D919">
        <v>0.98261900240252997</v>
      </c>
      <c r="E919">
        <v>1.00192309439351</v>
      </c>
      <c r="F919">
        <v>1.1366250368116</v>
      </c>
      <c r="G919">
        <v>0.78198922441789098</v>
      </c>
      <c r="H919">
        <v>1.39200587240523</v>
      </c>
      <c r="I919">
        <v>1.2867391589945201</v>
      </c>
      <c r="J919">
        <v>0.66203115016409997</v>
      </c>
      <c r="K919">
        <v>0.55368956314003803</v>
      </c>
      <c r="L919">
        <v>15000</v>
      </c>
      <c r="M919">
        <v>225.01582741422101</v>
      </c>
      <c r="O919">
        <v>66.656718103663707</v>
      </c>
      <c r="P919">
        <v>-0.376730296046353</v>
      </c>
      <c r="Q919">
        <v>0.55360290919514799</v>
      </c>
      <c r="R919">
        <v>0.504893584538044</v>
      </c>
      <c r="S919" t="s">
        <v>7230</v>
      </c>
      <c r="T919" t="s">
        <v>12620</v>
      </c>
      <c r="U919" t="s">
        <v>12620</v>
      </c>
      <c r="V919" t="s">
        <v>12620</v>
      </c>
      <c r="W919" t="s">
        <v>13510</v>
      </c>
      <c r="X919">
        <v>2</v>
      </c>
      <c r="Y919" t="s">
        <v>19749</v>
      </c>
      <c r="Z919" t="s">
        <v>25866</v>
      </c>
      <c r="AA919">
        <v>0.95039490870221577</v>
      </c>
      <c r="AB919" t="str">
        <f>HYPERLINK("Melting_Curves/meltCurve_O00488_ZNF593.pdf", "Melting_Curves/meltCurve_O00488_ZNF593.pdf")</f>
        <v>Melting_Curves/meltCurve_O00488_ZNF593.pdf</v>
      </c>
    </row>
    <row r="920" spans="1:28" x14ac:dyDescent="0.25">
      <c r="A920" t="s">
        <v>924</v>
      </c>
      <c r="B920">
        <v>0.99987803227770999</v>
      </c>
      <c r="C920">
        <v>0.90610367197855202</v>
      </c>
      <c r="D920">
        <v>0.99096830699236005</v>
      </c>
      <c r="E920">
        <v>0.84350312729475596</v>
      </c>
      <c r="F920">
        <v>0.68465903189439603</v>
      </c>
      <c r="G920">
        <v>0.51659719515117997</v>
      </c>
      <c r="H920">
        <v>0.43813537839379701</v>
      </c>
      <c r="I920">
        <v>0.37534894334817598</v>
      </c>
      <c r="J920">
        <v>0.38062926052622098</v>
      </c>
      <c r="K920">
        <v>0.32538267391673797</v>
      </c>
      <c r="L920">
        <v>818.11875450741798</v>
      </c>
      <c r="M920">
        <v>15.2427540980767</v>
      </c>
      <c r="N920">
        <v>57.729552390696902</v>
      </c>
      <c r="O920">
        <v>52.774272598647599</v>
      </c>
      <c r="P920">
        <v>-4.8477543510642998E-2</v>
      </c>
      <c r="Q920">
        <v>0.32869760889097299</v>
      </c>
      <c r="R920">
        <v>0.98563427301000095</v>
      </c>
      <c r="S920" t="s">
        <v>7231</v>
      </c>
      <c r="T920" t="s">
        <v>12620</v>
      </c>
      <c r="U920" t="s">
        <v>12620</v>
      </c>
      <c r="V920" t="s">
        <v>12620</v>
      </c>
      <c r="W920" t="s">
        <v>13511</v>
      </c>
      <c r="X920">
        <v>16</v>
      </c>
      <c r="Y920" t="s">
        <v>19750</v>
      </c>
      <c r="Z920" t="s">
        <v>25867</v>
      </c>
      <c r="AA920">
        <v>0.64836529855682867</v>
      </c>
      <c r="AB920" t="str">
        <f>HYPERLINK("Melting_Curves/meltCurve_O00499_6_BIN1.pdf", "Melting_Curves/meltCurve_O00499_6_BIN1.pdf")</f>
        <v>Melting_Curves/meltCurve_O00499_6_BIN1.pdf</v>
      </c>
    </row>
    <row r="921" spans="1:28" x14ac:dyDescent="0.25">
      <c r="A921" t="s">
        <v>925</v>
      </c>
      <c r="B921">
        <v>0.99987803227770999</v>
      </c>
      <c r="C921">
        <v>1.0788949025244099</v>
      </c>
      <c r="D921">
        <v>1.03214863983664</v>
      </c>
      <c r="E921">
        <v>1.0997628898587599</v>
      </c>
      <c r="F921">
        <v>0.85687447112523296</v>
      </c>
      <c r="G921">
        <v>0.34643669945773298</v>
      </c>
      <c r="H921">
        <v>0.210587646376278</v>
      </c>
      <c r="I921">
        <v>0.21141029578281201</v>
      </c>
      <c r="J921">
        <v>0.14456906218879001</v>
      </c>
      <c r="K921">
        <v>0.103350022251427</v>
      </c>
      <c r="L921">
        <v>2246.87030725979</v>
      </c>
      <c r="M921">
        <v>40.669969579795598</v>
      </c>
      <c r="N921">
        <v>55.780723947229497</v>
      </c>
      <c r="O921">
        <v>55.113358402827899</v>
      </c>
      <c r="P921">
        <v>-0.154722149904787</v>
      </c>
      <c r="Q921">
        <v>0.161323173511038</v>
      </c>
      <c r="R921">
        <v>0.98433809445054898</v>
      </c>
      <c r="S921" t="s">
        <v>7232</v>
      </c>
      <c r="T921" t="s">
        <v>12620</v>
      </c>
      <c r="U921" t="s">
        <v>12620</v>
      </c>
      <c r="V921" t="s">
        <v>12620</v>
      </c>
      <c r="W921" t="s">
        <v>13512</v>
      </c>
      <c r="X921">
        <v>9</v>
      </c>
      <c r="Y921" t="s">
        <v>19751</v>
      </c>
      <c r="Z921" t="s">
        <v>25868</v>
      </c>
      <c r="AA921">
        <v>0.5906362734530588</v>
      </c>
      <c r="AB921" t="str">
        <f>HYPERLINK("Melting_Curves/meltCurve_O00505_KPNA3.pdf", "Melting_Curves/meltCurve_O00505_KPNA3.pdf")</f>
        <v>Melting_Curves/meltCurve_O00505_KPNA3.pdf</v>
      </c>
    </row>
    <row r="922" spans="1:28" x14ac:dyDescent="0.25">
      <c r="A922" t="s">
        <v>926</v>
      </c>
      <c r="B922">
        <v>0.99987803227770999</v>
      </c>
      <c r="C922">
        <v>0.91879098609579701</v>
      </c>
      <c r="D922">
        <v>0.705006742578141</v>
      </c>
      <c r="E922">
        <v>0.50424969827646504</v>
      </c>
      <c r="F922">
        <v>0.34876937122325402</v>
      </c>
      <c r="G922">
        <v>0.24507328499794301</v>
      </c>
      <c r="H922">
        <v>0.156498667860867</v>
      </c>
      <c r="I922">
        <v>0.17710082893477</v>
      </c>
      <c r="J922">
        <v>0.114328459264441</v>
      </c>
      <c r="K922">
        <v>9.7166209904039597E-2</v>
      </c>
      <c r="L922">
        <v>660.56612987994595</v>
      </c>
      <c r="M922">
        <v>13.4432073466094</v>
      </c>
      <c r="N922">
        <v>50.011300276146301</v>
      </c>
      <c r="O922">
        <v>48.0884149738554</v>
      </c>
      <c r="P922">
        <v>-6.2582957174202605E-2</v>
      </c>
      <c r="Q922">
        <v>0.10466311893163401</v>
      </c>
      <c r="R922">
        <v>0.99378392325104303</v>
      </c>
      <c r="S922" t="s">
        <v>7233</v>
      </c>
      <c r="T922" t="s">
        <v>12620</v>
      </c>
      <c r="U922" t="s">
        <v>12620</v>
      </c>
      <c r="V922" t="s">
        <v>12620</v>
      </c>
      <c r="W922" t="s">
        <v>13513</v>
      </c>
      <c r="X922">
        <v>10</v>
      </c>
      <c r="Y922" t="s">
        <v>19752</v>
      </c>
      <c r="Z922" t="s">
        <v>25869</v>
      </c>
      <c r="AA922">
        <v>0.40420974464602749</v>
      </c>
      <c r="AB922" t="str">
        <f>HYPERLINK("Melting_Curves/meltCurve_O00506_STK25.pdf", "Melting_Curves/meltCurve_O00506_STK25.pdf")</f>
        <v>Melting_Curves/meltCurve_O00506_STK25.pdf</v>
      </c>
    </row>
    <row r="923" spans="1:28" x14ac:dyDescent="0.25">
      <c r="A923" t="s">
        <v>927</v>
      </c>
      <c r="B923">
        <v>0.99987803227770999</v>
      </c>
      <c r="C923">
        <v>0.98586486673486395</v>
      </c>
      <c r="D923">
        <v>1.00167950123105</v>
      </c>
      <c r="E923">
        <v>0.99543331223030795</v>
      </c>
      <c r="F923">
        <v>1.0407899320979299</v>
      </c>
      <c r="G923">
        <v>0.86149248218660002</v>
      </c>
      <c r="H923">
        <v>0.79116119975047505</v>
      </c>
      <c r="I923">
        <v>0.77337525765625503</v>
      </c>
      <c r="J923">
        <v>0.67100823687665101</v>
      </c>
      <c r="K923">
        <v>0.54817538635790997</v>
      </c>
      <c r="L923">
        <v>698.07479055588101</v>
      </c>
      <c r="M923">
        <v>10.1472553854806</v>
      </c>
      <c r="O923">
        <v>66.283016596750002</v>
      </c>
      <c r="P923">
        <v>-3.0781138218008899E-2</v>
      </c>
      <c r="Q923">
        <v>0.19610610364178499</v>
      </c>
      <c r="R923">
        <v>0.95308583588370199</v>
      </c>
      <c r="S923" t="s">
        <v>7234</v>
      </c>
      <c r="T923" t="s">
        <v>12620</v>
      </c>
      <c r="U923" t="s">
        <v>12620</v>
      </c>
      <c r="V923" t="s">
        <v>12620</v>
      </c>
      <c r="W923" t="s">
        <v>13514</v>
      </c>
      <c r="X923">
        <v>8</v>
      </c>
      <c r="Y923" t="s">
        <v>19753</v>
      </c>
      <c r="Z923" t="s">
        <v>25870</v>
      </c>
      <c r="AA923">
        <v>0.87983406967507594</v>
      </c>
      <c r="AB923" t="str">
        <f>HYPERLINK("Melting_Curves/meltCurve_O00512_BCL9.pdf", "Melting_Curves/meltCurve_O00512_BCL9.pdf")</f>
        <v>Melting_Curves/meltCurve_O00512_BCL9.pdf</v>
      </c>
    </row>
    <row r="924" spans="1:28" x14ac:dyDescent="0.25">
      <c r="A924" t="s">
        <v>928</v>
      </c>
      <c r="B924">
        <v>0.99987803227770999</v>
      </c>
      <c r="C924">
        <v>0.82588831560007503</v>
      </c>
      <c r="D924">
        <v>1.0934971853237301</v>
      </c>
      <c r="E924">
        <v>0.79852702477137705</v>
      </c>
      <c r="F924">
        <v>0.86354301722579396</v>
      </c>
      <c r="G924">
        <v>0.24294260799096001</v>
      </c>
      <c r="H924">
        <v>0.109390073115434</v>
      </c>
      <c r="I924">
        <v>7.6654289138564605E-2</v>
      </c>
      <c r="J924">
        <v>7.3762597000413904E-2</v>
      </c>
      <c r="K924">
        <v>5.0459811967369698E-2</v>
      </c>
      <c r="L924">
        <v>1993.1004617645499</v>
      </c>
      <c r="M924">
        <v>36.236177743806799</v>
      </c>
      <c r="N924">
        <v>55.216351561734598</v>
      </c>
      <c r="O924">
        <v>54.836343567590397</v>
      </c>
      <c r="P924">
        <v>-0.15441174759293999</v>
      </c>
      <c r="Q924">
        <v>6.5315365585249197E-2</v>
      </c>
      <c r="R924">
        <v>0.95623729753150399</v>
      </c>
      <c r="S924" t="s">
        <v>7235</v>
      </c>
      <c r="T924" t="s">
        <v>12620</v>
      </c>
      <c r="U924" t="s">
        <v>12620</v>
      </c>
      <c r="V924" t="s">
        <v>12620</v>
      </c>
      <c r="W924" t="s">
        <v>13515</v>
      </c>
      <c r="X924">
        <v>6</v>
      </c>
      <c r="Y924" t="s">
        <v>19754</v>
      </c>
      <c r="Z924" t="s">
        <v>25871</v>
      </c>
      <c r="AA924">
        <v>0.53705769624998623</v>
      </c>
      <c r="AB924" t="str">
        <f>HYPERLINK("Melting_Curves/meltCurve_O00560_3_SDCBP.pdf", "Melting_Curves/meltCurve_O00560_3_SDCBP.pdf")</f>
        <v>Melting_Curves/meltCurve_O00560_3_SDCBP.pdf</v>
      </c>
    </row>
    <row r="925" spans="1:28" x14ac:dyDescent="0.25">
      <c r="A925" t="s">
        <v>929</v>
      </c>
      <c r="B925">
        <v>0.99987803227770999</v>
      </c>
      <c r="C925">
        <v>1.03259561239132</v>
      </c>
      <c r="D925">
        <v>0.96260626798038995</v>
      </c>
      <c r="E925">
        <v>0.61628722539569702</v>
      </c>
      <c r="F925">
        <v>0.274593730072974</v>
      </c>
      <c r="G925">
        <v>0.235318261199774</v>
      </c>
      <c r="H925">
        <v>0.137335497090353</v>
      </c>
      <c r="I925">
        <v>0.17112550618559799</v>
      </c>
      <c r="J925">
        <v>8.9439650051241298E-2</v>
      </c>
      <c r="K925">
        <v>0.105373139272938</v>
      </c>
      <c r="L925">
        <v>1515.60040737081</v>
      </c>
      <c r="M925">
        <v>30.0973418175654</v>
      </c>
      <c r="N925">
        <v>50.902305440282397</v>
      </c>
      <c r="O925">
        <v>50.135895303098899</v>
      </c>
      <c r="P925">
        <v>-0.129385813030232</v>
      </c>
      <c r="Q925">
        <v>0.137886655770977</v>
      </c>
      <c r="R925">
        <v>0.99187517544430404</v>
      </c>
      <c r="S925" t="s">
        <v>7236</v>
      </c>
      <c r="T925" t="s">
        <v>12620</v>
      </c>
      <c r="U925" t="s">
        <v>12620</v>
      </c>
      <c r="V925" t="s">
        <v>12620</v>
      </c>
      <c r="W925" t="s">
        <v>13516</v>
      </c>
      <c r="X925">
        <v>3</v>
      </c>
      <c r="Y925" t="s">
        <v>19755</v>
      </c>
      <c r="Z925" t="s">
        <v>25872</v>
      </c>
      <c r="AA925">
        <v>0.44083451117582623</v>
      </c>
      <c r="AB925" t="str">
        <f>HYPERLINK("Melting_Curves/meltCurve_O00562_2_PITPNM1.pdf", "Melting_Curves/meltCurve_O00562_2_PITPNM1.pdf")</f>
        <v>Melting_Curves/meltCurve_O00562_2_PITPNM1.pdf</v>
      </c>
    </row>
    <row r="926" spans="1:28" x14ac:dyDescent="0.25">
      <c r="A926" t="s">
        <v>930</v>
      </c>
      <c r="B926">
        <v>0.99987803227770999</v>
      </c>
      <c r="C926">
        <v>0.97138431389775803</v>
      </c>
      <c r="D926">
        <v>0.99004957160554496</v>
      </c>
      <c r="E926">
        <v>1.0702875490995301</v>
      </c>
      <c r="F926">
        <v>0.79832821008798405</v>
      </c>
      <c r="G926">
        <v>0.55779345196857699</v>
      </c>
      <c r="H926">
        <v>0.55303448268179201</v>
      </c>
      <c r="I926">
        <v>0.48576111968984398</v>
      </c>
      <c r="J926">
        <v>0.60755291269414802</v>
      </c>
      <c r="K926">
        <v>0.47970774687715001</v>
      </c>
      <c r="L926">
        <v>13263.7808568484</v>
      </c>
      <c r="M926">
        <v>250</v>
      </c>
      <c r="O926">
        <v>53.051728036151502</v>
      </c>
      <c r="P926">
        <v>-0.54572923329276901</v>
      </c>
      <c r="Q926">
        <v>0.53676993680694296</v>
      </c>
      <c r="R926">
        <v>0.966009931002486</v>
      </c>
      <c r="S926" t="s">
        <v>7237</v>
      </c>
      <c r="T926" t="s">
        <v>12620</v>
      </c>
      <c r="U926" t="s">
        <v>12620</v>
      </c>
      <c r="V926" t="s">
        <v>12620</v>
      </c>
      <c r="W926" t="s">
        <v>13517</v>
      </c>
      <c r="X926">
        <v>4</v>
      </c>
      <c r="Y926" t="s">
        <v>19756</v>
      </c>
      <c r="Z926" t="s">
        <v>25873</v>
      </c>
      <c r="AA926">
        <v>0.73839725692455327</v>
      </c>
      <c r="AB926" t="str">
        <f>HYPERLINK("Melting_Curves/meltCurve_O00566_MPHOSPH10.pdf", "Melting_Curves/meltCurve_O00566_MPHOSPH10.pdf")</f>
        <v>Melting_Curves/meltCurve_O00566_MPHOSPH10.pdf</v>
      </c>
    </row>
    <row r="927" spans="1:28" x14ac:dyDescent="0.25">
      <c r="A927" t="s">
        <v>931</v>
      </c>
      <c r="B927">
        <v>0.99987803227770999</v>
      </c>
      <c r="C927">
        <v>0.884513883690215</v>
      </c>
      <c r="D927">
        <v>0.99513728987889105</v>
      </c>
      <c r="E927">
        <v>0.87842533779991205</v>
      </c>
      <c r="F927">
        <v>1.0273279007560301</v>
      </c>
      <c r="G927">
        <v>0.76085373737126805</v>
      </c>
      <c r="H927">
        <v>0.78917851589205801</v>
      </c>
      <c r="I927">
        <v>0.68997384446111998</v>
      </c>
      <c r="J927">
        <v>0.72688393749627001</v>
      </c>
      <c r="K927">
        <v>0.61051917427747604</v>
      </c>
      <c r="L927">
        <v>350.16846395524902</v>
      </c>
      <c r="M927">
        <v>4.4858595358456599</v>
      </c>
      <c r="O927">
        <v>66.285943101306302</v>
      </c>
      <c r="P927">
        <v>-1.7068122974079E-2</v>
      </c>
      <c r="Q927">
        <v>0</v>
      </c>
      <c r="R927">
        <v>0.78016473607453596</v>
      </c>
      <c r="S927" t="s">
        <v>7238</v>
      </c>
      <c r="T927" t="s">
        <v>12620</v>
      </c>
      <c r="U927" t="s">
        <v>12620</v>
      </c>
      <c r="V927" t="s">
        <v>12620</v>
      </c>
      <c r="W927" t="s">
        <v>13518</v>
      </c>
      <c r="X927">
        <v>4</v>
      </c>
      <c r="Y927" t="s">
        <v>19757</v>
      </c>
      <c r="Z927" t="s">
        <v>25874</v>
      </c>
      <c r="AA927">
        <v>0.84579261951172846</v>
      </c>
      <c r="AB927" t="str">
        <f>HYPERLINK("Melting_Curves/meltCurve_O00567_NOP56.pdf", "Melting_Curves/meltCurve_O00567_NOP56.pdf")</f>
        <v>Melting_Curves/meltCurve_O00567_NOP56.pdf</v>
      </c>
    </row>
    <row r="928" spans="1:28" x14ac:dyDescent="0.25">
      <c r="A928" t="s">
        <v>932</v>
      </c>
      <c r="B928">
        <v>0.99987803227770999</v>
      </c>
      <c r="C928">
        <v>0.84456680485733704</v>
      </c>
      <c r="D928">
        <v>0.765020150408389</v>
      </c>
      <c r="E928">
        <v>0.44919943065215201</v>
      </c>
      <c r="F928">
        <v>0.371374362703148</v>
      </c>
      <c r="G928">
        <v>0.26925055630134997</v>
      </c>
      <c r="H928">
        <v>0.26624049593888699</v>
      </c>
      <c r="I928">
        <v>0.231667710461224</v>
      </c>
      <c r="J928">
        <v>0.266463753680933</v>
      </c>
      <c r="K928">
        <v>0.22099065681991001</v>
      </c>
      <c r="L928">
        <v>787.53406226189497</v>
      </c>
      <c r="M928">
        <v>16.5272903831947</v>
      </c>
      <c r="N928">
        <v>49.540819578188497</v>
      </c>
      <c r="O928">
        <v>46.969303428259003</v>
      </c>
      <c r="P928">
        <v>-6.7400100238079796E-2</v>
      </c>
      <c r="Q928">
        <v>0.23386908304845999</v>
      </c>
      <c r="R928">
        <v>0.99050459940354296</v>
      </c>
      <c r="S928" t="s">
        <v>7239</v>
      </c>
      <c r="T928" t="s">
        <v>12620</v>
      </c>
      <c r="U928" t="s">
        <v>12620</v>
      </c>
      <c r="V928" t="s">
        <v>12620</v>
      </c>
      <c r="W928" t="s">
        <v>13519</v>
      </c>
      <c r="X928">
        <v>43</v>
      </c>
      <c r="Y928" t="s">
        <v>19758</v>
      </c>
      <c r="Z928" t="s">
        <v>25875</v>
      </c>
      <c r="AA928">
        <v>0.44569695934799369</v>
      </c>
      <c r="AB928" t="str">
        <f>HYPERLINK("Melting_Curves/meltCurve_O00571_DDX3X.pdf", "Melting_Curves/meltCurve_O00571_DDX3X.pdf")</f>
        <v>Melting_Curves/meltCurve_O00571_DDX3X.pdf</v>
      </c>
    </row>
    <row r="929" spans="1:28" x14ac:dyDescent="0.25">
      <c r="A929" t="s">
        <v>933</v>
      </c>
      <c r="B929">
        <v>0.99987803227770999</v>
      </c>
      <c r="C929">
        <v>0.98015428189049403</v>
      </c>
      <c r="D929">
        <v>1.1120857207578101</v>
      </c>
      <c r="E929">
        <v>1.00292446872283</v>
      </c>
      <c r="F929">
        <v>1.02778379699595</v>
      </c>
      <c r="G929">
        <v>1.0623179785349499</v>
      </c>
      <c r="H929">
        <v>1.15915881950912</v>
      </c>
      <c r="I929">
        <v>1.1054281177365901</v>
      </c>
      <c r="J929">
        <v>1.1626926907270301</v>
      </c>
      <c r="K929">
        <v>0.90764925993686396</v>
      </c>
      <c r="L929">
        <v>635.79528551508702</v>
      </c>
      <c r="M929">
        <v>13.7391894588339</v>
      </c>
      <c r="O929">
        <v>45.328726689981899</v>
      </c>
      <c r="P929">
        <v>5.5261549599286098E-3</v>
      </c>
      <c r="Q929">
        <v>1.07291779457179</v>
      </c>
      <c r="R929">
        <v>0.10296472207122299</v>
      </c>
      <c r="S929" t="s">
        <v>7240</v>
      </c>
      <c r="T929" t="s">
        <v>12620</v>
      </c>
      <c r="U929" t="s">
        <v>12620</v>
      </c>
      <c r="V929" t="s">
        <v>12620</v>
      </c>
      <c r="W929" t="s">
        <v>13520</v>
      </c>
      <c r="X929">
        <v>2</v>
      </c>
      <c r="Y929" t="s">
        <v>19759</v>
      </c>
      <c r="Z929" t="s">
        <v>25876</v>
      </c>
      <c r="AA929">
        <v>1.055168669228584</v>
      </c>
      <c r="AB929" t="str">
        <f>HYPERLINK("Melting_Curves/meltCurve_O00592_2_PODXL.pdf", "Melting_Curves/meltCurve_O00592_2_PODXL.pdf")</f>
        <v>Melting_Curves/meltCurve_O00592_2_PODXL.pdf</v>
      </c>
    </row>
    <row r="930" spans="1:28" x14ac:dyDescent="0.25">
      <c r="A930" t="s">
        <v>934</v>
      </c>
      <c r="B930">
        <v>0.99987803227770999</v>
      </c>
      <c r="C930">
        <v>0.88576187043661403</v>
      </c>
      <c r="D930">
        <v>1.12206231592984</v>
      </c>
      <c r="E930">
        <v>0.87321050824070401</v>
      </c>
      <c r="F930">
        <v>0.66442042962318504</v>
      </c>
      <c r="G930">
        <v>0.39352113244429399</v>
      </c>
      <c r="H930">
        <v>0.64197982315389002</v>
      </c>
      <c r="I930">
        <v>0.55329124463518498</v>
      </c>
      <c r="J930">
        <v>0.85195942848856798</v>
      </c>
      <c r="K930">
        <v>0</v>
      </c>
      <c r="L930">
        <v>2048.2414276628101</v>
      </c>
      <c r="M930">
        <v>39.547139612488401</v>
      </c>
      <c r="N930">
        <v>57.283227835907702</v>
      </c>
      <c r="O930">
        <v>51.660502353465802</v>
      </c>
      <c r="P930">
        <v>-9.7850752258412901E-2</v>
      </c>
      <c r="Q930">
        <v>0.48871062590669401</v>
      </c>
      <c r="R930">
        <v>0.54429746645520105</v>
      </c>
      <c r="S930" t="s">
        <v>7241</v>
      </c>
      <c r="T930" t="s">
        <v>12620</v>
      </c>
      <c r="U930" t="s">
        <v>12620</v>
      </c>
      <c r="V930" t="s">
        <v>12620</v>
      </c>
      <c r="W930" t="s">
        <v>13521</v>
      </c>
      <c r="X930">
        <v>1</v>
      </c>
      <c r="Y930" t="s">
        <v>19760</v>
      </c>
      <c r="Z930" t="s">
        <v>25877</v>
      </c>
      <c r="AA930">
        <v>0.69156045613762329</v>
      </c>
      <c r="AB930" t="str">
        <f>HYPERLINK("Melting_Curves/meltCurve_O00622_CYR61.pdf", "Melting_Curves/meltCurve_O00622_CYR61.pdf")</f>
        <v>Melting_Curves/meltCurve_O00622_CYR61.pdf</v>
      </c>
    </row>
    <row r="931" spans="1:28" x14ac:dyDescent="0.25">
      <c r="A931" t="s">
        <v>935</v>
      </c>
      <c r="B931">
        <v>0.99987803227770999</v>
      </c>
      <c r="C931">
        <v>0.926138722236029</v>
      </c>
      <c r="D931">
        <v>1.0320119121220701</v>
      </c>
      <c r="E931">
        <v>0.76749076686418105</v>
      </c>
      <c r="F931">
        <v>0.61069572576912901</v>
      </c>
      <c r="G931">
        <v>0.38887678054804198</v>
      </c>
      <c r="H931">
        <v>0.28305513653220099</v>
      </c>
      <c r="I931">
        <v>0.19188290279629899</v>
      </c>
      <c r="J931">
        <v>0.13285647685787599</v>
      </c>
      <c r="K931">
        <v>9.9321333865787703E-2</v>
      </c>
      <c r="L931">
        <v>765.23551442473195</v>
      </c>
      <c r="M931">
        <v>14.0628867426394</v>
      </c>
      <c r="N931">
        <v>55.106424729390099</v>
      </c>
      <c r="O931">
        <v>53.350363983508203</v>
      </c>
      <c r="P931">
        <v>-6.0578614926322202E-2</v>
      </c>
      <c r="Q931">
        <v>8.0851322266895495E-2</v>
      </c>
      <c r="R931">
        <v>0.98754021268129999</v>
      </c>
      <c r="S931" t="s">
        <v>7242</v>
      </c>
      <c r="T931" t="s">
        <v>12620</v>
      </c>
      <c r="U931" t="s">
        <v>12620</v>
      </c>
      <c r="V931" t="s">
        <v>12620</v>
      </c>
      <c r="W931" t="s">
        <v>13522</v>
      </c>
      <c r="X931">
        <v>13</v>
      </c>
      <c r="Y931" t="s">
        <v>19761</v>
      </c>
      <c r="Z931" t="s">
        <v>25878</v>
      </c>
      <c r="AA931">
        <v>0.54230878635089419</v>
      </c>
      <c r="AB931" t="str">
        <f>HYPERLINK("Melting_Curves/meltCurve_O00625_PIR.pdf", "Melting_Curves/meltCurve_O00625_PIR.pdf")</f>
        <v>Melting_Curves/meltCurve_O00625_PIR.pdf</v>
      </c>
    </row>
    <row r="932" spans="1:28" x14ac:dyDescent="0.25">
      <c r="A932" t="s">
        <v>936</v>
      </c>
      <c r="B932">
        <v>0.99987803227770999</v>
      </c>
      <c r="C932">
        <v>1.11790460372559</v>
      </c>
      <c r="D932">
        <v>0.94855789726974904</v>
      </c>
      <c r="E932">
        <v>1.1687795620210399</v>
      </c>
      <c r="F932">
        <v>1.1044836654861501</v>
      </c>
      <c r="G932">
        <v>1.1902874823507501</v>
      </c>
      <c r="H932">
        <v>0.32512840967738799</v>
      </c>
      <c r="I932">
        <v>0.27377234102905401</v>
      </c>
      <c r="J932">
        <v>0.22552804841987201</v>
      </c>
      <c r="K932">
        <v>0.16967942961573601</v>
      </c>
      <c r="L932">
        <v>14496.110512245599</v>
      </c>
      <c r="M932">
        <v>239.52935469029001</v>
      </c>
      <c r="N932">
        <v>60.668723491194598</v>
      </c>
      <c r="O932">
        <v>60.514921110801701</v>
      </c>
      <c r="P932">
        <v>-0.76888549383257199</v>
      </c>
      <c r="Q932">
        <v>0.22299218876591201</v>
      </c>
      <c r="R932">
        <v>0.94427378491639002</v>
      </c>
      <c r="S932" t="s">
        <v>7243</v>
      </c>
      <c r="T932" t="s">
        <v>12620</v>
      </c>
      <c r="U932" t="s">
        <v>12620</v>
      </c>
      <c r="V932" t="s">
        <v>12620</v>
      </c>
      <c r="W932" t="s">
        <v>13523</v>
      </c>
      <c r="X932">
        <v>11</v>
      </c>
      <c r="Y932" t="s">
        <v>19762</v>
      </c>
      <c r="Z932" t="s">
        <v>25879</v>
      </c>
      <c r="AA932">
        <v>0.75453315386184117</v>
      </c>
      <c r="AB932" t="str">
        <f>HYPERLINK("Melting_Curves/meltCurve_O00629_KPNA4.pdf", "Melting_Curves/meltCurve_O00629_KPNA4.pdf")</f>
        <v>Melting_Curves/meltCurve_O00629_KPNA4.pdf</v>
      </c>
    </row>
    <row r="933" spans="1:28" x14ac:dyDescent="0.25">
      <c r="A933" t="s">
        <v>937</v>
      </c>
      <c r="B933">
        <v>0.99987803227770999</v>
      </c>
      <c r="C933">
        <v>0.927947381184276</v>
      </c>
      <c r="D933">
        <v>0.70003909771402795</v>
      </c>
      <c r="E933">
        <v>0.36369037233951701</v>
      </c>
      <c r="F933">
        <v>0.18896154902646201</v>
      </c>
      <c r="G933">
        <v>0.164665964581452</v>
      </c>
      <c r="H933">
        <v>0.110291835164013</v>
      </c>
      <c r="I933">
        <v>7.8337744677151697E-2</v>
      </c>
      <c r="J933">
        <v>6.3972789943396099E-2</v>
      </c>
      <c r="K933">
        <v>4.8836661395530903E-2</v>
      </c>
      <c r="L933">
        <v>911.75607567247596</v>
      </c>
      <c r="M933">
        <v>19.0289143260731</v>
      </c>
      <c r="N933">
        <v>48.330549473292002</v>
      </c>
      <c r="O933">
        <v>47.394472165421703</v>
      </c>
      <c r="P933">
        <v>-9.2791328298725204E-2</v>
      </c>
      <c r="Q933">
        <v>7.55912175719409E-2</v>
      </c>
      <c r="R933">
        <v>0.99614633879477699</v>
      </c>
      <c r="S933" t="s">
        <v>7244</v>
      </c>
      <c r="T933" t="s">
        <v>12620</v>
      </c>
      <c r="U933" t="s">
        <v>12620</v>
      </c>
      <c r="V933" t="s">
        <v>12620</v>
      </c>
      <c r="W933" t="s">
        <v>13524</v>
      </c>
      <c r="X933">
        <v>2</v>
      </c>
      <c r="Y933" t="s">
        <v>19763</v>
      </c>
      <c r="Z933" t="s">
        <v>25880</v>
      </c>
      <c r="AA933">
        <v>0.33408547502606639</v>
      </c>
      <c r="AB933" t="str">
        <f>HYPERLINK("Melting_Curves/meltCurve_O00635_TRIM38.pdf", "Melting_Curves/meltCurve_O00635_TRIM38.pdf")</f>
        <v>Melting_Curves/meltCurve_O00635_TRIM38.pdf</v>
      </c>
    </row>
    <row r="934" spans="1:28" x14ac:dyDescent="0.25">
      <c r="A934" t="s">
        <v>938</v>
      </c>
      <c r="B934">
        <v>0.99987803227770999</v>
      </c>
      <c r="C934">
        <v>0.75319626294993902</v>
      </c>
      <c r="D934">
        <v>0.79284243039493196</v>
      </c>
      <c r="E934">
        <v>0.72314979482442998</v>
      </c>
      <c r="F934">
        <v>1.3266491089685899</v>
      </c>
      <c r="G934">
        <v>0.74448676405541503</v>
      </c>
      <c r="H934">
        <v>1.0360498456501199</v>
      </c>
      <c r="I934">
        <v>0.79045790248792402</v>
      </c>
      <c r="J934">
        <v>1.10205888898589</v>
      </c>
      <c r="K934">
        <v>0.88641872935419797</v>
      </c>
      <c r="L934">
        <v>10219.3040057415</v>
      </c>
      <c r="M934">
        <v>250</v>
      </c>
      <c r="O934">
        <v>40.874600166248896</v>
      </c>
      <c r="P934">
        <v>-0.14350951114874599</v>
      </c>
      <c r="Q934">
        <v>0.90614569792996003</v>
      </c>
      <c r="R934">
        <v>2.2616227369424001E-2</v>
      </c>
      <c r="S934" t="s">
        <v>7245</v>
      </c>
      <c r="T934" t="s">
        <v>12620</v>
      </c>
      <c r="U934" t="s">
        <v>12620</v>
      </c>
      <c r="V934" t="s">
        <v>12620</v>
      </c>
      <c r="W934" t="s">
        <v>13525</v>
      </c>
      <c r="X934">
        <v>4</v>
      </c>
      <c r="Y934" t="s">
        <v>19764</v>
      </c>
      <c r="Z934" t="s">
        <v>25881</v>
      </c>
      <c r="AA934">
        <v>0.90889879777894322</v>
      </c>
      <c r="AB934" t="str">
        <f>HYPERLINK("Melting_Curves/meltCurve_O00712_NFIB.pdf", "Melting_Curves/meltCurve_O00712_NFIB.pdf")</f>
        <v>Melting_Curves/meltCurve_O00712_NFIB.pdf</v>
      </c>
    </row>
    <row r="935" spans="1:28" x14ac:dyDescent="0.25">
      <c r="A935" t="s">
        <v>939</v>
      </c>
      <c r="B935">
        <v>0.99987803227770999</v>
      </c>
      <c r="C935">
        <v>0.98723048992979801</v>
      </c>
      <c r="D935">
        <v>0.94710177806249896</v>
      </c>
      <c r="E935">
        <v>1.13591622942167</v>
      </c>
      <c r="F935">
        <v>1.00217158839664</v>
      </c>
      <c r="G935">
        <v>1.1029736572283699</v>
      </c>
      <c r="H935">
        <v>0.89768128601340502</v>
      </c>
      <c r="I935">
        <v>0.59290803920308</v>
      </c>
      <c r="J935">
        <v>0.41291203869055199</v>
      </c>
      <c r="K935">
        <v>0.28085864029522201</v>
      </c>
      <c r="L935">
        <v>2542.2208697207202</v>
      </c>
      <c r="M935">
        <v>39.901784058000999</v>
      </c>
      <c r="N935">
        <v>65.101716667598595</v>
      </c>
      <c r="O935">
        <v>63.552562295340898</v>
      </c>
      <c r="P935">
        <v>-0.111966027258059</v>
      </c>
      <c r="Q935">
        <v>0.286677207173472</v>
      </c>
      <c r="R935">
        <v>0.95526446436856505</v>
      </c>
      <c r="S935" t="s">
        <v>7246</v>
      </c>
      <c r="T935" t="s">
        <v>12620</v>
      </c>
      <c r="U935" t="s">
        <v>12620</v>
      </c>
      <c r="V935" t="s">
        <v>12620</v>
      </c>
      <c r="W935" t="s">
        <v>13526</v>
      </c>
      <c r="X935">
        <v>11</v>
      </c>
      <c r="Y935" t="s">
        <v>19765</v>
      </c>
      <c r="Z935" t="s">
        <v>25882</v>
      </c>
      <c r="AA935">
        <v>0.85231381922818861</v>
      </c>
      <c r="AB935" t="str">
        <f>HYPERLINK("Melting_Curves/meltCurve_O00743_PPP6C.pdf", "Melting_Curves/meltCurve_O00743_PPP6C.pdf")</f>
        <v>Melting_Curves/meltCurve_O00743_PPP6C.pdf</v>
      </c>
    </row>
    <row r="936" spans="1:28" x14ac:dyDescent="0.25">
      <c r="A936" t="s">
        <v>940</v>
      </c>
      <c r="B936">
        <v>0.99987803227770999</v>
      </c>
      <c r="C936">
        <v>1.0760148804997001</v>
      </c>
      <c r="D936">
        <v>1.0109245791950301</v>
      </c>
      <c r="E936">
        <v>1.0237379097777799</v>
      </c>
      <c r="F936">
        <v>1.0169500557246001</v>
      </c>
      <c r="G936">
        <v>0.70866598029791406</v>
      </c>
      <c r="H936">
        <v>0.19675316813181501</v>
      </c>
      <c r="I936">
        <v>9.4811096819276103E-2</v>
      </c>
      <c r="J936">
        <v>6.1388113948529902E-2</v>
      </c>
      <c r="K936">
        <v>4.4503612019222399E-2</v>
      </c>
      <c r="L936">
        <v>2273.7538944827002</v>
      </c>
      <c r="M936">
        <v>39.047093468183697</v>
      </c>
      <c r="N936">
        <v>58.408713330919902</v>
      </c>
      <c r="O936">
        <v>58.078965497322201</v>
      </c>
      <c r="P936">
        <v>-0.158667503384091</v>
      </c>
      <c r="Q936">
        <v>5.5988861630698099E-2</v>
      </c>
      <c r="R936">
        <v>0.99573420675954305</v>
      </c>
      <c r="S936" t="s">
        <v>7247</v>
      </c>
      <c r="T936" t="s">
        <v>12620</v>
      </c>
      <c r="U936" t="s">
        <v>12620</v>
      </c>
      <c r="V936" t="s">
        <v>12620</v>
      </c>
      <c r="W936" t="s">
        <v>13527</v>
      </c>
      <c r="X936">
        <v>7</v>
      </c>
      <c r="Y936" t="s">
        <v>19766</v>
      </c>
      <c r="Z936" t="s">
        <v>25883</v>
      </c>
      <c r="AA936">
        <v>0.63355490613542975</v>
      </c>
      <c r="AB936" t="str">
        <f>HYPERLINK("Melting_Curves/meltCurve_O00746_NME4.pdf", "Melting_Curves/meltCurve_O00746_NME4.pdf")</f>
        <v>Melting_Curves/meltCurve_O00746_NME4.pdf</v>
      </c>
    </row>
    <row r="937" spans="1:28" x14ac:dyDescent="0.25">
      <c r="A937" t="s">
        <v>941</v>
      </c>
      <c r="B937">
        <v>0.99987803227770999</v>
      </c>
      <c r="C937">
        <v>1.11228335442819</v>
      </c>
      <c r="D937">
        <v>0.9168083642339</v>
      </c>
      <c r="E937">
        <v>1.13262449382704</v>
      </c>
      <c r="F937">
        <v>0.86013816639117302</v>
      </c>
      <c r="G937">
        <v>0.97973581419512301</v>
      </c>
      <c r="H937">
        <v>1.1756260063016899</v>
      </c>
      <c r="I937">
        <v>1.1231377793584401</v>
      </c>
      <c r="J937">
        <v>1.1236695475821901</v>
      </c>
      <c r="K937">
        <v>0.71520279892153404</v>
      </c>
      <c r="L937">
        <v>15000</v>
      </c>
      <c r="M937">
        <v>213.36484468261199</v>
      </c>
      <c r="Q937">
        <v>0</v>
      </c>
      <c r="R937">
        <v>0.40071611044414102</v>
      </c>
      <c r="S937" t="s">
        <v>7248</v>
      </c>
      <c r="T937" t="s">
        <v>12620</v>
      </c>
      <c r="U937" t="s">
        <v>12620</v>
      </c>
      <c r="V937" t="s">
        <v>12620</v>
      </c>
      <c r="W937" t="s">
        <v>13528</v>
      </c>
      <c r="X937">
        <v>17</v>
      </c>
      <c r="Y937" t="s">
        <v>19767</v>
      </c>
      <c r="Z937" t="s">
        <v>25884</v>
      </c>
      <c r="AA937">
        <v>0.99638690535796615</v>
      </c>
      <c r="AB937" t="str">
        <f>HYPERLINK("Melting_Curves/meltCurve_O00754_2_MAN2B1.pdf", "Melting_Curves/meltCurve_O00754_2_MAN2B1.pdf")</f>
        <v>Melting_Curves/meltCurve_O00754_2_MAN2B1.pdf</v>
      </c>
    </row>
    <row r="938" spans="1:28" x14ac:dyDescent="0.25">
      <c r="A938" t="s">
        <v>942</v>
      </c>
      <c r="B938">
        <v>0.99987803227770999</v>
      </c>
      <c r="C938">
        <v>0.85653025699714902</v>
      </c>
      <c r="D938">
        <v>1.08676424172735</v>
      </c>
      <c r="E938">
        <v>0.98970448663098698</v>
      </c>
      <c r="F938">
        <v>0.82272608213990595</v>
      </c>
      <c r="G938">
        <v>0.242775189109878</v>
      </c>
      <c r="H938">
        <v>0.13448411447394301</v>
      </c>
      <c r="I938">
        <v>0.118704909173907</v>
      </c>
      <c r="J938">
        <v>9.5670678148827806E-2</v>
      </c>
      <c r="K938">
        <v>6.5237764315724506E-2</v>
      </c>
      <c r="L938">
        <v>2291.6004157109701</v>
      </c>
      <c r="M938">
        <v>41.832672107891703</v>
      </c>
      <c r="N938">
        <v>55.070223864595597</v>
      </c>
      <c r="O938">
        <v>54.655422741603402</v>
      </c>
      <c r="P938">
        <v>-0.172426972419429</v>
      </c>
      <c r="Q938">
        <v>9.8881159515573303E-2</v>
      </c>
      <c r="R938">
        <v>0.98269606393812103</v>
      </c>
      <c r="S938" t="s">
        <v>7249</v>
      </c>
      <c r="T938" t="s">
        <v>12620</v>
      </c>
      <c r="U938" t="s">
        <v>12620</v>
      </c>
      <c r="V938" t="s">
        <v>12620</v>
      </c>
      <c r="W938" t="s">
        <v>13529</v>
      </c>
      <c r="X938">
        <v>14</v>
      </c>
      <c r="Y938" t="s">
        <v>19768</v>
      </c>
      <c r="Z938" t="s">
        <v>25885</v>
      </c>
      <c r="AA938">
        <v>0.54594769663019926</v>
      </c>
      <c r="AB938" t="str">
        <f>HYPERLINK("Melting_Curves/meltCurve_O00764_PDXK.pdf", "Melting_Curves/meltCurve_O00764_PDXK.pdf")</f>
        <v>Melting_Curves/meltCurve_O00764_PDXK.pdf</v>
      </c>
    </row>
    <row r="939" spans="1:28" x14ac:dyDescent="0.25">
      <c r="A939" t="s">
        <v>943</v>
      </c>
      <c r="B939">
        <v>0.99987803227770999</v>
      </c>
      <c r="C939">
        <v>0.80617100676326603</v>
      </c>
      <c r="D939">
        <v>0.95893499444635499</v>
      </c>
      <c r="E939">
        <v>0.78710538408339303</v>
      </c>
      <c r="F939">
        <v>0.72352028824320602</v>
      </c>
      <c r="G939">
        <v>0.59289559169430806</v>
      </c>
      <c r="H939">
        <v>0.57231077626551796</v>
      </c>
      <c r="I939">
        <v>0.53561987035619796</v>
      </c>
      <c r="J939">
        <v>0.53800097480773401</v>
      </c>
      <c r="K939">
        <v>0.43539362256751801</v>
      </c>
      <c r="L939">
        <v>394.23523082366103</v>
      </c>
      <c r="M939">
        <v>7.1814803016389801</v>
      </c>
      <c r="N939">
        <v>66.437759733856495</v>
      </c>
      <c r="O939">
        <v>51.118023768636597</v>
      </c>
      <c r="P939">
        <v>-2.2642701577273799E-2</v>
      </c>
      <c r="Q939">
        <v>0.35640003478179899</v>
      </c>
      <c r="R939">
        <v>0.91386027205388398</v>
      </c>
      <c r="S939" t="s">
        <v>7250</v>
      </c>
      <c r="T939" t="s">
        <v>12620</v>
      </c>
      <c r="U939" t="s">
        <v>12620</v>
      </c>
      <c r="V939" t="s">
        <v>12620</v>
      </c>
      <c r="W939" t="s">
        <v>13530</v>
      </c>
      <c r="X939">
        <v>28</v>
      </c>
      <c r="Y939" t="s">
        <v>19769</v>
      </c>
      <c r="Z939" t="s">
        <v>25886</v>
      </c>
      <c r="AA939">
        <v>0.69398477302321138</v>
      </c>
      <c r="AB939" t="str">
        <f>HYPERLINK("Melting_Curves/meltCurve_O14497_ARID1A.pdf", "Melting_Curves/meltCurve_O14497_ARID1A.pdf")</f>
        <v>Melting_Curves/meltCurve_O14497_ARID1A.pdf</v>
      </c>
    </row>
    <row r="940" spans="1:28" x14ac:dyDescent="0.25">
      <c r="A940" t="s">
        <v>944</v>
      </c>
      <c r="B940">
        <v>0.99987803227770999</v>
      </c>
      <c r="C940">
        <v>0.89294794948847001</v>
      </c>
      <c r="D940">
        <v>0.77594770235309696</v>
      </c>
      <c r="E940">
        <v>0.82150366495364502</v>
      </c>
      <c r="F940">
        <v>1.0452399683392799</v>
      </c>
      <c r="G940">
        <v>0.51176155271114099</v>
      </c>
      <c r="H940">
        <v>0.68020749049213303</v>
      </c>
      <c r="I940">
        <v>0.64853915511541005</v>
      </c>
      <c r="J940">
        <v>0.84010110421412398</v>
      </c>
      <c r="K940">
        <v>0.62400030518675198</v>
      </c>
      <c r="L940">
        <v>365.93508901817597</v>
      </c>
      <c r="M940">
        <v>7.303273339565</v>
      </c>
      <c r="O940">
        <v>46.759022297953699</v>
      </c>
      <c r="P940">
        <v>-1.44103037384446E-2</v>
      </c>
      <c r="Q940">
        <v>0.63153795428690895</v>
      </c>
      <c r="R940">
        <v>0.36428407157725901</v>
      </c>
      <c r="S940" t="s">
        <v>7251</v>
      </c>
      <c r="T940" t="s">
        <v>12620</v>
      </c>
      <c r="U940" t="s">
        <v>12620</v>
      </c>
      <c r="V940" t="s">
        <v>12620</v>
      </c>
      <c r="W940" t="s">
        <v>13531</v>
      </c>
      <c r="X940">
        <v>2</v>
      </c>
      <c r="Y940" t="s">
        <v>19770</v>
      </c>
      <c r="Z940" t="s">
        <v>25887</v>
      </c>
      <c r="AA940">
        <v>0.77959362688755607</v>
      </c>
      <c r="AB940" t="str">
        <f>HYPERLINK("Melting_Curves/meltCurve_O14519_2_CDK2AP1.pdf", "Melting_Curves/meltCurve_O14519_2_CDK2AP1.pdf")</f>
        <v>Melting_Curves/meltCurve_O14519_2_CDK2AP1.pdf</v>
      </c>
    </row>
    <row r="941" spans="1:28" x14ac:dyDescent="0.25">
      <c r="A941" t="s">
        <v>945</v>
      </c>
      <c r="B941">
        <v>0.99987803227770999</v>
      </c>
      <c r="C941">
        <v>0.91754760936699298</v>
      </c>
      <c r="D941">
        <v>1.02617068014599</v>
      </c>
      <c r="E941">
        <v>0.80296691347684201</v>
      </c>
      <c r="F941">
        <v>0.87477049564758802</v>
      </c>
      <c r="G941">
        <v>0.47045821332245202</v>
      </c>
      <c r="H941">
        <v>0.227896066371573</v>
      </c>
      <c r="I941">
        <v>0.17186820755905799</v>
      </c>
      <c r="J941">
        <v>4.8993468312178302E-2</v>
      </c>
      <c r="K941">
        <v>3.11427920459517E-2</v>
      </c>
      <c r="L941">
        <v>977.03242860206103</v>
      </c>
      <c r="M941">
        <v>17.1478370795469</v>
      </c>
      <c r="N941">
        <v>56.977006929398001</v>
      </c>
      <c r="O941">
        <v>56.2190380302604</v>
      </c>
      <c r="P941">
        <v>-7.6259103666311195E-2</v>
      </c>
      <c r="Q941">
        <v>0</v>
      </c>
      <c r="R941">
        <v>0.97851451588864002</v>
      </c>
      <c r="S941" t="s">
        <v>7252</v>
      </c>
      <c r="T941" t="s">
        <v>12620</v>
      </c>
      <c r="U941" t="s">
        <v>12620</v>
      </c>
      <c r="V941" t="s">
        <v>12620</v>
      </c>
      <c r="W941" t="s">
        <v>13532</v>
      </c>
      <c r="X941">
        <v>1</v>
      </c>
      <c r="Y941" t="s">
        <v>19771</v>
      </c>
      <c r="Z941" t="s">
        <v>25888</v>
      </c>
      <c r="AA941">
        <v>0.58028621034931194</v>
      </c>
      <c r="AB941" t="str">
        <f>HYPERLINK("Melting_Curves/meltCurve_O14526_3_FCHO1.pdf", "Melting_Curves/meltCurve_O14526_3_FCHO1.pdf")</f>
        <v>Melting_Curves/meltCurve_O14526_3_FCHO1.pdf</v>
      </c>
    </row>
    <row r="942" spans="1:28" x14ac:dyDescent="0.25">
      <c r="A942" t="s">
        <v>946</v>
      </c>
      <c r="B942">
        <v>0.99987803227770999</v>
      </c>
      <c r="C942">
        <v>0.81911820929583701</v>
      </c>
      <c r="D942">
        <v>0.85917353197590696</v>
      </c>
      <c r="E942">
        <v>1.5038312536765801</v>
      </c>
      <c r="F942">
        <v>1.19538805400825</v>
      </c>
      <c r="G942">
        <v>0.72558810542835495</v>
      </c>
      <c r="H942">
        <v>0.30769657512232901</v>
      </c>
      <c r="I942">
        <v>0.38003376892128699</v>
      </c>
      <c r="J942">
        <v>0.19493183313533699</v>
      </c>
      <c r="K942">
        <v>0.140810627490635</v>
      </c>
      <c r="L942">
        <v>3086.5069558415698</v>
      </c>
      <c r="M942">
        <v>53.489522488839398</v>
      </c>
      <c r="N942">
        <v>58.431704362182899</v>
      </c>
      <c r="O942">
        <v>57.622544197940499</v>
      </c>
      <c r="P942">
        <v>-0.17558584578348499</v>
      </c>
      <c r="Q942">
        <v>0.24338864556783901</v>
      </c>
      <c r="R942">
        <v>0.79459975332245203</v>
      </c>
      <c r="S942" t="s">
        <v>7253</v>
      </c>
      <c r="T942" t="s">
        <v>12620</v>
      </c>
      <c r="U942" t="s">
        <v>12620</v>
      </c>
      <c r="V942" t="s">
        <v>12620</v>
      </c>
      <c r="W942" t="s">
        <v>13533</v>
      </c>
      <c r="X942">
        <v>7</v>
      </c>
      <c r="Y942" t="s">
        <v>19772</v>
      </c>
      <c r="Z942" t="s">
        <v>25889</v>
      </c>
      <c r="AA942">
        <v>0.69154354878357294</v>
      </c>
      <c r="AB942" t="str">
        <f>HYPERLINK("Melting_Curves/meltCurve_O14530_TXNDC9.pdf", "Melting_Curves/meltCurve_O14530_TXNDC9.pdf")</f>
        <v>Melting_Curves/meltCurve_O14530_TXNDC9.pdf</v>
      </c>
    </row>
    <row r="943" spans="1:28" x14ac:dyDescent="0.25">
      <c r="A943" t="s">
        <v>947</v>
      </c>
      <c r="B943">
        <v>0.99987803227770999</v>
      </c>
      <c r="C943">
        <v>1.0974944071892601</v>
      </c>
      <c r="D943">
        <v>0.93423701080697796</v>
      </c>
      <c r="E943">
        <v>1.02732444517428</v>
      </c>
      <c r="F943">
        <v>0.59277903446191704</v>
      </c>
      <c r="G943">
        <v>0.488728175784228</v>
      </c>
      <c r="H943">
        <v>0.25891458195042899</v>
      </c>
      <c r="I943">
        <v>0.102879963696542</v>
      </c>
      <c r="J943">
        <v>5.2656143884237498E-2</v>
      </c>
      <c r="K943">
        <v>3.4750459592762899E-2</v>
      </c>
      <c r="L943">
        <v>911.97055622414996</v>
      </c>
      <c r="M943">
        <v>16.2068596617924</v>
      </c>
      <c r="N943">
        <v>56.270651761491102</v>
      </c>
      <c r="O943">
        <v>55.434850711107302</v>
      </c>
      <c r="P943">
        <v>-7.3095111493509599E-2</v>
      </c>
      <c r="Q943">
        <v>0</v>
      </c>
      <c r="R943">
        <v>0.96681293899096898</v>
      </c>
      <c r="S943" t="s">
        <v>7254</v>
      </c>
      <c r="T943" t="s">
        <v>12620</v>
      </c>
      <c r="U943" t="s">
        <v>12620</v>
      </c>
      <c r="V943" t="s">
        <v>12620</v>
      </c>
      <c r="W943" t="s">
        <v>13534</v>
      </c>
      <c r="X943">
        <v>8</v>
      </c>
      <c r="Y943" t="s">
        <v>19773</v>
      </c>
      <c r="Z943" t="s">
        <v>25890</v>
      </c>
      <c r="AA943">
        <v>0.55850768990332</v>
      </c>
      <c r="AB943" t="str">
        <f>HYPERLINK("Melting_Curves/meltCurve_O14531_DPYSL4.pdf", "Melting_Curves/meltCurve_O14531_DPYSL4.pdf")</f>
        <v>Melting_Curves/meltCurve_O14531_DPYSL4.pdf</v>
      </c>
    </row>
    <row r="944" spans="1:28" x14ac:dyDescent="0.25">
      <c r="A944" t="s">
        <v>948</v>
      </c>
      <c r="B944">
        <v>0.99987803227770999</v>
      </c>
      <c r="C944">
        <v>0.89202343012288698</v>
      </c>
      <c r="D944">
        <v>0.93340318726119798</v>
      </c>
      <c r="E944">
        <v>0.66273856787331797</v>
      </c>
      <c r="F944">
        <v>0.40877746077522498</v>
      </c>
      <c r="G944">
        <v>0.278804527078026</v>
      </c>
      <c r="H944">
        <v>0.25967134142804699</v>
      </c>
      <c r="I944">
        <v>0.25182938631138502</v>
      </c>
      <c r="J944">
        <v>0.24256835541515501</v>
      </c>
      <c r="K944">
        <v>0.19608085834490099</v>
      </c>
      <c r="L944">
        <v>1091.6650080666</v>
      </c>
      <c r="M944">
        <v>21.649016420856</v>
      </c>
      <c r="N944">
        <v>51.870802126547801</v>
      </c>
      <c r="O944">
        <v>50.001277317524298</v>
      </c>
      <c r="P944">
        <v>-8.3731517028906605E-2</v>
      </c>
      <c r="Q944">
        <v>0.22646219349178401</v>
      </c>
      <c r="R944">
        <v>0.98848505126851205</v>
      </c>
      <c r="S944" t="s">
        <v>7255</v>
      </c>
      <c r="T944" t="s">
        <v>12620</v>
      </c>
      <c r="U944" t="s">
        <v>12620</v>
      </c>
      <c r="V944" t="s">
        <v>12620</v>
      </c>
      <c r="W944" t="s">
        <v>13535</v>
      </c>
      <c r="X944">
        <v>5</v>
      </c>
      <c r="Y944" t="s">
        <v>19774</v>
      </c>
      <c r="Z944" t="s">
        <v>25891</v>
      </c>
      <c r="AA944">
        <v>0.50450799692595105</v>
      </c>
      <c r="AB944" t="str">
        <f>HYPERLINK("Melting_Curves/meltCurve_O14544_SOCS6.pdf", "Melting_Curves/meltCurve_O14544_SOCS6.pdf")</f>
        <v>Melting_Curves/meltCurve_O14544_SOCS6.pdf</v>
      </c>
    </row>
    <row r="945" spans="1:28" x14ac:dyDescent="0.25">
      <c r="A945" t="s">
        <v>949</v>
      </c>
      <c r="B945">
        <v>0.99987803227770999</v>
      </c>
      <c r="C945">
        <v>0.83612669867476397</v>
      </c>
      <c r="D945">
        <v>1.03380496503119</v>
      </c>
      <c r="E945">
        <v>0.84092753543045096</v>
      </c>
      <c r="F945">
        <v>1.10544166783783</v>
      </c>
      <c r="G945">
        <v>0.933806286696376</v>
      </c>
      <c r="H945">
        <v>1.01445528765376</v>
      </c>
      <c r="I945">
        <v>0.89473788174068702</v>
      </c>
      <c r="J945">
        <v>0.96224873866185301</v>
      </c>
      <c r="K945">
        <v>0.77996123428450104</v>
      </c>
      <c r="L945">
        <v>1465.60708280686</v>
      </c>
      <c r="M945">
        <v>19.585974295327802</v>
      </c>
      <c r="Q945">
        <v>0</v>
      </c>
      <c r="R945">
        <v>0.17824133582705901</v>
      </c>
      <c r="S945" t="s">
        <v>7256</v>
      </c>
      <c r="T945" t="s">
        <v>12620</v>
      </c>
      <c r="U945" t="s">
        <v>12620</v>
      </c>
      <c r="V945" t="s">
        <v>12620</v>
      </c>
      <c r="W945" t="s">
        <v>13536</v>
      </c>
      <c r="X945">
        <v>15</v>
      </c>
      <c r="Y945" t="s">
        <v>19775</v>
      </c>
      <c r="Z945" t="s">
        <v>25892</v>
      </c>
      <c r="AA945">
        <v>0.97661335284200035</v>
      </c>
      <c r="AB945" t="str">
        <f>HYPERLINK("Melting_Curves/meltCurve_O14545_TRAFD1.pdf", "Melting_Curves/meltCurve_O14545_TRAFD1.pdf")</f>
        <v>Melting_Curves/meltCurve_O14545_TRAFD1.pdf</v>
      </c>
    </row>
    <row r="946" spans="1:28" x14ac:dyDescent="0.25">
      <c r="A946" t="s">
        <v>950</v>
      </c>
      <c r="B946">
        <v>0.99987803227770999</v>
      </c>
      <c r="C946">
        <v>0.85538615350845404</v>
      </c>
      <c r="D946">
        <v>1.0831018580174001</v>
      </c>
      <c r="E946">
        <v>0.96637358884523605</v>
      </c>
      <c r="F946">
        <v>1.10193148379984</v>
      </c>
      <c r="G946">
        <v>1.09717362829719</v>
      </c>
      <c r="H946">
        <v>0.88966631166887999</v>
      </c>
      <c r="I946">
        <v>0.90536358003964101</v>
      </c>
      <c r="J946">
        <v>0.77034979742518295</v>
      </c>
      <c r="K946">
        <v>0.64394837411698103</v>
      </c>
      <c r="L946">
        <v>1504.2756663079499</v>
      </c>
      <c r="M946">
        <v>22.211843318452701</v>
      </c>
      <c r="O946">
        <v>67.182257918092503</v>
      </c>
      <c r="P946">
        <v>-4.3493171234187999E-2</v>
      </c>
      <c r="Q946">
        <v>0.47381099902143198</v>
      </c>
      <c r="R946">
        <v>0.72485524636246501</v>
      </c>
      <c r="S946" t="s">
        <v>7257</v>
      </c>
      <c r="T946" t="s">
        <v>12620</v>
      </c>
      <c r="U946" t="s">
        <v>12620</v>
      </c>
      <c r="V946" t="s">
        <v>12620</v>
      </c>
      <c r="W946" t="s">
        <v>13537</v>
      </c>
      <c r="X946">
        <v>2</v>
      </c>
      <c r="Y946" t="s">
        <v>19594</v>
      </c>
      <c r="Z946" t="s">
        <v>25893</v>
      </c>
      <c r="AA946">
        <v>0.94287032997452513</v>
      </c>
      <c r="AB946" t="str">
        <f>HYPERLINK("Melting_Curves/meltCurve_O14561_NDUFAB1.pdf", "Melting_Curves/meltCurve_O14561_NDUFAB1.pdf")</f>
        <v>Melting_Curves/meltCurve_O14561_NDUFAB1.pdf</v>
      </c>
    </row>
    <row r="947" spans="1:28" x14ac:dyDescent="0.25">
      <c r="A947" t="s">
        <v>951</v>
      </c>
      <c r="B947">
        <v>0.99987803227770999</v>
      </c>
      <c r="C947">
        <v>1.0976701294070501</v>
      </c>
      <c r="D947">
        <v>0.92450040052700699</v>
      </c>
      <c r="E947">
        <v>1.0878026693301699</v>
      </c>
      <c r="F947">
        <v>0.635507589865272</v>
      </c>
      <c r="G947">
        <v>0.30268412305634401</v>
      </c>
      <c r="H947">
        <v>0.184837397986716</v>
      </c>
      <c r="I947">
        <v>0.16149633832039201</v>
      </c>
      <c r="J947">
        <v>0.13653036115547701</v>
      </c>
      <c r="K947">
        <v>0.109025287438807</v>
      </c>
      <c r="L947">
        <v>2000.3410993442801</v>
      </c>
      <c r="M947">
        <v>37.190848174636997</v>
      </c>
      <c r="N947">
        <v>54.323424230094098</v>
      </c>
      <c r="O947">
        <v>53.631042830035099</v>
      </c>
      <c r="P947">
        <v>-0.14667464548468501</v>
      </c>
      <c r="Q947">
        <v>0.15395396031126099</v>
      </c>
      <c r="R947">
        <v>0.97426137118524403</v>
      </c>
      <c r="S947" t="s">
        <v>7258</v>
      </c>
      <c r="T947" t="s">
        <v>12620</v>
      </c>
      <c r="U947" t="s">
        <v>12620</v>
      </c>
      <c r="V947" t="s">
        <v>12620</v>
      </c>
      <c r="W947" t="s">
        <v>13538</v>
      </c>
      <c r="X947">
        <v>34</v>
      </c>
      <c r="Y947" t="s">
        <v>19776</v>
      </c>
      <c r="Z947" t="s">
        <v>25894</v>
      </c>
      <c r="AA947">
        <v>0.54636714203787073</v>
      </c>
      <c r="AB947" t="str">
        <f>HYPERLINK("Melting_Curves/meltCurve_O14578_4_CIT.pdf", "Melting_Curves/meltCurve_O14578_4_CIT.pdf")</f>
        <v>Melting_Curves/meltCurve_O14578_4_CIT.pdf</v>
      </c>
    </row>
    <row r="948" spans="1:28" x14ac:dyDescent="0.25">
      <c r="A948" t="s">
        <v>952</v>
      </c>
      <c r="B948">
        <v>0.99987803227770999</v>
      </c>
      <c r="C948">
        <v>0.92290880472771997</v>
      </c>
      <c r="D948">
        <v>0.91874841307434196</v>
      </c>
      <c r="E948">
        <v>1.3126215420887599</v>
      </c>
      <c r="F948">
        <v>0.73479398232378601</v>
      </c>
      <c r="G948">
        <v>0.359560441659107</v>
      </c>
      <c r="H948">
        <v>0.208938291972006</v>
      </c>
      <c r="I948">
        <v>0.17624653038743701</v>
      </c>
      <c r="J948">
        <v>0.102484476854578</v>
      </c>
      <c r="K948">
        <v>7.5726817977220903E-2</v>
      </c>
      <c r="L948">
        <v>1945.2538667620299</v>
      </c>
      <c r="M948">
        <v>35.3200204584682</v>
      </c>
      <c r="N948">
        <v>55.565230302789601</v>
      </c>
      <c r="O948">
        <v>54.8994508683475</v>
      </c>
      <c r="P948">
        <v>-0.139312327854066</v>
      </c>
      <c r="Q948">
        <v>0.13384599595303101</v>
      </c>
      <c r="R948">
        <v>0.92094142797353196</v>
      </c>
      <c r="S948" t="s">
        <v>7259</v>
      </c>
      <c r="T948" t="s">
        <v>12620</v>
      </c>
      <c r="U948" t="s">
        <v>12620</v>
      </c>
      <c r="V948" t="s">
        <v>12620</v>
      </c>
      <c r="W948" t="s">
        <v>13539</v>
      </c>
      <c r="X948">
        <v>13</v>
      </c>
      <c r="Y948" t="s">
        <v>19777</v>
      </c>
      <c r="Z948" t="s">
        <v>25895</v>
      </c>
      <c r="AA948">
        <v>0.5732903769085973</v>
      </c>
      <c r="AB948" t="str">
        <f>HYPERLINK("Melting_Curves/meltCurve_O14579_COPE.pdf", "Melting_Curves/meltCurve_O14579_COPE.pdf")</f>
        <v>Melting_Curves/meltCurve_O14579_COPE.pdf</v>
      </c>
    </row>
    <row r="949" spans="1:28" x14ac:dyDescent="0.25">
      <c r="A949" t="s">
        <v>953</v>
      </c>
      <c r="B949">
        <v>0.99987803227770999</v>
      </c>
      <c r="C949">
        <v>0.85872951056963498</v>
      </c>
      <c r="D949">
        <v>1.06587711985019</v>
      </c>
      <c r="E949">
        <v>0.89346285776769896</v>
      </c>
      <c r="F949">
        <v>1.04529647442047</v>
      </c>
      <c r="G949">
        <v>0.820028986782953</v>
      </c>
      <c r="H949">
        <v>0.43717095272898698</v>
      </c>
      <c r="I949">
        <v>0.28377581786476103</v>
      </c>
      <c r="J949">
        <v>0.15892480807048801</v>
      </c>
      <c r="K949">
        <v>0.108207985554609</v>
      </c>
      <c r="L949">
        <v>1582.79626791587</v>
      </c>
      <c r="M949">
        <v>26.367547406066901</v>
      </c>
      <c r="N949">
        <v>60.5654401558754</v>
      </c>
      <c r="O949">
        <v>59.686107169718099</v>
      </c>
      <c r="P949">
        <v>-9.8927044391012603E-2</v>
      </c>
      <c r="Q949">
        <v>0.10427681120226499</v>
      </c>
      <c r="R949">
        <v>0.96773104128846699</v>
      </c>
      <c r="S949" t="s">
        <v>7260</v>
      </c>
      <c r="T949" t="s">
        <v>12620</v>
      </c>
      <c r="U949" t="s">
        <v>12620</v>
      </c>
      <c r="V949" t="s">
        <v>12620</v>
      </c>
      <c r="W949" t="s">
        <v>13540</v>
      </c>
      <c r="X949">
        <v>8</v>
      </c>
      <c r="Y949" t="s">
        <v>19778</v>
      </c>
      <c r="Z949" t="s">
        <v>25896</v>
      </c>
      <c r="AA949">
        <v>0.70856861850449038</v>
      </c>
      <c r="AB949" t="str">
        <f>HYPERLINK("Melting_Curves/meltCurve_O14602_EIF1AY.pdf", "Melting_Curves/meltCurve_O14602_EIF1AY.pdf")</f>
        <v>Melting_Curves/meltCurve_O14602_EIF1AY.pdf</v>
      </c>
    </row>
    <row r="950" spans="1:28" x14ac:dyDescent="0.25">
      <c r="A950" t="s">
        <v>954</v>
      </c>
      <c r="B950">
        <v>0.99987803227770999</v>
      </c>
      <c r="C950">
        <v>1.08176871147592</v>
      </c>
      <c r="D950">
        <v>0.88841728589074198</v>
      </c>
      <c r="E950">
        <v>1.1360867407397199</v>
      </c>
      <c r="F950">
        <v>0.419988970205523</v>
      </c>
      <c r="G950">
        <v>0.205730291559201</v>
      </c>
      <c r="H950">
        <v>0.115340939087161</v>
      </c>
      <c r="I950">
        <v>9.0039347194393299E-2</v>
      </c>
      <c r="J950">
        <v>6.6555977207634606E-2</v>
      </c>
      <c r="K950">
        <v>4.7925610122201999E-2</v>
      </c>
      <c r="L950">
        <v>13217.6231685434</v>
      </c>
      <c r="M950">
        <v>250</v>
      </c>
      <c r="N950">
        <v>52.920454724655201</v>
      </c>
      <c r="O950">
        <v>52.867087190734303</v>
      </c>
      <c r="P950">
        <v>-1.0579375474297501</v>
      </c>
      <c r="Q950">
        <v>0.105118399131696</v>
      </c>
      <c r="R950">
        <v>0.97281521041317498</v>
      </c>
      <c r="S950" t="s">
        <v>7261</v>
      </c>
      <c r="T950" t="s">
        <v>12620</v>
      </c>
      <c r="U950" t="s">
        <v>12620</v>
      </c>
      <c r="V950" t="s">
        <v>12620</v>
      </c>
      <c r="W950" t="s">
        <v>13541</v>
      </c>
      <c r="X950">
        <v>21</v>
      </c>
      <c r="Y950" t="s">
        <v>19779</v>
      </c>
      <c r="Z950" t="s">
        <v>25897</v>
      </c>
      <c r="AA950">
        <v>0.48912033535490662</v>
      </c>
      <c r="AB950" t="str">
        <f>HYPERLINK("Melting_Curves/meltCurve_O14617_4_AP3D1.pdf", "Melting_Curves/meltCurve_O14617_4_AP3D1.pdf")</f>
        <v>Melting_Curves/meltCurve_O14617_4_AP3D1.pdf</v>
      </c>
    </row>
    <row r="951" spans="1:28" x14ac:dyDescent="0.25">
      <c r="A951" t="s">
        <v>955</v>
      </c>
      <c r="B951">
        <v>0.99987803227770999</v>
      </c>
      <c r="C951">
        <v>0.99519724398696197</v>
      </c>
      <c r="D951">
        <v>0.91768125379448395</v>
      </c>
      <c r="E951">
        <v>0.663071123971266</v>
      </c>
      <c r="F951">
        <v>0.65677248407130095</v>
      </c>
      <c r="G951">
        <v>0.48006470987236699</v>
      </c>
      <c r="H951">
        <v>0.51054346708946197</v>
      </c>
      <c r="I951">
        <v>0.56602184635533004</v>
      </c>
      <c r="J951">
        <v>0.47710225667459399</v>
      </c>
      <c r="K951">
        <v>0.41342595831310103</v>
      </c>
      <c r="L951">
        <v>935.13044685263401</v>
      </c>
      <c r="M951">
        <v>18.904255651299799</v>
      </c>
      <c r="N951">
        <v>59.883846622782201</v>
      </c>
      <c r="O951">
        <v>48.923101821034798</v>
      </c>
      <c r="P951">
        <v>-5.0105045676858501E-2</v>
      </c>
      <c r="Q951">
        <v>0.48134544716334099</v>
      </c>
      <c r="R951">
        <v>0.95548322404439101</v>
      </c>
      <c r="S951" t="s">
        <v>7262</v>
      </c>
      <c r="T951" t="s">
        <v>12620</v>
      </c>
      <c r="U951" t="s">
        <v>12620</v>
      </c>
      <c r="V951" t="s">
        <v>12620</v>
      </c>
      <c r="W951" t="s">
        <v>13542</v>
      </c>
      <c r="X951">
        <v>5</v>
      </c>
      <c r="Y951" t="s">
        <v>19780</v>
      </c>
      <c r="Z951" t="s">
        <v>25898</v>
      </c>
      <c r="AA951">
        <v>0.65310498422869601</v>
      </c>
      <c r="AB951" t="str">
        <f>HYPERLINK("Melting_Curves/meltCurve_O14640_2_DVL1.pdf", "Melting_Curves/meltCurve_O14640_2_DVL1.pdf")</f>
        <v>Melting_Curves/meltCurve_O14640_2_DVL1.pdf</v>
      </c>
    </row>
    <row r="952" spans="1:28" x14ac:dyDescent="0.25">
      <c r="A952" t="s">
        <v>956</v>
      </c>
      <c r="B952">
        <v>0.99987803227770999</v>
      </c>
      <c r="C952">
        <v>0.94089204221231404</v>
      </c>
      <c r="D952">
        <v>1.04109792403996</v>
      </c>
      <c r="E952">
        <v>1.0763052308804</v>
      </c>
      <c r="F952">
        <v>1.2875131478719199</v>
      </c>
      <c r="G952">
        <v>1.1952768381386001</v>
      </c>
      <c r="H952">
        <v>1.18092125303467</v>
      </c>
      <c r="I952">
        <v>1.17272146921508</v>
      </c>
      <c r="J952">
        <v>1.11673579065303</v>
      </c>
      <c r="K952">
        <v>0.95095599404268605</v>
      </c>
      <c r="L952">
        <v>12498.7232502233</v>
      </c>
      <c r="M952">
        <v>250</v>
      </c>
      <c r="O952">
        <v>49.991687855227198</v>
      </c>
      <c r="P952">
        <v>0.188390530201206</v>
      </c>
      <c r="Q952">
        <v>1.15068738664148</v>
      </c>
      <c r="R952">
        <v>0.41987859760706597</v>
      </c>
      <c r="S952" t="s">
        <v>7263</v>
      </c>
      <c r="T952" t="s">
        <v>12620</v>
      </c>
      <c r="U952" t="s">
        <v>12620</v>
      </c>
      <c r="V952" t="s">
        <v>12620</v>
      </c>
      <c r="W952" t="s">
        <v>13543</v>
      </c>
      <c r="X952">
        <v>1</v>
      </c>
      <c r="Y952" t="s">
        <v>19781</v>
      </c>
      <c r="Z952" t="s">
        <v>25899</v>
      </c>
      <c r="AA952">
        <v>1.1004706884222679</v>
      </c>
      <c r="AB952" t="str">
        <f>HYPERLINK("Melting_Curves/meltCurve_O14646_2_CHD1.pdf", "Melting_Curves/meltCurve_O14646_2_CHD1.pdf")</f>
        <v>Melting_Curves/meltCurve_O14646_2_CHD1.pdf</v>
      </c>
    </row>
    <row r="953" spans="1:28" x14ac:dyDescent="0.25">
      <c r="A953" t="s">
        <v>957</v>
      </c>
      <c r="B953">
        <v>0.99987803227770999</v>
      </c>
      <c r="C953">
        <v>0.77142078600131703</v>
      </c>
      <c r="D953">
        <v>1.0025104233231401</v>
      </c>
      <c r="E953">
        <v>0.78640117776311202</v>
      </c>
      <c r="F953">
        <v>1.02720377293934</v>
      </c>
      <c r="G953">
        <v>0.892963596124006</v>
      </c>
      <c r="H953">
        <v>0.81172112288509402</v>
      </c>
      <c r="I953">
        <v>0.72851335154535002</v>
      </c>
      <c r="J953">
        <v>0.82245796885421796</v>
      </c>
      <c r="K953">
        <v>0.67399565780930204</v>
      </c>
      <c r="L953">
        <v>212.53263180479999</v>
      </c>
      <c r="M953">
        <v>2.02819160093846</v>
      </c>
      <c r="O953">
        <v>62.773212044519298</v>
      </c>
      <c r="P953">
        <v>-8.7787837168968492E-3</v>
      </c>
      <c r="Q953">
        <v>0</v>
      </c>
      <c r="R953">
        <v>0.36970545425705298</v>
      </c>
      <c r="S953" t="s">
        <v>7264</v>
      </c>
      <c r="T953" t="s">
        <v>12620</v>
      </c>
      <c r="U953" t="s">
        <v>12620</v>
      </c>
      <c r="V953" t="s">
        <v>12620</v>
      </c>
      <c r="W953" t="s">
        <v>13544</v>
      </c>
      <c r="X953">
        <v>1</v>
      </c>
      <c r="Y953" t="s">
        <v>19782</v>
      </c>
      <c r="Z953" t="s">
        <v>25900</v>
      </c>
      <c r="AA953">
        <v>0.85780314676504621</v>
      </c>
      <c r="AB953" t="str">
        <f>HYPERLINK("Melting_Curves/meltCurve_O14653_3_GOSR2.pdf", "Melting_Curves/meltCurve_O14653_3_GOSR2.pdf")</f>
        <v>Melting_Curves/meltCurve_O14653_3_GOSR2.pdf</v>
      </c>
    </row>
    <row r="954" spans="1:28" x14ac:dyDescent="0.25">
      <c r="A954" t="s">
        <v>958</v>
      </c>
      <c r="B954">
        <v>0.99987803227770999</v>
      </c>
      <c r="C954">
        <v>0.76106759980368899</v>
      </c>
      <c r="D954">
        <v>0.766204077062693</v>
      </c>
      <c r="E954">
        <v>0.510157028079115</v>
      </c>
      <c r="F954">
        <v>0.30329681122812402</v>
      </c>
      <c r="G954">
        <v>0.19409530332934199</v>
      </c>
      <c r="H954">
        <v>0.13229524231669501</v>
      </c>
      <c r="I954">
        <v>0.12918863687848001</v>
      </c>
      <c r="J954">
        <v>9.4286828791998498E-2</v>
      </c>
      <c r="K954">
        <v>7.7627782766137396E-2</v>
      </c>
      <c r="L954">
        <v>594.18493400594298</v>
      </c>
      <c r="M954">
        <v>12.071543098959699</v>
      </c>
      <c r="N954">
        <v>49.694137297672697</v>
      </c>
      <c r="O954">
        <v>47.929565517036401</v>
      </c>
      <c r="P954">
        <v>-5.9567361219484201E-2</v>
      </c>
      <c r="Q954">
        <v>5.4183814159614901E-2</v>
      </c>
      <c r="R954">
        <v>0.98213337462441697</v>
      </c>
      <c r="S954" t="s">
        <v>7265</v>
      </c>
      <c r="T954" t="s">
        <v>12620</v>
      </c>
      <c r="U954" t="s">
        <v>12620</v>
      </c>
      <c r="V954" t="s">
        <v>12620</v>
      </c>
      <c r="W954" t="s">
        <v>13545</v>
      </c>
      <c r="X954">
        <v>2</v>
      </c>
      <c r="Y954" t="s">
        <v>19783</v>
      </c>
      <c r="Z954" t="s">
        <v>25901</v>
      </c>
      <c r="AA954">
        <v>0.37887603895708338</v>
      </c>
      <c r="AB954" t="str">
        <f>HYPERLINK("Melting_Curves/meltCurve_O14657_TOR1B.pdf", "Melting_Curves/meltCurve_O14657_TOR1B.pdf")</f>
        <v>Melting_Curves/meltCurve_O14657_TOR1B.pdf</v>
      </c>
    </row>
    <row r="955" spans="1:28" x14ac:dyDescent="0.25">
      <c r="A955" t="s">
        <v>959</v>
      </c>
      <c r="B955">
        <v>0.99987803227770999</v>
      </c>
      <c r="C955">
        <v>1.3858847449481</v>
      </c>
      <c r="D955">
        <v>1.4085739017994701</v>
      </c>
      <c r="E955">
        <v>2.1299254813340598</v>
      </c>
      <c r="F955">
        <v>1.18171916993841</v>
      </c>
      <c r="G955">
        <v>2.1741334807191199</v>
      </c>
      <c r="H955">
        <v>1.8911581042255901</v>
      </c>
      <c r="I955">
        <v>2.5117451051756001</v>
      </c>
      <c r="J955">
        <v>1.99758432279533</v>
      </c>
      <c r="K955">
        <v>1.0786829247713501</v>
      </c>
      <c r="L955">
        <v>2982.1405020602101</v>
      </c>
      <c r="M955">
        <v>70.703311689299397</v>
      </c>
      <c r="O955">
        <v>42.144524819787101</v>
      </c>
      <c r="P955">
        <v>0.209704959177483</v>
      </c>
      <c r="Q955">
        <v>1.5</v>
      </c>
      <c r="R955">
        <v>-1.8375138381423899E-2</v>
      </c>
      <c r="S955" t="s">
        <v>7266</v>
      </c>
      <c r="T955" t="s">
        <v>12620</v>
      </c>
      <c r="U955" t="s">
        <v>12620</v>
      </c>
      <c r="V955" t="s">
        <v>12620</v>
      </c>
      <c r="W955" t="s">
        <v>13546</v>
      </c>
      <c r="X955">
        <v>1</v>
      </c>
      <c r="Y955" t="s">
        <v>19784</v>
      </c>
      <c r="Z955" t="s">
        <v>25902</v>
      </c>
      <c r="AA955">
        <v>1.463048886883265</v>
      </c>
      <c r="AB955" t="str">
        <f>HYPERLINK("Melting_Curves/meltCurve_O14672_ADAM10.pdf", "Melting_Curves/meltCurve_O14672_ADAM10.pdf")</f>
        <v>Melting_Curves/meltCurve_O14672_ADAM10.pdf</v>
      </c>
    </row>
    <row r="956" spans="1:28" x14ac:dyDescent="0.25">
      <c r="A956" t="s">
        <v>960</v>
      </c>
      <c r="B956">
        <v>0.99987803227770999</v>
      </c>
      <c r="C956">
        <v>0.97447963616258304</v>
      </c>
      <c r="D956">
        <v>0.92883348921990205</v>
      </c>
      <c r="E956">
        <v>0.85106181499592104</v>
      </c>
      <c r="F956">
        <v>0.80455989782956305</v>
      </c>
      <c r="G956">
        <v>0.63145438291795197</v>
      </c>
      <c r="H956">
        <v>0.697518219510325</v>
      </c>
      <c r="I956">
        <v>0.61250595663367702</v>
      </c>
      <c r="J956">
        <v>0.68570357683882899</v>
      </c>
      <c r="K956">
        <v>0.51099003403738197</v>
      </c>
      <c r="L956">
        <v>585.16466677698497</v>
      </c>
      <c r="M956">
        <v>11.0382363330445</v>
      </c>
      <c r="O956">
        <v>51.361774956192399</v>
      </c>
      <c r="P956">
        <v>-2.34983854536411E-2</v>
      </c>
      <c r="Q956">
        <v>0.56278643301723297</v>
      </c>
      <c r="R956">
        <v>0.91430299152021499</v>
      </c>
      <c r="S956" t="s">
        <v>7267</v>
      </c>
      <c r="T956" t="s">
        <v>12620</v>
      </c>
      <c r="U956" t="s">
        <v>12620</v>
      </c>
      <c r="V956" t="s">
        <v>12620</v>
      </c>
      <c r="W956" t="s">
        <v>13547</v>
      </c>
      <c r="X956">
        <v>18</v>
      </c>
      <c r="Y956" t="s">
        <v>19785</v>
      </c>
      <c r="Z956" t="s">
        <v>25903</v>
      </c>
      <c r="AA956">
        <v>0.76601923559981833</v>
      </c>
      <c r="AB956" t="str">
        <f>HYPERLINK("Melting_Curves/meltCurve_O14686_MLL2.pdf", "Melting_Curves/meltCurve_O14686_MLL2.pdf")</f>
        <v>Melting_Curves/meltCurve_O14686_MLL2.pdf</v>
      </c>
    </row>
    <row r="957" spans="1:28" x14ac:dyDescent="0.25">
      <c r="A957" t="s">
        <v>961</v>
      </c>
      <c r="B957">
        <v>0.99987803227770999</v>
      </c>
      <c r="C957">
        <v>0.88463853188807695</v>
      </c>
      <c r="D957">
        <v>0.92214597273294796</v>
      </c>
      <c r="E957">
        <v>0.87509166579525</v>
      </c>
      <c r="F957">
        <v>0.62829076419726304</v>
      </c>
      <c r="G957">
        <v>0.24362205245330301</v>
      </c>
      <c r="H957">
        <v>0.100734115891789</v>
      </c>
      <c r="I957">
        <v>8.0483326328601903E-2</v>
      </c>
      <c r="J957">
        <v>5.7657608835876298E-2</v>
      </c>
      <c r="K957">
        <v>4.0338697635660899E-2</v>
      </c>
      <c r="L957">
        <v>1232.81697813238</v>
      </c>
      <c r="M957">
        <v>22.854151695244202</v>
      </c>
      <c r="N957">
        <v>54.148681927673003</v>
      </c>
      <c r="O957">
        <v>53.534892382311099</v>
      </c>
      <c r="P957">
        <v>-0.10228632815015</v>
      </c>
      <c r="Q957">
        <v>4.1612682649316599E-2</v>
      </c>
      <c r="R957">
        <v>0.988945770775149</v>
      </c>
      <c r="S957" t="s">
        <v>7268</v>
      </c>
      <c r="T957" t="s">
        <v>12620</v>
      </c>
      <c r="U957" t="s">
        <v>12620</v>
      </c>
      <c r="V957" t="s">
        <v>12620</v>
      </c>
      <c r="W957" t="s">
        <v>13548</v>
      </c>
      <c r="X957">
        <v>6</v>
      </c>
      <c r="Y957" t="s">
        <v>19786</v>
      </c>
      <c r="Z957" t="s">
        <v>25904</v>
      </c>
      <c r="AA957">
        <v>0.49744430010741197</v>
      </c>
      <c r="AB957" t="str">
        <f>HYPERLINK("Melting_Curves/meltCurve_O14732_2_IMPA2.pdf", "Melting_Curves/meltCurve_O14732_2_IMPA2.pdf")</f>
        <v>Melting_Curves/meltCurve_O14732_2_IMPA2.pdf</v>
      </c>
    </row>
    <row r="958" spans="1:28" x14ac:dyDescent="0.25">
      <c r="A958" t="s">
        <v>962</v>
      </c>
      <c r="B958">
        <v>0.99987803227770999</v>
      </c>
      <c r="C958">
        <v>0.99908496130834601</v>
      </c>
      <c r="D958">
        <v>0.92781507429959198</v>
      </c>
      <c r="E958">
        <v>0.66769085188589405</v>
      </c>
      <c r="F958">
        <v>0.36692838514517101</v>
      </c>
      <c r="G958">
        <v>0.34541865588804799</v>
      </c>
      <c r="H958">
        <v>0.354430163749829</v>
      </c>
      <c r="I958">
        <v>0.35037187904432698</v>
      </c>
      <c r="J958">
        <v>0.22199340739975801</v>
      </c>
      <c r="K958">
        <v>0.121514964920493</v>
      </c>
      <c r="L958">
        <v>1247.0768160405401</v>
      </c>
      <c r="M958">
        <v>24.851956542910798</v>
      </c>
      <c r="N958">
        <v>51.724820937699299</v>
      </c>
      <c r="O958">
        <v>49.858699231697599</v>
      </c>
      <c r="P958">
        <v>-9.1971308087908807E-2</v>
      </c>
      <c r="Q958">
        <v>0.26194836490367901</v>
      </c>
      <c r="R958">
        <v>0.95899322283862898</v>
      </c>
      <c r="S958" t="s">
        <v>7269</v>
      </c>
      <c r="T958" t="s">
        <v>12620</v>
      </c>
      <c r="U958" t="s">
        <v>12620</v>
      </c>
      <c r="V958" t="s">
        <v>12620</v>
      </c>
      <c r="W958" t="s">
        <v>13549</v>
      </c>
      <c r="X958">
        <v>6</v>
      </c>
      <c r="Y958" t="s">
        <v>19787</v>
      </c>
      <c r="Z958" t="s">
        <v>25905</v>
      </c>
      <c r="AA958">
        <v>0.51908729196721581</v>
      </c>
      <c r="AB958" t="str">
        <f>HYPERLINK("Melting_Curves/meltCurve_O14733_MAP2K7.pdf", "Melting_Curves/meltCurve_O14733_MAP2K7.pdf")</f>
        <v>Melting_Curves/meltCurve_O14733_MAP2K7.pdf</v>
      </c>
    </row>
    <row r="959" spans="1:28" x14ac:dyDescent="0.25">
      <c r="A959" t="s">
        <v>963</v>
      </c>
      <c r="B959">
        <v>0.99987803227770999</v>
      </c>
      <c r="C959">
        <v>0.86811768935068601</v>
      </c>
      <c r="D959">
        <v>0.940313722045512</v>
      </c>
      <c r="E959">
        <v>0.89604273665773304</v>
      </c>
      <c r="F959">
        <v>0.97746618881491698</v>
      </c>
      <c r="G959">
        <v>0.746493166598166</v>
      </c>
      <c r="H959">
        <v>0.79651208010629004</v>
      </c>
      <c r="I959">
        <v>0.89269723308400495</v>
      </c>
      <c r="J959">
        <v>0.84508350150190303</v>
      </c>
      <c r="K959">
        <v>0.67754004226716302</v>
      </c>
      <c r="L959">
        <v>190.79875707865301</v>
      </c>
      <c r="M959">
        <v>1.57666801739308</v>
      </c>
      <c r="O959">
        <v>61.425220545196403</v>
      </c>
      <c r="P959">
        <v>-7.4010600116091599E-3</v>
      </c>
      <c r="Q959">
        <v>0</v>
      </c>
      <c r="R959">
        <v>0.48010047629132502</v>
      </c>
      <c r="S959" t="s">
        <v>7270</v>
      </c>
      <c r="T959" t="s">
        <v>12620</v>
      </c>
      <c r="U959" t="s">
        <v>12620</v>
      </c>
      <c r="V959" t="s">
        <v>12620</v>
      </c>
      <c r="W959" t="s">
        <v>13550</v>
      </c>
      <c r="X959">
        <v>13</v>
      </c>
      <c r="Y959" t="s">
        <v>19788</v>
      </c>
      <c r="Z959" t="s">
        <v>25906</v>
      </c>
      <c r="AA959">
        <v>0.86610806931244244</v>
      </c>
      <c r="AB959" t="str">
        <f>HYPERLINK("Melting_Curves/meltCurve_O14737_PDCD5.pdf", "Melting_Curves/meltCurve_O14737_PDCD5.pdf")</f>
        <v>Melting_Curves/meltCurve_O14737_PDCD5.pdf</v>
      </c>
    </row>
    <row r="960" spans="1:28" x14ac:dyDescent="0.25">
      <c r="A960" t="s">
        <v>964</v>
      </c>
      <c r="B960">
        <v>0.99987803227770999</v>
      </c>
      <c r="C960">
        <v>1.0828285106178499</v>
      </c>
      <c r="D960">
        <v>0.89956828316346005</v>
      </c>
      <c r="E960">
        <v>1.4625822987694199</v>
      </c>
      <c r="F960">
        <v>0.81045270018138305</v>
      </c>
      <c r="G960">
        <v>0.25590487287442198</v>
      </c>
      <c r="H960">
        <v>0.15460465956778099</v>
      </c>
      <c r="I960">
        <v>0.11807038413120199</v>
      </c>
      <c r="J960">
        <v>9.1928363769825702E-2</v>
      </c>
      <c r="K960">
        <v>6.9317359777785095E-2</v>
      </c>
      <c r="L960">
        <v>2694.6285806351698</v>
      </c>
      <c r="M960">
        <v>49.122419811555098</v>
      </c>
      <c r="N960">
        <v>55.136417449506197</v>
      </c>
      <c r="O960">
        <v>54.764690405918202</v>
      </c>
      <c r="P960">
        <v>-0.19940923672696201</v>
      </c>
      <c r="Q960">
        <v>0.110746176799619</v>
      </c>
      <c r="R960">
        <v>0.89618170584286805</v>
      </c>
      <c r="S960" t="s">
        <v>7271</v>
      </c>
      <c r="T960" t="s">
        <v>12620</v>
      </c>
      <c r="U960" t="s">
        <v>12620</v>
      </c>
      <c r="V960" t="s">
        <v>12620</v>
      </c>
      <c r="W960" t="s">
        <v>13551</v>
      </c>
      <c r="X960">
        <v>18</v>
      </c>
      <c r="Y960" t="s">
        <v>19789</v>
      </c>
      <c r="Z960" t="s">
        <v>25907</v>
      </c>
      <c r="AA960">
        <v>0.55331440092244155</v>
      </c>
      <c r="AB960" t="str">
        <f>HYPERLINK("Melting_Curves/meltCurve_O14744_PRMT5.pdf", "Melting_Curves/meltCurve_O14744_PRMT5.pdf")</f>
        <v>Melting_Curves/meltCurve_O14744_PRMT5.pdf</v>
      </c>
    </row>
    <row r="961" spans="1:28" x14ac:dyDescent="0.25">
      <c r="A961" t="s">
        <v>965</v>
      </c>
      <c r="B961">
        <v>0.99987803227770999</v>
      </c>
      <c r="C961">
        <v>1.0091903934884501</v>
      </c>
      <c r="D961">
        <v>0.89781178379782201</v>
      </c>
      <c r="E961">
        <v>0.81134860085584903</v>
      </c>
      <c r="F961">
        <v>0.57997766796075301</v>
      </c>
      <c r="G961">
        <v>0.33462437940459799</v>
      </c>
      <c r="H961">
        <v>0.43299485624255502</v>
      </c>
      <c r="I961">
        <v>0.42227268496541098</v>
      </c>
      <c r="J961">
        <v>0.62205177980322302</v>
      </c>
      <c r="K961">
        <v>0.52968922812983399</v>
      </c>
      <c r="L961">
        <v>1844.8374691079</v>
      </c>
      <c r="M961">
        <v>36.3741145693349</v>
      </c>
      <c r="N961">
        <v>54.966896282098098</v>
      </c>
      <c r="O961">
        <v>50.5658478418488</v>
      </c>
      <c r="P961">
        <v>-9.5323796207266095E-2</v>
      </c>
      <c r="Q961">
        <v>0.469940183502774</v>
      </c>
      <c r="R961">
        <v>0.89205327479237895</v>
      </c>
      <c r="S961" t="s">
        <v>7272</v>
      </c>
      <c r="T961" t="s">
        <v>12620</v>
      </c>
      <c r="U961" t="s">
        <v>12620</v>
      </c>
      <c r="V961" t="s">
        <v>12620</v>
      </c>
      <c r="W961" t="s">
        <v>13552</v>
      </c>
      <c r="X961">
        <v>18</v>
      </c>
      <c r="Y961" t="s">
        <v>19789</v>
      </c>
      <c r="Z961" t="s">
        <v>25908</v>
      </c>
      <c r="AA961">
        <v>0.66157091446332361</v>
      </c>
      <c r="AB961" t="str">
        <f>HYPERLINK("Melting_Curves/meltCurve_O14744_2_PRMT5.pdf", "Melting_Curves/meltCurve_O14744_2_PRMT5.pdf")</f>
        <v>Melting_Curves/meltCurve_O14744_2_PRMT5.pdf</v>
      </c>
    </row>
    <row r="962" spans="1:28" x14ac:dyDescent="0.25">
      <c r="A962" t="s">
        <v>966</v>
      </c>
      <c r="B962">
        <v>0.99987803227770999</v>
      </c>
      <c r="C962">
        <v>0.88450443813924495</v>
      </c>
      <c r="D962">
        <v>1.0308253974995101</v>
      </c>
      <c r="E962">
        <v>0.89724245247114198</v>
      </c>
      <c r="F962">
        <v>1.1103160100515099</v>
      </c>
      <c r="G962">
        <v>0.88423517128428797</v>
      </c>
      <c r="H962">
        <v>0.95562356718963404</v>
      </c>
      <c r="I962">
        <v>0.94497820626552698</v>
      </c>
      <c r="J962">
        <v>0.96126495413666002</v>
      </c>
      <c r="K962">
        <v>0.76924942944516295</v>
      </c>
      <c r="L962">
        <v>2168.4614832583302</v>
      </c>
      <c r="M962">
        <v>29.7395146270296</v>
      </c>
      <c r="Q962">
        <v>0</v>
      </c>
      <c r="R962">
        <v>0.30661328355072498</v>
      </c>
      <c r="S962" t="s">
        <v>7273</v>
      </c>
      <c r="T962" t="s">
        <v>12620</v>
      </c>
      <c r="U962" t="s">
        <v>12620</v>
      </c>
      <c r="V962" t="s">
        <v>12620</v>
      </c>
      <c r="W962" t="s">
        <v>13553</v>
      </c>
      <c r="X962">
        <v>22</v>
      </c>
      <c r="Y962" t="s">
        <v>19790</v>
      </c>
      <c r="Z962" t="s">
        <v>25909</v>
      </c>
      <c r="AA962">
        <v>0.98203210379774952</v>
      </c>
      <c r="AB962" t="str">
        <f>HYPERLINK("Melting_Curves/meltCurve_O14745_SLC9A3R1.pdf", "Melting_Curves/meltCurve_O14745_SLC9A3R1.pdf")</f>
        <v>Melting_Curves/meltCurve_O14745_SLC9A3R1.pdf</v>
      </c>
    </row>
    <row r="963" spans="1:28" x14ac:dyDescent="0.25">
      <c r="A963" t="s">
        <v>967</v>
      </c>
      <c r="B963">
        <v>0.99987803227770999</v>
      </c>
      <c r="C963">
        <v>0.89932086461150695</v>
      </c>
      <c r="D963">
        <v>1.0098318428462201</v>
      </c>
      <c r="E963">
        <v>0.86989399697732805</v>
      </c>
      <c r="F963">
        <v>0.81364879515861599</v>
      </c>
      <c r="G963">
        <v>0.241865605611433</v>
      </c>
      <c r="H963">
        <v>9.8793870165946707E-2</v>
      </c>
      <c r="I963">
        <v>7.4814508120003897E-2</v>
      </c>
      <c r="J963">
        <v>6.9484407052674099E-2</v>
      </c>
      <c r="K963">
        <v>4.8492697405903402E-2</v>
      </c>
      <c r="L963">
        <v>1858.4126253146601</v>
      </c>
      <c r="M963">
        <v>33.894744703874103</v>
      </c>
      <c r="N963">
        <v>55.036984461369101</v>
      </c>
      <c r="O963">
        <v>54.6391326705699</v>
      </c>
      <c r="P963">
        <v>-0.14575916385230001</v>
      </c>
      <c r="Q963">
        <v>6.0134855777983102E-2</v>
      </c>
      <c r="R963">
        <v>0.98733922727035905</v>
      </c>
      <c r="S963" t="s">
        <v>7274</v>
      </c>
      <c r="T963" t="s">
        <v>12620</v>
      </c>
      <c r="U963" t="s">
        <v>12620</v>
      </c>
      <c r="V963" t="s">
        <v>12620</v>
      </c>
      <c r="W963" t="s">
        <v>13554</v>
      </c>
      <c r="X963">
        <v>14</v>
      </c>
      <c r="Y963" t="s">
        <v>19791</v>
      </c>
      <c r="Z963" t="s">
        <v>25910</v>
      </c>
      <c r="AA963">
        <v>0.5296300545353313</v>
      </c>
      <c r="AB963" t="str">
        <f>HYPERLINK("Melting_Curves/meltCurve_O14757_CHEK1.pdf", "Melting_Curves/meltCurve_O14757_CHEK1.pdf")</f>
        <v>Melting_Curves/meltCurve_O14757_CHEK1.pdf</v>
      </c>
    </row>
    <row r="964" spans="1:28" x14ac:dyDescent="0.25">
      <c r="A964" t="s">
        <v>968</v>
      </c>
      <c r="B964">
        <v>0.99987803227770999</v>
      </c>
      <c r="C964">
        <v>0.83517495394174401</v>
      </c>
      <c r="D964">
        <v>0.91920616648957298</v>
      </c>
      <c r="E964">
        <v>0.80662713871807301</v>
      </c>
      <c r="F964">
        <v>0.93486299428292496</v>
      </c>
      <c r="G964">
        <v>0.804829671863593</v>
      </c>
      <c r="H964">
        <v>0.88709575413159103</v>
      </c>
      <c r="I964">
        <v>0.94246403208884899</v>
      </c>
      <c r="J964">
        <v>0.73077547247668295</v>
      </c>
      <c r="K964">
        <v>0.55864620966048095</v>
      </c>
      <c r="L964">
        <v>216.493000067727</v>
      </c>
      <c r="M964">
        <v>2.1702377192296098</v>
      </c>
      <c r="O964">
        <v>62.219004419279401</v>
      </c>
      <c r="P964">
        <v>-9.3618974312979896E-3</v>
      </c>
      <c r="Q964">
        <v>0</v>
      </c>
      <c r="R964">
        <v>0.39441202779281098</v>
      </c>
      <c r="S964" t="s">
        <v>7275</v>
      </c>
      <c r="T964" t="s">
        <v>12620</v>
      </c>
      <c r="U964" t="s">
        <v>12620</v>
      </c>
      <c r="V964" t="s">
        <v>12620</v>
      </c>
      <c r="W964" t="s">
        <v>13555</v>
      </c>
      <c r="X964">
        <v>4</v>
      </c>
      <c r="Y964" t="s">
        <v>19792</v>
      </c>
      <c r="Z964" t="s">
        <v>25911</v>
      </c>
      <c r="AA964">
        <v>0.84903166944912301</v>
      </c>
      <c r="AB964" t="str">
        <f>HYPERLINK("Melting_Curves/meltCurve_O14763_2_TNFRSF10B.pdf", "Melting_Curves/meltCurve_O14763_2_TNFRSF10B.pdf")</f>
        <v>Melting_Curves/meltCurve_O14763_2_TNFRSF10B.pdf</v>
      </c>
    </row>
    <row r="965" spans="1:28" x14ac:dyDescent="0.25">
      <c r="A965" t="s">
        <v>969</v>
      </c>
      <c r="B965">
        <v>0.99987803227770999</v>
      </c>
      <c r="C965">
        <v>0.996491324374155</v>
      </c>
      <c r="D965">
        <v>0.939596155512884</v>
      </c>
      <c r="E965">
        <v>0.75350360235009295</v>
      </c>
      <c r="F965">
        <v>0.38297591362406402</v>
      </c>
      <c r="G965">
        <v>0.17159642464697999</v>
      </c>
      <c r="H965">
        <v>0.101811740128375</v>
      </c>
      <c r="I965">
        <v>9.4187248266301704E-2</v>
      </c>
      <c r="J965">
        <v>6.0075148196063001E-2</v>
      </c>
      <c r="K965">
        <v>4.6943883061440699E-2</v>
      </c>
      <c r="L965">
        <v>1296.2202571588</v>
      </c>
      <c r="M965">
        <v>25.021364645750101</v>
      </c>
      <c r="N965">
        <v>52.112458341569599</v>
      </c>
      <c r="O965">
        <v>51.477037428768703</v>
      </c>
      <c r="P965">
        <v>-0.1131684767418</v>
      </c>
      <c r="Q965">
        <v>6.8715884892863496E-2</v>
      </c>
      <c r="R965">
        <v>0.99813123799854098</v>
      </c>
      <c r="S965" t="s">
        <v>7276</v>
      </c>
      <c r="T965" t="s">
        <v>12620</v>
      </c>
      <c r="U965" t="s">
        <v>12620</v>
      </c>
      <c r="V965" t="s">
        <v>12620</v>
      </c>
      <c r="W965" t="s">
        <v>13556</v>
      </c>
      <c r="X965">
        <v>9</v>
      </c>
      <c r="Y965" t="s">
        <v>19793</v>
      </c>
      <c r="Z965" t="s">
        <v>25912</v>
      </c>
      <c r="AA965">
        <v>0.44363307801210738</v>
      </c>
      <c r="AB965" t="str">
        <f>HYPERLINK("Melting_Curves/meltCurve_O14772_FPGT.pdf", "Melting_Curves/meltCurve_O14772_FPGT.pdf")</f>
        <v>Melting_Curves/meltCurve_O14772_FPGT.pdf</v>
      </c>
    </row>
    <row r="966" spans="1:28" x14ac:dyDescent="0.25">
      <c r="A966" t="s">
        <v>970</v>
      </c>
      <c r="B966">
        <v>0.99987803227770999</v>
      </c>
      <c r="C966">
        <v>1.0006365237778301</v>
      </c>
      <c r="D966">
        <v>0.97073473893845896</v>
      </c>
      <c r="E966">
        <v>0.52668681473206802</v>
      </c>
      <c r="F966">
        <v>0.36532282155527102</v>
      </c>
      <c r="G966">
        <v>0.257770900101984</v>
      </c>
      <c r="H966">
        <v>0.20402642090033499</v>
      </c>
      <c r="I966">
        <v>0.17843353664831499</v>
      </c>
      <c r="J966">
        <v>0.16612936801361899</v>
      </c>
      <c r="K966">
        <v>0.13401724049592301</v>
      </c>
      <c r="L966">
        <v>1260.7414749072</v>
      </c>
      <c r="M966">
        <v>25.276379227115601</v>
      </c>
      <c r="N966">
        <v>50.775040554074501</v>
      </c>
      <c r="O966">
        <v>49.569189583813099</v>
      </c>
      <c r="P966">
        <v>-0.104529198657162</v>
      </c>
      <c r="Q966">
        <v>0.180046984703782</v>
      </c>
      <c r="R966">
        <v>0.99032739381247503</v>
      </c>
      <c r="S966" t="s">
        <v>7277</v>
      </c>
      <c r="T966" t="s">
        <v>12620</v>
      </c>
      <c r="U966" t="s">
        <v>12620</v>
      </c>
      <c r="V966" t="s">
        <v>12620</v>
      </c>
      <c r="W966" t="s">
        <v>13557</v>
      </c>
      <c r="X966">
        <v>42</v>
      </c>
      <c r="Y966" t="s">
        <v>19794</v>
      </c>
      <c r="Z966" t="s">
        <v>25913</v>
      </c>
      <c r="AA966">
        <v>0.45719599721789422</v>
      </c>
      <c r="AB966" t="str">
        <f>HYPERLINK("Melting_Curves/meltCurve_O14776_2_TCERG1.pdf", "Melting_Curves/meltCurve_O14776_2_TCERG1.pdf")</f>
        <v>Melting_Curves/meltCurve_O14776_2_TCERG1.pdf</v>
      </c>
    </row>
    <row r="967" spans="1:28" x14ac:dyDescent="0.25">
      <c r="A967" t="s">
        <v>971</v>
      </c>
      <c r="B967">
        <v>0.99987803227770999</v>
      </c>
      <c r="C967">
        <v>1.05005780271166</v>
      </c>
      <c r="D967">
        <v>0.80918125825103604</v>
      </c>
      <c r="E967">
        <v>0.49539164010332098</v>
      </c>
      <c r="F967">
        <v>0.27087965895593302</v>
      </c>
      <c r="G967">
        <v>0.193482655906491</v>
      </c>
      <c r="H967">
        <v>0.136843166913026</v>
      </c>
      <c r="I967">
        <v>0.10829394206034</v>
      </c>
      <c r="J967">
        <v>9.7990481237390903E-2</v>
      </c>
      <c r="K967">
        <v>6.9217845326128999E-2</v>
      </c>
      <c r="L967">
        <v>1019.09759777964</v>
      </c>
      <c r="M967">
        <v>20.628499992611399</v>
      </c>
      <c r="N967">
        <v>49.953727831949401</v>
      </c>
      <c r="O967">
        <v>48.945176102517898</v>
      </c>
      <c r="P967">
        <v>-9.4641308552147099E-2</v>
      </c>
      <c r="Q967">
        <v>0.101805342667611</v>
      </c>
      <c r="R967">
        <v>0.99141211872171797</v>
      </c>
      <c r="S967" t="s">
        <v>7278</v>
      </c>
      <c r="T967" t="s">
        <v>12620</v>
      </c>
      <c r="U967" t="s">
        <v>12620</v>
      </c>
      <c r="V967" t="s">
        <v>12620</v>
      </c>
      <c r="W967" t="s">
        <v>13558</v>
      </c>
      <c r="X967">
        <v>7</v>
      </c>
      <c r="Y967" t="s">
        <v>19795</v>
      </c>
      <c r="Z967" t="s">
        <v>25914</v>
      </c>
      <c r="AA967">
        <v>0.39509960315124132</v>
      </c>
      <c r="AB967" t="str">
        <f>HYPERLINK("Melting_Curves/meltCurve_O14777_NDC80.pdf", "Melting_Curves/meltCurve_O14777_NDC80.pdf")</f>
        <v>Melting_Curves/meltCurve_O14777_NDC80.pdf</v>
      </c>
    </row>
    <row r="968" spans="1:28" x14ac:dyDescent="0.25">
      <c r="A968" t="s">
        <v>972</v>
      </c>
      <c r="B968">
        <v>0.99987803227770999</v>
      </c>
      <c r="C968">
        <v>0.78469127137069905</v>
      </c>
      <c r="D968">
        <v>0.79816868600216195</v>
      </c>
      <c r="E968">
        <v>0.65664803256099802</v>
      </c>
      <c r="F968">
        <v>0.75517814931860705</v>
      </c>
      <c r="G968">
        <v>0.72115532460352305</v>
      </c>
      <c r="H968">
        <v>0.39722476332721801</v>
      </c>
      <c r="I968">
        <v>0.32945990204416298</v>
      </c>
      <c r="J968">
        <v>0.27328639506679803</v>
      </c>
      <c r="K968">
        <v>0.174205099296661</v>
      </c>
      <c r="L968">
        <v>381.095284144358</v>
      </c>
      <c r="M968">
        <v>6.5327999297157504</v>
      </c>
      <c r="N968">
        <v>58.335694825720303</v>
      </c>
      <c r="O968">
        <v>53.5931437314796</v>
      </c>
      <c r="P968">
        <v>-3.0546721019019299E-2</v>
      </c>
      <c r="Q968">
        <v>0</v>
      </c>
      <c r="R968">
        <v>0.87953170811305204</v>
      </c>
      <c r="S968" t="s">
        <v>7279</v>
      </c>
      <c r="T968" t="s">
        <v>12620</v>
      </c>
      <c r="U968" t="s">
        <v>12620</v>
      </c>
      <c r="V968" t="s">
        <v>12620</v>
      </c>
      <c r="W968" t="s">
        <v>13559</v>
      </c>
      <c r="X968">
        <v>8</v>
      </c>
      <c r="Y968" t="s">
        <v>19796</v>
      </c>
      <c r="Z968" t="s">
        <v>25915</v>
      </c>
      <c r="AA968">
        <v>0.60283095369461825</v>
      </c>
      <c r="AB968" t="str">
        <f>HYPERLINK("Melting_Curves/meltCurve_O14782_KIF3C.pdf", "Melting_Curves/meltCurve_O14782_KIF3C.pdf")</f>
        <v>Melting_Curves/meltCurve_O14782_KIF3C.pdf</v>
      </c>
    </row>
    <row r="969" spans="1:28" x14ac:dyDescent="0.25">
      <c r="A969" t="s">
        <v>973</v>
      </c>
      <c r="B969">
        <v>0.99987803227770999</v>
      </c>
      <c r="C969">
        <v>1.1691050443086499</v>
      </c>
      <c r="D969">
        <v>0.97263031598259198</v>
      </c>
      <c r="E969">
        <v>0.975637777594897</v>
      </c>
      <c r="F969">
        <v>0.41225438030560702</v>
      </c>
      <c r="G969">
        <v>0.24039035399123701</v>
      </c>
      <c r="H969">
        <v>0.11946339321015501</v>
      </c>
      <c r="I969">
        <v>8.0887082432740301E-2</v>
      </c>
      <c r="J969">
        <v>4.73550767335311E-2</v>
      </c>
      <c r="K969">
        <v>2.7537429693995599E-2</v>
      </c>
      <c r="L969">
        <v>2863.5075590125498</v>
      </c>
      <c r="M969">
        <v>54.5818506004101</v>
      </c>
      <c r="N969">
        <v>52.675155050835997</v>
      </c>
      <c r="O969">
        <v>52.392352191423598</v>
      </c>
      <c r="P969">
        <v>-0.23470849046074399</v>
      </c>
      <c r="Q969">
        <v>9.8827028380533005E-2</v>
      </c>
      <c r="R969">
        <v>0.97156965692239705</v>
      </c>
      <c r="S969" t="s">
        <v>7280</v>
      </c>
      <c r="T969" t="s">
        <v>12620</v>
      </c>
      <c r="U969" t="s">
        <v>12620</v>
      </c>
      <c r="V969" t="s">
        <v>12620</v>
      </c>
      <c r="W969" t="s">
        <v>13560</v>
      </c>
      <c r="X969">
        <v>13</v>
      </c>
      <c r="Y969" t="s">
        <v>19797</v>
      </c>
      <c r="Z969" t="s">
        <v>25916</v>
      </c>
      <c r="AA969">
        <v>0.47494165024988738</v>
      </c>
      <c r="AB969" t="str">
        <f>HYPERLINK("Melting_Curves/meltCurve_O14787_2_TNPO2.pdf", "Melting_Curves/meltCurve_O14787_2_TNPO2.pdf")</f>
        <v>Melting_Curves/meltCurve_O14787_2_TNPO2.pdf</v>
      </c>
    </row>
    <row r="970" spans="1:28" x14ac:dyDescent="0.25">
      <c r="A970" t="s">
        <v>974</v>
      </c>
      <c r="B970">
        <v>0.99987803227770999</v>
      </c>
      <c r="C970">
        <v>1.0432930823670801</v>
      </c>
      <c r="D970">
        <v>0.68935321770248603</v>
      </c>
      <c r="E970">
        <v>0.50251721184515996</v>
      </c>
      <c r="F970">
        <v>0.32145417428283302</v>
      </c>
      <c r="G970">
        <v>0.17976565550101301</v>
      </c>
      <c r="H970">
        <v>0.13617038375878901</v>
      </c>
      <c r="I970">
        <v>0.141263540366109</v>
      </c>
      <c r="J970">
        <v>8.07612977354078E-2</v>
      </c>
      <c r="K970">
        <v>6.2769289920678595E-2</v>
      </c>
      <c r="L970">
        <v>791.59012741013805</v>
      </c>
      <c r="M970">
        <v>16.070771352441302</v>
      </c>
      <c r="N970">
        <v>49.844622992147997</v>
      </c>
      <c r="O970">
        <v>48.5127654265956</v>
      </c>
      <c r="P970">
        <v>-7.5670784161825003E-2</v>
      </c>
      <c r="Q970">
        <v>8.6362190059890501E-2</v>
      </c>
      <c r="R970">
        <v>0.97974945716316997</v>
      </c>
      <c r="S970" t="s">
        <v>7281</v>
      </c>
      <c r="T970" t="s">
        <v>12620</v>
      </c>
      <c r="U970" t="s">
        <v>12620</v>
      </c>
      <c r="V970" t="s">
        <v>12620</v>
      </c>
      <c r="W970" t="s">
        <v>13561</v>
      </c>
      <c r="X970">
        <v>3</v>
      </c>
      <c r="Y970" t="s">
        <v>19798</v>
      </c>
      <c r="Z970" t="s">
        <v>25917</v>
      </c>
      <c r="AA970">
        <v>0.38788986748753018</v>
      </c>
      <c r="AB970" t="str">
        <f>HYPERLINK("Melting_Curves/meltCurve_O14795_UNC13B.pdf", "Melting_Curves/meltCurve_O14795_UNC13B.pdf")</f>
        <v>Melting_Curves/meltCurve_O14795_UNC13B.pdf</v>
      </c>
    </row>
    <row r="971" spans="1:28" x14ac:dyDescent="0.25">
      <c r="A971" t="s">
        <v>975</v>
      </c>
      <c r="B971">
        <v>0.99987803227770999</v>
      </c>
      <c r="C971">
        <v>1.0703261077680399</v>
      </c>
      <c r="D971">
        <v>0.91923447211074205</v>
      </c>
      <c r="E971">
        <v>0.89415463321581001</v>
      </c>
      <c r="F971">
        <v>0.799981592322486</v>
      </c>
      <c r="G971">
        <v>0.53125623377693798</v>
      </c>
      <c r="H971">
        <v>0.46253648345624498</v>
      </c>
      <c r="I971">
        <v>0.37177216818095399</v>
      </c>
      <c r="J971">
        <v>0.27678243651575402</v>
      </c>
      <c r="K971">
        <v>0.34687339474040102</v>
      </c>
      <c r="L971">
        <v>895.07977728845799</v>
      </c>
      <c r="M971">
        <v>16.140272135866599</v>
      </c>
      <c r="N971">
        <v>58.627245582103598</v>
      </c>
      <c r="O971">
        <v>54.625978353920502</v>
      </c>
      <c r="P971">
        <v>-5.2365062317616798E-2</v>
      </c>
      <c r="Q971">
        <v>0.29114578200858798</v>
      </c>
      <c r="R971">
        <v>0.979137309841277</v>
      </c>
      <c r="S971" t="s">
        <v>7282</v>
      </c>
      <c r="T971" t="s">
        <v>12620</v>
      </c>
      <c r="U971" t="s">
        <v>12620</v>
      </c>
      <c r="V971" t="s">
        <v>12620</v>
      </c>
      <c r="W971" t="s">
        <v>13562</v>
      </c>
      <c r="X971">
        <v>4</v>
      </c>
      <c r="Y971" t="s">
        <v>19799</v>
      </c>
      <c r="Z971" t="s">
        <v>25918</v>
      </c>
      <c r="AA971">
        <v>0.66859099511756281</v>
      </c>
      <c r="AB971" t="str">
        <f>HYPERLINK("Melting_Curves/meltCurve_O14810_CPLX1.pdf", "Melting_Curves/meltCurve_O14810_CPLX1.pdf")</f>
        <v>Melting_Curves/meltCurve_O14810_CPLX1.pdf</v>
      </c>
    </row>
    <row r="972" spans="1:28" x14ac:dyDescent="0.25">
      <c r="A972" t="s">
        <v>976</v>
      </c>
      <c r="B972">
        <v>0.99987803227770999</v>
      </c>
      <c r="C972">
        <v>0.87372429676807495</v>
      </c>
      <c r="D972">
        <v>0.79478681095193904</v>
      </c>
      <c r="E972">
        <v>1.3875347822464901</v>
      </c>
      <c r="F972">
        <v>1.25009465826066</v>
      </c>
      <c r="G972">
        <v>1.5483508072252601</v>
      </c>
      <c r="H972">
        <v>1.50128570689649</v>
      </c>
      <c r="I972">
        <v>1.6836598172731501</v>
      </c>
      <c r="J972">
        <v>2.36712064273161</v>
      </c>
      <c r="K972">
        <v>1.47711186551804</v>
      </c>
      <c r="L972">
        <v>4275.4868891849101</v>
      </c>
      <c r="M972">
        <v>86.684557261126599</v>
      </c>
      <c r="O972">
        <v>49.296126952412401</v>
      </c>
      <c r="P972">
        <v>0.21980571900658499</v>
      </c>
      <c r="Q972">
        <v>1.5</v>
      </c>
      <c r="R972">
        <v>0.51622934265343001</v>
      </c>
      <c r="S972" t="s">
        <v>7283</v>
      </c>
      <c r="T972" t="s">
        <v>12620</v>
      </c>
      <c r="U972" t="s">
        <v>12620</v>
      </c>
      <c r="V972" t="s">
        <v>12620</v>
      </c>
      <c r="W972" t="s">
        <v>13563</v>
      </c>
      <c r="X972">
        <v>21</v>
      </c>
      <c r="Y972" t="s">
        <v>19800</v>
      </c>
      <c r="Z972" t="s">
        <v>25919</v>
      </c>
      <c r="AA972">
        <v>1.3442667736733449</v>
      </c>
      <c r="AB972" t="str">
        <f>HYPERLINK("Melting_Curves/meltCurve_O14818_PSMA7.pdf", "Melting_Curves/meltCurve_O14818_PSMA7.pdf")</f>
        <v>Melting_Curves/meltCurve_O14818_PSMA7.pdf</v>
      </c>
    </row>
    <row r="973" spans="1:28" x14ac:dyDescent="0.25">
      <c r="A973" t="s">
        <v>977</v>
      </c>
      <c r="B973">
        <v>0.99987803227770999</v>
      </c>
      <c r="C973">
        <v>1.0451907000131699</v>
      </c>
      <c r="D973">
        <v>0.88301352998201299</v>
      </c>
      <c r="E973">
        <v>0.98332082864697301</v>
      </c>
      <c r="F973">
        <v>1.0658252662723999</v>
      </c>
      <c r="G973">
        <v>0.65347298442766799</v>
      </c>
      <c r="H973">
        <v>0.74365261713413999</v>
      </c>
      <c r="I973">
        <v>0.70658991026228601</v>
      </c>
      <c r="J973">
        <v>0.59041509472060805</v>
      </c>
      <c r="K973">
        <v>0.38406358792756001</v>
      </c>
      <c r="L973">
        <v>573.74881262315</v>
      </c>
      <c r="M973">
        <v>8.3993038300158709</v>
      </c>
      <c r="N973">
        <v>68.309091335139101</v>
      </c>
      <c r="O973">
        <v>64.766357864510098</v>
      </c>
      <c r="P973">
        <v>-3.2452114504883098E-2</v>
      </c>
      <c r="Q973">
        <v>0</v>
      </c>
      <c r="R973">
        <v>0.82235174038148096</v>
      </c>
      <c r="S973" t="s">
        <v>7284</v>
      </c>
      <c r="T973" t="s">
        <v>12620</v>
      </c>
      <c r="U973" t="s">
        <v>12620</v>
      </c>
      <c r="V973" t="s">
        <v>12620</v>
      </c>
      <c r="W973" t="s">
        <v>13564</v>
      </c>
      <c r="X973">
        <v>1</v>
      </c>
      <c r="Y973" t="s">
        <v>19801</v>
      </c>
      <c r="Z973" t="s">
        <v>25920</v>
      </c>
      <c r="AA973">
        <v>0.82160937743438744</v>
      </c>
      <c r="AB973" t="str">
        <f>HYPERLINK("Melting_Curves/meltCurve_O14828_SCAMP3.pdf", "Melting_Curves/meltCurve_O14828_SCAMP3.pdf")</f>
        <v>Melting_Curves/meltCurve_O14828_SCAMP3.pdf</v>
      </c>
    </row>
    <row r="974" spans="1:28" x14ac:dyDescent="0.25">
      <c r="A974" t="s">
        <v>978</v>
      </c>
      <c r="B974">
        <v>0.99987803227770999</v>
      </c>
      <c r="C974">
        <v>1.1696540219747</v>
      </c>
      <c r="D974">
        <v>0.96702826218003102</v>
      </c>
      <c r="E974">
        <v>0.94654087461346104</v>
      </c>
      <c r="F974">
        <v>0.35391082456009698</v>
      </c>
      <c r="G974">
        <v>0.23627476397906499</v>
      </c>
      <c r="H974">
        <v>0.15633952760071701</v>
      </c>
      <c r="I974">
        <v>0.14434689206340301</v>
      </c>
      <c r="J974">
        <v>0.10835751393071701</v>
      </c>
      <c r="K974">
        <v>8.1509397534205497E-2</v>
      </c>
      <c r="L974">
        <v>3234.2085389284298</v>
      </c>
      <c r="M974">
        <v>62.116531071267303</v>
      </c>
      <c r="N974">
        <v>52.352765933124402</v>
      </c>
      <c r="O974">
        <v>52.012908956926204</v>
      </c>
      <c r="P974">
        <v>-0.25561034663226401</v>
      </c>
      <c r="Q974">
        <v>0.143865074008029</v>
      </c>
      <c r="R974">
        <v>0.97576834151162295</v>
      </c>
      <c r="S974" t="s">
        <v>7285</v>
      </c>
      <c r="T974" t="s">
        <v>12620</v>
      </c>
      <c r="U974" t="s">
        <v>12620</v>
      </c>
      <c r="V974" t="s">
        <v>12620</v>
      </c>
      <c r="W974" t="s">
        <v>13565</v>
      </c>
      <c r="X974">
        <v>17</v>
      </c>
      <c r="Y974" t="s">
        <v>19802</v>
      </c>
      <c r="Z974" t="s">
        <v>25921</v>
      </c>
      <c r="AA974">
        <v>0.48949663875688049</v>
      </c>
      <c r="AB974" t="str">
        <f>HYPERLINK("Melting_Curves/meltCurve_O14841_OPLAH.pdf", "Melting_Curves/meltCurve_O14841_OPLAH.pdf")</f>
        <v>Melting_Curves/meltCurve_O14841_OPLAH.pdf</v>
      </c>
    </row>
    <row r="975" spans="1:28" x14ac:dyDescent="0.25">
      <c r="A975" t="s">
        <v>979</v>
      </c>
      <c r="B975">
        <v>0.99987803227770999</v>
      </c>
      <c r="C975">
        <v>0.94542425355882398</v>
      </c>
      <c r="D975">
        <v>0.93333463448531395</v>
      </c>
      <c r="E975">
        <v>0.88603874497298796</v>
      </c>
      <c r="F975">
        <v>0.94281994237338695</v>
      </c>
      <c r="G975">
        <v>0.88580733455472904</v>
      </c>
      <c r="H975">
        <v>0.84233135200920595</v>
      </c>
      <c r="I975">
        <v>0.63807844623226895</v>
      </c>
      <c r="J975">
        <v>0.52187833775339498</v>
      </c>
      <c r="K975">
        <v>0.36868117835166397</v>
      </c>
      <c r="L975">
        <v>820.61458117900497</v>
      </c>
      <c r="M975">
        <v>12.1826296724894</v>
      </c>
      <c r="N975">
        <v>67.359400004961799</v>
      </c>
      <c r="O975">
        <v>65.621527791385304</v>
      </c>
      <c r="P975">
        <v>-4.6423025902253098E-2</v>
      </c>
      <c r="Q975">
        <v>0</v>
      </c>
      <c r="R975">
        <v>0.94587035266693598</v>
      </c>
      <c r="S975" t="s">
        <v>7286</v>
      </c>
      <c r="T975" t="s">
        <v>12620</v>
      </c>
      <c r="U975" t="s">
        <v>12620</v>
      </c>
      <c r="V975" t="s">
        <v>12620</v>
      </c>
      <c r="W975" t="s">
        <v>13566</v>
      </c>
      <c r="X975">
        <v>4</v>
      </c>
      <c r="Y975" t="s">
        <v>19803</v>
      </c>
      <c r="Z975" t="s">
        <v>25922</v>
      </c>
      <c r="AA975">
        <v>0.84300085487256071</v>
      </c>
      <c r="AB975" t="str">
        <f>HYPERLINK("Melting_Curves/meltCurve_O14867_BACH1.pdf", "Melting_Curves/meltCurve_O14867_BACH1.pdf")</f>
        <v>Melting_Curves/meltCurve_O14867_BACH1.pdf</v>
      </c>
    </row>
    <row r="976" spans="1:28" x14ac:dyDescent="0.25">
      <c r="A976" t="s">
        <v>980</v>
      </c>
      <c r="B976">
        <v>0.99987803227770999</v>
      </c>
      <c r="C976">
        <v>0.98366233584484797</v>
      </c>
      <c r="D976">
        <v>1.1022500509047199</v>
      </c>
      <c r="E976">
        <v>0.863555104093645</v>
      </c>
      <c r="F976">
        <v>0.57535148982121898</v>
      </c>
      <c r="G976">
        <v>0.301282994354655</v>
      </c>
      <c r="H976">
        <v>0.20464149594124101</v>
      </c>
      <c r="I976">
        <v>0.181796658995209</v>
      </c>
      <c r="J976">
        <v>0.165374707574796</v>
      </c>
      <c r="K976">
        <v>0.13165155183229399</v>
      </c>
      <c r="L976">
        <v>1420.8878530091899</v>
      </c>
      <c r="M976">
        <v>26.7560586785259</v>
      </c>
      <c r="N976">
        <v>53.905539875793899</v>
      </c>
      <c r="O976">
        <v>52.811273039091297</v>
      </c>
      <c r="P976">
        <v>-0.10589997770646099</v>
      </c>
      <c r="Q976">
        <v>0.16390429860259501</v>
      </c>
      <c r="R976">
        <v>0.98898956002855998</v>
      </c>
      <c r="S976" t="s">
        <v>7287</v>
      </c>
      <c r="T976" t="s">
        <v>12620</v>
      </c>
      <c r="U976" t="s">
        <v>12620</v>
      </c>
      <c r="V976" t="s">
        <v>12620</v>
      </c>
      <c r="W976" t="s">
        <v>13567</v>
      </c>
      <c r="X976">
        <v>4</v>
      </c>
      <c r="Y976" t="s">
        <v>19804</v>
      </c>
      <c r="Z976" t="s">
        <v>25923</v>
      </c>
      <c r="AA976">
        <v>0.53592187013617942</v>
      </c>
      <c r="AB976" t="str">
        <f>HYPERLINK("Melting_Curves/meltCurve_O14893_3_GEMIN2.pdf", "Melting_Curves/meltCurve_O14893_3_GEMIN2.pdf")</f>
        <v>Melting_Curves/meltCurve_O14893_3_GEMIN2.pdf</v>
      </c>
    </row>
    <row r="977" spans="1:28" x14ac:dyDescent="0.25">
      <c r="A977" t="s">
        <v>981</v>
      </c>
      <c r="B977">
        <v>0.99987803227770999</v>
      </c>
      <c r="C977">
        <v>0.82783780217333303</v>
      </c>
      <c r="D977">
        <v>0.93079644715524201</v>
      </c>
      <c r="E977">
        <v>0.665453449707055</v>
      </c>
      <c r="F977">
        <v>0.45736996542706199</v>
      </c>
      <c r="G977">
        <v>0.24503016374860301</v>
      </c>
      <c r="H977">
        <v>0.179386314353951</v>
      </c>
      <c r="I977">
        <v>0.160581996618752</v>
      </c>
      <c r="J977">
        <v>0.142265513893163</v>
      </c>
      <c r="K977">
        <v>0.105819612821124</v>
      </c>
      <c r="L977">
        <v>782.00250464962505</v>
      </c>
      <c r="M977">
        <v>15.1688965121257</v>
      </c>
      <c r="N977">
        <v>52.333092049023101</v>
      </c>
      <c r="O977">
        <v>50.681936228942298</v>
      </c>
      <c r="P977">
        <v>-6.7259615650151205E-2</v>
      </c>
      <c r="Q977">
        <v>0.101182072162961</v>
      </c>
      <c r="R977">
        <v>0.98058356299273397</v>
      </c>
      <c r="S977" t="s">
        <v>7288</v>
      </c>
      <c r="T977" t="s">
        <v>12620</v>
      </c>
      <c r="U977" t="s">
        <v>12620</v>
      </c>
      <c r="V977" t="s">
        <v>12620</v>
      </c>
      <c r="W977" t="s">
        <v>13568</v>
      </c>
      <c r="X977">
        <v>5</v>
      </c>
      <c r="Y977" t="s">
        <v>19805</v>
      </c>
      <c r="Z977" t="s">
        <v>25924</v>
      </c>
      <c r="AA977">
        <v>0.46735832379441888</v>
      </c>
      <c r="AB977" t="str">
        <f>HYPERLINK("Melting_Curves/meltCurve_O14907_TAX1BP3.pdf", "Melting_Curves/meltCurve_O14907_TAX1BP3.pdf")</f>
        <v>Melting_Curves/meltCurve_O14907_TAX1BP3.pdf</v>
      </c>
    </row>
    <row r="978" spans="1:28" x14ac:dyDescent="0.25">
      <c r="A978" t="s">
        <v>982</v>
      </c>
      <c r="B978">
        <v>0.99987803227770999</v>
      </c>
      <c r="C978">
        <v>0.85109468866217397</v>
      </c>
      <c r="D978">
        <v>0.96834937846123603</v>
      </c>
      <c r="E978">
        <v>0.59595872769998204</v>
      </c>
      <c r="F978">
        <v>0.32094049925799001</v>
      </c>
      <c r="G978">
        <v>0.173996235034029</v>
      </c>
      <c r="H978">
        <v>0.12979811414359799</v>
      </c>
      <c r="I978">
        <v>0.114768027948386</v>
      </c>
      <c r="J978">
        <v>8.7991483303527504E-2</v>
      </c>
      <c r="K978">
        <v>6.4981280044392506E-2</v>
      </c>
      <c r="L978">
        <v>1122.57438904124</v>
      </c>
      <c r="M978">
        <v>22.196475200228701</v>
      </c>
      <c r="N978">
        <v>51.039845834713198</v>
      </c>
      <c r="O978">
        <v>50.169311059991998</v>
      </c>
      <c r="P978">
        <v>-0.100476747898037</v>
      </c>
      <c r="Q978">
        <v>9.1614229273891096E-2</v>
      </c>
      <c r="R978">
        <v>0.98304239568885798</v>
      </c>
      <c r="S978" t="s">
        <v>7289</v>
      </c>
      <c r="T978" t="s">
        <v>12620</v>
      </c>
      <c r="U978" t="s">
        <v>12620</v>
      </c>
      <c r="V978" t="s">
        <v>12620</v>
      </c>
      <c r="W978" t="s">
        <v>13569</v>
      </c>
      <c r="X978">
        <v>11</v>
      </c>
      <c r="Y978" t="s">
        <v>19806</v>
      </c>
      <c r="Z978" t="s">
        <v>25925</v>
      </c>
      <c r="AA978">
        <v>0.42212785646819861</v>
      </c>
      <c r="AB978" t="str">
        <f>HYPERLINK("Melting_Curves/meltCurve_O14908_GIPC1.pdf", "Melting_Curves/meltCurve_O14908_GIPC1.pdf")</f>
        <v>Melting_Curves/meltCurve_O14908_GIPC1.pdf</v>
      </c>
    </row>
    <row r="979" spans="1:28" x14ac:dyDescent="0.25">
      <c r="A979" t="s">
        <v>983</v>
      </c>
      <c r="B979">
        <v>0.99987803227770999</v>
      </c>
      <c r="C979">
        <v>0.79223259911843802</v>
      </c>
      <c r="D979">
        <v>0.32680843736145798</v>
      </c>
      <c r="E979">
        <v>0.287786544742476</v>
      </c>
      <c r="F979">
        <v>0.12517006547794199</v>
      </c>
      <c r="G979">
        <v>8.3714829446241701E-2</v>
      </c>
      <c r="H979">
        <v>5.3802547604314903E-2</v>
      </c>
      <c r="I979">
        <v>5.5072580872807697E-2</v>
      </c>
      <c r="J979">
        <v>4.0911394496324999E-2</v>
      </c>
      <c r="K979">
        <v>2.88793149557557E-2</v>
      </c>
      <c r="L979">
        <v>977.06714483843098</v>
      </c>
      <c r="M979">
        <v>21.730286647008501</v>
      </c>
      <c r="N979">
        <v>45.266031454975497</v>
      </c>
      <c r="O979">
        <v>44.587792867746003</v>
      </c>
      <c r="P979">
        <v>-0.11360401109386301</v>
      </c>
      <c r="Q979">
        <v>6.76177726213463E-2</v>
      </c>
      <c r="R979">
        <v>0.96904455243409404</v>
      </c>
      <c r="S979" t="s">
        <v>7290</v>
      </c>
      <c r="T979" t="s">
        <v>12620</v>
      </c>
      <c r="U979" t="s">
        <v>12620</v>
      </c>
      <c r="V979" t="s">
        <v>12620</v>
      </c>
      <c r="W979" t="s">
        <v>13570</v>
      </c>
      <c r="X979">
        <v>7</v>
      </c>
      <c r="Y979" t="s">
        <v>19807</v>
      </c>
      <c r="Z979" t="s">
        <v>25926</v>
      </c>
      <c r="AA979">
        <v>0.2349162201122422</v>
      </c>
      <c r="AB979" t="str">
        <f>HYPERLINK("Melting_Curves/meltCurve_O14920_IKBKB.pdf", "Melting_Curves/meltCurve_O14920_IKBKB.pdf")</f>
        <v>Melting_Curves/meltCurve_O14920_IKBKB.pdf</v>
      </c>
    </row>
    <row r="980" spans="1:28" x14ac:dyDescent="0.25">
      <c r="A980" t="s">
        <v>984</v>
      </c>
      <c r="B980">
        <v>0.99987803227770999</v>
      </c>
      <c r="C980">
        <v>1.0069235759539701</v>
      </c>
      <c r="D980">
        <v>1.1284868565519801</v>
      </c>
      <c r="E980">
        <v>1.0663042348468801</v>
      </c>
      <c r="F980">
        <v>1.35931581224214</v>
      </c>
      <c r="G980">
        <v>1.0221546832102599</v>
      </c>
      <c r="H980">
        <v>1.2251959412709601</v>
      </c>
      <c r="I980">
        <v>0.99167395775186096</v>
      </c>
      <c r="J980">
        <v>0.69408970476477805</v>
      </c>
      <c r="K980">
        <v>0.56266049077382696</v>
      </c>
      <c r="L980">
        <v>7210.1159141914504</v>
      </c>
      <c r="M980">
        <v>108.445206832065</v>
      </c>
      <c r="O980">
        <v>66.463657803552707</v>
      </c>
      <c r="P980">
        <v>-0.17915357234012899</v>
      </c>
      <c r="Q980">
        <v>0.56080305055775004</v>
      </c>
      <c r="R980">
        <v>0.58572392911239701</v>
      </c>
      <c r="S980" t="s">
        <v>7291</v>
      </c>
      <c r="T980" t="s">
        <v>12620</v>
      </c>
      <c r="U980" t="s">
        <v>12620</v>
      </c>
      <c r="V980" t="s">
        <v>12620</v>
      </c>
      <c r="W980" t="s">
        <v>13571</v>
      </c>
      <c r="X980">
        <v>4</v>
      </c>
      <c r="Y980" t="s">
        <v>19808</v>
      </c>
      <c r="Z980" t="s">
        <v>25927</v>
      </c>
      <c r="AA980">
        <v>0.94878798232417361</v>
      </c>
      <c r="AB980" t="str">
        <f>HYPERLINK("Melting_Curves/meltCurve_O14924_2_RGS12.pdf", "Melting_Curves/meltCurve_O14924_2_RGS12.pdf")</f>
        <v>Melting_Curves/meltCurve_O14924_2_RGS12.pdf</v>
      </c>
    </row>
    <row r="981" spans="1:28" x14ac:dyDescent="0.25">
      <c r="A981" t="s">
        <v>985</v>
      </c>
      <c r="B981">
        <v>0.99987803227770999</v>
      </c>
      <c r="C981">
        <v>1.1207583738782101</v>
      </c>
      <c r="D981">
        <v>0.84097794436756401</v>
      </c>
      <c r="E981">
        <v>0.81784663506932098</v>
      </c>
      <c r="F981">
        <v>0.33275608785455502</v>
      </c>
      <c r="G981">
        <v>0.246417768833118</v>
      </c>
      <c r="H981">
        <v>0.165100259377573</v>
      </c>
      <c r="I981">
        <v>9.24499414110488E-2</v>
      </c>
      <c r="J981">
        <v>6.6628881201569401E-2</v>
      </c>
      <c r="K981">
        <v>4.62375338060418E-2</v>
      </c>
      <c r="L981">
        <v>1221.56499817075</v>
      </c>
      <c r="M981">
        <v>23.576447357950101</v>
      </c>
      <c r="N981">
        <v>52.236748492707598</v>
      </c>
      <c r="O981">
        <v>51.444487564491403</v>
      </c>
      <c r="P981">
        <v>-0.104600961298478</v>
      </c>
      <c r="Q981">
        <v>8.7046157174187594E-2</v>
      </c>
      <c r="R981">
        <v>0.96548777945105202</v>
      </c>
      <c r="S981" t="s">
        <v>7292</v>
      </c>
      <c r="T981" t="s">
        <v>12620</v>
      </c>
      <c r="U981" t="s">
        <v>12620</v>
      </c>
      <c r="V981" t="s">
        <v>12620</v>
      </c>
      <c r="W981" t="s">
        <v>13572</v>
      </c>
      <c r="X981">
        <v>16</v>
      </c>
      <c r="Y981" t="s">
        <v>19809</v>
      </c>
      <c r="Z981" t="s">
        <v>25928</v>
      </c>
      <c r="AA981">
        <v>0.45584523181696018</v>
      </c>
      <c r="AB981" t="str">
        <f>HYPERLINK("Melting_Curves/meltCurve_O14929_HAT1.pdf", "Melting_Curves/meltCurve_O14929_HAT1.pdf")</f>
        <v>Melting_Curves/meltCurve_O14929_HAT1.pdf</v>
      </c>
    </row>
    <row r="982" spans="1:28" x14ac:dyDescent="0.25">
      <c r="A982" t="s">
        <v>986</v>
      </c>
      <c r="B982">
        <v>0.99987803227770999</v>
      </c>
      <c r="C982">
        <v>0.84316479004343703</v>
      </c>
      <c r="D982">
        <v>0.95715284829678904</v>
      </c>
      <c r="E982">
        <v>0.78322712052948396</v>
      </c>
      <c r="F982">
        <v>0.71881007034501199</v>
      </c>
      <c r="G982">
        <v>0.24792637291182801</v>
      </c>
      <c r="H982">
        <v>0.151461833810216</v>
      </c>
      <c r="I982">
        <v>0.12084218499971799</v>
      </c>
      <c r="J982">
        <v>7.9014904425218899E-2</v>
      </c>
      <c r="K982">
        <v>4.9620469420615099E-2</v>
      </c>
      <c r="L982">
        <v>1019.8477400844999</v>
      </c>
      <c r="M982">
        <v>18.8018564986012</v>
      </c>
      <c r="N982">
        <v>54.5116063037581</v>
      </c>
      <c r="O982">
        <v>53.639440262357802</v>
      </c>
      <c r="P982">
        <v>-8.3741644325090694E-2</v>
      </c>
      <c r="Q982">
        <v>4.4420254810332301E-2</v>
      </c>
      <c r="R982">
        <v>0.97153767817723802</v>
      </c>
      <c r="S982" t="s">
        <v>7293</v>
      </c>
      <c r="T982" t="s">
        <v>12620</v>
      </c>
      <c r="U982" t="s">
        <v>12620</v>
      </c>
      <c r="V982" t="s">
        <v>12620</v>
      </c>
      <c r="W982" t="s">
        <v>13573</v>
      </c>
      <c r="X982">
        <v>5</v>
      </c>
      <c r="Y982" t="s">
        <v>19810</v>
      </c>
      <c r="Z982" t="s">
        <v>25929</v>
      </c>
      <c r="AA982">
        <v>0.51229423887236558</v>
      </c>
      <c r="AB982" t="str">
        <f>HYPERLINK("Melting_Curves/meltCurve_O14933_UBE2L6.pdf", "Melting_Curves/meltCurve_O14933_UBE2L6.pdf")</f>
        <v>Melting_Curves/meltCurve_O14933_UBE2L6.pdf</v>
      </c>
    </row>
    <row r="983" spans="1:28" x14ac:dyDescent="0.25">
      <c r="A983" t="s">
        <v>987</v>
      </c>
      <c r="B983">
        <v>0.99987803227770999</v>
      </c>
      <c r="C983">
        <v>1.0858875289148999</v>
      </c>
      <c r="D983">
        <v>0.88348168826747897</v>
      </c>
      <c r="E983">
        <v>0.94078376303786504</v>
      </c>
      <c r="F983">
        <v>0.71507910828527199</v>
      </c>
      <c r="G983">
        <v>0.39398703068288399</v>
      </c>
      <c r="H983">
        <v>0.17536153497092</v>
      </c>
      <c r="I983">
        <v>0.12795356892596699</v>
      </c>
      <c r="J983">
        <v>8.5517391836865103E-2</v>
      </c>
      <c r="K983">
        <v>5.8509893099106702E-2</v>
      </c>
      <c r="L983">
        <v>1115.6894832115599</v>
      </c>
      <c r="M983">
        <v>20.1552284915524</v>
      </c>
      <c r="N983">
        <v>55.677665384255299</v>
      </c>
      <c r="O983">
        <v>54.8185660716657</v>
      </c>
      <c r="P983">
        <v>-8.6852061351959803E-2</v>
      </c>
      <c r="Q983">
        <v>5.5142410318659497E-2</v>
      </c>
      <c r="R983">
        <v>0.987316499708213</v>
      </c>
      <c r="S983" t="s">
        <v>7294</v>
      </c>
      <c r="T983" t="s">
        <v>12620</v>
      </c>
      <c r="U983" t="s">
        <v>12620</v>
      </c>
      <c r="V983" t="s">
        <v>12620</v>
      </c>
      <c r="W983" t="s">
        <v>13574</v>
      </c>
      <c r="X983">
        <v>20</v>
      </c>
      <c r="Y983" t="s">
        <v>19811</v>
      </c>
      <c r="Z983" t="s">
        <v>25930</v>
      </c>
      <c r="AA983">
        <v>0.55106195054488238</v>
      </c>
      <c r="AB983" t="str">
        <f>HYPERLINK("Melting_Curves/meltCurve_O14936_3_CASK.pdf", "Melting_Curves/meltCurve_O14936_3_CASK.pdf")</f>
        <v>Melting_Curves/meltCurve_O14936_3_CASK.pdf</v>
      </c>
    </row>
    <row r="984" spans="1:28" x14ac:dyDescent="0.25">
      <c r="A984" t="s">
        <v>988</v>
      </c>
      <c r="B984">
        <v>0.99987803227770999</v>
      </c>
      <c r="C984">
        <v>1.04901700997942</v>
      </c>
      <c r="D984">
        <v>1.0255890012117601</v>
      </c>
      <c r="E984">
        <v>0.99305039561908204</v>
      </c>
      <c r="F984">
        <v>0.72957139135500004</v>
      </c>
      <c r="G984">
        <v>0.43447664684759801</v>
      </c>
      <c r="H984">
        <v>0.30381553323111998</v>
      </c>
      <c r="I984">
        <v>0.20972549733778201</v>
      </c>
      <c r="J984">
        <v>0.16838965832591299</v>
      </c>
      <c r="K984">
        <v>0.117323916431226</v>
      </c>
      <c r="L984">
        <v>1186.7299676049599</v>
      </c>
      <c r="M984">
        <v>21.409744475035801</v>
      </c>
      <c r="N984">
        <v>56.360461309575399</v>
      </c>
      <c r="O984">
        <v>54.952649291797101</v>
      </c>
      <c r="P984">
        <v>-8.2895335720197305E-2</v>
      </c>
      <c r="Q984">
        <v>0.148947328093683</v>
      </c>
      <c r="R984">
        <v>0.98944710882506304</v>
      </c>
      <c r="S984" t="s">
        <v>7295</v>
      </c>
      <c r="T984" t="s">
        <v>12620</v>
      </c>
      <c r="U984" t="s">
        <v>12620</v>
      </c>
      <c r="V984" t="s">
        <v>12620</v>
      </c>
      <c r="W984" t="s">
        <v>13575</v>
      </c>
      <c r="X984">
        <v>21</v>
      </c>
      <c r="Y984" t="s">
        <v>19812</v>
      </c>
      <c r="Z984" t="s">
        <v>25931</v>
      </c>
      <c r="AA984">
        <v>0.59676860835980094</v>
      </c>
      <c r="AB984" t="str">
        <f>HYPERLINK("Melting_Curves/meltCurve_O14964_HGS.pdf", "Melting_Curves/meltCurve_O14964_HGS.pdf")</f>
        <v>Melting_Curves/meltCurve_O14964_HGS.pdf</v>
      </c>
    </row>
    <row r="985" spans="1:28" x14ac:dyDescent="0.25">
      <c r="A985" t="s">
        <v>989</v>
      </c>
      <c r="B985">
        <v>0.99987803227770999</v>
      </c>
      <c r="C985">
        <v>0.851832154560765</v>
      </c>
      <c r="D985">
        <v>0.72352515217493496</v>
      </c>
      <c r="E985">
        <v>0.46261844053323897</v>
      </c>
      <c r="F985">
        <v>0.36822606209777398</v>
      </c>
      <c r="G985">
        <v>0.22037392731001301</v>
      </c>
      <c r="H985">
        <v>0.23966684071977301</v>
      </c>
      <c r="I985">
        <v>0.21385993085930399</v>
      </c>
      <c r="J985">
        <v>0.30738568836591701</v>
      </c>
      <c r="K985">
        <v>0.24613406371507099</v>
      </c>
      <c r="L985">
        <v>801.10774651437703</v>
      </c>
      <c r="M985">
        <v>16.908891402747201</v>
      </c>
      <c r="N985">
        <v>49.231585720948097</v>
      </c>
      <c r="O985">
        <v>46.730097162830802</v>
      </c>
      <c r="P985">
        <v>-6.9163674692470506E-2</v>
      </c>
      <c r="Q985">
        <v>0.23547382301584699</v>
      </c>
      <c r="R985">
        <v>0.98431589900292105</v>
      </c>
      <c r="S985" t="s">
        <v>7296</v>
      </c>
      <c r="T985" t="s">
        <v>12620</v>
      </c>
      <c r="U985" t="s">
        <v>12620</v>
      </c>
      <c r="V985" t="s">
        <v>12620</v>
      </c>
      <c r="W985" t="s">
        <v>13576</v>
      </c>
      <c r="X985">
        <v>4</v>
      </c>
      <c r="Y985" t="s">
        <v>19813</v>
      </c>
      <c r="Z985" t="s">
        <v>25932</v>
      </c>
      <c r="AA985">
        <v>0.43933645329733167</v>
      </c>
      <c r="AB985" t="str">
        <f>HYPERLINK("Melting_Curves/meltCurve_O14965_AURKA.pdf", "Melting_Curves/meltCurve_O14965_AURKA.pdf")</f>
        <v>Melting_Curves/meltCurve_O14965_AURKA.pdf</v>
      </c>
    </row>
    <row r="986" spans="1:28" x14ac:dyDescent="0.25">
      <c r="A986" t="s">
        <v>990</v>
      </c>
      <c r="B986">
        <v>0.99987803227770999</v>
      </c>
      <c r="C986">
        <v>0.80374550249165699</v>
      </c>
      <c r="D986">
        <v>0.93558440696036205</v>
      </c>
      <c r="E986">
        <v>1.4517159003571201</v>
      </c>
      <c r="F986">
        <v>0.60203650445616896</v>
      </c>
      <c r="G986">
        <v>0.22479576538664001</v>
      </c>
      <c r="H986">
        <v>0.13472231960425901</v>
      </c>
      <c r="I986">
        <v>9.9870061541091501E-2</v>
      </c>
      <c r="J986">
        <v>0.119102518339671</v>
      </c>
      <c r="K986">
        <v>8.1387251313463499E-2</v>
      </c>
      <c r="L986">
        <v>13258.8247353854</v>
      </c>
      <c r="M986">
        <v>250</v>
      </c>
      <c r="N986">
        <v>53.100406734465501</v>
      </c>
      <c r="O986">
        <v>53.031905233801503</v>
      </c>
      <c r="P986">
        <v>-1.02299791694123</v>
      </c>
      <c r="Q986">
        <v>0.13197554691493901</v>
      </c>
      <c r="R986">
        <v>0.87762138647715104</v>
      </c>
      <c r="S986" t="s">
        <v>7297</v>
      </c>
      <c r="T986" t="s">
        <v>12620</v>
      </c>
      <c r="U986" t="s">
        <v>12620</v>
      </c>
      <c r="V986" t="s">
        <v>12620</v>
      </c>
      <c r="W986" t="s">
        <v>13577</v>
      </c>
      <c r="X986">
        <v>6</v>
      </c>
      <c r="Y986" t="s">
        <v>19814</v>
      </c>
      <c r="Z986" t="s">
        <v>25933</v>
      </c>
      <c r="AA986">
        <v>0.50922161375116681</v>
      </c>
      <c r="AB986" t="str">
        <f>HYPERLINK("Melting_Curves/meltCurve_O14972_DSCR3.pdf", "Melting_Curves/meltCurve_O14972_DSCR3.pdf")</f>
        <v>Melting_Curves/meltCurve_O14972_DSCR3.pdf</v>
      </c>
    </row>
    <row r="987" spans="1:28" x14ac:dyDescent="0.25">
      <c r="A987" t="s">
        <v>991</v>
      </c>
      <c r="B987">
        <v>0.99987803227770999</v>
      </c>
      <c r="C987">
        <v>0.96415740083738399</v>
      </c>
      <c r="D987">
        <v>1.0012895757334099</v>
      </c>
      <c r="E987">
        <v>0.94870343035163196</v>
      </c>
      <c r="F987">
        <v>0.91874136527745398</v>
      </c>
      <c r="G987">
        <v>0.75832826204037096</v>
      </c>
      <c r="H987">
        <v>0.83539997918585995</v>
      </c>
      <c r="I987">
        <v>0.81863018001704702</v>
      </c>
      <c r="J987">
        <v>0.86338465986268198</v>
      </c>
      <c r="K987">
        <v>0.69549045852605595</v>
      </c>
      <c r="L987">
        <v>2042.5276585489701</v>
      </c>
      <c r="M987">
        <v>38.516247076941099</v>
      </c>
      <c r="O987">
        <v>52.887940026758599</v>
      </c>
      <c r="P987">
        <v>-3.7632514731640199E-2</v>
      </c>
      <c r="Q987">
        <v>0.79330266682848405</v>
      </c>
      <c r="R987">
        <v>0.77481174249106299</v>
      </c>
      <c r="S987" t="s">
        <v>7298</v>
      </c>
      <c r="T987" t="s">
        <v>12620</v>
      </c>
      <c r="U987" t="s">
        <v>12620</v>
      </c>
      <c r="V987" t="s">
        <v>12620</v>
      </c>
      <c r="W987" t="s">
        <v>13578</v>
      </c>
      <c r="X987">
        <v>56</v>
      </c>
      <c r="Y987" t="s">
        <v>19815</v>
      </c>
      <c r="Z987" t="s">
        <v>25934</v>
      </c>
      <c r="AA987">
        <v>0.88389662001118918</v>
      </c>
      <c r="AB987" t="str">
        <f>HYPERLINK("Melting_Curves/meltCurve_O14974_PPP1R12A.pdf", "Melting_Curves/meltCurve_O14974_PPP1R12A.pdf")</f>
        <v>Melting_Curves/meltCurve_O14974_PPP1R12A.pdf</v>
      </c>
    </row>
    <row r="988" spans="1:28" x14ac:dyDescent="0.25">
      <c r="A988" t="s">
        <v>992</v>
      </c>
      <c r="B988">
        <v>0.99987803227770999</v>
      </c>
      <c r="C988">
        <v>0.86121036578825405</v>
      </c>
      <c r="D988">
        <v>0.89837434194328203</v>
      </c>
      <c r="E988">
        <v>0.67001042364282903</v>
      </c>
      <c r="F988">
        <v>0.738051519560745</v>
      </c>
      <c r="G988">
        <v>0.483461504246397</v>
      </c>
      <c r="H988">
        <v>0.39405124862846502</v>
      </c>
      <c r="I988">
        <v>0.298010429341665</v>
      </c>
      <c r="J988">
        <v>0.33637211983367499</v>
      </c>
      <c r="K988">
        <v>0.26239699507571301</v>
      </c>
      <c r="L988">
        <v>454.19240288250597</v>
      </c>
      <c r="M988">
        <v>8.2230380729179497</v>
      </c>
      <c r="N988">
        <v>57.335170047378703</v>
      </c>
      <c r="O988">
        <v>52.256247498207401</v>
      </c>
      <c r="P988">
        <v>-3.4257417462483501E-2</v>
      </c>
      <c r="Q988">
        <v>0.130083717025855</v>
      </c>
      <c r="R988">
        <v>0.96108620663175803</v>
      </c>
      <c r="S988" t="s">
        <v>7299</v>
      </c>
      <c r="T988" t="s">
        <v>12620</v>
      </c>
      <c r="U988" t="s">
        <v>12620</v>
      </c>
      <c r="V988" t="s">
        <v>12620</v>
      </c>
      <c r="W988" t="s">
        <v>13579</v>
      </c>
      <c r="X988">
        <v>7</v>
      </c>
      <c r="Y988" t="s">
        <v>19816</v>
      </c>
      <c r="Z988" t="s">
        <v>25935</v>
      </c>
      <c r="AA988">
        <v>0.59402040371707066</v>
      </c>
      <c r="AB988" t="str">
        <f>HYPERLINK("Melting_Curves/meltCurve_O14976_GAK.pdf", "Melting_Curves/meltCurve_O14976_GAK.pdf")</f>
        <v>Melting_Curves/meltCurve_O14976_GAK.pdf</v>
      </c>
    </row>
    <row r="989" spans="1:28" x14ac:dyDescent="0.25">
      <c r="A989" t="s">
        <v>993</v>
      </c>
      <c r="B989">
        <v>0.99987803227770999</v>
      </c>
      <c r="C989">
        <v>1.1499716326588401</v>
      </c>
      <c r="D989">
        <v>1.12954534713513</v>
      </c>
      <c r="E989">
        <v>1.17623034907438</v>
      </c>
      <c r="F989">
        <v>1.1577508052782099</v>
      </c>
      <c r="G989">
        <v>0.82321781859119603</v>
      </c>
      <c r="H989">
        <v>1.0378345450734101</v>
      </c>
      <c r="I989">
        <v>0.99182870239086196</v>
      </c>
      <c r="J989">
        <v>0.80631144549058598</v>
      </c>
      <c r="K989">
        <v>0.34279809098793002</v>
      </c>
      <c r="L989">
        <v>5237.6740842099098</v>
      </c>
      <c r="M989">
        <v>77.175256689757504</v>
      </c>
      <c r="N989">
        <v>68.597850082441994</v>
      </c>
      <c r="O989">
        <v>67.821747586494595</v>
      </c>
      <c r="P989">
        <v>-0.20476504742683199</v>
      </c>
      <c r="Q989">
        <v>0.28020865758151198</v>
      </c>
      <c r="R989">
        <v>0.780449355342137</v>
      </c>
      <c r="S989" t="s">
        <v>7300</v>
      </c>
      <c r="T989" t="s">
        <v>12620</v>
      </c>
      <c r="U989" t="s">
        <v>12620</v>
      </c>
      <c r="V989" t="s">
        <v>12620</v>
      </c>
      <c r="W989" t="s">
        <v>13580</v>
      </c>
      <c r="X989">
        <v>1</v>
      </c>
      <c r="Y989" t="s">
        <v>19817</v>
      </c>
      <c r="Z989" t="s">
        <v>25936</v>
      </c>
      <c r="AA989">
        <v>0.94763060471486538</v>
      </c>
      <c r="AB989" t="str">
        <f>HYPERLINK("Melting_Curves/meltCurve_O14977_AZIN1.pdf", "Melting_Curves/meltCurve_O14977_AZIN1.pdf")</f>
        <v>Melting_Curves/meltCurve_O14977_AZIN1.pdf</v>
      </c>
    </row>
    <row r="990" spans="1:28" x14ac:dyDescent="0.25">
      <c r="A990" t="s">
        <v>994</v>
      </c>
      <c r="B990">
        <v>0.99987803227770999</v>
      </c>
      <c r="C990">
        <v>0.93809061151047302</v>
      </c>
      <c r="D990">
        <v>1.0914713934665601</v>
      </c>
      <c r="E990">
        <v>1.10519329177255</v>
      </c>
      <c r="F990">
        <v>1.2619515077147201</v>
      </c>
      <c r="G990">
        <v>0.923734494785454</v>
      </c>
      <c r="H990">
        <v>1.0495543747323199</v>
      </c>
      <c r="I990">
        <v>0.95268595165549297</v>
      </c>
      <c r="J990">
        <v>0.96359615757529204</v>
      </c>
      <c r="K990">
        <v>0.78713664155442997</v>
      </c>
      <c r="L990">
        <v>2643.2493984511002</v>
      </c>
      <c r="M990">
        <v>36.4448354457002</v>
      </c>
      <c r="Q990">
        <v>0</v>
      </c>
      <c r="R990">
        <v>0.31353328888635601</v>
      </c>
      <c r="S990" t="s">
        <v>7301</v>
      </c>
      <c r="T990" t="s">
        <v>12620</v>
      </c>
      <c r="U990" t="s">
        <v>12620</v>
      </c>
      <c r="V990" t="s">
        <v>12620</v>
      </c>
      <c r="W990" t="s">
        <v>13581</v>
      </c>
      <c r="X990">
        <v>8</v>
      </c>
      <c r="Y990" t="s">
        <v>19818</v>
      </c>
      <c r="Z990" t="s">
        <v>25937</v>
      </c>
      <c r="AA990">
        <v>0.98608017939107095</v>
      </c>
      <c r="AB990" t="str">
        <f>HYPERLINK("Melting_Curves/meltCurve_O14979_HNRPDL.pdf", "Melting_Curves/meltCurve_O14979_HNRPDL.pdf")</f>
        <v>Melting_Curves/meltCurve_O14979_HNRPDL.pdf</v>
      </c>
    </row>
    <row r="991" spans="1:28" x14ac:dyDescent="0.25">
      <c r="A991" t="s">
        <v>995</v>
      </c>
      <c r="B991">
        <v>0.99987803227770999</v>
      </c>
      <c r="C991">
        <v>1.1067080822413899</v>
      </c>
      <c r="D991">
        <v>0.87666179256111199</v>
      </c>
      <c r="E991">
        <v>1.01897114297076</v>
      </c>
      <c r="F991">
        <v>0.26531973582273599</v>
      </c>
      <c r="G991">
        <v>0.17103188510692899</v>
      </c>
      <c r="H991">
        <v>0.117098737488462</v>
      </c>
      <c r="I991">
        <v>9.9911032880404302E-2</v>
      </c>
      <c r="J991">
        <v>7.67956649063887E-2</v>
      </c>
      <c r="K991">
        <v>5.3986867277098199E-2</v>
      </c>
      <c r="L991">
        <v>13169.726803723701</v>
      </c>
      <c r="M991">
        <v>250</v>
      </c>
      <c r="N991">
        <v>52.727948469066199</v>
      </c>
      <c r="O991">
        <v>52.675536161718</v>
      </c>
      <c r="P991">
        <v>-1.0633911623935</v>
      </c>
      <c r="Q991">
        <v>0.103764807798868</v>
      </c>
      <c r="R991">
        <v>0.98137287416131902</v>
      </c>
      <c r="S991" t="s">
        <v>7302</v>
      </c>
      <c r="T991" t="s">
        <v>12620</v>
      </c>
      <c r="U991" t="s">
        <v>12620</v>
      </c>
      <c r="V991" t="s">
        <v>12620</v>
      </c>
      <c r="W991" t="s">
        <v>13582</v>
      </c>
      <c r="X991">
        <v>37</v>
      </c>
      <c r="Y991" t="s">
        <v>19819</v>
      </c>
      <c r="Z991" t="s">
        <v>25938</v>
      </c>
      <c r="AA991">
        <v>0.48262376015734648</v>
      </c>
      <c r="AB991" t="str">
        <f>HYPERLINK("Melting_Curves/meltCurve_O14980_XPO1.pdf", "Melting_Curves/meltCurve_O14980_XPO1.pdf")</f>
        <v>Melting_Curves/meltCurve_O14980_XPO1.pdf</v>
      </c>
    </row>
    <row r="992" spans="1:28" x14ac:dyDescent="0.25">
      <c r="A992" t="s">
        <v>996</v>
      </c>
      <c r="B992">
        <v>0.99987803227770999</v>
      </c>
      <c r="C992">
        <v>1.2320229718001501</v>
      </c>
      <c r="D992">
        <v>0.926849591222487</v>
      </c>
      <c r="E992">
        <v>0.91348457821219398</v>
      </c>
      <c r="F992">
        <v>0.27644619004687199</v>
      </c>
      <c r="G992">
        <v>0.15693285861962</v>
      </c>
      <c r="H992">
        <v>7.8437107917227994E-2</v>
      </c>
      <c r="I992">
        <v>7.7123159229300894E-2</v>
      </c>
      <c r="J992">
        <v>5.0714921321401901E-2</v>
      </c>
      <c r="K992">
        <v>3.7984723464107001E-2</v>
      </c>
      <c r="L992">
        <v>3057.4588566245802</v>
      </c>
      <c r="M992">
        <v>58.953313758005002</v>
      </c>
      <c r="N992">
        <v>52.013222993051599</v>
      </c>
      <c r="O992">
        <v>51.802794602263901</v>
      </c>
      <c r="P992">
        <v>-0.26215219227192599</v>
      </c>
      <c r="Q992">
        <v>7.8578576494442706E-2</v>
      </c>
      <c r="R992">
        <v>0.96764272705342302</v>
      </c>
      <c r="S992" t="s">
        <v>7303</v>
      </c>
      <c r="T992" t="s">
        <v>12620</v>
      </c>
      <c r="U992" t="s">
        <v>12620</v>
      </c>
      <c r="V992" t="s">
        <v>12620</v>
      </c>
      <c r="W992" t="s">
        <v>13583</v>
      </c>
      <c r="X992">
        <v>22</v>
      </c>
      <c r="Y992" t="s">
        <v>19820</v>
      </c>
      <c r="Z992" t="s">
        <v>25939</v>
      </c>
      <c r="AA992">
        <v>0.44443398516252303</v>
      </c>
      <c r="AB992" t="str">
        <f>HYPERLINK("Melting_Curves/meltCurve_O14981_BTAF1.pdf", "Melting_Curves/meltCurve_O14981_BTAF1.pdf")</f>
        <v>Melting_Curves/meltCurve_O14981_BTAF1.pdf</v>
      </c>
    </row>
    <row r="993" spans="1:28" x14ac:dyDescent="0.25">
      <c r="A993" t="s">
        <v>997</v>
      </c>
      <c r="B993">
        <v>0.99987803227770999</v>
      </c>
      <c r="C993">
        <v>0.90750139009076902</v>
      </c>
      <c r="D993">
        <v>1.0251869745167499</v>
      </c>
      <c r="E993">
        <v>0.89462389484862803</v>
      </c>
      <c r="F993">
        <v>0.99397030585434598</v>
      </c>
      <c r="G993">
        <v>0.85348651902127204</v>
      </c>
      <c r="H993">
        <v>0.828495871621721</v>
      </c>
      <c r="I993">
        <v>0.76193943912231199</v>
      </c>
      <c r="J993">
        <v>0.73496044751631995</v>
      </c>
      <c r="K993">
        <v>0.61174107350104101</v>
      </c>
      <c r="L993">
        <v>444.88923650839098</v>
      </c>
      <c r="M993">
        <v>5.7818609875493303</v>
      </c>
      <c r="O993">
        <v>69.235733290242806</v>
      </c>
      <c r="P993">
        <v>-2.0954565191350801E-2</v>
      </c>
      <c r="Q993">
        <v>0</v>
      </c>
      <c r="R993">
        <v>0.87500350124671</v>
      </c>
      <c r="S993" t="s">
        <v>7304</v>
      </c>
      <c r="T993" t="s">
        <v>12620</v>
      </c>
      <c r="U993" t="s">
        <v>12620</v>
      </c>
      <c r="V993" t="s">
        <v>12620</v>
      </c>
      <c r="W993" t="s">
        <v>13584</v>
      </c>
      <c r="X993">
        <v>26</v>
      </c>
      <c r="Y993" t="s">
        <v>19821</v>
      </c>
      <c r="Z993" t="s">
        <v>25940</v>
      </c>
      <c r="AA993">
        <v>0.87602488720334937</v>
      </c>
      <c r="AB993" t="str">
        <f>HYPERLINK("Melting_Curves/meltCurve_O15014_ZNF609.pdf", "Melting_Curves/meltCurve_O15014_ZNF609.pdf")</f>
        <v>Melting_Curves/meltCurve_O15014_ZNF609.pdf</v>
      </c>
    </row>
    <row r="994" spans="1:28" x14ac:dyDescent="0.25">
      <c r="A994" t="s">
        <v>998</v>
      </c>
      <c r="B994">
        <v>0.99987803227770999</v>
      </c>
      <c r="C994">
        <v>1.01141784757495</v>
      </c>
      <c r="D994">
        <v>0.94965417662986995</v>
      </c>
      <c r="E994">
        <v>0.86217497571971002</v>
      </c>
      <c r="F994">
        <v>0.88534122265618498</v>
      </c>
      <c r="G994">
        <v>0.65909777221175803</v>
      </c>
      <c r="H994">
        <v>0.69553152210944202</v>
      </c>
      <c r="I994">
        <v>0.673977813813468</v>
      </c>
      <c r="J994">
        <v>0.68537340096978305</v>
      </c>
      <c r="K994">
        <v>0.55755593772461998</v>
      </c>
      <c r="L994">
        <v>680.95888377195001</v>
      </c>
      <c r="M994">
        <v>12.630856034259001</v>
      </c>
      <c r="O994">
        <v>52.6145205318604</v>
      </c>
      <c r="P994">
        <v>-2.4009429435047702E-2</v>
      </c>
      <c r="Q994">
        <v>0.60002867425752504</v>
      </c>
      <c r="R994">
        <v>0.91812769766459401</v>
      </c>
      <c r="S994" t="s">
        <v>7305</v>
      </c>
      <c r="T994" t="s">
        <v>12620</v>
      </c>
      <c r="U994" t="s">
        <v>12620</v>
      </c>
      <c r="V994" t="s">
        <v>12620</v>
      </c>
      <c r="W994" t="s">
        <v>13585</v>
      </c>
      <c r="X994">
        <v>5</v>
      </c>
      <c r="Y994" t="s">
        <v>19822</v>
      </c>
      <c r="Z994" t="s">
        <v>25941</v>
      </c>
      <c r="AA994">
        <v>0.79553195194368387</v>
      </c>
      <c r="AB994" t="str">
        <f>HYPERLINK("Melting_Curves/meltCurve_O15021_2_MAST4.pdf", "Melting_Curves/meltCurve_O15021_2_MAST4.pdf")</f>
        <v>Melting_Curves/meltCurve_O15021_2_MAST4.pdf</v>
      </c>
    </row>
    <row r="995" spans="1:28" x14ac:dyDescent="0.25">
      <c r="A995" t="s">
        <v>999</v>
      </c>
      <c r="B995">
        <v>0.99987803227770999</v>
      </c>
      <c r="C995">
        <v>0.98335446179791897</v>
      </c>
      <c r="D995">
        <v>0.88426268915097594</v>
      </c>
      <c r="E995">
        <v>0.96050540499064896</v>
      </c>
      <c r="F995">
        <v>0.83973455386385099</v>
      </c>
      <c r="G995">
        <v>0.68975790960018102</v>
      </c>
      <c r="H995">
        <v>0.70015103125940703</v>
      </c>
      <c r="I995">
        <v>0.571306053865826</v>
      </c>
      <c r="J995">
        <v>0.61671379398610504</v>
      </c>
      <c r="K995">
        <v>0.38155940618206802</v>
      </c>
      <c r="L995">
        <v>407.509275122335</v>
      </c>
      <c r="M995">
        <v>6.0025896782324999</v>
      </c>
      <c r="N995">
        <v>67.888910780776399</v>
      </c>
      <c r="O995">
        <v>61.504266897315198</v>
      </c>
      <c r="P995">
        <v>-2.4477969164440901E-2</v>
      </c>
      <c r="Q995">
        <v>0</v>
      </c>
      <c r="R995">
        <v>0.92140983831812395</v>
      </c>
      <c r="S995" t="s">
        <v>7306</v>
      </c>
      <c r="T995" t="s">
        <v>12620</v>
      </c>
      <c r="U995" t="s">
        <v>12620</v>
      </c>
      <c r="V995" t="s">
        <v>12620</v>
      </c>
      <c r="W995" t="s">
        <v>13586</v>
      </c>
      <c r="X995">
        <v>4</v>
      </c>
      <c r="Y995" t="s">
        <v>19823</v>
      </c>
      <c r="Z995" t="s">
        <v>25942</v>
      </c>
      <c r="AA995">
        <v>0.77242626246508395</v>
      </c>
      <c r="AB995" t="str">
        <f>HYPERLINK("Melting_Curves/meltCurve_O15031_PLXNB2.pdf", "Melting_Curves/meltCurve_O15031_PLXNB2.pdf")</f>
        <v>Melting_Curves/meltCurve_O15031_PLXNB2.pdf</v>
      </c>
    </row>
    <row r="996" spans="1:28" x14ac:dyDescent="0.25">
      <c r="A996" t="s">
        <v>1000</v>
      </c>
      <c r="B996">
        <v>0.99987803227770999</v>
      </c>
      <c r="C996">
        <v>0.88913690448141502</v>
      </c>
      <c r="D996">
        <v>0.97593370740055796</v>
      </c>
      <c r="E996">
        <v>0.65552083688076501</v>
      </c>
      <c r="F996">
        <v>0.405163010648528</v>
      </c>
      <c r="G996">
        <v>0.197909308529231</v>
      </c>
      <c r="H996">
        <v>0.17525252281716</v>
      </c>
      <c r="I996">
        <v>0.167811821866102</v>
      </c>
      <c r="J996">
        <v>0.16863356931645701</v>
      </c>
      <c r="K996">
        <v>0.142881740748003</v>
      </c>
      <c r="L996">
        <v>1212.44926556667</v>
      </c>
      <c r="M996">
        <v>23.813504730061801</v>
      </c>
      <c r="N996">
        <v>51.7154881247452</v>
      </c>
      <c r="O996">
        <v>50.559375650661103</v>
      </c>
      <c r="P996">
        <v>-9.9588569488063106E-2</v>
      </c>
      <c r="Q996">
        <v>0.154252126409096</v>
      </c>
      <c r="R996">
        <v>0.98947348443109195</v>
      </c>
      <c r="S996" t="s">
        <v>7307</v>
      </c>
      <c r="T996" t="s">
        <v>12620</v>
      </c>
      <c r="U996" t="s">
        <v>12620</v>
      </c>
      <c r="V996" t="s">
        <v>12620</v>
      </c>
      <c r="W996" t="s">
        <v>13587</v>
      </c>
      <c r="X996">
        <v>2</v>
      </c>
      <c r="Y996" t="s">
        <v>19824</v>
      </c>
      <c r="Z996" t="s">
        <v>25943</v>
      </c>
      <c r="AA996">
        <v>0.47034344091796032</v>
      </c>
      <c r="AB996" t="str">
        <f>HYPERLINK("Melting_Curves/meltCurve_O15037_KHNYN.pdf", "Melting_Curves/meltCurve_O15037_KHNYN.pdf")</f>
        <v>Melting_Curves/meltCurve_O15037_KHNYN.pdf</v>
      </c>
    </row>
    <row r="997" spans="1:28" x14ac:dyDescent="0.25">
      <c r="A997" t="s">
        <v>1001</v>
      </c>
      <c r="B997">
        <v>0.99987803227770999</v>
      </c>
      <c r="C997">
        <v>1.03085915705062</v>
      </c>
      <c r="D997">
        <v>0.99713482951326105</v>
      </c>
      <c r="E997">
        <v>1.0253979607738199</v>
      </c>
      <c r="F997">
        <v>0.97433533763994695</v>
      </c>
      <c r="G997">
        <v>0.74844651545219898</v>
      </c>
      <c r="H997">
        <v>0.52496063297056095</v>
      </c>
      <c r="I997">
        <v>0.41930487526523302</v>
      </c>
      <c r="J997">
        <v>0.269696757785783</v>
      </c>
      <c r="K997">
        <v>0.119356962692705</v>
      </c>
      <c r="L997">
        <v>932.52326316865197</v>
      </c>
      <c r="M997">
        <v>15.0546007699144</v>
      </c>
      <c r="N997">
        <v>61.942742790900901</v>
      </c>
      <c r="O997">
        <v>60.880628126067798</v>
      </c>
      <c r="P997">
        <v>-6.1826328327953199E-2</v>
      </c>
      <c r="Q997">
        <v>0</v>
      </c>
      <c r="R997">
        <v>0.98941449614018595</v>
      </c>
      <c r="S997" t="s">
        <v>7308</v>
      </c>
      <c r="T997" t="s">
        <v>12620</v>
      </c>
      <c r="U997" t="s">
        <v>12620</v>
      </c>
      <c r="V997" t="s">
        <v>12620</v>
      </c>
      <c r="W997" t="s">
        <v>13588</v>
      </c>
      <c r="X997">
        <v>10</v>
      </c>
      <c r="Y997" t="s">
        <v>19825</v>
      </c>
      <c r="Z997" t="s">
        <v>25944</v>
      </c>
      <c r="AA997">
        <v>0.72904514871510306</v>
      </c>
      <c r="AB997" t="str">
        <f>HYPERLINK("Melting_Curves/meltCurve_O15040_TECPR2.pdf", "Melting_Curves/meltCurve_O15040_TECPR2.pdf")</f>
        <v>Melting_Curves/meltCurve_O15040_TECPR2.pdf</v>
      </c>
    </row>
    <row r="998" spans="1:28" x14ac:dyDescent="0.25">
      <c r="A998" t="s">
        <v>1002</v>
      </c>
      <c r="B998">
        <v>0.99987803227770999</v>
      </c>
      <c r="C998">
        <v>0.83754492678723103</v>
      </c>
      <c r="D998">
        <v>0.48921947879055799</v>
      </c>
      <c r="E998">
        <v>0.39189446133977102</v>
      </c>
      <c r="F998">
        <v>0.30180381428925701</v>
      </c>
      <c r="G998">
        <v>0.196645017595098</v>
      </c>
      <c r="H998">
        <v>0.122475643765736</v>
      </c>
      <c r="I998">
        <v>0.11385134245586501</v>
      </c>
      <c r="J998">
        <v>8.8429802916020303E-2</v>
      </c>
      <c r="K998">
        <v>7.1696063148668901E-2</v>
      </c>
      <c r="L998">
        <v>624.84008227349398</v>
      </c>
      <c r="M998">
        <v>13.3223680058036</v>
      </c>
      <c r="N998">
        <v>47.604747529777399</v>
      </c>
      <c r="O998">
        <v>45.882630154725199</v>
      </c>
      <c r="P998">
        <v>-6.6116528325404406E-2</v>
      </c>
      <c r="Q998">
        <v>8.9317397976326596E-2</v>
      </c>
      <c r="R998">
        <v>0.97190951020400296</v>
      </c>
      <c r="S998" t="s">
        <v>7309</v>
      </c>
      <c r="T998" t="s">
        <v>12620</v>
      </c>
      <c r="U998" t="s">
        <v>12620</v>
      </c>
      <c r="V998" t="s">
        <v>12620</v>
      </c>
      <c r="W998" t="s">
        <v>13589</v>
      </c>
      <c r="X998">
        <v>11</v>
      </c>
      <c r="Y998" t="s">
        <v>19826</v>
      </c>
      <c r="Z998" t="s">
        <v>25945</v>
      </c>
      <c r="AA998">
        <v>0.33042038621091752</v>
      </c>
      <c r="AB998" t="str">
        <f>HYPERLINK("Melting_Curves/meltCurve_O15047_SETD1A.pdf", "Melting_Curves/meltCurve_O15047_SETD1A.pdf")</f>
        <v>Melting_Curves/meltCurve_O15047_SETD1A.pdf</v>
      </c>
    </row>
    <row r="999" spans="1:28" x14ac:dyDescent="0.25">
      <c r="A999" t="s">
        <v>1003</v>
      </c>
      <c r="B999">
        <v>0.99987803227770999</v>
      </c>
      <c r="C999">
        <v>0.98108278492826295</v>
      </c>
      <c r="D999">
        <v>6.7208192659981298</v>
      </c>
      <c r="E999">
        <v>1.04757788088449</v>
      </c>
      <c r="F999">
        <v>0.90815326560974396</v>
      </c>
      <c r="G999">
        <v>0.38400992355847702</v>
      </c>
      <c r="H999">
        <v>0.442319763166517</v>
      </c>
      <c r="I999">
        <v>0.34058447735292202</v>
      </c>
      <c r="J999">
        <v>0.29303307644138699</v>
      </c>
      <c r="K999">
        <v>9.9622904162307402E-2</v>
      </c>
      <c r="L999">
        <v>2824.20990585555</v>
      </c>
      <c r="M999">
        <v>51.328955935683503</v>
      </c>
      <c r="N999">
        <v>55.970175079982603</v>
      </c>
      <c r="O999">
        <v>54.938443619799003</v>
      </c>
      <c r="P999">
        <v>-0.165726752695632</v>
      </c>
      <c r="Q999">
        <v>0.29047745385236701</v>
      </c>
      <c r="R999">
        <v>5.45291781909042E-2</v>
      </c>
      <c r="S999" t="s">
        <v>7310</v>
      </c>
      <c r="T999" t="s">
        <v>12620</v>
      </c>
      <c r="U999" t="s">
        <v>12620</v>
      </c>
      <c r="V999" t="s">
        <v>12620</v>
      </c>
      <c r="W999" t="s">
        <v>13590</v>
      </c>
      <c r="X999">
        <v>2</v>
      </c>
      <c r="Y999" t="s">
        <v>19827</v>
      </c>
      <c r="Z999" t="s">
        <v>25946</v>
      </c>
      <c r="AA999">
        <v>0.64738637178917258</v>
      </c>
      <c r="AB999" t="str">
        <f>HYPERLINK("Melting_Curves/meltCurve_O15054_KDM6B.pdf", "Melting_Curves/meltCurve_O15054_KDM6B.pdf")</f>
        <v>Melting_Curves/meltCurve_O15054_KDM6B.pdf</v>
      </c>
    </row>
    <row r="1000" spans="1:28" x14ac:dyDescent="0.25">
      <c r="A1000" t="s">
        <v>1004</v>
      </c>
      <c r="B1000">
        <v>0.99987803227770999</v>
      </c>
      <c r="C1000">
        <v>0.96904515893986698</v>
      </c>
      <c r="D1000">
        <v>0.93689493470474905</v>
      </c>
      <c r="E1000">
        <v>0.940069294689302</v>
      </c>
      <c r="F1000">
        <v>0.91934629099741605</v>
      </c>
      <c r="G1000">
        <v>0.57748091965614101</v>
      </c>
      <c r="H1000">
        <v>0.81964410428462797</v>
      </c>
      <c r="I1000">
        <v>0.665691305398452</v>
      </c>
      <c r="J1000">
        <v>0.82410836409261401</v>
      </c>
      <c r="K1000">
        <v>0.72940360839654095</v>
      </c>
      <c r="L1000">
        <v>13297.083073808801</v>
      </c>
      <c r="M1000">
        <v>250</v>
      </c>
      <c r="O1000">
        <v>53.184911190358797</v>
      </c>
      <c r="P1000">
        <v>-0.32520295864490101</v>
      </c>
      <c r="Q1000">
        <v>0.72326566171138595</v>
      </c>
      <c r="R1000">
        <v>0.70792433660669096</v>
      </c>
      <c r="S1000" t="s">
        <v>7311</v>
      </c>
      <c r="T1000" t="s">
        <v>12620</v>
      </c>
      <c r="U1000" t="s">
        <v>12620</v>
      </c>
      <c r="V1000" t="s">
        <v>12620</v>
      </c>
      <c r="W1000" t="s">
        <v>13591</v>
      </c>
      <c r="X1000">
        <v>2</v>
      </c>
      <c r="Y1000" t="s">
        <v>19828</v>
      </c>
      <c r="Z1000" t="s">
        <v>25947</v>
      </c>
      <c r="AA1000">
        <v>0.84494697375563854</v>
      </c>
      <c r="AB1000" t="str">
        <f>HYPERLINK("Melting_Curves/meltCurve_O15055_PER2.pdf", "Melting_Curves/meltCurve_O15055_PER2.pdf")</f>
        <v>Melting_Curves/meltCurve_O15055_PER2.pdf</v>
      </c>
    </row>
    <row r="1001" spans="1:28" x14ac:dyDescent="0.25">
      <c r="A1001" t="s">
        <v>1005</v>
      </c>
      <c r="B1001">
        <v>0.99987803227770999</v>
      </c>
      <c r="C1001">
        <v>1.0237543038118999</v>
      </c>
      <c r="D1001">
        <v>0.89497913931600204</v>
      </c>
      <c r="E1001">
        <v>0.66415772000367301</v>
      </c>
      <c r="F1001">
        <v>0.51676876517799997</v>
      </c>
      <c r="G1001">
        <v>0.39732894639616601</v>
      </c>
      <c r="H1001">
        <v>0.34393982017976799</v>
      </c>
      <c r="I1001">
        <v>0.34362073570870399</v>
      </c>
      <c r="J1001">
        <v>0.28570978670394298</v>
      </c>
      <c r="K1001">
        <v>0.235089628971107</v>
      </c>
      <c r="L1001">
        <v>846.10260329108405</v>
      </c>
      <c r="M1001">
        <v>16.664139615376801</v>
      </c>
      <c r="N1001">
        <v>53.433126768189801</v>
      </c>
      <c r="O1001">
        <v>50.059576085002298</v>
      </c>
      <c r="P1001">
        <v>-5.97710144636572E-2</v>
      </c>
      <c r="Q1001">
        <v>0.281832317319549</v>
      </c>
      <c r="R1001">
        <v>0.98924469811606297</v>
      </c>
      <c r="S1001" t="s">
        <v>7312</v>
      </c>
      <c r="T1001" t="s">
        <v>12620</v>
      </c>
      <c r="U1001" t="s">
        <v>12620</v>
      </c>
      <c r="V1001" t="s">
        <v>12620</v>
      </c>
      <c r="W1001" t="s">
        <v>13592</v>
      </c>
      <c r="X1001">
        <v>17</v>
      </c>
      <c r="Y1001" t="s">
        <v>19829</v>
      </c>
      <c r="Z1001" t="s">
        <v>25948</v>
      </c>
      <c r="AA1001">
        <v>0.55368344598954478</v>
      </c>
      <c r="AB1001" t="str">
        <f>HYPERLINK("Melting_Curves/meltCurve_O15056_SYNJ2.pdf", "Melting_Curves/meltCurve_O15056_SYNJ2.pdf")</f>
        <v>Melting_Curves/meltCurve_O15056_SYNJ2.pdf</v>
      </c>
    </row>
    <row r="1002" spans="1:28" x14ac:dyDescent="0.25">
      <c r="A1002" t="s">
        <v>1006</v>
      </c>
      <c r="B1002">
        <v>0.99987803227770999</v>
      </c>
      <c r="C1002">
        <v>0.89170828090102805</v>
      </c>
      <c r="D1002">
        <v>0.99826322804849199</v>
      </c>
      <c r="E1002">
        <v>0.89719963320824003</v>
      </c>
      <c r="F1002">
        <v>1.0316861311485901</v>
      </c>
      <c r="G1002">
        <v>0.832821042156207</v>
      </c>
      <c r="H1002">
        <v>0.889387919544677</v>
      </c>
      <c r="I1002">
        <v>0.82761211889781305</v>
      </c>
      <c r="J1002">
        <v>0.89249192817856904</v>
      </c>
      <c r="K1002">
        <v>0.726615938799689</v>
      </c>
      <c r="L1002">
        <v>277.86720261582502</v>
      </c>
      <c r="M1002">
        <v>2.6702702963271299</v>
      </c>
      <c r="Q1002">
        <v>0</v>
      </c>
      <c r="R1002">
        <v>0.524971208444169</v>
      </c>
      <c r="S1002" t="s">
        <v>7313</v>
      </c>
      <c r="T1002" t="s">
        <v>12620</v>
      </c>
      <c r="U1002" t="s">
        <v>12620</v>
      </c>
      <c r="V1002" t="s">
        <v>12620</v>
      </c>
      <c r="W1002" t="s">
        <v>13593</v>
      </c>
      <c r="X1002">
        <v>29</v>
      </c>
      <c r="Y1002" t="s">
        <v>19830</v>
      </c>
      <c r="Z1002" t="s">
        <v>25949</v>
      </c>
      <c r="AA1002">
        <v>0.90529179583315733</v>
      </c>
      <c r="AB1002" t="str">
        <f>HYPERLINK("Melting_Curves/meltCurve_O15061_SYNM.pdf", "Melting_Curves/meltCurve_O15061_SYNM.pdf")</f>
        <v>Melting_Curves/meltCurve_O15061_SYNM.pdf</v>
      </c>
    </row>
    <row r="1003" spans="1:28" x14ac:dyDescent="0.25">
      <c r="A1003" t="s">
        <v>1007</v>
      </c>
      <c r="B1003">
        <v>0.99987803227770999</v>
      </c>
      <c r="C1003">
        <v>1.0085361363576999</v>
      </c>
      <c r="D1003">
        <v>0.71817225040218202</v>
      </c>
      <c r="E1003">
        <v>0.44722677075791101</v>
      </c>
      <c r="F1003">
        <v>0.333210236975642</v>
      </c>
      <c r="G1003">
        <v>0.220284260655354</v>
      </c>
      <c r="H1003">
        <v>0.19390488530550901</v>
      </c>
      <c r="I1003">
        <v>0.152614484714031</v>
      </c>
      <c r="J1003">
        <v>0.150119180033291</v>
      </c>
      <c r="K1003">
        <v>0.107103218888794</v>
      </c>
      <c r="L1003">
        <v>858.43037189811503</v>
      </c>
      <c r="M1003">
        <v>17.690548959860099</v>
      </c>
      <c r="N1003">
        <v>49.491418904523101</v>
      </c>
      <c r="O1003">
        <v>47.917485001640799</v>
      </c>
      <c r="P1003">
        <v>-7.8819116443350698E-2</v>
      </c>
      <c r="Q1003">
        <v>0.146071899514223</v>
      </c>
      <c r="R1003">
        <v>0.98755630525858196</v>
      </c>
      <c r="S1003" t="s">
        <v>7314</v>
      </c>
      <c r="T1003" t="s">
        <v>12620</v>
      </c>
      <c r="U1003" t="s">
        <v>12620</v>
      </c>
      <c r="V1003" t="s">
        <v>12620</v>
      </c>
      <c r="W1003" t="s">
        <v>13594</v>
      </c>
      <c r="X1003">
        <v>12</v>
      </c>
      <c r="Y1003" t="s">
        <v>19831</v>
      </c>
      <c r="Z1003" t="s">
        <v>25950</v>
      </c>
      <c r="AA1003">
        <v>0.40420037469937331</v>
      </c>
      <c r="AB1003" t="str">
        <f>HYPERLINK("Melting_Curves/meltCurve_O15066_KIF3B.pdf", "Melting_Curves/meltCurve_O15066_KIF3B.pdf")</f>
        <v>Melting_Curves/meltCurve_O15066_KIF3B.pdf</v>
      </c>
    </row>
    <row r="1004" spans="1:28" x14ac:dyDescent="0.25">
      <c r="A1004" t="s">
        <v>1008</v>
      </c>
      <c r="B1004">
        <v>0.99987803227770999</v>
      </c>
      <c r="C1004">
        <v>1.25134566633946</v>
      </c>
      <c r="D1004">
        <v>0.83763530530329</v>
      </c>
      <c r="E1004">
        <v>0.40073347450980301</v>
      </c>
      <c r="F1004">
        <v>0.22244007770628499</v>
      </c>
      <c r="G1004">
        <v>0.138698384360389</v>
      </c>
      <c r="H1004">
        <v>0.103184099280235</v>
      </c>
      <c r="I1004">
        <v>8.7935097991963307E-2</v>
      </c>
      <c r="J1004">
        <v>7.0653441850882806E-2</v>
      </c>
      <c r="K1004">
        <v>5.14060058686205E-2</v>
      </c>
      <c r="L1004">
        <v>1421.91820233819</v>
      </c>
      <c r="M1004">
        <v>29.026298410246401</v>
      </c>
      <c r="N1004">
        <v>49.330216348105601</v>
      </c>
      <c r="O1004">
        <v>48.756496437252999</v>
      </c>
      <c r="P1004">
        <v>-0.13523461509044499</v>
      </c>
      <c r="Q1004">
        <v>9.1373492478079896E-2</v>
      </c>
      <c r="R1004">
        <v>0.956645682889808</v>
      </c>
      <c r="S1004" t="s">
        <v>7315</v>
      </c>
      <c r="T1004" t="s">
        <v>12620</v>
      </c>
      <c r="U1004" t="s">
        <v>12620</v>
      </c>
      <c r="V1004" t="s">
        <v>12620</v>
      </c>
      <c r="W1004" t="s">
        <v>13595</v>
      </c>
      <c r="X1004">
        <v>50</v>
      </c>
      <c r="Y1004" t="s">
        <v>19832</v>
      </c>
      <c r="Z1004" t="s">
        <v>25951</v>
      </c>
      <c r="AA1004">
        <v>0.36949558272494631</v>
      </c>
      <c r="AB1004" t="str">
        <f>HYPERLINK("Melting_Curves/meltCurve_O15067_PFAS.pdf", "Melting_Curves/meltCurve_O15067_PFAS.pdf")</f>
        <v>Melting_Curves/meltCurve_O15067_PFAS.pdf</v>
      </c>
    </row>
    <row r="1005" spans="1:28" x14ac:dyDescent="0.25">
      <c r="A1005" t="s">
        <v>1009</v>
      </c>
      <c r="B1005">
        <v>0.99987803227770999</v>
      </c>
      <c r="C1005">
        <v>0.89787378112790694</v>
      </c>
      <c r="D1005">
        <v>0.81242902763320202</v>
      </c>
      <c r="E1005">
        <v>1.09518663074834</v>
      </c>
      <c r="F1005">
        <v>0.59601461309415804</v>
      </c>
      <c r="G1005">
        <v>0.353688572832071</v>
      </c>
      <c r="H1005">
        <v>0.240409956547187</v>
      </c>
      <c r="I1005">
        <v>0.18945690761498901</v>
      </c>
      <c r="J1005">
        <v>0.18275370656147399</v>
      </c>
      <c r="K1005">
        <v>0.12916659469001401</v>
      </c>
      <c r="L1005">
        <v>13246.3246414728</v>
      </c>
      <c r="M1005">
        <v>250</v>
      </c>
      <c r="N1005">
        <v>53.107785319814496</v>
      </c>
      <c r="O1005">
        <v>52.981905979071897</v>
      </c>
      <c r="P1005">
        <v>-0.92119283908029803</v>
      </c>
      <c r="Q1005">
        <v>0.219095134982837</v>
      </c>
      <c r="R1005">
        <v>0.93412351058263299</v>
      </c>
      <c r="S1005" t="s">
        <v>7316</v>
      </c>
      <c r="T1005" t="s">
        <v>12620</v>
      </c>
      <c r="U1005" t="s">
        <v>12620</v>
      </c>
      <c r="V1005" t="s">
        <v>12620</v>
      </c>
      <c r="W1005" t="s">
        <v>13596</v>
      </c>
      <c r="X1005">
        <v>7</v>
      </c>
      <c r="Y1005" t="s">
        <v>19833</v>
      </c>
      <c r="Z1005" t="s">
        <v>25952</v>
      </c>
      <c r="AA1005">
        <v>0.55717717751691798</v>
      </c>
      <c r="AB1005" t="str">
        <f>HYPERLINK("Melting_Curves/meltCurve_O15084_ANKRD28.pdf", "Melting_Curves/meltCurve_O15084_ANKRD28.pdf")</f>
        <v>Melting_Curves/meltCurve_O15084_ANKRD28.pdf</v>
      </c>
    </row>
    <row r="1006" spans="1:28" x14ac:dyDescent="0.25">
      <c r="A1006" t="s">
        <v>1010</v>
      </c>
      <c r="B1006">
        <v>0.99987803227770999</v>
      </c>
      <c r="C1006">
        <v>1.0576697367162999</v>
      </c>
      <c r="D1006">
        <v>1.0222085951539699</v>
      </c>
      <c r="E1006">
        <v>0.82133238288731303</v>
      </c>
      <c r="F1006">
        <v>0.50465446169399397</v>
      </c>
      <c r="G1006">
        <v>0.40260361408197698</v>
      </c>
      <c r="H1006">
        <v>0.31005333868298901</v>
      </c>
      <c r="I1006">
        <v>0.290635509741483</v>
      </c>
      <c r="J1006">
        <v>0.248999609757589</v>
      </c>
      <c r="K1006">
        <v>0.16368120442113099</v>
      </c>
      <c r="L1006">
        <v>1213.5939721853199</v>
      </c>
      <c r="M1006">
        <v>23.235775791571498</v>
      </c>
      <c r="N1006">
        <v>53.825379996344601</v>
      </c>
      <c r="O1006">
        <v>51.847305232765301</v>
      </c>
      <c r="P1006">
        <v>-8.4150316308332598E-2</v>
      </c>
      <c r="Q1006">
        <v>0.248936088029347</v>
      </c>
      <c r="R1006">
        <v>0.97907852150980401</v>
      </c>
      <c r="S1006" t="s">
        <v>7317</v>
      </c>
      <c r="T1006" t="s">
        <v>12620</v>
      </c>
      <c r="U1006" t="s">
        <v>12620</v>
      </c>
      <c r="V1006" t="s">
        <v>12620</v>
      </c>
      <c r="W1006" t="s">
        <v>13597</v>
      </c>
      <c r="X1006">
        <v>12</v>
      </c>
      <c r="Y1006" t="s">
        <v>19834</v>
      </c>
      <c r="Z1006" t="s">
        <v>25953</v>
      </c>
      <c r="AA1006">
        <v>0.56300259693917853</v>
      </c>
      <c r="AB1006" t="str">
        <f>HYPERLINK("Melting_Curves/meltCurve_O15085_2_ARHGEF11.pdf", "Melting_Curves/meltCurve_O15085_2_ARHGEF11.pdf")</f>
        <v>Melting_Curves/meltCurve_O15085_2_ARHGEF11.pdf</v>
      </c>
    </row>
    <row r="1007" spans="1:28" x14ac:dyDescent="0.25">
      <c r="A1007" t="s">
        <v>1011</v>
      </c>
      <c r="B1007">
        <v>0.99987803227770999</v>
      </c>
      <c r="C1007">
        <v>0.90911655053130003</v>
      </c>
      <c r="D1007">
        <v>0.56084371302880198</v>
      </c>
      <c r="E1007">
        <v>0.470508391047047</v>
      </c>
      <c r="F1007">
        <v>0.264314363546998</v>
      </c>
      <c r="G1007">
        <v>0.15001165842178801</v>
      </c>
      <c r="H1007">
        <v>0.12536104625445499</v>
      </c>
      <c r="I1007">
        <v>0.12625526746159901</v>
      </c>
      <c r="J1007">
        <v>8.7491851742031806E-2</v>
      </c>
      <c r="K1007">
        <v>6.2124336583268699E-2</v>
      </c>
      <c r="L1007">
        <v>673.79903798465398</v>
      </c>
      <c r="M1007">
        <v>14.0658771958943</v>
      </c>
      <c r="N1007">
        <v>48.473851083479097</v>
      </c>
      <c r="O1007">
        <v>46.966034117995299</v>
      </c>
      <c r="P1007">
        <v>-6.9167541324495097E-2</v>
      </c>
      <c r="Q1007">
        <v>7.6316972231929306E-2</v>
      </c>
      <c r="R1007">
        <v>0.97816052665776099</v>
      </c>
      <c r="S1007" t="s">
        <v>7318</v>
      </c>
      <c r="T1007" t="s">
        <v>12620</v>
      </c>
      <c r="U1007" t="s">
        <v>12620</v>
      </c>
      <c r="V1007" t="s">
        <v>12620</v>
      </c>
      <c r="W1007" t="s">
        <v>13598</v>
      </c>
      <c r="X1007">
        <v>4</v>
      </c>
      <c r="Y1007" t="s">
        <v>19835</v>
      </c>
      <c r="Z1007" t="s">
        <v>25954</v>
      </c>
      <c r="AA1007">
        <v>0.34673825947639197</v>
      </c>
      <c r="AB1007" t="str">
        <f>HYPERLINK("Melting_Curves/meltCurve_O15111_CHUK.pdf", "Melting_Curves/meltCurve_O15111_CHUK.pdf")</f>
        <v>Melting_Curves/meltCurve_O15111_CHUK.pdf</v>
      </c>
    </row>
    <row r="1008" spans="1:28" x14ac:dyDescent="0.25">
      <c r="A1008" t="s">
        <v>1012</v>
      </c>
      <c r="B1008">
        <v>0.99987803227770999</v>
      </c>
      <c r="C1008">
        <v>1.1312555425516899</v>
      </c>
      <c r="D1008">
        <v>1.07561762457305</v>
      </c>
      <c r="E1008">
        <v>1.26692618866372</v>
      </c>
      <c r="F1008">
        <v>1.2403731793200601</v>
      </c>
      <c r="G1008">
        <v>1.1138887214201101</v>
      </c>
      <c r="H1008">
        <v>1.1477955375937701</v>
      </c>
      <c r="I1008">
        <v>1.09568646656207</v>
      </c>
      <c r="J1008">
        <v>0.68505868217634003</v>
      </c>
      <c r="K1008">
        <v>0.40060787911418799</v>
      </c>
      <c r="L1008">
        <v>15000</v>
      </c>
      <c r="M1008">
        <v>223.98220331104201</v>
      </c>
      <c r="N1008">
        <v>67.456028555495493</v>
      </c>
      <c r="O1008">
        <v>66.964253841307595</v>
      </c>
      <c r="P1008">
        <v>-0.50124550609111596</v>
      </c>
      <c r="Q1008">
        <v>0.40056776647532699</v>
      </c>
      <c r="R1008">
        <v>0.69943612224138896</v>
      </c>
      <c r="S1008" t="s">
        <v>7319</v>
      </c>
      <c r="T1008" t="s">
        <v>12620</v>
      </c>
      <c r="U1008" t="s">
        <v>12620</v>
      </c>
      <c r="V1008" t="s">
        <v>12620</v>
      </c>
      <c r="W1008" t="s">
        <v>13599</v>
      </c>
      <c r="X1008">
        <v>4</v>
      </c>
      <c r="Y1008" t="s">
        <v>19836</v>
      </c>
      <c r="Z1008" t="s">
        <v>25955</v>
      </c>
      <c r="AA1008">
        <v>0.93953684935848958</v>
      </c>
      <c r="AB1008" t="str">
        <f>HYPERLINK("Melting_Curves/meltCurve_O15116_LSM1.pdf", "Melting_Curves/meltCurve_O15116_LSM1.pdf")</f>
        <v>Melting_Curves/meltCurve_O15116_LSM1.pdf</v>
      </c>
    </row>
    <row r="1009" spans="1:28" x14ac:dyDescent="0.25">
      <c r="A1009" t="s">
        <v>1013</v>
      </c>
      <c r="B1009">
        <v>0.99987803227770999</v>
      </c>
      <c r="C1009">
        <v>0.853304552073194</v>
      </c>
      <c r="D1009">
        <v>1.00390351570028</v>
      </c>
      <c r="E1009">
        <v>0.87163307207988705</v>
      </c>
      <c r="F1009">
        <v>1.0182978307069099</v>
      </c>
      <c r="G1009">
        <v>0.98460070657521304</v>
      </c>
      <c r="H1009">
        <v>1.00816401057257</v>
      </c>
      <c r="I1009">
        <v>0.87969598646720604</v>
      </c>
      <c r="J1009">
        <v>0.92694094357951995</v>
      </c>
      <c r="K1009">
        <v>0.65725892323417001</v>
      </c>
      <c r="L1009">
        <v>1926.64729139663</v>
      </c>
      <c r="M1009">
        <v>26.8129329738255</v>
      </c>
      <c r="Q1009">
        <v>0</v>
      </c>
      <c r="R1009">
        <v>0.56571340957705996</v>
      </c>
      <c r="S1009" t="s">
        <v>7320</v>
      </c>
      <c r="T1009" t="s">
        <v>12620</v>
      </c>
      <c r="U1009" t="s">
        <v>12620</v>
      </c>
      <c r="V1009" t="s">
        <v>12620</v>
      </c>
      <c r="W1009" t="s">
        <v>13600</v>
      </c>
      <c r="X1009">
        <v>2</v>
      </c>
      <c r="Y1009" t="s">
        <v>19837</v>
      </c>
      <c r="Z1009" t="s">
        <v>25956</v>
      </c>
      <c r="AA1009">
        <v>0.9685631116825365</v>
      </c>
      <c r="AB1009" t="str">
        <f>HYPERLINK("Melting_Curves/meltCurve_O15118_NPC1.pdf", "Melting_Curves/meltCurve_O15118_NPC1.pdf")</f>
        <v>Melting_Curves/meltCurve_O15118_NPC1.pdf</v>
      </c>
    </row>
    <row r="1010" spans="1:28" x14ac:dyDescent="0.25">
      <c r="A1010" t="s">
        <v>1014</v>
      </c>
      <c r="B1010">
        <v>0.99987803227770999</v>
      </c>
      <c r="C1010">
        <v>0.80149046957961301</v>
      </c>
      <c r="D1010">
        <v>0.95226265863238402</v>
      </c>
      <c r="E1010">
        <v>0.78297287700312701</v>
      </c>
      <c r="F1010">
        <v>1.0425859909766</v>
      </c>
      <c r="G1010">
        <v>1.16157849676033</v>
      </c>
      <c r="H1010">
        <v>0.94460938801341399</v>
      </c>
      <c r="I1010">
        <v>0.98441998566026101</v>
      </c>
      <c r="J1010">
        <v>0.81046760342729995</v>
      </c>
      <c r="K1010">
        <v>0.73283954760748404</v>
      </c>
      <c r="L1010">
        <v>4899.27523429758</v>
      </c>
      <c r="M1010">
        <v>73.940272975750901</v>
      </c>
      <c r="O1010">
        <v>66.211458124421895</v>
      </c>
      <c r="P1010">
        <v>-7.6089882194549693E-2</v>
      </c>
      <c r="Q1010">
        <v>0.72745445459537394</v>
      </c>
      <c r="R1010">
        <v>0.27606957591066</v>
      </c>
      <c r="S1010" t="s">
        <v>7321</v>
      </c>
      <c r="T1010" t="s">
        <v>12620</v>
      </c>
      <c r="U1010" t="s">
        <v>12620</v>
      </c>
      <c r="V1010" t="s">
        <v>12620</v>
      </c>
      <c r="W1010" t="s">
        <v>13601</v>
      </c>
      <c r="X1010">
        <v>3</v>
      </c>
      <c r="Y1010" t="s">
        <v>19838</v>
      </c>
      <c r="Z1010" t="s">
        <v>25957</v>
      </c>
      <c r="AA1010">
        <v>0.96620653478628371</v>
      </c>
      <c r="AB1010" t="str">
        <f>HYPERLINK("Melting_Curves/meltCurve_O15119_2_TBX3.pdf", "Melting_Curves/meltCurve_O15119_2_TBX3.pdf")</f>
        <v>Melting_Curves/meltCurve_O15119_2_TBX3.pdf</v>
      </c>
    </row>
    <row r="1011" spans="1:28" x14ac:dyDescent="0.25">
      <c r="A1011" t="s">
        <v>1015</v>
      </c>
      <c r="B1011">
        <v>0.99987803227770999</v>
      </c>
      <c r="C1011">
        <v>1.05198373129944</v>
      </c>
      <c r="D1011">
        <v>0.92635009955714398</v>
      </c>
      <c r="E1011">
        <v>1.1280365377605099</v>
      </c>
      <c r="F1011">
        <v>0.868697402799532</v>
      </c>
      <c r="G1011">
        <v>0.78298107239339299</v>
      </c>
      <c r="H1011">
        <v>0.52597989527621802</v>
      </c>
      <c r="I1011">
        <v>0.17649974985740999</v>
      </c>
      <c r="J1011">
        <v>0.13772417093150799</v>
      </c>
      <c r="K1011">
        <v>0.10583071751467001</v>
      </c>
      <c r="L1011">
        <v>1338.9979552719301</v>
      </c>
      <c r="M1011">
        <v>22.1864315870504</v>
      </c>
      <c r="N1011">
        <v>60.568279888320902</v>
      </c>
      <c r="O1011">
        <v>59.868219490886503</v>
      </c>
      <c r="P1011">
        <v>-8.9122284802274201E-2</v>
      </c>
      <c r="Q1011">
        <v>3.8064811029342401E-2</v>
      </c>
      <c r="R1011">
        <v>0.96891751324466502</v>
      </c>
      <c r="S1011" t="s">
        <v>7322</v>
      </c>
      <c r="T1011" t="s">
        <v>12620</v>
      </c>
      <c r="U1011" t="s">
        <v>12620</v>
      </c>
      <c r="V1011" t="s">
        <v>12620</v>
      </c>
      <c r="W1011" t="s">
        <v>13602</v>
      </c>
      <c r="X1011">
        <v>16</v>
      </c>
      <c r="Y1011" t="s">
        <v>19839</v>
      </c>
      <c r="Z1011" t="s">
        <v>25958</v>
      </c>
      <c r="AA1011">
        <v>0.69789483070513014</v>
      </c>
      <c r="AB1011" t="str">
        <f>HYPERLINK("Melting_Curves/meltCurve_O15143_ARPC1B.pdf", "Melting_Curves/meltCurve_O15143_ARPC1B.pdf")</f>
        <v>Melting_Curves/meltCurve_O15143_ARPC1B.pdf</v>
      </c>
    </row>
    <row r="1012" spans="1:28" x14ac:dyDescent="0.25">
      <c r="A1012" t="s">
        <v>1016</v>
      </c>
      <c r="B1012">
        <v>0.99987803227770999</v>
      </c>
      <c r="C1012">
        <v>1.1088641273906501</v>
      </c>
      <c r="D1012">
        <v>0.95761948405472697</v>
      </c>
      <c r="E1012">
        <v>1.2326823390416199</v>
      </c>
      <c r="F1012">
        <v>0.92853322097415902</v>
      </c>
      <c r="G1012">
        <v>0.87350253834494795</v>
      </c>
      <c r="H1012">
        <v>0.56416262310307896</v>
      </c>
      <c r="I1012">
        <v>0.19437516017676701</v>
      </c>
      <c r="J1012">
        <v>0.103433475545004</v>
      </c>
      <c r="K1012">
        <v>7.3343347718278898E-2</v>
      </c>
      <c r="L1012">
        <v>1873.5388711597</v>
      </c>
      <c r="M1012">
        <v>30.671688000723101</v>
      </c>
      <c r="N1012">
        <v>61.253223589613398</v>
      </c>
      <c r="O1012">
        <v>60.825759971074497</v>
      </c>
      <c r="P1012">
        <v>-0.120933760532534</v>
      </c>
      <c r="Q1012">
        <v>4.0699158108296801E-2</v>
      </c>
      <c r="R1012">
        <v>0.95572464903201204</v>
      </c>
      <c r="S1012" t="s">
        <v>7323</v>
      </c>
      <c r="T1012" t="s">
        <v>12620</v>
      </c>
      <c r="U1012" t="s">
        <v>12620</v>
      </c>
      <c r="V1012" t="s">
        <v>12620</v>
      </c>
      <c r="W1012" t="s">
        <v>13603</v>
      </c>
      <c r="X1012">
        <v>23</v>
      </c>
      <c r="Y1012" t="s">
        <v>19840</v>
      </c>
      <c r="Z1012" t="s">
        <v>25959</v>
      </c>
      <c r="AA1012">
        <v>0.72001305580411901</v>
      </c>
      <c r="AB1012" t="str">
        <f>HYPERLINK("Melting_Curves/meltCurve_O15144_ARPC2.pdf", "Melting_Curves/meltCurve_O15144_ARPC2.pdf")</f>
        <v>Melting_Curves/meltCurve_O15144_ARPC2.pdf</v>
      </c>
    </row>
    <row r="1013" spans="1:28" x14ac:dyDescent="0.25">
      <c r="A1013" t="s">
        <v>1017</v>
      </c>
      <c r="B1013">
        <v>0.99987803227770999</v>
      </c>
      <c r="C1013">
        <v>1.0231014461816801</v>
      </c>
      <c r="D1013">
        <v>0.90344150935037404</v>
      </c>
      <c r="E1013">
        <v>1.11798704857179</v>
      </c>
      <c r="F1013">
        <v>0.96138173578453301</v>
      </c>
      <c r="G1013">
        <v>0.67775417560018802</v>
      </c>
      <c r="H1013">
        <v>0.34882457258397698</v>
      </c>
      <c r="I1013">
        <v>0.17548125575854501</v>
      </c>
      <c r="J1013">
        <v>0.11056973588270499</v>
      </c>
      <c r="K1013">
        <v>7.9635647261637105E-2</v>
      </c>
      <c r="L1013">
        <v>1507.5495565543999</v>
      </c>
      <c r="M1013">
        <v>25.680659709993598</v>
      </c>
      <c r="N1013">
        <v>59.073516291739601</v>
      </c>
      <c r="O1013">
        <v>58.351196693010301</v>
      </c>
      <c r="P1013">
        <v>-0.10185733847409</v>
      </c>
      <c r="Q1013">
        <v>7.4256495664866903E-2</v>
      </c>
      <c r="R1013">
        <v>0.98234911687575699</v>
      </c>
      <c r="S1013" t="s">
        <v>7324</v>
      </c>
      <c r="T1013" t="s">
        <v>12620</v>
      </c>
      <c r="U1013" t="s">
        <v>12620</v>
      </c>
      <c r="V1013" t="s">
        <v>12620</v>
      </c>
      <c r="W1013" t="s">
        <v>13604</v>
      </c>
      <c r="X1013">
        <v>10</v>
      </c>
      <c r="Y1013" t="s">
        <v>19841</v>
      </c>
      <c r="Z1013" t="s">
        <v>25960</v>
      </c>
      <c r="AA1013">
        <v>0.65890260476352358</v>
      </c>
      <c r="AB1013" t="str">
        <f>HYPERLINK("Melting_Curves/meltCurve_O15145_ARPC3.pdf", "Melting_Curves/meltCurve_O15145_ARPC3.pdf")</f>
        <v>Melting_Curves/meltCurve_O15145_ARPC3.pdf</v>
      </c>
    </row>
    <row r="1014" spans="1:28" x14ac:dyDescent="0.25">
      <c r="A1014" t="s">
        <v>1018</v>
      </c>
      <c r="B1014">
        <v>0.99987803227770999</v>
      </c>
      <c r="C1014">
        <v>0.88742224699278804</v>
      </c>
      <c r="D1014">
        <v>0.64659449943797798</v>
      </c>
      <c r="E1014">
        <v>0.39359439412288399</v>
      </c>
      <c r="F1014">
        <v>0.291668644285204</v>
      </c>
      <c r="G1014">
        <v>0.19796943557316601</v>
      </c>
      <c r="H1014">
        <v>0.15052394911123601</v>
      </c>
      <c r="I1014">
        <v>0.10999101383965</v>
      </c>
      <c r="J1014">
        <v>8.9931489324365302E-2</v>
      </c>
      <c r="K1014">
        <v>7.0143576928912002E-2</v>
      </c>
      <c r="L1014">
        <v>702.99155166889796</v>
      </c>
      <c r="M1014">
        <v>14.670780198612199</v>
      </c>
      <c r="N1014">
        <v>48.582374499436703</v>
      </c>
      <c r="O1014">
        <v>47.053880928125601</v>
      </c>
      <c r="P1014">
        <v>-7.0867819716519204E-2</v>
      </c>
      <c r="Q1014">
        <v>9.0916738911339404E-2</v>
      </c>
      <c r="R1014">
        <v>0.99327771203445803</v>
      </c>
      <c r="S1014" t="s">
        <v>7325</v>
      </c>
      <c r="T1014" t="s">
        <v>12620</v>
      </c>
      <c r="U1014" t="s">
        <v>12620</v>
      </c>
      <c r="V1014" t="s">
        <v>12620</v>
      </c>
      <c r="W1014" t="s">
        <v>13605</v>
      </c>
      <c r="X1014">
        <v>7</v>
      </c>
      <c r="Y1014" t="s">
        <v>19842</v>
      </c>
      <c r="Z1014" t="s">
        <v>25961</v>
      </c>
      <c r="AA1014">
        <v>0.35538751673537589</v>
      </c>
      <c r="AB1014" t="str">
        <f>HYPERLINK("Melting_Curves/meltCurve_O15160_2_POLR1C.pdf", "Melting_Curves/meltCurve_O15160_2_POLR1C.pdf")</f>
        <v>Melting_Curves/meltCurve_O15160_2_POLR1C.pdf</v>
      </c>
    </row>
    <row r="1015" spans="1:28" x14ac:dyDescent="0.25">
      <c r="A1015" t="s">
        <v>1019</v>
      </c>
      <c r="B1015">
        <v>0.99987803227770999</v>
      </c>
      <c r="C1015">
        <v>0.91958141654751402</v>
      </c>
      <c r="D1015">
        <v>0.85931739571155796</v>
      </c>
      <c r="E1015">
        <v>0.56205963523564795</v>
      </c>
      <c r="F1015">
        <v>0.58798325930309303</v>
      </c>
      <c r="G1015">
        <v>0.35336623336202899</v>
      </c>
      <c r="H1015">
        <v>0.301198571155048</v>
      </c>
      <c r="I1015">
        <v>0.27940362865382501</v>
      </c>
      <c r="J1015">
        <v>0.22366965668629599</v>
      </c>
      <c r="K1015">
        <v>0.17402822214428601</v>
      </c>
      <c r="L1015">
        <v>568.590262169379</v>
      </c>
      <c r="M1015">
        <v>11.026402196181101</v>
      </c>
      <c r="N1015">
        <v>53.4548789588682</v>
      </c>
      <c r="O1015">
        <v>49.957258395504802</v>
      </c>
      <c r="P1015">
        <v>-4.6292730124808598E-2</v>
      </c>
      <c r="Q1015">
        <v>0.161327508769917</v>
      </c>
      <c r="R1015">
        <v>0.97906335552652501</v>
      </c>
      <c r="S1015" t="s">
        <v>7326</v>
      </c>
      <c r="T1015" t="s">
        <v>12620</v>
      </c>
      <c r="U1015" t="s">
        <v>12620</v>
      </c>
      <c r="V1015" t="s">
        <v>12620</v>
      </c>
      <c r="W1015" t="s">
        <v>13606</v>
      </c>
      <c r="X1015">
        <v>8</v>
      </c>
      <c r="Y1015" t="s">
        <v>19843</v>
      </c>
      <c r="Z1015" t="s">
        <v>25962</v>
      </c>
      <c r="AA1015">
        <v>0.51415537492749752</v>
      </c>
      <c r="AB1015" t="str">
        <f>HYPERLINK("Melting_Curves/meltCurve_O15164_TRIM24.pdf", "Melting_Curves/meltCurve_O15164_TRIM24.pdf")</f>
        <v>Melting_Curves/meltCurve_O15164_TRIM24.pdf</v>
      </c>
    </row>
    <row r="1016" spans="1:28" x14ac:dyDescent="0.25">
      <c r="A1016" t="s">
        <v>1020</v>
      </c>
      <c r="B1016">
        <v>0.99987803227770999</v>
      </c>
      <c r="C1016">
        <v>0.96363326766106305</v>
      </c>
      <c r="D1016">
        <v>1.00855304054558</v>
      </c>
      <c r="E1016">
        <v>0.88415584811301196</v>
      </c>
      <c r="F1016">
        <v>0.87502012315734401</v>
      </c>
      <c r="G1016">
        <v>0.45382853022448899</v>
      </c>
      <c r="H1016">
        <v>0.35072379263785702</v>
      </c>
      <c r="I1016">
        <v>0.33197353697176302</v>
      </c>
      <c r="J1016">
        <v>0.31440442030173399</v>
      </c>
      <c r="K1016">
        <v>0.27358657202840497</v>
      </c>
      <c r="L1016">
        <v>1688.8622518826901</v>
      </c>
      <c r="M1016">
        <v>30.706776296600999</v>
      </c>
      <c r="N1016">
        <v>56.717916737461103</v>
      </c>
      <c r="O1016">
        <v>54.767976296679997</v>
      </c>
      <c r="P1016">
        <v>-9.7728908461117203E-2</v>
      </c>
      <c r="Q1016">
        <v>0.30277503326376098</v>
      </c>
      <c r="R1016">
        <v>0.986495613331832</v>
      </c>
      <c r="S1016" t="s">
        <v>7327</v>
      </c>
      <c r="T1016" t="s">
        <v>12620</v>
      </c>
      <c r="U1016" t="s">
        <v>12620</v>
      </c>
      <c r="V1016" t="s">
        <v>12620</v>
      </c>
      <c r="W1016" t="s">
        <v>13607</v>
      </c>
      <c r="X1016">
        <v>3</v>
      </c>
      <c r="Y1016" t="s">
        <v>19844</v>
      </c>
      <c r="Z1016" t="s">
        <v>25963</v>
      </c>
      <c r="AA1016">
        <v>0.65580492596276818</v>
      </c>
      <c r="AB1016" t="str">
        <f>HYPERLINK("Melting_Curves/meltCurve_O15169_2_AXIN1.pdf", "Melting_Curves/meltCurve_O15169_2_AXIN1.pdf")</f>
        <v>Melting_Curves/meltCurve_O15169_2_AXIN1.pdf</v>
      </c>
    </row>
    <row r="1017" spans="1:28" x14ac:dyDescent="0.25">
      <c r="A1017" t="s">
        <v>1021</v>
      </c>
      <c r="B1017">
        <v>0.99987803227770999</v>
      </c>
      <c r="C1017">
        <v>1.13623308845305</v>
      </c>
      <c r="D1017">
        <v>1.0687891731824799</v>
      </c>
      <c r="E1017">
        <v>1.0783444475931001</v>
      </c>
      <c r="F1017">
        <v>1.13730873302448</v>
      </c>
      <c r="G1017">
        <v>1.0454881058072201</v>
      </c>
      <c r="H1017">
        <v>1.1206194796991999</v>
      </c>
      <c r="I1017">
        <v>0.94383550784395898</v>
      </c>
      <c r="J1017">
        <v>0.73650011971205698</v>
      </c>
      <c r="K1017">
        <v>0.65763404316702101</v>
      </c>
      <c r="L1017">
        <v>4474.1487324027303</v>
      </c>
      <c r="M1017">
        <v>68.009776668189204</v>
      </c>
      <c r="O1017">
        <v>65.730039899384593</v>
      </c>
      <c r="P1017">
        <v>-8.9421498789858098E-2</v>
      </c>
      <c r="Q1017">
        <v>0.65430400598076</v>
      </c>
      <c r="R1017">
        <v>0.74245732959538402</v>
      </c>
      <c r="S1017" t="s">
        <v>7328</v>
      </c>
      <c r="T1017" t="s">
        <v>12620</v>
      </c>
      <c r="U1017" t="s">
        <v>12620</v>
      </c>
      <c r="V1017" t="s">
        <v>12620</v>
      </c>
      <c r="W1017" t="s">
        <v>13608</v>
      </c>
      <c r="X1017">
        <v>14</v>
      </c>
      <c r="Y1017" t="s">
        <v>19845</v>
      </c>
      <c r="Z1017" t="s">
        <v>25964</v>
      </c>
      <c r="AA1017">
        <v>0.95177611657774064</v>
      </c>
      <c r="AB1017" t="str">
        <f>HYPERLINK("Melting_Curves/meltCurve_O15212_PFDN6.pdf", "Melting_Curves/meltCurve_O15212_PFDN6.pdf")</f>
        <v>Melting_Curves/meltCurve_O15212_PFDN6.pdf</v>
      </c>
    </row>
    <row r="1018" spans="1:28" x14ac:dyDescent="0.25">
      <c r="A1018" t="s">
        <v>1022</v>
      </c>
      <c r="B1018">
        <v>0.99987803227770999</v>
      </c>
      <c r="C1018">
        <v>1.03326355898674</v>
      </c>
      <c r="D1018">
        <v>1.0781259630524</v>
      </c>
      <c r="E1018">
        <v>0.93869526561208105</v>
      </c>
      <c r="F1018">
        <v>0.985421478860809</v>
      </c>
      <c r="G1018">
        <v>0.75899986963315003</v>
      </c>
      <c r="H1018">
        <v>0.93183332292151</v>
      </c>
      <c r="I1018">
        <v>0.77000951755126501</v>
      </c>
      <c r="J1018">
        <v>0.740376146707592</v>
      </c>
      <c r="K1018">
        <v>0.51067555808979803</v>
      </c>
      <c r="L1018">
        <v>650.51175854125404</v>
      </c>
      <c r="M1018">
        <v>8.9849511197537204</v>
      </c>
      <c r="O1018">
        <v>69.083493631955307</v>
      </c>
      <c r="P1018">
        <v>-3.25385891650318E-2</v>
      </c>
      <c r="Q1018">
        <v>0</v>
      </c>
      <c r="R1018">
        <v>0.80858953160946601</v>
      </c>
      <c r="S1018" t="s">
        <v>7329</v>
      </c>
      <c r="T1018" t="s">
        <v>12620</v>
      </c>
      <c r="U1018" t="s">
        <v>12620</v>
      </c>
      <c r="V1018" t="s">
        <v>12620</v>
      </c>
      <c r="W1018" t="s">
        <v>13609</v>
      </c>
      <c r="X1018">
        <v>6</v>
      </c>
      <c r="Y1018" t="s">
        <v>19846</v>
      </c>
      <c r="Z1018" t="s">
        <v>25965</v>
      </c>
      <c r="AA1018">
        <v>0.88749682740264424</v>
      </c>
      <c r="AB1018" t="str">
        <f>HYPERLINK("Melting_Curves/meltCurve_O15226_NKRF.pdf", "Melting_Curves/meltCurve_O15226_NKRF.pdf")</f>
        <v>Melting_Curves/meltCurve_O15226_NKRF.pdf</v>
      </c>
    </row>
    <row r="1019" spans="1:28" x14ac:dyDescent="0.25">
      <c r="A1019" t="s">
        <v>1023</v>
      </c>
      <c r="B1019">
        <v>0.99987803227770999</v>
      </c>
      <c r="C1019">
        <v>1.0708675635154501</v>
      </c>
      <c r="D1019">
        <v>0.90657034436321904</v>
      </c>
      <c r="E1019">
        <v>0.922113118265108</v>
      </c>
      <c r="F1019">
        <v>0.78502258738863195</v>
      </c>
      <c r="G1019">
        <v>0.68567021833753605</v>
      </c>
      <c r="H1019">
        <v>0.62760218572212101</v>
      </c>
      <c r="I1019">
        <v>0.52294914322852404</v>
      </c>
      <c r="J1019">
        <v>0.44428177089575899</v>
      </c>
      <c r="K1019">
        <v>0.32157639496656998</v>
      </c>
      <c r="L1019">
        <v>473.15470604861002</v>
      </c>
      <c r="M1019">
        <v>7.36537503303951</v>
      </c>
      <c r="N1019">
        <v>64.2404087139994</v>
      </c>
      <c r="O1019">
        <v>60.014153775725603</v>
      </c>
      <c r="P1019">
        <v>-3.0728995368144E-2</v>
      </c>
      <c r="Q1019">
        <v>0</v>
      </c>
      <c r="R1019">
        <v>0.96901821693493195</v>
      </c>
      <c r="S1019" t="s">
        <v>7330</v>
      </c>
      <c r="T1019" t="s">
        <v>12620</v>
      </c>
      <c r="U1019" t="s">
        <v>12620</v>
      </c>
      <c r="V1019" t="s">
        <v>12620</v>
      </c>
      <c r="W1019" t="s">
        <v>13610</v>
      </c>
      <c r="X1019">
        <v>10</v>
      </c>
      <c r="Y1019" t="s">
        <v>19847</v>
      </c>
      <c r="Z1019" t="s">
        <v>25966</v>
      </c>
      <c r="AA1019">
        <v>0.73484273662991595</v>
      </c>
      <c r="AB1019" t="str">
        <f>HYPERLINK("Melting_Curves/meltCurve_O15230_LAMA5.pdf", "Melting_Curves/meltCurve_O15230_LAMA5.pdf")</f>
        <v>Melting_Curves/meltCurve_O15230_LAMA5.pdf</v>
      </c>
    </row>
    <row r="1020" spans="1:28" x14ac:dyDescent="0.25">
      <c r="A1020" t="s">
        <v>1024</v>
      </c>
      <c r="B1020">
        <v>0.99987803227770999</v>
      </c>
      <c r="C1020">
        <v>0.80486768826211097</v>
      </c>
      <c r="D1020">
        <v>0.98977047256459305</v>
      </c>
      <c r="E1020">
        <v>0.85141294233863896</v>
      </c>
      <c r="F1020">
        <v>1.0794238503537701</v>
      </c>
      <c r="G1020">
        <v>0.90838318811283603</v>
      </c>
      <c r="H1020">
        <v>0.975873336815822</v>
      </c>
      <c r="I1020">
        <v>0.89156443625543802</v>
      </c>
      <c r="J1020">
        <v>0.93613335243323004</v>
      </c>
      <c r="K1020">
        <v>0.76310302508558903</v>
      </c>
      <c r="L1020">
        <v>141.67871582260801</v>
      </c>
      <c r="M1020">
        <v>8.3111348547801805E-2</v>
      </c>
      <c r="O1020">
        <v>58.416148065395099</v>
      </c>
      <c r="P1020">
        <v>-3.3213363270749698E-3</v>
      </c>
      <c r="Q1020">
        <v>0</v>
      </c>
      <c r="R1020">
        <v>7.4269260692997899E-2</v>
      </c>
      <c r="S1020" t="s">
        <v>7331</v>
      </c>
      <c r="T1020" t="s">
        <v>12620</v>
      </c>
      <c r="U1020" t="s">
        <v>12620</v>
      </c>
      <c r="V1020" t="s">
        <v>12620</v>
      </c>
      <c r="W1020" t="s">
        <v>13611</v>
      </c>
      <c r="X1020">
        <v>32</v>
      </c>
      <c r="Y1020" t="s">
        <v>19848</v>
      </c>
      <c r="Z1020" t="s">
        <v>25967</v>
      </c>
      <c r="AA1020">
        <v>0.92314064236945126</v>
      </c>
      <c r="AB1020" t="str">
        <f>HYPERLINK("Melting_Curves/meltCurve_O15231_ZNF185.pdf", "Melting_Curves/meltCurve_O15231_ZNF185.pdf")</f>
        <v>Melting_Curves/meltCurve_O15231_ZNF185.pdf</v>
      </c>
    </row>
    <row r="1021" spans="1:28" x14ac:dyDescent="0.25">
      <c r="A1021" t="s">
        <v>1025</v>
      </c>
      <c r="B1021">
        <v>0.99987803227770999</v>
      </c>
      <c r="C1021">
        <v>0.81087710982709404</v>
      </c>
      <c r="D1021">
        <v>0.95769935101246295</v>
      </c>
      <c r="E1021">
        <v>0.80626056353833597</v>
      </c>
      <c r="F1021">
        <v>1.2441518276821399</v>
      </c>
      <c r="G1021">
        <v>1.0710744433988699</v>
      </c>
      <c r="H1021">
        <v>1.2596783730200001</v>
      </c>
      <c r="I1021">
        <v>1.1837570075372199</v>
      </c>
      <c r="J1021">
        <v>1.1788126293338299</v>
      </c>
      <c r="K1021">
        <v>1.0149248417999099</v>
      </c>
      <c r="L1021">
        <v>3938.0368539522601</v>
      </c>
      <c r="M1021">
        <v>76.108372588669098</v>
      </c>
      <c r="O1021">
        <v>51.706802735600697</v>
      </c>
      <c r="P1021">
        <v>5.8018695332537701E-2</v>
      </c>
      <c r="Q1021">
        <v>1.1576678426417699</v>
      </c>
      <c r="R1021">
        <v>0.46841991459592103</v>
      </c>
      <c r="S1021" t="s">
        <v>7332</v>
      </c>
      <c r="T1021" t="s">
        <v>12620</v>
      </c>
      <c r="U1021" t="s">
        <v>12620</v>
      </c>
      <c r="V1021" t="s">
        <v>12620</v>
      </c>
      <c r="W1021" t="s">
        <v>13612</v>
      </c>
      <c r="X1021">
        <v>32</v>
      </c>
      <c r="Y1021" t="s">
        <v>19848</v>
      </c>
      <c r="Z1021" t="s">
        <v>25968</v>
      </c>
      <c r="AA1021">
        <v>1.0957992450787259</v>
      </c>
      <c r="AB1021" t="str">
        <f>HYPERLINK("Melting_Curves/meltCurve_O15231_3_ZNF185.pdf", "Melting_Curves/meltCurve_O15231_3_ZNF185.pdf")</f>
        <v>Melting_Curves/meltCurve_O15231_3_ZNF185.pdf</v>
      </c>
    </row>
    <row r="1022" spans="1:28" x14ac:dyDescent="0.25">
      <c r="A1022" t="s">
        <v>1026</v>
      </c>
      <c r="B1022">
        <v>0.99987803227770999</v>
      </c>
      <c r="C1022">
        <v>0.89376733730204505</v>
      </c>
      <c r="D1022">
        <v>1.02082977538025</v>
      </c>
      <c r="E1022">
        <v>0.87960944951995301</v>
      </c>
      <c r="F1022">
        <v>1.00716140413703</v>
      </c>
      <c r="G1022">
        <v>0.78145316779644702</v>
      </c>
      <c r="H1022">
        <v>0.85493102732241599</v>
      </c>
      <c r="I1022">
        <v>0.80402872505351097</v>
      </c>
      <c r="J1022">
        <v>0.848936325893624</v>
      </c>
      <c r="K1022">
        <v>0.681134538663415</v>
      </c>
      <c r="L1022">
        <v>281.43050707696602</v>
      </c>
      <c r="M1022">
        <v>2.9835864771003502</v>
      </c>
      <c r="O1022">
        <v>69.284376731482794</v>
      </c>
      <c r="P1022">
        <v>-1.11035718965124E-2</v>
      </c>
      <c r="Q1022">
        <v>0</v>
      </c>
      <c r="R1022">
        <v>0.61600622781191805</v>
      </c>
      <c r="S1022" t="s">
        <v>7333</v>
      </c>
      <c r="T1022" t="s">
        <v>12620</v>
      </c>
      <c r="U1022" t="s">
        <v>12620</v>
      </c>
      <c r="V1022" t="s">
        <v>12620</v>
      </c>
      <c r="W1022" t="s">
        <v>13613</v>
      </c>
      <c r="X1022">
        <v>13</v>
      </c>
      <c r="Y1022" t="s">
        <v>19849</v>
      </c>
      <c r="Z1022" t="s">
        <v>25969</v>
      </c>
      <c r="AA1022">
        <v>0.88251863160165456</v>
      </c>
      <c r="AB1022" t="str">
        <f>HYPERLINK("Melting_Curves/meltCurve_O15234_CASC3.pdf", "Melting_Curves/meltCurve_O15234_CASC3.pdf")</f>
        <v>Melting_Curves/meltCurve_O15234_CASC3.pdf</v>
      </c>
    </row>
    <row r="1023" spans="1:28" x14ac:dyDescent="0.25">
      <c r="A1023" t="s">
        <v>1027</v>
      </c>
      <c r="B1023">
        <v>0.99987803227770999</v>
      </c>
      <c r="C1023">
        <v>0.68146944896426997</v>
      </c>
      <c r="D1023">
        <v>0.47430276761588502</v>
      </c>
      <c r="E1023">
        <v>0.40340491230190401</v>
      </c>
      <c r="F1023">
        <v>0.29481632116276202</v>
      </c>
      <c r="G1023">
        <v>0.14344688893490901</v>
      </c>
      <c r="H1023">
        <v>0.113078993019379</v>
      </c>
      <c r="I1023">
        <v>9.5027557934892301E-2</v>
      </c>
      <c r="J1023">
        <v>8.4547953528708295E-2</v>
      </c>
      <c r="K1023">
        <v>6.9629498987157895E-2</v>
      </c>
      <c r="L1023">
        <v>534.89509415196096</v>
      </c>
      <c r="M1023">
        <v>11.5196479228182</v>
      </c>
      <c r="N1023">
        <v>46.975396540044102</v>
      </c>
      <c r="O1023">
        <v>45.100119951116397</v>
      </c>
      <c r="P1023">
        <v>-5.9898361075428799E-2</v>
      </c>
      <c r="Q1023">
        <v>6.2241429826238197E-2</v>
      </c>
      <c r="R1023">
        <v>0.96268724997548105</v>
      </c>
      <c r="S1023" t="s">
        <v>7334</v>
      </c>
      <c r="T1023" t="s">
        <v>12620</v>
      </c>
      <c r="U1023" t="s">
        <v>12620</v>
      </c>
      <c r="V1023" t="s">
        <v>12620</v>
      </c>
      <c r="W1023" t="s">
        <v>13614</v>
      </c>
      <c r="X1023">
        <v>1</v>
      </c>
      <c r="Y1023" t="s">
        <v>19850</v>
      </c>
      <c r="Z1023" t="s">
        <v>25970</v>
      </c>
      <c r="AA1023">
        <v>0.30767541904853513</v>
      </c>
      <c r="AB1023" t="str">
        <f>HYPERLINK("Melting_Curves/meltCurve_O15287_FANCG.pdf", "Melting_Curves/meltCurve_O15287_FANCG.pdf")</f>
        <v>Melting_Curves/meltCurve_O15287_FANCG.pdf</v>
      </c>
    </row>
    <row r="1024" spans="1:28" x14ac:dyDescent="0.25">
      <c r="A1024" t="s">
        <v>1028</v>
      </c>
      <c r="B1024">
        <v>0.99987803227770999</v>
      </c>
      <c r="C1024">
        <v>1.20449794374289</v>
      </c>
      <c r="D1024">
        <v>0.90470092804504298</v>
      </c>
      <c r="E1024">
        <v>0.52166237081868005</v>
      </c>
      <c r="F1024">
        <v>0.204388727774198</v>
      </c>
      <c r="G1024">
        <v>0.143332020192112</v>
      </c>
      <c r="H1024">
        <v>0.124365456757971</v>
      </c>
      <c r="I1024">
        <v>0.147498063787669</v>
      </c>
      <c r="J1024">
        <v>7.2414597968952499E-2</v>
      </c>
      <c r="K1024">
        <v>4.8768728160592398E-2</v>
      </c>
      <c r="L1024">
        <v>1596.4151414263799</v>
      </c>
      <c r="M1024">
        <v>32.084572923886803</v>
      </c>
      <c r="N1024">
        <v>50.114317488231599</v>
      </c>
      <c r="O1024">
        <v>49.56437658171</v>
      </c>
      <c r="P1024">
        <v>-0.14526565529718699</v>
      </c>
      <c r="Q1024">
        <v>0.102376616123059</v>
      </c>
      <c r="R1024">
        <v>0.96999954592519999</v>
      </c>
      <c r="S1024" t="s">
        <v>7335</v>
      </c>
      <c r="T1024" t="s">
        <v>12620</v>
      </c>
      <c r="U1024" t="s">
        <v>12620</v>
      </c>
      <c r="V1024" t="s">
        <v>12620</v>
      </c>
      <c r="W1024" t="s">
        <v>13615</v>
      </c>
      <c r="X1024">
        <v>20</v>
      </c>
      <c r="Y1024" t="s">
        <v>19851</v>
      </c>
      <c r="Z1024" t="s">
        <v>25971</v>
      </c>
      <c r="AA1024">
        <v>0.39912355413452377</v>
      </c>
      <c r="AB1024" t="str">
        <f>HYPERLINK("Melting_Curves/meltCurve_O15294_OGT.pdf", "Melting_Curves/meltCurve_O15294_OGT.pdf")</f>
        <v>Melting_Curves/meltCurve_O15294_OGT.pdf</v>
      </c>
    </row>
    <row r="1025" spans="1:28" x14ac:dyDescent="0.25">
      <c r="A1025" t="s">
        <v>1029</v>
      </c>
      <c r="B1025">
        <v>0.99987803227770999</v>
      </c>
      <c r="C1025">
        <v>0.80382896928676395</v>
      </c>
      <c r="D1025">
        <v>1.0335453354899899</v>
      </c>
      <c r="E1025">
        <v>0.71269416473759295</v>
      </c>
      <c r="F1025">
        <v>0.469233577341022</v>
      </c>
      <c r="G1025">
        <v>0.16552806817122001</v>
      </c>
      <c r="H1025">
        <v>9.3108392568487505E-2</v>
      </c>
      <c r="I1025">
        <v>7.6019944746302096E-2</v>
      </c>
      <c r="J1025">
        <v>6.2439725139373001E-2</v>
      </c>
      <c r="K1025">
        <v>4.4568807088404702E-2</v>
      </c>
      <c r="L1025">
        <v>1132.1629556881101</v>
      </c>
      <c r="M1025">
        <v>21.6767321847103</v>
      </c>
      <c r="N1025">
        <v>52.481742010567103</v>
      </c>
      <c r="O1025">
        <v>51.7909998601694</v>
      </c>
      <c r="P1025">
        <v>-9.9459865550427698E-2</v>
      </c>
      <c r="Q1025">
        <v>4.9487003808351797E-2</v>
      </c>
      <c r="R1025">
        <v>0.97108935331199997</v>
      </c>
      <c r="S1025" t="s">
        <v>7336</v>
      </c>
      <c r="T1025" t="s">
        <v>12620</v>
      </c>
      <c r="U1025" t="s">
        <v>12620</v>
      </c>
      <c r="V1025" t="s">
        <v>12620</v>
      </c>
      <c r="W1025" t="s">
        <v>13616</v>
      </c>
      <c r="X1025">
        <v>15</v>
      </c>
      <c r="Y1025" t="s">
        <v>19852</v>
      </c>
      <c r="Z1025" t="s">
        <v>25972</v>
      </c>
      <c r="AA1025">
        <v>0.44832503825733189</v>
      </c>
      <c r="AB1025" t="str">
        <f>HYPERLINK("Melting_Curves/meltCurve_O15305_PMM2.pdf", "Melting_Curves/meltCurve_O15305_PMM2.pdf")</f>
        <v>Melting_Curves/meltCurve_O15305_PMM2.pdf</v>
      </c>
    </row>
    <row r="1026" spans="1:28" x14ac:dyDescent="0.25">
      <c r="A1026" t="s">
        <v>1030</v>
      </c>
      <c r="B1026">
        <v>0.99987803227770999</v>
      </c>
      <c r="C1026">
        <v>1.0531219757254</v>
      </c>
      <c r="D1026">
        <v>1.0311663137703599</v>
      </c>
      <c r="E1026">
        <v>0.90469077534159204</v>
      </c>
      <c r="F1026">
        <v>0.487401982592095</v>
      </c>
      <c r="G1026">
        <v>0.26446193351323999</v>
      </c>
      <c r="H1026">
        <v>0.15529051211926001</v>
      </c>
      <c r="I1026">
        <v>0.126950662052806</v>
      </c>
      <c r="J1026">
        <v>0.10022136154160401</v>
      </c>
      <c r="K1026">
        <v>7.7302054660608896E-2</v>
      </c>
      <c r="L1026">
        <v>1599.7628926319801</v>
      </c>
      <c r="M1026">
        <v>30.3010921279764</v>
      </c>
      <c r="N1026">
        <v>53.2727854647041</v>
      </c>
      <c r="O1026">
        <v>52.567201565440698</v>
      </c>
      <c r="P1026">
        <v>-0.12697777421888001</v>
      </c>
      <c r="Q1026">
        <v>0.118866813238188</v>
      </c>
      <c r="R1026">
        <v>0.99104643974486994</v>
      </c>
      <c r="S1026" t="s">
        <v>7337</v>
      </c>
      <c r="T1026" t="s">
        <v>12620</v>
      </c>
      <c r="U1026" t="s">
        <v>12620</v>
      </c>
      <c r="V1026" t="s">
        <v>12620</v>
      </c>
      <c r="W1026" t="s">
        <v>13617</v>
      </c>
      <c r="X1026">
        <v>15</v>
      </c>
      <c r="Y1026" t="s">
        <v>19853</v>
      </c>
      <c r="Z1026" t="s">
        <v>25973</v>
      </c>
      <c r="AA1026">
        <v>0.50027318157449441</v>
      </c>
      <c r="AB1026" t="str">
        <f>HYPERLINK("Melting_Curves/meltCurve_O15327_INPP4B.pdf", "Melting_Curves/meltCurve_O15327_INPP4B.pdf")</f>
        <v>Melting_Curves/meltCurve_O15327_INPP4B.pdf</v>
      </c>
    </row>
    <row r="1027" spans="1:28" x14ac:dyDescent="0.25">
      <c r="A1027" t="s">
        <v>1031</v>
      </c>
      <c r="B1027">
        <v>0.99987803227770999</v>
      </c>
      <c r="C1027">
        <v>0.82907803381842604</v>
      </c>
      <c r="D1027">
        <v>0.85187335192099001</v>
      </c>
      <c r="E1027">
        <v>0.83722995792459198</v>
      </c>
      <c r="F1027">
        <v>0.263794937247395</v>
      </c>
      <c r="G1027">
        <v>0.14707951533130001</v>
      </c>
      <c r="H1027">
        <v>8.9082311065585104E-2</v>
      </c>
      <c r="I1027">
        <v>7.2668469122022794E-2</v>
      </c>
      <c r="J1027">
        <v>5.9416669446964901E-2</v>
      </c>
      <c r="K1027">
        <v>4.4398877253825499E-2</v>
      </c>
      <c r="L1027">
        <v>2414.7252353485401</v>
      </c>
      <c r="M1027">
        <v>46.853768545123003</v>
      </c>
      <c r="N1027">
        <v>51.726155693352602</v>
      </c>
      <c r="O1027">
        <v>51.443859836957799</v>
      </c>
      <c r="P1027">
        <v>-0.209809347588681</v>
      </c>
      <c r="Q1027">
        <v>7.8546629662380796E-2</v>
      </c>
      <c r="R1027">
        <v>0.96202919563072298</v>
      </c>
      <c r="S1027" t="s">
        <v>7338</v>
      </c>
      <c r="T1027" t="s">
        <v>12620</v>
      </c>
      <c r="U1027" t="s">
        <v>12620</v>
      </c>
      <c r="V1027" t="s">
        <v>12620</v>
      </c>
      <c r="W1027" t="s">
        <v>13618</v>
      </c>
      <c r="X1027">
        <v>31</v>
      </c>
      <c r="Y1027" t="s">
        <v>19854</v>
      </c>
      <c r="Z1027" t="s">
        <v>25974</v>
      </c>
      <c r="AA1027">
        <v>0.43530883860558561</v>
      </c>
      <c r="AB1027" t="str">
        <f>HYPERLINK("Melting_Curves/meltCurve_O15344_MID1.pdf", "Melting_Curves/meltCurve_O15344_MID1.pdf")</f>
        <v>Melting_Curves/meltCurve_O15344_MID1.pdf</v>
      </c>
    </row>
    <row r="1028" spans="1:28" x14ac:dyDescent="0.25">
      <c r="A1028" t="s">
        <v>1032</v>
      </c>
      <c r="B1028">
        <v>0.99987803227770999</v>
      </c>
      <c r="C1028">
        <v>0.95109744180627698</v>
      </c>
      <c r="D1028">
        <v>0.80921904062472605</v>
      </c>
      <c r="E1028">
        <v>0.64983240268115305</v>
      </c>
      <c r="F1028">
        <v>0.53305603502990995</v>
      </c>
      <c r="G1028">
        <v>0.44716592026776802</v>
      </c>
      <c r="H1028">
        <v>0.443134801867757</v>
      </c>
      <c r="I1028">
        <v>0.46695939509531198</v>
      </c>
      <c r="J1028">
        <v>0.49058773640539999</v>
      </c>
      <c r="K1028">
        <v>0.40336542963640998</v>
      </c>
      <c r="L1028">
        <v>852.08793405575295</v>
      </c>
      <c r="M1028">
        <v>17.7019831275326</v>
      </c>
      <c r="N1028">
        <v>54.701694262157403</v>
      </c>
      <c r="O1028">
        <v>47.533489183155197</v>
      </c>
      <c r="P1028">
        <v>-5.2113930262657399E-2</v>
      </c>
      <c r="Q1028">
        <v>0.44028273210003999</v>
      </c>
      <c r="R1028">
        <v>0.98667576342758201</v>
      </c>
      <c r="S1028" t="s">
        <v>7339</v>
      </c>
      <c r="T1028" t="s">
        <v>12620</v>
      </c>
      <c r="U1028" t="s">
        <v>12620</v>
      </c>
      <c r="V1028" t="s">
        <v>12620</v>
      </c>
      <c r="W1028" t="s">
        <v>13619</v>
      </c>
      <c r="X1028">
        <v>24</v>
      </c>
      <c r="Y1028" t="s">
        <v>19855</v>
      </c>
      <c r="Z1028" t="s">
        <v>25975</v>
      </c>
      <c r="AA1028">
        <v>0.60230221864165712</v>
      </c>
      <c r="AB1028" t="str">
        <f>HYPERLINK("Melting_Curves/meltCurve_O15355_PPM1G.pdf", "Melting_Curves/meltCurve_O15355_PPM1G.pdf")</f>
        <v>Melting_Curves/meltCurve_O15355_PPM1G.pdf</v>
      </c>
    </row>
    <row r="1029" spans="1:28" x14ac:dyDescent="0.25">
      <c r="A1029" t="s">
        <v>1033</v>
      </c>
      <c r="B1029">
        <v>0.99987803227770999</v>
      </c>
      <c r="C1029">
        <v>1.1996071459563999</v>
      </c>
      <c r="D1029">
        <v>0.98402691499157102</v>
      </c>
      <c r="E1029">
        <v>0.84480739169024199</v>
      </c>
      <c r="F1029">
        <v>0.34122870810704797</v>
      </c>
      <c r="G1029">
        <v>0.21252247126430199</v>
      </c>
      <c r="H1029">
        <v>0.159233588503289</v>
      </c>
      <c r="I1029">
        <v>0.15159297807271899</v>
      </c>
      <c r="J1029">
        <v>0.120723818369553</v>
      </c>
      <c r="K1029">
        <v>9.7632582956636293E-2</v>
      </c>
      <c r="L1029">
        <v>2293.0739180638702</v>
      </c>
      <c r="M1029">
        <v>44.406530260866198</v>
      </c>
      <c r="N1029">
        <v>52.036504515838203</v>
      </c>
      <c r="O1029">
        <v>51.5338217026395</v>
      </c>
      <c r="P1029">
        <v>-0.18438706122210399</v>
      </c>
      <c r="Q1029">
        <v>0.144075724429202</v>
      </c>
      <c r="R1029">
        <v>0.97347020052136801</v>
      </c>
      <c r="S1029" t="s">
        <v>7340</v>
      </c>
      <c r="T1029" t="s">
        <v>12620</v>
      </c>
      <c r="U1029" t="s">
        <v>12620</v>
      </c>
      <c r="V1029" t="s">
        <v>12620</v>
      </c>
      <c r="W1029" t="s">
        <v>13620</v>
      </c>
      <c r="X1029">
        <v>31</v>
      </c>
      <c r="Y1029" t="s">
        <v>19856</v>
      </c>
      <c r="Z1029" t="s">
        <v>25976</v>
      </c>
      <c r="AA1029">
        <v>0.47859830668474479</v>
      </c>
      <c r="AB1029" t="str">
        <f>HYPERLINK("Melting_Curves/meltCurve_O15357_INPPL1.pdf", "Melting_Curves/meltCurve_O15357_INPPL1.pdf")</f>
        <v>Melting_Curves/meltCurve_O15357_INPPL1.pdf</v>
      </c>
    </row>
    <row r="1030" spans="1:28" x14ac:dyDescent="0.25">
      <c r="A1030" t="s">
        <v>1034</v>
      </c>
      <c r="B1030">
        <v>0.99987803227770999</v>
      </c>
      <c r="C1030">
        <v>0.75412339035860598</v>
      </c>
      <c r="D1030">
        <v>0.99060632585937902</v>
      </c>
      <c r="E1030">
        <v>0.80096321771424595</v>
      </c>
      <c r="F1030">
        <v>1.07155171838342</v>
      </c>
      <c r="G1030">
        <v>0.92305658001675095</v>
      </c>
      <c r="H1030">
        <v>0.96552242221933104</v>
      </c>
      <c r="I1030">
        <v>0.73096605291259797</v>
      </c>
      <c r="J1030">
        <v>0.94311256205305305</v>
      </c>
      <c r="K1030">
        <v>0.66458031931603401</v>
      </c>
      <c r="L1030">
        <v>205.62969182078001</v>
      </c>
      <c r="M1030">
        <v>1.57246710191253</v>
      </c>
      <c r="O1030">
        <v>66.2522829615219</v>
      </c>
      <c r="P1030">
        <v>-6.8487051684802697E-3</v>
      </c>
      <c r="Q1030">
        <v>0</v>
      </c>
      <c r="R1030">
        <v>0.128498205593121</v>
      </c>
      <c r="S1030" t="s">
        <v>7341</v>
      </c>
      <c r="T1030" t="s">
        <v>12620</v>
      </c>
      <c r="U1030" t="s">
        <v>12620</v>
      </c>
      <c r="V1030" t="s">
        <v>12620</v>
      </c>
      <c r="W1030" t="s">
        <v>13621</v>
      </c>
      <c r="X1030">
        <v>2</v>
      </c>
      <c r="Y1030" t="s">
        <v>19857</v>
      </c>
      <c r="Z1030" t="s">
        <v>25977</v>
      </c>
      <c r="AA1030">
        <v>0.89299242211158958</v>
      </c>
      <c r="AB1030" t="str">
        <f>HYPERLINK("Melting_Curves/meltCurve_O15370_SOX12.pdf", "Melting_Curves/meltCurve_O15370_SOX12.pdf")</f>
        <v>Melting_Curves/meltCurve_O15370_SOX12.pdf</v>
      </c>
    </row>
    <row r="1031" spans="1:28" x14ac:dyDescent="0.25">
      <c r="A1031" t="s">
        <v>1035</v>
      </c>
      <c r="B1031">
        <v>0.99987803227770999</v>
      </c>
      <c r="C1031">
        <v>0.91448354519452701</v>
      </c>
      <c r="D1031">
        <v>1.09817739992244</v>
      </c>
      <c r="E1031">
        <v>1.5558990503544401</v>
      </c>
      <c r="F1031">
        <v>1.4732455867395999</v>
      </c>
      <c r="G1031">
        <v>0.91913234076037398</v>
      </c>
      <c r="H1031">
        <v>0.45318928146614801</v>
      </c>
      <c r="I1031">
        <v>0.241172090655249</v>
      </c>
      <c r="J1031">
        <v>0.150689194202628</v>
      </c>
      <c r="K1031">
        <v>0.105337642149366</v>
      </c>
      <c r="L1031">
        <v>2600.6603452143199</v>
      </c>
      <c r="M1031">
        <v>43.114634932874999</v>
      </c>
      <c r="N1031">
        <v>60.764435259965801</v>
      </c>
      <c r="O1031">
        <v>60.190331481463303</v>
      </c>
      <c r="P1031">
        <v>-0.15484466412367501</v>
      </c>
      <c r="Q1031">
        <v>0.13531568176879699</v>
      </c>
      <c r="R1031">
        <v>0.77940801836695195</v>
      </c>
      <c r="S1031" t="s">
        <v>7342</v>
      </c>
      <c r="T1031" t="s">
        <v>12620</v>
      </c>
      <c r="U1031" t="s">
        <v>12620</v>
      </c>
      <c r="V1031" t="s">
        <v>12620</v>
      </c>
      <c r="W1031" t="s">
        <v>13622</v>
      </c>
      <c r="X1031">
        <v>13</v>
      </c>
      <c r="Y1031" t="s">
        <v>19858</v>
      </c>
      <c r="Z1031" t="s">
        <v>25978</v>
      </c>
      <c r="AA1031">
        <v>0.72393798938972875</v>
      </c>
      <c r="AB1031" t="str">
        <f>HYPERLINK("Melting_Curves/meltCurve_O15372_EIF3H.pdf", "Melting_Curves/meltCurve_O15372_EIF3H.pdf")</f>
        <v>Melting_Curves/meltCurve_O15372_EIF3H.pdf</v>
      </c>
    </row>
    <row r="1032" spans="1:28" x14ac:dyDescent="0.25">
      <c r="A1032" t="s">
        <v>1036</v>
      </c>
      <c r="B1032">
        <v>0.99987803227770999</v>
      </c>
      <c r="C1032">
        <v>1.17442339017672</v>
      </c>
      <c r="D1032">
        <v>0.89163399132910004</v>
      </c>
      <c r="E1032">
        <v>1.3045721251276301</v>
      </c>
      <c r="F1032">
        <v>0.79608919378087395</v>
      </c>
      <c r="G1032">
        <v>0.71179137556710503</v>
      </c>
      <c r="H1032">
        <v>0.32910263507763499</v>
      </c>
      <c r="I1032">
        <v>0.16543499190658201</v>
      </c>
      <c r="J1032">
        <v>8.8030957845389807E-2</v>
      </c>
      <c r="K1032">
        <v>5.7805679647616098E-2</v>
      </c>
      <c r="L1032">
        <v>1375.20518471899</v>
      </c>
      <c r="M1032">
        <v>23.368187415247998</v>
      </c>
      <c r="N1032">
        <v>59.039295241001703</v>
      </c>
      <c r="O1032">
        <v>58.423577669216002</v>
      </c>
      <c r="P1032">
        <v>-9.6377668763218696E-2</v>
      </c>
      <c r="Q1032">
        <v>3.6189018748629398E-2</v>
      </c>
      <c r="R1032">
        <v>0.91481480230007095</v>
      </c>
      <c r="S1032" t="s">
        <v>7343</v>
      </c>
      <c r="T1032" t="s">
        <v>12620</v>
      </c>
      <c r="U1032" t="s">
        <v>12620</v>
      </c>
      <c r="V1032" t="s">
        <v>12620</v>
      </c>
      <c r="W1032" t="s">
        <v>13623</v>
      </c>
      <c r="X1032">
        <v>7</v>
      </c>
      <c r="Y1032" t="s">
        <v>19859</v>
      </c>
      <c r="Z1032" t="s">
        <v>25979</v>
      </c>
      <c r="AA1032">
        <v>0.65039446244922317</v>
      </c>
      <c r="AB1032" t="str">
        <f>HYPERLINK("Melting_Curves/meltCurve_O15379_HDAC3.pdf", "Melting_Curves/meltCurve_O15379_HDAC3.pdf")</f>
        <v>Melting_Curves/meltCurve_O15379_HDAC3.pdf</v>
      </c>
    </row>
    <row r="1033" spans="1:28" x14ac:dyDescent="0.25">
      <c r="A1033" t="s">
        <v>1037</v>
      </c>
      <c r="B1033">
        <v>0.99987803227770999</v>
      </c>
      <c r="C1033">
        <v>1.0072496792418599</v>
      </c>
      <c r="D1033">
        <v>1.0317915543346201</v>
      </c>
      <c r="E1033">
        <v>0.98253857328753302</v>
      </c>
      <c r="F1033">
        <v>0.92012072209915996</v>
      </c>
      <c r="G1033">
        <v>0.86151621839269898</v>
      </c>
      <c r="H1033">
        <v>0.64892008663335699</v>
      </c>
      <c r="I1033">
        <v>0.36331157624534999</v>
      </c>
      <c r="J1033">
        <v>0.20085290930253999</v>
      </c>
      <c r="K1033">
        <v>0.117905292832748</v>
      </c>
      <c r="L1033">
        <v>1220.97258484239</v>
      </c>
      <c r="M1033">
        <v>19.546093013516</v>
      </c>
      <c r="N1033">
        <v>62.466327370433802</v>
      </c>
      <c r="O1033">
        <v>61.8234996206033</v>
      </c>
      <c r="P1033">
        <v>-7.9042717618166697E-2</v>
      </c>
      <c r="Q1033">
        <v>0</v>
      </c>
      <c r="R1033">
        <v>0.99517359685444495</v>
      </c>
      <c r="S1033" t="s">
        <v>7344</v>
      </c>
      <c r="T1033" t="s">
        <v>12620</v>
      </c>
      <c r="U1033" t="s">
        <v>12620</v>
      </c>
      <c r="V1033" t="s">
        <v>12620</v>
      </c>
      <c r="W1033" t="s">
        <v>13624</v>
      </c>
      <c r="X1033">
        <v>10</v>
      </c>
      <c r="Y1033" t="s">
        <v>19860</v>
      </c>
      <c r="Z1033" t="s">
        <v>25980</v>
      </c>
      <c r="AA1033">
        <v>0.74987790241770469</v>
      </c>
      <c r="AB1033" t="str">
        <f>HYPERLINK("Melting_Curves/meltCurve_O15382_BCAT2.pdf", "Melting_Curves/meltCurve_O15382_BCAT2.pdf")</f>
        <v>Melting_Curves/meltCurve_O15382_BCAT2.pdf</v>
      </c>
    </row>
    <row r="1034" spans="1:28" x14ac:dyDescent="0.25">
      <c r="A1034" t="s">
        <v>1038</v>
      </c>
      <c r="B1034">
        <v>0.99987803227770999</v>
      </c>
      <c r="C1034">
        <v>1.05061559392408</v>
      </c>
      <c r="D1034">
        <v>0.94520245185482299</v>
      </c>
      <c r="E1034">
        <v>0.99168029692537796</v>
      </c>
      <c r="F1034">
        <v>0.46531463854376798</v>
      </c>
      <c r="G1034">
        <v>0.242625670503783</v>
      </c>
      <c r="H1034">
        <v>0.129521868437282</v>
      </c>
      <c r="I1034">
        <v>0.154963791185668</v>
      </c>
      <c r="J1034">
        <v>0.10914618739847499</v>
      </c>
      <c r="K1034">
        <v>8.5758749403022E-2</v>
      </c>
      <c r="L1034">
        <v>3254.7689331474498</v>
      </c>
      <c r="M1034">
        <v>61.879004509113201</v>
      </c>
      <c r="N1034">
        <v>52.884666174370501</v>
      </c>
      <c r="O1034">
        <v>52.544070222985297</v>
      </c>
      <c r="P1034">
        <v>-0.25257986543181998</v>
      </c>
      <c r="Q1034">
        <v>0.14209549117230699</v>
      </c>
      <c r="R1034">
        <v>0.98808328299027004</v>
      </c>
      <c r="S1034" t="s">
        <v>7345</v>
      </c>
      <c r="T1034" t="s">
        <v>12620</v>
      </c>
      <c r="U1034" t="s">
        <v>12620</v>
      </c>
      <c r="V1034" t="s">
        <v>12620</v>
      </c>
      <c r="W1034" t="s">
        <v>13625</v>
      </c>
      <c r="X1034">
        <v>15</v>
      </c>
      <c r="Y1034" t="s">
        <v>19861</v>
      </c>
      <c r="Z1034" t="s">
        <v>25981</v>
      </c>
      <c r="AA1034">
        <v>0.50368161972429737</v>
      </c>
      <c r="AB1034" t="str">
        <f>HYPERLINK("Melting_Curves/meltCurve_O15397_IPO8.pdf", "Melting_Curves/meltCurve_O15397_IPO8.pdf")</f>
        <v>Melting_Curves/meltCurve_O15397_IPO8.pdf</v>
      </c>
    </row>
    <row r="1035" spans="1:28" x14ac:dyDescent="0.25">
      <c r="A1035" t="s">
        <v>1039</v>
      </c>
      <c r="B1035">
        <v>0.99987803227770999</v>
      </c>
      <c r="C1035">
        <v>0.83206147672462105</v>
      </c>
      <c r="D1035">
        <v>0.94160868758052196</v>
      </c>
      <c r="E1035">
        <v>0.79249331816705404</v>
      </c>
      <c r="F1035">
        <v>0.90998267284850298</v>
      </c>
      <c r="G1035">
        <v>0.76400543607676097</v>
      </c>
      <c r="H1035">
        <v>0.88407295511402695</v>
      </c>
      <c r="I1035">
        <v>0.75233635953204603</v>
      </c>
      <c r="J1035">
        <v>0.78210263765554799</v>
      </c>
      <c r="K1035">
        <v>0.68329396434285505</v>
      </c>
      <c r="L1035">
        <v>158.36339177108599</v>
      </c>
      <c r="M1035">
        <v>1.2595539241515199</v>
      </c>
      <c r="O1035">
        <v>54.073932731481499</v>
      </c>
      <c r="P1035">
        <v>-7.2254184199754198E-3</v>
      </c>
      <c r="Q1035">
        <v>0</v>
      </c>
      <c r="R1035">
        <v>0.55236513910597296</v>
      </c>
      <c r="S1035" t="s">
        <v>7346</v>
      </c>
      <c r="T1035" t="s">
        <v>12620</v>
      </c>
      <c r="U1035" t="s">
        <v>12620</v>
      </c>
      <c r="V1035" t="s">
        <v>12620</v>
      </c>
      <c r="W1035" t="s">
        <v>13626</v>
      </c>
      <c r="X1035">
        <v>8</v>
      </c>
      <c r="Y1035" t="s">
        <v>19862</v>
      </c>
      <c r="Z1035" t="s">
        <v>25982</v>
      </c>
      <c r="AA1035">
        <v>0.83480862327525263</v>
      </c>
      <c r="AB1035" t="str">
        <f>HYPERLINK("Melting_Curves/meltCurve_O15400_2_STX7.pdf", "Melting_Curves/meltCurve_O15400_2_STX7.pdf")</f>
        <v>Melting_Curves/meltCurve_O15400_2_STX7.pdf</v>
      </c>
    </row>
    <row r="1036" spans="1:28" x14ac:dyDescent="0.25">
      <c r="A1036" t="s">
        <v>1040</v>
      </c>
      <c r="B1036">
        <v>0.99987803227770999</v>
      </c>
      <c r="C1036">
        <v>2.00323419977755</v>
      </c>
      <c r="D1036">
        <v>2.8207501546320599</v>
      </c>
      <c r="E1036">
        <v>1.70982138592636</v>
      </c>
      <c r="F1036">
        <v>0.87380713197533399</v>
      </c>
      <c r="G1036">
        <v>1.8248636216438801</v>
      </c>
      <c r="H1036">
        <v>1.9886874589655399</v>
      </c>
      <c r="I1036">
        <v>1.36928742186724</v>
      </c>
      <c r="J1036">
        <v>0.90031151527323094</v>
      </c>
      <c r="K1036">
        <v>0.69458632812133503</v>
      </c>
      <c r="L1036">
        <v>15000</v>
      </c>
      <c r="M1036">
        <v>223.15555008909899</v>
      </c>
      <c r="O1036">
        <v>67.212297877872402</v>
      </c>
      <c r="P1036">
        <v>-0.25354318788077601</v>
      </c>
      <c r="Q1036">
        <v>0.69454099700418903</v>
      </c>
      <c r="R1036">
        <v>-0.63834792797241402</v>
      </c>
      <c r="S1036" t="s">
        <v>7347</v>
      </c>
      <c r="T1036" t="s">
        <v>12620</v>
      </c>
      <c r="U1036" t="s">
        <v>12620</v>
      </c>
      <c r="V1036" t="s">
        <v>12620</v>
      </c>
      <c r="W1036" t="s">
        <v>13627</v>
      </c>
      <c r="X1036">
        <v>2</v>
      </c>
      <c r="Y1036" t="s">
        <v>19863</v>
      </c>
      <c r="Z1036" t="s">
        <v>25983</v>
      </c>
      <c r="AA1036">
        <v>0.97171534041989582</v>
      </c>
      <c r="AB1036" t="str">
        <f>HYPERLINK("Melting_Curves/meltCurve_O15417_2_TNRC18.pdf", "Melting_Curves/meltCurve_O15417_2_TNRC18.pdf")</f>
        <v>Melting_Curves/meltCurve_O15417_2_TNRC18.pdf</v>
      </c>
    </row>
    <row r="1037" spans="1:28" x14ac:dyDescent="0.25">
      <c r="A1037" t="s">
        <v>1041</v>
      </c>
      <c r="B1037">
        <v>0.99987803227770999</v>
      </c>
      <c r="C1037">
        <v>0.99492722203862305</v>
      </c>
      <c r="D1037">
        <v>1.0955074392861901</v>
      </c>
      <c r="E1037">
        <v>1.13117886183452</v>
      </c>
      <c r="F1037">
        <v>1.3688753770967601</v>
      </c>
      <c r="G1037">
        <v>1.4124014001351499</v>
      </c>
      <c r="H1037">
        <v>1.3288314055433099</v>
      </c>
      <c r="I1037">
        <v>1.26019097759969</v>
      </c>
      <c r="J1037">
        <v>1.0165909186987401</v>
      </c>
      <c r="K1037">
        <v>0.82431458420096304</v>
      </c>
      <c r="L1037">
        <v>1894.2579964178401</v>
      </c>
      <c r="M1037">
        <v>41.009420610043001</v>
      </c>
      <c r="O1037">
        <v>46.081372815073102</v>
      </c>
      <c r="P1037">
        <v>4.3083371749099701E-2</v>
      </c>
      <c r="Q1037">
        <v>1.1936469380639601</v>
      </c>
      <c r="R1037">
        <v>0.18442398631280299</v>
      </c>
      <c r="S1037" t="s">
        <v>7348</v>
      </c>
      <c r="T1037" t="s">
        <v>12620</v>
      </c>
      <c r="U1037" t="s">
        <v>12620</v>
      </c>
      <c r="V1037" t="s">
        <v>12620</v>
      </c>
      <c r="W1037" t="s">
        <v>13628</v>
      </c>
      <c r="X1037">
        <v>9</v>
      </c>
      <c r="Y1037" t="s">
        <v>19864</v>
      </c>
      <c r="Z1037" t="s">
        <v>25984</v>
      </c>
      <c r="AA1037">
        <v>1.1530886638887099</v>
      </c>
      <c r="AB1037" t="str">
        <f>HYPERLINK("Melting_Curves/meltCurve_O15446_CD3EAP.pdf", "Melting_Curves/meltCurve_O15446_CD3EAP.pdf")</f>
        <v>Melting_Curves/meltCurve_O15446_CD3EAP.pdf</v>
      </c>
    </row>
    <row r="1038" spans="1:28" x14ac:dyDescent="0.25">
      <c r="A1038" t="s">
        <v>1042</v>
      </c>
      <c r="B1038">
        <v>0.99987803227770999</v>
      </c>
      <c r="C1038">
        <v>1.0702620667338401</v>
      </c>
      <c r="D1038">
        <v>0.81793987417625003</v>
      </c>
      <c r="E1038">
        <v>0.78698988931713199</v>
      </c>
      <c r="F1038">
        <v>0.52801895542006505</v>
      </c>
      <c r="G1038">
        <v>0.37244690300051703</v>
      </c>
      <c r="H1038">
        <v>0.239432777685368</v>
      </c>
      <c r="I1038">
        <v>0.17648464752464799</v>
      </c>
      <c r="J1038">
        <v>0.13539175461991401</v>
      </c>
      <c r="K1038">
        <v>9.9037607396549404E-2</v>
      </c>
      <c r="L1038">
        <v>699.47623378739297</v>
      </c>
      <c r="M1038">
        <v>13.059709258459</v>
      </c>
      <c r="N1038">
        <v>54.201984831523902</v>
      </c>
      <c r="O1038">
        <v>52.350729195684103</v>
      </c>
      <c r="P1038">
        <v>-5.7906480747310897E-2</v>
      </c>
      <c r="Q1038">
        <v>7.1672915100038995E-2</v>
      </c>
      <c r="R1038">
        <v>0.98150056454620405</v>
      </c>
      <c r="S1038" t="s">
        <v>7349</v>
      </c>
      <c r="T1038" t="s">
        <v>12620</v>
      </c>
      <c r="U1038" t="s">
        <v>12620</v>
      </c>
      <c r="V1038" t="s">
        <v>12620</v>
      </c>
      <c r="W1038" t="s">
        <v>13629</v>
      </c>
      <c r="X1038">
        <v>8</v>
      </c>
      <c r="Y1038" t="s">
        <v>19865</v>
      </c>
      <c r="Z1038" t="s">
        <v>25985</v>
      </c>
      <c r="AA1038">
        <v>0.51432867806842009</v>
      </c>
      <c r="AB1038" t="str">
        <f>HYPERLINK("Melting_Curves/meltCurve_O15460_2_P4HA2.pdf", "Melting_Curves/meltCurve_O15460_2_P4HA2.pdf")</f>
        <v>Melting_Curves/meltCurve_O15460_2_P4HA2.pdf</v>
      </c>
    </row>
    <row r="1039" spans="1:28" x14ac:dyDescent="0.25">
      <c r="A1039" t="s">
        <v>1043</v>
      </c>
      <c r="B1039">
        <v>0.99987803227770999</v>
      </c>
      <c r="C1039">
        <v>0.81195552610411104</v>
      </c>
      <c r="D1039">
        <v>0.98692311480311601</v>
      </c>
      <c r="E1039">
        <v>0.80648812822917604</v>
      </c>
      <c r="F1039">
        <v>1.1891847926724199</v>
      </c>
      <c r="G1039">
        <v>1.01761844641642</v>
      </c>
      <c r="H1039">
        <v>0.74950524418946396</v>
      </c>
      <c r="I1039">
        <v>0.28302893692824699</v>
      </c>
      <c r="J1039">
        <v>9.7511012043343198E-2</v>
      </c>
      <c r="K1039">
        <v>7.06071239991512E-2</v>
      </c>
      <c r="L1039">
        <v>2936.49842046703</v>
      </c>
      <c r="M1039">
        <v>47.103390956778703</v>
      </c>
      <c r="N1039">
        <v>62.528220981504298</v>
      </c>
      <c r="O1039">
        <v>62.229495512179099</v>
      </c>
      <c r="P1039">
        <v>-0.17682082076144701</v>
      </c>
      <c r="Q1039">
        <v>6.5590958699384402E-2</v>
      </c>
      <c r="R1039">
        <v>0.92543410665440495</v>
      </c>
      <c r="S1039" t="s">
        <v>7350</v>
      </c>
      <c r="T1039" t="s">
        <v>12620</v>
      </c>
      <c r="U1039" t="s">
        <v>12620</v>
      </c>
      <c r="V1039" t="s">
        <v>12620</v>
      </c>
      <c r="W1039" t="s">
        <v>13630</v>
      </c>
      <c r="X1039">
        <v>11</v>
      </c>
      <c r="Y1039" t="s">
        <v>19866</v>
      </c>
      <c r="Z1039" t="s">
        <v>25986</v>
      </c>
      <c r="AA1039">
        <v>0.76404491644048789</v>
      </c>
      <c r="AB1039" t="str">
        <f>HYPERLINK("Melting_Curves/meltCurve_O15498_YKT6.pdf", "Melting_Curves/meltCurve_O15498_YKT6.pdf")</f>
        <v>Melting_Curves/meltCurve_O15498_YKT6.pdf</v>
      </c>
    </row>
    <row r="1040" spans="1:28" x14ac:dyDescent="0.25">
      <c r="A1040" t="s">
        <v>1044</v>
      </c>
      <c r="B1040">
        <v>0.99987803227770999</v>
      </c>
      <c r="C1040">
        <v>1.13297821473</v>
      </c>
      <c r="D1040">
        <v>0.90252652982303105</v>
      </c>
      <c r="E1040">
        <v>1.28324577834105</v>
      </c>
      <c r="F1040">
        <v>0.92576449341528899</v>
      </c>
      <c r="G1040">
        <v>0.94444261042008804</v>
      </c>
      <c r="H1040">
        <v>0.66145568534900401</v>
      </c>
      <c r="I1040">
        <v>0.36168740906407498</v>
      </c>
      <c r="J1040">
        <v>0.189422782135685</v>
      </c>
      <c r="K1040">
        <v>0.10690436809892601</v>
      </c>
      <c r="L1040">
        <v>1762.7065941088299</v>
      </c>
      <c r="M1040">
        <v>28.332867886753299</v>
      </c>
      <c r="N1040">
        <v>62.568207201807397</v>
      </c>
      <c r="O1040">
        <v>61.906741293728103</v>
      </c>
      <c r="P1040">
        <v>-0.105944729080564</v>
      </c>
      <c r="Q1040">
        <v>7.4059241760025096E-2</v>
      </c>
      <c r="R1040">
        <v>0.92345997541198799</v>
      </c>
      <c r="S1040" t="s">
        <v>7351</v>
      </c>
      <c r="T1040" t="s">
        <v>12620</v>
      </c>
      <c r="U1040" t="s">
        <v>12620</v>
      </c>
      <c r="V1040" t="s">
        <v>12620</v>
      </c>
      <c r="W1040" t="s">
        <v>13631</v>
      </c>
      <c r="X1040">
        <v>11</v>
      </c>
      <c r="Y1040" t="s">
        <v>19867</v>
      </c>
      <c r="Z1040" t="s">
        <v>25987</v>
      </c>
      <c r="AA1040">
        <v>0.76377885373234367</v>
      </c>
      <c r="AB1040" t="str">
        <f>HYPERLINK("Melting_Curves/meltCurve_O15511_ARPC5.pdf", "Melting_Curves/meltCurve_O15511_ARPC5.pdf")</f>
        <v>Melting_Curves/meltCurve_O15511_ARPC5.pdf</v>
      </c>
    </row>
    <row r="1041" spans="1:28" x14ac:dyDescent="0.25">
      <c r="A1041" t="s">
        <v>1045</v>
      </c>
      <c r="B1041">
        <v>0.99987803227770999</v>
      </c>
      <c r="C1041">
        <v>0.90597336738808398</v>
      </c>
      <c r="D1041">
        <v>1.00262113457727</v>
      </c>
      <c r="E1041">
        <v>1.0057060786385701</v>
      </c>
      <c r="F1041">
        <v>1.1913659920028301</v>
      </c>
      <c r="G1041">
        <v>1.0113193737918</v>
      </c>
      <c r="H1041">
        <v>0.91216011230159799</v>
      </c>
      <c r="I1041">
        <v>0.737406447330617</v>
      </c>
      <c r="J1041">
        <v>0.39118290284517598</v>
      </c>
      <c r="K1041">
        <v>0.309344182765251</v>
      </c>
      <c r="L1041">
        <v>2679.6803051912998</v>
      </c>
      <c r="M1041">
        <v>41.409668259674604</v>
      </c>
      <c r="N1041">
        <v>65.932942364361395</v>
      </c>
      <c r="O1041">
        <v>64.5610990097246</v>
      </c>
      <c r="P1041">
        <v>-0.117403505533528</v>
      </c>
      <c r="Q1041">
        <v>0.26783421819123299</v>
      </c>
      <c r="R1041">
        <v>0.93499757799576799</v>
      </c>
      <c r="S1041" t="s">
        <v>7352</v>
      </c>
      <c r="T1041" t="s">
        <v>12620</v>
      </c>
      <c r="U1041" t="s">
        <v>12620</v>
      </c>
      <c r="V1041" t="s">
        <v>12620</v>
      </c>
      <c r="W1041" t="s">
        <v>13632</v>
      </c>
      <c r="X1041">
        <v>12</v>
      </c>
      <c r="Y1041" t="s">
        <v>19868</v>
      </c>
      <c r="Z1041" t="s">
        <v>25988</v>
      </c>
      <c r="AA1041">
        <v>0.8719631742059869</v>
      </c>
      <c r="AB1041" t="str">
        <f>HYPERLINK("Melting_Curves/meltCurve_O15514_POLR2D.pdf", "Melting_Curves/meltCurve_O15514_POLR2D.pdf")</f>
        <v>Melting_Curves/meltCurve_O15514_POLR2D.pdf</v>
      </c>
    </row>
    <row r="1042" spans="1:28" x14ac:dyDescent="0.25">
      <c r="A1042" t="s">
        <v>1046</v>
      </c>
      <c r="B1042">
        <v>0.99987803227770999</v>
      </c>
      <c r="C1042">
        <v>0.84635628883856895</v>
      </c>
      <c r="D1042">
        <v>0.91083271951294797</v>
      </c>
      <c r="E1042">
        <v>0.94834425593966698</v>
      </c>
      <c r="F1042">
        <v>1.1543046958330401</v>
      </c>
      <c r="G1042">
        <v>1.04925232501119</v>
      </c>
      <c r="H1042">
        <v>1.0038836156594599</v>
      </c>
      <c r="I1042">
        <v>1.0886367378088</v>
      </c>
      <c r="J1042">
        <v>0.81786704603032401</v>
      </c>
      <c r="K1042">
        <v>0.71759708090608898</v>
      </c>
      <c r="L1042">
        <v>15000</v>
      </c>
      <c r="M1042">
        <v>224.47698059784301</v>
      </c>
      <c r="O1042">
        <v>66.816683819120001</v>
      </c>
      <c r="P1042">
        <v>-0.237205500347346</v>
      </c>
      <c r="Q1042">
        <v>0.71757839998647099</v>
      </c>
      <c r="R1042">
        <v>0.57241076945632496</v>
      </c>
      <c r="S1042" t="s">
        <v>7353</v>
      </c>
      <c r="T1042" t="s">
        <v>12620</v>
      </c>
      <c r="U1042" t="s">
        <v>12620</v>
      </c>
      <c r="V1042" t="s">
        <v>12620</v>
      </c>
      <c r="W1042" t="s">
        <v>13633</v>
      </c>
      <c r="X1042">
        <v>28</v>
      </c>
      <c r="Y1042" t="s">
        <v>19869</v>
      </c>
      <c r="Z1042" t="s">
        <v>25989</v>
      </c>
      <c r="AA1042">
        <v>0.97012307052053626</v>
      </c>
      <c r="AB1042" t="str">
        <f>HYPERLINK("Melting_Curves/meltCurve_O15523_DDX3Y.pdf", "Melting_Curves/meltCurve_O15523_DDX3Y.pdf")</f>
        <v>Melting_Curves/meltCurve_O15523_DDX3Y.pdf</v>
      </c>
    </row>
    <row r="1043" spans="1:28" x14ac:dyDescent="0.25">
      <c r="A1043" t="s">
        <v>1047</v>
      </c>
      <c r="B1043">
        <v>0.99987803227770999</v>
      </c>
      <c r="C1043">
        <v>0.90945583456859402</v>
      </c>
      <c r="D1043">
        <v>1.0230465987228401</v>
      </c>
      <c r="E1043">
        <v>0.94053327837047296</v>
      </c>
      <c r="F1043">
        <v>1.07306051933421</v>
      </c>
      <c r="G1043">
        <v>0.90596461175966503</v>
      </c>
      <c r="H1043">
        <v>0.97588856295085702</v>
      </c>
      <c r="I1043">
        <v>0.98853719041926302</v>
      </c>
      <c r="J1043">
        <v>0.95077101808143405</v>
      </c>
      <c r="K1043">
        <v>0.78632065799256101</v>
      </c>
      <c r="L1043">
        <v>2466.0846572885198</v>
      </c>
      <c r="M1043">
        <v>33.922380820686897</v>
      </c>
      <c r="Q1043">
        <v>0</v>
      </c>
      <c r="R1043">
        <v>0.51251561506875698</v>
      </c>
      <c r="S1043" t="s">
        <v>7354</v>
      </c>
      <c r="T1043" t="s">
        <v>12620</v>
      </c>
      <c r="U1043" t="s">
        <v>12620</v>
      </c>
      <c r="V1043" t="s">
        <v>12620</v>
      </c>
      <c r="W1043" t="s">
        <v>13634</v>
      </c>
      <c r="X1043">
        <v>14</v>
      </c>
      <c r="Y1043" t="s">
        <v>19870</v>
      </c>
      <c r="Z1043" t="s">
        <v>25990</v>
      </c>
      <c r="AA1043">
        <v>0.98502238503672401</v>
      </c>
      <c r="AB1043" t="str">
        <f>HYPERLINK("Melting_Curves/meltCurve_O15541_RNF113A.pdf", "Melting_Curves/meltCurve_O15541_RNF113A.pdf")</f>
        <v>Melting_Curves/meltCurve_O15541_RNF113A.pdf</v>
      </c>
    </row>
    <row r="1044" spans="1:28" x14ac:dyDescent="0.25">
      <c r="A1044" t="s">
        <v>1048</v>
      </c>
      <c r="B1044">
        <v>0.99987803227770999</v>
      </c>
      <c r="C1044">
        <v>1.07671578934098</v>
      </c>
      <c r="D1044">
        <v>1.0155924407821899</v>
      </c>
      <c r="E1044">
        <v>1.15341641540465</v>
      </c>
      <c r="F1044">
        <v>1.0155846663810499</v>
      </c>
      <c r="G1044">
        <v>0.76828223990328004</v>
      </c>
      <c r="H1044">
        <v>0.25665287602141901</v>
      </c>
      <c r="I1044">
        <v>0.14929296793097399</v>
      </c>
      <c r="J1044">
        <v>9.7028629047749199E-2</v>
      </c>
      <c r="K1044">
        <v>6.82170203118002E-2</v>
      </c>
      <c r="L1044">
        <v>2239.05210726923</v>
      </c>
      <c r="M1044">
        <v>38.168057833162997</v>
      </c>
      <c r="N1044">
        <v>58.962414644818701</v>
      </c>
      <c r="O1044">
        <v>58.502642285239702</v>
      </c>
      <c r="P1044">
        <v>-0.14873470521333301</v>
      </c>
      <c r="Q1044">
        <v>8.8101201022901005E-2</v>
      </c>
      <c r="R1044">
        <v>0.98297982927188399</v>
      </c>
      <c r="S1044" t="s">
        <v>7355</v>
      </c>
      <c r="T1044" t="s">
        <v>12620</v>
      </c>
      <c r="U1044" t="s">
        <v>12620</v>
      </c>
      <c r="V1044" t="s">
        <v>12620</v>
      </c>
      <c r="W1044" t="s">
        <v>13635</v>
      </c>
      <c r="X1044">
        <v>42</v>
      </c>
      <c r="Y1044" t="s">
        <v>19871</v>
      </c>
      <c r="Z1044" t="s">
        <v>25991</v>
      </c>
      <c r="AA1044">
        <v>0.65931194593860865</v>
      </c>
      <c r="AB1044" t="str">
        <f>HYPERLINK("Melting_Curves/meltCurve_O43143_DHX15.pdf", "Melting_Curves/meltCurve_O43143_DHX15.pdf")</f>
        <v>Melting_Curves/meltCurve_O43143_DHX15.pdf</v>
      </c>
    </row>
    <row r="1045" spans="1:28" x14ac:dyDescent="0.25">
      <c r="A1045" t="s">
        <v>1049</v>
      </c>
      <c r="B1045">
        <v>0.99987803227770999</v>
      </c>
      <c r="C1045">
        <v>1.02379847609088</v>
      </c>
      <c r="D1045">
        <v>1.0211586962079</v>
      </c>
      <c r="E1045">
        <v>1.0805024158860901</v>
      </c>
      <c r="F1045">
        <v>0.87789615186220704</v>
      </c>
      <c r="G1045">
        <v>0.47030603915963998</v>
      </c>
      <c r="H1045">
        <v>0.23871072505956201</v>
      </c>
      <c r="I1045">
        <v>0.20158959568978099</v>
      </c>
      <c r="J1045">
        <v>0.20503281535693299</v>
      </c>
      <c r="K1045">
        <v>0.15627779169014699</v>
      </c>
      <c r="L1045">
        <v>1938.40403492104</v>
      </c>
      <c r="M1045">
        <v>34.6320123713977</v>
      </c>
      <c r="N1045">
        <v>56.731245753725602</v>
      </c>
      <c r="O1045">
        <v>55.785815557578999</v>
      </c>
      <c r="P1045">
        <v>-0.12640158029116999</v>
      </c>
      <c r="Q1045">
        <v>0.18556402036058101</v>
      </c>
      <c r="R1045">
        <v>0.99225560130870705</v>
      </c>
      <c r="S1045" t="s">
        <v>7356</v>
      </c>
      <c r="T1045" t="s">
        <v>12620</v>
      </c>
      <c r="U1045" t="s">
        <v>12620</v>
      </c>
      <c r="V1045" t="s">
        <v>12620</v>
      </c>
      <c r="W1045" t="s">
        <v>13636</v>
      </c>
      <c r="X1045">
        <v>16</v>
      </c>
      <c r="Y1045" t="s">
        <v>19872</v>
      </c>
      <c r="Z1045" t="s">
        <v>25992</v>
      </c>
      <c r="AA1045">
        <v>0.62330041257195801</v>
      </c>
      <c r="AB1045" t="str">
        <f>HYPERLINK("Melting_Curves/meltCurve_O43148_RNMT.pdf", "Melting_Curves/meltCurve_O43148_RNMT.pdf")</f>
        <v>Melting_Curves/meltCurve_O43148_RNMT.pdf</v>
      </c>
    </row>
    <row r="1046" spans="1:28" x14ac:dyDescent="0.25">
      <c r="A1046" t="s">
        <v>1050</v>
      </c>
      <c r="B1046">
        <v>0.99987803227770999</v>
      </c>
      <c r="C1046">
        <v>0.839662719689241</v>
      </c>
      <c r="D1046">
        <v>0.80228836556633198</v>
      </c>
      <c r="E1046">
        <v>1.49481297824684</v>
      </c>
      <c r="F1046">
        <v>0.95212642281631199</v>
      </c>
      <c r="G1046">
        <v>0.40308157068592398</v>
      </c>
      <c r="H1046">
        <v>0.203626075838582</v>
      </c>
      <c r="I1046">
        <v>0.18178590052659299</v>
      </c>
      <c r="J1046">
        <v>0.136440693793833</v>
      </c>
      <c r="K1046">
        <v>7.8185310722642204E-2</v>
      </c>
      <c r="L1046">
        <v>3064.13566115412</v>
      </c>
      <c r="M1046">
        <v>54.582825397038803</v>
      </c>
      <c r="N1046">
        <v>56.495640815788803</v>
      </c>
      <c r="O1046">
        <v>56.062173568852003</v>
      </c>
      <c r="P1046">
        <v>-0.207794084171427</v>
      </c>
      <c r="Q1046">
        <v>0.14629721046969699</v>
      </c>
      <c r="R1046">
        <v>0.84362802813336801</v>
      </c>
      <c r="S1046" t="s">
        <v>7357</v>
      </c>
      <c r="T1046" t="s">
        <v>12620</v>
      </c>
      <c r="U1046" t="s">
        <v>12620</v>
      </c>
      <c r="V1046" t="s">
        <v>12620</v>
      </c>
      <c r="W1046" t="s">
        <v>13637</v>
      </c>
      <c r="X1046">
        <v>10</v>
      </c>
      <c r="Y1046" t="s">
        <v>19873</v>
      </c>
      <c r="Z1046" t="s">
        <v>25993</v>
      </c>
      <c r="AA1046">
        <v>0.60728548063514154</v>
      </c>
      <c r="AB1046" t="str">
        <f>HYPERLINK("Melting_Curves/meltCurve_O43149_ZZEF1.pdf", "Melting_Curves/meltCurve_O43149_ZZEF1.pdf")</f>
        <v>Melting_Curves/meltCurve_O43149_ZZEF1.pdf</v>
      </c>
    </row>
    <row r="1047" spans="1:28" x14ac:dyDescent="0.25">
      <c r="A1047" t="s">
        <v>1051</v>
      </c>
      <c r="B1047">
        <v>0.99987803227770999</v>
      </c>
      <c r="C1047">
        <v>1.13718072689561</v>
      </c>
      <c r="D1047">
        <v>0.994406256124308</v>
      </c>
      <c r="E1047">
        <v>0.89901249886115797</v>
      </c>
      <c r="F1047">
        <v>0.331469398487723</v>
      </c>
      <c r="G1047">
        <v>0.23702491325571501</v>
      </c>
      <c r="H1047">
        <v>0.178238148508679</v>
      </c>
      <c r="I1047">
        <v>0.14347982440815299</v>
      </c>
      <c r="J1047">
        <v>0.121315903516327</v>
      </c>
      <c r="K1047">
        <v>8.2829672440302607E-2</v>
      </c>
      <c r="L1047">
        <v>2823.1995278832101</v>
      </c>
      <c r="M1047">
        <v>54.525736365022901</v>
      </c>
      <c r="N1047">
        <v>52.1192440060262</v>
      </c>
      <c r="O1047">
        <v>51.7078663142876</v>
      </c>
      <c r="P1047">
        <v>-0.22399029122988601</v>
      </c>
      <c r="Q1047">
        <v>0.15034224337955701</v>
      </c>
      <c r="R1047">
        <v>0.98139374612522901</v>
      </c>
      <c r="S1047" t="s">
        <v>7358</v>
      </c>
      <c r="T1047" t="s">
        <v>12620</v>
      </c>
      <c r="U1047" t="s">
        <v>12620</v>
      </c>
      <c r="V1047" t="s">
        <v>12620</v>
      </c>
      <c r="W1047" t="s">
        <v>13638</v>
      </c>
      <c r="X1047">
        <v>15</v>
      </c>
      <c r="Y1047" t="s">
        <v>19874</v>
      </c>
      <c r="Z1047" t="s">
        <v>25994</v>
      </c>
      <c r="AA1047">
        <v>0.48553048093775147</v>
      </c>
      <c r="AB1047" t="str">
        <f>HYPERLINK("Melting_Curves/meltCurve_O43150_ASAP2.pdf", "Melting_Curves/meltCurve_O43150_ASAP2.pdf")</f>
        <v>Melting_Curves/meltCurve_O43150_ASAP2.pdf</v>
      </c>
    </row>
    <row r="1048" spans="1:28" x14ac:dyDescent="0.25">
      <c r="A1048" t="s">
        <v>1052</v>
      </c>
      <c r="B1048">
        <v>0.99987803227770999</v>
      </c>
      <c r="C1048">
        <v>0.76178715077863202</v>
      </c>
      <c r="D1048">
        <v>0.58137086995341103</v>
      </c>
      <c r="E1048">
        <v>0.45320207990859701</v>
      </c>
      <c r="F1048">
        <v>0.230380669594694</v>
      </c>
      <c r="G1048">
        <v>0.110420925543712</v>
      </c>
      <c r="H1048">
        <v>6.5698640505976499E-2</v>
      </c>
      <c r="I1048">
        <v>4.8657620110776303E-2</v>
      </c>
      <c r="J1048">
        <v>5.8583171896159601E-2</v>
      </c>
      <c r="K1048">
        <v>3.51005222692043E-2</v>
      </c>
      <c r="L1048">
        <v>581.10749298188</v>
      </c>
      <c r="M1048">
        <v>12.1317617507774</v>
      </c>
      <c r="N1048">
        <v>47.976800861888997</v>
      </c>
      <c r="O1048">
        <v>46.653929221236702</v>
      </c>
      <c r="P1048">
        <v>-6.4396458552680794E-2</v>
      </c>
      <c r="Q1048">
        <v>9.6562099669273496E-3</v>
      </c>
      <c r="R1048">
        <v>0.98398702372203095</v>
      </c>
      <c r="S1048" t="s">
        <v>7359</v>
      </c>
      <c r="T1048" t="s">
        <v>12620</v>
      </c>
      <c r="U1048" t="s">
        <v>12620</v>
      </c>
      <c r="V1048" t="s">
        <v>12620</v>
      </c>
      <c r="W1048" t="s">
        <v>13639</v>
      </c>
      <c r="X1048">
        <v>3</v>
      </c>
      <c r="Y1048" t="s">
        <v>19875</v>
      </c>
      <c r="Z1048" t="s">
        <v>25995</v>
      </c>
      <c r="AA1048">
        <v>0.30869937012992382</v>
      </c>
      <c r="AB1048" t="str">
        <f>HYPERLINK("Melting_Curves/meltCurve_O43156_TTI1.pdf", "Melting_Curves/meltCurve_O43156_TTI1.pdf")</f>
        <v>Melting_Curves/meltCurve_O43156_TTI1.pdf</v>
      </c>
    </row>
    <row r="1049" spans="1:28" x14ac:dyDescent="0.25">
      <c r="A1049" t="s">
        <v>1053</v>
      </c>
      <c r="B1049">
        <v>0.99987803227770999</v>
      </c>
      <c r="C1049">
        <v>0.79831959196785895</v>
      </c>
      <c r="D1049">
        <v>0.92621445935817703</v>
      </c>
      <c r="E1049">
        <v>0.75783018483831699</v>
      </c>
      <c r="F1049">
        <v>0.888855670982165</v>
      </c>
      <c r="G1049">
        <v>0.56333937379946997</v>
      </c>
      <c r="H1049">
        <v>0.592624401240883</v>
      </c>
      <c r="I1049">
        <v>0.52608549392706705</v>
      </c>
      <c r="J1049">
        <v>0.60866817948637297</v>
      </c>
      <c r="K1049">
        <v>0.49298972996712798</v>
      </c>
      <c r="L1049">
        <v>351.85364481253703</v>
      </c>
      <c r="M1049">
        <v>6.2772020298952098</v>
      </c>
      <c r="O1049">
        <v>51.169716888598202</v>
      </c>
      <c r="P1049">
        <v>-1.9452921831309901E-2</v>
      </c>
      <c r="Q1049">
        <v>0.36744671126482997</v>
      </c>
      <c r="R1049">
        <v>0.79314441717406203</v>
      </c>
      <c r="S1049" t="s">
        <v>7360</v>
      </c>
      <c r="T1049" t="s">
        <v>12620</v>
      </c>
      <c r="U1049" t="s">
        <v>12620</v>
      </c>
      <c r="V1049" t="s">
        <v>12620</v>
      </c>
      <c r="W1049" t="s">
        <v>13640</v>
      </c>
      <c r="X1049">
        <v>2</v>
      </c>
      <c r="Y1049" t="s">
        <v>19876</v>
      </c>
      <c r="Z1049" t="s">
        <v>25996</v>
      </c>
      <c r="AA1049">
        <v>0.71562696380392166</v>
      </c>
      <c r="AB1049" t="str">
        <f>HYPERLINK("Melting_Curves/meltCurve_O43159_RRP8.pdf", "Melting_Curves/meltCurve_O43159_RRP8.pdf")</f>
        <v>Melting_Curves/meltCurve_O43159_RRP8.pdf</v>
      </c>
    </row>
    <row r="1050" spans="1:28" x14ac:dyDescent="0.25">
      <c r="A1050" t="s">
        <v>1054</v>
      </c>
      <c r="B1050">
        <v>0.99987803227770999</v>
      </c>
      <c r="C1050">
        <v>0.88134100705631002</v>
      </c>
      <c r="D1050">
        <v>0.94848139046982505</v>
      </c>
      <c r="E1050">
        <v>0.89512326575336099</v>
      </c>
      <c r="F1050">
        <v>0.98749021111005597</v>
      </c>
      <c r="G1050">
        <v>0.85967899909508705</v>
      </c>
      <c r="H1050">
        <v>1.0011542052278399</v>
      </c>
      <c r="I1050">
        <v>0.95633772364968295</v>
      </c>
      <c r="J1050">
        <v>0.98798782139465602</v>
      </c>
      <c r="K1050">
        <v>0.79608934062945402</v>
      </c>
      <c r="L1050">
        <v>10229.856935034801</v>
      </c>
      <c r="M1050">
        <v>250</v>
      </c>
      <c r="O1050">
        <v>40.916811089522497</v>
      </c>
      <c r="P1050">
        <v>-0.116482279395466</v>
      </c>
      <c r="Q1050">
        <v>0.92374266892680301</v>
      </c>
      <c r="R1050">
        <v>0.118318604216438</v>
      </c>
      <c r="S1050" t="s">
        <v>7361</v>
      </c>
      <c r="T1050" t="s">
        <v>12620</v>
      </c>
      <c r="U1050" t="s">
        <v>12620</v>
      </c>
      <c r="V1050" t="s">
        <v>12620</v>
      </c>
      <c r="W1050" t="s">
        <v>13641</v>
      </c>
      <c r="X1050">
        <v>4</v>
      </c>
      <c r="Y1050" t="s">
        <v>19877</v>
      </c>
      <c r="Z1050" t="s">
        <v>25997</v>
      </c>
      <c r="AA1050">
        <v>0.92608650678216264</v>
      </c>
      <c r="AB1050" t="str">
        <f>HYPERLINK("Melting_Curves/meltCurve_O43164_2_PJA2.pdf", "Melting_Curves/meltCurve_O43164_2_PJA2.pdf")</f>
        <v>Melting_Curves/meltCurve_O43164_2_PJA2.pdf</v>
      </c>
    </row>
    <row r="1051" spans="1:28" x14ac:dyDescent="0.25">
      <c r="A1051" t="s">
        <v>1055</v>
      </c>
      <c r="B1051">
        <v>0.99987803227770999</v>
      </c>
      <c r="C1051">
        <v>1.03654995168201</v>
      </c>
      <c r="D1051">
        <v>1.1559090609040601</v>
      </c>
      <c r="E1051">
        <v>1.2377909478581299</v>
      </c>
      <c r="F1051">
        <v>0.83691903865135897</v>
      </c>
      <c r="G1051">
        <v>0.362370901106151</v>
      </c>
      <c r="H1051">
        <v>0.19303820394232499</v>
      </c>
      <c r="I1051">
        <v>0.140264584248668</v>
      </c>
      <c r="J1051">
        <v>0.125612593784827</v>
      </c>
      <c r="K1051">
        <v>8.93400316076184E-2</v>
      </c>
      <c r="L1051">
        <v>2175.6263961274199</v>
      </c>
      <c r="M1051">
        <v>39.200801077242303</v>
      </c>
      <c r="N1051">
        <v>55.9261303709808</v>
      </c>
      <c r="O1051">
        <v>55.355688429188497</v>
      </c>
      <c r="P1051">
        <v>-0.154162203510778</v>
      </c>
      <c r="Q1051">
        <v>0.12922826824244199</v>
      </c>
      <c r="R1051">
        <v>0.95432933329763203</v>
      </c>
      <c r="S1051" t="s">
        <v>7362</v>
      </c>
      <c r="T1051" t="s">
        <v>12620</v>
      </c>
      <c r="U1051" t="s">
        <v>12620</v>
      </c>
      <c r="V1051" t="s">
        <v>12620</v>
      </c>
      <c r="W1051" t="s">
        <v>13642</v>
      </c>
      <c r="X1051">
        <v>12</v>
      </c>
      <c r="Y1051" t="s">
        <v>19878</v>
      </c>
      <c r="Z1051" t="s">
        <v>25998</v>
      </c>
      <c r="AA1051">
        <v>0.58257320632207921</v>
      </c>
      <c r="AB1051" t="str">
        <f>HYPERLINK("Melting_Curves/meltCurve_O43172_2_PRPF4.pdf", "Melting_Curves/meltCurve_O43172_2_PRPF4.pdf")</f>
        <v>Melting_Curves/meltCurve_O43172_2_PRPF4.pdf</v>
      </c>
    </row>
    <row r="1052" spans="1:28" x14ac:dyDescent="0.25">
      <c r="A1052" t="s">
        <v>1056</v>
      </c>
      <c r="B1052">
        <v>0.99987803227770999</v>
      </c>
      <c r="C1052">
        <v>1.1674653584921599</v>
      </c>
      <c r="D1052">
        <v>0.82711013280172396</v>
      </c>
      <c r="E1052">
        <v>0.95778439349884803</v>
      </c>
      <c r="F1052">
        <v>0.58909946211251196</v>
      </c>
      <c r="G1052">
        <v>0.43112766835358202</v>
      </c>
      <c r="H1052">
        <v>0.10564429504151</v>
      </c>
      <c r="I1052">
        <v>6.7444450482718202E-2</v>
      </c>
      <c r="J1052">
        <v>4.4766039630064099E-2</v>
      </c>
      <c r="K1052">
        <v>3.3321314152993602E-2</v>
      </c>
      <c r="L1052">
        <v>984.34901549075403</v>
      </c>
      <c r="M1052">
        <v>17.849396532125301</v>
      </c>
      <c r="N1052">
        <v>55.147467195183602</v>
      </c>
      <c r="O1052">
        <v>54.469244457857201</v>
      </c>
      <c r="P1052">
        <v>-8.1928375798656694E-2</v>
      </c>
      <c r="Q1052">
        <v>0</v>
      </c>
      <c r="R1052">
        <v>0.95805398764191796</v>
      </c>
      <c r="S1052" t="s">
        <v>7363</v>
      </c>
      <c r="T1052" t="s">
        <v>12620</v>
      </c>
      <c r="U1052" t="s">
        <v>12620</v>
      </c>
      <c r="V1052" t="s">
        <v>12620</v>
      </c>
      <c r="W1052" t="s">
        <v>13643</v>
      </c>
      <c r="X1052">
        <v>28</v>
      </c>
      <c r="Y1052" t="s">
        <v>19879</v>
      </c>
      <c r="Z1052" t="s">
        <v>25999</v>
      </c>
      <c r="AA1052">
        <v>0.52046272871729415</v>
      </c>
      <c r="AB1052" t="str">
        <f>HYPERLINK("Melting_Curves/meltCurve_O43175_PHGDH.pdf", "Melting_Curves/meltCurve_O43175_PHGDH.pdf")</f>
        <v>Melting_Curves/meltCurve_O43175_PHGDH.pdf</v>
      </c>
    </row>
    <row r="1053" spans="1:28" x14ac:dyDescent="0.25">
      <c r="A1053" t="s">
        <v>1057</v>
      </c>
      <c r="B1053">
        <v>0.99987803227770999</v>
      </c>
      <c r="C1053">
        <v>0.85490242353067603</v>
      </c>
      <c r="D1053">
        <v>0.98357735202229002</v>
      </c>
      <c r="E1053">
        <v>1.77718906600056</v>
      </c>
      <c r="F1053">
        <v>1.4537462136143</v>
      </c>
      <c r="G1053">
        <v>0.75038921625047394</v>
      </c>
      <c r="H1053">
        <v>0.45840960982067203</v>
      </c>
      <c r="I1053">
        <v>0.37342580388367003</v>
      </c>
      <c r="J1053">
        <v>0.37345782064973099</v>
      </c>
      <c r="K1053">
        <v>0.29775948194680502</v>
      </c>
      <c r="L1053">
        <v>5937.02250171993</v>
      </c>
      <c r="M1053">
        <v>103.744366335336</v>
      </c>
      <c r="N1053">
        <v>58.004295680199</v>
      </c>
      <c r="O1053">
        <v>57.2061654246708</v>
      </c>
      <c r="P1053">
        <v>-0.283181590654834</v>
      </c>
      <c r="Q1053">
        <v>0.37539809569014498</v>
      </c>
      <c r="R1053">
        <v>0.61346056740963695</v>
      </c>
      <c r="S1053" t="s">
        <v>7364</v>
      </c>
      <c r="T1053" t="s">
        <v>12620</v>
      </c>
      <c r="U1053" t="s">
        <v>12620</v>
      </c>
      <c r="V1053" t="s">
        <v>12620</v>
      </c>
      <c r="W1053" t="s">
        <v>13644</v>
      </c>
      <c r="X1053">
        <v>12</v>
      </c>
      <c r="Y1053" t="s">
        <v>19880</v>
      </c>
      <c r="Z1053" t="s">
        <v>26000</v>
      </c>
      <c r="AA1053">
        <v>0.73443875428098493</v>
      </c>
      <c r="AB1053" t="str">
        <f>HYPERLINK("Melting_Curves/meltCurve_O43237_DYNC1LI2.pdf", "Melting_Curves/meltCurve_O43237_DYNC1LI2.pdf")</f>
        <v>Melting_Curves/meltCurve_O43237_DYNC1LI2.pdf</v>
      </c>
    </row>
    <row r="1054" spans="1:28" x14ac:dyDescent="0.25">
      <c r="A1054" t="s">
        <v>1058</v>
      </c>
      <c r="B1054">
        <v>0.99987803227770999</v>
      </c>
      <c r="C1054">
        <v>0.94516571858918896</v>
      </c>
      <c r="D1054">
        <v>0.77491259771436805</v>
      </c>
      <c r="E1054">
        <v>1.46954166584357</v>
      </c>
      <c r="F1054">
        <v>1.0473908187910601</v>
      </c>
      <c r="G1054">
        <v>0.55495078888483695</v>
      </c>
      <c r="H1054">
        <v>0.22064396783861001</v>
      </c>
      <c r="I1054">
        <v>0.163230482279939</v>
      </c>
      <c r="J1054">
        <v>0.141519719905526</v>
      </c>
      <c r="K1054">
        <v>9.79651520714582E-2</v>
      </c>
      <c r="L1054">
        <v>3407.88623472155</v>
      </c>
      <c r="M1054">
        <v>59.850380555000001</v>
      </c>
      <c r="N1054">
        <v>57.283295321391599</v>
      </c>
      <c r="O1054">
        <v>56.876627812887499</v>
      </c>
      <c r="P1054">
        <v>-0.22343284510449701</v>
      </c>
      <c r="Q1054">
        <v>0.15067531149015201</v>
      </c>
      <c r="R1054">
        <v>0.86148832204597303</v>
      </c>
      <c r="S1054" t="s">
        <v>7365</v>
      </c>
      <c r="T1054" t="s">
        <v>12620</v>
      </c>
      <c r="U1054" t="s">
        <v>12620</v>
      </c>
      <c r="V1054" t="s">
        <v>12620</v>
      </c>
      <c r="W1054" t="s">
        <v>13645</v>
      </c>
      <c r="X1054">
        <v>33</v>
      </c>
      <c r="Y1054" t="s">
        <v>19881</v>
      </c>
      <c r="Z1054" t="s">
        <v>26001</v>
      </c>
      <c r="AA1054">
        <v>0.63174896925670976</v>
      </c>
      <c r="AB1054" t="str">
        <f>HYPERLINK("Melting_Curves/meltCurve_O43242_PSMD3.pdf", "Melting_Curves/meltCurve_O43242_PSMD3.pdf")</f>
        <v>Melting_Curves/meltCurve_O43242_PSMD3.pdf</v>
      </c>
    </row>
    <row r="1055" spans="1:28" x14ac:dyDescent="0.25">
      <c r="A1055" t="s">
        <v>1059</v>
      </c>
      <c r="B1055">
        <v>0.99987803227770999</v>
      </c>
      <c r="C1055">
        <v>0.90077041234742905</v>
      </c>
      <c r="D1055">
        <v>0.83835594671754199</v>
      </c>
      <c r="E1055">
        <v>0.77565073543483398</v>
      </c>
      <c r="F1055">
        <v>0.86661408922209104</v>
      </c>
      <c r="G1055">
        <v>0.71453409523124001</v>
      </c>
      <c r="H1055">
        <v>0.72678945752759905</v>
      </c>
      <c r="I1055">
        <v>0.62668719344899204</v>
      </c>
      <c r="J1055">
        <v>0.64872567985716401</v>
      </c>
      <c r="K1055">
        <v>0.50975573056484003</v>
      </c>
      <c r="L1055">
        <v>238.719913023077</v>
      </c>
      <c r="M1055">
        <v>3.1501647004803699</v>
      </c>
      <c r="O1055">
        <v>56.982150149596897</v>
      </c>
      <c r="P1055">
        <v>-1.41912257312158E-2</v>
      </c>
      <c r="Q1055">
        <v>0</v>
      </c>
      <c r="R1055">
        <v>0.88302930255940404</v>
      </c>
      <c r="S1055" t="s">
        <v>7366</v>
      </c>
      <c r="T1055" t="s">
        <v>12620</v>
      </c>
      <c r="U1055" t="s">
        <v>12620</v>
      </c>
      <c r="V1055" t="s">
        <v>12620</v>
      </c>
      <c r="W1055" t="s">
        <v>13646</v>
      </c>
      <c r="X1055">
        <v>1</v>
      </c>
      <c r="Y1055" t="s">
        <v>19882</v>
      </c>
      <c r="Z1055" t="s">
        <v>26002</v>
      </c>
      <c r="AA1055">
        <v>0.76297558475589144</v>
      </c>
      <c r="AB1055" t="str">
        <f>HYPERLINK("Melting_Curves/meltCurve_O43251_6_RBFOX2.pdf", "Melting_Curves/meltCurve_O43251_6_RBFOX2.pdf")</f>
        <v>Melting_Curves/meltCurve_O43251_6_RBFOX2.pdf</v>
      </c>
    </row>
    <row r="1056" spans="1:28" x14ac:dyDescent="0.25">
      <c r="A1056" t="s">
        <v>1060</v>
      </c>
      <c r="B1056">
        <v>0.99987803227770999</v>
      </c>
      <c r="C1056">
        <v>1.1659958709436899</v>
      </c>
      <c r="D1056">
        <v>0.93390909237377095</v>
      </c>
      <c r="E1056">
        <v>1.0244693835943199</v>
      </c>
      <c r="F1056">
        <v>0.48480133962412503</v>
      </c>
      <c r="G1056">
        <v>0.18103689064652101</v>
      </c>
      <c r="H1056">
        <v>0.12879436960923399</v>
      </c>
      <c r="I1056">
        <v>0.12555049464922499</v>
      </c>
      <c r="J1056">
        <v>9.69888150856245E-2</v>
      </c>
      <c r="K1056">
        <v>6.9317530533692301E-2</v>
      </c>
      <c r="L1056">
        <v>13231.6553589217</v>
      </c>
      <c r="M1056">
        <v>250</v>
      </c>
      <c r="N1056">
        <v>52.984974135490901</v>
      </c>
      <c r="O1056">
        <v>52.923248654622597</v>
      </c>
      <c r="P1056">
        <v>-1.0388423861348901</v>
      </c>
      <c r="Q1056">
        <v>0.120337612970586</v>
      </c>
      <c r="R1056">
        <v>0.97901687786740998</v>
      </c>
      <c r="S1056" t="s">
        <v>7367</v>
      </c>
      <c r="T1056" t="s">
        <v>12620</v>
      </c>
      <c r="U1056" t="s">
        <v>12620</v>
      </c>
      <c r="V1056" t="s">
        <v>12620</v>
      </c>
      <c r="W1056" t="s">
        <v>13647</v>
      </c>
      <c r="X1056">
        <v>16</v>
      </c>
      <c r="Y1056" t="s">
        <v>19883</v>
      </c>
      <c r="Z1056" t="s">
        <v>26003</v>
      </c>
      <c r="AA1056">
        <v>0.49945474303860582</v>
      </c>
      <c r="AB1056" t="str">
        <f>HYPERLINK("Melting_Curves/meltCurve_O43252_PAPSS1.pdf", "Melting_Curves/meltCurve_O43252_PAPSS1.pdf")</f>
        <v>Melting_Curves/meltCurve_O43252_PAPSS1.pdf</v>
      </c>
    </row>
    <row r="1057" spans="1:28" x14ac:dyDescent="0.25">
      <c r="A1057" t="s">
        <v>1061</v>
      </c>
      <c r="B1057">
        <v>0.99987803227770999</v>
      </c>
      <c r="C1057">
        <v>0.95411611985417599</v>
      </c>
      <c r="D1057">
        <v>0.84744550225572002</v>
      </c>
      <c r="E1057">
        <v>1.2197879760359001</v>
      </c>
      <c r="F1057">
        <v>0.38815930378494801</v>
      </c>
      <c r="G1057">
        <v>0.250939216962969</v>
      </c>
      <c r="H1057">
        <v>0.16640013881878801</v>
      </c>
      <c r="I1057">
        <v>0.165765246210517</v>
      </c>
      <c r="J1057">
        <v>0.10957144745519599</v>
      </c>
      <c r="K1057">
        <v>8.0413164913006693E-2</v>
      </c>
      <c r="L1057">
        <v>13198.955382849899</v>
      </c>
      <c r="M1057">
        <v>250</v>
      </c>
      <c r="N1057">
        <v>52.874042598718098</v>
      </c>
      <c r="O1057">
        <v>52.792443013600902</v>
      </c>
      <c r="P1057">
        <v>-1.0008324801172499</v>
      </c>
      <c r="Q1057">
        <v>0.154617735261213</v>
      </c>
      <c r="R1057">
        <v>0.94715820175260101</v>
      </c>
      <c r="S1057" t="s">
        <v>7368</v>
      </c>
      <c r="T1057" t="s">
        <v>12620</v>
      </c>
      <c r="U1057" t="s">
        <v>12620</v>
      </c>
      <c r="V1057" t="s">
        <v>12620</v>
      </c>
      <c r="W1057" t="s">
        <v>13648</v>
      </c>
      <c r="X1057">
        <v>8</v>
      </c>
      <c r="Y1057" t="s">
        <v>19884</v>
      </c>
      <c r="Z1057" t="s">
        <v>26004</v>
      </c>
      <c r="AA1057">
        <v>0.5152747510496517</v>
      </c>
      <c r="AB1057" t="str">
        <f>HYPERLINK("Melting_Curves/meltCurve_O43264_ZW10.pdf", "Melting_Curves/meltCurve_O43264_ZW10.pdf")</f>
        <v>Melting_Curves/meltCurve_O43264_ZW10.pdf</v>
      </c>
    </row>
    <row r="1058" spans="1:28" x14ac:dyDescent="0.25">
      <c r="A1058" t="s">
        <v>1062</v>
      </c>
      <c r="B1058">
        <v>0.99987803227770999</v>
      </c>
      <c r="C1058">
        <v>0.96420295419135105</v>
      </c>
      <c r="D1058">
        <v>1.15339475345047</v>
      </c>
      <c r="E1058">
        <v>1.1061998530730299</v>
      </c>
      <c r="F1058">
        <v>1.2203595875125699</v>
      </c>
      <c r="G1058">
        <v>1.0771115964347799</v>
      </c>
      <c r="H1058">
        <v>1.1580787504054899</v>
      </c>
      <c r="I1058">
        <v>1.09234984637349</v>
      </c>
      <c r="J1058">
        <v>1.11787236407347</v>
      </c>
      <c r="K1058">
        <v>0.92315653167582501</v>
      </c>
      <c r="L1058">
        <v>11094.3077727442</v>
      </c>
      <c r="M1058">
        <v>250</v>
      </c>
      <c r="O1058">
        <v>44.374391326313599</v>
      </c>
      <c r="P1058">
        <v>0.149390328847334</v>
      </c>
      <c r="Q1058">
        <v>1.1060656782776399</v>
      </c>
      <c r="R1058">
        <v>0.30770611548722698</v>
      </c>
      <c r="S1058" t="s">
        <v>7369</v>
      </c>
      <c r="T1058" t="s">
        <v>12620</v>
      </c>
      <c r="U1058" t="s">
        <v>12620</v>
      </c>
      <c r="V1058" t="s">
        <v>12620</v>
      </c>
      <c r="W1058" t="s">
        <v>13649</v>
      </c>
      <c r="X1058">
        <v>35</v>
      </c>
      <c r="Y1058" t="s">
        <v>19885</v>
      </c>
      <c r="Z1058" t="s">
        <v>26005</v>
      </c>
      <c r="AA1058">
        <v>1.0905816182513559</v>
      </c>
      <c r="AB1058" t="str">
        <f>HYPERLINK("Melting_Curves/meltCurve_O43290_SART1.pdf", "Melting_Curves/meltCurve_O43290_SART1.pdf")</f>
        <v>Melting_Curves/meltCurve_O43290_SART1.pdf</v>
      </c>
    </row>
    <row r="1059" spans="1:28" x14ac:dyDescent="0.25">
      <c r="A1059" t="s">
        <v>1063</v>
      </c>
      <c r="B1059">
        <v>0.99987803227770999</v>
      </c>
      <c r="C1059">
        <v>0.87148127903143702</v>
      </c>
      <c r="D1059">
        <v>0.75138763473109804</v>
      </c>
      <c r="E1059">
        <v>0.61118369570379505</v>
      </c>
      <c r="F1059">
        <v>0.45591000504829099</v>
      </c>
      <c r="G1059">
        <v>0.32935985959390102</v>
      </c>
      <c r="H1059">
        <v>0.16408467103875801</v>
      </c>
      <c r="I1059">
        <v>0.17920475116106199</v>
      </c>
      <c r="J1059">
        <v>0.102102123460943</v>
      </c>
      <c r="K1059">
        <v>8.7845585256768999E-2</v>
      </c>
      <c r="L1059">
        <v>499.610521499188</v>
      </c>
      <c r="M1059">
        <v>9.6110337116253692</v>
      </c>
      <c r="N1059">
        <v>52.089686913298699</v>
      </c>
      <c r="O1059">
        <v>49.882039536887604</v>
      </c>
      <c r="P1059">
        <v>-4.77263775550699E-2</v>
      </c>
      <c r="Q1059">
        <v>9.7453940472213094E-3</v>
      </c>
      <c r="R1059">
        <v>0.99324377814008402</v>
      </c>
      <c r="S1059" t="s">
        <v>7370</v>
      </c>
      <c r="T1059" t="s">
        <v>12620</v>
      </c>
      <c r="U1059" t="s">
        <v>12620</v>
      </c>
      <c r="V1059" t="s">
        <v>12620</v>
      </c>
      <c r="W1059" t="s">
        <v>13650</v>
      </c>
      <c r="X1059">
        <v>3</v>
      </c>
      <c r="Y1059" t="s">
        <v>19886</v>
      </c>
      <c r="Z1059" t="s">
        <v>26006</v>
      </c>
      <c r="AA1059">
        <v>0.44456916550582642</v>
      </c>
      <c r="AB1059" t="str">
        <f>HYPERLINK("Melting_Curves/meltCurve_O43293_DAPK3.pdf", "Melting_Curves/meltCurve_O43293_DAPK3.pdf")</f>
        <v>Melting_Curves/meltCurve_O43293_DAPK3.pdf</v>
      </c>
    </row>
    <row r="1060" spans="1:28" x14ac:dyDescent="0.25">
      <c r="A1060" t="s">
        <v>1064</v>
      </c>
      <c r="B1060">
        <v>0.99987803227770999</v>
      </c>
      <c r="C1060">
        <v>0.91144739632910898</v>
      </c>
      <c r="D1060">
        <v>1.0392293977862499</v>
      </c>
      <c r="E1060">
        <v>0.87045088383184099</v>
      </c>
      <c r="F1060">
        <v>0.87236674268843495</v>
      </c>
      <c r="G1060">
        <v>0.65069365930559997</v>
      </c>
      <c r="H1060">
        <v>0.58873130821440001</v>
      </c>
      <c r="I1060">
        <v>0.51484645233075799</v>
      </c>
      <c r="J1060">
        <v>0.42052025832080397</v>
      </c>
      <c r="K1060">
        <v>0.32426711567779098</v>
      </c>
      <c r="L1060">
        <v>538.04248132074497</v>
      </c>
      <c r="M1060">
        <v>8.6980522271390495</v>
      </c>
      <c r="N1060">
        <v>63.5933632385604</v>
      </c>
      <c r="O1060">
        <v>58.849126951283303</v>
      </c>
      <c r="P1060">
        <v>-3.3073924138029898E-2</v>
      </c>
      <c r="Q1060">
        <v>0.105655024555143</v>
      </c>
      <c r="R1060">
        <v>0.96655189335862102</v>
      </c>
      <c r="S1060" t="s">
        <v>7371</v>
      </c>
      <c r="T1060" t="s">
        <v>12620</v>
      </c>
      <c r="U1060" t="s">
        <v>12620</v>
      </c>
      <c r="V1060" t="s">
        <v>12620</v>
      </c>
      <c r="W1060" t="s">
        <v>13651</v>
      </c>
      <c r="X1060">
        <v>12</v>
      </c>
      <c r="Y1060" t="s">
        <v>19887</v>
      </c>
      <c r="Z1060" t="s">
        <v>26007</v>
      </c>
      <c r="AA1060">
        <v>0.73135532023216354</v>
      </c>
      <c r="AB1060" t="str">
        <f>HYPERLINK("Melting_Curves/meltCurve_O43294_2_TGFB1I1.pdf", "Melting_Curves/meltCurve_O43294_2_TGFB1I1.pdf")</f>
        <v>Melting_Curves/meltCurve_O43294_2_TGFB1I1.pdf</v>
      </c>
    </row>
    <row r="1061" spans="1:28" x14ac:dyDescent="0.25">
      <c r="A1061" t="s">
        <v>1065</v>
      </c>
      <c r="B1061">
        <v>0.99987803227770999</v>
      </c>
      <c r="C1061">
        <v>1.09269342801367</v>
      </c>
      <c r="D1061">
        <v>1.0158779162656799</v>
      </c>
      <c r="E1061">
        <v>1.1128309852334901</v>
      </c>
      <c r="F1061">
        <v>1.0737176753868301</v>
      </c>
      <c r="G1061">
        <v>0.95188153800952902</v>
      </c>
      <c r="H1061">
        <v>0.75842939438632095</v>
      </c>
      <c r="I1061">
        <v>0.68638091920033795</v>
      </c>
      <c r="J1061">
        <v>0.74652009595284496</v>
      </c>
      <c r="K1061">
        <v>0.52187253130058897</v>
      </c>
      <c r="L1061">
        <v>1606.79722691754</v>
      </c>
      <c r="M1061">
        <v>26.4107451099568</v>
      </c>
      <c r="O1061">
        <v>60.493194348766899</v>
      </c>
      <c r="P1061">
        <v>-4.3515146230528601E-2</v>
      </c>
      <c r="Q1061">
        <v>0.601322671285761</v>
      </c>
      <c r="R1061">
        <v>0.86242345934477105</v>
      </c>
      <c r="S1061" t="s">
        <v>7372</v>
      </c>
      <c r="T1061" t="s">
        <v>12620</v>
      </c>
      <c r="U1061" t="s">
        <v>12620</v>
      </c>
      <c r="V1061" t="s">
        <v>12620</v>
      </c>
      <c r="W1061" t="s">
        <v>13652</v>
      </c>
      <c r="X1061">
        <v>2</v>
      </c>
      <c r="Y1061" t="s">
        <v>19888</v>
      </c>
      <c r="Z1061" t="s">
        <v>26008</v>
      </c>
      <c r="AA1061">
        <v>0.88075993960888488</v>
      </c>
      <c r="AB1061" t="str">
        <f>HYPERLINK("Melting_Curves/meltCurve_O43298_ZBTB43.pdf", "Melting_Curves/meltCurve_O43298_ZBTB43.pdf")</f>
        <v>Melting_Curves/meltCurve_O43298_ZBTB43.pdf</v>
      </c>
    </row>
    <row r="1062" spans="1:28" x14ac:dyDescent="0.25">
      <c r="A1062" t="s">
        <v>1066</v>
      </c>
      <c r="B1062">
        <v>0.99987803227770999</v>
      </c>
      <c r="C1062">
        <v>0.95090080104294505</v>
      </c>
      <c r="D1062">
        <v>0.942432882723934</v>
      </c>
      <c r="E1062">
        <v>0.67301192756439099</v>
      </c>
      <c r="F1062">
        <v>0.32222011961216401</v>
      </c>
      <c r="G1062">
        <v>0.22122891128095801</v>
      </c>
      <c r="H1062">
        <v>0.17242245564179801</v>
      </c>
      <c r="I1062">
        <v>0.13821535774636701</v>
      </c>
      <c r="J1062">
        <v>0.111171658999003</v>
      </c>
      <c r="K1062">
        <v>8.3156883205946205E-2</v>
      </c>
      <c r="L1062">
        <v>1249.22564786813</v>
      </c>
      <c r="M1062">
        <v>24.564913419580702</v>
      </c>
      <c r="N1062">
        <v>51.452764486775202</v>
      </c>
      <c r="O1062">
        <v>50.520632364903499</v>
      </c>
      <c r="P1062">
        <v>-0.10645003030017899</v>
      </c>
      <c r="Q1062">
        <v>0.124304434070313</v>
      </c>
      <c r="R1062">
        <v>0.99382242380743702</v>
      </c>
      <c r="S1062" t="s">
        <v>7373</v>
      </c>
      <c r="T1062" t="s">
        <v>12620</v>
      </c>
      <c r="U1062" t="s">
        <v>12620</v>
      </c>
      <c r="V1062" t="s">
        <v>12620</v>
      </c>
      <c r="W1062" t="s">
        <v>13653</v>
      </c>
      <c r="X1062">
        <v>11</v>
      </c>
      <c r="Y1062" t="s">
        <v>19889</v>
      </c>
      <c r="Z1062" t="s">
        <v>26009</v>
      </c>
      <c r="AA1062">
        <v>0.44930946289164542</v>
      </c>
      <c r="AB1062" t="str">
        <f>HYPERLINK("Melting_Curves/meltCurve_O43301_HSPA12A.pdf", "Melting_Curves/meltCurve_O43301_HSPA12A.pdf")</f>
        <v>Melting_Curves/meltCurve_O43301_HSPA12A.pdf</v>
      </c>
    </row>
    <row r="1063" spans="1:28" x14ac:dyDescent="0.25">
      <c r="A1063" t="s">
        <v>1067</v>
      </c>
      <c r="B1063">
        <v>0.99987803227770999</v>
      </c>
      <c r="C1063">
        <v>1.0856261603812301</v>
      </c>
      <c r="D1063">
        <v>0.96513410573092095</v>
      </c>
      <c r="E1063">
        <v>0.95638348346041602</v>
      </c>
      <c r="F1063">
        <v>0.61943133456394295</v>
      </c>
      <c r="G1063">
        <v>0.52793108524268095</v>
      </c>
      <c r="H1063">
        <v>0.43662213544896999</v>
      </c>
      <c r="I1063">
        <v>0.49918448702420098</v>
      </c>
      <c r="J1063">
        <v>0.36616182888724502</v>
      </c>
      <c r="K1063">
        <v>0.31965476961839301</v>
      </c>
      <c r="L1063">
        <v>1656.0715248326401</v>
      </c>
      <c r="M1063">
        <v>31.497680746002501</v>
      </c>
      <c r="N1063">
        <v>55.674202458340197</v>
      </c>
      <c r="O1063">
        <v>52.367006369217101</v>
      </c>
      <c r="P1063">
        <v>-8.8225561426564902E-2</v>
      </c>
      <c r="Q1063">
        <v>0.413279575001057</v>
      </c>
      <c r="R1063">
        <v>0.95262843991689194</v>
      </c>
      <c r="S1063" t="s">
        <v>7374</v>
      </c>
      <c r="T1063" t="s">
        <v>12620</v>
      </c>
      <c r="U1063" t="s">
        <v>12620</v>
      </c>
      <c r="V1063" t="s">
        <v>12620</v>
      </c>
      <c r="W1063" t="s">
        <v>13654</v>
      </c>
      <c r="X1063">
        <v>5</v>
      </c>
      <c r="Y1063" t="s">
        <v>19890</v>
      </c>
      <c r="Z1063" t="s">
        <v>26010</v>
      </c>
      <c r="AA1063">
        <v>0.66269828096333827</v>
      </c>
      <c r="AB1063" t="str">
        <f>HYPERLINK("Melting_Curves/meltCurve_O43303_2_CCP110.pdf", "Melting_Curves/meltCurve_O43303_2_CCP110.pdf")</f>
        <v>Melting_Curves/meltCurve_O43303_2_CCP110.pdf</v>
      </c>
    </row>
    <row r="1064" spans="1:28" x14ac:dyDescent="0.25">
      <c r="A1064" t="s">
        <v>1068</v>
      </c>
      <c r="B1064">
        <v>0.99987803227770999</v>
      </c>
      <c r="C1064">
        <v>1.03323161725142</v>
      </c>
      <c r="D1064">
        <v>0.94600794196354099</v>
      </c>
      <c r="E1064">
        <v>0.91649018094692403</v>
      </c>
      <c r="F1064">
        <v>0.78963906070008305</v>
      </c>
      <c r="G1064">
        <v>0.53769661207970598</v>
      </c>
      <c r="H1064">
        <v>0.22517792424793301</v>
      </c>
      <c r="I1064">
        <v>0.151102267425266</v>
      </c>
      <c r="J1064">
        <v>0.13554909067523399</v>
      </c>
      <c r="K1064">
        <v>0.108511565006687</v>
      </c>
      <c r="L1064">
        <v>1078.3508828931799</v>
      </c>
      <c r="M1064">
        <v>19.067774194384398</v>
      </c>
      <c r="N1064">
        <v>57.0387127571477</v>
      </c>
      <c r="O1064">
        <v>55.942566467770803</v>
      </c>
      <c r="P1064">
        <v>-7.8835985813404397E-2</v>
      </c>
      <c r="Q1064">
        <v>7.4854990755388803E-2</v>
      </c>
      <c r="R1064">
        <v>0.99554706505397395</v>
      </c>
      <c r="S1064" t="s">
        <v>7375</v>
      </c>
      <c r="T1064" t="s">
        <v>12620</v>
      </c>
      <c r="U1064" t="s">
        <v>12620</v>
      </c>
      <c r="V1064" t="s">
        <v>12620</v>
      </c>
      <c r="W1064" t="s">
        <v>13655</v>
      </c>
      <c r="X1064">
        <v>8</v>
      </c>
      <c r="Y1064" t="s">
        <v>19891</v>
      </c>
      <c r="Z1064" t="s">
        <v>26011</v>
      </c>
      <c r="AA1064">
        <v>0.59765384316025283</v>
      </c>
      <c r="AB1064" t="str">
        <f>HYPERLINK("Melting_Curves/meltCurve_O43310_CTIF.pdf", "Melting_Curves/meltCurve_O43310_CTIF.pdf")</f>
        <v>Melting_Curves/meltCurve_O43310_CTIF.pdf</v>
      </c>
    </row>
    <row r="1065" spans="1:28" x14ac:dyDescent="0.25">
      <c r="A1065" t="s">
        <v>1069</v>
      </c>
      <c r="B1065">
        <v>0.99987803227770999</v>
      </c>
      <c r="C1065">
        <v>1.07828106810735</v>
      </c>
      <c r="D1065">
        <v>0.91088856418028896</v>
      </c>
      <c r="E1065">
        <v>0.56670636816060904</v>
      </c>
      <c r="F1065">
        <v>0.28790694375460002</v>
      </c>
      <c r="G1065">
        <v>0.21233106907777199</v>
      </c>
      <c r="H1065">
        <v>0.161825331472635</v>
      </c>
      <c r="I1065">
        <v>0.14988910131329999</v>
      </c>
      <c r="J1065">
        <v>0.13318076757241101</v>
      </c>
      <c r="K1065">
        <v>0.108235108281189</v>
      </c>
      <c r="L1065">
        <v>1328.09955885779</v>
      </c>
      <c r="M1065">
        <v>26.577825065335102</v>
      </c>
      <c r="N1065">
        <v>50.610800396741098</v>
      </c>
      <c r="O1065">
        <v>49.689892617677003</v>
      </c>
      <c r="P1065">
        <v>-0.114620527487078</v>
      </c>
      <c r="Q1065">
        <v>0.14283110007740599</v>
      </c>
      <c r="R1065">
        <v>0.992065333958706</v>
      </c>
      <c r="S1065" t="s">
        <v>7376</v>
      </c>
      <c r="T1065" t="s">
        <v>12620</v>
      </c>
      <c r="U1065" t="s">
        <v>12620</v>
      </c>
      <c r="V1065" t="s">
        <v>12620</v>
      </c>
      <c r="W1065" t="s">
        <v>13656</v>
      </c>
      <c r="X1065">
        <v>22</v>
      </c>
      <c r="Y1065" t="s">
        <v>19473</v>
      </c>
      <c r="Z1065" t="s">
        <v>26012</v>
      </c>
      <c r="AA1065">
        <v>0.43447290292847651</v>
      </c>
      <c r="AB1065" t="str">
        <f>HYPERLINK("Melting_Curves/meltCurve_O43314_2_PPIP5K2.pdf", "Melting_Curves/meltCurve_O43314_2_PPIP5K2.pdf")</f>
        <v>Melting_Curves/meltCurve_O43314_2_PPIP5K2.pdf</v>
      </c>
    </row>
    <row r="1066" spans="1:28" x14ac:dyDescent="0.25">
      <c r="A1066" t="s">
        <v>1070</v>
      </c>
      <c r="B1066">
        <v>0.99987803227770999</v>
      </c>
      <c r="C1066">
        <v>0.367208448304085</v>
      </c>
      <c r="D1066">
        <v>1.38083132529279</v>
      </c>
      <c r="E1066">
        <v>0.54314976640357704</v>
      </c>
      <c r="F1066">
        <v>0.32003570938728798</v>
      </c>
      <c r="G1066">
        <v>0.22378197716145501</v>
      </c>
      <c r="H1066">
        <v>0.20371580101630599</v>
      </c>
      <c r="I1066">
        <v>0.17458609105905301</v>
      </c>
      <c r="J1066">
        <v>0.16989503487910201</v>
      </c>
      <c r="K1066">
        <v>0.13313926155759701</v>
      </c>
      <c r="L1066">
        <v>3599.67765316539</v>
      </c>
      <c r="M1066">
        <v>72.235823096809099</v>
      </c>
      <c r="N1066">
        <v>50.190629554160203</v>
      </c>
      <c r="O1066">
        <v>49.794154686660697</v>
      </c>
      <c r="P1066">
        <v>-0.28960840410487099</v>
      </c>
      <c r="Q1066">
        <v>0.20145976120279799</v>
      </c>
      <c r="R1066">
        <v>0.63923912691195806</v>
      </c>
      <c r="S1066" t="s">
        <v>7377</v>
      </c>
      <c r="T1066" t="s">
        <v>12620</v>
      </c>
      <c r="U1066" t="s">
        <v>12620</v>
      </c>
      <c r="V1066" t="s">
        <v>12620</v>
      </c>
      <c r="W1066" t="s">
        <v>13657</v>
      </c>
      <c r="X1066">
        <v>15</v>
      </c>
      <c r="Y1066" t="s">
        <v>19892</v>
      </c>
      <c r="Z1066" t="s">
        <v>26013</v>
      </c>
      <c r="AA1066">
        <v>0.4640146888115852</v>
      </c>
      <c r="AB1066" t="str">
        <f>HYPERLINK("Melting_Curves/meltCurve_O43318_2_MAP3K7.pdf", "Melting_Curves/meltCurve_O43318_2_MAP3K7.pdf")</f>
        <v>Melting_Curves/meltCurve_O43318_2_MAP3K7.pdf</v>
      </c>
    </row>
    <row r="1067" spans="1:28" x14ac:dyDescent="0.25">
      <c r="A1067" t="s">
        <v>1071</v>
      </c>
      <c r="B1067">
        <v>0.99987803227770999</v>
      </c>
      <c r="C1067">
        <v>0.61866423167509299</v>
      </c>
      <c r="D1067">
        <v>0.63766673708938904</v>
      </c>
      <c r="E1067">
        <v>0.55882550636007799</v>
      </c>
      <c r="F1067">
        <v>0.440155446376016</v>
      </c>
      <c r="G1067">
        <v>0.20836435563789599</v>
      </c>
      <c r="H1067">
        <v>0.13950017485160601</v>
      </c>
      <c r="I1067">
        <v>9.4803333079048202E-2</v>
      </c>
      <c r="J1067">
        <v>8.8887905231535794E-2</v>
      </c>
      <c r="K1067">
        <v>4.8235018845521303E-2</v>
      </c>
      <c r="L1067">
        <v>422.01974898712598</v>
      </c>
      <c r="M1067">
        <v>8.5244003020428494</v>
      </c>
      <c r="N1067">
        <v>49.507265568228</v>
      </c>
      <c r="O1067">
        <v>47.0083022153066</v>
      </c>
      <c r="P1067">
        <v>-4.53749409026949E-2</v>
      </c>
      <c r="Q1067">
        <v>0</v>
      </c>
      <c r="R1067">
        <v>0.93498658964746195</v>
      </c>
      <c r="S1067" t="s">
        <v>7378</v>
      </c>
      <c r="T1067" t="s">
        <v>12620</v>
      </c>
      <c r="U1067" t="s">
        <v>12620</v>
      </c>
      <c r="V1067" t="s">
        <v>12620</v>
      </c>
      <c r="W1067" t="s">
        <v>13658</v>
      </c>
      <c r="X1067">
        <v>1</v>
      </c>
      <c r="Y1067" t="s">
        <v>19893</v>
      </c>
      <c r="Z1067" t="s">
        <v>26014</v>
      </c>
      <c r="AA1067">
        <v>0.37504961113666818</v>
      </c>
      <c r="AB1067" t="str">
        <f>HYPERLINK("Melting_Curves/meltCurve_O43324_EEF1E1.pdf", "Melting_Curves/meltCurve_O43324_EEF1E1.pdf")</f>
        <v>Melting_Curves/meltCurve_O43324_EEF1E1.pdf</v>
      </c>
    </row>
    <row r="1068" spans="1:28" x14ac:dyDescent="0.25">
      <c r="A1068" t="s">
        <v>1072</v>
      </c>
      <c r="B1068">
        <v>0.99987803227770999</v>
      </c>
      <c r="C1068">
        <v>0.97628449311152798</v>
      </c>
      <c r="D1068">
        <v>0.99836565929370802</v>
      </c>
      <c r="E1068">
        <v>0.99402790060290702</v>
      </c>
      <c r="F1068">
        <v>0.95550890022983204</v>
      </c>
      <c r="G1068">
        <v>0.89437953244497304</v>
      </c>
      <c r="H1068">
        <v>0.90936635328834903</v>
      </c>
      <c r="I1068">
        <v>0.73648390943490505</v>
      </c>
      <c r="J1068">
        <v>0.50008372092512499</v>
      </c>
      <c r="K1068">
        <v>0.30189751550914001</v>
      </c>
      <c r="L1068">
        <v>1340.22738997646</v>
      </c>
      <c r="M1068">
        <v>19.968854467424801</v>
      </c>
      <c r="N1068">
        <v>67.115897679021103</v>
      </c>
      <c r="O1068">
        <v>66.453677884947297</v>
      </c>
      <c r="P1068">
        <v>-7.5125671845167594E-2</v>
      </c>
      <c r="Q1068">
        <v>0</v>
      </c>
      <c r="R1068">
        <v>0.98262418358006898</v>
      </c>
      <c r="S1068" t="s">
        <v>7379</v>
      </c>
      <c r="T1068" t="s">
        <v>12620</v>
      </c>
      <c r="U1068" t="s">
        <v>12620</v>
      </c>
      <c r="V1068" t="s">
        <v>12620</v>
      </c>
      <c r="W1068" t="s">
        <v>13659</v>
      </c>
      <c r="X1068">
        <v>15</v>
      </c>
      <c r="Y1068" t="s">
        <v>19894</v>
      </c>
      <c r="Z1068" t="s">
        <v>26015</v>
      </c>
      <c r="AA1068">
        <v>0.87248844710769358</v>
      </c>
      <c r="AB1068" t="str">
        <f>HYPERLINK("Melting_Curves/meltCurve_O43353_RIPK2.pdf", "Melting_Curves/meltCurve_O43353_RIPK2.pdf")</f>
        <v>Melting_Curves/meltCurve_O43353_RIPK2.pdf</v>
      </c>
    </row>
    <row r="1069" spans="1:28" x14ac:dyDescent="0.25">
      <c r="A1069" t="s">
        <v>1073</v>
      </c>
      <c r="B1069">
        <v>0.99987803227770999</v>
      </c>
      <c r="C1069">
        <v>1.10401570737542</v>
      </c>
      <c r="D1069">
        <v>0.96738933017308404</v>
      </c>
      <c r="E1069">
        <v>1.0063177756427599</v>
      </c>
      <c r="F1069">
        <v>0.75158409824080097</v>
      </c>
      <c r="G1069">
        <v>0.57270566111082</v>
      </c>
      <c r="H1069">
        <v>0.33278573642355203</v>
      </c>
      <c r="I1069">
        <v>0.22644982464840199</v>
      </c>
      <c r="J1069">
        <v>0.18451274967443801</v>
      </c>
      <c r="K1069">
        <v>0.13943243523606499</v>
      </c>
      <c r="L1069">
        <v>1003.07671870039</v>
      </c>
      <c r="M1069">
        <v>17.607371208041499</v>
      </c>
      <c r="N1069">
        <v>57.850608097236503</v>
      </c>
      <c r="O1069">
        <v>56.249530569434903</v>
      </c>
      <c r="P1069">
        <v>-6.90523586112161E-2</v>
      </c>
      <c r="Q1069">
        <v>0.11765293735177799</v>
      </c>
      <c r="R1069">
        <v>0.98347544095435002</v>
      </c>
      <c r="S1069" t="s">
        <v>7380</v>
      </c>
      <c r="T1069" t="s">
        <v>12620</v>
      </c>
      <c r="U1069" t="s">
        <v>12620</v>
      </c>
      <c r="V1069" t="s">
        <v>12620</v>
      </c>
      <c r="W1069" t="s">
        <v>13660</v>
      </c>
      <c r="X1069">
        <v>27</v>
      </c>
      <c r="Y1069" t="s">
        <v>19895</v>
      </c>
      <c r="Z1069" t="s">
        <v>26016</v>
      </c>
      <c r="AA1069">
        <v>0.62914188200554833</v>
      </c>
      <c r="AB1069" t="str">
        <f>HYPERLINK("Melting_Curves/meltCurve_O43379_WDR62.pdf", "Melting_Curves/meltCurve_O43379_WDR62.pdf")</f>
        <v>Melting_Curves/meltCurve_O43379_WDR62.pdf</v>
      </c>
    </row>
    <row r="1070" spans="1:28" x14ac:dyDescent="0.25">
      <c r="A1070" t="s">
        <v>1074</v>
      </c>
      <c r="B1070">
        <v>0.99987803227770999</v>
      </c>
      <c r="C1070">
        <v>0.96524774456734896</v>
      </c>
      <c r="D1070">
        <v>0.926719274996336</v>
      </c>
      <c r="E1070">
        <v>0.895389059749789</v>
      </c>
      <c r="F1070">
        <v>0.47990303401193402</v>
      </c>
      <c r="G1070">
        <v>0.28630216549542797</v>
      </c>
      <c r="H1070">
        <v>0.206899300426552</v>
      </c>
      <c r="I1070">
        <v>0.19286028067997901</v>
      </c>
      <c r="J1070">
        <v>0.152143806973321</v>
      </c>
      <c r="K1070">
        <v>0.128162282084859</v>
      </c>
      <c r="L1070">
        <v>1604.8095679353901</v>
      </c>
      <c r="M1070">
        <v>30.6003040595138</v>
      </c>
      <c r="N1070">
        <v>53.181679373645302</v>
      </c>
      <c r="O1070">
        <v>52.221788036103398</v>
      </c>
      <c r="P1070">
        <v>-0.12116540804069501</v>
      </c>
      <c r="Q1070">
        <v>0.17289238141881999</v>
      </c>
      <c r="R1070">
        <v>0.98878516835461705</v>
      </c>
      <c r="S1070" t="s">
        <v>7381</v>
      </c>
      <c r="T1070" t="s">
        <v>12620</v>
      </c>
      <c r="U1070" t="s">
        <v>12620</v>
      </c>
      <c r="V1070" t="s">
        <v>12620</v>
      </c>
      <c r="W1070" t="s">
        <v>13661</v>
      </c>
      <c r="X1070">
        <v>19</v>
      </c>
      <c r="Y1070" t="s">
        <v>19896</v>
      </c>
      <c r="Z1070" t="s">
        <v>26017</v>
      </c>
      <c r="AA1070">
        <v>0.52109964684737986</v>
      </c>
      <c r="AB1070" t="str">
        <f>HYPERLINK("Melting_Curves/meltCurve_O43390_HNRNPR.pdf", "Melting_Curves/meltCurve_O43390_HNRNPR.pdf")</f>
        <v>Melting_Curves/meltCurve_O43390_HNRNPR.pdf</v>
      </c>
    </row>
    <row r="1071" spans="1:28" x14ac:dyDescent="0.25">
      <c r="A1071" t="s">
        <v>1075</v>
      </c>
      <c r="B1071">
        <v>0.99987803227770999</v>
      </c>
      <c r="C1071">
        <v>0.91732585194127003</v>
      </c>
      <c r="D1071">
        <v>0.97292960782110804</v>
      </c>
      <c r="E1071">
        <v>0.86112980783188997</v>
      </c>
      <c r="F1071">
        <v>0.79692662844645701</v>
      </c>
      <c r="G1071">
        <v>0.58001220988989499</v>
      </c>
      <c r="H1071">
        <v>0.48399155217804601</v>
      </c>
      <c r="I1071">
        <v>0.48251227000033597</v>
      </c>
      <c r="J1071">
        <v>0.39343396345410198</v>
      </c>
      <c r="K1071">
        <v>0.28590917240532499</v>
      </c>
      <c r="L1071">
        <v>554.91816008178603</v>
      </c>
      <c r="M1071">
        <v>9.5627717372904808</v>
      </c>
      <c r="N1071">
        <v>61.149612654344601</v>
      </c>
      <c r="O1071">
        <v>55.661523499512299</v>
      </c>
      <c r="P1071">
        <v>-3.46777934395157E-2</v>
      </c>
      <c r="Q1071">
        <v>0.19307665831729201</v>
      </c>
      <c r="R1071">
        <v>0.97818983474315802</v>
      </c>
      <c r="S1071" t="s">
        <v>7382</v>
      </c>
      <c r="T1071" t="s">
        <v>12620</v>
      </c>
      <c r="U1071" t="s">
        <v>12620</v>
      </c>
      <c r="V1071" t="s">
        <v>12620</v>
      </c>
      <c r="W1071" t="s">
        <v>13662</v>
      </c>
      <c r="X1071">
        <v>15</v>
      </c>
      <c r="Y1071" t="s">
        <v>19897</v>
      </c>
      <c r="Z1071" t="s">
        <v>26018</v>
      </c>
      <c r="AA1071">
        <v>0.6850353401362661</v>
      </c>
      <c r="AB1071" t="str">
        <f>HYPERLINK("Melting_Curves/meltCurve_O43395_PRPF3.pdf", "Melting_Curves/meltCurve_O43395_PRPF3.pdf")</f>
        <v>Melting_Curves/meltCurve_O43395_PRPF3.pdf</v>
      </c>
    </row>
    <row r="1072" spans="1:28" x14ac:dyDescent="0.25">
      <c r="A1072" t="s">
        <v>1076</v>
      </c>
      <c r="B1072">
        <v>0.99987803227770999</v>
      </c>
      <c r="C1072">
        <v>0.79814493309647505</v>
      </c>
      <c r="D1072">
        <v>0.98409188911608103</v>
      </c>
      <c r="E1072">
        <v>0.702055775199525</v>
      </c>
      <c r="F1072">
        <v>0.38432327911039099</v>
      </c>
      <c r="G1072">
        <v>0.23989416333691599</v>
      </c>
      <c r="H1072">
        <v>0.15315515454398501</v>
      </c>
      <c r="I1072">
        <v>0.107887198188988</v>
      </c>
      <c r="J1072">
        <v>9.4524406789497403E-2</v>
      </c>
      <c r="K1072">
        <v>6.4359733367525596E-2</v>
      </c>
      <c r="L1072">
        <v>960.66512757499004</v>
      </c>
      <c r="M1072">
        <v>18.602343066859302</v>
      </c>
      <c r="N1072">
        <v>52.138928278509198</v>
      </c>
      <c r="O1072">
        <v>51.056470147809797</v>
      </c>
      <c r="P1072">
        <v>-8.3693564788574606E-2</v>
      </c>
      <c r="Q1072">
        <v>8.1209752151186199E-2</v>
      </c>
      <c r="R1072">
        <v>0.96744317052801099</v>
      </c>
      <c r="S1072" t="s">
        <v>7383</v>
      </c>
      <c r="T1072" t="s">
        <v>12620</v>
      </c>
      <c r="U1072" t="s">
        <v>12620</v>
      </c>
      <c r="V1072" t="s">
        <v>12620</v>
      </c>
      <c r="W1072" t="s">
        <v>13663</v>
      </c>
      <c r="X1072">
        <v>14</v>
      </c>
      <c r="Y1072" t="s">
        <v>19898</v>
      </c>
      <c r="Z1072" t="s">
        <v>26019</v>
      </c>
      <c r="AA1072">
        <v>0.45226613221021611</v>
      </c>
      <c r="AB1072" t="str">
        <f>HYPERLINK("Melting_Curves/meltCurve_O43396_TXNL1.pdf", "Melting_Curves/meltCurve_O43396_TXNL1.pdf")</f>
        <v>Melting_Curves/meltCurve_O43396_TXNL1.pdf</v>
      </c>
    </row>
    <row r="1073" spans="1:28" x14ac:dyDescent="0.25">
      <c r="A1073" t="s">
        <v>1077</v>
      </c>
      <c r="B1073">
        <v>0.99987803227770999</v>
      </c>
      <c r="C1073">
        <v>1.06423580737053</v>
      </c>
      <c r="D1073">
        <v>0.995168746523166</v>
      </c>
      <c r="E1073">
        <v>0.81455252087489505</v>
      </c>
      <c r="F1073">
        <v>1.20000953085757</v>
      </c>
      <c r="G1073">
        <v>0.59723946982641796</v>
      </c>
      <c r="H1073">
        <v>1.03434761326116</v>
      </c>
      <c r="I1073">
        <v>1.4584291539566201</v>
      </c>
      <c r="J1073">
        <v>0.53475692224091798</v>
      </c>
      <c r="K1073">
        <v>0.435678342182786</v>
      </c>
      <c r="L1073">
        <v>15000</v>
      </c>
      <c r="M1073">
        <v>225.4194260079</v>
      </c>
      <c r="N1073">
        <v>67.152217554530196</v>
      </c>
      <c r="O1073">
        <v>66.537394716618607</v>
      </c>
      <c r="P1073">
        <v>-0.478201236428002</v>
      </c>
      <c r="Q1073">
        <v>0.435394530239059</v>
      </c>
      <c r="R1073">
        <v>0.50424006929579801</v>
      </c>
      <c r="S1073" t="s">
        <v>7384</v>
      </c>
      <c r="T1073" t="s">
        <v>12620</v>
      </c>
      <c r="U1073" t="s">
        <v>12620</v>
      </c>
      <c r="V1073" t="s">
        <v>12620</v>
      </c>
      <c r="W1073" t="s">
        <v>13664</v>
      </c>
      <c r="X1073">
        <v>14</v>
      </c>
      <c r="Y1073" t="s">
        <v>19899</v>
      </c>
      <c r="Z1073" t="s">
        <v>26020</v>
      </c>
      <c r="AA1073">
        <v>0.93501255683579665</v>
      </c>
      <c r="AB1073" t="str">
        <f>HYPERLINK("Melting_Curves/meltCurve_O43399_4_TPD52L2.pdf", "Melting_Curves/meltCurve_O43399_4_TPD52L2.pdf")</f>
        <v>Melting_Curves/meltCurve_O43399_4_TPD52L2.pdf</v>
      </c>
    </row>
    <row r="1074" spans="1:28" x14ac:dyDescent="0.25">
      <c r="A1074" t="s">
        <v>1078</v>
      </c>
      <c r="B1074">
        <v>0.99987803227770999</v>
      </c>
      <c r="C1074">
        <v>0.88122935966863603</v>
      </c>
      <c r="D1074">
        <v>0.99899029854739296</v>
      </c>
      <c r="E1074">
        <v>0.89108058284566305</v>
      </c>
      <c r="F1074">
        <v>1.06868114400013</v>
      </c>
      <c r="G1074">
        <v>0.867925348527398</v>
      </c>
      <c r="H1074">
        <v>0.99625916225460598</v>
      </c>
      <c r="I1074">
        <v>1.0033189755204801</v>
      </c>
      <c r="J1074">
        <v>1.0049923612585601</v>
      </c>
      <c r="K1074">
        <v>0.81665592538102305</v>
      </c>
      <c r="L1074">
        <v>83.593213823039505</v>
      </c>
      <c r="M1074">
        <v>1.0000000000000001E-5</v>
      </c>
      <c r="Q1074">
        <v>0.73464551104745801</v>
      </c>
      <c r="R1074">
        <v>1.40933681175165E-2</v>
      </c>
      <c r="S1074" t="s">
        <v>7385</v>
      </c>
      <c r="T1074" t="s">
        <v>12620</v>
      </c>
      <c r="U1074" t="s">
        <v>12620</v>
      </c>
      <c r="V1074" t="s">
        <v>12620</v>
      </c>
      <c r="W1074" t="s">
        <v>13665</v>
      </c>
      <c r="X1074">
        <v>18</v>
      </c>
      <c r="Y1074" t="s">
        <v>19899</v>
      </c>
      <c r="Z1074" t="s">
        <v>26021</v>
      </c>
      <c r="AA1074">
        <v>0.95311071792028934</v>
      </c>
      <c r="AB1074" t="str">
        <f>HYPERLINK("Melting_Curves/meltCurve_O43399_5_TPD52L2.pdf", "Melting_Curves/meltCurve_O43399_5_TPD52L2.pdf")</f>
        <v>Melting_Curves/meltCurve_O43399_5_TPD52L2.pdf</v>
      </c>
    </row>
    <row r="1075" spans="1:28" x14ac:dyDescent="0.25">
      <c r="A1075" t="s">
        <v>1079</v>
      </c>
      <c r="B1075">
        <v>0.99987803227770999</v>
      </c>
      <c r="C1075">
        <v>0.88994902750918803</v>
      </c>
      <c r="D1075">
        <v>0.643644694289774</v>
      </c>
      <c r="E1075">
        <v>0.33929171756391002</v>
      </c>
      <c r="F1075">
        <v>0.193349233136201</v>
      </c>
      <c r="G1075">
        <v>0.16957345855959199</v>
      </c>
      <c r="H1075">
        <v>0.19373147825901399</v>
      </c>
      <c r="I1075">
        <v>0.13453966657039201</v>
      </c>
      <c r="J1075">
        <v>7.3838689359926005E-2</v>
      </c>
      <c r="K1075">
        <v>2.31432483678146E-2</v>
      </c>
      <c r="L1075">
        <v>870.12668178881995</v>
      </c>
      <c r="M1075">
        <v>18.4343532579935</v>
      </c>
      <c r="N1075">
        <v>47.798766658997998</v>
      </c>
      <c r="O1075">
        <v>46.656430992832298</v>
      </c>
      <c r="P1075">
        <v>-8.8617725402073397E-2</v>
      </c>
      <c r="Q1075">
        <v>0.102892074249247</v>
      </c>
      <c r="R1075">
        <v>0.98482679170528697</v>
      </c>
      <c r="S1075" t="s">
        <v>7386</v>
      </c>
      <c r="T1075" t="s">
        <v>12620</v>
      </c>
      <c r="U1075" t="s">
        <v>12620</v>
      </c>
      <c r="V1075" t="s">
        <v>12620</v>
      </c>
      <c r="W1075" t="s">
        <v>13666</v>
      </c>
      <c r="X1075">
        <v>2</v>
      </c>
      <c r="Y1075" t="s">
        <v>19900</v>
      </c>
      <c r="Z1075" t="s">
        <v>26022</v>
      </c>
      <c r="AA1075">
        <v>0.33380972374658918</v>
      </c>
      <c r="AB1075" t="str">
        <f>HYPERLINK("Melting_Curves/meltCurve_O43402_EMC8.pdf", "Melting_Curves/meltCurve_O43402_EMC8.pdf")</f>
        <v>Melting_Curves/meltCurve_O43402_EMC8.pdf</v>
      </c>
    </row>
    <row r="1076" spans="1:28" x14ac:dyDescent="0.25">
      <c r="A1076" t="s">
        <v>1080</v>
      </c>
      <c r="B1076">
        <v>0.99987803227770999</v>
      </c>
      <c r="C1076">
        <v>0.89071545269215902</v>
      </c>
      <c r="D1076">
        <v>0.968247157355413</v>
      </c>
      <c r="E1076">
        <v>0.55555253353683498</v>
      </c>
      <c r="F1076">
        <v>0.16155982381967399</v>
      </c>
      <c r="G1076">
        <v>8.5498621892224194E-2</v>
      </c>
      <c r="H1076">
        <v>5.5829220986959797E-2</v>
      </c>
      <c r="I1076">
        <v>4.6519137386130102E-2</v>
      </c>
      <c r="J1076">
        <v>3.3827691858457701E-2</v>
      </c>
      <c r="K1076">
        <v>2.27332346709339E-2</v>
      </c>
      <c r="L1076">
        <v>1747.46445249103</v>
      </c>
      <c r="M1076">
        <v>34.824169581000902</v>
      </c>
      <c r="N1076">
        <v>50.3116922136442</v>
      </c>
      <c r="O1076">
        <v>50.015038110591902</v>
      </c>
      <c r="P1076">
        <v>-0.166467288022943</v>
      </c>
      <c r="Q1076">
        <v>4.36713482220406E-2</v>
      </c>
      <c r="R1076">
        <v>0.99199084546649796</v>
      </c>
      <c r="S1076" t="s">
        <v>7387</v>
      </c>
      <c r="T1076" t="s">
        <v>12620</v>
      </c>
      <c r="U1076" t="s">
        <v>12620</v>
      </c>
      <c r="V1076" t="s">
        <v>12620</v>
      </c>
      <c r="W1076" t="s">
        <v>13667</v>
      </c>
      <c r="X1076">
        <v>5</v>
      </c>
      <c r="Y1076" t="s">
        <v>19901</v>
      </c>
      <c r="Z1076" t="s">
        <v>26023</v>
      </c>
      <c r="AA1076">
        <v>0.37256325618517278</v>
      </c>
      <c r="AB1076" t="str">
        <f>HYPERLINK("Melting_Curves/meltCurve_O43414_3_ERI3.pdf", "Melting_Curves/meltCurve_O43414_3_ERI3.pdf")</f>
        <v>Melting_Curves/meltCurve_O43414_3_ERI3.pdf</v>
      </c>
    </row>
    <row r="1077" spans="1:28" x14ac:dyDescent="0.25">
      <c r="A1077" t="s">
        <v>1081</v>
      </c>
      <c r="B1077">
        <v>0.99987803227770999</v>
      </c>
      <c r="C1077">
        <v>1.11006306727535</v>
      </c>
      <c r="D1077">
        <v>1.0071761296247801</v>
      </c>
      <c r="E1077">
        <v>0.81657213453954902</v>
      </c>
      <c r="F1077">
        <v>0.52261570630095</v>
      </c>
      <c r="G1077">
        <v>0.43334206989824198</v>
      </c>
      <c r="H1077">
        <v>0.34130209954160501</v>
      </c>
      <c r="I1077">
        <v>0.30538159279083399</v>
      </c>
      <c r="J1077">
        <v>0.261446165846901</v>
      </c>
      <c r="K1077">
        <v>0.2282748094964</v>
      </c>
      <c r="L1077">
        <v>1186.0788310144501</v>
      </c>
      <c r="M1077">
        <v>22.737131874204501</v>
      </c>
      <c r="N1077">
        <v>54.120298941429198</v>
      </c>
      <c r="O1077">
        <v>51.766376004532098</v>
      </c>
      <c r="P1077">
        <v>-7.90486914561052E-2</v>
      </c>
      <c r="Q1077">
        <v>0.28012338895816402</v>
      </c>
      <c r="R1077">
        <v>0.97513554397643898</v>
      </c>
      <c r="S1077" t="s">
        <v>7388</v>
      </c>
      <c r="T1077" t="s">
        <v>12620</v>
      </c>
      <c r="U1077" t="s">
        <v>12620</v>
      </c>
      <c r="V1077" t="s">
        <v>12620</v>
      </c>
      <c r="W1077" t="s">
        <v>13668</v>
      </c>
      <c r="X1077">
        <v>1</v>
      </c>
      <c r="Y1077" t="s">
        <v>19902</v>
      </c>
      <c r="Z1077" t="s">
        <v>26024</v>
      </c>
      <c r="AA1077">
        <v>0.57990691353012147</v>
      </c>
      <c r="AB1077" t="str">
        <f>HYPERLINK("Melting_Curves/meltCurve_O43422_2_PRKRIR.pdf", "Melting_Curves/meltCurve_O43422_2_PRKRIR.pdf")</f>
        <v>Melting_Curves/meltCurve_O43422_2_PRKRIR.pdf</v>
      </c>
    </row>
    <row r="1078" spans="1:28" x14ac:dyDescent="0.25">
      <c r="A1078" t="s">
        <v>1082</v>
      </c>
      <c r="B1078">
        <v>0.99987803227770999</v>
      </c>
      <c r="C1078">
        <v>1.0966563827394</v>
      </c>
      <c r="D1078">
        <v>0.73801082551719499</v>
      </c>
      <c r="E1078">
        <v>0.73485497250935194</v>
      </c>
      <c r="F1078">
        <v>0.19027560052433301</v>
      </c>
      <c r="G1078">
        <v>0.142795810448586</v>
      </c>
      <c r="H1078">
        <v>6.2823349972769796E-2</v>
      </c>
      <c r="I1078">
        <v>5.7356629254842598E-2</v>
      </c>
      <c r="J1078">
        <v>3.2190288778324999E-2</v>
      </c>
      <c r="K1078">
        <v>2.1222261201964899E-2</v>
      </c>
      <c r="L1078">
        <v>1136.22088858136</v>
      </c>
      <c r="M1078">
        <v>22.3739816077446</v>
      </c>
      <c r="N1078">
        <v>50.931425374556497</v>
      </c>
      <c r="O1078">
        <v>50.382676320088997</v>
      </c>
      <c r="P1078">
        <v>-0.10752157987678999</v>
      </c>
      <c r="Q1078">
        <v>3.1533746722803797E-2</v>
      </c>
      <c r="R1078">
        <v>0.95478949006949898</v>
      </c>
      <c r="S1078" t="s">
        <v>7389</v>
      </c>
      <c r="T1078" t="s">
        <v>12620</v>
      </c>
      <c r="U1078" t="s">
        <v>12620</v>
      </c>
      <c r="V1078" t="s">
        <v>12620</v>
      </c>
      <c r="W1078" t="s">
        <v>13669</v>
      </c>
      <c r="X1078">
        <v>3</v>
      </c>
      <c r="Y1078" t="s">
        <v>19903</v>
      </c>
      <c r="Z1078" t="s">
        <v>26025</v>
      </c>
      <c r="AA1078">
        <v>0.39048644252587739</v>
      </c>
      <c r="AB1078" t="str">
        <f>HYPERLINK("Melting_Curves/meltCurve_O43427_2_FIBP.pdf", "Melting_Curves/meltCurve_O43427_2_FIBP.pdf")</f>
        <v>Melting_Curves/meltCurve_O43427_2_FIBP.pdf</v>
      </c>
    </row>
    <row r="1079" spans="1:28" x14ac:dyDescent="0.25">
      <c r="A1079" t="s">
        <v>1083</v>
      </c>
      <c r="B1079">
        <v>0.99987803227770999</v>
      </c>
      <c r="C1079">
        <v>0.93343430262830496</v>
      </c>
      <c r="D1079">
        <v>0.73305877337195002</v>
      </c>
      <c r="E1079">
        <v>0.55003899633328501</v>
      </c>
      <c r="F1079">
        <v>0.40410297310315302</v>
      </c>
      <c r="G1079">
        <v>0.29714762635217301</v>
      </c>
      <c r="H1079">
        <v>0.24364082989302199</v>
      </c>
      <c r="I1079">
        <v>0.233120727543636</v>
      </c>
      <c r="J1079">
        <v>0.21261117450221401</v>
      </c>
      <c r="K1079">
        <v>0.16482536857906699</v>
      </c>
      <c r="L1079">
        <v>677.64686851762701</v>
      </c>
      <c r="M1079">
        <v>13.793886655244499</v>
      </c>
      <c r="N1079">
        <v>50.831730183728602</v>
      </c>
      <c r="O1079">
        <v>48.128622933907998</v>
      </c>
      <c r="P1079">
        <v>-5.8388719580375899E-2</v>
      </c>
      <c r="Q1079">
        <v>0.18521158469015001</v>
      </c>
      <c r="R1079">
        <v>0.99423973321262005</v>
      </c>
      <c r="S1079" t="s">
        <v>7390</v>
      </c>
      <c r="T1079" t="s">
        <v>12620</v>
      </c>
      <c r="U1079" t="s">
        <v>12620</v>
      </c>
      <c r="V1079" t="s">
        <v>12620</v>
      </c>
      <c r="W1079" t="s">
        <v>13670</v>
      </c>
      <c r="X1079">
        <v>20</v>
      </c>
      <c r="Y1079" t="s">
        <v>19904</v>
      </c>
      <c r="Z1079" t="s">
        <v>26026</v>
      </c>
      <c r="AA1079">
        <v>0.45642736961064428</v>
      </c>
      <c r="AB1079" t="str">
        <f>HYPERLINK("Melting_Curves/meltCurve_O43432_EIF4G3.pdf", "Melting_Curves/meltCurve_O43432_EIF4G3.pdf")</f>
        <v>Melting_Curves/meltCurve_O43432_EIF4G3.pdf</v>
      </c>
    </row>
    <row r="1080" spans="1:28" x14ac:dyDescent="0.25">
      <c r="A1080" t="s">
        <v>1084</v>
      </c>
      <c r="B1080">
        <v>0.99987803227770999</v>
      </c>
      <c r="C1080">
        <v>0.91867570294382705</v>
      </c>
      <c r="D1080">
        <v>0.99688029544632295</v>
      </c>
      <c r="E1080">
        <v>0.75156417133390596</v>
      </c>
      <c r="F1080">
        <v>0.37884852930847501</v>
      </c>
      <c r="G1080">
        <v>0.17392193460355501</v>
      </c>
      <c r="H1080">
        <v>0.116371614629155</v>
      </c>
      <c r="I1080">
        <v>0.110246330460572</v>
      </c>
      <c r="J1080">
        <v>7.5653372261228299E-2</v>
      </c>
      <c r="K1080">
        <v>5.2661777838370699E-2</v>
      </c>
      <c r="L1080">
        <v>1430.6025343194999</v>
      </c>
      <c r="M1080">
        <v>27.665777665341</v>
      </c>
      <c r="N1080">
        <v>52.068559729568697</v>
      </c>
      <c r="O1080">
        <v>51.442289716341698</v>
      </c>
      <c r="P1080">
        <v>-0.12279587376420199</v>
      </c>
      <c r="Q1080">
        <v>8.6692212153550094E-2</v>
      </c>
      <c r="R1080">
        <v>0.99369619282156896</v>
      </c>
      <c r="S1080" t="s">
        <v>7391</v>
      </c>
      <c r="T1080" t="s">
        <v>12620</v>
      </c>
      <c r="U1080" t="s">
        <v>12620</v>
      </c>
      <c r="V1080" t="s">
        <v>12620</v>
      </c>
      <c r="W1080" t="s">
        <v>13671</v>
      </c>
      <c r="X1080">
        <v>8</v>
      </c>
      <c r="Y1080" t="s">
        <v>19905</v>
      </c>
      <c r="Z1080" t="s">
        <v>26027</v>
      </c>
      <c r="AA1080">
        <v>0.45001184597343191</v>
      </c>
      <c r="AB1080" t="str">
        <f>HYPERLINK("Melting_Curves/meltCurve_O43447_PPIH.pdf", "Melting_Curves/meltCurve_O43447_PPIH.pdf")</f>
        <v>Melting_Curves/meltCurve_O43447_PPIH.pdf</v>
      </c>
    </row>
    <row r="1081" spans="1:28" x14ac:dyDescent="0.25">
      <c r="A1081" t="s">
        <v>1085</v>
      </c>
      <c r="B1081">
        <v>0.99987803227770999</v>
      </c>
      <c r="C1081">
        <v>1.1522444448499201</v>
      </c>
      <c r="D1081">
        <v>1.0300100284944</v>
      </c>
      <c r="E1081">
        <v>1.15809166506243</v>
      </c>
      <c r="F1081">
        <v>1.1351169847029701</v>
      </c>
      <c r="G1081">
        <v>1.07983016359318</v>
      </c>
      <c r="H1081">
        <v>0.82634446378034798</v>
      </c>
      <c r="I1081">
        <v>0.769665622649785</v>
      </c>
      <c r="J1081">
        <v>0.61235774184716696</v>
      </c>
      <c r="K1081">
        <v>0.34564506835915199</v>
      </c>
      <c r="L1081">
        <v>1347.2476487843001</v>
      </c>
      <c r="M1081">
        <v>19.807788821730501</v>
      </c>
      <c r="N1081">
        <v>68.016055525989103</v>
      </c>
      <c r="O1081">
        <v>67.334184442728301</v>
      </c>
      <c r="P1081">
        <v>-7.3545325685799204E-2</v>
      </c>
      <c r="Q1081">
        <v>0</v>
      </c>
      <c r="R1081">
        <v>0.867218799009563</v>
      </c>
      <c r="S1081" t="s">
        <v>7392</v>
      </c>
      <c r="T1081" t="s">
        <v>12620</v>
      </c>
      <c r="U1081" t="s">
        <v>12620</v>
      </c>
      <c r="V1081" t="s">
        <v>12620</v>
      </c>
      <c r="W1081" t="s">
        <v>13672</v>
      </c>
      <c r="X1081">
        <v>5</v>
      </c>
      <c r="Y1081" t="s">
        <v>19906</v>
      </c>
      <c r="Z1081" t="s">
        <v>26028</v>
      </c>
      <c r="AA1081">
        <v>0.89116720250308668</v>
      </c>
      <c r="AB1081" t="str">
        <f>HYPERLINK("Melting_Curves/meltCurve_O43464_3_HTRA2.pdf", "Melting_Curves/meltCurve_O43464_3_HTRA2.pdf")</f>
        <v>Melting_Curves/meltCurve_O43464_3_HTRA2.pdf</v>
      </c>
    </row>
    <row r="1082" spans="1:28" x14ac:dyDescent="0.25">
      <c r="A1082" t="s">
        <v>1086</v>
      </c>
      <c r="B1082">
        <v>0.99987803227770999</v>
      </c>
      <c r="C1082">
        <v>1.0043518619343601</v>
      </c>
      <c r="D1082">
        <v>0.90418631198438104</v>
      </c>
      <c r="E1082">
        <v>0.87820908443013601</v>
      </c>
      <c r="F1082">
        <v>0.74090002942165201</v>
      </c>
      <c r="G1082">
        <v>0.50536771509343603</v>
      </c>
      <c r="H1082">
        <v>0.26577654828410402</v>
      </c>
      <c r="I1082">
        <v>0.16274266068450499</v>
      </c>
      <c r="J1082">
        <v>8.2614371319752494E-2</v>
      </c>
      <c r="K1082">
        <v>5.7678754695782201E-2</v>
      </c>
      <c r="L1082">
        <v>819.78620542007195</v>
      </c>
      <c r="M1082">
        <v>14.430434163576001</v>
      </c>
      <c r="N1082">
        <v>56.8095467350429</v>
      </c>
      <c r="O1082">
        <v>55.751983906281801</v>
      </c>
      <c r="P1082">
        <v>-6.4715773076300206E-2</v>
      </c>
      <c r="Q1082">
        <v>0</v>
      </c>
      <c r="R1082">
        <v>0.996458728489374</v>
      </c>
      <c r="S1082" t="s">
        <v>7393</v>
      </c>
      <c r="T1082" t="s">
        <v>12620</v>
      </c>
      <c r="U1082" t="s">
        <v>12620</v>
      </c>
      <c r="V1082" t="s">
        <v>12620</v>
      </c>
      <c r="W1082" t="s">
        <v>13673</v>
      </c>
      <c r="X1082">
        <v>2</v>
      </c>
      <c r="Y1082" t="s">
        <v>19907</v>
      </c>
      <c r="Z1082" t="s">
        <v>26029</v>
      </c>
      <c r="AA1082">
        <v>0.57690780954532161</v>
      </c>
      <c r="AB1082" t="str">
        <f>HYPERLINK("Melting_Curves/meltCurve_O43482_OIP5.pdf", "Melting_Curves/meltCurve_O43482_OIP5.pdf")</f>
        <v>Melting_Curves/meltCurve_O43482_OIP5.pdf</v>
      </c>
    </row>
    <row r="1083" spans="1:28" x14ac:dyDescent="0.25">
      <c r="A1083" t="s">
        <v>1087</v>
      </c>
      <c r="B1083">
        <v>0.99987803227770999</v>
      </c>
      <c r="C1083">
        <v>1.0014732796866499</v>
      </c>
      <c r="D1083">
        <v>1.0217034913126799</v>
      </c>
      <c r="E1083">
        <v>0.99786207694727702</v>
      </c>
      <c r="F1083">
        <v>0.89009872335953699</v>
      </c>
      <c r="G1083">
        <v>0.48942898635491999</v>
      </c>
      <c r="H1083">
        <v>0.38741809388776199</v>
      </c>
      <c r="I1083">
        <v>0.33752698484841498</v>
      </c>
      <c r="J1083">
        <v>0.361735978984352</v>
      </c>
      <c r="K1083">
        <v>0.284921267165542</v>
      </c>
      <c r="L1083">
        <v>2049.1769777274098</v>
      </c>
      <c r="M1083">
        <v>37.074836762401297</v>
      </c>
      <c r="N1083">
        <v>56.9740299353887</v>
      </c>
      <c r="O1083">
        <v>55.1112987834343</v>
      </c>
      <c r="P1083">
        <v>-0.11186009608852999</v>
      </c>
      <c r="Q1083">
        <v>0.33488708024005998</v>
      </c>
      <c r="R1083">
        <v>0.99486228384852804</v>
      </c>
      <c r="S1083" t="s">
        <v>7394</v>
      </c>
      <c r="T1083" t="s">
        <v>12620</v>
      </c>
      <c r="U1083" t="s">
        <v>12620</v>
      </c>
      <c r="V1083" t="s">
        <v>12620</v>
      </c>
      <c r="W1083" t="s">
        <v>13674</v>
      </c>
      <c r="X1083">
        <v>41</v>
      </c>
      <c r="Y1083" t="s">
        <v>19467</v>
      </c>
      <c r="Z1083" t="s">
        <v>26030</v>
      </c>
      <c r="AA1083">
        <v>0.6763996203415118</v>
      </c>
      <c r="AB1083" t="str">
        <f>HYPERLINK("Melting_Curves/meltCurve_O43491_EPB41L2.pdf", "Melting_Curves/meltCurve_O43491_EPB41L2.pdf")</f>
        <v>Melting_Curves/meltCurve_O43491_EPB41L2.pdf</v>
      </c>
    </row>
    <row r="1084" spans="1:28" x14ac:dyDescent="0.25">
      <c r="A1084" t="s">
        <v>1088</v>
      </c>
      <c r="B1084">
        <v>0.99987803227770999</v>
      </c>
      <c r="C1084">
        <v>0.62510413584660796</v>
      </c>
      <c r="D1084">
        <v>0.81896560890655101</v>
      </c>
      <c r="E1084">
        <v>0.65553359553101698</v>
      </c>
      <c r="F1084">
        <v>1.0835367764673101</v>
      </c>
      <c r="G1084">
        <v>0.755332796789425</v>
      </c>
      <c r="H1084">
        <v>1.0178979497034899</v>
      </c>
      <c r="I1084">
        <v>0.75009036537579299</v>
      </c>
      <c r="J1084">
        <v>1.25814175089571</v>
      </c>
      <c r="K1084">
        <v>1.1165523748597801</v>
      </c>
      <c r="L1084">
        <v>1.0000000000000001E-5</v>
      </c>
      <c r="M1084">
        <v>20.185458830728201</v>
      </c>
      <c r="Q1084">
        <v>0.90810333948966704</v>
      </c>
      <c r="R1084">
        <v>0</v>
      </c>
      <c r="S1084" t="s">
        <v>7395</v>
      </c>
      <c r="T1084" t="s">
        <v>12620</v>
      </c>
      <c r="U1084" t="s">
        <v>12620</v>
      </c>
      <c r="V1084" t="s">
        <v>12620</v>
      </c>
      <c r="W1084" t="s">
        <v>13675</v>
      </c>
      <c r="X1084">
        <v>6</v>
      </c>
      <c r="Y1084" t="s">
        <v>19908</v>
      </c>
      <c r="Z1084" t="s">
        <v>26031</v>
      </c>
      <c r="AA1084">
        <v>0.90810333964701706</v>
      </c>
      <c r="AB1084" t="str">
        <f>HYPERLINK("Melting_Curves/meltCurve_O43493_4_TGOLN2.pdf", "Melting_Curves/meltCurve_O43493_4_TGOLN2.pdf")</f>
        <v>Melting_Curves/meltCurve_O43493_4_TGOLN2.pdf</v>
      </c>
    </row>
    <row r="1085" spans="1:28" x14ac:dyDescent="0.25">
      <c r="A1085" t="s">
        <v>1089</v>
      </c>
      <c r="B1085">
        <v>0.99987803227770999</v>
      </c>
      <c r="C1085">
        <v>0.96722179973363398</v>
      </c>
      <c r="D1085">
        <v>0.96303961146380102</v>
      </c>
      <c r="E1085">
        <v>0.80828338102358099</v>
      </c>
      <c r="F1085">
        <v>0.55571462904527602</v>
      </c>
      <c r="G1085">
        <v>0.25108712383347997</v>
      </c>
      <c r="H1085">
        <v>0.123238914672647</v>
      </c>
      <c r="I1085">
        <v>9.7952290738135397E-2</v>
      </c>
      <c r="J1085">
        <v>7.7725949305847503E-2</v>
      </c>
      <c r="K1085">
        <v>5.9934852407354598E-2</v>
      </c>
      <c r="L1085">
        <v>1093.0379286034799</v>
      </c>
      <c r="M1085">
        <v>20.519229950004402</v>
      </c>
      <c r="N1085">
        <v>53.605513937003799</v>
      </c>
      <c r="O1085">
        <v>52.770746032050603</v>
      </c>
      <c r="P1085">
        <v>-9.1336697638166597E-2</v>
      </c>
      <c r="Q1085">
        <v>6.0439496316861401E-2</v>
      </c>
      <c r="R1085">
        <v>0.99943472087098795</v>
      </c>
      <c r="S1085" t="s">
        <v>7396</v>
      </c>
      <c r="T1085" t="s">
        <v>12620</v>
      </c>
      <c r="U1085" t="s">
        <v>12620</v>
      </c>
      <c r="V1085" t="s">
        <v>12620</v>
      </c>
      <c r="W1085" t="s">
        <v>13676</v>
      </c>
      <c r="X1085">
        <v>6</v>
      </c>
      <c r="Y1085" t="s">
        <v>19909</v>
      </c>
      <c r="Z1085" t="s">
        <v>26032</v>
      </c>
      <c r="AA1085">
        <v>0.48834789196392803</v>
      </c>
      <c r="AB1085" t="str">
        <f>HYPERLINK("Melting_Curves/meltCurve_O43502_RAD51C.pdf", "Melting_Curves/meltCurve_O43502_RAD51C.pdf")</f>
        <v>Melting_Curves/meltCurve_O43502_RAD51C.pdf</v>
      </c>
    </row>
    <row r="1086" spans="1:28" x14ac:dyDescent="0.25">
      <c r="A1086" t="s">
        <v>1090</v>
      </c>
      <c r="B1086">
        <v>0.99987803227770999</v>
      </c>
      <c r="C1086">
        <v>1.1991582740882301</v>
      </c>
      <c r="D1086">
        <v>1.1788493219662699</v>
      </c>
      <c r="E1086">
        <v>1.56451971375437</v>
      </c>
      <c r="F1086">
        <v>1.7903640413800599</v>
      </c>
      <c r="G1086">
        <v>1.3254256952266199</v>
      </c>
      <c r="H1086">
        <v>1.0040850026474899</v>
      </c>
      <c r="I1086">
        <v>0.677837899288526</v>
      </c>
      <c r="J1086">
        <v>0.59919932584793001</v>
      </c>
      <c r="K1086">
        <v>0.41599702016316598</v>
      </c>
      <c r="L1086">
        <v>3805.7600684218501</v>
      </c>
      <c r="M1086">
        <v>59.763667086509699</v>
      </c>
      <c r="N1086">
        <v>67.693082785926606</v>
      </c>
      <c r="O1086">
        <v>63.608979607529399</v>
      </c>
      <c r="P1086">
        <v>-0.120841228689618</v>
      </c>
      <c r="Q1086">
        <v>0.48553464617111902</v>
      </c>
      <c r="R1086">
        <v>0.31925461256057602</v>
      </c>
      <c r="S1086" t="s">
        <v>7397</v>
      </c>
      <c r="T1086" t="s">
        <v>12620</v>
      </c>
      <c r="U1086" t="s">
        <v>12620</v>
      </c>
      <c r="V1086" t="s">
        <v>12620</v>
      </c>
      <c r="W1086" t="s">
        <v>13677</v>
      </c>
      <c r="X1086">
        <v>3</v>
      </c>
      <c r="Y1086" t="s">
        <v>19910</v>
      </c>
      <c r="Z1086" t="s">
        <v>26033</v>
      </c>
      <c r="AA1086">
        <v>0.89252806419479214</v>
      </c>
      <c r="AB1086" t="str">
        <f>HYPERLINK("Melting_Curves/meltCurve_O43513_MED7.pdf", "Melting_Curves/meltCurve_O43513_MED7.pdf")</f>
        <v>Melting_Curves/meltCurve_O43513_MED7.pdf</v>
      </c>
    </row>
    <row r="1087" spans="1:28" x14ac:dyDescent="0.25">
      <c r="A1087" t="s">
        <v>1091</v>
      </c>
      <c r="B1087">
        <v>0.99987803227770999</v>
      </c>
      <c r="C1087">
        <v>1.00294559875256</v>
      </c>
      <c r="D1087">
        <v>1.0045236210741399</v>
      </c>
      <c r="E1087">
        <v>0.92338171900676502</v>
      </c>
      <c r="F1087">
        <v>1.0661946726259399</v>
      </c>
      <c r="G1087">
        <v>0.92315807233934699</v>
      </c>
      <c r="H1087">
        <v>1.0991389672467</v>
      </c>
      <c r="I1087">
        <v>1.0956463785558099</v>
      </c>
      <c r="J1087">
        <v>1.14327280177757</v>
      </c>
      <c r="K1087">
        <v>0.96046274254446196</v>
      </c>
      <c r="L1087">
        <v>3797.4329088489699</v>
      </c>
      <c r="M1087">
        <v>63.941922021166697</v>
      </c>
      <c r="O1087">
        <v>59.330774225079701</v>
      </c>
      <c r="P1087">
        <v>2.02052206127048E-2</v>
      </c>
      <c r="Q1087">
        <v>1.074992491775</v>
      </c>
      <c r="R1087">
        <v>0.30495519385983</v>
      </c>
      <c r="S1087" t="s">
        <v>7398</v>
      </c>
      <c r="T1087" t="s">
        <v>12620</v>
      </c>
      <c r="U1087" t="s">
        <v>12620</v>
      </c>
      <c r="V1087" t="s">
        <v>12620</v>
      </c>
      <c r="W1087" t="s">
        <v>13678</v>
      </c>
      <c r="X1087">
        <v>16</v>
      </c>
      <c r="Y1087" t="s">
        <v>19911</v>
      </c>
      <c r="Z1087" t="s">
        <v>26034</v>
      </c>
      <c r="AA1087">
        <v>1.026405731670103</v>
      </c>
      <c r="AB1087" t="str">
        <f>HYPERLINK("Melting_Curves/meltCurve_O43516_WIPF1.pdf", "Melting_Curves/meltCurve_O43516_WIPF1.pdf")</f>
        <v>Melting_Curves/meltCurve_O43516_WIPF1.pdf</v>
      </c>
    </row>
    <row r="1088" spans="1:28" x14ac:dyDescent="0.25">
      <c r="A1088" t="s">
        <v>1092</v>
      </c>
      <c r="B1088">
        <v>0.99987803227770999</v>
      </c>
      <c r="C1088">
        <v>0.94575904922659804</v>
      </c>
      <c r="D1088">
        <v>0.88047820990866199</v>
      </c>
      <c r="E1088">
        <v>0.617220634882654</v>
      </c>
      <c r="F1088">
        <v>0.49987382430358501</v>
      </c>
      <c r="G1088">
        <v>0.18394661195968401</v>
      </c>
      <c r="H1088">
        <v>0.107378468039717</v>
      </c>
      <c r="I1088">
        <v>8.8228668756721806E-2</v>
      </c>
      <c r="J1088">
        <v>7.8153232733733799E-2</v>
      </c>
      <c r="K1088">
        <v>5.7781493617362699E-2</v>
      </c>
      <c r="L1088">
        <v>789.86486400546505</v>
      </c>
      <c r="M1088">
        <v>15.234643302423001</v>
      </c>
      <c r="N1088">
        <v>52.082720995745603</v>
      </c>
      <c r="O1088">
        <v>50.977932444753797</v>
      </c>
      <c r="P1088">
        <v>-7.2226098615201295E-2</v>
      </c>
      <c r="Q1088">
        <v>3.3364463827947E-2</v>
      </c>
      <c r="R1088">
        <v>0.99436448646549502</v>
      </c>
      <c r="S1088" t="s">
        <v>7399</v>
      </c>
      <c r="T1088" t="s">
        <v>12620</v>
      </c>
      <c r="U1088" t="s">
        <v>12620</v>
      </c>
      <c r="V1088" t="s">
        <v>12620</v>
      </c>
      <c r="W1088" t="s">
        <v>13679</v>
      </c>
      <c r="X1088">
        <v>7</v>
      </c>
      <c r="Y1088" t="s">
        <v>19912</v>
      </c>
      <c r="Z1088" t="s">
        <v>26035</v>
      </c>
      <c r="AA1088">
        <v>0.43628377618353142</v>
      </c>
      <c r="AB1088" t="str">
        <f>HYPERLINK("Melting_Curves/meltCurve_O43542_XRCC3.pdf", "Melting_Curves/meltCurve_O43542_XRCC3.pdf")</f>
        <v>Melting_Curves/meltCurve_O43542_XRCC3.pdf</v>
      </c>
    </row>
    <row r="1089" spans="1:28" x14ac:dyDescent="0.25">
      <c r="A1089" t="s">
        <v>1093</v>
      </c>
      <c r="B1089">
        <v>0.99987803227770999</v>
      </c>
      <c r="C1089">
        <v>0.99280882966848805</v>
      </c>
      <c r="D1089">
        <v>0.78229727576024199</v>
      </c>
      <c r="E1089">
        <v>0.75579837207991296</v>
      </c>
      <c r="F1089">
        <v>0.427139806459231</v>
      </c>
      <c r="G1089">
        <v>0.19532857386164701</v>
      </c>
      <c r="H1089">
        <v>9.8587549619104001E-2</v>
      </c>
      <c r="I1089">
        <v>8.6534888656255596E-2</v>
      </c>
      <c r="J1089">
        <v>6.4848181599265003E-2</v>
      </c>
      <c r="K1089">
        <v>4.76200741860663E-2</v>
      </c>
      <c r="L1089">
        <v>828.15015805214398</v>
      </c>
      <c r="M1089">
        <v>15.899469877345201</v>
      </c>
      <c r="N1089">
        <v>52.262055479522502</v>
      </c>
      <c r="O1089">
        <v>51.283569639564497</v>
      </c>
      <c r="P1089">
        <v>-7.5499909484618197E-2</v>
      </c>
      <c r="Q1089">
        <v>2.59817146393229E-2</v>
      </c>
      <c r="R1089">
        <v>0.984373310200511</v>
      </c>
      <c r="S1089" t="s">
        <v>7400</v>
      </c>
      <c r="T1089" t="s">
        <v>12620</v>
      </c>
      <c r="U1089" t="s">
        <v>12620</v>
      </c>
      <c r="V1089" t="s">
        <v>12620</v>
      </c>
      <c r="W1089" t="s">
        <v>13680</v>
      </c>
      <c r="X1089">
        <v>1</v>
      </c>
      <c r="Y1089" t="s">
        <v>19913</v>
      </c>
      <c r="Z1089" t="s">
        <v>26036</v>
      </c>
      <c r="AA1089">
        <v>0.43824123752090849</v>
      </c>
      <c r="AB1089" t="str">
        <f>HYPERLINK("Melting_Curves/meltCurve_O43543_XRCC2.pdf", "Melting_Curves/meltCurve_O43543_XRCC2.pdf")</f>
        <v>Melting_Curves/meltCurve_O43543_XRCC2.pdf</v>
      </c>
    </row>
    <row r="1090" spans="1:28" x14ac:dyDescent="0.25">
      <c r="A1090" t="s">
        <v>1094</v>
      </c>
      <c r="B1090">
        <v>0.99987803227770999</v>
      </c>
      <c r="C1090">
        <v>0.95078968507273298</v>
      </c>
      <c r="D1090">
        <v>0.53632979764684796</v>
      </c>
      <c r="E1090">
        <v>0.50909669832805005</v>
      </c>
      <c r="F1090">
        <v>0.27198216451634</v>
      </c>
      <c r="G1090">
        <v>0.18252980708887201</v>
      </c>
      <c r="H1090">
        <v>0.10527746755723399</v>
      </c>
      <c r="I1090">
        <v>9.4409723608005799E-2</v>
      </c>
      <c r="J1090">
        <v>6.6344844011981693E-2</v>
      </c>
      <c r="K1090">
        <v>4.9613902081009298E-2</v>
      </c>
      <c r="L1090">
        <v>633.67570298848398</v>
      </c>
      <c r="M1090">
        <v>13.064850543267299</v>
      </c>
      <c r="N1090">
        <v>48.882028593478204</v>
      </c>
      <c r="O1090">
        <v>47.408201955625103</v>
      </c>
      <c r="P1090">
        <v>-6.5582640995282104E-2</v>
      </c>
      <c r="Q1090">
        <v>4.8250440975908998E-2</v>
      </c>
      <c r="R1090">
        <v>0.96422363992493498</v>
      </c>
      <c r="S1090" t="s">
        <v>7401</v>
      </c>
      <c r="T1090" t="s">
        <v>12620</v>
      </c>
      <c r="U1090" t="s">
        <v>12620</v>
      </c>
      <c r="V1090" t="s">
        <v>12620</v>
      </c>
      <c r="W1090" t="s">
        <v>13681</v>
      </c>
      <c r="X1090">
        <v>3</v>
      </c>
      <c r="Y1090" t="s">
        <v>19914</v>
      </c>
      <c r="Z1090" t="s">
        <v>26037</v>
      </c>
      <c r="AA1090">
        <v>0.34901410466238381</v>
      </c>
      <c r="AB1090" t="str">
        <f>HYPERLINK("Melting_Curves/meltCurve_O43572_AKAP10.pdf", "Melting_Curves/meltCurve_O43572_AKAP10.pdf")</f>
        <v>Melting_Curves/meltCurve_O43572_AKAP10.pdf</v>
      </c>
    </row>
    <row r="1091" spans="1:28" x14ac:dyDescent="0.25">
      <c r="A1091" t="s">
        <v>1095</v>
      </c>
      <c r="B1091">
        <v>0.99987803227770999</v>
      </c>
      <c r="C1091">
        <v>0.86527568843412195</v>
      </c>
      <c r="D1091">
        <v>0.96024739655214797</v>
      </c>
      <c r="E1091">
        <v>0.90411908367551796</v>
      </c>
      <c r="F1091">
        <v>1.15429420036365</v>
      </c>
      <c r="G1091">
        <v>1.02148825946852</v>
      </c>
      <c r="H1091">
        <v>1.00046548533093</v>
      </c>
      <c r="I1091">
        <v>0.94535946144166805</v>
      </c>
      <c r="J1091">
        <v>0.81572919935433197</v>
      </c>
      <c r="K1091">
        <v>0.59711502475963096</v>
      </c>
      <c r="L1091">
        <v>2320.24165464712</v>
      </c>
      <c r="M1091">
        <v>33.802181123068401</v>
      </c>
      <c r="O1091">
        <v>68.402839336223295</v>
      </c>
      <c r="P1091">
        <v>-7.5554383437101094E-2</v>
      </c>
      <c r="Q1091">
        <v>0.388428196953164</v>
      </c>
      <c r="R1091">
        <v>0.73091827873065796</v>
      </c>
      <c r="S1091" t="s">
        <v>7402</v>
      </c>
      <c r="T1091" t="s">
        <v>12620</v>
      </c>
      <c r="U1091" t="s">
        <v>12620</v>
      </c>
      <c r="V1091" t="s">
        <v>12620</v>
      </c>
      <c r="W1091" t="s">
        <v>13682</v>
      </c>
      <c r="X1091">
        <v>13</v>
      </c>
      <c r="Y1091" t="s">
        <v>19915</v>
      </c>
      <c r="Z1091" t="s">
        <v>26038</v>
      </c>
      <c r="AA1091">
        <v>0.95705644445411886</v>
      </c>
      <c r="AB1091" t="str">
        <f>HYPERLINK("Melting_Curves/meltCurve_O43583_DENR.pdf", "Melting_Curves/meltCurve_O43583_DENR.pdf")</f>
        <v>Melting_Curves/meltCurve_O43583_DENR.pdf</v>
      </c>
    </row>
    <row r="1092" spans="1:28" x14ac:dyDescent="0.25">
      <c r="A1092" t="s">
        <v>1096</v>
      </c>
      <c r="B1092">
        <v>0.99987803227770999</v>
      </c>
      <c r="C1092">
        <v>1.1661840677005999</v>
      </c>
      <c r="D1092">
        <v>0.85921992977781902</v>
      </c>
      <c r="E1092">
        <v>0.95889333311694502</v>
      </c>
      <c r="F1092">
        <v>0.29939571752067501</v>
      </c>
      <c r="G1092">
        <v>0.18027590714431899</v>
      </c>
      <c r="H1092">
        <v>0.13542768617737899</v>
      </c>
      <c r="I1092">
        <v>0.115288238918152</v>
      </c>
      <c r="J1092">
        <v>8.7606562265752599E-2</v>
      </c>
      <c r="K1092">
        <v>5.9053451122596801E-2</v>
      </c>
      <c r="L1092">
        <v>3764.3597634140701</v>
      </c>
      <c r="M1092">
        <v>72.349229564394307</v>
      </c>
      <c r="N1092">
        <v>52.218968939750901</v>
      </c>
      <c r="O1092">
        <v>51.990696179173099</v>
      </c>
      <c r="P1092">
        <v>-0.30790209310183603</v>
      </c>
      <c r="Q1092">
        <v>0.114957210136947</v>
      </c>
      <c r="R1092">
        <v>0.96933804659141098</v>
      </c>
      <c r="S1092" t="s">
        <v>7403</v>
      </c>
      <c r="T1092" t="s">
        <v>12620</v>
      </c>
      <c r="U1092" t="s">
        <v>12620</v>
      </c>
      <c r="V1092" t="s">
        <v>12620</v>
      </c>
      <c r="W1092" t="s">
        <v>13683</v>
      </c>
      <c r="X1092">
        <v>22</v>
      </c>
      <c r="Y1092" t="s">
        <v>19916</v>
      </c>
      <c r="Z1092" t="s">
        <v>26039</v>
      </c>
      <c r="AA1092">
        <v>0.47083863944715421</v>
      </c>
      <c r="AB1092" t="str">
        <f>HYPERLINK("Melting_Curves/meltCurve_O43592_XPOT.pdf", "Melting_Curves/meltCurve_O43592_XPOT.pdf")</f>
        <v>Melting_Curves/meltCurve_O43592_XPOT.pdf</v>
      </c>
    </row>
    <row r="1093" spans="1:28" x14ac:dyDescent="0.25">
      <c r="A1093" t="s">
        <v>1097</v>
      </c>
      <c r="B1093">
        <v>0.99987803227770999</v>
      </c>
      <c r="C1093">
        <v>1.03569965496825</v>
      </c>
      <c r="D1093">
        <v>1.0562230938338</v>
      </c>
      <c r="E1093">
        <v>0.92571078114875405</v>
      </c>
      <c r="F1093">
        <v>1.00284021883033</v>
      </c>
      <c r="G1093">
        <v>0.54345258805674701</v>
      </c>
      <c r="H1093">
        <v>0.44651085168654198</v>
      </c>
      <c r="I1093">
        <v>0.28455879947312201</v>
      </c>
      <c r="J1093">
        <v>0.18935390799711099</v>
      </c>
      <c r="K1093">
        <v>0.117977637882851</v>
      </c>
      <c r="L1093">
        <v>1080.8679279985699</v>
      </c>
      <c r="M1093">
        <v>18.501050478034799</v>
      </c>
      <c r="N1093">
        <v>59.2304858918341</v>
      </c>
      <c r="O1093">
        <v>57.752261456492</v>
      </c>
      <c r="P1093">
        <v>-7.1154253621342298E-2</v>
      </c>
      <c r="Q1093">
        <v>0.11158838079486399</v>
      </c>
      <c r="R1093">
        <v>0.97081391754034296</v>
      </c>
      <c r="S1093" t="s">
        <v>7404</v>
      </c>
      <c r="T1093" t="s">
        <v>12620</v>
      </c>
      <c r="U1093" t="s">
        <v>12620</v>
      </c>
      <c r="V1093" t="s">
        <v>12620</v>
      </c>
      <c r="W1093" t="s">
        <v>13684</v>
      </c>
      <c r="X1093">
        <v>4</v>
      </c>
      <c r="Y1093" t="s">
        <v>19917</v>
      </c>
      <c r="Z1093" t="s">
        <v>26040</v>
      </c>
      <c r="AA1093">
        <v>0.66733616540486762</v>
      </c>
      <c r="AB1093" t="str">
        <f>HYPERLINK("Melting_Curves/meltCurve_O43598_DNPH1.pdf", "Melting_Curves/meltCurve_O43598_DNPH1.pdf")</f>
        <v>Melting_Curves/meltCurve_O43598_DNPH1.pdf</v>
      </c>
    </row>
    <row r="1094" spans="1:28" x14ac:dyDescent="0.25">
      <c r="A1094" t="s">
        <v>1098</v>
      </c>
      <c r="B1094">
        <v>0.99987803227770999</v>
      </c>
      <c r="C1094">
        <v>0.71007867936491298</v>
      </c>
      <c r="D1094">
        <v>0.90830599236437903</v>
      </c>
      <c r="E1094">
        <v>0.87784177590636603</v>
      </c>
      <c r="F1094">
        <v>0.82819311886107805</v>
      </c>
      <c r="G1094">
        <v>0.40209036295593897</v>
      </c>
      <c r="H1094">
        <v>0.189888262898156</v>
      </c>
      <c r="I1094">
        <v>0.14909041327073899</v>
      </c>
      <c r="J1094">
        <v>0.12984720999726701</v>
      </c>
      <c r="K1094">
        <v>8.4572583511289198E-2</v>
      </c>
      <c r="L1094">
        <v>1205.27979632798</v>
      </c>
      <c r="M1094">
        <v>21.666068369967899</v>
      </c>
      <c r="N1094">
        <v>56.123307923168099</v>
      </c>
      <c r="O1094">
        <v>55.162424797325798</v>
      </c>
      <c r="P1094">
        <v>-8.9678251044087998E-2</v>
      </c>
      <c r="Q1094">
        <v>8.6728146312729404E-2</v>
      </c>
      <c r="R1094">
        <v>0.92144361564579602</v>
      </c>
      <c r="S1094" t="s">
        <v>7405</v>
      </c>
      <c r="T1094" t="s">
        <v>12620</v>
      </c>
      <c r="U1094" t="s">
        <v>12620</v>
      </c>
      <c r="V1094" t="s">
        <v>12620</v>
      </c>
      <c r="W1094" t="s">
        <v>13685</v>
      </c>
      <c r="X1094">
        <v>13</v>
      </c>
      <c r="Y1094" t="s">
        <v>19918</v>
      </c>
      <c r="Z1094" t="s">
        <v>26041</v>
      </c>
      <c r="AA1094">
        <v>0.57314341964298809</v>
      </c>
      <c r="AB1094" t="str">
        <f>HYPERLINK("Melting_Curves/meltCurve_O43615_TIMM44.pdf", "Melting_Curves/meltCurve_O43615_TIMM44.pdf")</f>
        <v>Melting_Curves/meltCurve_O43615_TIMM44.pdf</v>
      </c>
    </row>
    <row r="1095" spans="1:28" x14ac:dyDescent="0.25">
      <c r="A1095" t="s">
        <v>1099</v>
      </c>
      <c r="B1095">
        <v>0.99987803227770999</v>
      </c>
      <c r="C1095">
        <v>0.99523493661127804</v>
      </c>
      <c r="D1095">
        <v>0.994172509978965</v>
      </c>
      <c r="E1095">
        <v>1.05582784810206</v>
      </c>
      <c r="F1095">
        <v>1.0737550491468999</v>
      </c>
      <c r="G1095">
        <v>1.00774194835479</v>
      </c>
      <c r="H1095">
        <v>0.88480193314759703</v>
      </c>
      <c r="I1095">
        <v>0.69122892305726802</v>
      </c>
      <c r="J1095">
        <v>0.43222891677637398</v>
      </c>
      <c r="K1095">
        <v>0.19288299297460301</v>
      </c>
      <c r="L1095">
        <v>1668.6933772740799</v>
      </c>
      <c r="M1095">
        <v>25.228883303345299</v>
      </c>
      <c r="N1095">
        <v>66.142180925442602</v>
      </c>
      <c r="O1095">
        <v>65.730819560322303</v>
      </c>
      <c r="P1095">
        <v>-9.5956549725042695E-2</v>
      </c>
      <c r="Q1095">
        <v>0</v>
      </c>
      <c r="R1095">
        <v>0.98781460794057296</v>
      </c>
      <c r="S1095" t="s">
        <v>7406</v>
      </c>
      <c r="T1095" t="s">
        <v>12620</v>
      </c>
      <c r="U1095" t="s">
        <v>12620</v>
      </c>
      <c r="V1095" t="s">
        <v>12620</v>
      </c>
      <c r="W1095" t="s">
        <v>13686</v>
      </c>
      <c r="X1095">
        <v>8</v>
      </c>
      <c r="Y1095" t="s">
        <v>19919</v>
      </c>
      <c r="Z1095" t="s">
        <v>26042</v>
      </c>
      <c r="AA1095">
        <v>0.85906700431152438</v>
      </c>
      <c r="AB1095" t="str">
        <f>HYPERLINK("Melting_Curves/meltCurve_O43617_TRAPPC3.pdf", "Melting_Curves/meltCurve_O43617_TRAPPC3.pdf")</f>
        <v>Melting_Curves/meltCurve_O43617_TRAPPC3.pdf</v>
      </c>
    </row>
    <row r="1096" spans="1:28" x14ac:dyDescent="0.25">
      <c r="A1096" t="s">
        <v>1100</v>
      </c>
      <c r="B1096">
        <v>0.99987803227770999</v>
      </c>
      <c r="C1096">
        <v>0.909261983493168</v>
      </c>
      <c r="D1096">
        <v>1.0394293245932</v>
      </c>
      <c r="E1096">
        <v>0.94825408083752705</v>
      </c>
      <c r="F1096">
        <v>1.0551390764778501</v>
      </c>
      <c r="G1096">
        <v>0.77675482358603298</v>
      </c>
      <c r="H1096">
        <v>0.600429257710278</v>
      </c>
      <c r="I1096">
        <v>0.307980915395141</v>
      </c>
      <c r="J1096">
        <v>0.140578675796275</v>
      </c>
      <c r="K1096">
        <v>0.10229254182662401</v>
      </c>
      <c r="L1096">
        <v>1272.3007596510799</v>
      </c>
      <c r="M1096">
        <v>20.645324190826098</v>
      </c>
      <c r="N1096">
        <v>61.661202069712701</v>
      </c>
      <c r="O1096">
        <v>61.057126388697498</v>
      </c>
      <c r="P1096">
        <v>-8.4048247386263097E-2</v>
      </c>
      <c r="Q1096">
        <v>5.7609087287607604E-3</v>
      </c>
      <c r="R1096">
        <v>0.97869137154306696</v>
      </c>
      <c r="S1096" t="s">
        <v>7407</v>
      </c>
      <c r="T1096" t="s">
        <v>12620</v>
      </c>
      <c r="U1096" t="s">
        <v>12620</v>
      </c>
      <c r="V1096" t="s">
        <v>12620</v>
      </c>
      <c r="W1096" t="s">
        <v>13687</v>
      </c>
      <c r="X1096">
        <v>11</v>
      </c>
      <c r="Y1096" t="s">
        <v>19920</v>
      </c>
      <c r="Z1096" t="s">
        <v>26043</v>
      </c>
      <c r="AA1096">
        <v>0.72702606920800172</v>
      </c>
      <c r="AB1096" t="str">
        <f>HYPERLINK("Melting_Curves/meltCurve_O43633_CHMP2A.pdf", "Melting_Curves/meltCurve_O43633_CHMP2A.pdf")</f>
        <v>Melting_Curves/meltCurve_O43633_CHMP2A.pdf</v>
      </c>
    </row>
    <row r="1097" spans="1:28" x14ac:dyDescent="0.25">
      <c r="A1097" t="s">
        <v>1101</v>
      </c>
      <c r="B1097">
        <v>0.99987803227770999</v>
      </c>
      <c r="C1097">
        <v>0.91616061937109095</v>
      </c>
      <c r="D1097">
        <v>1.0081306239985499</v>
      </c>
      <c r="E1097">
        <v>0.75223453222047698</v>
      </c>
      <c r="F1097">
        <v>0.45947348236903801</v>
      </c>
      <c r="G1097">
        <v>0.293136802211033</v>
      </c>
      <c r="H1097">
        <v>0.24449354298915399</v>
      </c>
      <c r="I1097">
        <v>0.240310553815613</v>
      </c>
      <c r="J1097">
        <v>0.208612369894</v>
      </c>
      <c r="K1097">
        <v>0.15575920707032601</v>
      </c>
      <c r="L1097">
        <v>1298.8131888632299</v>
      </c>
      <c r="M1097">
        <v>25.186858596851199</v>
      </c>
      <c r="N1097">
        <v>52.693483772777903</v>
      </c>
      <c r="O1097">
        <v>51.245329169501801</v>
      </c>
      <c r="P1097">
        <v>-9.7297681933166694E-2</v>
      </c>
      <c r="Q1097">
        <v>0.208160714547617</v>
      </c>
      <c r="R1097">
        <v>0.98860914683287804</v>
      </c>
      <c r="S1097" t="s">
        <v>7408</v>
      </c>
      <c r="T1097" t="s">
        <v>12620</v>
      </c>
      <c r="U1097" t="s">
        <v>12620</v>
      </c>
      <c r="V1097" t="s">
        <v>12620</v>
      </c>
      <c r="W1097" t="s">
        <v>13688</v>
      </c>
      <c r="X1097">
        <v>6</v>
      </c>
      <c r="Y1097" t="s">
        <v>19921</v>
      </c>
      <c r="Z1097" t="s">
        <v>26044</v>
      </c>
      <c r="AA1097">
        <v>0.52056372023094188</v>
      </c>
      <c r="AB1097" t="str">
        <f>HYPERLINK("Melting_Curves/meltCurve_O43639_NCK2.pdf", "Melting_Curves/meltCurve_O43639_NCK2.pdf")</f>
        <v>Melting_Curves/meltCurve_O43639_NCK2.pdf</v>
      </c>
    </row>
    <row r="1098" spans="1:28" x14ac:dyDescent="0.25">
      <c r="A1098" t="s">
        <v>1102</v>
      </c>
      <c r="B1098">
        <v>0.99987803227770999</v>
      </c>
      <c r="C1098">
        <v>0.90711582539146896</v>
      </c>
      <c r="D1098">
        <v>0.63987592253706604</v>
      </c>
      <c r="E1098">
        <v>0.66566778068449595</v>
      </c>
      <c r="F1098">
        <v>0.50358071220489697</v>
      </c>
      <c r="G1098">
        <v>0.37846967075813198</v>
      </c>
      <c r="H1098">
        <v>0.39422081767195699</v>
      </c>
      <c r="I1098">
        <v>0.27022818961853801</v>
      </c>
      <c r="J1098">
        <v>0.36396083902187898</v>
      </c>
      <c r="K1098">
        <v>0.22144586209158901</v>
      </c>
      <c r="L1098">
        <v>490.17662035023199</v>
      </c>
      <c r="M1098">
        <v>9.8867448543797103</v>
      </c>
      <c r="N1098">
        <v>53.096599764323301</v>
      </c>
      <c r="O1098">
        <v>47.678651600590499</v>
      </c>
      <c r="P1098">
        <v>-3.9404973276563199E-2</v>
      </c>
      <c r="Q1098">
        <v>0.240266826035303</v>
      </c>
      <c r="R1098">
        <v>0.94001378738588304</v>
      </c>
      <c r="S1098" t="s">
        <v>7409</v>
      </c>
      <c r="T1098" t="s">
        <v>12620</v>
      </c>
      <c r="U1098" t="s">
        <v>12620</v>
      </c>
      <c r="V1098" t="s">
        <v>12620</v>
      </c>
      <c r="W1098" t="s">
        <v>13689</v>
      </c>
      <c r="X1098">
        <v>1</v>
      </c>
      <c r="Y1098" t="s">
        <v>19922</v>
      </c>
      <c r="Z1098" t="s">
        <v>26045</v>
      </c>
      <c r="AA1098">
        <v>0.51894944599996773</v>
      </c>
      <c r="AB1098" t="str">
        <f>HYPERLINK("Melting_Curves/meltCurve_O43657_TSPAN6.pdf", "Melting_Curves/meltCurve_O43657_TSPAN6.pdf")</f>
        <v>Melting_Curves/meltCurve_O43657_TSPAN6.pdf</v>
      </c>
    </row>
    <row r="1099" spans="1:28" x14ac:dyDescent="0.25">
      <c r="A1099" t="s">
        <v>1103</v>
      </c>
      <c r="B1099">
        <v>0.99987803227770999</v>
      </c>
      <c r="C1099">
        <v>0.96700010752445498</v>
      </c>
      <c r="D1099">
        <v>1.1306001229126099</v>
      </c>
      <c r="E1099">
        <v>1.02603886134171</v>
      </c>
      <c r="F1099">
        <v>1.0665191220302399</v>
      </c>
      <c r="G1099">
        <v>0.794681767659705</v>
      </c>
      <c r="H1099">
        <v>0.70612117435036104</v>
      </c>
      <c r="I1099">
        <v>0.66205847004596796</v>
      </c>
      <c r="J1099">
        <v>0.65491651023156705</v>
      </c>
      <c r="K1099">
        <v>0.45528251834092298</v>
      </c>
      <c r="L1099">
        <v>1051.6163443139601</v>
      </c>
      <c r="M1099">
        <v>17.3584385740287</v>
      </c>
      <c r="O1099">
        <v>59.795540709578297</v>
      </c>
      <c r="P1099">
        <v>-3.7168039576890001E-2</v>
      </c>
      <c r="Q1099">
        <v>0.48789022846626101</v>
      </c>
      <c r="R1099">
        <v>0.88340643379795303</v>
      </c>
      <c r="S1099" t="s">
        <v>7410</v>
      </c>
      <c r="T1099" t="s">
        <v>12620</v>
      </c>
      <c r="U1099" t="s">
        <v>12620</v>
      </c>
      <c r="V1099" t="s">
        <v>12620</v>
      </c>
      <c r="W1099" t="s">
        <v>13690</v>
      </c>
      <c r="X1099">
        <v>5</v>
      </c>
      <c r="Y1099" t="s">
        <v>19923</v>
      </c>
      <c r="Z1099" t="s">
        <v>26046</v>
      </c>
      <c r="AA1099">
        <v>0.84248199248063516</v>
      </c>
      <c r="AB1099" t="str">
        <f>HYPERLINK("Melting_Curves/meltCurve_O43660_2_PLRG1.pdf", "Melting_Curves/meltCurve_O43660_2_PLRG1.pdf")</f>
        <v>Melting_Curves/meltCurve_O43660_2_PLRG1.pdf</v>
      </c>
    </row>
    <row r="1100" spans="1:28" x14ac:dyDescent="0.25">
      <c r="A1100" t="s">
        <v>1104</v>
      </c>
      <c r="B1100">
        <v>0.99987803227770999</v>
      </c>
      <c r="C1100">
        <v>0.87967994115739201</v>
      </c>
      <c r="D1100">
        <v>0.647161324041584</v>
      </c>
      <c r="E1100">
        <v>0.41383787211509898</v>
      </c>
      <c r="F1100">
        <v>0.30506303810894603</v>
      </c>
      <c r="G1100">
        <v>0.20823176385036199</v>
      </c>
      <c r="H1100">
        <v>0.133174141664678</v>
      </c>
      <c r="I1100">
        <v>0.104468752210526</v>
      </c>
      <c r="J1100">
        <v>8.8206527279407004E-2</v>
      </c>
      <c r="K1100">
        <v>6.75812495811067E-2</v>
      </c>
      <c r="L1100">
        <v>658.12932838527695</v>
      </c>
      <c r="M1100">
        <v>13.648062846595</v>
      </c>
      <c r="N1100">
        <v>48.817991247463098</v>
      </c>
      <c r="O1100">
        <v>47.221525034792798</v>
      </c>
      <c r="P1100">
        <v>-6.6715778560808403E-2</v>
      </c>
      <c r="Q1100">
        <v>7.6803664042479805E-2</v>
      </c>
      <c r="R1100">
        <v>0.99348601955520299</v>
      </c>
      <c r="S1100" t="s">
        <v>7411</v>
      </c>
      <c r="T1100" t="s">
        <v>12620</v>
      </c>
      <c r="U1100" t="s">
        <v>12620</v>
      </c>
      <c r="V1100" t="s">
        <v>12620</v>
      </c>
      <c r="W1100" t="s">
        <v>13691</v>
      </c>
      <c r="X1100">
        <v>11</v>
      </c>
      <c r="Y1100" t="s">
        <v>19924</v>
      </c>
      <c r="Z1100" t="s">
        <v>26047</v>
      </c>
      <c r="AA1100">
        <v>0.35799625389256973</v>
      </c>
      <c r="AB1100" t="str">
        <f>HYPERLINK("Melting_Curves/meltCurve_O43663_PRC1.pdf", "Melting_Curves/meltCurve_O43663_PRC1.pdf")</f>
        <v>Melting_Curves/meltCurve_O43663_PRC1.pdf</v>
      </c>
    </row>
    <row r="1101" spans="1:28" x14ac:dyDescent="0.25">
      <c r="A1101" t="s">
        <v>1105</v>
      </c>
      <c r="B1101">
        <v>0.99987803227770999</v>
      </c>
      <c r="C1101">
        <v>0.844807845740142</v>
      </c>
      <c r="D1101">
        <v>0.95657979954403805</v>
      </c>
      <c r="E1101">
        <v>0.84592018721946505</v>
      </c>
      <c r="F1101">
        <v>1.0569901750485</v>
      </c>
      <c r="G1101">
        <v>0.74903859429531505</v>
      </c>
      <c r="H1101">
        <v>0.66657465305933805</v>
      </c>
      <c r="I1101">
        <v>0.50584125148791304</v>
      </c>
      <c r="J1101">
        <v>0.39946003876188202</v>
      </c>
      <c r="K1101">
        <v>0.28187506415312702</v>
      </c>
      <c r="L1101">
        <v>703.33054305073301</v>
      </c>
      <c r="M1101">
        <v>10.933236620157199</v>
      </c>
      <c r="N1101">
        <v>64.329604672466402</v>
      </c>
      <c r="O1101">
        <v>62.289787839498402</v>
      </c>
      <c r="P1101">
        <v>-4.3895702087722199E-2</v>
      </c>
      <c r="Q1101">
        <v>0</v>
      </c>
      <c r="R1101">
        <v>0.90197367556045205</v>
      </c>
      <c r="S1101" t="s">
        <v>7412</v>
      </c>
      <c r="T1101" t="s">
        <v>12620</v>
      </c>
      <c r="U1101" t="s">
        <v>12620</v>
      </c>
      <c r="V1101" t="s">
        <v>12620</v>
      </c>
      <c r="W1101" t="s">
        <v>13692</v>
      </c>
      <c r="X1101">
        <v>7</v>
      </c>
      <c r="Y1101" t="s">
        <v>19925</v>
      </c>
      <c r="Z1101" t="s">
        <v>26048</v>
      </c>
      <c r="AA1101">
        <v>0.77179964572993243</v>
      </c>
      <c r="AB1101" t="str">
        <f>HYPERLINK("Melting_Curves/meltCurve_O43665_2_RGS10.pdf", "Melting_Curves/meltCurve_O43665_2_RGS10.pdf")</f>
        <v>Melting_Curves/meltCurve_O43665_2_RGS10.pdf</v>
      </c>
    </row>
    <row r="1102" spans="1:28" x14ac:dyDescent="0.25">
      <c r="A1102" t="s">
        <v>1106</v>
      </c>
      <c r="B1102">
        <v>0.99987803227770999</v>
      </c>
      <c r="C1102">
        <v>0.92229998227765198</v>
      </c>
      <c r="D1102">
        <v>1.0104087153800201</v>
      </c>
      <c r="E1102">
        <v>0.91154546498076505</v>
      </c>
      <c r="F1102">
        <v>1.0216088301578401</v>
      </c>
      <c r="G1102">
        <v>0.90493064043326799</v>
      </c>
      <c r="H1102">
        <v>0.79152191496402002</v>
      </c>
      <c r="I1102">
        <v>0.63190644965174603</v>
      </c>
      <c r="J1102">
        <v>0.41785091992744799</v>
      </c>
      <c r="K1102">
        <v>0.31630309794237899</v>
      </c>
      <c r="L1102">
        <v>1099.37136303439</v>
      </c>
      <c r="M1102">
        <v>16.851703320346399</v>
      </c>
      <c r="N1102">
        <v>65.9667801738984</v>
      </c>
      <c r="O1102">
        <v>64.340078485115001</v>
      </c>
      <c r="P1102">
        <v>-5.9921384849487599E-2</v>
      </c>
      <c r="Q1102">
        <v>8.4935042899880395E-2</v>
      </c>
      <c r="R1102">
        <v>0.97215394105994202</v>
      </c>
      <c r="S1102" t="s">
        <v>7413</v>
      </c>
      <c r="T1102" t="s">
        <v>12620</v>
      </c>
      <c r="U1102" t="s">
        <v>12620</v>
      </c>
      <c r="V1102" t="s">
        <v>12620</v>
      </c>
      <c r="W1102" t="s">
        <v>13693</v>
      </c>
      <c r="X1102">
        <v>10</v>
      </c>
      <c r="Y1102" t="s">
        <v>19649</v>
      </c>
      <c r="Z1102" t="s">
        <v>26049</v>
      </c>
      <c r="AA1102">
        <v>0.83502731220762305</v>
      </c>
      <c r="AB1102" t="str">
        <f>HYPERLINK("Melting_Curves/meltCurve_O43670_2_ZNF207.pdf", "Melting_Curves/meltCurve_O43670_2_ZNF207.pdf")</f>
        <v>Melting_Curves/meltCurve_O43670_2_ZNF207.pdf</v>
      </c>
    </row>
    <row r="1103" spans="1:28" x14ac:dyDescent="0.25">
      <c r="A1103" t="s">
        <v>1107</v>
      </c>
      <c r="B1103">
        <v>0.99987803227770999</v>
      </c>
      <c r="C1103">
        <v>1.4553485276295799</v>
      </c>
      <c r="D1103">
        <v>1.05193668179669</v>
      </c>
      <c r="E1103">
        <v>1.5982163524947299</v>
      </c>
      <c r="F1103">
        <v>0.67858500261626298</v>
      </c>
      <c r="G1103">
        <v>0.34276291636977002</v>
      </c>
      <c r="H1103">
        <v>0.21000551228850001</v>
      </c>
      <c r="I1103">
        <v>0.22065229245700599</v>
      </c>
      <c r="J1103">
        <v>0.13856101575802199</v>
      </c>
      <c r="K1103">
        <v>0.10374231466959299</v>
      </c>
      <c r="L1103">
        <v>13270.7500784613</v>
      </c>
      <c r="M1103">
        <v>250</v>
      </c>
      <c r="N1103">
        <v>53.193934186880902</v>
      </c>
      <c r="O1103">
        <v>53.0795948807475</v>
      </c>
      <c r="P1103">
        <v>-0.93827851118084205</v>
      </c>
      <c r="Q1103">
        <v>0.203144781272215</v>
      </c>
      <c r="R1103">
        <v>0.78927049792952497</v>
      </c>
      <c r="S1103" t="s">
        <v>7414</v>
      </c>
      <c r="T1103" t="s">
        <v>12620</v>
      </c>
      <c r="U1103" t="s">
        <v>12620</v>
      </c>
      <c r="V1103" t="s">
        <v>12620</v>
      </c>
      <c r="W1103" t="s">
        <v>13694</v>
      </c>
      <c r="X1103">
        <v>1</v>
      </c>
      <c r="Y1103" t="s">
        <v>19926</v>
      </c>
      <c r="Z1103" t="s">
        <v>26050</v>
      </c>
      <c r="AA1103">
        <v>0.55072758539990718</v>
      </c>
      <c r="AB1103" t="str">
        <f>HYPERLINK("Melting_Curves/meltCurve_O43674_2_NDUFB5.pdf", "Melting_Curves/meltCurve_O43674_2_NDUFB5.pdf")</f>
        <v>Melting_Curves/meltCurve_O43674_2_NDUFB5.pdf</v>
      </c>
    </row>
    <row r="1104" spans="1:28" x14ac:dyDescent="0.25">
      <c r="A1104" t="s">
        <v>1108</v>
      </c>
      <c r="B1104">
        <v>0.99987803227770999</v>
      </c>
      <c r="C1104">
        <v>0.96628553875241197</v>
      </c>
      <c r="D1104">
        <v>1.0782981006868899</v>
      </c>
      <c r="E1104">
        <v>0.870626141011411</v>
      </c>
      <c r="F1104">
        <v>0.81726459941822804</v>
      </c>
      <c r="G1104">
        <v>0.33851125372978702</v>
      </c>
      <c r="H1104">
        <v>0.31134615252882197</v>
      </c>
      <c r="I1104">
        <v>0.32840050900777501</v>
      </c>
      <c r="J1104">
        <v>0.26991247631084803</v>
      </c>
      <c r="K1104">
        <v>0.20012474514447501</v>
      </c>
      <c r="L1104">
        <v>1937.62259071211</v>
      </c>
      <c r="M1104">
        <v>35.7217356002892</v>
      </c>
      <c r="N1104">
        <v>55.4230992222518</v>
      </c>
      <c r="O1104">
        <v>54.072973916787298</v>
      </c>
      <c r="P1104">
        <v>-0.12115196837209601</v>
      </c>
      <c r="Q1104">
        <v>0.26643818829521698</v>
      </c>
      <c r="R1104">
        <v>0.97491378720104704</v>
      </c>
      <c r="S1104" t="s">
        <v>7415</v>
      </c>
      <c r="T1104" t="s">
        <v>12620</v>
      </c>
      <c r="U1104" t="s">
        <v>12620</v>
      </c>
      <c r="V1104" t="s">
        <v>12620</v>
      </c>
      <c r="W1104" t="s">
        <v>13695</v>
      </c>
      <c r="X1104">
        <v>5</v>
      </c>
      <c r="Y1104" t="s">
        <v>19927</v>
      </c>
      <c r="Z1104" t="s">
        <v>26051</v>
      </c>
      <c r="AA1104">
        <v>0.61812335036985311</v>
      </c>
      <c r="AB1104" t="str">
        <f>HYPERLINK("Melting_Curves/meltCurve_O43678_NDUFA2.pdf", "Melting_Curves/meltCurve_O43678_NDUFA2.pdf")</f>
        <v>Melting_Curves/meltCurve_O43678_NDUFA2.pdf</v>
      </c>
    </row>
    <row r="1105" spans="1:28" x14ac:dyDescent="0.25">
      <c r="A1105" t="s">
        <v>1109</v>
      </c>
      <c r="B1105">
        <v>0.99987803227770999</v>
      </c>
      <c r="C1105">
        <v>1.12624889967768</v>
      </c>
      <c r="D1105">
        <v>1.0909783289641899</v>
      </c>
      <c r="E1105">
        <v>1.0363044056690001</v>
      </c>
      <c r="F1105">
        <v>0.65756733794962097</v>
      </c>
      <c r="G1105">
        <v>0.40816736134044901</v>
      </c>
      <c r="H1105">
        <v>0.15080650386116501</v>
      </c>
      <c r="I1105">
        <v>7.2988872434125704E-2</v>
      </c>
      <c r="J1105">
        <v>4.8365589401799199E-2</v>
      </c>
      <c r="K1105">
        <v>3.6285823376644398E-2</v>
      </c>
      <c r="L1105">
        <v>1271.1652115761501</v>
      </c>
      <c r="M1105">
        <v>22.931920724519301</v>
      </c>
      <c r="N1105">
        <v>55.612021275513598</v>
      </c>
      <c r="O1105">
        <v>55.015769498828398</v>
      </c>
      <c r="P1105">
        <v>-0.100482955719313</v>
      </c>
      <c r="Q1105">
        <v>3.57473334208585E-2</v>
      </c>
      <c r="R1105">
        <v>0.97569361145331301</v>
      </c>
      <c r="S1105" t="s">
        <v>7416</v>
      </c>
      <c r="T1105" t="s">
        <v>12620</v>
      </c>
      <c r="U1105" t="s">
        <v>12620</v>
      </c>
      <c r="V1105" t="s">
        <v>12620</v>
      </c>
      <c r="W1105" t="s">
        <v>13696</v>
      </c>
      <c r="X1105">
        <v>8</v>
      </c>
      <c r="Y1105" t="s">
        <v>19928</v>
      </c>
      <c r="Z1105" t="s">
        <v>26052</v>
      </c>
      <c r="AA1105">
        <v>0.54204336750636295</v>
      </c>
      <c r="AB1105" t="str">
        <f>HYPERLINK("Melting_Curves/meltCurve_O43681_ASNA1.pdf", "Melting_Curves/meltCurve_O43681_ASNA1.pdf")</f>
        <v>Melting_Curves/meltCurve_O43681_ASNA1.pdf</v>
      </c>
    </row>
    <row r="1106" spans="1:28" x14ac:dyDescent="0.25">
      <c r="A1106" t="s">
        <v>1110</v>
      </c>
      <c r="B1106">
        <v>0.99987803227770999</v>
      </c>
      <c r="C1106">
        <v>0.94462012893109104</v>
      </c>
      <c r="D1106">
        <v>1.01146131047173</v>
      </c>
      <c r="E1106">
        <v>0.88309668186909196</v>
      </c>
      <c r="F1106">
        <v>0.75438785900678396</v>
      </c>
      <c r="G1106">
        <v>0.32783609300185201</v>
      </c>
      <c r="H1106">
        <v>0.126938735353333</v>
      </c>
      <c r="I1106">
        <v>0.10505693865132</v>
      </c>
      <c r="J1106">
        <v>8.2011878983675499E-2</v>
      </c>
      <c r="K1106">
        <v>6.4489912992854795E-2</v>
      </c>
      <c r="L1106">
        <v>1351.5263444444199</v>
      </c>
      <c r="M1106">
        <v>24.6040184605984</v>
      </c>
      <c r="N1106">
        <v>55.242780388468503</v>
      </c>
      <c r="O1106">
        <v>54.572100455842502</v>
      </c>
      <c r="P1106">
        <v>-0.105410858302418</v>
      </c>
      <c r="Q1106">
        <v>6.4801577576243802E-2</v>
      </c>
      <c r="R1106">
        <v>0.99618674312516298</v>
      </c>
      <c r="S1106" t="s">
        <v>7417</v>
      </c>
      <c r="T1106" t="s">
        <v>12620</v>
      </c>
      <c r="U1106" t="s">
        <v>12620</v>
      </c>
      <c r="V1106" t="s">
        <v>12620</v>
      </c>
      <c r="W1106" t="s">
        <v>13697</v>
      </c>
      <c r="X1106">
        <v>14</v>
      </c>
      <c r="Y1106" t="s">
        <v>19929</v>
      </c>
      <c r="Z1106" t="s">
        <v>26053</v>
      </c>
      <c r="AA1106">
        <v>0.53915289271951716</v>
      </c>
      <c r="AB1106" t="str">
        <f>HYPERLINK("Melting_Curves/meltCurve_O43684_2_BUB3.pdf", "Melting_Curves/meltCurve_O43684_2_BUB3.pdf")</f>
        <v>Melting_Curves/meltCurve_O43684_2_BUB3.pdf</v>
      </c>
    </row>
    <row r="1107" spans="1:28" x14ac:dyDescent="0.25">
      <c r="A1107" t="s">
        <v>1111</v>
      </c>
      <c r="B1107">
        <v>0.99987803227770999</v>
      </c>
      <c r="C1107">
        <v>0.91332106633001797</v>
      </c>
      <c r="D1107">
        <v>0.92123578181377297</v>
      </c>
      <c r="E1107">
        <v>1.2901997787022399</v>
      </c>
      <c r="F1107">
        <v>1.1678169830202401</v>
      </c>
      <c r="G1107">
        <v>1.28085156565317</v>
      </c>
      <c r="H1107">
        <v>0.89379855070996805</v>
      </c>
      <c r="I1107">
        <v>0.19885183384532301</v>
      </c>
      <c r="J1107">
        <v>0.124978839287678</v>
      </c>
      <c r="K1107">
        <v>8.9925211221033696E-2</v>
      </c>
      <c r="L1107">
        <v>5441.2779810961301</v>
      </c>
      <c r="M1107">
        <v>87.183013642754304</v>
      </c>
      <c r="N1107">
        <v>62.583830585225698</v>
      </c>
      <c r="O1107">
        <v>62.379318676299398</v>
      </c>
      <c r="P1107">
        <v>-0.31224235902716202</v>
      </c>
      <c r="Q1107">
        <v>0.106364278754482</v>
      </c>
      <c r="R1107">
        <v>0.89732839016089605</v>
      </c>
      <c r="S1107" t="s">
        <v>7418</v>
      </c>
      <c r="T1107" t="s">
        <v>12620</v>
      </c>
      <c r="U1107" t="s">
        <v>12620</v>
      </c>
      <c r="V1107" t="s">
        <v>12620</v>
      </c>
      <c r="W1107" t="s">
        <v>13698</v>
      </c>
      <c r="X1107">
        <v>62</v>
      </c>
      <c r="Y1107" t="s">
        <v>19930</v>
      </c>
      <c r="Z1107" t="s">
        <v>26054</v>
      </c>
      <c r="AA1107">
        <v>0.77477772958191027</v>
      </c>
      <c r="AB1107" t="str">
        <f>HYPERLINK("Melting_Curves/meltCurve_O43707_ACTN4.pdf", "Melting_Curves/meltCurve_O43707_ACTN4.pdf")</f>
        <v>Melting_Curves/meltCurve_O43707_ACTN4.pdf</v>
      </c>
    </row>
    <row r="1108" spans="1:28" x14ac:dyDescent="0.25">
      <c r="A1108" t="s">
        <v>1112</v>
      </c>
      <c r="B1108">
        <v>0.99987803227770999</v>
      </c>
      <c r="C1108">
        <v>0.93758916712715801</v>
      </c>
      <c r="D1108">
        <v>0.95320921376411305</v>
      </c>
      <c r="E1108">
        <v>0.79562035876756798</v>
      </c>
      <c r="F1108">
        <v>0.52380923813713798</v>
      </c>
      <c r="G1108">
        <v>0.25971539349027301</v>
      </c>
      <c r="H1108">
        <v>0.180972811553335</v>
      </c>
      <c r="I1108">
        <v>0.20007693267834101</v>
      </c>
      <c r="J1108">
        <v>0.14938413550854401</v>
      </c>
      <c r="K1108">
        <v>0.13070227211520999</v>
      </c>
      <c r="L1108">
        <v>1162.6009064202401</v>
      </c>
      <c r="M1108">
        <v>22.1675010377229</v>
      </c>
      <c r="N1108">
        <v>53.286846680670699</v>
      </c>
      <c r="O1108">
        <v>52.024954419420801</v>
      </c>
      <c r="P1108">
        <v>-9.0807137774617797E-2</v>
      </c>
      <c r="Q1108">
        <v>0.14755627150870201</v>
      </c>
      <c r="R1108">
        <v>0.99568172406449695</v>
      </c>
      <c r="S1108" t="s">
        <v>7419</v>
      </c>
      <c r="T1108" t="s">
        <v>12620</v>
      </c>
      <c r="U1108" t="s">
        <v>12620</v>
      </c>
      <c r="V1108" t="s">
        <v>12620</v>
      </c>
      <c r="W1108" t="s">
        <v>13699</v>
      </c>
      <c r="X1108">
        <v>6</v>
      </c>
      <c r="Y1108" t="s">
        <v>19931</v>
      </c>
      <c r="Z1108" t="s">
        <v>26055</v>
      </c>
      <c r="AA1108">
        <v>0.51099740658520421</v>
      </c>
      <c r="AB1108" t="str">
        <f>HYPERLINK("Melting_Curves/meltCurve_O43709_WBSCR22.pdf", "Melting_Curves/meltCurve_O43709_WBSCR22.pdf")</f>
        <v>Melting_Curves/meltCurve_O43709_WBSCR22.pdf</v>
      </c>
    </row>
    <row r="1109" spans="1:28" x14ac:dyDescent="0.25">
      <c r="A1109" t="s">
        <v>1113</v>
      </c>
      <c r="B1109">
        <v>0.99987803227770999</v>
      </c>
      <c r="C1109">
        <v>0.80257525543208297</v>
      </c>
      <c r="D1109">
        <v>1.0285359042584401</v>
      </c>
      <c r="E1109">
        <v>0.82746482128733301</v>
      </c>
      <c r="F1109">
        <v>1.0676380686003499</v>
      </c>
      <c r="G1109">
        <v>0.93815508137082704</v>
      </c>
      <c r="H1109">
        <v>0.95674569377023699</v>
      </c>
      <c r="I1109">
        <v>0.97485291635189197</v>
      </c>
      <c r="J1109">
        <v>0.94200594122747505</v>
      </c>
      <c r="K1109">
        <v>0.77146168248025204</v>
      </c>
      <c r="L1109">
        <v>116.27997970253</v>
      </c>
      <c r="M1109">
        <v>1.0000000000000001E-5</v>
      </c>
      <c r="O1109">
        <v>48.462908903264001</v>
      </c>
      <c r="P1109">
        <v>-2.3755838786396E-3</v>
      </c>
      <c r="Q1109">
        <v>0.37110108090191901</v>
      </c>
      <c r="R1109">
        <v>3.0810412938002699E-2</v>
      </c>
      <c r="S1109" t="s">
        <v>7420</v>
      </c>
      <c r="T1109" t="s">
        <v>12620</v>
      </c>
      <c r="U1109" t="s">
        <v>12620</v>
      </c>
      <c r="V1109" t="s">
        <v>12620</v>
      </c>
      <c r="W1109" t="s">
        <v>13700</v>
      </c>
      <c r="X1109">
        <v>7</v>
      </c>
      <c r="Y1109" t="s">
        <v>19932</v>
      </c>
      <c r="Z1109" t="s">
        <v>26056</v>
      </c>
      <c r="AA1109">
        <v>0.93272082303944259</v>
      </c>
      <c r="AB1109" t="str">
        <f>HYPERLINK("Melting_Curves/meltCurve_O43715_TRIAP1.pdf", "Melting_Curves/meltCurve_O43715_TRIAP1.pdf")</f>
        <v>Melting_Curves/meltCurve_O43715_TRIAP1.pdf</v>
      </c>
    </row>
    <row r="1110" spans="1:28" x14ac:dyDescent="0.25">
      <c r="A1110" t="s">
        <v>1114</v>
      </c>
      <c r="B1110">
        <v>0.99987803227770999</v>
      </c>
      <c r="C1110">
        <v>0.93599354787243705</v>
      </c>
      <c r="D1110">
        <v>0.98158677636093306</v>
      </c>
      <c r="E1110">
        <v>0.85176917332220303</v>
      </c>
      <c r="F1110">
        <v>0.89195502504028901</v>
      </c>
      <c r="G1110">
        <v>0.64605719744201395</v>
      </c>
      <c r="H1110">
        <v>0.66546595069394598</v>
      </c>
      <c r="I1110">
        <v>0.66931842650894502</v>
      </c>
      <c r="J1110">
        <v>0.53654874649671003</v>
      </c>
      <c r="K1110">
        <v>0.44581977300599102</v>
      </c>
      <c r="L1110">
        <v>370.168779157774</v>
      </c>
      <c r="M1110">
        <v>5.3918695902776701</v>
      </c>
      <c r="N1110">
        <v>68.653151070426006</v>
      </c>
      <c r="O1110">
        <v>60.9262074431537</v>
      </c>
      <c r="P1110">
        <v>-2.2229039497498701E-2</v>
      </c>
      <c r="Q1110">
        <v>0</v>
      </c>
      <c r="R1110">
        <v>0.92693385034861098</v>
      </c>
      <c r="S1110" t="s">
        <v>7421</v>
      </c>
      <c r="T1110" t="s">
        <v>12620</v>
      </c>
      <c r="U1110" t="s">
        <v>12620</v>
      </c>
      <c r="V1110" t="s">
        <v>12620</v>
      </c>
      <c r="W1110" t="s">
        <v>13701</v>
      </c>
      <c r="X1110">
        <v>7</v>
      </c>
      <c r="Y1110" t="s">
        <v>19933</v>
      </c>
      <c r="Z1110" t="s">
        <v>26057</v>
      </c>
      <c r="AA1110">
        <v>0.76862536298306339</v>
      </c>
      <c r="AB1110" t="str">
        <f>HYPERLINK("Melting_Curves/meltCurve_O43716_GATC.pdf", "Melting_Curves/meltCurve_O43716_GATC.pdf")</f>
        <v>Melting_Curves/meltCurve_O43716_GATC.pdf</v>
      </c>
    </row>
    <row r="1111" spans="1:28" x14ac:dyDescent="0.25">
      <c r="A1111" t="s">
        <v>1115</v>
      </c>
      <c r="B1111">
        <v>0.99987803227770999</v>
      </c>
      <c r="C1111">
        <v>0.987216867617695</v>
      </c>
      <c r="D1111">
        <v>0.97982739803701602</v>
      </c>
      <c r="E1111">
        <v>1.0022709784855699</v>
      </c>
      <c r="F1111">
        <v>0.803362370674648</v>
      </c>
      <c r="G1111">
        <v>0.62561163731579394</v>
      </c>
      <c r="H1111">
        <v>0.47178361411700698</v>
      </c>
      <c r="I1111">
        <v>0.391680490228551</v>
      </c>
      <c r="J1111">
        <v>0.38146277024389802</v>
      </c>
      <c r="K1111">
        <v>0.277460483982225</v>
      </c>
      <c r="L1111">
        <v>956.70018906775601</v>
      </c>
      <c r="M1111">
        <v>16.837077472606602</v>
      </c>
      <c r="N1111">
        <v>59.9445652124909</v>
      </c>
      <c r="O1111">
        <v>56.037672915298799</v>
      </c>
      <c r="P1111">
        <v>-5.3180853738527198E-2</v>
      </c>
      <c r="Q1111">
        <v>0.2920531939878</v>
      </c>
      <c r="R1111">
        <v>0.98798851405202204</v>
      </c>
      <c r="S1111" t="s">
        <v>7422</v>
      </c>
      <c r="T1111" t="s">
        <v>12620</v>
      </c>
      <c r="U1111" t="s">
        <v>12620</v>
      </c>
      <c r="V1111" t="s">
        <v>12620</v>
      </c>
      <c r="W1111" t="s">
        <v>13702</v>
      </c>
      <c r="X1111">
        <v>32</v>
      </c>
      <c r="Y1111" t="s">
        <v>19934</v>
      </c>
      <c r="Z1111" t="s">
        <v>26058</v>
      </c>
      <c r="AA1111">
        <v>0.69950573765896285</v>
      </c>
      <c r="AB1111" t="str">
        <f>HYPERLINK("Melting_Curves/meltCurve_O43719_HTATSF1.pdf", "Melting_Curves/meltCurve_O43719_HTATSF1.pdf")</f>
        <v>Melting_Curves/meltCurve_O43719_HTATSF1.pdf</v>
      </c>
    </row>
    <row r="1112" spans="1:28" x14ac:dyDescent="0.25">
      <c r="A1112" t="s">
        <v>1116</v>
      </c>
      <c r="B1112">
        <v>0.99987803227770999</v>
      </c>
      <c r="C1112">
        <v>0.92331998265111603</v>
      </c>
      <c r="D1112">
        <v>1.00067123461545</v>
      </c>
      <c r="E1112">
        <v>0.69676769240162095</v>
      </c>
      <c r="F1112">
        <v>0.42298659865077798</v>
      </c>
      <c r="G1112">
        <v>0.276098150832781</v>
      </c>
      <c r="H1112">
        <v>0.19487096327696901</v>
      </c>
      <c r="I1112">
        <v>0.18350121791196999</v>
      </c>
      <c r="J1112">
        <v>0.149470653348516</v>
      </c>
      <c r="K1112">
        <v>0.11249450660497801</v>
      </c>
      <c r="L1112">
        <v>1122.1173538186499</v>
      </c>
      <c r="M1112">
        <v>21.8130496715828</v>
      </c>
      <c r="N1112">
        <v>52.314037959634803</v>
      </c>
      <c r="O1112">
        <v>51.015985407978803</v>
      </c>
      <c r="P1112">
        <v>-9.0610263423028303E-2</v>
      </c>
      <c r="Q1112">
        <v>0.15234877320707499</v>
      </c>
      <c r="R1112">
        <v>0.99021659465249501</v>
      </c>
      <c r="S1112" t="s">
        <v>7423</v>
      </c>
      <c r="T1112" t="s">
        <v>12620</v>
      </c>
      <c r="U1112" t="s">
        <v>12620</v>
      </c>
      <c r="V1112" t="s">
        <v>12620</v>
      </c>
      <c r="W1112" t="s">
        <v>13703</v>
      </c>
      <c r="X1112">
        <v>4</v>
      </c>
      <c r="Y1112" t="s">
        <v>19935</v>
      </c>
      <c r="Z1112" t="s">
        <v>26059</v>
      </c>
      <c r="AA1112">
        <v>0.48565465608267938</v>
      </c>
      <c r="AB1112" t="str">
        <f>HYPERLINK("Melting_Curves/meltCurve_O43739_2_CYTH3.pdf", "Melting_Curves/meltCurve_O43739_2_CYTH3.pdf")</f>
        <v>Melting_Curves/meltCurve_O43739_2_CYTH3.pdf</v>
      </c>
    </row>
    <row r="1113" spans="1:28" x14ac:dyDescent="0.25">
      <c r="A1113" t="s">
        <v>1117</v>
      </c>
      <c r="B1113">
        <v>0.99987803227770999</v>
      </c>
      <c r="C1113">
        <v>1.2262864136832701</v>
      </c>
      <c r="D1113">
        <v>0.94419008934161097</v>
      </c>
      <c r="E1113">
        <v>1.1235610715347499</v>
      </c>
      <c r="F1113">
        <v>0.59291163784917</v>
      </c>
      <c r="G1113">
        <v>0.33188624034082798</v>
      </c>
      <c r="H1113">
        <v>0.15425561113524699</v>
      </c>
      <c r="I1113">
        <v>0.10739870625148799</v>
      </c>
      <c r="J1113">
        <v>7.3078420976807695E-2</v>
      </c>
      <c r="K1113">
        <v>5.58501721141932E-2</v>
      </c>
      <c r="L1113">
        <v>1589.9916376190199</v>
      </c>
      <c r="M1113">
        <v>29.2922129489925</v>
      </c>
      <c r="N1113">
        <v>54.658428073191203</v>
      </c>
      <c r="O1113">
        <v>54.029279551304001</v>
      </c>
      <c r="P1113">
        <v>-0.123110056346711</v>
      </c>
      <c r="Q1113">
        <v>9.1704397426562098E-2</v>
      </c>
      <c r="R1113">
        <v>0.94612177465246305</v>
      </c>
      <c r="S1113" t="s">
        <v>7424</v>
      </c>
      <c r="T1113" t="s">
        <v>12620</v>
      </c>
      <c r="U1113" t="s">
        <v>12620</v>
      </c>
      <c r="V1113" t="s">
        <v>12620</v>
      </c>
      <c r="W1113" t="s">
        <v>13704</v>
      </c>
      <c r="X1113">
        <v>20</v>
      </c>
      <c r="Y1113" t="s">
        <v>19936</v>
      </c>
      <c r="Z1113" t="s">
        <v>26060</v>
      </c>
      <c r="AA1113">
        <v>0.53032830152808508</v>
      </c>
      <c r="AB1113" t="str">
        <f>HYPERLINK("Melting_Curves/meltCurve_O43747_AP1G1.pdf", "Melting_Curves/meltCurve_O43747_AP1G1.pdf")</f>
        <v>Melting_Curves/meltCurve_O43747_AP1G1.pdf</v>
      </c>
    </row>
    <row r="1114" spans="1:28" x14ac:dyDescent="0.25">
      <c r="A1114" t="s">
        <v>1118</v>
      </c>
      <c r="B1114">
        <v>0.99987803227770999</v>
      </c>
      <c r="C1114">
        <v>0.86265106535153702</v>
      </c>
      <c r="D1114">
        <v>0.92526390378085899</v>
      </c>
      <c r="E1114">
        <v>0.72557827362495797</v>
      </c>
      <c r="F1114">
        <v>0.95486814121499697</v>
      </c>
      <c r="G1114">
        <v>0.79333387457228399</v>
      </c>
      <c r="H1114">
        <v>0.80610252336652199</v>
      </c>
      <c r="I1114">
        <v>0.82614017652967997</v>
      </c>
      <c r="J1114">
        <v>0.71586710475590398</v>
      </c>
      <c r="K1114">
        <v>0.55023830741936197</v>
      </c>
      <c r="L1114">
        <v>220.69769027805799</v>
      </c>
      <c r="M1114">
        <v>2.4588355309577601</v>
      </c>
      <c r="O1114">
        <v>60.006741272512102</v>
      </c>
      <c r="P1114">
        <v>-1.07917005419494E-2</v>
      </c>
      <c r="Q1114">
        <v>0</v>
      </c>
      <c r="R1114">
        <v>0.56924570988589696</v>
      </c>
      <c r="S1114" t="s">
        <v>7425</v>
      </c>
      <c r="T1114" t="s">
        <v>12620</v>
      </c>
      <c r="U1114" t="s">
        <v>12620</v>
      </c>
      <c r="V1114" t="s">
        <v>12620</v>
      </c>
      <c r="W1114" t="s">
        <v>13705</v>
      </c>
      <c r="X1114">
        <v>2</v>
      </c>
      <c r="Y1114" t="s">
        <v>19937</v>
      </c>
      <c r="Z1114" t="s">
        <v>26061</v>
      </c>
      <c r="AA1114">
        <v>0.82079711395151755</v>
      </c>
      <c r="AB1114" t="str">
        <f>HYPERLINK("Melting_Curves/meltCurve_O43752_STX6.pdf", "Melting_Curves/meltCurve_O43752_STX6.pdf")</f>
        <v>Melting_Curves/meltCurve_O43752_STX6.pdf</v>
      </c>
    </row>
    <row r="1115" spans="1:28" x14ac:dyDescent="0.25">
      <c r="A1115" t="s">
        <v>1119</v>
      </c>
      <c r="B1115">
        <v>0.99987803227770999</v>
      </c>
      <c r="C1115">
        <v>0.81995122739705095</v>
      </c>
      <c r="D1115">
        <v>1.0886993855464899</v>
      </c>
      <c r="E1115">
        <v>0.98855833289109896</v>
      </c>
      <c r="F1115">
        <v>0.90697992904895397</v>
      </c>
      <c r="G1115">
        <v>0.60270434713846499</v>
      </c>
      <c r="H1115">
        <v>0.44231035703118299</v>
      </c>
      <c r="I1115">
        <v>0.34819337887083501</v>
      </c>
      <c r="J1115">
        <v>0.31502606736705302</v>
      </c>
      <c r="K1115">
        <v>0.24531544651298101</v>
      </c>
      <c r="L1115">
        <v>1255.3440244987401</v>
      </c>
      <c r="M1115">
        <v>21.998527858423099</v>
      </c>
      <c r="N1115">
        <v>59.175335698929302</v>
      </c>
      <c r="O1115">
        <v>56.599636396236903</v>
      </c>
      <c r="P1115">
        <v>-7.0755061013643497E-2</v>
      </c>
      <c r="Q1115">
        <v>0.27183835452177402</v>
      </c>
      <c r="R1115">
        <v>0.95074455696306603</v>
      </c>
      <c r="S1115" t="s">
        <v>7426</v>
      </c>
      <c r="T1115" t="s">
        <v>12620</v>
      </c>
      <c r="U1115" t="s">
        <v>12620</v>
      </c>
      <c r="V1115" t="s">
        <v>12620</v>
      </c>
      <c r="W1115" t="s">
        <v>13706</v>
      </c>
      <c r="X1115">
        <v>12</v>
      </c>
      <c r="Y1115" t="s">
        <v>19938</v>
      </c>
      <c r="Z1115" t="s">
        <v>26062</v>
      </c>
      <c r="AA1115">
        <v>0.69391324576809554</v>
      </c>
      <c r="AB1115" t="str">
        <f>HYPERLINK("Melting_Curves/meltCurve_O43765_SGTA.pdf", "Melting_Curves/meltCurve_O43765_SGTA.pdf")</f>
        <v>Melting_Curves/meltCurve_O43765_SGTA.pdf</v>
      </c>
    </row>
    <row r="1116" spans="1:28" x14ac:dyDescent="0.25">
      <c r="A1116" t="s">
        <v>1120</v>
      </c>
      <c r="B1116">
        <v>0.99987803227770999</v>
      </c>
      <c r="C1116">
        <v>1.92027644323372</v>
      </c>
      <c r="D1116">
        <v>1.73438541356876</v>
      </c>
      <c r="E1116">
        <v>1.63594130267897</v>
      </c>
      <c r="F1116">
        <v>1.4691729846233299</v>
      </c>
      <c r="G1116">
        <v>1.2523097115711701</v>
      </c>
      <c r="H1116">
        <v>0.99369004638165703</v>
      </c>
      <c r="I1116">
        <v>0.83688582664866396</v>
      </c>
      <c r="J1116">
        <v>0.30206393096270101</v>
      </c>
      <c r="K1116">
        <v>0.16986338246597099</v>
      </c>
      <c r="L1116">
        <v>4315.3145774917502</v>
      </c>
      <c r="M1116">
        <v>65.999108582716204</v>
      </c>
      <c r="N1116">
        <v>65.767113301260906</v>
      </c>
      <c r="O1116">
        <v>65.324483875492206</v>
      </c>
      <c r="P1116">
        <v>-0.21230923516127501</v>
      </c>
      <c r="Q1116">
        <v>0.159443925946788</v>
      </c>
      <c r="R1116">
        <v>0.33179719487616699</v>
      </c>
      <c r="S1116" t="s">
        <v>7427</v>
      </c>
      <c r="T1116" t="s">
        <v>12620</v>
      </c>
      <c r="U1116" t="s">
        <v>12620</v>
      </c>
      <c r="V1116" t="s">
        <v>12620</v>
      </c>
      <c r="W1116" t="s">
        <v>13707</v>
      </c>
      <c r="X1116">
        <v>4</v>
      </c>
      <c r="Y1116" t="s">
        <v>19939</v>
      </c>
      <c r="Z1116" t="s">
        <v>26063</v>
      </c>
      <c r="AA1116">
        <v>0.87164551345490271</v>
      </c>
      <c r="AB1116" t="str">
        <f>HYPERLINK("Melting_Curves/meltCurve_O43766_2_LIAS.pdf", "Melting_Curves/meltCurve_O43766_2_LIAS.pdf")</f>
        <v>Melting_Curves/meltCurve_O43766_2_LIAS.pdf</v>
      </c>
    </row>
    <row r="1117" spans="1:28" x14ac:dyDescent="0.25">
      <c r="A1117" t="s">
        <v>1121</v>
      </c>
      <c r="B1117">
        <v>0.99987803227770999</v>
      </c>
      <c r="C1117">
        <v>0.79194226614069696</v>
      </c>
      <c r="D1117">
        <v>0.94067083280447095</v>
      </c>
      <c r="E1117">
        <v>0.79267548287892797</v>
      </c>
      <c r="F1117">
        <v>0.98550861956682001</v>
      </c>
      <c r="G1117">
        <v>0.89677427111791697</v>
      </c>
      <c r="H1117">
        <v>0.90243558303161298</v>
      </c>
      <c r="I1117">
        <v>0.88365610565336605</v>
      </c>
      <c r="J1117">
        <v>0.97970059927242803</v>
      </c>
      <c r="K1117">
        <v>0.811353033741954</v>
      </c>
      <c r="L1117">
        <v>10228.262531103001</v>
      </c>
      <c r="M1117">
        <v>250</v>
      </c>
      <c r="O1117">
        <v>40.910439317679</v>
      </c>
      <c r="P1117">
        <v>-0.17234169457093601</v>
      </c>
      <c r="Q1117">
        <v>0.88719082935990801</v>
      </c>
      <c r="R1117">
        <v>0.20188985475735699</v>
      </c>
      <c r="S1117" t="s">
        <v>7428</v>
      </c>
      <c r="T1117" t="s">
        <v>12620</v>
      </c>
      <c r="U1117" t="s">
        <v>12620</v>
      </c>
      <c r="V1117" t="s">
        <v>12620</v>
      </c>
      <c r="W1117" t="s">
        <v>13708</v>
      </c>
      <c r="X1117">
        <v>14</v>
      </c>
      <c r="Y1117" t="s">
        <v>19940</v>
      </c>
      <c r="Z1117" t="s">
        <v>26064</v>
      </c>
      <c r="AA1117">
        <v>0.89063421378244767</v>
      </c>
      <c r="AB1117" t="str">
        <f>HYPERLINK("Melting_Curves/meltCurve_O43768_2_ENSA.pdf", "Melting_Curves/meltCurve_O43768_2_ENSA.pdf")</f>
        <v>Melting_Curves/meltCurve_O43768_2_ENSA.pdf</v>
      </c>
    </row>
    <row r="1118" spans="1:28" x14ac:dyDescent="0.25">
      <c r="A1118" t="s">
        <v>1122</v>
      </c>
      <c r="B1118">
        <v>0.99987803227770999</v>
      </c>
      <c r="C1118">
        <v>1.06772892729988</v>
      </c>
      <c r="D1118">
        <v>0.81995330280858802</v>
      </c>
      <c r="E1118">
        <v>0.83327024943311301</v>
      </c>
      <c r="F1118">
        <v>0.22240199593747201</v>
      </c>
      <c r="G1118">
        <v>0.16363241441248699</v>
      </c>
      <c r="H1118">
        <v>0.123873553203839</v>
      </c>
      <c r="I1118">
        <v>0.10991018197939301</v>
      </c>
      <c r="J1118">
        <v>8.4423693882110601E-2</v>
      </c>
      <c r="K1118">
        <v>5.8242007753282803E-2</v>
      </c>
      <c r="L1118">
        <v>2880.2196424275298</v>
      </c>
      <c r="M1118">
        <v>56.175914799604797</v>
      </c>
      <c r="N1118">
        <v>51.490447515039797</v>
      </c>
      <c r="O1118">
        <v>51.206581361439497</v>
      </c>
      <c r="P1118">
        <v>-0.24511771624777701</v>
      </c>
      <c r="Q1118">
        <v>0.106262272270533</v>
      </c>
      <c r="R1118">
        <v>0.97353539425037705</v>
      </c>
      <c r="S1118" t="s">
        <v>7429</v>
      </c>
      <c r="T1118" t="s">
        <v>12620</v>
      </c>
      <c r="U1118" t="s">
        <v>12620</v>
      </c>
      <c r="V1118" t="s">
        <v>12620</v>
      </c>
      <c r="W1118" t="s">
        <v>13433</v>
      </c>
      <c r="X1118">
        <v>23</v>
      </c>
      <c r="Y1118" t="s">
        <v>19676</v>
      </c>
      <c r="Z1118" t="s">
        <v>26065</v>
      </c>
      <c r="AA1118">
        <v>0.4436518244108642</v>
      </c>
      <c r="AB1118" t="str">
        <f>HYPERLINK("Melting_Curves/meltCurve_O43776_NARS.pdf", "Melting_Curves/meltCurve_O43776_NARS.pdf")</f>
        <v>Melting_Curves/meltCurve_O43776_NARS.pdf</v>
      </c>
    </row>
    <row r="1119" spans="1:28" x14ac:dyDescent="0.25">
      <c r="A1119" t="s">
        <v>1123</v>
      </c>
      <c r="B1119">
        <v>0.99987803227770999</v>
      </c>
      <c r="C1119">
        <v>0.66129480407665897</v>
      </c>
      <c r="D1119">
        <v>0.52704185287830296</v>
      </c>
      <c r="E1119">
        <v>0.47197490497393702</v>
      </c>
      <c r="F1119">
        <v>0.25623282023239302</v>
      </c>
      <c r="G1119">
        <v>0.13947346159226401</v>
      </c>
      <c r="H1119">
        <v>8.2769535956916704E-2</v>
      </c>
      <c r="I1119">
        <v>7.5827216469979003E-2</v>
      </c>
      <c r="J1119">
        <v>5.5188149768605102E-2</v>
      </c>
      <c r="K1119">
        <v>4.0842017512004399E-2</v>
      </c>
      <c r="L1119">
        <v>484.03559536077199</v>
      </c>
      <c r="M1119">
        <v>10.179120632322901</v>
      </c>
      <c r="N1119">
        <v>47.579940509690303</v>
      </c>
      <c r="O1119">
        <v>45.826095178663401</v>
      </c>
      <c r="P1119">
        <v>-5.53898182878814E-2</v>
      </c>
      <c r="Q1119">
        <v>3.00007123120759E-3</v>
      </c>
      <c r="R1119">
        <v>0.96076809755630399</v>
      </c>
      <c r="S1119" t="s">
        <v>7430</v>
      </c>
      <c r="T1119" t="s">
        <v>12620</v>
      </c>
      <c r="U1119" t="s">
        <v>12620</v>
      </c>
      <c r="V1119" t="s">
        <v>12620</v>
      </c>
      <c r="W1119" t="s">
        <v>13709</v>
      </c>
      <c r="X1119">
        <v>25</v>
      </c>
      <c r="Y1119" t="s">
        <v>19941</v>
      </c>
      <c r="Z1119" t="s">
        <v>26066</v>
      </c>
      <c r="AA1119">
        <v>0.30719041929194529</v>
      </c>
      <c r="AB1119" t="str">
        <f>HYPERLINK("Melting_Curves/meltCurve_O43795_2_MYO1B.pdf", "Melting_Curves/meltCurve_O43795_2_MYO1B.pdf")</f>
        <v>Melting_Curves/meltCurve_O43795_2_MYO1B.pdf</v>
      </c>
    </row>
    <row r="1120" spans="1:28" x14ac:dyDescent="0.25">
      <c r="A1120" t="s">
        <v>1124</v>
      </c>
      <c r="B1120">
        <v>0.99987803227770999</v>
      </c>
      <c r="C1120">
        <v>0.91193970042206196</v>
      </c>
      <c r="D1120">
        <v>1.0851562397050201</v>
      </c>
      <c r="E1120">
        <v>0.958123639612113</v>
      </c>
      <c r="F1120">
        <v>1.0714785130017199</v>
      </c>
      <c r="G1120">
        <v>0.93192145492606104</v>
      </c>
      <c r="H1120">
        <v>0.80518571360373903</v>
      </c>
      <c r="I1120">
        <v>0.83732241246866801</v>
      </c>
      <c r="J1120">
        <v>0.70045680972949298</v>
      </c>
      <c r="K1120">
        <v>0.59877391511345301</v>
      </c>
      <c r="L1120">
        <v>833.67956556176102</v>
      </c>
      <c r="M1120">
        <v>12.1975123666817</v>
      </c>
      <c r="O1120">
        <v>66.589063320084094</v>
      </c>
      <c r="P1120">
        <v>-3.1543161906855598E-2</v>
      </c>
      <c r="Q1120">
        <v>0.31134994550241901</v>
      </c>
      <c r="R1120">
        <v>0.85755264670437104</v>
      </c>
      <c r="S1120" t="s">
        <v>7431</v>
      </c>
      <c r="T1120" t="s">
        <v>12620</v>
      </c>
      <c r="U1120" t="s">
        <v>12620</v>
      </c>
      <c r="V1120" t="s">
        <v>12620</v>
      </c>
      <c r="W1120" t="s">
        <v>13710</v>
      </c>
      <c r="X1120">
        <v>2</v>
      </c>
      <c r="Y1120" t="s">
        <v>19942</v>
      </c>
      <c r="Z1120" t="s">
        <v>26067</v>
      </c>
      <c r="AA1120">
        <v>0.9043431738356329</v>
      </c>
      <c r="AB1120" t="str">
        <f>HYPERLINK("Melting_Curves/meltCurve_O43805_SSNA1.pdf", "Melting_Curves/meltCurve_O43805_SSNA1.pdf")</f>
        <v>Melting_Curves/meltCurve_O43805_SSNA1.pdf</v>
      </c>
    </row>
    <row r="1121" spans="1:28" x14ac:dyDescent="0.25">
      <c r="A1121" t="s">
        <v>1125</v>
      </c>
      <c r="B1121">
        <v>0.99987803227770999</v>
      </c>
      <c r="C1121">
        <v>1.18674681371373</v>
      </c>
      <c r="D1121">
        <v>1.07324750973059</v>
      </c>
      <c r="E1121">
        <v>1.3869329573978899</v>
      </c>
      <c r="F1121">
        <v>1.25766450361417</v>
      </c>
      <c r="G1121">
        <v>0.45553420643652398</v>
      </c>
      <c r="H1121">
        <v>0.14697131155047999</v>
      </c>
      <c r="I1121">
        <v>0.114461665599877</v>
      </c>
      <c r="J1121">
        <v>8.3741962207381199E-2</v>
      </c>
      <c r="K1121">
        <v>6.0737245156741899E-2</v>
      </c>
      <c r="L1121">
        <v>14225.4700815331</v>
      </c>
      <c r="M1121">
        <v>250</v>
      </c>
      <c r="N1121">
        <v>56.9535747593849</v>
      </c>
      <c r="O1121">
        <v>56.898238589429802</v>
      </c>
      <c r="P1121">
        <v>-0.98698349603936497</v>
      </c>
      <c r="Q1121">
        <v>0.101478035770319</v>
      </c>
      <c r="R1121">
        <v>0.90492028275102998</v>
      </c>
      <c r="S1121" t="s">
        <v>7432</v>
      </c>
      <c r="T1121" t="s">
        <v>12620</v>
      </c>
      <c r="U1121" t="s">
        <v>12620</v>
      </c>
      <c r="V1121" t="s">
        <v>12620</v>
      </c>
      <c r="W1121" t="s">
        <v>13711</v>
      </c>
      <c r="X1121">
        <v>11</v>
      </c>
      <c r="Y1121" t="s">
        <v>19943</v>
      </c>
      <c r="Z1121" t="s">
        <v>26068</v>
      </c>
      <c r="AA1121">
        <v>0.60779145422083203</v>
      </c>
      <c r="AB1121" t="str">
        <f>HYPERLINK("Melting_Curves/meltCurve_O43809_NUDT21.pdf", "Melting_Curves/meltCurve_O43809_NUDT21.pdf")</f>
        <v>Melting_Curves/meltCurve_O43809_NUDT21.pdf</v>
      </c>
    </row>
    <row r="1122" spans="1:28" x14ac:dyDescent="0.25">
      <c r="A1122" t="s">
        <v>1126</v>
      </c>
      <c r="B1122">
        <v>0.99987803227770999</v>
      </c>
      <c r="C1122">
        <v>0.97246185065344304</v>
      </c>
      <c r="D1122">
        <v>1.0380329683934699</v>
      </c>
      <c r="E1122">
        <v>0.96871836462862804</v>
      </c>
      <c r="F1122">
        <v>0.97585691549218401</v>
      </c>
      <c r="G1122">
        <v>0.64999533178186697</v>
      </c>
      <c r="H1122">
        <v>0.32824706408207999</v>
      </c>
      <c r="I1122">
        <v>0.14101818809977101</v>
      </c>
      <c r="J1122">
        <v>8.8991286745179504E-2</v>
      </c>
      <c r="K1122">
        <v>6.6960955421125595E-2</v>
      </c>
      <c r="L1122">
        <v>1452.9827563552101</v>
      </c>
      <c r="M1122">
        <v>24.828320875474699</v>
      </c>
      <c r="N1122">
        <v>58.775327934372903</v>
      </c>
      <c r="O1122">
        <v>58.145508044604</v>
      </c>
      <c r="P1122">
        <v>-0.10131885949349401</v>
      </c>
      <c r="Q1122">
        <v>5.0897533427000298E-2</v>
      </c>
      <c r="R1122">
        <v>0.99635451030863598</v>
      </c>
      <c r="S1122" t="s">
        <v>7433</v>
      </c>
      <c r="T1122" t="s">
        <v>12620</v>
      </c>
      <c r="U1122" t="s">
        <v>12620</v>
      </c>
      <c r="V1122" t="s">
        <v>12620</v>
      </c>
      <c r="W1122" t="s">
        <v>13712</v>
      </c>
      <c r="X1122">
        <v>15</v>
      </c>
      <c r="Y1122" t="s">
        <v>19944</v>
      </c>
      <c r="Z1122" t="s">
        <v>26069</v>
      </c>
      <c r="AA1122">
        <v>0.64495207742583105</v>
      </c>
      <c r="AB1122" t="str">
        <f>HYPERLINK("Melting_Curves/meltCurve_O43813_LANCL1.pdf", "Melting_Curves/meltCurve_O43813_LANCL1.pdf")</f>
        <v>Melting_Curves/meltCurve_O43813_LANCL1.pdf</v>
      </c>
    </row>
    <row r="1123" spans="1:28" x14ac:dyDescent="0.25">
      <c r="A1123" t="s">
        <v>1127</v>
      </c>
      <c r="B1123">
        <v>0.99987803227770999</v>
      </c>
      <c r="C1123">
        <v>1.11226870649515</v>
      </c>
      <c r="D1123">
        <v>0.90817085311266998</v>
      </c>
      <c r="E1123">
        <v>1.2041765478934401</v>
      </c>
      <c r="F1123">
        <v>0.75994051551951702</v>
      </c>
      <c r="G1123">
        <v>0.48803890202793898</v>
      </c>
      <c r="H1123">
        <v>0.258819375502164</v>
      </c>
      <c r="I1123">
        <v>0.210152830725582</v>
      </c>
      <c r="J1123">
        <v>0.15292332192240499</v>
      </c>
      <c r="K1123">
        <v>0.10697892989063899</v>
      </c>
      <c r="L1123">
        <v>1481.65701931956</v>
      </c>
      <c r="M1123">
        <v>26.424805441992198</v>
      </c>
      <c r="N1123">
        <v>56.8147908039386</v>
      </c>
      <c r="O1123">
        <v>55.752523577101897</v>
      </c>
      <c r="P1123">
        <v>-0.101160517025441</v>
      </c>
      <c r="Q1123">
        <v>0.146272880449141</v>
      </c>
      <c r="R1123">
        <v>0.94577094923291005</v>
      </c>
      <c r="S1123" t="s">
        <v>7434</v>
      </c>
      <c r="T1123" t="s">
        <v>12620</v>
      </c>
      <c r="U1123" t="s">
        <v>12620</v>
      </c>
      <c r="V1123" t="s">
        <v>12620</v>
      </c>
      <c r="W1123" t="s">
        <v>13713</v>
      </c>
      <c r="X1123">
        <v>20</v>
      </c>
      <c r="Y1123" t="s">
        <v>19945</v>
      </c>
      <c r="Z1123" t="s">
        <v>26070</v>
      </c>
      <c r="AA1123">
        <v>0.61073718507577379</v>
      </c>
      <c r="AB1123" t="str">
        <f>HYPERLINK("Melting_Curves/meltCurve_O43815_STRN.pdf", "Melting_Curves/meltCurve_O43815_STRN.pdf")</f>
        <v>Melting_Curves/meltCurve_O43815_STRN.pdf</v>
      </c>
    </row>
    <row r="1124" spans="1:28" x14ac:dyDescent="0.25">
      <c r="A1124" t="s">
        <v>1128</v>
      </c>
      <c r="B1124">
        <v>0.99987803227770999</v>
      </c>
      <c r="C1124">
        <v>1.0747044422985701</v>
      </c>
      <c r="D1124">
        <v>0.99166367826561597</v>
      </c>
      <c r="E1124">
        <v>1.18411084441854</v>
      </c>
      <c r="F1124">
        <v>1.05196752327093</v>
      </c>
      <c r="G1124">
        <v>0.86117883582352905</v>
      </c>
      <c r="H1124">
        <v>0.66184569919981195</v>
      </c>
      <c r="I1124">
        <v>0.588827567962806</v>
      </c>
      <c r="J1124">
        <v>0.48973182687174199</v>
      </c>
      <c r="K1124">
        <v>0.384724865113239</v>
      </c>
      <c r="L1124">
        <v>1347.91251692575</v>
      </c>
      <c r="M1124">
        <v>22.1018356258475</v>
      </c>
      <c r="N1124">
        <v>65.444582906104998</v>
      </c>
      <c r="O1124">
        <v>60.493773749262203</v>
      </c>
      <c r="P1124">
        <v>-5.58043139485618E-2</v>
      </c>
      <c r="Q1124">
        <v>0.38905715178100603</v>
      </c>
      <c r="R1124">
        <v>0.92411912142466102</v>
      </c>
      <c r="S1124" t="s">
        <v>7435</v>
      </c>
      <c r="T1124" t="s">
        <v>12620</v>
      </c>
      <c r="U1124" t="s">
        <v>12620</v>
      </c>
      <c r="V1124" t="s">
        <v>12620</v>
      </c>
      <c r="W1124" t="s">
        <v>13714</v>
      </c>
      <c r="X1124">
        <v>4</v>
      </c>
      <c r="Y1124" t="s">
        <v>19946</v>
      </c>
      <c r="Z1124" t="s">
        <v>26071</v>
      </c>
      <c r="AA1124">
        <v>0.8203508609957777</v>
      </c>
      <c r="AB1124" t="str">
        <f>HYPERLINK("Melting_Curves/meltCurve_O43818_RRP9.pdf", "Melting_Curves/meltCurve_O43818_RRP9.pdf")</f>
        <v>Melting_Curves/meltCurve_O43818_RRP9.pdf</v>
      </c>
    </row>
    <row r="1125" spans="1:28" x14ac:dyDescent="0.25">
      <c r="A1125" t="s">
        <v>1129</v>
      </c>
      <c r="B1125">
        <v>0.99987803227770999</v>
      </c>
      <c r="C1125">
        <v>0.784671733262576</v>
      </c>
      <c r="D1125">
        <v>1.0183555203647801</v>
      </c>
      <c r="E1125">
        <v>0.77921326618103604</v>
      </c>
      <c r="F1125">
        <v>1.0680344204727701</v>
      </c>
      <c r="G1125">
        <v>0.76321738456225696</v>
      </c>
      <c r="H1125">
        <v>1.1240027811369999</v>
      </c>
      <c r="I1125">
        <v>0.89334114290904798</v>
      </c>
      <c r="J1125">
        <v>1.15220935328463</v>
      </c>
      <c r="K1125">
        <v>0.94813750551773701</v>
      </c>
      <c r="L1125">
        <v>446.21215970994302</v>
      </c>
      <c r="M1125">
        <v>33.0517200515662</v>
      </c>
      <c r="Q1125">
        <v>0.95310611395762102</v>
      </c>
      <c r="R1125">
        <v>-4.7144510517682599E-12</v>
      </c>
      <c r="S1125" t="s">
        <v>7436</v>
      </c>
      <c r="T1125" t="s">
        <v>12620</v>
      </c>
      <c r="U1125" t="s">
        <v>12620</v>
      </c>
      <c r="V1125" t="s">
        <v>12620</v>
      </c>
      <c r="W1125" t="s">
        <v>13715</v>
      </c>
      <c r="X1125">
        <v>1</v>
      </c>
      <c r="Y1125" t="s">
        <v>19947</v>
      </c>
      <c r="Z1125" t="s">
        <v>26072</v>
      </c>
      <c r="AA1125">
        <v>0.95310611395973999</v>
      </c>
      <c r="AB1125" t="str">
        <f>HYPERLINK("Melting_Curves/meltCurve_O43820_4_HYAL3.pdf", "Melting_Curves/meltCurve_O43820_4_HYAL3.pdf")</f>
        <v>Melting_Curves/meltCurve_O43820_4_HYAL3.pdf</v>
      </c>
    </row>
    <row r="1126" spans="1:28" x14ac:dyDescent="0.25">
      <c r="A1126" t="s">
        <v>1130</v>
      </c>
      <c r="B1126">
        <v>0.99987803227770999</v>
      </c>
      <c r="C1126">
        <v>0.96122966662570797</v>
      </c>
      <c r="D1126">
        <v>1.0353447132898801</v>
      </c>
      <c r="E1126">
        <v>1.0718405426222399</v>
      </c>
      <c r="F1126">
        <v>0.907078172439159</v>
      </c>
      <c r="G1126">
        <v>0.69290829439029</v>
      </c>
      <c r="H1126">
        <v>0.62025636760394598</v>
      </c>
      <c r="I1126">
        <v>0.49574618534891901</v>
      </c>
      <c r="J1126">
        <v>0.53015208410402503</v>
      </c>
      <c r="K1126">
        <v>0.41060841002673698</v>
      </c>
      <c r="L1126">
        <v>1233.907361222</v>
      </c>
      <c r="M1126">
        <v>21.5922373297674</v>
      </c>
      <c r="N1126">
        <v>64.666797906904804</v>
      </c>
      <c r="O1126">
        <v>56.662491882261598</v>
      </c>
      <c r="P1126">
        <v>-5.15009964642133E-2</v>
      </c>
      <c r="Q1126">
        <v>0.45941600107744301</v>
      </c>
      <c r="R1126">
        <v>0.95948447644034496</v>
      </c>
      <c r="S1126" t="s">
        <v>7437</v>
      </c>
      <c r="T1126" t="s">
        <v>12620</v>
      </c>
      <c r="U1126" t="s">
        <v>12620</v>
      </c>
      <c r="V1126" t="s">
        <v>12620</v>
      </c>
      <c r="W1126" t="s">
        <v>13716</v>
      </c>
      <c r="X1126">
        <v>2</v>
      </c>
      <c r="Y1126" t="s">
        <v>19948</v>
      </c>
      <c r="Z1126" t="s">
        <v>26073</v>
      </c>
      <c r="AA1126">
        <v>0.77434324679728728</v>
      </c>
      <c r="AB1126" t="str">
        <f>HYPERLINK("Melting_Curves/meltCurve_O43823_AKAP8.pdf", "Melting_Curves/meltCurve_O43823_AKAP8.pdf")</f>
        <v>Melting_Curves/meltCurve_O43823_AKAP8.pdf</v>
      </c>
    </row>
    <row r="1127" spans="1:28" x14ac:dyDescent="0.25">
      <c r="A1127" t="s">
        <v>1131</v>
      </c>
      <c r="B1127">
        <v>0.99987803227770999</v>
      </c>
      <c r="C1127">
        <v>0.74760426123047796</v>
      </c>
      <c r="D1127">
        <v>0.64876966890227705</v>
      </c>
      <c r="E1127">
        <v>1.09303095092031</v>
      </c>
      <c r="F1127">
        <v>1.0148268734285599</v>
      </c>
      <c r="G1127">
        <v>0.52697682962548698</v>
      </c>
      <c r="H1127">
        <v>0.13237145282138699</v>
      </c>
      <c r="I1127">
        <v>9.0305385772966804E-2</v>
      </c>
      <c r="J1127">
        <v>7.3267011844484295E-2</v>
      </c>
      <c r="K1127">
        <v>6.2314921084567598E-2</v>
      </c>
      <c r="L1127">
        <v>3095.67524663718</v>
      </c>
      <c r="M1127">
        <v>54.350016692083102</v>
      </c>
      <c r="N1127">
        <v>57.146854537445499</v>
      </c>
      <c r="O1127">
        <v>56.881175892018902</v>
      </c>
      <c r="P1127">
        <v>-0.21925142384883101</v>
      </c>
      <c r="Q1127">
        <v>8.2151472351928503E-2</v>
      </c>
      <c r="R1127">
        <v>0.87723188989288003</v>
      </c>
      <c r="S1127" t="s">
        <v>7438</v>
      </c>
      <c r="T1127" t="s">
        <v>12620</v>
      </c>
      <c r="U1127" t="s">
        <v>12620</v>
      </c>
      <c r="V1127" t="s">
        <v>12620</v>
      </c>
      <c r="W1127" t="s">
        <v>13717</v>
      </c>
      <c r="X1127">
        <v>5</v>
      </c>
      <c r="Y1127" t="s">
        <v>19949</v>
      </c>
      <c r="Z1127" t="s">
        <v>26074</v>
      </c>
      <c r="AA1127">
        <v>0.60293254930484441</v>
      </c>
      <c r="AB1127" t="str">
        <f>HYPERLINK("Melting_Curves/meltCurve_O43829_ZBTB14.pdf", "Melting_Curves/meltCurve_O43829_ZBTB14.pdf")</f>
        <v>Melting_Curves/meltCurve_O43829_ZBTB14.pdf</v>
      </c>
    </row>
    <row r="1128" spans="1:28" x14ac:dyDescent="0.25">
      <c r="A1128" t="s">
        <v>1132</v>
      </c>
      <c r="B1128">
        <v>0.99987803227770999</v>
      </c>
      <c r="C1128">
        <v>0.67777928767242301</v>
      </c>
      <c r="D1128">
        <v>0.469949099835475</v>
      </c>
      <c r="E1128">
        <v>0.45664157919054399</v>
      </c>
      <c r="F1128">
        <v>0.29426766827093298</v>
      </c>
      <c r="G1128">
        <v>0.207770815255547</v>
      </c>
      <c r="H1128">
        <v>0.121725802337265</v>
      </c>
      <c r="I1128">
        <v>0.10473502684826901</v>
      </c>
      <c r="J1128">
        <v>8.3031104412479004E-2</v>
      </c>
      <c r="K1128">
        <v>6.8474238354042996E-2</v>
      </c>
      <c r="L1128">
        <v>477.92884497039699</v>
      </c>
      <c r="M1128">
        <v>10.1777811865967</v>
      </c>
      <c r="N1128">
        <v>47.448298719078302</v>
      </c>
      <c r="O1128">
        <v>45.2534629851747</v>
      </c>
      <c r="P1128">
        <v>-5.3444707116346302E-2</v>
      </c>
      <c r="Q1128">
        <v>4.9907291522850297E-2</v>
      </c>
      <c r="R1128">
        <v>0.95193692113543105</v>
      </c>
      <c r="S1128" t="s">
        <v>7439</v>
      </c>
      <c r="T1128" t="s">
        <v>12620</v>
      </c>
      <c r="U1128" t="s">
        <v>12620</v>
      </c>
      <c r="V1128" t="s">
        <v>12620</v>
      </c>
      <c r="W1128" t="s">
        <v>13718</v>
      </c>
      <c r="X1128">
        <v>11</v>
      </c>
      <c r="Y1128" t="s">
        <v>19950</v>
      </c>
      <c r="Z1128" t="s">
        <v>26075</v>
      </c>
      <c r="AA1128">
        <v>0.32349597965589499</v>
      </c>
      <c r="AB1128" t="str">
        <f>HYPERLINK("Melting_Curves/meltCurve_O43837_IDH3B.pdf", "Melting_Curves/meltCurve_O43837_IDH3B.pdf")</f>
        <v>Melting_Curves/meltCurve_O43837_IDH3B.pdf</v>
      </c>
    </row>
    <row r="1129" spans="1:28" x14ac:dyDescent="0.25">
      <c r="A1129" t="s">
        <v>1133</v>
      </c>
      <c r="B1129">
        <v>0.99987803227770999</v>
      </c>
      <c r="C1129">
        <v>1.5969137932389399</v>
      </c>
      <c r="D1129">
        <v>0.60704794856516797</v>
      </c>
      <c r="E1129">
        <v>1.0090145610990999</v>
      </c>
      <c r="F1129">
        <v>0.32138535319919098</v>
      </c>
      <c r="G1129">
        <v>0.26891968476900402</v>
      </c>
      <c r="H1129">
        <v>0.131383181330543</v>
      </c>
      <c r="I1129">
        <v>0.12703060098917399</v>
      </c>
      <c r="J1129">
        <v>7.6616326491770706E-2</v>
      </c>
      <c r="K1129">
        <v>5.4548958618483398E-2</v>
      </c>
      <c r="L1129">
        <v>13182.4416992551</v>
      </c>
      <c r="M1129">
        <v>250</v>
      </c>
      <c r="N1129">
        <v>52.794328966316598</v>
      </c>
      <c r="O1129">
        <v>52.726413876493901</v>
      </c>
      <c r="P1129">
        <v>-1.0292524037217801</v>
      </c>
      <c r="Q1129">
        <v>0.13169974021435199</v>
      </c>
      <c r="R1129">
        <v>0.78085546111846504</v>
      </c>
      <c r="S1129" t="s">
        <v>7440</v>
      </c>
      <c r="T1129" t="s">
        <v>12620</v>
      </c>
      <c r="U1129" t="s">
        <v>12620</v>
      </c>
      <c r="V1129" t="s">
        <v>12620</v>
      </c>
      <c r="W1129" t="s">
        <v>13719</v>
      </c>
      <c r="X1129">
        <v>28</v>
      </c>
      <c r="Y1129" t="s">
        <v>19951</v>
      </c>
      <c r="Z1129" t="s">
        <v>26076</v>
      </c>
      <c r="AA1129">
        <v>0.50022208654644229</v>
      </c>
      <c r="AB1129" t="str">
        <f>HYPERLINK("Melting_Curves/meltCurve_O43847_2_NRD1.pdf", "Melting_Curves/meltCurve_O43847_2_NRD1.pdf")</f>
        <v>Melting_Curves/meltCurve_O43847_2_NRD1.pdf</v>
      </c>
    </row>
    <row r="1130" spans="1:28" x14ac:dyDescent="0.25">
      <c r="A1130" t="s">
        <v>1134</v>
      </c>
      <c r="B1130">
        <v>0.99987803227770999</v>
      </c>
      <c r="C1130">
        <v>0.90089906506324802</v>
      </c>
      <c r="D1130">
        <v>1.02013995621883</v>
      </c>
      <c r="E1130">
        <v>0.95094043783024695</v>
      </c>
      <c r="F1130">
        <v>1.16818071083689</v>
      </c>
      <c r="G1130">
        <v>1.0325749877703001</v>
      </c>
      <c r="H1130">
        <v>1.0906706119173399</v>
      </c>
      <c r="I1130">
        <v>1.07585663124636</v>
      </c>
      <c r="J1130">
        <v>1.06969266963946</v>
      </c>
      <c r="K1130">
        <v>0.85303140953976397</v>
      </c>
      <c r="L1130">
        <v>15000</v>
      </c>
      <c r="M1130">
        <v>212.527084793629</v>
      </c>
      <c r="Q1130">
        <v>0</v>
      </c>
      <c r="R1130">
        <v>0.23784619991866901</v>
      </c>
      <c r="S1130" t="s">
        <v>7441</v>
      </c>
      <c r="T1130" t="s">
        <v>12620</v>
      </c>
      <c r="U1130" t="s">
        <v>12620</v>
      </c>
      <c r="V1130" t="s">
        <v>12620</v>
      </c>
      <c r="W1130" t="s">
        <v>13720</v>
      </c>
      <c r="X1130">
        <v>24</v>
      </c>
      <c r="Y1130" t="s">
        <v>19952</v>
      </c>
      <c r="Z1130" t="s">
        <v>26077</v>
      </c>
      <c r="AA1130">
        <v>0.99828576908728328</v>
      </c>
      <c r="AB1130" t="str">
        <f>HYPERLINK("Melting_Curves/meltCurve_O43852_CALU.pdf", "Melting_Curves/meltCurve_O43852_CALU.pdf")</f>
        <v>Melting_Curves/meltCurve_O43852_CALU.pdf</v>
      </c>
    </row>
    <row r="1131" spans="1:28" x14ac:dyDescent="0.25">
      <c r="A1131" t="s">
        <v>1135</v>
      </c>
      <c r="B1131">
        <v>0.99987803227770999</v>
      </c>
      <c r="C1131">
        <v>1.0809095985097299</v>
      </c>
      <c r="D1131">
        <v>0.94089598706413202</v>
      </c>
      <c r="E1131">
        <v>0.56633883778451399</v>
      </c>
      <c r="F1131">
        <v>0.34321803916633298</v>
      </c>
      <c r="G1131">
        <v>0.25214089815820601</v>
      </c>
      <c r="H1131">
        <v>0.150397235577198</v>
      </c>
      <c r="I1131">
        <v>0.10059516002195799</v>
      </c>
      <c r="J1131">
        <v>7.7901769355002606E-2</v>
      </c>
      <c r="K1131">
        <v>6.4177502534368006E-2</v>
      </c>
      <c r="L1131">
        <v>1073.0761353806199</v>
      </c>
      <c r="M1131">
        <v>21.202080911954301</v>
      </c>
      <c r="N1131">
        <v>51.153754793986302</v>
      </c>
      <c r="O1131">
        <v>50.168042924467798</v>
      </c>
      <c r="P1131">
        <v>-9.5030127589382105E-2</v>
      </c>
      <c r="Q1131">
        <v>0.100587846120422</v>
      </c>
      <c r="R1131">
        <v>0.98539410544945105</v>
      </c>
      <c r="S1131" t="s">
        <v>7442</v>
      </c>
      <c r="T1131" t="s">
        <v>12620</v>
      </c>
      <c r="U1131" t="s">
        <v>12620</v>
      </c>
      <c r="V1131" t="s">
        <v>12620</v>
      </c>
      <c r="W1131" t="s">
        <v>13721</v>
      </c>
      <c r="X1131">
        <v>13</v>
      </c>
      <c r="Y1131" t="s">
        <v>19953</v>
      </c>
      <c r="Z1131" t="s">
        <v>26078</v>
      </c>
      <c r="AA1131">
        <v>0.42990954357068017</v>
      </c>
      <c r="AB1131" t="str">
        <f>HYPERLINK("Melting_Curves/meltCurve_O43865_AHCYL1.pdf", "Melting_Curves/meltCurve_O43865_AHCYL1.pdf")</f>
        <v>Melting_Curves/meltCurve_O43865_AHCYL1.pdf</v>
      </c>
    </row>
    <row r="1132" spans="1:28" x14ac:dyDescent="0.25">
      <c r="A1132" t="s">
        <v>1136</v>
      </c>
      <c r="B1132">
        <v>0.99987803227770999</v>
      </c>
      <c r="C1132">
        <v>0.88298517128897003</v>
      </c>
      <c r="D1132">
        <v>0.62048403194385304</v>
      </c>
      <c r="E1132">
        <v>0.47008503080897202</v>
      </c>
      <c r="F1132">
        <v>0.38459556660240102</v>
      </c>
      <c r="G1132">
        <v>0.26597322390379202</v>
      </c>
      <c r="H1132">
        <v>0.229773241682379</v>
      </c>
      <c r="I1132">
        <v>0.207554814307257</v>
      </c>
      <c r="J1132">
        <v>0.194333615266502</v>
      </c>
      <c r="K1132">
        <v>0.14985377341481099</v>
      </c>
      <c r="L1132">
        <v>633.85427356774699</v>
      </c>
      <c r="M1132">
        <v>13.275918467552099</v>
      </c>
      <c r="N1132">
        <v>49.343928774000901</v>
      </c>
      <c r="O1132">
        <v>46.700377199410703</v>
      </c>
      <c r="P1132">
        <v>-5.8653528615586099E-2</v>
      </c>
      <c r="Q1132">
        <v>0.17483793775355899</v>
      </c>
      <c r="R1132">
        <v>0.98526210121957702</v>
      </c>
      <c r="S1132" t="s">
        <v>7443</v>
      </c>
      <c r="T1132" t="s">
        <v>12620</v>
      </c>
      <c r="U1132" t="s">
        <v>12620</v>
      </c>
      <c r="V1132" t="s">
        <v>12620</v>
      </c>
      <c r="W1132" t="s">
        <v>13722</v>
      </c>
      <c r="X1132">
        <v>11</v>
      </c>
      <c r="Y1132" t="s">
        <v>19954</v>
      </c>
      <c r="Z1132" t="s">
        <v>26079</v>
      </c>
      <c r="AA1132">
        <v>0.41513467099985912</v>
      </c>
      <c r="AB1132" t="str">
        <f>HYPERLINK("Melting_Curves/meltCurve_O43896_KIF1C.pdf", "Melting_Curves/meltCurve_O43896_KIF1C.pdf")</f>
        <v>Melting_Curves/meltCurve_O43896_KIF1C.pdf</v>
      </c>
    </row>
    <row r="1133" spans="1:28" x14ac:dyDescent="0.25">
      <c r="A1133" t="s">
        <v>1137</v>
      </c>
      <c r="B1133">
        <v>0.99987803227770999</v>
      </c>
      <c r="C1133">
        <v>0.89127865147547103</v>
      </c>
      <c r="D1133">
        <v>0.48406174859190298</v>
      </c>
      <c r="E1133">
        <v>0.39901374365050402</v>
      </c>
      <c r="F1133">
        <v>0.25944545593085999</v>
      </c>
      <c r="G1133">
        <v>0.19554084056398399</v>
      </c>
      <c r="H1133">
        <v>0.14066551756297199</v>
      </c>
      <c r="I1133">
        <v>0.15061412276564001</v>
      </c>
      <c r="J1133">
        <v>8.7077003498989905E-2</v>
      </c>
      <c r="K1133">
        <v>6.8526275630304403E-2</v>
      </c>
      <c r="L1133">
        <v>720.12745605053101</v>
      </c>
      <c r="M1133">
        <v>15.424223589312801</v>
      </c>
      <c r="N1133">
        <v>47.473796280989902</v>
      </c>
      <c r="O1133">
        <v>45.924421825804401</v>
      </c>
      <c r="P1133">
        <v>-7.4513394480042905E-2</v>
      </c>
      <c r="Q1133">
        <v>0.11264925918172999</v>
      </c>
      <c r="R1133">
        <v>0.96712999849112802</v>
      </c>
      <c r="S1133" t="s">
        <v>7444</v>
      </c>
      <c r="T1133" t="s">
        <v>12620</v>
      </c>
      <c r="U1133" t="s">
        <v>12620</v>
      </c>
      <c r="V1133" t="s">
        <v>12620</v>
      </c>
      <c r="W1133" t="s">
        <v>13723</v>
      </c>
      <c r="X1133">
        <v>4</v>
      </c>
      <c r="Y1133" t="s">
        <v>19955</v>
      </c>
      <c r="Z1133" t="s">
        <v>26080</v>
      </c>
      <c r="AA1133">
        <v>0.33368467712666211</v>
      </c>
      <c r="AB1133" t="str">
        <f>HYPERLINK("Melting_Curves/meltCurve_O43913_ORC5.pdf", "Melting_Curves/meltCurve_O43913_ORC5.pdf")</f>
        <v>Melting_Curves/meltCurve_O43913_ORC5.pdf</v>
      </c>
    </row>
    <row r="1134" spans="1:28" x14ac:dyDescent="0.25">
      <c r="A1134" t="s">
        <v>1138</v>
      </c>
      <c r="B1134">
        <v>0.99987803227770999</v>
      </c>
      <c r="C1134">
        <v>0.86027236932142803</v>
      </c>
      <c r="D1134">
        <v>1.0278554237648301</v>
      </c>
      <c r="E1134">
        <v>0.84419651653135896</v>
      </c>
      <c r="F1134">
        <v>0.83277436478804401</v>
      </c>
      <c r="G1134">
        <v>0.32743235906303902</v>
      </c>
      <c r="H1134">
        <v>0.22523681778256799</v>
      </c>
      <c r="I1134">
        <v>0.19068716193281199</v>
      </c>
      <c r="J1134">
        <v>0.13494685919878599</v>
      </c>
      <c r="K1134">
        <v>9.2888243905982396E-2</v>
      </c>
      <c r="L1134">
        <v>1416.4326210503</v>
      </c>
      <c r="M1134">
        <v>25.7482228036815</v>
      </c>
      <c r="N1134">
        <v>55.656023127726897</v>
      </c>
      <c r="O1134">
        <v>54.6822830138982</v>
      </c>
      <c r="P1134">
        <v>-0.10253074696841299</v>
      </c>
      <c r="Q1134">
        <v>0.129019770524894</v>
      </c>
      <c r="R1134">
        <v>0.96951946923640797</v>
      </c>
      <c r="S1134" t="s">
        <v>7445</v>
      </c>
      <c r="T1134" t="s">
        <v>12620</v>
      </c>
      <c r="U1134" t="s">
        <v>12620</v>
      </c>
      <c r="V1134" t="s">
        <v>12620</v>
      </c>
      <c r="W1134" t="s">
        <v>13724</v>
      </c>
      <c r="X1134">
        <v>4</v>
      </c>
      <c r="Y1134" t="s">
        <v>19956</v>
      </c>
      <c r="Z1134" t="s">
        <v>26081</v>
      </c>
      <c r="AA1134">
        <v>0.57247543347494367</v>
      </c>
      <c r="AB1134" t="str">
        <f>HYPERLINK("Melting_Curves/meltCurve_O43924_PDE6D.pdf", "Melting_Curves/meltCurve_O43924_PDE6D.pdf")</f>
        <v>Melting_Curves/meltCurve_O43924_PDE6D.pdf</v>
      </c>
    </row>
    <row r="1135" spans="1:28" x14ac:dyDescent="0.25">
      <c r="A1135" t="s">
        <v>1139</v>
      </c>
      <c r="B1135">
        <v>0.99987803227770999</v>
      </c>
      <c r="C1135">
        <v>0.89996874385050896</v>
      </c>
      <c r="D1135">
        <v>0.76338854306819603</v>
      </c>
      <c r="E1135">
        <v>0.36409576224618301</v>
      </c>
      <c r="F1135">
        <v>0.22378393377856701</v>
      </c>
      <c r="G1135">
        <v>0.13047143293459901</v>
      </c>
      <c r="H1135">
        <v>9.4340434112953106E-2</v>
      </c>
      <c r="I1135">
        <v>8.6817662019998507E-2</v>
      </c>
      <c r="J1135">
        <v>5.9007241075099297E-2</v>
      </c>
      <c r="K1135">
        <v>4.27915722701665E-2</v>
      </c>
      <c r="L1135">
        <v>914.68292698150503</v>
      </c>
      <c r="M1135">
        <v>18.928172826737999</v>
      </c>
      <c r="N1135">
        <v>48.683045855560799</v>
      </c>
      <c r="O1135">
        <v>47.794202192018098</v>
      </c>
      <c r="P1135">
        <v>-9.2560564723894706E-2</v>
      </c>
      <c r="Q1135">
        <v>6.51650637060045E-2</v>
      </c>
      <c r="R1135">
        <v>0.99738231688892098</v>
      </c>
      <c r="S1135" t="s">
        <v>7446</v>
      </c>
      <c r="T1135" t="s">
        <v>12620</v>
      </c>
      <c r="U1135" t="s">
        <v>12620</v>
      </c>
      <c r="V1135" t="s">
        <v>12620</v>
      </c>
      <c r="W1135" t="s">
        <v>13725</v>
      </c>
      <c r="X1135">
        <v>6</v>
      </c>
      <c r="Y1135" t="s">
        <v>19957</v>
      </c>
      <c r="Z1135" t="s">
        <v>26082</v>
      </c>
      <c r="AA1135">
        <v>0.33936039381929112</v>
      </c>
      <c r="AB1135" t="str">
        <f>HYPERLINK("Melting_Curves/meltCurve_O43929_2_ORC4.pdf", "Melting_Curves/meltCurve_O43929_2_ORC4.pdf")</f>
        <v>Melting_Curves/meltCurve_O43929_2_ORC4.pdf</v>
      </c>
    </row>
    <row r="1136" spans="1:28" x14ac:dyDescent="0.25">
      <c r="A1136" t="s">
        <v>1140</v>
      </c>
      <c r="B1136">
        <v>0.99987803227770999</v>
      </c>
      <c r="C1136">
        <v>0.98374518244003295</v>
      </c>
      <c r="D1136">
        <v>0.88950496208796104</v>
      </c>
      <c r="E1136">
        <v>1.4405810413484801</v>
      </c>
      <c r="F1136">
        <v>0.76801622805282099</v>
      </c>
      <c r="G1136">
        <v>0.50135877975633003</v>
      </c>
      <c r="H1136">
        <v>0.27689006595415799</v>
      </c>
      <c r="I1136">
        <v>0.28361579503074102</v>
      </c>
      <c r="J1136">
        <v>0.232874500800131</v>
      </c>
      <c r="K1136">
        <v>0.17894993281431101</v>
      </c>
      <c r="L1136">
        <v>1912.80208755176</v>
      </c>
      <c r="M1136">
        <v>34.330494386531001</v>
      </c>
      <c r="N1136">
        <v>56.753440130678399</v>
      </c>
      <c r="O1136">
        <v>55.529274515750302</v>
      </c>
      <c r="P1136">
        <v>-0.118572463647811</v>
      </c>
      <c r="Q1136">
        <v>0.232843529351248</v>
      </c>
      <c r="R1136">
        <v>0.85228256296458704</v>
      </c>
      <c r="S1136" t="s">
        <v>7447</v>
      </c>
      <c r="T1136" t="s">
        <v>12620</v>
      </c>
      <c r="U1136" t="s">
        <v>12620</v>
      </c>
      <c r="V1136" t="s">
        <v>12620</v>
      </c>
      <c r="W1136" t="s">
        <v>13726</v>
      </c>
      <c r="X1136">
        <v>6</v>
      </c>
      <c r="Y1136" t="s">
        <v>19958</v>
      </c>
      <c r="Z1136" t="s">
        <v>26083</v>
      </c>
      <c r="AA1136">
        <v>0.63872495973947352</v>
      </c>
      <c r="AB1136" t="str">
        <f>HYPERLINK("Melting_Curves/meltCurve_O60216_RAD21.pdf", "Melting_Curves/meltCurve_O60216_RAD21.pdf")</f>
        <v>Melting_Curves/meltCurve_O60216_RAD21.pdf</v>
      </c>
    </row>
    <row r="1137" spans="1:28" x14ac:dyDescent="0.25">
      <c r="A1137" t="s">
        <v>1141</v>
      </c>
      <c r="B1137">
        <v>0.99987803227770999</v>
      </c>
      <c r="C1137">
        <v>0.86325154047808195</v>
      </c>
      <c r="D1137">
        <v>0.94807562863699602</v>
      </c>
      <c r="E1137">
        <v>0.90960144031694001</v>
      </c>
      <c r="F1137">
        <v>0.92130294344825803</v>
      </c>
      <c r="G1137">
        <v>0.29635734839658401</v>
      </c>
      <c r="H1137">
        <v>0.100431731000503</v>
      </c>
      <c r="I1137">
        <v>7.5223997904375103E-2</v>
      </c>
      <c r="J1137">
        <v>5.08170194131475E-2</v>
      </c>
      <c r="K1137">
        <v>3.5298407976901397E-2</v>
      </c>
      <c r="L1137">
        <v>2430.43128520954</v>
      </c>
      <c r="M1137">
        <v>43.6803533980599</v>
      </c>
      <c r="N1137">
        <v>55.799577708280303</v>
      </c>
      <c r="O1137">
        <v>55.525061577395199</v>
      </c>
      <c r="P1137">
        <v>-0.18520968465080201</v>
      </c>
      <c r="Q1137">
        <v>5.8271211790539401E-2</v>
      </c>
      <c r="R1137">
        <v>0.98257833019667495</v>
      </c>
      <c r="S1137" t="s">
        <v>7448</v>
      </c>
      <c r="T1137" t="s">
        <v>12620</v>
      </c>
      <c r="U1137" t="s">
        <v>12620</v>
      </c>
      <c r="V1137" t="s">
        <v>12620</v>
      </c>
      <c r="W1137" t="s">
        <v>13727</v>
      </c>
      <c r="X1137">
        <v>31</v>
      </c>
      <c r="Y1137" t="s">
        <v>19959</v>
      </c>
      <c r="Z1137" t="s">
        <v>26084</v>
      </c>
      <c r="AA1137">
        <v>0.55229157785985683</v>
      </c>
      <c r="AB1137" t="str">
        <f>HYPERLINK("Melting_Curves/meltCurve_O60218_AKR1B10.pdf", "Melting_Curves/meltCurve_O60218_AKR1B10.pdf")</f>
        <v>Melting_Curves/meltCurve_O60218_AKR1B10.pdf</v>
      </c>
    </row>
    <row r="1138" spans="1:28" x14ac:dyDescent="0.25">
      <c r="A1138" t="s">
        <v>1142</v>
      </c>
      <c r="B1138">
        <v>0.99987803227770999</v>
      </c>
      <c r="C1138">
        <v>1.0956641698806</v>
      </c>
      <c r="D1138">
        <v>1.02799838368358</v>
      </c>
      <c r="E1138">
        <v>1.118400932813</v>
      </c>
      <c r="F1138">
        <v>1.1656231045073</v>
      </c>
      <c r="G1138">
        <v>1.0639496937934201</v>
      </c>
      <c r="H1138">
        <v>1.0762992332991901</v>
      </c>
      <c r="I1138">
        <v>1.12651564941267</v>
      </c>
      <c r="J1138">
        <v>0.91515795637688502</v>
      </c>
      <c r="K1138">
        <v>0.774116576262176</v>
      </c>
      <c r="L1138">
        <v>15000</v>
      </c>
      <c r="M1138">
        <v>223.37197504941</v>
      </c>
      <c r="O1138">
        <v>67.147177264014999</v>
      </c>
      <c r="P1138">
        <v>-0.18787841788530399</v>
      </c>
      <c r="Q1138">
        <v>0.77408973660561997</v>
      </c>
      <c r="R1138">
        <v>0.36793552399655799</v>
      </c>
      <c r="S1138" t="s">
        <v>7449</v>
      </c>
      <c r="T1138" t="s">
        <v>12620</v>
      </c>
      <c r="U1138" t="s">
        <v>12620</v>
      </c>
      <c r="V1138" t="s">
        <v>12620</v>
      </c>
      <c r="W1138" t="s">
        <v>13728</v>
      </c>
      <c r="X1138">
        <v>5</v>
      </c>
      <c r="Y1138" t="s">
        <v>19960</v>
      </c>
      <c r="Z1138" t="s">
        <v>26085</v>
      </c>
      <c r="AA1138">
        <v>0.97859087475843987</v>
      </c>
      <c r="AB1138" t="str">
        <f>HYPERLINK("Melting_Curves/meltCurve_O60220_TIMM8A.pdf", "Melting_Curves/meltCurve_O60220_TIMM8A.pdf")</f>
        <v>Melting_Curves/meltCurve_O60220_TIMM8A.pdf</v>
      </c>
    </row>
    <row r="1139" spans="1:28" x14ac:dyDescent="0.25">
      <c r="A1139" t="s">
        <v>1143</v>
      </c>
      <c r="B1139">
        <v>0.99987803227770999</v>
      </c>
      <c r="C1139">
        <v>1.07424427896082</v>
      </c>
      <c r="D1139">
        <v>0.98425306594946904</v>
      </c>
      <c r="E1139">
        <v>0.932891341966814</v>
      </c>
      <c r="F1139">
        <v>0.440791064449224</v>
      </c>
      <c r="G1139">
        <v>0.22706773378133499</v>
      </c>
      <c r="H1139">
        <v>0.18642945324940899</v>
      </c>
      <c r="I1139">
        <v>0.17402595190388701</v>
      </c>
      <c r="J1139">
        <v>0.15955874217433899</v>
      </c>
      <c r="K1139">
        <v>0.122688753166234</v>
      </c>
      <c r="L1139">
        <v>2622.8416777495099</v>
      </c>
      <c r="M1139">
        <v>50.177609307045998</v>
      </c>
      <c r="N1139">
        <v>52.708952025535602</v>
      </c>
      <c r="O1139">
        <v>52.188333482891601</v>
      </c>
      <c r="P1139">
        <v>-0.199406121722767</v>
      </c>
      <c r="Q1139">
        <v>0.17041369523962099</v>
      </c>
      <c r="R1139">
        <v>0.99318128059981303</v>
      </c>
      <c r="S1139" t="s">
        <v>7450</v>
      </c>
      <c r="T1139" t="s">
        <v>12620</v>
      </c>
      <c r="U1139" t="s">
        <v>12620</v>
      </c>
      <c r="V1139" t="s">
        <v>12620</v>
      </c>
      <c r="W1139" t="s">
        <v>13729</v>
      </c>
      <c r="X1139">
        <v>18</v>
      </c>
      <c r="Y1139" t="s">
        <v>19961</v>
      </c>
      <c r="Z1139" t="s">
        <v>26086</v>
      </c>
      <c r="AA1139">
        <v>0.51164550516300744</v>
      </c>
      <c r="AB1139" t="str">
        <f>HYPERLINK("Melting_Curves/meltCurve_O60231_DHX16.pdf", "Melting_Curves/meltCurve_O60231_DHX16.pdf")</f>
        <v>Melting_Curves/meltCurve_O60231_DHX16.pdf</v>
      </c>
    </row>
    <row r="1140" spans="1:28" x14ac:dyDescent="0.25">
      <c r="A1140" t="s">
        <v>1144</v>
      </c>
      <c r="B1140">
        <v>0.99987803227770999</v>
      </c>
      <c r="C1140">
        <v>0.92540418589470497</v>
      </c>
      <c r="D1140">
        <v>0.99437355164242602</v>
      </c>
      <c r="E1140">
        <v>1.0231560029673601</v>
      </c>
      <c r="F1140">
        <v>1.07246830142092</v>
      </c>
      <c r="G1140">
        <v>0.82787727932928601</v>
      </c>
      <c r="H1140">
        <v>0.75923279222998297</v>
      </c>
      <c r="I1140">
        <v>0.56410483348827001</v>
      </c>
      <c r="J1140">
        <v>0.57610698469018495</v>
      </c>
      <c r="K1140">
        <v>0.41035624736965798</v>
      </c>
      <c r="L1140">
        <v>1112.1788798499099</v>
      </c>
      <c r="M1140">
        <v>17.9419290531137</v>
      </c>
      <c r="N1140">
        <v>67.284050619252497</v>
      </c>
      <c r="O1140">
        <v>61.2330504677834</v>
      </c>
      <c r="P1140">
        <v>-4.5549928933382403E-2</v>
      </c>
      <c r="Q1140">
        <v>0.37821154846598898</v>
      </c>
      <c r="R1140">
        <v>0.93814231964158101</v>
      </c>
      <c r="S1140" t="s">
        <v>7451</v>
      </c>
      <c r="T1140" t="s">
        <v>12620</v>
      </c>
      <c r="U1140" t="s">
        <v>12620</v>
      </c>
      <c r="V1140" t="s">
        <v>12620</v>
      </c>
      <c r="W1140" t="s">
        <v>13730</v>
      </c>
      <c r="X1140">
        <v>5</v>
      </c>
      <c r="Y1140" t="s">
        <v>19962</v>
      </c>
      <c r="Z1140" t="s">
        <v>26087</v>
      </c>
      <c r="AA1140">
        <v>0.83486689952207271</v>
      </c>
      <c r="AB1140" t="str">
        <f>HYPERLINK("Melting_Curves/meltCurve_O60239_SH3BP5.pdf", "Melting_Curves/meltCurve_O60239_SH3BP5.pdf")</f>
        <v>Melting_Curves/meltCurve_O60239_SH3BP5.pdf</v>
      </c>
    </row>
    <row r="1141" spans="1:28" x14ac:dyDescent="0.25">
      <c r="A1141" t="s">
        <v>1145</v>
      </c>
      <c r="B1141">
        <v>0.99987803227770999</v>
      </c>
      <c r="C1141">
        <v>1.0036285678894901</v>
      </c>
      <c r="D1141">
        <v>1.0547780189835001</v>
      </c>
      <c r="E1141">
        <v>1.4262801546086701</v>
      </c>
      <c r="F1141">
        <v>1.5565634600037901</v>
      </c>
      <c r="G1141">
        <v>1.6962895864073799</v>
      </c>
      <c r="H1141">
        <v>0.84214570097757002</v>
      </c>
      <c r="I1141">
        <v>0.34881574451802499</v>
      </c>
      <c r="J1141">
        <v>0.207381268086619</v>
      </c>
      <c r="K1141">
        <v>0.126328383603212</v>
      </c>
      <c r="L1141">
        <v>3868.9892944891499</v>
      </c>
      <c r="M1141">
        <v>61.749096818397298</v>
      </c>
      <c r="N1141">
        <v>63.051454446988501</v>
      </c>
      <c r="O1141">
        <v>62.591013669785298</v>
      </c>
      <c r="P1141">
        <v>-0.20708967400240899</v>
      </c>
      <c r="Q1141">
        <v>0.16034758229988999</v>
      </c>
      <c r="R1141">
        <v>0.64385834079778204</v>
      </c>
      <c r="S1141" t="s">
        <v>7452</v>
      </c>
      <c r="T1141" t="s">
        <v>12620</v>
      </c>
      <c r="U1141" t="s">
        <v>12620</v>
      </c>
      <c r="V1141" t="s">
        <v>12620</v>
      </c>
      <c r="W1141" t="s">
        <v>13731</v>
      </c>
      <c r="X1141">
        <v>11</v>
      </c>
      <c r="Y1141" t="s">
        <v>19963</v>
      </c>
      <c r="Z1141" t="s">
        <v>26088</v>
      </c>
      <c r="AA1141">
        <v>0.79593233851710876</v>
      </c>
      <c r="AB1141" t="str">
        <f>HYPERLINK("Melting_Curves/meltCurve_O60256_PRPSAP2.pdf", "Melting_Curves/meltCurve_O60256_PRPSAP2.pdf")</f>
        <v>Melting_Curves/meltCurve_O60256_PRPSAP2.pdf</v>
      </c>
    </row>
    <row r="1142" spans="1:28" x14ac:dyDescent="0.25">
      <c r="A1142" t="s">
        <v>1146</v>
      </c>
      <c r="B1142">
        <v>0.99987803227770999</v>
      </c>
      <c r="C1142">
        <v>1.1094594114646099</v>
      </c>
      <c r="D1142">
        <v>0.74898734731437999</v>
      </c>
      <c r="E1142">
        <v>0.57477832561931197</v>
      </c>
      <c r="F1142">
        <v>0.37933481551974002</v>
      </c>
      <c r="G1142">
        <v>0.235484243708592</v>
      </c>
      <c r="H1142">
        <v>0.201232656053424</v>
      </c>
      <c r="I1142">
        <v>0.187995108850607</v>
      </c>
      <c r="J1142">
        <v>0.16775997203845</v>
      </c>
      <c r="K1142">
        <v>0.13378007326917599</v>
      </c>
      <c r="L1142">
        <v>885.70768005637501</v>
      </c>
      <c r="M1142">
        <v>17.8056924731269</v>
      </c>
      <c r="N1142">
        <v>50.8337712219504</v>
      </c>
      <c r="O1142">
        <v>49.128248809602198</v>
      </c>
      <c r="P1142">
        <v>-7.6225358394320597E-2</v>
      </c>
      <c r="Q1142">
        <v>0.15878013947399899</v>
      </c>
      <c r="R1142">
        <v>0.97141694295870895</v>
      </c>
      <c r="S1142" t="s">
        <v>7453</v>
      </c>
      <c r="T1142" t="s">
        <v>12620</v>
      </c>
      <c r="U1142" t="s">
        <v>12620</v>
      </c>
      <c r="V1142" t="s">
        <v>12620</v>
      </c>
      <c r="W1142" t="s">
        <v>13732</v>
      </c>
      <c r="X1142">
        <v>11</v>
      </c>
      <c r="Y1142" t="s">
        <v>19964</v>
      </c>
      <c r="Z1142" t="s">
        <v>26089</v>
      </c>
      <c r="AA1142">
        <v>0.44667797780311069</v>
      </c>
      <c r="AB1142" t="str">
        <f>HYPERLINK("Melting_Curves/meltCurve_O60264_SMARCA5.pdf", "Melting_Curves/meltCurve_O60264_SMARCA5.pdf")</f>
        <v>Melting_Curves/meltCurve_O60264_SMARCA5.pdf</v>
      </c>
    </row>
    <row r="1143" spans="1:28" x14ac:dyDescent="0.25">
      <c r="A1143" t="s">
        <v>1147</v>
      </c>
      <c r="B1143">
        <v>0.99987803227770999</v>
      </c>
      <c r="C1143">
        <v>0.85020233972958803</v>
      </c>
      <c r="D1143">
        <v>0.83625490827465299</v>
      </c>
      <c r="E1143">
        <v>0.82615236903468103</v>
      </c>
      <c r="F1143">
        <v>0.91626569155365001</v>
      </c>
      <c r="G1143">
        <v>0.80674134639509898</v>
      </c>
      <c r="H1143">
        <v>0.837971560628333</v>
      </c>
      <c r="I1143">
        <v>0.81598026847243899</v>
      </c>
      <c r="J1143">
        <v>0.82734386443625996</v>
      </c>
      <c r="K1143">
        <v>0.70633578087637106</v>
      </c>
      <c r="L1143">
        <v>115.884763502769</v>
      </c>
      <c r="M1143">
        <v>0.44699768245918597</v>
      </c>
      <c r="O1143">
        <v>45.376618644014599</v>
      </c>
      <c r="P1143">
        <v>-5.4409967019816204E-3</v>
      </c>
      <c r="Q1143">
        <v>0</v>
      </c>
      <c r="R1143">
        <v>0.50044375533651497</v>
      </c>
      <c r="S1143" t="s">
        <v>7454</v>
      </c>
      <c r="T1143" t="s">
        <v>12620</v>
      </c>
      <c r="U1143" t="s">
        <v>12620</v>
      </c>
      <c r="V1143" t="s">
        <v>12620</v>
      </c>
      <c r="W1143" t="s">
        <v>13733</v>
      </c>
      <c r="X1143">
        <v>7</v>
      </c>
      <c r="Y1143" t="s">
        <v>19965</v>
      </c>
      <c r="Z1143" t="s">
        <v>26090</v>
      </c>
      <c r="AA1143">
        <v>0.84204577834667638</v>
      </c>
      <c r="AB1143" t="str">
        <f>HYPERLINK("Melting_Curves/meltCurve_O60269_GPRIN2.pdf", "Melting_Curves/meltCurve_O60269_GPRIN2.pdf")</f>
        <v>Melting_Curves/meltCurve_O60269_GPRIN2.pdf</v>
      </c>
    </row>
    <row r="1144" spans="1:28" x14ac:dyDescent="0.25">
      <c r="A1144" t="s">
        <v>1148</v>
      </c>
      <c r="B1144">
        <v>0.99987803227770999</v>
      </c>
      <c r="C1144">
        <v>1.23845402853922</v>
      </c>
      <c r="D1144">
        <v>0.84445461603262695</v>
      </c>
      <c r="E1144">
        <v>1.0692603506724701</v>
      </c>
      <c r="F1144">
        <v>0.74881478002621304</v>
      </c>
      <c r="G1144">
        <v>0.68628674127081701</v>
      </c>
      <c r="H1144">
        <v>0.59963975272490799</v>
      </c>
      <c r="I1144">
        <v>0.430868079589658</v>
      </c>
      <c r="J1144">
        <v>0.35873297038651197</v>
      </c>
      <c r="K1144">
        <v>0.22822800700891599</v>
      </c>
      <c r="L1144">
        <v>625.11120530214305</v>
      </c>
      <c r="M1144">
        <v>10.0288601643012</v>
      </c>
      <c r="N1144">
        <v>62.371963444416103</v>
      </c>
      <c r="O1144">
        <v>60.005020616632002</v>
      </c>
      <c r="P1144">
        <v>-4.1667135716968201E-2</v>
      </c>
      <c r="Q1144">
        <v>3.2625330698874298E-3</v>
      </c>
      <c r="R1144">
        <v>0.87952083095232203</v>
      </c>
      <c r="S1144" t="s">
        <v>7455</v>
      </c>
      <c r="T1144" t="s">
        <v>12620</v>
      </c>
      <c r="U1144" t="s">
        <v>12620</v>
      </c>
      <c r="V1144" t="s">
        <v>12620</v>
      </c>
      <c r="W1144" t="s">
        <v>13734</v>
      </c>
      <c r="X1144">
        <v>54</v>
      </c>
      <c r="Y1144" t="s">
        <v>19966</v>
      </c>
      <c r="Z1144" t="s">
        <v>26091</v>
      </c>
      <c r="AA1144">
        <v>0.72105334067861748</v>
      </c>
      <c r="AB1144" t="str">
        <f>HYPERLINK("Melting_Curves/meltCurve_O60271_SPAG9.pdf", "Melting_Curves/meltCurve_O60271_SPAG9.pdf")</f>
        <v>Melting_Curves/meltCurve_O60271_SPAG9.pdf</v>
      </c>
    </row>
    <row r="1145" spans="1:28" x14ac:dyDescent="0.25">
      <c r="A1145" t="s">
        <v>1149</v>
      </c>
      <c r="B1145">
        <v>0.99987803227770999</v>
      </c>
      <c r="C1145">
        <v>1.1727751047424899</v>
      </c>
      <c r="D1145">
        <v>1.07836809314517</v>
      </c>
      <c r="E1145">
        <v>1.0617612220027499</v>
      </c>
      <c r="F1145">
        <v>0.82288919374914904</v>
      </c>
      <c r="G1145">
        <v>0.73855783558916799</v>
      </c>
      <c r="H1145">
        <v>0.66940007215268005</v>
      </c>
      <c r="I1145">
        <v>0.503631904153379</v>
      </c>
      <c r="J1145">
        <v>0.46264152107008399</v>
      </c>
      <c r="K1145">
        <v>0.31063168158523102</v>
      </c>
      <c r="L1145">
        <v>750.65737154209705</v>
      </c>
      <c r="M1145">
        <v>12.1224125982398</v>
      </c>
      <c r="N1145">
        <v>64.386099858412507</v>
      </c>
      <c r="O1145">
        <v>60.3102580196649</v>
      </c>
      <c r="P1145">
        <v>-4.0936715350504797E-2</v>
      </c>
      <c r="Q1145">
        <v>0.185531177343637</v>
      </c>
      <c r="R1145">
        <v>0.91748621161661803</v>
      </c>
      <c r="S1145" t="s">
        <v>7456</v>
      </c>
      <c r="T1145" t="s">
        <v>12620</v>
      </c>
      <c r="U1145" t="s">
        <v>12620</v>
      </c>
      <c r="V1145" t="s">
        <v>12620</v>
      </c>
      <c r="W1145" t="s">
        <v>13735</v>
      </c>
      <c r="X1145">
        <v>54</v>
      </c>
      <c r="Y1145" t="s">
        <v>19966</v>
      </c>
      <c r="Z1145" t="s">
        <v>26092</v>
      </c>
      <c r="AA1145">
        <v>0.77234543032258562</v>
      </c>
      <c r="AB1145" t="str">
        <f>HYPERLINK("Melting_Curves/meltCurve_O60271_4_SPAG9.pdf", "Melting_Curves/meltCurve_O60271_4_SPAG9.pdf")</f>
        <v>Melting_Curves/meltCurve_O60271_4_SPAG9.pdf</v>
      </c>
    </row>
    <row r="1146" spans="1:28" x14ac:dyDescent="0.25">
      <c r="A1146" t="s">
        <v>1150</v>
      </c>
      <c r="B1146">
        <v>0.99987803227770999</v>
      </c>
      <c r="C1146">
        <v>1.23177052269579</v>
      </c>
      <c r="D1146">
        <v>0.94290162771670305</v>
      </c>
      <c r="E1146">
        <v>0.88009375015143199</v>
      </c>
      <c r="F1146">
        <v>0.62209019306985702</v>
      </c>
      <c r="G1146">
        <v>0.43396592110195498</v>
      </c>
      <c r="H1146">
        <v>0.44368010258032498</v>
      </c>
      <c r="I1146">
        <v>0.22323966746299001</v>
      </c>
      <c r="J1146">
        <v>0.22202950829198401</v>
      </c>
      <c r="K1146">
        <v>0.12091591626909701</v>
      </c>
      <c r="L1146">
        <v>789.07818397266999</v>
      </c>
      <c r="M1146">
        <v>14.2989143753432</v>
      </c>
      <c r="N1146">
        <v>56.4960701450645</v>
      </c>
      <c r="O1146">
        <v>54.138793849594997</v>
      </c>
      <c r="P1146">
        <v>-5.6709943204923098E-2</v>
      </c>
      <c r="Q1146">
        <v>0.141240018864527</v>
      </c>
      <c r="R1146">
        <v>0.93220390807989595</v>
      </c>
      <c r="S1146" t="s">
        <v>7457</v>
      </c>
      <c r="T1146" t="s">
        <v>12620</v>
      </c>
      <c r="U1146" t="s">
        <v>12620</v>
      </c>
      <c r="V1146" t="s">
        <v>12620</v>
      </c>
      <c r="W1146" t="s">
        <v>13736</v>
      </c>
      <c r="X1146">
        <v>43</v>
      </c>
      <c r="Y1146" t="s">
        <v>19966</v>
      </c>
      <c r="Z1146" t="s">
        <v>26093</v>
      </c>
      <c r="AA1146">
        <v>0.59302712914673106</v>
      </c>
      <c r="AB1146" t="str">
        <f>HYPERLINK("Melting_Curves/meltCurve_O60271_9_SPAG9.pdf", "Melting_Curves/meltCurve_O60271_9_SPAG9.pdf")</f>
        <v>Melting_Curves/meltCurve_O60271_9_SPAG9.pdf</v>
      </c>
    </row>
    <row r="1147" spans="1:28" x14ac:dyDescent="0.25">
      <c r="A1147" t="s">
        <v>1151</v>
      </c>
      <c r="B1147">
        <v>0.99987803227770999</v>
      </c>
      <c r="C1147">
        <v>1.10910412953354</v>
      </c>
      <c r="D1147">
        <v>0.97404734698921902</v>
      </c>
      <c r="E1147">
        <v>1.0118319836829099</v>
      </c>
      <c r="F1147">
        <v>0.365352675541322</v>
      </c>
      <c r="G1147">
        <v>0.161082743545017</v>
      </c>
      <c r="H1147">
        <v>0.14206439909251201</v>
      </c>
      <c r="I1147">
        <v>7.5246878265809294E-2</v>
      </c>
      <c r="J1147">
        <v>3.9964336378724603E-2</v>
      </c>
      <c r="K1147">
        <v>3.1261946147950102E-2</v>
      </c>
      <c r="L1147">
        <v>13205.7587432853</v>
      </c>
      <c r="M1147">
        <v>250</v>
      </c>
      <c r="N1147">
        <v>52.864946193861101</v>
      </c>
      <c r="O1147">
        <v>52.819679042261498</v>
      </c>
      <c r="P1147">
        <v>-1.07686706611687</v>
      </c>
      <c r="Q1147">
        <v>8.9924053468671994E-2</v>
      </c>
      <c r="R1147">
        <v>0.98653691485774797</v>
      </c>
      <c r="S1147" t="s">
        <v>7458</v>
      </c>
      <c r="T1147" t="s">
        <v>12620</v>
      </c>
      <c r="U1147" t="s">
        <v>12620</v>
      </c>
      <c r="V1147" t="s">
        <v>12620</v>
      </c>
      <c r="W1147" t="s">
        <v>13737</v>
      </c>
      <c r="X1147">
        <v>1</v>
      </c>
      <c r="Y1147" t="s">
        <v>19967</v>
      </c>
      <c r="Z1147" t="s">
        <v>26094</v>
      </c>
      <c r="AA1147">
        <v>0.47900627714193461</v>
      </c>
      <c r="AB1147" t="str">
        <f>HYPERLINK("Melting_Curves/meltCurve_O60281_2_ZNF292.pdf", "Melting_Curves/meltCurve_O60281_2_ZNF292.pdf")</f>
        <v>Melting_Curves/meltCurve_O60281_2_ZNF292.pdf</v>
      </c>
    </row>
    <row r="1148" spans="1:28" x14ac:dyDescent="0.25">
      <c r="A1148" t="s">
        <v>1152</v>
      </c>
      <c r="B1148">
        <v>0.99987803227770999</v>
      </c>
      <c r="C1148">
        <v>1.1003270192558099</v>
      </c>
      <c r="D1148">
        <v>1.1001757238915799</v>
      </c>
      <c r="E1148">
        <v>1.00054808861023</v>
      </c>
      <c r="F1148">
        <v>0.83444439030130602</v>
      </c>
      <c r="G1148">
        <v>1.03446223318275</v>
      </c>
      <c r="H1148">
        <v>0.23716431923470799</v>
      </c>
      <c r="I1148">
        <v>1.6943152315816099</v>
      </c>
      <c r="J1148">
        <v>0.30323256035354201</v>
      </c>
      <c r="K1148">
        <v>0.216274785520115</v>
      </c>
      <c r="L1148">
        <v>15000</v>
      </c>
      <c r="M1148">
        <v>225.929606540614</v>
      </c>
      <c r="N1148">
        <v>66.558084671937706</v>
      </c>
      <c r="O1148">
        <v>66.3871689368777</v>
      </c>
      <c r="P1148">
        <v>-0.66778646400528796</v>
      </c>
      <c r="Q1148">
        <v>0.215110463251205</v>
      </c>
      <c r="R1148">
        <v>0.44175088203301</v>
      </c>
      <c r="S1148" t="s">
        <v>7459</v>
      </c>
      <c r="T1148" t="s">
        <v>12620</v>
      </c>
      <c r="U1148" t="s">
        <v>12620</v>
      </c>
      <c r="V1148" t="s">
        <v>12620</v>
      </c>
      <c r="W1148" t="s">
        <v>13738</v>
      </c>
      <c r="X1148">
        <v>1</v>
      </c>
      <c r="Y1148" t="s">
        <v>19968</v>
      </c>
      <c r="Z1148" t="s">
        <v>26095</v>
      </c>
      <c r="AA1148">
        <v>0.90572530489854219</v>
      </c>
      <c r="AB1148" t="str">
        <f>HYPERLINK("Melting_Curves/meltCurve_O60291_MGRN1.pdf", "Melting_Curves/meltCurve_O60291_MGRN1.pdf")</f>
        <v>Melting_Curves/meltCurve_O60291_MGRN1.pdf</v>
      </c>
    </row>
    <row r="1149" spans="1:28" x14ac:dyDescent="0.25">
      <c r="A1149" t="s">
        <v>1153</v>
      </c>
      <c r="B1149">
        <v>0.99987803227770999</v>
      </c>
      <c r="C1149">
        <v>0.95129601024023502</v>
      </c>
      <c r="D1149">
        <v>0.97474568146927398</v>
      </c>
      <c r="E1149">
        <v>0.83781025133964904</v>
      </c>
      <c r="F1149">
        <v>0.75723432293231296</v>
      </c>
      <c r="G1149">
        <v>0.58269694542787298</v>
      </c>
      <c r="H1149">
        <v>0.556961590696051</v>
      </c>
      <c r="I1149">
        <v>0.56064886637637201</v>
      </c>
      <c r="J1149">
        <v>0.49825900476954998</v>
      </c>
      <c r="K1149">
        <v>0.42064493812631898</v>
      </c>
      <c r="L1149">
        <v>684.495380558085</v>
      </c>
      <c r="M1149">
        <v>12.733679417830199</v>
      </c>
      <c r="N1149">
        <v>64.815957013181801</v>
      </c>
      <c r="O1149">
        <v>52.480707126118297</v>
      </c>
      <c r="P1149">
        <v>-3.3788197896901698E-2</v>
      </c>
      <c r="Q1149">
        <v>0.44308663941455201</v>
      </c>
      <c r="R1149">
        <v>0.97735639788737405</v>
      </c>
      <c r="S1149" t="s">
        <v>7460</v>
      </c>
      <c r="T1149" t="s">
        <v>12620</v>
      </c>
      <c r="U1149" t="s">
        <v>12620</v>
      </c>
      <c r="V1149" t="s">
        <v>12620</v>
      </c>
      <c r="W1149" t="s">
        <v>13739</v>
      </c>
      <c r="X1149">
        <v>34</v>
      </c>
      <c r="Y1149" t="s">
        <v>19969</v>
      </c>
      <c r="Z1149" t="s">
        <v>26096</v>
      </c>
      <c r="AA1149">
        <v>0.71243793453273463</v>
      </c>
      <c r="AB1149" t="str">
        <f>HYPERLINK("Melting_Curves/meltCurve_O60292_SIPA1L3.pdf", "Melting_Curves/meltCurve_O60292_SIPA1L3.pdf")</f>
        <v>Melting_Curves/meltCurve_O60292_SIPA1L3.pdf</v>
      </c>
    </row>
    <row r="1150" spans="1:28" x14ac:dyDescent="0.25">
      <c r="A1150" t="s">
        <v>1154</v>
      </c>
      <c r="B1150">
        <v>0.99987803227770999</v>
      </c>
      <c r="C1150">
        <v>0.92555815718401302</v>
      </c>
      <c r="D1150">
        <v>0.55335937945728197</v>
      </c>
      <c r="E1150">
        <v>0.35308286028416902</v>
      </c>
      <c r="F1150">
        <v>0.26768583930652701</v>
      </c>
      <c r="G1150">
        <v>0.163361893283931</v>
      </c>
      <c r="H1150">
        <v>0.12900718616738599</v>
      </c>
      <c r="I1150">
        <v>7.4572870403347494E-2</v>
      </c>
      <c r="J1150">
        <v>9.7871919404045105E-2</v>
      </c>
      <c r="K1150">
        <v>6.0674689250785403E-2</v>
      </c>
      <c r="L1150">
        <v>779.45832927484196</v>
      </c>
      <c r="M1150">
        <v>16.532193222118401</v>
      </c>
      <c r="N1150">
        <v>47.734893595040198</v>
      </c>
      <c r="O1150">
        <v>46.474241268835002</v>
      </c>
      <c r="P1150">
        <v>-8.0757625036565694E-2</v>
      </c>
      <c r="Q1150">
        <v>9.1979627844475206E-2</v>
      </c>
      <c r="R1150">
        <v>0.98194795609489405</v>
      </c>
      <c r="S1150" t="s">
        <v>7461</v>
      </c>
      <c r="T1150" t="s">
        <v>12620</v>
      </c>
      <c r="U1150" t="s">
        <v>12620</v>
      </c>
      <c r="V1150" t="s">
        <v>12620</v>
      </c>
      <c r="W1150" t="s">
        <v>13740</v>
      </c>
      <c r="X1150">
        <v>5</v>
      </c>
      <c r="Y1150" t="s">
        <v>19970</v>
      </c>
      <c r="Z1150" t="s">
        <v>26097</v>
      </c>
      <c r="AA1150">
        <v>0.32828918722445638</v>
      </c>
      <c r="AB1150" t="str">
        <f>HYPERLINK("Melting_Curves/meltCurve_O60294_LCMT2.pdf", "Melting_Curves/meltCurve_O60294_LCMT2.pdf")</f>
        <v>Melting_Curves/meltCurve_O60294_LCMT2.pdf</v>
      </c>
    </row>
    <row r="1151" spans="1:28" x14ac:dyDescent="0.25">
      <c r="A1151" t="s">
        <v>1155</v>
      </c>
      <c r="B1151">
        <v>0.99987803227770999</v>
      </c>
      <c r="C1151">
        <v>0.97380701223682298</v>
      </c>
      <c r="D1151">
        <v>0.886005481506842</v>
      </c>
      <c r="E1151">
        <v>0.70400496566542403</v>
      </c>
      <c r="F1151">
        <v>0.59232077482639101</v>
      </c>
      <c r="G1151">
        <v>0.22500962302015101</v>
      </c>
      <c r="H1151">
        <v>0.126445044970833</v>
      </c>
      <c r="I1151">
        <v>7.4708747224140795E-2</v>
      </c>
      <c r="J1151">
        <v>9.1247340299261306E-2</v>
      </c>
      <c r="K1151">
        <v>4.8190411270296503E-2</v>
      </c>
      <c r="L1151">
        <v>823.79254206885696</v>
      </c>
      <c r="M1151">
        <v>15.507680637428599</v>
      </c>
      <c r="N1151">
        <v>53.276361015516898</v>
      </c>
      <c r="O1151">
        <v>52.261753974209299</v>
      </c>
      <c r="P1151">
        <v>-7.2555327727317306E-2</v>
      </c>
      <c r="Q1151">
        <v>2.2024546966693499E-2</v>
      </c>
      <c r="R1151">
        <v>0.99242389385752605</v>
      </c>
      <c r="S1151" t="s">
        <v>7462</v>
      </c>
      <c r="T1151" t="s">
        <v>12620</v>
      </c>
      <c r="U1151" t="s">
        <v>12620</v>
      </c>
      <c r="V1151" t="s">
        <v>12620</v>
      </c>
      <c r="W1151" t="s">
        <v>13741</v>
      </c>
      <c r="X1151">
        <v>2</v>
      </c>
      <c r="Y1151" t="s">
        <v>19971</v>
      </c>
      <c r="Z1151" t="s">
        <v>26098</v>
      </c>
      <c r="AA1151">
        <v>0.46976337124558198</v>
      </c>
      <c r="AB1151" t="str">
        <f>HYPERLINK("Melting_Curves/meltCurve_O60303_KIAA0556.pdf", "Melting_Curves/meltCurve_O60303_KIAA0556.pdf")</f>
        <v>Melting_Curves/meltCurve_O60303_KIAA0556.pdf</v>
      </c>
    </row>
    <row r="1152" spans="1:28" x14ac:dyDescent="0.25">
      <c r="A1152" t="s">
        <v>1156</v>
      </c>
      <c r="B1152">
        <v>0.99987803227770999</v>
      </c>
      <c r="C1152">
        <v>0.84621068271192401</v>
      </c>
      <c r="D1152">
        <v>0.529938897045244</v>
      </c>
      <c r="E1152">
        <v>0.436409114926881</v>
      </c>
      <c r="F1152">
        <v>0.27867542187980698</v>
      </c>
      <c r="G1152">
        <v>0.14298766185705999</v>
      </c>
      <c r="H1152">
        <v>9.6131361650084499E-2</v>
      </c>
      <c r="I1152">
        <v>9.8804895482319605E-2</v>
      </c>
      <c r="J1152">
        <v>6.3994481611609005E-2</v>
      </c>
      <c r="K1152">
        <v>5.3174900080880799E-2</v>
      </c>
      <c r="L1152">
        <v>611.22353298215501</v>
      </c>
      <c r="M1152">
        <v>12.8243492679475</v>
      </c>
      <c r="N1152">
        <v>48.053980311434401</v>
      </c>
      <c r="O1152">
        <v>46.546883324600202</v>
      </c>
      <c r="P1152">
        <v>-6.5463550350201502E-2</v>
      </c>
      <c r="Q1152">
        <v>4.9758642831705897E-2</v>
      </c>
      <c r="R1152">
        <v>0.98021593261011597</v>
      </c>
      <c r="S1152" t="s">
        <v>7463</v>
      </c>
      <c r="T1152" t="s">
        <v>12620</v>
      </c>
      <c r="U1152" t="s">
        <v>12620</v>
      </c>
      <c r="V1152" t="s">
        <v>12620</v>
      </c>
      <c r="W1152" t="s">
        <v>13742</v>
      </c>
      <c r="X1152">
        <v>4</v>
      </c>
      <c r="Y1152" t="s">
        <v>19972</v>
      </c>
      <c r="Z1152" t="s">
        <v>26099</v>
      </c>
      <c r="AA1152">
        <v>0.32611902533031673</v>
      </c>
      <c r="AB1152" t="str">
        <f>HYPERLINK("Melting_Curves/meltCurve_O60306_AQR.pdf", "Melting_Curves/meltCurve_O60306_AQR.pdf")</f>
        <v>Melting_Curves/meltCurve_O60306_AQR.pdf</v>
      </c>
    </row>
    <row r="1153" spans="1:28" x14ac:dyDescent="0.25">
      <c r="A1153" t="s">
        <v>1157</v>
      </c>
      <c r="B1153">
        <v>0.99987803227770999</v>
      </c>
      <c r="C1153">
        <v>0.81804733107012095</v>
      </c>
      <c r="D1153">
        <v>0.81028830341076696</v>
      </c>
      <c r="E1153">
        <v>0.66978996952202297</v>
      </c>
      <c r="F1153">
        <v>0.69630656064663299</v>
      </c>
      <c r="G1153">
        <v>0.35412301838348798</v>
      </c>
      <c r="H1153">
        <v>0.37588045589531199</v>
      </c>
      <c r="I1153">
        <v>0.32399260259172502</v>
      </c>
      <c r="J1153">
        <v>0.277550770864259</v>
      </c>
      <c r="K1153">
        <v>0.14338123549385901</v>
      </c>
      <c r="L1153">
        <v>385.265023479126</v>
      </c>
      <c r="M1153">
        <v>6.9062331834224402</v>
      </c>
      <c r="N1153">
        <v>55.785116604763303</v>
      </c>
      <c r="O1153">
        <v>51.670739925995399</v>
      </c>
      <c r="P1153">
        <v>-3.3479708886697997E-2</v>
      </c>
      <c r="Q1153">
        <v>0</v>
      </c>
      <c r="R1153">
        <v>0.948205521508238</v>
      </c>
      <c r="S1153" t="s">
        <v>7464</v>
      </c>
      <c r="T1153" t="s">
        <v>12620</v>
      </c>
      <c r="U1153" t="s">
        <v>12620</v>
      </c>
      <c r="V1153" t="s">
        <v>12620</v>
      </c>
      <c r="W1153" t="s">
        <v>13743</v>
      </c>
      <c r="X1153">
        <v>2</v>
      </c>
      <c r="Y1153" t="s">
        <v>19973</v>
      </c>
      <c r="Z1153" t="s">
        <v>26100</v>
      </c>
      <c r="AA1153">
        <v>0.54591490242331342</v>
      </c>
      <c r="AB1153" t="str">
        <f>HYPERLINK("Melting_Curves/meltCurve_O60318_MCM3AP.pdf", "Melting_Curves/meltCurve_O60318_MCM3AP.pdf")</f>
        <v>Melting_Curves/meltCurve_O60318_MCM3AP.pdf</v>
      </c>
    </row>
    <row r="1154" spans="1:28" x14ac:dyDescent="0.25">
      <c r="A1154" t="s">
        <v>1158</v>
      </c>
      <c r="B1154">
        <v>0.99987803227770999</v>
      </c>
      <c r="C1154">
        <v>1.15862954537462</v>
      </c>
      <c r="D1154">
        <v>0.90495027637701198</v>
      </c>
      <c r="E1154">
        <v>0.74533969226113195</v>
      </c>
      <c r="F1154">
        <v>0.335951127457082</v>
      </c>
      <c r="G1154">
        <v>0.20871042340475399</v>
      </c>
      <c r="H1154">
        <v>0.13297825587512499</v>
      </c>
      <c r="I1154">
        <v>0.10783223392494801</v>
      </c>
      <c r="J1154">
        <v>8.75694521937187E-2</v>
      </c>
      <c r="K1154">
        <v>6.1893794265675102E-2</v>
      </c>
      <c r="L1154">
        <v>1389.5981553992201</v>
      </c>
      <c r="M1154">
        <v>27.028513280060501</v>
      </c>
      <c r="N1154">
        <v>51.837176523497597</v>
      </c>
      <c r="O1154">
        <v>51.133353376929598</v>
      </c>
      <c r="P1154">
        <v>-0.11901884130288699</v>
      </c>
      <c r="Q1154">
        <v>9.9355373146642195E-2</v>
      </c>
      <c r="R1154">
        <v>0.977607726703837</v>
      </c>
      <c r="S1154" t="s">
        <v>7465</v>
      </c>
      <c r="T1154" t="s">
        <v>12620</v>
      </c>
      <c r="U1154" t="s">
        <v>12620</v>
      </c>
      <c r="V1154" t="s">
        <v>12620</v>
      </c>
      <c r="W1154" t="s">
        <v>13744</v>
      </c>
      <c r="X1154">
        <v>17</v>
      </c>
      <c r="Y1154" t="s">
        <v>19974</v>
      </c>
      <c r="Z1154" t="s">
        <v>26101</v>
      </c>
      <c r="AA1154">
        <v>0.44898219575036591</v>
      </c>
      <c r="AB1154" t="str">
        <f>HYPERLINK("Melting_Curves/meltCurve_O60333_2_KIF1B.pdf", "Melting_Curves/meltCurve_O60333_2_KIF1B.pdf")</f>
        <v>Melting_Curves/meltCurve_O60333_2_KIF1B.pdf</v>
      </c>
    </row>
    <row r="1155" spans="1:28" x14ac:dyDescent="0.25">
      <c r="A1155" t="s">
        <v>1159</v>
      </c>
      <c r="B1155">
        <v>0.99987803227770999</v>
      </c>
      <c r="C1155">
        <v>1.1373421168511</v>
      </c>
      <c r="D1155">
        <v>0.94389335781169603</v>
      </c>
      <c r="E1155">
        <v>0.81311764569574896</v>
      </c>
      <c r="F1155">
        <v>0.65844699758583802</v>
      </c>
      <c r="G1155">
        <v>0.38631012207132298</v>
      </c>
      <c r="H1155">
        <v>0.402534633047963</v>
      </c>
      <c r="I1155">
        <v>0.39080183166286397</v>
      </c>
      <c r="J1155">
        <v>0.31035604723020499</v>
      </c>
      <c r="K1155">
        <v>0.234012294695079</v>
      </c>
      <c r="L1155">
        <v>1038.2048726974599</v>
      </c>
      <c r="M1155">
        <v>19.666651327258801</v>
      </c>
      <c r="N1155">
        <v>55.431740208485699</v>
      </c>
      <c r="O1155">
        <v>52.253398044235198</v>
      </c>
      <c r="P1155">
        <v>-6.5477364862634196E-2</v>
      </c>
      <c r="Q1155">
        <v>0.30414268581586801</v>
      </c>
      <c r="R1155">
        <v>0.96112198630662304</v>
      </c>
      <c r="S1155" t="s">
        <v>7466</v>
      </c>
      <c r="T1155" t="s">
        <v>12620</v>
      </c>
      <c r="U1155" t="s">
        <v>12620</v>
      </c>
      <c r="V1155" t="s">
        <v>12620</v>
      </c>
      <c r="W1155" t="s">
        <v>13745</v>
      </c>
      <c r="X1155">
        <v>10</v>
      </c>
      <c r="Y1155" t="s">
        <v>19974</v>
      </c>
      <c r="Z1155" t="s">
        <v>26102</v>
      </c>
      <c r="AA1155">
        <v>0.61068020453976624</v>
      </c>
      <c r="AB1155" t="str">
        <f>HYPERLINK("Melting_Curves/meltCurve_O60333_3_KIF1B.pdf", "Melting_Curves/meltCurve_O60333_3_KIF1B.pdf")</f>
        <v>Melting_Curves/meltCurve_O60333_3_KIF1B.pdf</v>
      </c>
    </row>
    <row r="1156" spans="1:28" x14ac:dyDescent="0.25">
      <c r="A1156" t="s">
        <v>1160</v>
      </c>
      <c r="B1156">
        <v>0.99987803227770999</v>
      </c>
      <c r="C1156">
        <v>1.09392396093777</v>
      </c>
      <c r="D1156">
        <v>0.85406620307830905</v>
      </c>
      <c r="E1156">
        <v>0.63123616749272504</v>
      </c>
      <c r="F1156">
        <v>0.28323729056989699</v>
      </c>
      <c r="G1156">
        <v>0.17350323178545601</v>
      </c>
      <c r="H1156">
        <v>9.83368456780572E-2</v>
      </c>
      <c r="I1156">
        <v>8.4674416433465599E-2</v>
      </c>
      <c r="J1156">
        <v>5.0166501188453901E-2</v>
      </c>
      <c r="K1156">
        <v>3.5394081958537403E-2</v>
      </c>
      <c r="L1156">
        <v>1101.10155497664</v>
      </c>
      <c r="M1156">
        <v>21.722346121832601</v>
      </c>
      <c r="N1156">
        <v>50.991941139315898</v>
      </c>
      <c r="O1156">
        <v>50.266068575016298</v>
      </c>
      <c r="P1156">
        <v>-0.10151544765010399</v>
      </c>
      <c r="Q1156">
        <v>6.03843966848654E-2</v>
      </c>
      <c r="R1156">
        <v>0.98718094606979301</v>
      </c>
      <c r="S1156" t="s">
        <v>7467</v>
      </c>
      <c r="T1156" t="s">
        <v>12620</v>
      </c>
      <c r="U1156" t="s">
        <v>12620</v>
      </c>
      <c r="V1156" t="s">
        <v>12620</v>
      </c>
      <c r="W1156" t="s">
        <v>13746</v>
      </c>
      <c r="X1156">
        <v>21</v>
      </c>
      <c r="Y1156" t="s">
        <v>19975</v>
      </c>
      <c r="Z1156" t="s">
        <v>26103</v>
      </c>
      <c r="AA1156">
        <v>0.40633691100821878</v>
      </c>
      <c r="AB1156" t="str">
        <f>HYPERLINK("Melting_Curves/meltCurve_O60341_KDM1A.pdf", "Melting_Curves/meltCurve_O60341_KDM1A.pdf")</f>
        <v>Melting_Curves/meltCurve_O60341_KDM1A.pdf</v>
      </c>
    </row>
    <row r="1157" spans="1:28" x14ac:dyDescent="0.25">
      <c r="A1157" t="s">
        <v>1161</v>
      </c>
      <c r="B1157">
        <v>0.99987803227770999</v>
      </c>
      <c r="C1157">
        <v>1.0281449215763201</v>
      </c>
      <c r="D1157">
        <v>0.97649707458596802</v>
      </c>
      <c r="E1157">
        <v>0.95306031162996496</v>
      </c>
      <c r="F1157">
        <v>0.74734565539395303</v>
      </c>
      <c r="G1157">
        <v>0.50381230199185401</v>
      </c>
      <c r="H1157">
        <v>0.30726555585884702</v>
      </c>
      <c r="I1157">
        <v>0.24110536565662999</v>
      </c>
      <c r="J1157">
        <v>0.15728697125694699</v>
      </c>
      <c r="K1157">
        <v>0.12500420001602899</v>
      </c>
      <c r="L1157">
        <v>962.28332509152006</v>
      </c>
      <c r="M1157">
        <v>17.077817550724099</v>
      </c>
      <c r="N1157">
        <v>57.183763059585097</v>
      </c>
      <c r="O1157">
        <v>55.591387840260403</v>
      </c>
      <c r="P1157">
        <v>-6.8313467200952105E-2</v>
      </c>
      <c r="Q1157">
        <v>0.11056317772749</v>
      </c>
      <c r="R1157">
        <v>0.99607068412955702</v>
      </c>
      <c r="S1157" t="s">
        <v>7468</v>
      </c>
      <c r="T1157" t="s">
        <v>12620</v>
      </c>
      <c r="U1157" t="s">
        <v>12620</v>
      </c>
      <c r="V1157" t="s">
        <v>12620</v>
      </c>
      <c r="W1157" t="s">
        <v>13747</v>
      </c>
      <c r="X1157">
        <v>24</v>
      </c>
      <c r="Y1157" t="s">
        <v>19976</v>
      </c>
      <c r="Z1157" t="s">
        <v>26104</v>
      </c>
      <c r="AA1157">
        <v>0.60878047269003055</v>
      </c>
      <c r="AB1157" t="str">
        <f>HYPERLINK("Melting_Curves/meltCurve_O60343_2_TBC1D4.pdf", "Melting_Curves/meltCurve_O60343_2_TBC1D4.pdf")</f>
        <v>Melting_Curves/meltCurve_O60343_2_TBC1D4.pdf</v>
      </c>
    </row>
    <row r="1158" spans="1:28" x14ac:dyDescent="0.25">
      <c r="A1158" t="s">
        <v>1162</v>
      </c>
      <c r="B1158">
        <v>0.99987803227770999</v>
      </c>
      <c r="C1158">
        <v>0.78984777895246805</v>
      </c>
      <c r="D1158">
        <v>0.96453883742669999</v>
      </c>
      <c r="E1158">
        <v>0.47308142293654798</v>
      </c>
      <c r="F1158">
        <v>0.14773658926282601</v>
      </c>
      <c r="G1158">
        <v>9.2515435069288596E-2</v>
      </c>
      <c r="H1158">
        <v>4.9675789804718998E-2</v>
      </c>
      <c r="I1158">
        <v>5.19887750461678E-2</v>
      </c>
      <c r="J1158">
        <v>3.60308691720998E-2</v>
      </c>
      <c r="K1158">
        <v>2.5600674059359702E-2</v>
      </c>
      <c r="L1158">
        <v>1566.14235542761</v>
      </c>
      <c r="M1158">
        <v>31.526857125935599</v>
      </c>
      <c r="N1158">
        <v>49.824913653474901</v>
      </c>
      <c r="O1158">
        <v>49.477864890310798</v>
      </c>
      <c r="P1158">
        <v>-0.152157054295255</v>
      </c>
      <c r="Q1158">
        <v>4.4831420702404402E-2</v>
      </c>
      <c r="R1158">
        <v>0.97033992168581695</v>
      </c>
      <c r="S1158" t="s">
        <v>7469</v>
      </c>
      <c r="T1158" t="s">
        <v>12620</v>
      </c>
      <c r="U1158" t="s">
        <v>12620</v>
      </c>
      <c r="V1158" t="s">
        <v>12620</v>
      </c>
      <c r="W1158" t="s">
        <v>13748</v>
      </c>
      <c r="X1158">
        <v>1</v>
      </c>
      <c r="Y1158" t="s">
        <v>19977</v>
      </c>
      <c r="Z1158" t="s">
        <v>26105</v>
      </c>
      <c r="AA1158">
        <v>0.35823324154208669</v>
      </c>
      <c r="AB1158" t="str">
        <f>HYPERLINK("Melting_Curves/meltCurve_O60344_4_ECE2.pdf", "Melting_Curves/meltCurve_O60344_4_ECE2.pdf")</f>
        <v>Melting_Curves/meltCurve_O60344_4_ECE2.pdf</v>
      </c>
    </row>
    <row r="1159" spans="1:28" x14ac:dyDescent="0.25">
      <c r="A1159" t="s">
        <v>1163</v>
      </c>
      <c r="B1159">
        <v>0.99987803227770999</v>
      </c>
      <c r="C1159">
        <v>0.87201330057486504</v>
      </c>
      <c r="D1159">
        <v>0.78903535068514996</v>
      </c>
      <c r="E1159">
        <v>0.74923108756350199</v>
      </c>
      <c r="F1159">
        <v>0.67673330460595205</v>
      </c>
      <c r="G1159">
        <v>0.42492395680338202</v>
      </c>
      <c r="H1159">
        <v>0.45150505331422702</v>
      </c>
      <c r="I1159">
        <v>0.40540912253622802</v>
      </c>
      <c r="J1159">
        <v>0.41995235259424502</v>
      </c>
      <c r="K1159">
        <v>0.39560644789188998</v>
      </c>
      <c r="L1159">
        <v>498.29216807243802</v>
      </c>
      <c r="M1159">
        <v>9.7475227667159299</v>
      </c>
      <c r="N1159">
        <v>57.780854046859901</v>
      </c>
      <c r="O1159">
        <v>49.107554324862498</v>
      </c>
      <c r="P1159">
        <v>-3.2894985186061397E-2</v>
      </c>
      <c r="Q1159">
        <v>0.33746193936499902</v>
      </c>
      <c r="R1159">
        <v>0.95578209586208895</v>
      </c>
      <c r="S1159" t="s">
        <v>7470</v>
      </c>
      <c r="T1159" t="s">
        <v>12620</v>
      </c>
      <c r="U1159" t="s">
        <v>12620</v>
      </c>
      <c r="V1159" t="s">
        <v>12620</v>
      </c>
      <c r="W1159" t="s">
        <v>13749</v>
      </c>
      <c r="X1159">
        <v>4</v>
      </c>
      <c r="Y1159" t="s">
        <v>19978</v>
      </c>
      <c r="Z1159" t="s">
        <v>26106</v>
      </c>
      <c r="AA1159">
        <v>0.61116353503281251</v>
      </c>
      <c r="AB1159" t="str">
        <f>HYPERLINK("Melting_Curves/meltCurve_O60346_PHLPP1.pdf", "Melting_Curves/meltCurve_O60346_PHLPP1.pdf")</f>
        <v>Melting_Curves/meltCurve_O60346_PHLPP1.pdf</v>
      </c>
    </row>
    <row r="1160" spans="1:28" x14ac:dyDescent="0.25">
      <c r="A1160" t="s">
        <v>1164</v>
      </c>
      <c r="B1160">
        <v>0.99987803227770999</v>
      </c>
      <c r="C1160">
        <v>0.86623903382268996</v>
      </c>
      <c r="D1160">
        <v>1.1062835528133901</v>
      </c>
      <c r="E1160">
        <v>0.81187399152468898</v>
      </c>
      <c r="F1160">
        <v>0.84457448763246201</v>
      </c>
      <c r="G1160">
        <v>0.55317926737557799</v>
      </c>
      <c r="H1160">
        <v>0.43040933413736399</v>
      </c>
      <c r="I1160">
        <v>0.47820129362109398</v>
      </c>
      <c r="J1160">
        <v>0.30547796808231698</v>
      </c>
      <c r="K1160">
        <v>0.33835531394396601</v>
      </c>
      <c r="L1160">
        <v>867.42594669639197</v>
      </c>
      <c r="M1160">
        <v>15.6107088416643</v>
      </c>
      <c r="N1160">
        <v>59.310539925286299</v>
      </c>
      <c r="O1160">
        <v>54.678196185814301</v>
      </c>
      <c r="P1160">
        <v>-4.9011741462514302E-2</v>
      </c>
      <c r="Q1160">
        <v>0.31338343016514097</v>
      </c>
      <c r="R1160">
        <v>0.92279683948282698</v>
      </c>
      <c r="S1160" t="s">
        <v>7471</v>
      </c>
      <c r="T1160" t="s">
        <v>12620</v>
      </c>
      <c r="U1160" t="s">
        <v>12620</v>
      </c>
      <c r="V1160" t="s">
        <v>12620</v>
      </c>
      <c r="W1160" t="s">
        <v>13750</v>
      </c>
      <c r="X1160">
        <v>5</v>
      </c>
      <c r="Y1160" t="s">
        <v>19979</v>
      </c>
      <c r="Z1160" t="s">
        <v>26107</v>
      </c>
      <c r="AA1160">
        <v>0.68183041848252124</v>
      </c>
      <c r="AB1160" t="str">
        <f>HYPERLINK("Melting_Curves/meltCurve_O60347_TBC1D12.pdf", "Melting_Curves/meltCurve_O60347_TBC1D12.pdf")</f>
        <v>Melting_Curves/meltCurve_O60347_TBC1D12.pdf</v>
      </c>
    </row>
    <row r="1161" spans="1:28" x14ac:dyDescent="0.25">
      <c r="A1161" t="s">
        <v>1165</v>
      </c>
      <c r="B1161">
        <v>0.99987803227770999</v>
      </c>
      <c r="C1161">
        <v>0.81289263078180596</v>
      </c>
      <c r="D1161">
        <v>0.98599258250605404</v>
      </c>
      <c r="E1161">
        <v>0.74946507065512302</v>
      </c>
      <c r="F1161">
        <v>0.85242356027736199</v>
      </c>
      <c r="G1161">
        <v>0.51956079243560405</v>
      </c>
      <c r="H1161">
        <v>0.61791911771581198</v>
      </c>
      <c r="I1161">
        <v>0.51030318951327103</v>
      </c>
      <c r="J1161">
        <v>0.63001704752272603</v>
      </c>
      <c r="K1161">
        <v>0.61116832476771599</v>
      </c>
      <c r="L1161">
        <v>619.02603122277299</v>
      </c>
      <c r="M1161">
        <v>12.1810312386412</v>
      </c>
      <c r="O1161">
        <v>49.507375709082801</v>
      </c>
      <c r="P1161">
        <v>-2.7529522963341099E-2</v>
      </c>
      <c r="Q1161">
        <v>0.55254851410119599</v>
      </c>
      <c r="R1161">
        <v>0.74217590467668204</v>
      </c>
      <c r="S1161" t="s">
        <v>7472</v>
      </c>
      <c r="T1161" t="s">
        <v>12620</v>
      </c>
      <c r="U1161" t="s">
        <v>12620</v>
      </c>
      <c r="V1161" t="s">
        <v>12620</v>
      </c>
      <c r="W1161" t="s">
        <v>13751</v>
      </c>
      <c r="X1161">
        <v>3</v>
      </c>
      <c r="Y1161" t="s">
        <v>19980</v>
      </c>
      <c r="Z1161" t="s">
        <v>26108</v>
      </c>
      <c r="AA1161">
        <v>0.72834685360563278</v>
      </c>
      <c r="AB1161" t="str">
        <f>HYPERLINK("Melting_Curves/meltCurve_O60353_2_FZD6.pdf", "Melting_Curves/meltCurve_O60353_2_FZD6.pdf")</f>
        <v>Melting_Curves/meltCurve_O60353_2_FZD6.pdf</v>
      </c>
    </row>
    <row r="1162" spans="1:28" x14ac:dyDescent="0.25">
      <c r="A1162" t="s">
        <v>1166</v>
      </c>
      <c r="B1162">
        <v>0.99987803227770999</v>
      </c>
      <c r="C1162">
        <v>1.0422691511580999</v>
      </c>
      <c r="D1162">
        <v>1.21699988298129</v>
      </c>
      <c r="E1162">
        <v>1.1560851926489899</v>
      </c>
      <c r="F1162">
        <v>1.0325951433565399</v>
      </c>
      <c r="G1162">
        <v>1.49943440266495</v>
      </c>
      <c r="H1162">
        <v>1.32670427258664</v>
      </c>
      <c r="I1162">
        <v>1.1963549394265001</v>
      </c>
      <c r="J1162">
        <v>0.39283112496638101</v>
      </c>
      <c r="K1162">
        <v>0.220288889719679</v>
      </c>
      <c r="L1162">
        <v>15000</v>
      </c>
      <c r="M1162">
        <v>225.137460690023</v>
      </c>
      <c r="N1162">
        <v>66.798206268287899</v>
      </c>
      <c r="O1162">
        <v>66.620705287548901</v>
      </c>
      <c r="P1162">
        <v>-0.65880684059353101</v>
      </c>
      <c r="Q1162">
        <v>0.22020660370803199</v>
      </c>
      <c r="R1162">
        <v>0.67537873220264699</v>
      </c>
      <c r="S1162" t="s">
        <v>7473</v>
      </c>
      <c r="T1162" t="s">
        <v>12620</v>
      </c>
      <c r="U1162" t="s">
        <v>12620</v>
      </c>
      <c r="V1162" t="s">
        <v>12620</v>
      </c>
      <c r="W1162" t="s">
        <v>13752</v>
      </c>
      <c r="X1162">
        <v>10</v>
      </c>
      <c r="Y1162" t="s">
        <v>19981</v>
      </c>
      <c r="Z1162" t="s">
        <v>26109</v>
      </c>
      <c r="AA1162">
        <v>0.91241052915660859</v>
      </c>
      <c r="AB1162" t="str">
        <f>HYPERLINK("Melting_Curves/meltCurve_O60361_NME2P1.pdf", "Melting_Curves/meltCurve_O60361_NME2P1.pdf")</f>
        <v>Melting_Curves/meltCurve_O60361_NME2P1.pdf</v>
      </c>
    </row>
    <row r="1163" spans="1:28" x14ac:dyDescent="0.25">
      <c r="A1163" t="s">
        <v>1167</v>
      </c>
      <c r="B1163">
        <v>0.99987803227770999</v>
      </c>
      <c r="C1163">
        <v>0.94803958131405197</v>
      </c>
      <c r="D1163">
        <v>1.0655170204828901</v>
      </c>
      <c r="E1163">
        <v>0.95042020081684997</v>
      </c>
      <c r="F1163">
        <v>1.0752205937843999</v>
      </c>
      <c r="G1163">
        <v>0.85777770359599403</v>
      </c>
      <c r="H1163">
        <v>0.27789683477216098</v>
      </c>
      <c r="I1163">
        <v>0.14142940856783401</v>
      </c>
      <c r="J1163">
        <v>9.3267242179511295E-2</v>
      </c>
      <c r="K1163">
        <v>6.6015027889445493E-2</v>
      </c>
      <c r="L1163">
        <v>2617.4790657544099</v>
      </c>
      <c r="M1163">
        <v>44.202446045182199</v>
      </c>
      <c r="N1163">
        <v>59.468950940538299</v>
      </c>
      <c r="O1163">
        <v>59.094886681920201</v>
      </c>
      <c r="P1163">
        <v>-0.170955592309884</v>
      </c>
      <c r="Q1163">
        <v>8.5789246276506304E-2</v>
      </c>
      <c r="R1163">
        <v>0.99032989842192398</v>
      </c>
      <c r="S1163" t="s">
        <v>7474</v>
      </c>
      <c r="T1163" t="s">
        <v>12620</v>
      </c>
      <c r="U1163" t="s">
        <v>12620</v>
      </c>
      <c r="V1163" t="s">
        <v>12620</v>
      </c>
      <c r="W1163" t="s">
        <v>13753</v>
      </c>
      <c r="X1163">
        <v>15</v>
      </c>
      <c r="Y1163" t="s">
        <v>19982</v>
      </c>
      <c r="Z1163" t="s">
        <v>26110</v>
      </c>
      <c r="AA1163">
        <v>0.67435647530366472</v>
      </c>
      <c r="AB1163" t="str">
        <f>HYPERLINK("Melting_Curves/meltCurve_O60443_DFNA5.pdf", "Melting_Curves/meltCurve_O60443_DFNA5.pdf")</f>
        <v>Melting_Curves/meltCurve_O60443_DFNA5.pdf</v>
      </c>
    </row>
    <row r="1164" spans="1:28" x14ac:dyDescent="0.25">
      <c r="A1164" t="s">
        <v>1168</v>
      </c>
      <c r="B1164">
        <v>0.99987803227770999</v>
      </c>
      <c r="C1164">
        <v>1.1102161219845801</v>
      </c>
      <c r="D1164">
        <v>1.0081457735013</v>
      </c>
      <c r="E1164">
        <v>0.81351753447585995</v>
      </c>
      <c r="F1164">
        <v>0.46024549872778903</v>
      </c>
      <c r="G1164">
        <v>0.30453104952170701</v>
      </c>
      <c r="H1164">
        <v>0.24507895325915499</v>
      </c>
      <c r="I1164">
        <v>0.20400264084177899</v>
      </c>
      <c r="J1164">
        <v>0.16936633116171501</v>
      </c>
      <c r="K1164">
        <v>0.13878450666654299</v>
      </c>
      <c r="L1164">
        <v>1447.95850391767</v>
      </c>
      <c r="M1164">
        <v>27.841076502410701</v>
      </c>
      <c r="N1164">
        <v>52.924714357472901</v>
      </c>
      <c r="O1164">
        <v>51.741911108821398</v>
      </c>
      <c r="P1164">
        <v>-0.108786662954478</v>
      </c>
      <c r="Q1164">
        <v>0.19129871615961799</v>
      </c>
      <c r="R1164">
        <v>0.98409581352049902</v>
      </c>
      <c r="S1164" t="s">
        <v>7475</v>
      </c>
      <c r="T1164" t="s">
        <v>12620</v>
      </c>
      <c r="U1164" t="s">
        <v>12620</v>
      </c>
      <c r="V1164" t="s">
        <v>12620</v>
      </c>
      <c r="W1164" t="s">
        <v>13754</v>
      </c>
      <c r="X1164">
        <v>8</v>
      </c>
      <c r="Y1164" t="s">
        <v>19983</v>
      </c>
      <c r="Z1164" t="s">
        <v>26111</v>
      </c>
      <c r="AA1164">
        <v>0.52098309384298658</v>
      </c>
      <c r="AB1164" t="str">
        <f>HYPERLINK("Melting_Curves/meltCurve_O60447_EVI5.pdf", "Melting_Curves/meltCurve_O60447_EVI5.pdf")</f>
        <v>Melting_Curves/meltCurve_O60447_EVI5.pdf</v>
      </c>
    </row>
    <row r="1165" spans="1:28" x14ac:dyDescent="0.25">
      <c r="A1165" t="s">
        <v>1169</v>
      </c>
      <c r="B1165">
        <v>0.99987803227770999</v>
      </c>
      <c r="C1165">
        <v>1.0552490844934801</v>
      </c>
      <c r="D1165">
        <v>0.80739359716827397</v>
      </c>
      <c r="E1165">
        <v>0.92772562165208206</v>
      </c>
      <c r="F1165">
        <v>0.59955865724741797</v>
      </c>
      <c r="G1165">
        <v>0.39686129128095299</v>
      </c>
      <c r="H1165">
        <v>0.26968654697931199</v>
      </c>
      <c r="I1165">
        <v>0.211357874212321</v>
      </c>
      <c r="J1165">
        <v>0.13960589393612599</v>
      </c>
      <c r="K1165">
        <v>9.2799141080602596E-2</v>
      </c>
      <c r="L1165">
        <v>774.09534541772598</v>
      </c>
      <c r="M1165">
        <v>14.1092314240743</v>
      </c>
      <c r="N1165">
        <v>55.491273365180497</v>
      </c>
      <c r="O1165">
        <v>53.797596476530401</v>
      </c>
      <c r="P1165">
        <v>-6.0744376561526502E-2</v>
      </c>
      <c r="Q1165">
        <v>7.3661238004842394E-2</v>
      </c>
      <c r="R1165">
        <v>0.967248977152525</v>
      </c>
      <c r="S1165" t="s">
        <v>7476</v>
      </c>
      <c r="T1165" t="s">
        <v>12620</v>
      </c>
      <c r="U1165" t="s">
        <v>12620</v>
      </c>
      <c r="V1165" t="s">
        <v>12620</v>
      </c>
      <c r="W1165" t="s">
        <v>13755</v>
      </c>
      <c r="X1165">
        <v>3</v>
      </c>
      <c r="Y1165" t="s">
        <v>19984</v>
      </c>
      <c r="Z1165" t="s">
        <v>26112</v>
      </c>
      <c r="AA1165">
        <v>0.5518624477705022</v>
      </c>
      <c r="AB1165" t="str">
        <f>HYPERLINK("Melting_Curves/meltCurve_O60462_4_NRP2.pdf", "Melting_Curves/meltCurve_O60462_4_NRP2.pdf")</f>
        <v>Melting_Curves/meltCurve_O60462_4_NRP2.pdf</v>
      </c>
    </row>
    <row r="1166" spans="1:28" x14ac:dyDescent="0.25">
      <c r="A1166" t="s">
        <v>1170</v>
      </c>
      <c r="B1166">
        <v>0.99987803227770999</v>
      </c>
      <c r="C1166">
        <v>0.68102137524596795</v>
      </c>
      <c r="D1166">
        <v>0.398545482889823</v>
      </c>
      <c r="E1166">
        <v>0.34152613853893798</v>
      </c>
      <c r="F1166">
        <v>0.198662234259249</v>
      </c>
      <c r="G1166">
        <v>0.12562993028932101</v>
      </c>
      <c r="H1166">
        <v>8.5008216969102102E-2</v>
      </c>
      <c r="I1166">
        <v>5.86778458977096E-2</v>
      </c>
      <c r="J1166">
        <v>4.0770112380384797E-2</v>
      </c>
      <c r="K1166">
        <v>2.6972263531853499E-2</v>
      </c>
      <c r="L1166">
        <v>630.61976858992205</v>
      </c>
      <c r="M1166">
        <v>13.8503386848787</v>
      </c>
      <c r="N1166">
        <v>45.892224621704599</v>
      </c>
      <c r="O1166">
        <v>44.613333571106899</v>
      </c>
      <c r="P1166">
        <v>-7.3615208184521996E-2</v>
      </c>
      <c r="Q1166">
        <v>5.16429335126002E-2</v>
      </c>
      <c r="R1166">
        <v>0.964034524386708</v>
      </c>
      <c r="S1166" t="s">
        <v>7477</v>
      </c>
      <c r="T1166" t="s">
        <v>12620</v>
      </c>
      <c r="U1166" t="s">
        <v>12620</v>
      </c>
      <c r="V1166" t="s">
        <v>12620</v>
      </c>
      <c r="W1166" t="s">
        <v>13756</v>
      </c>
      <c r="X1166">
        <v>6</v>
      </c>
      <c r="Y1166" t="s">
        <v>19985</v>
      </c>
      <c r="Z1166" t="s">
        <v>26113</v>
      </c>
      <c r="AA1166">
        <v>0.26053723953035468</v>
      </c>
      <c r="AB1166" t="str">
        <f>HYPERLINK("Melting_Curves/meltCurve_O60488_2_ACSL4.pdf", "Melting_Curves/meltCurve_O60488_2_ACSL4.pdf")</f>
        <v>Melting_Curves/meltCurve_O60488_2_ACSL4.pdf</v>
      </c>
    </row>
    <row r="1167" spans="1:28" x14ac:dyDescent="0.25">
      <c r="A1167" t="s">
        <v>1171</v>
      </c>
      <c r="B1167">
        <v>0.99987803227770999</v>
      </c>
      <c r="C1167">
        <v>0.50482594027400496</v>
      </c>
      <c r="D1167">
        <v>0.82137410103295205</v>
      </c>
      <c r="E1167">
        <v>0.43087548284247801</v>
      </c>
      <c r="F1167">
        <v>0.23550251354875201</v>
      </c>
      <c r="G1167">
        <v>0.14263968683587899</v>
      </c>
      <c r="H1167">
        <v>0.117296383792777</v>
      </c>
      <c r="I1167">
        <v>0.12175389272644099</v>
      </c>
      <c r="J1167">
        <v>0.110566855297259</v>
      </c>
      <c r="K1167">
        <v>9.2109053252737702E-2</v>
      </c>
      <c r="L1167">
        <v>501.23065321793098</v>
      </c>
      <c r="M1167">
        <v>10.490324437737501</v>
      </c>
      <c r="N1167">
        <v>48.186805744168097</v>
      </c>
      <c r="O1167">
        <v>46.141936354736899</v>
      </c>
      <c r="P1167">
        <v>-5.4452342304202303E-2</v>
      </c>
      <c r="Q1167">
        <v>4.2348210554472097E-2</v>
      </c>
      <c r="R1167">
        <v>0.85904852302850099</v>
      </c>
      <c r="S1167" t="s">
        <v>7478</v>
      </c>
      <c r="T1167" t="s">
        <v>12620</v>
      </c>
      <c r="U1167" t="s">
        <v>12620</v>
      </c>
      <c r="V1167" t="s">
        <v>12620</v>
      </c>
      <c r="W1167" t="s">
        <v>13757</v>
      </c>
      <c r="X1167">
        <v>12</v>
      </c>
      <c r="Y1167" t="s">
        <v>19986</v>
      </c>
      <c r="Z1167" t="s">
        <v>26114</v>
      </c>
      <c r="AA1167">
        <v>0.33853597705382038</v>
      </c>
      <c r="AB1167" t="str">
        <f>HYPERLINK("Melting_Curves/meltCurve_O60493_SNX3.pdf", "Melting_Curves/meltCurve_O60493_SNX3.pdf")</f>
        <v>Melting_Curves/meltCurve_O60493_SNX3.pdf</v>
      </c>
    </row>
    <row r="1168" spans="1:28" x14ac:dyDescent="0.25">
      <c r="A1168" t="s">
        <v>1172</v>
      </c>
      <c r="B1168">
        <v>0.99987803227770999</v>
      </c>
      <c r="C1168">
        <v>1.12104541043235</v>
      </c>
      <c r="D1168">
        <v>0.90098067254316005</v>
      </c>
      <c r="E1168">
        <v>1.00097462257668</v>
      </c>
      <c r="F1168">
        <v>0.69692611941400695</v>
      </c>
      <c r="G1168">
        <v>0.479747655028681</v>
      </c>
      <c r="H1168">
        <v>0.18796398374559101</v>
      </c>
      <c r="I1168">
        <v>0.16485270349666101</v>
      </c>
      <c r="J1168">
        <v>0.119884411033837</v>
      </c>
      <c r="K1168">
        <v>8.2997900408473796E-2</v>
      </c>
      <c r="L1168">
        <v>1113.23185609802</v>
      </c>
      <c r="M1168">
        <v>19.961057358512502</v>
      </c>
      <c r="N1168">
        <v>56.259564130994598</v>
      </c>
      <c r="O1168">
        <v>55.219495514053101</v>
      </c>
      <c r="P1168">
        <v>-8.3171650722630303E-2</v>
      </c>
      <c r="Q1168">
        <v>7.9698862681842494E-2</v>
      </c>
      <c r="R1168">
        <v>0.97634924366021203</v>
      </c>
      <c r="S1168" t="s">
        <v>7479</v>
      </c>
      <c r="T1168" t="s">
        <v>12620</v>
      </c>
      <c r="U1168" t="s">
        <v>12620</v>
      </c>
      <c r="V1168" t="s">
        <v>12620</v>
      </c>
      <c r="W1168" t="s">
        <v>13758</v>
      </c>
      <c r="X1168">
        <v>19</v>
      </c>
      <c r="Y1168" t="s">
        <v>19987</v>
      </c>
      <c r="Z1168" t="s">
        <v>26115</v>
      </c>
      <c r="AA1168">
        <v>0.57547014094221494</v>
      </c>
      <c r="AB1168" t="str">
        <f>HYPERLINK("Melting_Curves/meltCurve_O60502_MGEA5.pdf", "Melting_Curves/meltCurve_O60502_MGEA5.pdf")</f>
        <v>Melting_Curves/meltCurve_O60502_MGEA5.pdf</v>
      </c>
    </row>
    <row r="1169" spans="1:28" x14ac:dyDescent="0.25">
      <c r="A1169" t="s">
        <v>1173</v>
      </c>
      <c r="B1169">
        <v>0.99987803227770999</v>
      </c>
      <c r="C1169">
        <v>0.89987270543196296</v>
      </c>
      <c r="D1169">
        <v>1.00844496977668</v>
      </c>
      <c r="E1169">
        <v>0.87916969921171795</v>
      </c>
      <c r="F1169">
        <v>0.921939934106207</v>
      </c>
      <c r="G1169">
        <v>0.65220490013779997</v>
      </c>
      <c r="H1169">
        <v>0.38704380374352798</v>
      </c>
      <c r="I1169">
        <v>0.2574887073046</v>
      </c>
      <c r="J1169">
        <v>0.18643425058441199</v>
      </c>
      <c r="K1169">
        <v>0.131784115467725</v>
      </c>
      <c r="L1169">
        <v>998.07878825511898</v>
      </c>
      <c r="M1169">
        <v>16.999082208697299</v>
      </c>
      <c r="N1169">
        <v>59.3029596489868</v>
      </c>
      <c r="O1169">
        <v>57.919218616999302</v>
      </c>
      <c r="P1169">
        <v>-6.7676463074960794E-2</v>
      </c>
      <c r="Q1169">
        <v>7.7708895956530605E-2</v>
      </c>
      <c r="R1169">
        <v>0.98403816110320297</v>
      </c>
      <c r="S1169" t="s">
        <v>7480</v>
      </c>
      <c r="T1169" t="s">
        <v>12620</v>
      </c>
      <c r="U1169" t="s">
        <v>12620</v>
      </c>
      <c r="V1169" t="s">
        <v>12620</v>
      </c>
      <c r="W1169" t="s">
        <v>13759</v>
      </c>
      <c r="X1169">
        <v>14</v>
      </c>
      <c r="Y1169" t="s">
        <v>19988</v>
      </c>
      <c r="Z1169" t="s">
        <v>26116</v>
      </c>
      <c r="AA1169">
        <v>0.66351047714658062</v>
      </c>
      <c r="AB1169" t="str">
        <f>HYPERLINK("Melting_Curves/meltCurve_O60504_SORBS3.pdf", "Melting_Curves/meltCurve_O60504_SORBS3.pdf")</f>
        <v>Melting_Curves/meltCurve_O60504_SORBS3.pdf</v>
      </c>
    </row>
    <row r="1170" spans="1:28" x14ac:dyDescent="0.25">
      <c r="A1170" t="s">
        <v>1174</v>
      </c>
      <c r="B1170">
        <v>0.99987803227770999</v>
      </c>
      <c r="C1170">
        <v>1.0254409651448499</v>
      </c>
      <c r="D1170">
        <v>1.01759769582654</v>
      </c>
      <c r="E1170">
        <v>1.23506799642307</v>
      </c>
      <c r="F1170">
        <v>0.68390094076015595</v>
      </c>
      <c r="G1170">
        <v>0.31790449592814102</v>
      </c>
      <c r="H1170">
        <v>0.156450090736655</v>
      </c>
      <c r="I1170">
        <v>0.122560854438356</v>
      </c>
      <c r="J1170">
        <v>8.9159033147505506E-2</v>
      </c>
      <c r="K1170">
        <v>6.3493527933306995E-2</v>
      </c>
      <c r="L1170">
        <v>1934.9418377961299</v>
      </c>
      <c r="M1170">
        <v>35.426745600044697</v>
      </c>
      <c r="N1170">
        <v>54.991005591740702</v>
      </c>
      <c r="O1170">
        <v>54.444970836461202</v>
      </c>
      <c r="P1170">
        <v>-0.14530282759737001</v>
      </c>
      <c r="Q1170">
        <v>0.106778906210217</v>
      </c>
      <c r="R1170">
        <v>0.956347843170814</v>
      </c>
      <c r="S1170" t="s">
        <v>7481</v>
      </c>
      <c r="T1170" t="s">
        <v>12620</v>
      </c>
      <c r="U1170" t="s">
        <v>12620</v>
      </c>
      <c r="V1170" t="s">
        <v>12620</v>
      </c>
      <c r="W1170" t="s">
        <v>13760</v>
      </c>
      <c r="X1170">
        <v>21</v>
      </c>
      <c r="Y1170" t="s">
        <v>19989</v>
      </c>
      <c r="Z1170" t="s">
        <v>26117</v>
      </c>
      <c r="AA1170">
        <v>0.54629604747190486</v>
      </c>
      <c r="AB1170" t="str">
        <f>HYPERLINK("Melting_Curves/meltCurve_O60506_2_SYNCRIP.pdf", "Melting_Curves/meltCurve_O60506_2_SYNCRIP.pdf")</f>
        <v>Melting_Curves/meltCurve_O60506_2_SYNCRIP.pdf</v>
      </c>
    </row>
    <row r="1171" spans="1:28" x14ac:dyDescent="0.25">
      <c r="A1171" t="s">
        <v>1175</v>
      </c>
      <c r="B1171">
        <v>0.99987803227770999</v>
      </c>
      <c r="C1171">
        <v>1.09213345260128</v>
      </c>
      <c r="D1171">
        <v>0.86291679107533903</v>
      </c>
      <c r="E1171">
        <v>0.51188597655277002</v>
      </c>
      <c r="F1171">
        <v>0.201952871146546</v>
      </c>
      <c r="G1171">
        <v>0.13218246626977501</v>
      </c>
      <c r="H1171">
        <v>9.0136188328773695E-2</v>
      </c>
      <c r="I1171">
        <v>8.7878567764466106E-2</v>
      </c>
      <c r="J1171">
        <v>5.39604988020667E-2</v>
      </c>
      <c r="K1171">
        <v>5.38837242597731E-2</v>
      </c>
      <c r="L1171">
        <v>1304.12222772008</v>
      </c>
      <c r="M1171">
        <v>26.251779747690101</v>
      </c>
      <c r="N1171">
        <v>49.976595882178202</v>
      </c>
      <c r="O1171">
        <v>49.391904729925002</v>
      </c>
      <c r="P1171">
        <v>-0.12321645038406299</v>
      </c>
      <c r="Q1171">
        <v>7.2698743784307102E-2</v>
      </c>
      <c r="R1171">
        <v>0.99059122400705402</v>
      </c>
      <c r="S1171" t="s">
        <v>7482</v>
      </c>
      <c r="T1171" t="s">
        <v>12620</v>
      </c>
      <c r="U1171" t="s">
        <v>12620</v>
      </c>
      <c r="V1171" t="s">
        <v>12620</v>
      </c>
      <c r="W1171" t="s">
        <v>13761</v>
      </c>
      <c r="X1171">
        <v>6</v>
      </c>
      <c r="Y1171" t="s">
        <v>19990</v>
      </c>
      <c r="Z1171" t="s">
        <v>26118</v>
      </c>
      <c r="AA1171">
        <v>0.37931266712711198</v>
      </c>
      <c r="AB1171" t="str">
        <f>HYPERLINK("Melting_Curves/meltCurve_O60518_RANBP6.pdf", "Melting_Curves/meltCurve_O60518_RANBP6.pdf")</f>
        <v>Melting_Curves/meltCurve_O60518_RANBP6.pdf</v>
      </c>
    </row>
    <row r="1172" spans="1:28" x14ac:dyDescent="0.25">
      <c r="A1172" t="s">
        <v>1176</v>
      </c>
      <c r="B1172">
        <v>0.99987803227770999</v>
      </c>
      <c r="C1172">
        <v>1.0557476140203901</v>
      </c>
      <c r="D1172">
        <v>0.79460941551450204</v>
      </c>
      <c r="E1172">
        <v>0.58541551951275295</v>
      </c>
      <c r="F1172">
        <v>0.28807953313478601</v>
      </c>
      <c r="G1172">
        <v>0.165443603769727</v>
      </c>
      <c r="H1172">
        <v>0.112443964806589</v>
      </c>
      <c r="I1172">
        <v>9.9414510396790098E-2</v>
      </c>
      <c r="J1172">
        <v>9.0336715009315199E-2</v>
      </c>
      <c r="K1172">
        <v>6.6074549851938599E-2</v>
      </c>
      <c r="L1172">
        <v>969.81747148563898</v>
      </c>
      <c r="M1172">
        <v>19.361232466133</v>
      </c>
      <c r="N1172">
        <v>50.536329495858197</v>
      </c>
      <c r="O1172">
        <v>49.565491941231201</v>
      </c>
      <c r="P1172">
        <v>-8.9994556818850796E-2</v>
      </c>
      <c r="Q1172">
        <v>7.84759876378439E-2</v>
      </c>
      <c r="R1172">
        <v>0.98936973926740601</v>
      </c>
      <c r="S1172" t="s">
        <v>7483</v>
      </c>
      <c r="T1172" t="s">
        <v>12620</v>
      </c>
      <c r="U1172" t="s">
        <v>12620</v>
      </c>
      <c r="V1172" t="s">
        <v>12620</v>
      </c>
      <c r="W1172" t="s">
        <v>13762</v>
      </c>
      <c r="X1172">
        <v>15</v>
      </c>
      <c r="Y1172" t="s">
        <v>19991</v>
      </c>
      <c r="Z1172" t="s">
        <v>26119</v>
      </c>
      <c r="AA1172">
        <v>0.40209279630883848</v>
      </c>
      <c r="AB1172" t="str">
        <f>HYPERLINK("Melting_Curves/meltCurve_O60524_4_NEMF.pdf", "Melting_Curves/meltCurve_O60524_4_NEMF.pdf")</f>
        <v>Melting_Curves/meltCurve_O60524_4_NEMF.pdf</v>
      </c>
    </row>
    <row r="1173" spans="1:28" x14ac:dyDescent="0.25">
      <c r="A1173" t="s">
        <v>1177</v>
      </c>
      <c r="B1173">
        <v>0.99987803227770999</v>
      </c>
      <c r="C1173">
        <v>1.01643180106694</v>
      </c>
      <c r="D1173">
        <v>0.98565082139448801</v>
      </c>
      <c r="E1173">
        <v>0.75223419975054795</v>
      </c>
      <c r="F1173">
        <v>0.40380014235038902</v>
      </c>
      <c r="G1173">
        <v>0.21480854992578399</v>
      </c>
      <c r="H1173">
        <v>0.16096819623862599</v>
      </c>
      <c r="I1173">
        <v>0.140050455177505</v>
      </c>
      <c r="J1173">
        <v>0.102551861066367</v>
      </c>
      <c r="K1173">
        <v>7.0149240439312296E-2</v>
      </c>
      <c r="L1173">
        <v>1346.17364223304</v>
      </c>
      <c r="M1173">
        <v>26.0180947023138</v>
      </c>
      <c r="N1173">
        <v>52.265208985921497</v>
      </c>
      <c r="O1173">
        <v>51.4371539041951</v>
      </c>
      <c r="P1173">
        <v>-0.11190789111032599</v>
      </c>
      <c r="Q1173">
        <v>0.115053266509346</v>
      </c>
      <c r="R1173">
        <v>0.99631403262770701</v>
      </c>
      <c r="S1173" t="s">
        <v>7484</v>
      </c>
      <c r="T1173" t="s">
        <v>12620</v>
      </c>
      <c r="U1173" t="s">
        <v>12620</v>
      </c>
      <c r="V1173" t="s">
        <v>12620</v>
      </c>
      <c r="W1173" t="s">
        <v>13763</v>
      </c>
      <c r="X1173">
        <v>10</v>
      </c>
      <c r="Y1173" t="s">
        <v>19992</v>
      </c>
      <c r="Z1173" t="s">
        <v>26120</v>
      </c>
      <c r="AA1173">
        <v>0.46881569974178389</v>
      </c>
      <c r="AB1173" t="str">
        <f>HYPERLINK("Melting_Curves/meltCurve_O60547_2_GMDS.pdf", "Melting_Curves/meltCurve_O60547_2_GMDS.pdf")</f>
        <v>Melting_Curves/meltCurve_O60547_2_GMDS.pdf</v>
      </c>
    </row>
    <row r="1174" spans="1:28" x14ac:dyDescent="0.25">
      <c r="A1174" t="s">
        <v>1178</v>
      </c>
      <c r="B1174">
        <v>0.99987803227770999</v>
      </c>
      <c r="C1174">
        <v>1.5713770846405199</v>
      </c>
      <c r="D1174">
        <v>1.46797261240349</v>
      </c>
      <c r="E1174">
        <v>0.96558584567772798</v>
      </c>
      <c r="F1174">
        <v>0.75222379787550597</v>
      </c>
      <c r="G1174">
        <v>0.54555060118572496</v>
      </c>
      <c r="H1174">
        <v>0.474287843646025</v>
      </c>
      <c r="I1174">
        <v>0.46435746065356598</v>
      </c>
      <c r="J1174">
        <v>0.36225932599870198</v>
      </c>
      <c r="K1174">
        <v>0.25838636053602498</v>
      </c>
      <c r="L1174">
        <v>1377.7654021337601</v>
      </c>
      <c r="M1174">
        <v>25.1545708900499</v>
      </c>
      <c r="N1174">
        <v>57.849532961025901</v>
      </c>
      <c r="O1174">
        <v>54.429328993873497</v>
      </c>
      <c r="P1174">
        <v>-7.2923471145163996E-2</v>
      </c>
      <c r="Q1174">
        <v>0.36884258471097298</v>
      </c>
      <c r="R1174">
        <v>0.69235803951172203</v>
      </c>
      <c r="S1174" t="s">
        <v>7485</v>
      </c>
      <c r="T1174" t="s">
        <v>12620</v>
      </c>
      <c r="U1174" t="s">
        <v>12620</v>
      </c>
      <c r="V1174" t="s">
        <v>12620</v>
      </c>
      <c r="W1174" t="s">
        <v>13764</v>
      </c>
      <c r="X1174">
        <v>6</v>
      </c>
      <c r="Y1174" t="s">
        <v>19993</v>
      </c>
      <c r="Z1174" t="s">
        <v>26121</v>
      </c>
      <c r="AA1174">
        <v>0.68540335819221099</v>
      </c>
      <c r="AB1174" t="str">
        <f>HYPERLINK("Melting_Curves/meltCurve_O60551_NMT2.pdf", "Melting_Curves/meltCurve_O60551_NMT2.pdf")</f>
        <v>Melting_Curves/meltCurve_O60551_NMT2.pdf</v>
      </c>
    </row>
    <row r="1175" spans="1:28" x14ac:dyDescent="0.25">
      <c r="A1175" t="s">
        <v>1179</v>
      </c>
      <c r="B1175">
        <v>0.99987803227770999</v>
      </c>
      <c r="C1175">
        <v>1.0174273999798999</v>
      </c>
      <c r="D1175">
        <v>0.98853457824370194</v>
      </c>
      <c r="E1175">
        <v>0.94477797952933595</v>
      </c>
      <c r="F1175">
        <v>0.68535624110502702</v>
      </c>
      <c r="G1175">
        <v>0.41598828190714499</v>
      </c>
      <c r="H1175">
        <v>0.334120498211881</v>
      </c>
      <c r="I1175">
        <v>0.30421672351825302</v>
      </c>
      <c r="J1175">
        <v>0.249331572655723</v>
      </c>
      <c r="K1175">
        <v>0.202960280651271</v>
      </c>
      <c r="L1175">
        <v>1274.5643894575101</v>
      </c>
      <c r="M1175">
        <v>23.575313908162801</v>
      </c>
      <c r="N1175">
        <v>55.7016607141626</v>
      </c>
      <c r="O1175">
        <v>53.679036913852798</v>
      </c>
      <c r="P1175">
        <v>-8.2344519961959003E-2</v>
      </c>
      <c r="Q1175">
        <v>0.25004620115203602</v>
      </c>
      <c r="R1175">
        <v>0.99263464786169098</v>
      </c>
      <c r="S1175" t="s">
        <v>7486</v>
      </c>
      <c r="T1175" t="s">
        <v>12620</v>
      </c>
      <c r="U1175" t="s">
        <v>12620</v>
      </c>
      <c r="V1175" t="s">
        <v>12620</v>
      </c>
      <c r="W1175" t="s">
        <v>13765</v>
      </c>
      <c r="X1175">
        <v>8</v>
      </c>
      <c r="Y1175" t="s">
        <v>19994</v>
      </c>
      <c r="Z1175" t="s">
        <v>26122</v>
      </c>
      <c r="AA1175">
        <v>0.60932383464123885</v>
      </c>
      <c r="AB1175" t="str">
        <f>HYPERLINK("Melting_Curves/meltCurve_O60563_CCNT1.pdf", "Melting_Curves/meltCurve_O60563_CCNT1.pdf")</f>
        <v>Melting_Curves/meltCurve_O60563_CCNT1.pdf</v>
      </c>
    </row>
    <row r="1176" spans="1:28" x14ac:dyDescent="0.25">
      <c r="A1176" t="s">
        <v>1180</v>
      </c>
      <c r="B1176">
        <v>0.99987803227770999</v>
      </c>
      <c r="C1176">
        <v>0.93834966740008297</v>
      </c>
      <c r="D1176">
        <v>1.0327471169779601</v>
      </c>
      <c r="E1176">
        <v>0.85528649518239697</v>
      </c>
      <c r="F1176">
        <v>0.66498894276734599</v>
      </c>
      <c r="G1176">
        <v>0.31859741418241699</v>
      </c>
      <c r="H1176">
        <v>0.26527075765950597</v>
      </c>
      <c r="I1176">
        <v>0.23524313557607601</v>
      </c>
      <c r="J1176">
        <v>0.214091665946782</v>
      </c>
      <c r="K1176">
        <v>0.179522595042482</v>
      </c>
      <c r="L1176">
        <v>1331.3188096086601</v>
      </c>
      <c r="M1176">
        <v>24.9060429653013</v>
      </c>
      <c r="N1176">
        <v>54.6146951497673</v>
      </c>
      <c r="O1176">
        <v>53.112616238835898</v>
      </c>
      <c r="P1176">
        <v>-9.3137229088149698E-2</v>
      </c>
      <c r="Q1176">
        <v>0.20554310748891</v>
      </c>
      <c r="R1176">
        <v>0.99221379529347598</v>
      </c>
      <c r="S1176" t="s">
        <v>7487</v>
      </c>
      <c r="T1176" t="s">
        <v>12620</v>
      </c>
      <c r="U1176" t="s">
        <v>12620</v>
      </c>
      <c r="V1176" t="s">
        <v>12620</v>
      </c>
      <c r="W1176" t="s">
        <v>13766</v>
      </c>
      <c r="X1176">
        <v>16</v>
      </c>
      <c r="Y1176" t="s">
        <v>19995</v>
      </c>
      <c r="Z1176" t="s">
        <v>26123</v>
      </c>
      <c r="AA1176">
        <v>0.5692078534712538</v>
      </c>
      <c r="AB1176" t="str">
        <f>HYPERLINK("Melting_Curves/meltCurve_O60566_BUB1B.pdf", "Melting_Curves/meltCurve_O60566_BUB1B.pdf")</f>
        <v>Melting_Curves/meltCurve_O60566_BUB1B.pdf</v>
      </c>
    </row>
    <row r="1177" spans="1:28" x14ac:dyDescent="0.25">
      <c r="A1177" t="s">
        <v>1181</v>
      </c>
      <c r="B1177">
        <v>0.99987803227770999</v>
      </c>
      <c r="C1177">
        <v>1.11553352243026</v>
      </c>
      <c r="D1177">
        <v>0.883797773552227</v>
      </c>
      <c r="E1177">
        <v>0.95842539223616097</v>
      </c>
      <c r="F1177">
        <v>0.53083775847348302</v>
      </c>
      <c r="G1177">
        <v>0.308317547868591</v>
      </c>
      <c r="H1177">
        <v>0.235814708277681</v>
      </c>
      <c r="I1177">
        <v>0.18278631317933999</v>
      </c>
      <c r="J1177">
        <v>0.13112758078647299</v>
      </c>
      <c r="K1177">
        <v>0.100383243124852</v>
      </c>
      <c r="L1177">
        <v>1441.16344425943</v>
      </c>
      <c r="M1177">
        <v>27.1126319695706</v>
      </c>
      <c r="N1177">
        <v>53.896559960293203</v>
      </c>
      <c r="O1177">
        <v>52.868042331651601</v>
      </c>
      <c r="P1177">
        <v>-0.10824329037970699</v>
      </c>
      <c r="Q1177">
        <v>0.155735951539717</v>
      </c>
      <c r="R1177">
        <v>0.96951244949953896</v>
      </c>
      <c r="S1177" t="s">
        <v>7488</v>
      </c>
      <c r="T1177" t="s">
        <v>12620</v>
      </c>
      <c r="U1177" t="s">
        <v>12620</v>
      </c>
      <c r="V1177" t="s">
        <v>12620</v>
      </c>
      <c r="W1177" t="s">
        <v>13767</v>
      </c>
      <c r="X1177">
        <v>4</v>
      </c>
      <c r="Y1177" t="s">
        <v>19996</v>
      </c>
      <c r="Z1177" t="s">
        <v>26124</v>
      </c>
      <c r="AA1177">
        <v>0.53261088197187723</v>
      </c>
      <c r="AB1177" t="str">
        <f>HYPERLINK("Melting_Curves/meltCurve_O60568_PLOD3.pdf", "Melting_Curves/meltCurve_O60568_PLOD3.pdf")</f>
        <v>Melting_Curves/meltCurve_O60568_PLOD3.pdf</v>
      </c>
    </row>
    <row r="1178" spans="1:28" x14ac:dyDescent="0.25">
      <c r="A1178" t="s">
        <v>1182</v>
      </c>
      <c r="B1178">
        <v>0.99987803227770999</v>
      </c>
      <c r="C1178">
        <v>1.0162328321176499</v>
      </c>
      <c r="D1178">
        <v>0.89976616831974299</v>
      </c>
      <c r="E1178">
        <v>1.16808136031886</v>
      </c>
      <c r="F1178">
        <v>0.83082295611701296</v>
      </c>
      <c r="G1178">
        <v>0.60016401181258405</v>
      </c>
      <c r="H1178">
        <v>0.65645476633205901</v>
      </c>
      <c r="I1178">
        <v>0.62175187369293905</v>
      </c>
      <c r="J1178">
        <v>0.53620986383048697</v>
      </c>
      <c r="K1178">
        <v>0.42628507999447901</v>
      </c>
      <c r="L1178">
        <v>13273.313504040299</v>
      </c>
      <c r="M1178">
        <v>250</v>
      </c>
      <c r="O1178">
        <v>53.089859688693799</v>
      </c>
      <c r="P1178">
        <v>-0.50836793437100103</v>
      </c>
      <c r="Q1178">
        <v>0.568173110333972</v>
      </c>
      <c r="R1178">
        <v>0.86494148813321003</v>
      </c>
      <c r="S1178" t="s">
        <v>7489</v>
      </c>
      <c r="T1178" t="s">
        <v>12620</v>
      </c>
      <c r="U1178" t="s">
        <v>12620</v>
      </c>
      <c r="V1178" t="s">
        <v>12620</v>
      </c>
      <c r="W1178" t="s">
        <v>13768</v>
      </c>
      <c r="X1178">
        <v>4</v>
      </c>
      <c r="Y1178" t="s">
        <v>19997</v>
      </c>
      <c r="Z1178" t="s">
        <v>26125</v>
      </c>
      <c r="AA1178">
        <v>0.75668065227529402</v>
      </c>
      <c r="AB1178" t="str">
        <f>HYPERLINK("Melting_Curves/meltCurve_O60613_SEP15.pdf", "Melting_Curves/meltCurve_O60613_SEP15.pdf")</f>
        <v>Melting_Curves/meltCurve_O60613_SEP15.pdf</v>
      </c>
    </row>
    <row r="1179" spans="1:28" x14ac:dyDescent="0.25">
      <c r="A1179" t="s">
        <v>1183</v>
      </c>
      <c r="B1179">
        <v>0.99987803227770999</v>
      </c>
      <c r="C1179">
        <v>0.89267147965059501</v>
      </c>
      <c r="D1179">
        <v>0.78353226486009198</v>
      </c>
      <c r="E1179">
        <v>0.67327859715715599</v>
      </c>
      <c r="F1179">
        <v>0.30648883744801197</v>
      </c>
      <c r="G1179">
        <v>0.209574907048689</v>
      </c>
      <c r="H1179">
        <v>0.14961028868069501</v>
      </c>
      <c r="I1179">
        <v>0.14839285375855599</v>
      </c>
      <c r="J1179">
        <v>0.107941275936088</v>
      </c>
      <c r="K1179">
        <v>8.3552522925930406E-2</v>
      </c>
      <c r="L1179">
        <v>745.02157190676405</v>
      </c>
      <c r="M1179">
        <v>14.769655671665401</v>
      </c>
      <c r="N1179">
        <v>51.048055118665701</v>
      </c>
      <c r="O1179">
        <v>49.545077112817303</v>
      </c>
      <c r="P1179">
        <v>-6.8546951011188406E-2</v>
      </c>
      <c r="Q1179">
        <v>8.0330770466921303E-2</v>
      </c>
      <c r="R1179">
        <v>0.98168945260646301</v>
      </c>
      <c r="S1179" t="s">
        <v>7490</v>
      </c>
      <c r="T1179" t="s">
        <v>12620</v>
      </c>
      <c r="U1179" t="s">
        <v>12620</v>
      </c>
      <c r="V1179" t="s">
        <v>12620</v>
      </c>
      <c r="W1179" t="s">
        <v>13769</v>
      </c>
      <c r="X1179">
        <v>7</v>
      </c>
      <c r="Y1179" t="s">
        <v>19998</v>
      </c>
      <c r="Z1179" t="s">
        <v>26126</v>
      </c>
      <c r="AA1179">
        <v>0.42266418126982158</v>
      </c>
      <c r="AB1179" t="str">
        <f>HYPERLINK("Melting_Curves/meltCurve_O60645_3_EXOC3.pdf", "Melting_Curves/meltCurve_O60645_3_EXOC3.pdf")</f>
        <v>Melting_Curves/meltCurve_O60645_3_EXOC3.pdf</v>
      </c>
    </row>
    <row r="1180" spans="1:28" x14ac:dyDescent="0.25">
      <c r="A1180" t="s">
        <v>1184</v>
      </c>
      <c r="B1180">
        <v>0.99987803227770999</v>
      </c>
      <c r="C1180">
        <v>0.88854356007491897</v>
      </c>
      <c r="D1180">
        <v>1.02291940947122</v>
      </c>
      <c r="E1180">
        <v>0.91510425256760097</v>
      </c>
      <c r="F1180">
        <v>1.1025771737858201</v>
      </c>
      <c r="G1180">
        <v>0.93717943520917202</v>
      </c>
      <c r="H1180">
        <v>0.85378216291129305</v>
      </c>
      <c r="I1180">
        <v>0.62084912827127003</v>
      </c>
      <c r="J1180">
        <v>0.56745247000027099</v>
      </c>
      <c r="K1180">
        <v>0.43729146780585898</v>
      </c>
      <c r="L1180">
        <v>1620.5020497770699</v>
      </c>
      <c r="M1180">
        <v>25.663961632428901</v>
      </c>
      <c r="N1180">
        <v>67.820822066529601</v>
      </c>
      <c r="O1180">
        <v>62.763452269533602</v>
      </c>
      <c r="P1180">
        <v>-5.9818551449877799E-2</v>
      </c>
      <c r="Q1180">
        <v>0.41484113072712298</v>
      </c>
      <c r="R1180">
        <v>0.91506539940482801</v>
      </c>
      <c r="S1180" t="s">
        <v>7491</v>
      </c>
      <c r="T1180" t="s">
        <v>12620</v>
      </c>
      <c r="U1180" t="s">
        <v>12620</v>
      </c>
      <c r="V1180" t="s">
        <v>12620</v>
      </c>
      <c r="W1180" t="s">
        <v>13770</v>
      </c>
      <c r="X1180">
        <v>21</v>
      </c>
      <c r="Y1180" t="s">
        <v>19999</v>
      </c>
      <c r="Z1180" t="s">
        <v>26127</v>
      </c>
      <c r="AA1180">
        <v>0.86748161114449707</v>
      </c>
      <c r="AB1180" t="str">
        <f>HYPERLINK("Melting_Curves/meltCurve_O60664_PLIN3.pdf", "Melting_Curves/meltCurve_O60664_PLIN3.pdf")</f>
        <v>Melting_Curves/meltCurve_O60664_PLIN3.pdf</v>
      </c>
    </row>
    <row r="1181" spans="1:28" x14ac:dyDescent="0.25">
      <c r="A1181" t="s">
        <v>1185</v>
      </c>
      <c r="B1181">
        <v>0.99987803227770999</v>
      </c>
      <c r="C1181">
        <v>1.0567258750647299</v>
      </c>
      <c r="D1181">
        <v>1.0702278438089099</v>
      </c>
      <c r="E1181">
        <v>1.0085437258268399</v>
      </c>
      <c r="F1181">
        <v>1.0016169416454299</v>
      </c>
      <c r="G1181">
        <v>0.55785618348655797</v>
      </c>
      <c r="H1181">
        <v>0.39236105004639799</v>
      </c>
      <c r="I1181">
        <v>0.20287673273592799</v>
      </c>
      <c r="J1181">
        <v>0.113255345404928</v>
      </c>
      <c r="K1181">
        <v>6.8730446771085807E-2</v>
      </c>
      <c r="L1181">
        <v>1267.51513924904</v>
      </c>
      <c r="M1181">
        <v>21.710761606674598</v>
      </c>
      <c r="N1181">
        <v>58.776717509296198</v>
      </c>
      <c r="O1181">
        <v>57.893341312560601</v>
      </c>
      <c r="P1181">
        <v>-8.7393525072256201E-2</v>
      </c>
      <c r="Q1181">
        <v>6.7856900448207497E-2</v>
      </c>
      <c r="R1181">
        <v>0.98003150286885798</v>
      </c>
      <c r="S1181" t="s">
        <v>7492</v>
      </c>
      <c r="T1181" t="s">
        <v>12620</v>
      </c>
      <c r="U1181" t="s">
        <v>12620</v>
      </c>
      <c r="V1181" t="s">
        <v>12620</v>
      </c>
      <c r="W1181" t="s">
        <v>13771</v>
      </c>
      <c r="X1181">
        <v>5</v>
      </c>
      <c r="Y1181" t="s">
        <v>20000</v>
      </c>
      <c r="Z1181" t="s">
        <v>26128</v>
      </c>
      <c r="AA1181">
        <v>0.6484059936951978</v>
      </c>
      <c r="AB1181" t="str">
        <f>HYPERLINK("Melting_Curves/meltCurve_O60671_RAD1.pdf", "Melting_Curves/meltCurve_O60671_RAD1.pdf")</f>
        <v>Melting_Curves/meltCurve_O60671_RAD1.pdf</v>
      </c>
    </row>
    <row r="1182" spans="1:28" x14ac:dyDescent="0.25">
      <c r="A1182" t="s">
        <v>1186</v>
      </c>
      <c r="B1182">
        <v>0.99987803227770999</v>
      </c>
      <c r="C1182">
        <v>1.20207831131304</v>
      </c>
      <c r="D1182">
        <v>1.0153373390190501</v>
      </c>
      <c r="E1182">
        <v>1.18923765294211</v>
      </c>
      <c r="F1182">
        <v>0.53770591876297502</v>
      </c>
      <c r="G1182">
        <v>0.238968715324062</v>
      </c>
      <c r="H1182">
        <v>0.142608390589964</v>
      </c>
      <c r="I1182">
        <v>0.11164567586424599</v>
      </c>
      <c r="J1182">
        <v>0.100881448548924</v>
      </c>
      <c r="K1182">
        <v>7.0186823989259794E-2</v>
      </c>
      <c r="L1182">
        <v>13242.9674908134</v>
      </c>
      <c r="M1182">
        <v>250</v>
      </c>
      <c r="N1182">
        <v>53.0373944379009</v>
      </c>
      <c r="O1182">
        <v>52.968493284098301</v>
      </c>
      <c r="P1182">
        <v>-1.0231813923036499</v>
      </c>
      <c r="Q1182">
        <v>0.13285818846483799</v>
      </c>
      <c r="R1182">
        <v>0.95621439295366994</v>
      </c>
      <c r="S1182" t="s">
        <v>7493</v>
      </c>
      <c r="T1182" t="s">
        <v>12620</v>
      </c>
      <c r="U1182" t="s">
        <v>12620</v>
      </c>
      <c r="V1182" t="s">
        <v>12620</v>
      </c>
      <c r="W1182" t="s">
        <v>13772</v>
      </c>
      <c r="X1182">
        <v>11</v>
      </c>
      <c r="Y1182" t="s">
        <v>20001</v>
      </c>
      <c r="Z1182" t="s">
        <v>26129</v>
      </c>
      <c r="AA1182">
        <v>0.5078871627674455</v>
      </c>
      <c r="AB1182" t="str">
        <f>HYPERLINK("Melting_Curves/meltCurve_O60678_PRMT3.pdf", "Melting_Curves/meltCurve_O60678_PRMT3.pdf")</f>
        <v>Melting_Curves/meltCurve_O60678_PRMT3.pdf</v>
      </c>
    </row>
    <row r="1183" spans="1:28" x14ac:dyDescent="0.25">
      <c r="A1183" t="s">
        <v>1187</v>
      </c>
      <c r="B1183">
        <v>0.99987803227770999</v>
      </c>
      <c r="C1183">
        <v>1.1825161107103199</v>
      </c>
      <c r="D1183">
        <v>0.66579823934292004</v>
      </c>
      <c r="E1183">
        <v>0.63440564882113804</v>
      </c>
      <c r="F1183">
        <v>0.19783052622609701</v>
      </c>
      <c r="G1183">
        <v>0.142163402995964</v>
      </c>
      <c r="H1183">
        <v>9.2104122970001603E-2</v>
      </c>
      <c r="I1183">
        <v>8.0849765591278197E-2</v>
      </c>
      <c r="J1183">
        <v>5.9147915617294697E-2</v>
      </c>
      <c r="K1183">
        <v>4.1214147795569298E-2</v>
      </c>
      <c r="L1183">
        <v>966.04908336833705</v>
      </c>
      <c r="M1183">
        <v>19.368295546119999</v>
      </c>
      <c r="N1183">
        <v>50.166289226561801</v>
      </c>
      <c r="O1183">
        <v>49.355279786255103</v>
      </c>
      <c r="P1183">
        <v>-9.2940626699884399E-2</v>
      </c>
      <c r="Q1183">
        <v>5.2690894789375199E-2</v>
      </c>
      <c r="R1183">
        <v>0.93720713340478101</v>
      </c>
      <c r="S1183" t="s">
        <v>7494</v>
      </c>
      <c r="T1183" t="s">
        <v>12620</v>
      </c>
      <c r="U1183" t="s">
        <v>12620</v>
      </c>
      <c r="V1183" t="s">
        <v>12620</v>
      </c>
      <c r="W1183" t="s">
        <v>13773</v>
      </c>
      <c r="X1183">
        <v>34</v>
      </c>
      <c r="Y1183" t="s">
        <v>20002</v>
      </c>
      <c r="Z1183" t="s">
        <v>26130</v>
      </c>
      <c r="AA1183">
        <v>0.37865190797829029</v>
      </c>
      <c r="AB1183" t="str">
        <f>HYPERLINK("Melting_Curves/meltCurve_O60701_UGDH.pdf", "Melting_Curves/meltCurve_O60701_UGDH.pdf")</f>
        <v>Melting_Curves/meltCurve_O60701_UGDH.pdf</v>
      </c>
    </row>
    <row r="1184" spans="1:28" x14ac:dyDescent="0.25">
      <c r="A1184" t="s">
        <v>1188</v>
      </c>
      <c r="B1184">
        <v>0.99987803227770999</v>
      </c>
      <c r="C1184">
        <v>0.83934521501665604</v>
      </c>
      <c r="D1184">
        <v>0.63997679440725097</v>
      </c>
      <c r="E1184">
        <v>0.53635099933635599</v>
      </c>
      <c r="F1184">
        <v>0.537228281234576</v>
      </c>
      <c r="G1184">
        <v>0.43378744616999798</v>
      </c>
      <c r="H1184">
        <v>0.402739905708973</v>
      </c>
      <c r="I1184">
        <v>0.38992931415394599</v>
      </c>
      <c r="J1184">
        <v>0.38477120198643699</v>
      </c>
      <c r="K1184">
        <v>0.29109168868018298</v>
      </c>
      <c r="L1184">
        <v>568.49908371464699</v>
      </c>
      <c r="M1184">
        <v>12.184154533074199</v>
      </c>
      <c r="N1184">
        <v>51.908516002971297</v>
      </c>
      <c r="O1184">
        <v>45.4553784154038</v>
      </c>
      <c r="P1184">
        <v>-4.3287506130683197E-2</v>
      </c>
      <c r="Q1184">
        <v>0.35417663444043901</v>
      </c>
      <c r="R1184">
        <v>0.95508002938023095</v>
      </c>
      <c r="S1184" t="s">
        <v>7495</v>
      </c>
      <c r="T1184" t="s">
        <v>12620</v>
      </c>
      <c r="U1184" t="s">
        <v>12620</v>
      </c>
      <c r="V1184" t="s">
        <v>12620</v>
      </c>
      <c r="W1184" t="s">
        <v>13774</v>
      </c>
      <c r="X1184">
        <v>29</v>
      </c>
      <c r="Y1184" t="s">
        <v>20003</v>
      </c>
      <c r="Z1184" t="s">
        <v>26131</v>
      </c>
      <c r="AA1184">
        <v>0.52458275244671115</v>
      </c>
      <c r="AB1184" t="str">
        <f>HYPERLINK("Melting_Curves/meltCurve_O60716_5_CTNND1.pdf", "Melting_Curves/meltCurve_O60716_5_CTNND1.pdf")</f>
        <v>Melting_Curves/meltCurve_O60716_5_CTNND1.pdf</v>
      </c>
    </row>
    <row r="1185" spans="1:28" x14ac:dyDescent="0.25">
      <c r="A1185" t="s">
        <v>1189</v>
      </c>
      <c r="B1185">
        <v>0.99987803227770999</v>
      </c>
      <c r="C1185">
        <v>1.13568559994411</v>
      </c>
      <c r="D1185">
        <v>1.0463849120855999</v>
      </c>
      <c r="E1185">
        <v>0.88291784708588705</v>
      </c>
      <c r="F1185">
        <v>0.34315080643888402</v>
      </c>
      <c r="G1185">
        <v>0.262644811853047</v>
      </c>
      <c r="H1185">
        <v>0.109526980901585</v>
      </c>
      <c r="I1185">
        <v>0.11184721280245601</v>
      </c>
      <c r="J1185">
        <v>6.3306394092196502E-2</v>
      </c>
      <c r="K1185">
        <v>5.1430516909854597E-2</v>
      </c>
      <c r="L1185">
        <v>2322.4769977830301</v>
      </c>
      <c r="M1185">
        <v>44.733207409953202</v>
      </c>
      <c r="N1185">
        <v>52.2173005003811</v>
      </c>
      <c r="O1185">
        <v>51.814972398043899</v>
      </c>
      <c r="P1185">
        <v>-0.19145513826184099</v>
      </c>
      <c r="Q1185">
        <v>0.112942697578288</v>
      </c>
      <c r="R1185">
        <v>0.97554451005876697</v>
      </c>
      <c r="S1185" t="s">
        <v>7496</v>
      </c>
      <c r="T1185" t="s">
        <v>12620</v>
      </c>
      <c r="U1185" t="s">
        <v>12620</v>
      </c>
      <c r="V1185" t="s">
        <v>12620</v>
      </c>
      <c r="W1185" t="s">
        <v>12719</v>
      </c>
      <c r="X1185">
        <v>25</v>
      </c>
      <c r="Y1185" t="s">
        <v>18965</v>
      </c>
      <c r="Z1185" t="s">
        <v>26132</v>
      </c>
      <c r="AA1185">
        <v>0.4678941054713277</v>
      </c>
      <c r="AB1185" t="str">
        <f>HYPERLINK("Melting_Curves/meltCurve_O60749_SNX2.pdf", "Melting_Curves/meltCurve_O60749_SNX2.pdf")</f>
        <v>Melting_Curves/meltCurve_O60749_SNX2.pdf</v>
      </c>
    </row>
    <row r="1186" spans="1:28" x14ac:dyDescent="0.25">
      <c r="A1186" t="s">
        <v>1190</v>
      </c>
      <c r="B1186">
        <v>0.99987803227770999</v>
      </c>
      <c r="C1186">
        <v>1.22422128364546</v>
      </c>
      <c r="D1186">
        <v>1.1068938101307599</v>
      </c>
      <c r="E1186">
        <v>1.2097441554558499</v>
      </c>
      <c r="F1186">
        <v>0.71144730891772101</v>
      </c>
      <c r="G1186">
        <v>0.272889889111529</v>
      </c>
      <c r="H1186">
        <v>0.15457622767214901</v>
      </c>
      <c r="I1186">
        <v>0.10996660100250299</v>
      </c>
      <c r="J1186">
        <v>8.6243150523256096E-2</v>
      </c>
      <c r="K1186">
        <v>5.9388944829656898E-2</v>
      </c>
      <c r="L1186">
        <v>2161.88555657591</v>
      </c>
      <c r="M1186">
        <v>39.702873011323</v>
      </c>
      <c r="N1186">
        <v>54.7751277096067</v>
      </c>
      <c r="O1186">
        <v>54.314033400028698</v>
      </c>
      <c r="P1186">
        <v>-0.163646358557062</v>
      </c>
      <c r="Q1186">
        <v>0.10452092290375101</v>
      </c>
      <c r="R1186">
        <v>0.94486008383939502</v>
      </c>
      <c r="S1186" t="s">
        <v>7497</v>
      </c>
      <c r="T1186" t="s">
        <v>12620</v>
      </c>
      <c r="U1186" t="s">
        <v>12620</v>
      </c>
      <c r="V1186" t="s">
        <v>12620</v>
      </c>
      <c r="W1186" t="s">
        <v>13775</v>
      </c>
      <c r="X1186">
        <v>35</v>
      </c>
      <c r="Y1186" t="s">
        <v>20004</v>
      </c>
      <c r="Z1186" t="s">
        <v>26133</v>
      </c>
      <c r="AA1186">
        <v>0.53930336837448556</v>
      </c>
      <c r="AB1186" t="str">
        <f>HYPERLINK("Melting_Curves/meltCurve_O60763_USO1.pdf", "Melting_Curves/meltCurve_O60763_USO1.pdf")</f>
        <v>Melting_Curves/meltCurve_O60763_USO1.pdf</v>
      </c>
    </row>
    <row r="1187" spans="1:28" x14ac:dyDescent="0.25">
      <c r="A1187" t="s">
        <v>1191</v>
      </c>
      <c r="B1187">
        <v>0.99987803227770999</v>
      </c>
      <c r="C1187">
        <v>1.2308500351612499</v>
      </c>
      <c r="D1187">
        <v>1.0778063649154199</v>
      </c>
      <c r="E1187">
        <v>1.02231664145162</v>
      </c>
      <c r="F1187">
        <v>0.92598830019215295</v>
      </c>
      <c r="G1187">
        <v>0.62967880640624796</v>
      </c>
      <c r="H1187">
        <v>0.44967726112392598</v>
      </c>
      <c r="I1187">
        <v>0.50174566944207899</v>
      </c>
      <c r="J1187">
        <v>0.13506295139774999</v>
      </c>
      <c r="K1187">
        <v>0.158150910110057</v>
      </c>
      <c r="L1187">
        <v>890.782202827265</v>
      </c>
      <c r="M1187">
        <v>14.756825316224299</v>
      </c>
      <c r="N1187">
        <v>60.790464995573203</v>
      </c>
      <c r="O1187">
        <v>59.288075657079403</v>
      </c>
      <c r="P1187">
        <v>-5.9172249797332703E-2</v>
      </c>
      <c r="Q1187">
        <v>4.9163808443285002E-2</v>
      </c>
      <c r="R1187">
        <v>0.91856445557656696</v>
      </c>
      <c r="S1187" t="s">
        <v>7498</v>
      </c>
      <c r="T1187" t="s">
        <v>12620</v>
      </c>
      <c r="U1187" t="s">
        <v>12620</v>
      </c>
      <c r="V1187" t="s">
        <v>12620</v>
      </c>
      <c r="W1187" t="s">
        <v>13776</v>
      </c>
      <c r="X1187">
        <v>1</v>
      </c>
      <c r="Y1187" t="s">
        <v>20005</v>
      </c>
      <c r="Z1187" t="s">
        <v>26134</v>
      </c>
      <c r="AA1187">
        <v>0.699446779318602</v>
      </c>
      <c r="AB1187" t="str">
        <f>HYPERLINK("Melting_Curves/meltCurve_O60783_MRPS14.pdf", "Melting_Curves/meltCurve_O60783_MRPS14.pdf")</f>
        <v>Melting_Curves/meltCurve_O60783_MRPS14.pdf</v>
      </c>
    </row>
    <row r="1188" spans="1:28" x14ac:dyDescent="0.25">
      <c r="A1188" t="s">
        <v>1192</v>
      </c>
      <c r="B1188">
        <v>0.99987803227770999</v>
      </c>
      <c r="C1188">
        <v>0.92039144312374399</v>
      </c>
      <c r="D1188">
        <v>0.77953505813099</v>
      </c>
      <c r="E1188">
        <v>0.99630928621435499</v>
      </c>
      <c r="F1188">
        <v>0.31410228599581702</v>
      </c>
      <c r="G1188">
        <v>0.179870531492031</v>
      </c>
      <c r="H1188">
        <v>7.58201252194768E-2</v>
      </c>
      <c r="I1188">
        <v>7.4452185510506405E-2</v>
      </c>
      <c r="J1188">
        <v>3.8092001268965003E-2</v>
      </c>
      <c r="K1188">
        <v>2.7302522477210201E-2</v>
      </c>
      <c r="L1188">
        <v>5002.1814026982202</v>
      </c>
      <c r="M1188">
        <v>95.448260764459405</v>
      </c>
      <c r="N1188">
        <v>52.501779002574501</v>
      </c>
      <c r="O1188">
        <v>52.384262570898599</v>
      </c>
      <c r="P1188">
        <v>-0.41955804603644298</v>
      </c>
      <c r="Q1188">
        <v>7.8946551980599494E-2</v>
      </c>
      <c r="R1188">
        <v>0.95793127697491198</v>
      </c>
      <c r="S1188" t="s">
        <v>7499</v>
      </c>
      <c r="T1188" t="s">
        <v>12620</v>
      </c>
      <c r="U1188" t="s">
        <v>12620</v>
      </c>
      <c r="V1188" t="s">
        <v>12620</v>
      </c>
      <c r="W1188" t="s">
        <v>13777</v>
      </c>
      <c r="X1188">
        <v>14</v>
      </c>
      <c r="Y1188" t="s">
        <v>20006</v>
      </c>
      <c r="Z1188" t="s">
        <v>26135</v>
      </c>
      <c r="AA1188">
        <v>0.4604533178236262</v>
      </c>
      <c r="AB1188" t="str">
        <f>HYPERLINK("Melting_Curves/meltCurve_O60826_CCDC22.pdf", "Melting_Curves/meltCurve_O60826_CCDC22.pdf")</f>
        <v>Melting_Curves/meltCurve_O60826_CCDC22.pdf</v>
      </c>
    </row>
    <row r="1189" spans="1:28" x14ac:dyDescent="0.25">
      <c r="A1189" t="s">
        <v>1193</v>
      </c>
      <c r="B1189">
        <v>0.99987803227770999</v>
      </c>
      <c r="C1189">
        <v>0.87058424517914001</v>
      </c>
      <c r="D1189">
        <v>0.97912103220828195</v>
      </c>
      <c r="E1189">
        <v>0.90485006022890901</v>
      </c>
      <c r="F1189">
        <v>0.99446513369483502</v>
      </c>
      <c r="G1189">
        <v>0.95442123199971596</v>
      </c>
      <c r="H1189">
        <v>0.89632488218913597</v>
      </c>
      <c r="I1189">
        <v>0.77591022080782601</v>
      </c>
      <c r="J1189">
        <v>0.77403722536506003</v>
      </c>
      <c r="K1189">
        <v>0.63287241149173101</v>
      </c>
      <c r="L1189">
        <v>620.14873683552696</v>
      </c>
      <c r="M1189">
        <v>8.2267495857557993</v>
      </c>
      <c r="Q1189">
        <v>0</v>
      </c>
      <c r="R1189">
        <v>0.78341112706451999</v>
      </c>
      <c r="S1189" t="s">
        <v>7500</v>
      </c>
      <c r="T1189" t="s">
        <v>12620</v>
      </c>
      <c r="U1189" t="s">
        <v>12620</v>
      </c>
      <c r="V1189" t="s">
        <v>12620</v>
      </c>
      <c r="W1189" t="s">
        <v>13778</v>
      </c>
      <c r="X1189">
        <v>10</v>
      </c>
      <c r="Y1189" t="s">
        <v>20007</v>
      </c>
      <c r="Z1189" t="s">
        <v>26136</v>
      </c>
      <c r="AA1189">
        <v>0.90896230416409185</v>
      </c>
      <c r="AB1189" t="str">
        <f>HYPERLINK("Melting_Curves/meltCurve_O60828_2_PQBP1.pdf", "Melting_Curves/meltCurve_O60828_2_PQBP1.pdf")</f>
        <v>Melting_Curves/meltCurve_O60828_2_PQBP1.pdf</v>
      </c>
    </row>
    <row r="1190" spans="1:28" x14ac:dyDescent="0.25">
      <c r="A1190" t="s">
        <v>1194</v>
      </c>
      <c r="B1190">
        <v>0.99987803227770999</v>
      </c>
      <c r="C1190">
        <v>1.0689347015080299</v>
      </c>
      <c r="D1190">
        <v>0.94585466078904201</v>
      </c>
      <c r="E1190">
        <v>1.1741688306914799</v>
      </c>
      <c r="F1190">
        <v>0.91010771915861</v>
      </c>
      <c r="G1190">
        <v>0.88409915974865905</v>
      </c>
      <c r="H1190">
        <v>0.74806840839311295</v>
      </c>
      <c r="I1190">
        <v>0.53500054849589596</v>
      </c>
      <c r="J1190">
        <v>0.401982093480513</v>
      </c>
      <c r="K1190">
        <v>0.19689424397865299</v>
      </c>
      <c r="L1190">
        <v>1069.5796045443899</v>
      </c>
      <c r="M1190">
        <v>16.512167761489302</v>
      </c>
      <c r="N1190">
        <v>64.775238646703798</v>
      </c>
      <c r="O1190">
        <v>63.847532959089698</v>
      </c>
      <c r="P1190">
        <v>-6.4659156496123499E-2</v>
      </c>
      <c r="Q1190">
        <v>0</v>
      </c>
      <c r="R1190">
        <v>0.94609997583862004</v>
      </c>
      <c r="S1190" t="s">
        <v>7501</v>
      </c>
      <c r="T1190" t="s">
        <v>12620</v>
      </c>
      <c r="U1190" t="s">
        <v>12620</v>
      </c>
      <c r="V1190" t="s">
        <v>12620</v>
      </c>
      <c r="W1190" t="s">
        <v>13779</v>
      </c>
      <c r="X1190">
        <v>16</v>
      </c>
      <c r="Y1190" t="s">
        <v>20008</v>
      </c>
      <c r="Z1190" t="s">
        <v>26137</v>
      </c>
      <c r="AA1190">
        <v>0.80731653878237231</v>
      </c>
      <c r="AB1190" t="str">
        <f>HYPERLINK("Melting_Curves/meltCurve_O60832_DKC1.pdf", "Melting_Curves/meltCurve_O60832_DKC1.pdf")</f>
        <v>Melting_Curves/meltCurve_O60832_DKC1.pdf</v>
      </c>
    </row>
    <row r="1191" spans="1:28" x14ac:dyDescent="0.25">
      <c r="A1191" t="s">
        <v>1195</v>
      </c>
      <c r="B1191">
        <v>0.99987803227770999</v>
      </c>
      <c r="C1191">
        <v>0.98143559658041002</v>
      </c>
      <c r="D1191">
        <v>0.94824629482259803</v>
      </c>
      <c r="E1191">
        <v>1.05359941863939</v>
      </c>
      <c r="F1191">
        <v>0.68034928249395299</v>
      </c>
      <c r="G1191">
        <v>0.40569467322237301</v>
      </c>
      <c r="H1191">
        <v>0.33024841012119299</v>
      </c>
      <c r="I1191">
        <v>0.28845989110293002</v>
      </c>
      <c r="J1191">
        <v>0.261712447017587</v>
      </c>
      <c r="K1191">
        <v>0.200509888755423</v>
      </c>
      <c r="L1191">
        <v>1760.1355298230401</v>
      </c>
      <c r="M1191">
        <v>32.662085970767201</v>
      </c>
      <c r="N1191">
        <v>55.190705921992802</v>
      </c>
      <c r="O1191">
        <v>53.6884592796278</v>
      </c>
      <c r="P1191">
        <v>-0.111249119085993</v>
      </c>
      <c r="Q1191">
        <v>0.26853840679429403</v>
      </c>
      <c r="R1191">
        <v>0.97765829812774396</v>
      </c>
      <c r="S1191" t="s">
        <v>7502</v>
      </c>
      <c r="T1191" t="s">
        <v>12620</v>
      </c>
      <c r="U1191" t="s">
        <v>12620</v>
      </c>
      <c r="V1191" t="s">
        <v>12620</v>
      </c>
      <c r="W1191" t="s">
        <v>13780</v>
      </c>
      <c r="X1191">
        <v>45</v>
      </c>
      <c r="Y1191" t="s">
        <v>20009</v>
      </c>
      <c r="Z1191" t="s">
        <v>26138</v>
      </c>
      <c r="AA1191">
        <v>0.61125305366779503</v>
      </c>
      <c r="AB1191" t="str">
        <f>HYPERLINK("Melting_Curves/meltCurve_O60841_EIF5B.pdf", "Melting_Curves/meltCurve_O60841_EIF5B.pdf")</f>
        <v>Melting_Curves/meltCurve_O60841_EIF5B.pdf</v>
      </c>
    </row>
    <row r="1192" spans="1:28" x14ac:dyDescent="0.25">
      <c r="A1192" t="s">
        <v>1196</v>
      </c>
      <c r="B1192">
        <v>0.99987803227770999</v>
      </c>
      <c r="C1192">
        <v>0.67970557279983501</v>
      </c>
      <c r="D1192">
        <v>0.84800660005459805</v>
      </c>
      <c r="E1192">
        <v>0.72712783058387198</v>
      </c>
      <c r="F1192">
        <v>0.89389057266993999</v>
      </c>
      <c r="G1192">
        <v>0.62201613094878805</v>
      </c>
      <c r="H1192">
        <v>0.77942164230408695</v>
      </c>
      <c r="I1192">
        <v>0.74025029037463597</v>
      </c>
      <c r="J1192">
        <v>0.89749149322137201</v>
      </c>
      <c r="K1192">
        <v>0.70931798841725702</v>
      </c>
      <c r="L1192">
        <v>10241.5333014476</v>
      </c>
      <c r="M1192">
        <v>250</v>
      </c>
      <c r="O1192">
        <v>40.963511655746998</v>
      </c>
      <c r="P1192">
        <v>-0.35647794272792099</v>
      </c>
      <c r="Q1192">
        <v>0.76635858654399702</v>
      </c>
      <c r="R1192">
        <v>0.39837774794957598</v>
      </c>
      <c r="S1192" t="s">
        <v>7503</v>
      </c>
      <c r="T1192" t="s">
        <v>12620</v>
      </c>
      <c r="U1192" t="s">
        <v>12620</v>
      </c>
      <c r="V1192" t="s">
        <v>12620</v>
      </c>
      <c r="W1192" t="s">
        <v>13781</v>
      </c>
      <c r="X1192">
        <v>13</v>
      </c>
      <c r="Y1192" t="s">
        <v>20010</v>
      </c>
      <c r="Z1192" t="s">
        <v>26139</v>
      </c>
      <c r="AA1192">
        <v>0.77390255172763045</v>
      </c>
      <c r="AB1192" t="str">
        <f>HYPERLINK("Melting_Curves/meltCurve_O60869_EDF1.pdf", "Melting_Curves/meltCurve_O60869_EDF1.pdf")</f>
        <v>Melting_Curves/meltCurve_O60869_EDF1.pdf</v>
      </c>
    </row>
    <row r="1193" spans="1:28" x14ac:dyDescent="0.25">
      <c r="A1193" t="s">
        <v>1197</v>
      </c>
      <c r="B1193">
        <v>0.99987803227770999</v>
      </c>
      <c r="C1193">
        <v>0.85933192776673295</v>
      </c>
      <c r="D1193">
        <v>0.76972467055878702</v>
      </c>
      <c r="E1193">
        <v>1.1234245827790901</v>
      </c>
      <c r="F1193">
        <v>0.84701596616806496</v>
      </c>
      <c r="G1193">
        <v>0.54852982030208697</v>
      </c>
      <c r="H1193">
        <v>0.21613864670142199</v>
      </c>
      <c r="I1193">
        <v>0.15432573299619701</v>
      </c>
      <c r="J1193">
        <v>0.17848304264268799</v>
      </c>
      <c r="K1193">
        <v>0.119565069762611</v>
      </c>
      <c r="L1193">
        <v>1656.0751091790401</v>
      </c>
      <c r="M1193">
        <v>29.221889305740898</v>
      </c>
      <c r="N1193">
        <v>57.285641790229498</v>
      </c>
      <c r="O1193">
        <v>56.409002099574899</v>
      </c>
      <c r="P1193">
        <v>-0.112115940878069</v>
      </c>
      <c r="Q1193">
        <v>0.134306136918763</v>
      </c>
      <c r="R1193">
        <v>0.92788624953683896</v>
      </c>
      <c r="S1193" t="s">
        <v>7504</v>
      </c>
      <c r="T1193" t="s">
        <v>12620</v>
      </c>
      <c r="U1193" t="s">
        <v>12620</v>
      </c>
      <c r="V1193" t="s">
        <v>12620</v>
      </c>
      <c r="W1193" t="s">
        <v>13782</v>
      </c>
      <c r="X1193">
        <v>14</v>
      </c>
      <c r="Y1193" t="s">
        <v>20011</v>
      </c>
      <c r="Z1193" t="s">
        <v>26140</v>
      </c>
      <c r="AA1193">
        <v>0.62146103200124214</v>
      </c>
      <c r="AB1193" t="str">
        <f>HYPERLINK("Melting_Curves/meltCurve_O60884_DNAJA2.pdf", "Melting_Curves/meltCurve_O60884_DNAJA2.pdf")</f>
        <v>Melting_Curves/meltCurve_O60884_DNAJA2.pdf</v>
      </c>
    </row>
    <row r="1194" spans="1:28" x14ac:dyDescent="0.25">
      <c r="A1194" t="s">
        <v>1198</v>
      </c>
      <c r="B1194">
        <v>0.99987803227770999</v>
      </c>
      <c r="C1194">
        <v>0.98329096682019501</v>
      </c>
      <c r="D1194">
        <v>1.02629277805081</v>
      </c>
      <c r="E1194">
        <v>0.75720682985230103</v>
      </c>
      <c r="F1194">
        <v>0.57946347380772201</v>
      </c>
      <c r="G1194">
        <v>0.42347750279421498</v>
      </c>
      <c r="H1194">
        <v>0.42854789952753403</v>
      </c>
      <c r="I1194">
        <v>0.39399861836924399</v>
      </c>
      <c r="J1194">
        <v>0.38345186941659498</v>
      </c>
      <c r="K1194">
        <v>0.298206773158809</v>
      </c>
      <c r="L1194">
        <v>1237.2429658526</v>
      </c>
      <c r="M1194">
        <v>24.0968639370735</v>
      </c>
      <c r="N1194">
        <v>54.388912986938799</v>
      </c>
      <c r="O1194">
        <v>50.99487092415</v>
      </c>
      <c r="P1194">
        <v>-7.4399073602035695E-2</v>
      </c>
      <c r="Q1194">
        <v>0.37022306586707598</v>
      </c>
      <c r="R1194">
        <v>0.98316515501440005</v>
      </c>
      <c r="S1194" t="s">
        <v>7505</v>
      </c>
      <c r="T1194" t="s">
        <v>12620</v>
      </c>
      <c r="U1194" t="s">
        <v>12620</v>
      </c>
      <c r="V1194" t="s">
        <v>12620</v>
      </c>
      <c r="W1194" t="s">
        <v>13783</v>
      </c>
      <c r="X1194">
        <v>14</v>
      </c>
      <c r="Y1194" t="s">
        <v>20012</v>
      </c>
      <c r="Z1194" t="s">
        <v>26141</v>
      </c>
      <c r="AA1194">
        <v>0.61450917004760208</v>
      </c>
      <c r="AB1194" t="str">
        <f>HYPERLINK("Melting_Curves/meltCurve_O60885_BRD4.pdf", "Melting_Curves/meltCurve_O60885_BRD4.pdf")</f>
        <v>Melting_Curves/meltCurve_O60885_BRD4.pdf</v>
      </c>
    </row>
    <row r="1195" spans="1:28" x14ac:dyDescent="0.25">
      <c r="A1195" t="s">
        <v>1199</v>
      </c>
      <c r="B1195">
        <v>0.99987803227770999</v>
      </c>
      <c r="C1195">
        <v>0.74715037619202196</v>
      </c>
      <c r="D1195">
        <v>0.85266663281265398</v>
      </c>
      <c r="E1195">
        <v>0.83874513676748197</v>
      </c>
      <c r="F1195">
        <v>1.02955315590908</v>
      </c>
      <c r="G1195">
        <v>1.0841746272653801</v>
      </c>
      <c r="H1195">
        <v>0.92781431674836401</v>
      </c>
      <c r="I1195">
        <v>0.72457768682385804</v>
      </c>
      <c r="J1195">
        <v>0.58215262718354299</v>
      </c>
      <c r="K1195">
        <v>0.43865651786892101</v>
      </c>
      <c r="L1195">
        <v>2109.2774271871899</v>
      </c>
      <c r="M1195">
        <v>32.657426455026098</v>
      </c>
      <c r="N1195">
        <v>68.204957723350702</v>
      </c>
      <c r="O1195">
        <v>64.347249146505504</v>
      </c>
      <c r="P1195">
        <v>-7.4666247720696396E-2</v>
      </c>
      <c r="Q1195">
        <v>0.41152187009332603</v>
      </c>
      <c r="R1195">
        <v>0.67276470179588999</v>
      </c>
      <c r="S1195" t="s">
        <v>7506</v>
      </c>
      <c r="T1195" t="s">
        <v>12620</v>
      </c>
      <c r="U1195" t="s">
        <v>12620</v>
      </c>
      <c r="V1195" t="s">
        <v>12620</v>
      </c>
      <c r="W1195" t="s">
        <v>13784</v>
      </c>
      <c r="X1195">
        <v>5</v>
      </c>
      <c r="Y1195" t="s">
        <v>20013</v>
      </c>
      <c r="Z1195" t="s">
        <v>26142</v>
      </c>
      <c r="AA1195">
        <v>0.89402357992580173</v>
      </c>
      <c r="AB1195" t="str">
        <f>HYPERLINK("Melting_Curves/meltCurve_O60888_3_CUTA.pdf", "Melting_Curves/meltCurve_O60888_3_CUTA.pdf")</f>
        <v>Melting_Curves/meltCurve_O60888_3_CUTA.pdf</v>
      </c>
    </row>
    <row r="1196" spans="1:28" x14ac:dyDescent="0.25">
      <c r="A1196" t="s">
        <v>1200</v>
      </c>
      <c r="B1196">
        <v>0.99987803227770999</v>
      </c>
      <c r="C1196">
        <v>0.95320528608394595</v>
      </c>
      <c r="D1196">
        <v>0.94947093192210597</v>
      </c>
      <c r="E1196">
        <v>1.0334405084387699</v>
      </c>
      <c r="F1196">
        <v>1.0593843992387</v>
      </c>
      <c r="G1196">
        <v>0.84238209384886198</v>
      </c>
      <c r="H1196">
        <v>0.28140602018442401</v>
      </c>
      <c r="I1196">
        <v>0.13916762530371701</v>
      </c>
      <c r="J1196">
        <v>0.137717896895131</v>
      </c>
      <c r="K1196">
        <v>6.5541349143527494E-2</v>
      </c>
      <c r="L1196">
        <v>2575.1313678982601</v>
      </c>
      <c r="M1196">
        <v>43.593281950788999</v>
      </c>
      <c r="N1196">
        <v>59.380836749539498</v>
      </c>
      <c r="O1196">
        <v>58.947845409107501</v>
      </c>
      <c r="P1196">
        <v>-0.166114774948248</v>
      </c>
      <c r="Q1196">
        <v>0.10150433788697701</v>
      </c>
      <c r="R1196">
        <v>0.99240844991355004</v>
      </c>
      <c r="S1196" t="s">
        <v>7507</v>
      </c>
      <c r="T1196" t="s">
        <v>12620</v>
      </c>
      <c r="U1196" t="s">
        <v>12620</v>
      </c>
      <c r="V1196" t="s">
        <v>12620</v>
      </c>
      <c r="W1196" t="s">
        <v>13785</v>
      </c>
      <c r="X1196">
        <v>6</v>
      </c>
      <c r="Y1196" t="s">
        <v>20014</v>
      </c>
      <c r="Z1196" t="s">
        <v>26143</v>
      </c>
      <c r="AA1196">
        <v>0.67571902394367844</v>
      </c>
      <c r="AB1196" t="str">
        <f>HYPERLINK("Melting_Curves/meltCurve_O60907_2_TBL1X.pdf", "Melting_Curves/meltCurve_O60907_2_TBL1X.pdf")</f>
        <v>Melting_Curves/meltCurve_O60907_2_TBL1X.pdf</v>
      </c>
    </row>
    <row r="1197" spans="1:28" x14ac:dyDescent="0.25">
      <c r="A1197" t="s">
        <v>1201</v>
      </c>
      <c r="B1197">
        <v>0.99987803227770999</v>
      </c>
      <c r="C1197">
        <v>0.94027439749794794</v>
      </c>
      <c r="D1197">
        <v>0.91973149542507604</v>
      </c>
      <c r="E1197">
        <v>0.85659153851292902</v>
      </c>
      <c r="F1197">
        <v>0.80531904387099595</v>
      </c>
      <c r="G1197">
        <v>0.65987923422264705</v>
      </c>
      <c r="H1197">
        <v>0.388363779162682</v>
      </c>
      <c r="I1197">
        <v>0.17871947220372</v>
      </c>
      <c r="J1197">
        <v>8.5272696289674293E-2</v>
      </c>
      <c r="K1197">
        <v>6.5929526112273304E-2</v>
      </c>
      <c r="L1197">
        <v>873.662397101804</v>
      </c>
      <c r="M1197">
        <v>14.9235864845782</v>
      </c>
      <c r="N1197">
        <v>58.542388738146798</v>
      </c>
      <c r="O1197">
        <v>57.521377075337902</v>
      </c>
      <c r="P1197">
        <v>-6.4867730887334593E-2</v>
      </c>
      <c r="Q1197">
        <v>0</v>
      </c>
      <c r="R1197">
        <v>0.98305004483301905</v>
      </c>
      <c r="S1197" t="s">
        <v>7508</v>
      </c>
      <c r="T1197" t="s">
        <v>12620</v>
      </c>
      <c r="U1197" t="s">
        <v>12620</v>
      </c>
      <c r="V1197" t="s">
        <v>12620</v>
      </c>
      <c r="W1197" t="s">
        <v>13786</v>
      </c>
      <c r="X1197">
        <v>3</v>
      </c>
      <c r="Y1197" t="s">
        <v>20015</v>
      </c>
      <c r="Z1197" t="s">
        <v>26144</v>
      </c>
      <c r="AA1197">
        <v>0.62997966342414391</v>
      </c>
      <c r="AB1197" t="str">
        <f>HYPERLINK("Melting_Curves/meltCurve_O60921_HUS1.pdf", "Melting_Curves/meltCurve_O60921_HUS1.pdf")</f>
        <v>Melting_Curves/meltCurve_O60921_HUS1.pdf</v>
      </c>
    </row>
    <row r="1198" spans="1:28" x14ac:dyDescent="0.25">
      <c r="A1198" t="s">
        <v>1202</v>
      </c>
      <c r="B1198">
        <v>0.99987803227770999</v>
      </c>
      <c r="C1198">
        <v>1.1673974561777301</v>
      </c>
      <c r="D1198">
        <v>1.0346468479139199</v>
      </c>
      <c r="E1198">
        <v>1.16733975957097</v>
      </c>
      <c r="F1198">
        <v>0.98876949529399405</v>
      </c>
      <c r="G1198">
        <v>0.86259929737997798</v>
      </c>
      <c r="H1198">
        <v>1.00064614383922</v>
      </c>
      <c r="I1198">
        <v>0.89950795827423102</v>
      </c>
      <c r="J1198">
        <v>1.0380335375432399</v>
      </c>
      <c r="K1198">
        <v>0.87959185598506895</v>
      </c>
      <c r="L1198">
        <v>617.34849781139599</v>
      </c>
      <c r="M1198">
        <v>6.4493399628655004</v>
      </c>
      <c r="Q1198">
        <v>0</v>
      </c>
      <c r="R1198">
        <v>0.12772904844397701</v>
      </c>
      <c r="S1198" t="s">
        <v>7509</v>
      </c>
      <c r="T1198" t="s">
        <v>12620</v>
      </c>
      <c r="U1198" t="s">
        <v>12620</v>
      </c>
      <c r="V1198" t="s">
        <v>12620</v>
      </c>
      <c r="W1198" t="s">
        <v>13787</v>
      </c>
      <c r="X1198">
        <v>12</v>
      </c>
      <c r="Y1198" t="s">
        <v>20016</v>
      </c>
      <c r="Z1198" t="s">
        <v>26145</v>
      </c>
      <c r="AA1198">
        <v>0.98052301855542567</v>
      </c>
      <c r="AB1198" t="str">
        <f>HYPERLINK("Melting_Curves/meltCurve_O60925_PFDN1.pdf", "Melting_Curves/meltCurve_O60925_PFDN1.pdf")</f>
        <v>Melting_Curves/meltCurve_O60925_PFDN1.pdf</v>
      </c>
    </row>
    <row r="1199" spans="1:28" x14ac:dyDescent="0.25">
      <c r="A1199" t="s">
        <v>1203</v>
      </c>
      <c r="B1199">
        <v>0.99987803227770999</v>
      </c>
      <c r="C1199">
        <v>0.93197549562922199</v>
      </c>
      <c r="D1199">
        <v>0.94459731627406596</v>
      </c>
      <c r="E1199">
        <v>0.91976358542331005</v>
      </c>
      <c r="F1199">
        <v>1.0026038175145799</v>
      </c>
      <c r="G1199">
        <v>0.84422600487960897</v>
      </c>
      <c r="H1199">
        <v>0.93676761477621595</v>
      </c>
      <c r="I1199">
        <v>0.80599528890855898</v>
      </c>
      <c r="J1199">
        <v>0.99629839211236004</v>
      </c>
      <c r="K1199">
        <v>0.81705721282476695</v>
      </c>
      <c r="L1199">
        <v>168.539379225549</v>
      </c>
      <c r="M1199">
        <v>1.58048328452173</v>
      </c>
      <c r="O1199">
        <v>54.220094748269197</v>
      </c>
      <c r="P1199">
        <v>-3.63086155182114E-3</v>
      </c>
      <c r="Q1199">
        <v>0.567710060670088</v>
      </c>
      <c r="R1199">
        <v>0.24397768629584601</v>
      </c>
      <c r="S1199" t="s">
        <v>7510</v>
      </c>
      <c r="T1199" t="s">
        <v>12620</v>
      </c>
      <c r="U1199" t="s">
        <v>12620</v>
      </c>
      <c r="V1199" t="s">
        <v>12620</v>
      </c>
      <c r="W1199" t="s">
        <v>13788</v>
      </c>
      <c r="X1199">
        <v>5</v>
      </c>
      <c r="Y1199" t="s">
        <v>20017</v>
      </c>
      <c r="Z1199" t="s">
        <v>26146</v>
      </c>
      <c r="AA1199">
        <v>0.92008882498301725</v>
      </c>
      <c r="AB1199" t="str">
        <f>HYPERLINK("Melting_Curves/meltCurve_O60927_PPP1R11.pdf", "Melting_Curves/meltCurve_O60927_PPP1R11.pdf")</f>
        <v>Melting_Curves/meltCurve_O60927_PPP1R11.pdf</v>
      </c>
    </row>
    <row r="1200" spans="1:28" x14ac:dyDescent="0.25">
      <c r="A1200" t="s">
        <v>1204</v>
      </c>
      <c r="B1200">
        <v>0.99987803227770999</v>
      </c>
      <c r="C1200">
        <v>0.95503576809609203</v>
      </c>
      <c r="D1200">
        <v>0.801527821317641</v>
      </c>
      <c r="E1200">
        <v>0.61850062269497197</v>
      </c>
      <c r="F1200">
        <v>0.56442607222700902</v>
      </c>
      <c r="G1200">
        <v>0.48214816347864098</v>
      </c>
      <c r="H1200">
        <v>0.39726530684515199</v>
      </c>
      <c r="I1200">
        <v>0.38996046211298202</v>
      </c>
      <c r="J1200">
        <v>0.34697403927052101</v>
      </c>
      <c r="K1200">
        <v>0.328918949534524</v>
      </c>
      <c r="L1200">
        <v>608.83069498606505</v>
      </c>
      <c r="M1200">
        <v>12.2288880607815</v>
      </c>
      <c r="N1200">
        <v>54.677323392043597</v>
      </c>
      <c r="O1200">
        <v>48.511058776363697</v>
      </c>
      <c r="P1200">
        <v>-4.2072989418598099E-2</v>
      </c>
      <c r="Q1200">
        <v>0.33254805192825998</v>
      </c>
      <c r="R1200">
        <v>0.98831061566760303</v>
      </c>
      <c r="S1200" t="s">
        <v>7511</v>
      </c>
      <c r="T1200" t="s">
        <v>12620</v>
      </c>
      <c r="U1200" t="s">
        <v>12620</v>
      </c>
      <c r="V1200" t="s">
        <v>12620</v>
      </c>
      <c r="W1200" t="s">
        <v>13789</v>
      </c>
      <c r="X1200">
        <v>23</v>
      </c>
      <c r="Y1200" t="s">
        <v>20018</v>
      </c>
      <c r="Z1200" t="s">
        <v>26147</v>
      </c>
      <c r="AA1200">
        <v>0.57297899348683889</v>
      </c>
      <c r="AB1200" t="str">
        <f>HYPERLINK("Melting_Curves/meltCurve_O60934_NBN.pdf", "Melting_Curves/meltCurve_O60934_NBN.pdf")</f>
        <v>Melting_Curves/meltCurve_O60934_NBN.pdf</v>
      </c>
    </row>
    <row r="1201" spans="1:28" x14ac:dyDescent="0.25">
      <c r="A1201" t="s">
        <v>1205</v>
      </c>
      <c r="B1201">
        <v>0.99987803227770999</v>
      </c>
      <c r="C1201">
        <v>0.95808241851228604</v>
      </c>
      <c r="D1201">
        <v>0.86245428630408105</v>
      </c>
      <c r="E1201">
        <v>0.54492000536691099</v>
      </c>
      <c r="F1201">
        <v>0.252229015297952</v>
      </c>
      <c r="G1201">
        <v>0.16758471026050101</v>
      </c>
      <c r="H1201">
        <v>0.14922346438360601</v>
      </c>
      <c r="I1201">
        <v>0.127547744132677</v>
      </c>
      <c r="J1201">
        <v>0.14341855413542701</v>
      </c>
      <c r="K1201">
        <v>0.111176824827216</v>
      </c>
      <c r="L1201">
        <v>1152.93571070028</v>
      </c>
      <c r="M1201">
        <v>23.261471076028599</v>
      </c>
      <c r="N1201">
        <v>50.186260983853103</v>
      </c>
      <c r="O1201">
        <v>49.202231562714701</v>
      </c>
      <c r="P1201">
        <v>-0.10339216188429901</v>
      </c>
      <c r="Q1201">
        <v>0.125242935245123</v>
      </c>
      <c r="R1201">
        <v>0.99768013145235801</v>
      </c>
      <c r="S1201" t="s">
        <v>7512</v>
      </c>
      <c r="T1201" t="s">
        <v>12620</v>
      </c>
      <c r="U1201" t="s">
        <v>12620</v>
      </c>
      <c r="V1201" t="s">
        <v>12620</v>
      </c>
      <c r="W1201" t="s">
        <v>13790</v>
      </c>
      <c r="X1201">
        <v>8</v>
      </c>
      <c r="Y1201" t="s">
        <v>20019</v>
      </c>
      <c r="Z1201" t="s">
        <v>26148</v>
      </c>
      <c r="AA1201">
        <v>0.41313168806072847</v>
      </c>
      <c r="AB1201" t="str">
        <f>HYPERLINK("Melting_Curves/meltCurve_O60942_RNGTT.pdf", "Melting_Curves/meltCurve_O60942_RNGTT.pdf")</f>
        <v>Melting_Curves/meltCurve_O60942_RNGTT.pdf</v>
      </c>
    </row>
    <row r="1202" spans="1:28" x14ac:dyDescent="0.25">
      <c r="A1202" t="s">
        <v>1206</v>
      </c>
      <c r="B1202">
        <v>0.99987803227770999</v>
      </c>
      <c r="C1202">
        <v>1.0595215134653599</v>
      </c>
      <c r="D1202">
        <v>1.03416491333828</v>
      </c>
      <c r="E1202">
        <v>0.96613581886552502</v>
      </c>
      <c r="F1202">
        <v>0.85184863353252904</v>
      </c>
      <c r="G1202">
        <v>0.71483998607079502</v>
      </c>
      <c r="H1202">
        <v>0.62857316086952497</v>
      </c>
      <c r="I1202">
        <v>0.60388413443551603</v>
      </c>
      <c r="J1202">
        <v>0.59286371022901396</v>
      </c>
      <c r="K1202">
        <v>0.45814656608674698</v>
      </c>
      <c r="L1202">
        <v>884.27265839567599</v>
      </c>
      <c r="M1202">
        <v>15.627181605400899</v>
      </c>
      <c r="O1202">
        <v>55.683232126775202</v>
      </c>
      <c r="P1202">
        <v>-3.4926656799936298E-2</v>
      </c>
      <c r="Q1202">
        <v>0.50223597862659197</v>
      </c>
      <c r="R1202">
        <v>0.96305701205632399</v>
      </c>
      <c r="S1202" t="s">
        <v>7513</v>
      </c>
      <c r="T1202" t="s">
        <v>12620</v>
      </c>
      <c r="U1202" t="s">
        <v>12620</v>
      </c>
      <c r="V1202" t="s">
        <v>12620</v>
      </c>
      <c r="W1202" t="s">
        <v>13791</v>
      </c>
      <c r="X1202">
        <v>6</v>
      </c>
      <c r="Y1202" t="s">
        <v>20020</v>
      </c>
      <c r="Z1202" t="s">
        <v>26149</v>
      </c>
      <c r="AA1202">
        <v>0.78547465733201749</v>
      </c>
      <c r="AB1202" t="str">
        <f>HYPERLINK("Melting_Curves/meltCurve_O75030_12_MITF.pdf", "Melting_Curves/meltCurve_O75030_12_MITF.pdf")</f>
        <v>Melting_Curves/meltCurve_O75030_12_MITF.pdf</v>
      </c>
    </row>
    <row r="1203" spans="1:28" x14ac:dyDescent="0.25">
      <c r="A1203" t="s">
        <v>1207</v>
      </c>
      <c r="B1203">
        <v>0.99987803227770999</v>
      </c>
      <c r="C1203">
        <v>1.01421020707517</v>
      </c>
      <c r="D1203">
        <v>0.84761958195731502</v>
      </c>
      <c r="E1203">
        <v>0.77761413199523699</v>
      </c>
      <c r="F1203">
        <v>0.668364309438922</v>
      </c>
      <c r="G1203">
        <v>0.45423951746705299</v>
      </c>
      <c r="H1203">
        <v>0.33433641299264799</v>
      </c>
      <c r="I1203">
        <v>0.31685750238619897</v>
      </c>
      <c r="J1203">
        <v>0.28570601185642902</v>
      </c>
      <c r="K1203">
        <v>0.22489072029947699</v>
      </c>
      <c r="L1203">
        <v>637.51383763397303</v>
      </c>
      <c r="M1203">
        <v>11.813184110067199</v>
      </c>
      <c r="N1203">
        <v>56.251769907905398</v>
      </c>
      <c r="O1203">
        <v>52.489503552846799</v>
      </c>
      <c r="P1203">
        <v>-4.5552374804083202E-2</v>
      </c>
      <c r="Q1203">
        <v>0.19059614707203201</v>
      </c>
      <c r="R1203">
        <v>0.98929262353446201</v>
      </c>
      <c r="S1203" t="s">
        <v>7514</v>
      </c>
      <c r="T1203" t="s">
        <v>12620</v>
      </c>
      <c r="U1203" t="s">
        <v>12620</v>
      </c>
      <c r="V1203" t="s">
        <v>12620</v>
      </c>
      <c r="W1203" t="s">
        <v>13792</v>
      </c>
      <c r="X1203">
        <v>12</v>
      </c>
      <c r="Y1203" t="s">
        <v>20021</v>
      </c>
      <c r="Z1203" t="s">
        <v>26150</v>
      </c>
      <c r="AA1203">
        <v>0.58892445767051282</v>
      </c>
      <c r="AB1203" t="str">
        <f>HYPERLINK("Melting_Curves/meltCurve_O75044_SRGAP2.pdf", "Melting_Curves/meltCurve_O75044_SRGAP2.pdf")</f>
        <v>Melting_Curves/meltCurve_O75044_SRGAP2.pdf</v>
      </c>
    </row>
    <row r="1204" spans="1:28" x14ac:dyDescent="0.25">
      <c r="A1204" t="s">
        <v>1208</v>
      </c>
      <c r="B1204">
        <v>0.99987803227770999</v>
      </c>
      <c r="C1204">
        <v>1.0440777661079801</v>
      </c>
      <c r="D1204">
        <v>0.89378357597247304</v>
      </c>
      <c r="E1204">
        <v>1.1122689723985499</v>
      </c>
      <c r="F1204">
        <v>0.55352631846150102</v>
      </c>
      <c r="G1204">
        <v>0.143427133017511</v>
      </c>
      <c r="H1204">
        <v>0.23227357570795501</v>
      </c>
      <c r="I1204">
        <v>0.24391080407093699</v>
      </c>
      <c r="J1204">
        <v>0.26279177231291601</v>
      </c>
      <c r="K1204">
        <v>0.172869224556222</v>
      </c>
      <c r="L1204">
        <v>13235.944927246401</v>
      </c>
      <c r="M1204">
        <v>250</v>
      </c>
      <c r="N1204">
        <v>53.060152832873399</v>
      </c>
      <c r="O1204">
        <v>52.940391689538501</v>
      </c>
      <c r="P1204">
        <v>-0.93140781871121403</v>
      </c>
      <c r="Q1204">
        <v>0.211054485466666</v>
      </c>
      <c r="R1204">
        <v>0.97534678402858799</v>
      </c>
      <c r="S1204" t="s">
        <v>7515</v>
      </c>
      <c r="T1204" t="s">
        <v>12620</v>
      </c>
      <c r="U1204" t="s">
        <v>12620</v>
      </c>
      <c r="V1204" t="s">
        <v>12620</v>
      </c>
      <c r="W1204" t="s">
        <v>13793</v>
      </c>
      <c r="X1204">
        <v>3</v>
      </c>
      <c r="Y1204" t="s">
        <v>20022</v>
      </c>
      <c r="Z1204" t="s">
        <v>26151</v>
      </c>
      <c r="AA1204">
        <v>0.55152568882476638</v>
      </c>
      <c r="AB1204" t="str">
        <f>HYPERLINK("Melting_Curves/meltCurve_O75064_DENND4B.pdf", "Melting_Curves/meltCurve_O75064_DENND4B.pdf")</f>
        <v>Melting_Curves/meltCurve_O75064_DENND4B.pdf</v>
      </c>
    </row>
    <row r="1205" spans="1:28" x14ac:dyDescent="0.25">
      <c r="A1205" t="s">
        <v>1209</v>
      </c>
      <c r="B1205">
        <v>0.99987803227770999</v>
      </c>
      <c r="C1205">
        <v>0.827713349355362</v>
      </c>
      <c r="D1205">
        <v>0.91020207435363398</v>
      </c>
      <c r="E1205">
        <v>0.81991857388608802</v>
      </c>
      <c r="F1205">
        <v>0.37247434827033599</v>
      </c>
      <c r="G1205">
        <v>0.14148523157899501</v>
      </c>
      <c r="H1205">
        <v>8.55937318480533E-2</v>
      </c>
      <c r="I1205">
        <v>7.2539983887145304E-2</v>
      </c>
      <c r="J1205">
        <v>4.9728140735422699E-2</v>
      </c>
      <c r="K1205">
        <v>3.6686659246903897E-2</v>
      </c>
      <c r="L1205">
        <v>1573.2202265519199</v>
      </c>
      <c r="M1205">
        <v>30.2534556924907</v>
      </c>
      <c r="N1205">
        <v>52.219446949090901</v>
      </c>
      <c r="O1205">
        <v>51.775732171571597</v>
      </c>
      <c r="P1205">
        <v>-0.137410253399151</v>
      </c>
      <c r="Q1205">
        <v>5.9351088243376197E-2</v>
      </c>
      <c r="R1205">
        <v>0.97481069979612101</v>
      </c>
      <c r="S1205" t="s">
        <v>7516</v>
      </c>
      <c r="T1205" t="s">
        <v>12620</v>
      </c>
      <c r="U1205" t="s">
        <v>12620</v>
      </c>
      <c r="V1205" t="s">
        <v>12620</v>
      </c>
      <c r="W1205" t="s">
        <v>13794</v>
      </c>
      <c r="X1205">
        <v>29</v>
      </c>
      <c r="Y1205" t="s">
        <v>20023</v>
      </c>
      <c r="Z1205" t="s">
        <v>26152</v>
      </c>
      <c r="AA1205">
        <v>0.44156343577353979</v>
      </c>
      <c r="AB1205" t="str">
        <f>HYPERLINK("Melting_Curves/meltCurve_O75083_WDR1.pdf", "Melting_Curves/meltCurve_O75083_WDR1.pdf")</f>
        <v>Melting_Curves/meltCurve_O75083_WDR1.pdf</v>
      </c>
    </row>
    <row r="1206" spans="1:28" x14ac:dyDescent="0.25">
      <c r="A1206" t="s">
        <v>1210</v>
      </c>
      <c r="B1206">
        <v>0.99987803227770999</v>
      </c>
      <c r="C1206">
        <v>2.3100739719709198</v>
      </c>
      <c r="D1206">
        <v>2.0787105033654498</v>
      </c>
      <c r="E1206">
        <v>0.89533385376570596</v>
      </c>
      <c r="F1206">
        <v>0.103540094543965</v>
      </c>
      <c r="G1206">
        <v>0.112397002947407</v>
      </c>
      <c r="H1206">
        <v>0.105041188220688</v>
      </c>
      <c r="I1206">
        <v>0.653569212821006</v>
      </c>
      <c r="J1206">
        <v>4.5751973656956497E-2</v>
      </c>
      <c r="K1206">
        <v>2.6011162343731201E-2</v>
      </c>
      <c r="L1206">
        <v>12596.4881923838</v>
      </c>
      <c r="M1206">
        <v>250</v>
      </c>
      <c r="N1206">
        <v>50.472544333713401</v>
      </c>
      <c r="O1206">
        <v>50.382742825561003</v>
      </c>
      <c r="P1206">
        <v>-1.0241795796016999</v>
      </c>
      <c r="Q1206">
        <v>0.17438461439625999</v>
      </c>
      <c r="R1206">
        <v>0.51727592036734904</v>
      </c>
      <c r="S1206" t="s">
        <v>7517</v>
      </c>
      <c r="T1206" t="s">
        <v>12620</v>
      </c>
      <c r="U1206" t="s">
        <v>12620</v>
      </c>
      <c r="V1206" t="s">
        <v>12620</v>
      </c>
      <c r="W1206" t="s">
        <v>13795</v>
      </c>
      <c r="X1206">
        <v>1</v>
      </c>
      <c r="Y1206" t="s">
        <v>20024</v>
      </c>
      <c r="Z1206" t="s">
        <v>26153</v>
      </c>
      <c r="AA1206">
        <v>0.4602843674165138</v>
      </c>
      <c r="AB1206" t="str">
        <f>HYPERLINK("Melting_Curves/meltCurve_O75094_SLIT3.pdf", "Melting_Curves/meltCurve_O75094_SLIT3.pdf")</f>
        <v>Melting_Curves/meltCurve_O75094_SLIT3.pdf</v>
      </c>
    </row>
    <row r="1207" spans="1:28" x14ac:dyDescent="0.25">
      <c r="A1207" t="s">
        <v>1211</v>
      </c>
      <c r="B1207">
        <v>0.99987803227770999</v>
      </c>
      <c r="C1207">
        <v>0.86869402544115804</v>
      </c>
      <c r="D1207">
        <v>1.0637794346795699</v>
      </c>
      <c r="E1207">
        <v>0.843924092065091</v>
      </c>
      <c r="F1207">
        <v>0.788417151403488</v>
      </c>
      <c r="G1207">
        <v>0.53955837755013003</v>
      </c>
      <c r="H1207">
        <v>0.402996751973623</v>
      </c>
      <c r="I1207">
        <v>0.35094334804807897</v>
      </c>
      <c r="J1207">
        <v>0.33954474707473498</v>
      </c>
      <c r="K1207">
        <v>0.28985019085251601</v>
      </c>
      <c r="L1207">
        <v>906.170102104688</v>
      </c>
      <c r="M1207">
        <v>16.413699049694099</v>
      </c>
      <c r="N1207">
        <v>58.152763842998397</v>
      </c>
      <c r="O1207">
        <v>54.408203576184498</v>
      </c>
      <c r="P1207">
        <v>-5.4138330754191902E-2</v>
      </c>
      <c r="Q1207">
        <v>0.28221917374355399</v>
      </c>
      <c r="R1207">
        <v>0.96526852221676795</v>
      </c>
      <c r="S1207" t="s">
        <v>7518</v>
      </c>
      <c r="T1207" t="s">
        <v>12620</v>
      </c>
      <c r="U1207" t="s">
        <v>12620</v>
      </c>
      <c r="V1207" t="s">
        <v>12620</v>
      </c>
      <c r="W1207" t="s">
        <v>13796</v>
      </c>
      <c r="X1207">
        <v>9</v>
      </c>
      <c r="Y1207" t="s">
        <v>20025</v>
      </c>
      <c r="Z1207" t="s">
        <v>26154</v>
      </c>
      <c r="AA1207">
        <v>0.65843759719145045</v>
      </c>
      <c r="AB1207" t="str">
        <f>HYPERLINK("Melting_Curves/meltCurve_O75113_N4BP1.pdf", "Melting_Curves/meltCurve_O75113_N4BP1.pdf")</f>
        <v>Melting_Curves/meltCurve_O75113_N4BP1.pdf</v>
      </c>
    </row>
    <row r="1208" spans="1:28" x14ac:dyDescent="0.25">
      <c r="A1208" t="s">
        <v>1212</v>
      </c>
      <c r="B1208">
        <v>0.99987803227770999</v>
      </c>
      <c r="C1208">
        <v>1.2328595765908299</v>
      </c>
      <c r="D1208">
        <v>0.82902055087651405</v>
      </c>
      <c r="E1208">
        <v>0.87367988720121503</v>
      </c>
      <c r="F1208">
        <v>0.31897726538030502</v>
      </c>
      <c r="G1208">
        <v>0.22192795237743401</v>
      </c>
      <c r="H1208">
        <v>0.118490142944956</v>
      </c>
      <c r="I1208">
        <v>0.100652170343407</v>
      </c>
      <c r="J1208">
        <v>7.3625705078468301E-2</v>
      </c>
      <c r="K1208">
        <v>5.34449351914855E-2</v>
      </c>
      <c r="L1208">
        <v>2333.7791841561898</v>
      </c>
      <c r="M1208">
        <v>45.072192901505296</v>
      </c>
      <c r="N1208">
        <v>52.058792328439999</v>
      </c>
      <c r="O1208">
        <v>51.677074088354303</v>
      </c>
      <c r="P1208">
        <v>-0.194571630997985</v>
      </c>
      <c r="Q1208">
        <v>0.107664490194417</v>
      </c>
      <c r="R1208">
        <v>0.94653288602014496</v>
      </c>
      <c r="S1208" t="s">
        <v>7519</v>
      </c>
      <c r="T1208" t="s">
        <v>12620</v>
      </c>
      <c r="U1208" t="s">
        <v>12620</v>
      </c>
      <c r="V1208" t="s">
        <v>12620</v>
      </c>
      <c r="W1208" t="s">
        <v>13797</v>
      </c>
      <c r="X1208">
        <v>76</v>
      </c>
      <c r="Y1208" t="s">
        <v>20026</v>
      </c>
      <c r="Z1208" t="s">
        <v>26155</v>
      </c>
      <c r="AA1208">
        <v>0.46052684992682669</v>
      </c>
      <c r="AB1208" t="str">
        <f>HYPERLINK("Melting_Curves/meltCurve_O75116_ROCK2.pdf", "Melting_Curves/meltCurve_O75116_ROCK2.pdf")</f>
        <v>Melting_Curves/meltCurve_O75116_ROCK2.pdf</v>
      </c>
    </row>
    <row r="1209" spans="1:28" x14ac:dyDescent="0.25">
      <c r="A1209" t="s">
        <v>1213</v>
      </c>
      <c r="B1209">
        <v>0.99987803227770999</v>
      </c>
      <c r="C1209">
        <v>0.92856449225327498</v>
      </c>
      <c r="D1209">
        <v>1.00074716986516</v>
      </c>
      <c r="E1209">
        <v>0.54928393990708002</v>
      </c>
      <c r="F1209">
        <v>0.16635815562363601</v>
      </c>
      <c r="G1209">
        <v>0.109760394862304</v>
      </c>
      <c r="H1209">
        <v>7.03913283415432E-2</v>
      </c>
      <c r="I1209">
        <v>5.7616136169627803E-2</v>
      </c>
      <c r="J1209">
        <v>4.1012180631958203E-2</v>
      </c>
      <c r="K1209">
        <v>3.11406907462367E-2</v>
      </c>
      <c r="L1209">
        <v>1925.0680042256499</v>
      </c>
      <c r="M1209">
        <v>38.395925293208201</v>
      </c>
      <c r="N1209">
        <v>50.304038421472796</v>
      </c>
      <c r="O1209">
        <v>50.001881813706298</v>
      </c>
      <c r="P1209">
        <v>-0.18050234009471</v>
      </c>
      <c r="Q1209">
        <v>5.9750884320460301E-2</v>
      </c>
      <c r="R1209">
        <v>0.99470515084921296</v>
      </c>
      <c r="S1209" t="s">
        <v>7520</v>
      </c>
      <c r="T1209" t="s">
        <v>12620</v>
      </c>
      <c r="U1209" t="s">
        <v>12620</v>
      </c>
      <c r="V1209" t="s">
        <v>12620</v>
      </c>
      <c r="W1209" t="s">
        <v>13798</v>
      </c>
      <c r="X1209">
        <v>21</v>
      </c>
      <c r="Y1209" t="s">
        <v>20027</v>
      </c>
      <c r="Z1209" t="s">
        <v>26156</v>
      </c>
      <c r="AA1209">
        <v>0.38101055959254609</v>
      </c>
      <c r="AB1209" t="str">
        <f>HYPERLINK("Melting_Curves/meltCurve_O75131_CPNE3.pdf", "Melting_Curves/meltCurve_O75131_CPNE3.pdf")</f>
        <v>Melting_Curves/meltCurve_O75131_CPNE3.pdf</v>
      </c>
    </row>
    <row r="1210" spans="1:28" x14ac:dyDescent="0.25">
      <c r="A1210" t="s">
        <v>1214</v>
      </c>
      <c r="B1210">
        <v>0.99987803227770999</v>
      </c>
      <c r="C1210">
        <v>1.0562740550277001</v>
      </c>
      <c r="D1210">
        <v>1.06679303231761</v>
      </c>
      <c r="E1210">
        <v>1.0677413238514399</v>
      </c>
      <c r="F1210">
        <v>1.0130127680877401</v>
      </c>
      <c r="G1210">
        <v>0.90697418957214604</v>
      </c>
      <c r="H1210">
        <v>0.98581177031220502</v>
      </c>
      <c r="I1210">
        <v>0.941657309004723</v>
      </c>
      <c r="J1210">
        <v>0.73660979305860197</v>
      </c>
      <c r="K1210">
        <v>0.38685916311337298</v>
      </c>
      <c r="L1210">
        <v>2341.80830664327</v>
      </c>
      <c r="M1210">
        <v>33.915694277484903</v>
      </c>
      <c r="N1210">
        <v>69.047939134925102</v>
      </c>
      <c r="O1210">
        <v>68.809197659677395</v>
      </c>
      <c r="P1210">
        <v>-0.12322418723614099</v>
      </c>
      <c r="Q1210">
        <v>0</v>
      </c>
      <c r="R1210">
        <v>0.94758878390629497</v>
      </c>
      <c r="S1210" t="s">
        <v>7521</v>
      </c>
      <c r="T1210" t="s">
        <v>12620</v>
      </c>
      <c r="U1210" t="s">
        <v>12620</v>
      </c>
      <c r="V1210" t="s">
        <v>12620</v>
      </c>
      <c r="W1210" t="s">
        <v>13799</v>
      </c>
      <c r="X1210">
        <v>8</v>
      </c>
      <c r="Y1210" t="s">
        <v>20028</v>
      </c>
      <c r="Z1210" t="s">
        <v>26157</v>
      </c>
      <c r="AA1210">
        <v>0.9382780419262039</v>
      </c>
      <c r="AB1210" t="str">
        <f>HYPERLINK("Melting_Curves/meltCurve_O75143_3_ATG13.pdf", "Melting_Curves/meltCurve_O75143_3_ATG13.pdf")</f>
        <v>Melting_Curves/meltCurve_O75143_3_ATG13.pdf</v>
      </c>
    </row>
    <row r="1211" spans="1:28" x14ac:dyDescent="0.25">
      <c r="A1211" t="s">
        <v>1215</v>
      </c>
      <c r="B1211">
        <v>0.99987803227770999</v>
      </c>
      <c r="C1211">
        <v>1.0453739927316601</v>
      </c>
      <c r="D1211">
        <v>0.99315171144938896</v>
      </c>
      <c r="E1211">
        <v>0.97725458904274198</v>
      </c>
      <c r="F1211">
        <v>0.77829694633987301</v>
      </c>
      <c r="G1211">
        <v>0.44438913618345599</v>
      </c>
      <c r="H1211">
        <v>0.28084234309897699</v>
      </c>
      <c r="I1211">
        <v>0.177278914680566</v>
      </c>
      <c r="J1211">
        <v>0.18775806223608599</v>
      </c>
      <c r="K1211">
        <v>0.117674748351191</v>
      </c>
      <c r="L1211">
        <v>1262.9090404757301</v>
      </c>
      <c r="M1211">
        <v>22.698005522167399</v>
      </c>
      <c r="N1211">
        <v>56.491633974800301</v>
      </c>
      <c r="O1211">
        <v>55.213194255841898</v>
      </c>
      <c r="P1211">
        <v>-8.7880294114694196E-2</v>
      </c>
      <c r="Q1211">
        <v>0.14493738822815999</v>
      </c>
      <c r="R1211">
        <v>0.99489271015061898</v>
      </c>
      <c r="S1211" t="s">
        <v>7522</v>
      </c>
      <c r="T1211" t="s">
        <v>12620</v>
      </c>
      <c r="U1211" t="s">
        <v>12620</v>
      </c>
      <c r="V1211" t="s">
        <v>12620</v>
      </c>
      <c r="W1211" t="s">
        <v>13800</v>
      </c>
      <c r="X1211">
        <v>7</v>
      </c>
      <c r="Y1211" t="s">
        <v>20029</v>
      </c>
      <c r="Z1211" t="s">
        <v>26158</v>
      </c>
      <c r="AA1211">
        <v>0.59993433962341525</v>
      </c>
      <c r="AB1211" t="str">
        <f>HYPERLINK("Melting_Curves/meltCurve_O75146_HIP1R.pdf", "Melting_Curves/meltCurve_O75146_HIP1R.pdf")</f>
        <v>Melting_Curves/meltCurve_O75146_HIP1R.pdf</v>
      </c>
    </row>
    <row r="1212" spans="1:28" x14ac:dyDescent="0.25">
      <c r="A1212" t="s">
        <v>1216</v>
      </c>
      <c r="B1212">
        <v>0.99987803227770999</v>
      </c>
      <c r="C1212">
        <v>1.08191378008723</v>
      </c>
      <c r="D1212">
        <v>0.69475184228625497</v>
      </c>
      <c r="E1212">
        <v>0.43058058794128101</v>
      </c>
      <c r="F1212">
        <v>0.27516410706701799</v>
      </c>
      <c r="G1212">
        <v>0.18121728509770399</v>
      </c>
      <c r="H1212">
        <v>0.12414731664923399</v>
      </c>
      <c r="I1212">
        <v>0.109476306252536</v>
      </c>
      <c r="J1212">
        <v>8.7993258529455998E-2</v>
      </c>
      <c r="K1212">
        <v>6.3403527290791004E-2</v>
      </c>
      <c r="L1212">
        <v>933.01155228068501</v>
      </c>
      <c r="M1212">
        <v>19.190778095075</v>
      </c>
      <c r="N1212">
        <v>49.176401984137399</v>
      </c>
      <c r="O1212">
        <v>48.099020183698897</v>
      </c>
      <c r="P1212">
        <v>-8.9979623739644798E-2</v>
      </c>
      <c r="Q1212">
        <v>9.7948776524056605E-2</v>
      </c>
      <c r="R1212">
        <v>0.97681350507351805</v>
      </c>
      <c r="S1212" t="s">
        <v>7523</v>
      </c>
      <c r="T1212" t="s">
        <v>12620</v>
      </c>
      <c r="U1212" t="s">
        <v>12620</v>
      </c>
      <c r="V1212" t="s">
        <v>12620</v>
      </c>
      <c r="W1212" t="s">
        <v>13801</v>
      </c>
      <c r="X1212">
        <v>28</v>
      </c>
      <c r="Y1212" t="s">
        <v>20030</v>
      </c>
      <c r="Z1212" t="s">
        <v>26159</v>
      </c>
      <c r="AA1212">
        <v>0.37088518523247838</v>
      </c>
      <c r="AB1212" t="str">
        <f>HYPERLINK("Melting_Curves/meltCurve_O75150_RNF40.pdf", "Melting_Curves/meltCurve_O75150_RNF40.pdf")</f>
        <v>Melting_Curves/meltCurve_O75150_RNF40.pdf</v>
      </c>
    </row>
    <row r="1213" spans="1:28" x14ac:dyDescent="0.25">
      <c r="A1213" t="s">
        <v>1217</v>
      </c>
      <c r="B1213">
        <v>0.99987803227770999</v>
      </c>
      <c r="C1213">
        <v>1.05621400715964</v>
      </c>
      <c r="D1213">
        <v>0.72380371578523695</v>
      </c>
      <c r="E1213">
        <v>0.62952087919600896</v>
      </c>
      <c r="F1213">
        <v>0.43721075596480002</v>
      </c>
      <c r="G1213">
        <v>0.22548933814798999</v>
      </c>
      <c r="H1213">
        <v>0.153913784480882</v>
      </c>
      <c r="I1213">
        <v>0.13832703435947299</v>
      </c>
      <c r="J1213">
        <v>0.121844356191605</v>
      </c>
      <c r="K1213">
        <v>9.1947963469987695E-2</v>
      </c>
      <c r="L1213">
        <v>718.76260765569498</v>
      </c>
      <c r="M1213">
        <v>14.112983479800301</v>
      </c>
      <c r="N1213">
        <v>51.571108804670899</v>
      </c>
      <c r="O1213">
        <v>49.939345642842497</v>
      </c>
      <c r="P1213">
        <v>-6.4967803981062403E-2</v>
      </c>
      <c r="Q1213">
        <v>8.0553419093254294E-2</v>
      </c>
      <c r="R1213">
        <v>0.97725140100432695</v>
      </c>
      <c r="S1213" t="s">
        <v>7524</v>
      </c>
      <c r="T1213" t="s">
        <v>12620</v>
      </c>
      <c r="U1213" t="s">
        <v>12620</v>
      </c>
      <c r="V1213" t="s">
        <v>12620</v>
      </c>
      <c r="W1213" t="s">
        <v>13802</v>
      </c>
      <c r="X1213">
        <v>2</v>
      </c>
      <c r="Y1213" t="s">
        <v>20031</v>
      </c>
      <c r="Z1213" t="s">
        <v>26160</v>
      </c>
      <c r="AA1213">
        <v>0.4390340506352865</v>
      </c>
      <c r="AB1213" t="str">
        <f>HYPERLINK("Melting_Curves/meltCurve_O75151_PHF2.pdf", "Melting_Curves/meltCurve_O75151_PHF2.pdf")</f>
        <v>Melting_Curves/meltCurve_O75151_PHF2.pdf</v>
      </c>
    </row>
    <row r="1214" spans="1:28" x14ac:dyDescent="0.25">
      <c r="A1214" t="s">
        <v>1218</v>
      </c>
      <c r="B1214">
        <v>0.99987803227770999</v>
      </c>
      <c r="C1214">
        <v>0.85056220917206904</v>
      </c>
      <c r="D1214">
        <v>0.94113812588897205</v>
      </c>
      <c r="E1214">
        <v>0.85650122187796396</v>
      </c>
      <c r="F1214">
        <v>0.85478886317150105</v>
      </c>
      <c r="G1214">
        <v>0.69169675440638501</v>
      </c>
      <c r="H1214">
        <v>0.64586213758327504</v>
      </c>
      <c r="I1214">
        <v>0.60796786278943904</v>
      </c>
      <c r="J1214">
        <v>0.56764468689253</v>
      </c>
      <c r="K1214">
        <v>0.49728600259824801</v>
      </c>
      <c r="L1214">
        <v>305.10291755703503</v>
      </c>
      <c r="M1214">
        <v>4.3452919794200504</v>
      </c>
      <c r="O1214">
        <v>59.097034675363098</v>
      </c>
      <c r="P1214">
        <v>-1.8562535911863499E-2</v>
      </c>
      <c r="Q1214">
        <v>0</v>
      </c>
      <c r="R1214">
        <v>0.94188351099593304</v>
      </c>
      <c r="S1214" t="s">
        <v>7525</v>
      </c>
      <c r="T1214" t="s">
        <v>12620</v>
      </c>
      <c r="U1214" t="s">
        <v>12620</v>
      </c>
      <c r="V1214" t="s">
        <v>12620</v>
      </c>
      <c r="W1214" t="s">
        <v>13803</v>
      </c>
      <c r="X1214">
        <v>10</v>
      </c>
      <c r="Y1214" t="s">
        <v>20032</v>
      </c>
      <c r="Z1214" t="s">
        <v>26161</v>
      </c>
      <c r="AA1214">
        <v>0.75694145096624321</v>
      </c>
      <c r="AB1214" t="str">
        <f>HYPERLINK("Melting_Curves/meltCurve_O75152_ZC3H11A.pdf", "Melting_Curves/meltCurve_O75152_ZC3H11A.pdf")</f>
        <v>Melting_Curves/meltCurve_O75152_ZC3H11A.pdf</v>
      </c>
    </row>
    <row r="1215" spans="1:28" x14ac:dyDescent="0.25">
      <c r="A1215" t="s">
        <v>1219</v>
      </c>
      <c r="B1215">
        <v>0.99987803227770999</v>
      </c>
      <c r="C1215">
        <v>0.99372255847680302</v>
      </c>
      <c r="D1215">
        <v>0.95375835204730697</v>
      </c>
      <c r="E1215">
        <v>0.885813058863401</v>
      </c>
      <c r="F1215">
        <v>0.91727410171663104</v>
      </c>
      <c r="G1215">
        <v>0.68418748538949303</v>
      </c>
      <c r="H1215">
        <v>0.92772085563562801</v>
      </c>
      <c r="I1215">
        <v>0.71319923937428897</v>
      </c>
      <c r="J1215">
        <v>0.97803687223972002</v>
      </c>
      <c r="K1215">
        <v>0.87119373835645997</v>
      </c>
      <c r="L1215">
        <v>1156.6655505982701</v>
      </c>
      <c r="M1215">
        <v>24.056479292788001</v>
      </c>
      <c r="O1215">
        <v>47.752696168511399</v>
      </c>
      <c r="P1215">
        <v>-1.9614965224919501E-2</v>
      </c>
      <c r="Q1215">
        <v>0.84425771270243999</v>
      </c>
      <c r="R1215">
        <v>0.34224150969385703</v>
      </c>
      <c r="S1215" t="s">
        <v>7526</v>
      </c>
      <c r="T1215" t="s">
        <v>12620</v>
      </c>
      <c r="U1215" t="s">
        <v>12620</v>
      </c>
      <c r="V1215" t="s">
        <v>12620</v>
      </c>
      <c r="W1215" t="s">
        <v>13804</v>
      </c>
      <c r="X1215">
        <v>10</v>
      </c>
      <c r="Y1215" t="s">
        <v>20033</v>
      </c>
      <c r="Z1215" t="s">
        <v>26162</v>
      </c>
      <c r="AA1215">
        <v>0.88770407985301758</v>
      </c>
      <c r="AB1215" t="str">
        <f>HYPERLINK("Melting_Curves/meltCurve_O75157_2_TSC22D2.pdf", "Melting_Curves/meltCurve_O75157_2_TSC22D2.pdf")</f>
        <v>Melting_Curves/meltCurve_O75157_2_TSC22D2.pdf</v>
      </c>
    </row>
    <row r="1216" spans="1:28" x14ac:dyDescent="0.25">
      <c r="A1216" t="s">
        <v>1220</v>
      </c>
      <c r="B1216">
        <v>0.99987803227770999</v>
      </c>
      <c r="C1216">
        <v>0.992427453053908</v>
      </c>
      <c r="D1216">
        <v>0.88495726131779795</v>
      </c>
      <c r="E1216">
        <v>0.57350358954541203</v>
      </c>
      <c r="F1216">
        <v>0.33051627148621499</v>
      </c>
      <c r="G1216">
        <v>0.22374210432202499</v>
      </c>
      <c r="H1216">
        <v>0.11264580317836199</v>
      </c>
      <c r="I1216">
        <v>7.0519884438551506E-2</v>
      </c>
      <c r="J1216">
        <v>5.5040987980775502E-2</v>
      </c>
      <c r="K1216">
        <v>3.9667609805757897E-2</v>
      </c>
      <c r="L1216">
        <v>895.22477486772902</v>
      </c>
      <c r="M1216">
        <v>17.645060640087699</v>
      </c>
      <c r="N1216">
        <v>51.0603339520679</v>
      </c>
      <c r="O1216">
        <v>50.0969576052318</v>
      </c>
      <c r="P1216">
        <v>-8.3379294085797806E-2</v>
      </c>
      <c r="Q1216">
        <v>5.3145550301021097E-2</v>
      </c>
      <c r="R1216">
        <v>0.99620809445631697</v>
      </c>
      <c r="S1216" t="s">
        <v>7527</v>
      </c>
      <c r="T1216" t="s">
        <v>12620</v>
      </c>
      <c r="U1216" t="s">
        <v>12620</v>
      </c>
      <c r="V1216" t="s">
        <v>12620</v>
      </c>
      <c r="W1216" t="s">
        <v>13805</v>
      </c>
      <c r="X1216">
        <v>6</v>
      </c>
      <c r="Y1216" t="s">
        <v>20034</v>
      </c>
      <c r="Z1216" t="s">
        <v>26163</v>
      </c>
      <c r="AA1216">
        <v>0.40856091465523292</v>
      </c>
      <c r="AB1216" t="str">
        <f>HYPERLINK("Melting_Curves/meltCurve_O75164_KDM4A.pdf", "Melting_Curves/meltCurve_O75164_KDM4A.pdf")</f>
        <v>Melting_Curves/meltCurve_O75164_KDM4A.pdf</v>
      </c>
    </row>
    <row r="1217" spans="1:28" x14ac:dyDescent="0.25">
      <c r="A1217" t="s">
        <v>1221</v>
      </c>
      <c r="B1217">
        <v>0.99987803227770999</v>
      </c>
      <c r="C1217">
        <v>0.99729457017659395</v>
      </c>
      <c r="D1217">
        <v>0.79737601227886301</v>
      </c>
      <c r="E1217">
        <v>1.0810487434571501</v>
      </c>
      <c r="F1217">
        <v>0.48656961375723901</v>
      </c>
      <c r="G1217">
        <v>0.23016642036696</v>
      </c>
      <c r="H1217">
        <v>0.16013229113930699</v>
      </c>
      <c r="I1217">
        <v>0.107495441608876</v>
      </c>
      <c r="J1217">
        <v>9.0481378279465993E-2</v>
      </c>
      <c r="K1217">
        <v>5.12421294022282E-2</v>
      </c>
      <c r="L1217">
        <v>13230.987744150199</v>
      </c>
      <c r="M1217">
        <v>250</v>
      </c>
      <c r="N1217">
        <v>52.986593999827598</v>
      </c>
      <c r="O1217">
        <v>52.920582683286</v>
      </c>
      <c r="P1217">
        <v>-1.02995935365779</v>
      </c>
      <c r="Q1217">
        <v>0.12790351786856499</v>
      </c>
      <c r="R1217">
        <v>0.95912662075717403</v>
      </c>
      <c r="S1217" t="s">
        <v>7528</v>
      </c>
      <c r="T1217" t="s">
        <v>12620</v>
      </c>
      <c r="U1217" t="s">
        <v>12620</v>
      </c>
      <c r="V1217" t="s">
        <v>12620</v>
      </c>
      <c r="W1217" t="s">
        <v>13806</v>
      </c>
      <c r="X1217">
        <v>13</v>
      </c>
      <c r="Y1217" t="s">
        <v>20035</v>
      </c>
      <c r="Z1217" t="s">
        <v>26164</v>
      </c>
      <c r="AA1217">
        <v>0.50368225820702039</v>
      </c>
      <c r="AB1217" t="str">
        <f>HYPERLINK("Melting_Curves/meltCurve_O75165_DNAJC13.pdf", "Melting_Curves/meltCurve_O75165_DNAJC13.pdf")</f>
        <v>Melting_Curves/meltCurve_O75165_DNAJC13.pdf</v>
      </c>
    </row>
    <row r="1218" spans="1:28" x14ac:dyDescent="0.25">
      <c r="A1218" t="s">
        <v>1222</v>
      </c>
      <c r="B1218">
        <v>0.99987803227770999</v>
      </c>
      <c r="C1218">
        <v>0.83254123665965896</v>
      </c>
      <c r="D1218">
        <v>1.00345943399146</v>
      </c>
      <c r="E1218">
        <v>0.95459815366578404</v>
      </c>
      <c r="F1218">
        <v>1.09555332398016</v>
      </c>
      <c r="G1218">
        <v>0.79684233090098999</v>
      </c>
      <c r="H1218">
        <v>0.78762790446960196</v>
      </c>
      <c r="I1218">
        <v>0.91610776052515097</v>
      </c>
      <c r="J1218">
        <v>0.78789798361508701</v>
      </c>
      <c r="K1218">
        <v>0.67917083275560497</v>
      </c>
      <c r="L1218">
        <v>406.851965492386</v>
      </c>
      <c r="M1218">
        <v>4.8763355652992502</v>
      </c>
      <c r="Q1218">
        <v>0</v>
      </c>
      <c r="R1218">
        <v>0.47916997192091798</v>
      </c>
      <c r="S1218" t="s">
        <v>7529</v>
      </c>
      <c r="T1218" t="s">
        <v>12620</v>
      </c>
      <c r="U1218" t="s">
        <v>12620</v>
      </c>
      <c r="V1218" t="s">
        <v>12620</v>
      </c>
      <c r="W1218" t="s">
        <v>13807</v>
      </c>
      <c r="X1218">
        <v>6</v>
      </c>
      <c r="Y1218" t="s">
        <v>20036</v>
      </c>
      <c r="Z1218" t="s">
        <v>26165</v>
      </c>
      <c r="AA1218">
        <v>0.901057959381241</v>
      </c>
      <c r="AB1218" t="str">
        <f>HYPERLINK("Melting_Curves/meltCurve_O75170_4_PPP6R2.pdf", "Melting_Curves/meltCurve_O75170_4_PPP6R2.pdf")</f>
        <v>Melting_Curves/meltCurve_O75170_4_PPP6R2.pdf</v>
      </c>
    </row>
    <row r="1219" spans="1:28" x14ac:dyDescent="0.25">
      <c r="A1219" t="s">
        <v>1223</v>
      </c>
      <c r="B1219">
        <v>0.99987803227770999</v>
      </c>
      <c r="C1219">
        <v>0.93344182330091896</v>
      </c>
      <c r="D1219">
        <v>0.87790164872854703</v>
      </c>
      <c r="E1219">
        <v>0.92062483557393304</v>
      </c>
      <c r="F1219">
        <v>0.78816407018842005</v>
      </c>
      <c r="G1219">
        <v>0.63547616277254004</v>
      </c>
      <c r="H1219">
        <v>0.62174873258799601</v>
      </c>
      <c r="I1219">
        <v>0.54923796636604705</v>
      </c>
      <c r="J1219">
        <v>0.53294107780895095</v>
      </c>
      <c r="K1219">
        <v>0.41832479312251403</v>
      </c>
      <c r="L1219">
        <v>401.47024420352801</v>
      </c>
      <c r="M1219">
        <v>6.5731097666150404</v>
      </c>
      <c r="N1219">
        <v>66.572275570078205</v>
      </c>
      <c r="O1219">
        <v>56.165129426251298</v>
      </c>
      <c r="P1219">
        <v>-2.31865116270887E-2</v>
      </c>
      <c r="Q1219">
        <v>0.20935849698063899</v>
      </c>
      <c r="R1219">
        <v>0.96193835740090405</v>
      </c>
      <c r="S1219" t="s">
        <v>7530</v>
      </c>
      <c r="T1219" t="s">
        <v>12620</v>
      </c>
      <c r="U1219" t="s">
        <v>12620</v>
      </c>
      <c r="V1219" t="s">
        <v>12620</v>
      </c>
      <c r="W1219" t="s">
        <v>13808</v>
      </c>
      <c r="X1219">
        <v>17</v>
      </c>
      <c r="Y1219" t="s">
        <v>20037</v>
      </c>
      <c r="Z1219" t="s">
        <v>26166</v>
      </c>
      <c r="AA1219">
        <v>0.73241164852515439</v>
      </c>
      <c r="AB1219" t="str">
        <f>HYPERLINK("Melting_Curves/meltCurve_O75175_CNOT3.pdf", "Melting_Curves/meltCurve_O75175_CNOT3.pdf")</f>
        <v>Melting_Curves/meltCurve_O75175_CNOT3.pdf</v>
      </c>
    </row>
    <row r="1220" spans="1:28" x14ac:dyDescent="0.25">
      <c r="A1220" t="s">
        <v>1224</v>
      </c>
      <c r="B1220">
        <v>0.99987803227770999</v>
      </c>
      <c r="C1220">
        <v>1.0783421828697199</v>
      </c>
      <c r="D1220">
        <v>0.970197762086771</v>
      </c>
      <c r="E1220">
        <v>0.83725826317061702</v>
      </c>
      <c r="F1220">
        <v>0.48110000260317198</v>
      </c>
      <c r="G1220">
        <v>0.33372681107992602</v>
      </c>
      <c r="H1220">
        <v>0.25465185006409402</v>
      </c>
      <c r="I1220">
        <v>0.22358520952212699</v>
      </c>
      <c r="J1220">
        <v>0.19076703623166499</v>
      </c>
      <c r="K1220">
        <v>0.15188029387979399</v>
      </c>
      <c r="L1220">
        <v>1330.8827513899801</v>
      </c>
      <c r="M1220">
        <v>25.486292535667001</v>
      </c>
      <c r="N1220">
        <v>53.307629093882603</v>
      </c>
      <c r="O1220">
        <v>51.901239711572501</v>
      </c>
      <c r="P1220">
        <v>-9.7868185524473197E-2</v>
      </c>
      <c r="Q1220">
        <v>0.20280019103650901</v>
      </c>
      <c r="R1220">
        <v>0.98730875440252097</v>
      </c>
      <c r="S1220" t="s">
        <v>7531</v>
      </c>
      <c r="T1220" t="s">
        <v>12620</v>
      </c>
      <c r="U1220" t="s">
        <v>12620</v>
      </c>
      <c r="V1220" t="s">
        <v>12620</v>
      </c>
      <c r="W1220" t="s">
        <v>13809</v>
      </c>
      <c r="X1220">
        <v>26</v>
      </c>
      <c r="Y1220" t="s">
        <v>20038</v>
      </c>
      <c r="Z1220" t="s">
        <v>26167</v>
      </c>
      <c r="AA1220">
        <v>0.53454246379797432</v>
      </c>
      <c r="AB1220" t="str">
        <f>HYPERLINK("Melting_Curves/meltCurve_O75179_2_ANKRD17.pdf", "Melting_Curves/meltCurve_O75179_2_ANKRD17.pdf")</f>
        <v>Melting_Curves/meltCurve_O75179_2_ANKRD17.pdf</v>
      </c>
    </row>
    <row r="1221" spans="1:28" x14ac:dyDescent="0.25">
      <c r="A1221" t="s">
        <v>1225</v>
      </c>
      <c r="B1221">
        <v>0.99987803227770999</v>
      </c>
      <c r="C1221">
        <v>0.92763054984633997</v>
      </c>
      <c r="D1221">
        <v>0.98288872553344997</v>
      </c>
      <c r="E1221">
        <v>0.88918532880532697</v>
      </c>
      <c r="F1221">
        <v>0.84573887058981101</v>
      </c>
      <c r="G1221">
        <v>0.76260920171409097</v>
      </c>
      <c r="H1221">
        <v>0.70017730603014805</v>
      </c>
      <c r="I1221">
        <v>0.71042658397567204</v>
      </c>
      <c r="J1221">
        <v>0.59472743591654498</v>
      </c>
      <c r="K1221">
        <v>0.45070402722831798</v>
      </c>
      <c r="L1221">
        <v>385.72467387553002</v>
      </c>
      <c r="M1221">
        <v>5.4630833474750897</v>
      </c>
      <c r="O1221">
        <v>62.829129262265397</v>
      </c>
      <c r="P1221">
        <v>-2.1835895485965699E-2</v>
      </c>
      <c r="Q1221">
        <v>0</v>
      </c>
      <c r="R1221">
        <v>0.95071518496485397</v>
      </c>
      <c r="S1221" t="s">
        <v>7532</v>
      </c>
      <c r="T1221" t="s">
        <v>12620</v>
      </c>
      <c r="U1221" t="s">
        <v>12620</v>
      </c>
      <c r="V1221" t="s">
        <v>12620</v>
      </c>
      <c r="W1221" t="s">
        <v>13810</v>
      </c>
      <c r="X1221">
        <v>4</v>
      </c>
      <c r="Y1221" t="s">
        <v>20039</v>
      </c>
      <c r="Z1221" t="s">
        <v>26168</v>
      </c>
      <c r="AA1221">
        <v>0.79699186346285122</v>
      </c>
      <c r="AB1221" t="str">
        <f>HYPERLINK("Melting_Curves/meltCurve_O75190_DNAJB6.pdf", "Melting_Curves/meltCurve_O75190_DNAJB6.pdf")</f>
        <v>Melting_Curves/meltCurve_O75190_DNAJB6.pdf</v>
      </c>
    </row>
    <row r="1222" spans="1:28" x14ac:dyDescent="0.25">
      <c r="A1222" t="s">
        <v>1226</v>
      </c>
      <c r="B1222">
        <v>0.99987803227770999</v>
      </c>
      <c r="C1222">
        <v>1.0122403840436101</v>
      </c>
      <c r="D1222">
        <v>0.92198364244082498</v>
      </c>
      <c r="E1222">
        <v>0.32742698450643698</v>
      </c>
      <c r="F1222">
        <v>0.16454906282369799</v>
      </c>
      <c r="G1222">
        <v>0.12769799826872799</v>
      </c>
      <c r="H1222">
        <v>7.3521513308513101E-2</v>
      </c>
      <c r="I1222">
        <v>6.6689327244807597E-2</v>
      </c>
      <c r="J1222">
        <v>4.9889791627506397E-2</v>
      </c>
      <c r="K1222">
        <v>3.5682623864197002E-2</v>
      </c>
      <c r="L1222">
        <v>1761.09454572597</v>
      </c>
      <c r="M1222">
        <v>36.101942511329597</v>
      </c>
      <c r="N1222">
        <v>49.0010862765007</v>
      </c>
      <c r="O1222">
        <v>48.632208827581998</v>
      </c>
      <c r="P1222">
        <v>-0.17170623215900499</v>
      </c>
      <c r="Q1222">
        <v>7.4794681143885794E-2</v>
      </c>
      <c r="R1222">
        <v>0.99560021314021196</v>
      </c>
      <c r="S1222" t="s">
        <v>7533</v>
      </c>
      <c r="T1222" t="s">
        <v>12620</v>
      </c>
      <c r="U1222" t="s">
        <v>12620</v>
      </c>
      <c r="V1222" t="s">
        <v>12620</v>
      </c>
      <c r="W1222" t="s">
        <v>13811</v>
      </c>
      <c r="X1222">
        <v>6</v>
      </c>
      <c r="Y1222" t="s">
        <v>20040</v>
      </c>
      <c r="Z1222" t="s">
        <v>26169</v>
      </c>
      <c r="AA1222">
        <v>0.34945384408519148</v>
      </c>
      <c r="AB1222" t="str">
        <f>HYPERLINK("Melting_Curves/meltCurve_O75191_XYLB.pdf", "Melting_Curves/meltCurve_O75191_XYLB.pdf")</f>
        <v>Melting_Curves/meltCurve_O75191_XYLB.pdf</v>
      </c>
    </row>
    <row r="1223" spans="1:28" x14ac:dyDescent="0.25">
      <c r="A1223" t="s">
        <v>1227</v>
      </c>
      <c r="B1223">
        <v>0.99987803227770999</v>
      </c>
      <c r="C1223">
        <v>0.97760023001681295</v>
      </c>
      <c r="D1223">
        <v>0.88795285818817704</v>
      </c>
      <c r="E1223">
        <v>0.62018671159852801</v>
      </c>
      <c r="F1223">
        <v>0.358216981559767</v>
      </c>
      <c r="G1223">
        <v>0.20745654088155499</v>
      </c>
      <c r="H1223">
        <v>0.15707099307443001</v>
      </c>
      <c r="I1223">
        <v>0.14536383927034899</v>
      </c>
      <c r="J1223">
        <v>0.14984065785696599</v>
      </c>
      <c r="K1223">
        <v>8.0094785658669301E-2</v>
      </c>
      <c r="L1223">
        <v>1005.86267473806</v>
      </c>
      <c r="M1223">
        <v>19.8877083218925</v>
      </c>
      <c r="N1223">
        <v>51.279689451490498</v>
      </c>
      <c r="O1223">
        <v>50.074061966706203</v>
      </c>
      <c r="P1223">
        <v>-8.7453293119112402E-2</v>
      </c>
      <c r="Q1223">
        <v>0.119255812781844</v>
      </c>
      <c r="R1223">
        <v>0.99764145660658499</v>
      </c>
      <c r="S1223" t="s">
        <v>7534</v>
      </c>
      <c r="T1223" t="s">
        <v>12620</v>
      </c>
      <c r="U1223" t="s">
        <v>12620</v>
      </c>
      <c r="V1223" t="s">
        <v>12620</v>
      </c>
      <c r="W1223" t="s">
        <v>13812</v>
      </c>
      <c r="X1223">
        <v>4</v>
      </c>
      <c r="Y1223" t="s">
        <v>20041</v>
      </c>
      <c r="Z1223" t="s">
        <v>26170</v>
      </c>
      <c r="AA1223">
        <v>0.44215076351545779</v>
      </c>
      <c r="AB1223" t="str">
        <f>HYPERLINK("Melting_Curves/meltCurve_O75208_COQ9.pdf", "Melting_Curves/meltCurve_O75208_COQ9.pdf")</f>
        <v>Melting_Curves/meltCurve_O75208_COQ9.pdf</v>
      </c>
    </row>
    <row r="1224" spans="1:28" x14ac:dyDescent="0.25">
      <c r="A1224" t="s">
        <v>1228</v>
      </c>
      <c r="B1224">
        <v>0.99987803227770999</v>
      </c>
      <c r="C1224">
        <v>0.72912505466830202</v>
      </c>
      <c r="D1224">
        <v>0.99567923049580398</v>
      </c>
      <c r="E1224">
        <v>0.82053536042136799</v>
      </c>
      <c r="F1224">
        <v>1.1567198082663599</v>
      </c>
      <c r="G1224">
        <v>0.94554313133248002</v>
      </c>
      <c r="H1224">
        <v>0.33407880163992898</v>
      </c>
      <c r="I1224">
        <v>0.15198922800262499</v>
      </c>
      <c r="J1224">
        <v>9.1649300190952396E-2</v>
      </c>
      <c r="K1224">
        <v>6.1720573794572797E-2</v>
      </c>
      <c r="L1224">
        <v>3136.0461205849201</v>
      </c>
      <c r="M1224">
        <v>52.364032231612299</v>
      </c>
      <c r="N1224">
        <v>60.112171680589299</v>
      </c>
      <c r="O1224">
        <v>59.802178117646903</v>
      </c>
      <c r="P1224">
        <v>-0.19959257560693799</v>
      </c>
      <c r="Q1224">
        <v>8.8224591583696804E-2</v>
      </c>
      <c r="R1224">
        <v>0.918401414974094</v>
      </c>
      <c r="S1224" t="s">
        <v>7535</v>
      </c>
      <c r="T1224" t="s">
        <v>12620</v>
      </c>
      <c r="U1224" t="s">
        <v>12620</v>
      </c>
      <c r="V1224" t="s">
        <v>12620</v>
      </c>
      <c r="W1224" t="s">
        <v>13813</v>
      </c>
      <c r="X1224">
        <v>16</v>
      </c>
      <c r="Y1224" t="s">
        <v>20042</v>
      </c>
      <c r="Z1224" t="s">
        <v>26171</v>
      </c>
      <c r="AA1224">
        <v>0.69488011003115957</v>
      </c>
      <c r="AB1224" t="str">
        <f>HYPERLINK("Melting_Curves/meltCurve_O75223_GGCT.pdf", "Melting_Curves/meltCurve_O75223_GGCT.pdf")</f>
        <v>Melting_Curves/meltCurve_O75223_GGCT.pdf</v>
      </c>
    </row>
    <row r="1225" spans="1:28" x14ac:dyDescent="0.25">
      <c r="A1225" t="s">
        <v>1229</v>
      </c>
      <c r="B1225">
        <v>0.99987803227770999</v>
      </c>
      <c r="C1225">
        <v>1.04589866104729</v>
      </c>
      <c r="D1225">
        <v>1.0268671307585899</v>
      </c>
      <c r="E1225">
        <v>1.06652709355999</v>
      </c>
      <c r="F1225">
        <v>1.0755294007057801</v>
      </c>
      <c r="G1225">
        <v>0.70754760939526196</v>
      </c>
      <c r="H1225">
        <v>0.624595823770704</v>
      </c>
      <c r="I1225">
        <v>0.59576029838917</v>
      </c>
      <c r="J1225">
        <v>0.57384416793175996</v>
      </c>
      <c r="K1225">
        <v>0.43529541500972901</v>
      </c>
      <c r="L1225">
        <v>9146.1401733385701</v>
      </c>
      <c r="M1225">
        <v>161.125011510609</v>
      </c>
      <c r="O1225">
        <v>56.755490725780703</v>
      </c>
      <c r="P1225">
        <v>-0.31414834648537199</v>
      </c>
      <c r="Q1225">
        <v>0.55737107148252996</v>
      </c>
      <c r="R1225">
        <v>0.93924787204249804</v>
      </c>
      <c r="S1225" t="s">
        <v>7536</v>
      </c>
      <c r="T1225" t="s">
        <v>12620</v>
      </c>
      <c r="U1225" t="s">
        <v>12620</v>
      </c>
      <c r="V1225" t="s">
        <v>12620</v>
      </c>
      <c r="W1225" t="s">
        <v>13814</v>
      </c>
      <c r="X1225">
        <v>21</v>
      </c>
      <c r="Y1225" t="s">
        <v>20043</v>
      </c>
      <c r="Z1225" t="s">
        <v>26172</v>
      </c>
      <c r="AA1225">
        <v>0.80482196985456034</v>
      </c>
      <c r="AB1225" t="str">
        <f>HYPERLINK("Melting_Curves/meltCurve_O75312_ZNF259.pdf", "Melting_Curves/meltCurve_O75312_ZNF259.pdf")</f>
        <v>Melting_Curves/meltCurve_O75312_ZNF259.pdf</v>
      </c>
    </row>
    <row r="1226" spans="1:28" x14ac:dyDescent="0.25">
      <c r="A1226" t="s">
        <v>1230</v>
      </c>
      <c r="B1226">
        <v>0.99987803227770999</v>
      </c>
      <c r="C1226">
        <v>1.1072526873285</v>
      </c>
      <c r="D1226">
        <v>0.81101824821568103</v>
      </c>
      <c r="E1226">
        <v>0.36922398222890601</v>
      </c>
      <c r="F1226">
        <v>0.17385899806180199</v>
      </c>
      <c r="G1226">
        <v>0.109998152221915</v>
      </c>
      <c r="H1226">
        <v>8.0489972477189795E-2</v>
      </c>
      <c r="I1226">
        <v>7.3822418855963107E-2</v>
      </c>
      <c r="J1226">
        <v>5.28976526462136E-2</v>
      </c>
      <c r="K1226">
        <v>3.4981829994485097E-2</v>
      </c>
      <c r="L1226">
        <v>1331.7175061575199</v>
      </c>
      <c r="M1226">
        <v>27.3599686276435</v>
      </c>
      <c r="N1226">
        <v>48.934945254338999</v>
      </c>
      <c r="O1226">
        <v>48.416153983765298</v>
      </c>
      <c r="P1226">
        <v>-0.13168503234664999</v>
      </c>
      <c r="Q1226">
        <v>6.7890530756536394E-2</v>
      </c>
      <c r="R1226">
        <v>0.98753417678342703</v>
      </c>
      <c r="S1226" t="s">
        <v>7537</v>
      </c>
      <c r="T1226" t="s">
        <v>12620</v>
      </c>
      <c r="U1226" t="s">
        <v>12620</v>
      </c>
      <c r="V1226" t="s">
        <v>12620</v>
      </c>
      <c r="W1226" t="s">
        <v>13815</v>
      </c>
      <c r="X1226">
        <v>10</v>
      </c>
      <c r="Y1226" t="s">
        <v>20044</v>
      </c>
      <c r="Z1226" t="s">
        <v>26173</v>
      </c>
      <c r="AA1226">
        <v>0.34422977940006499</v>
      </c>
      <c r="AB1226" t="str">
        <f>HYPERLINK("Melting_Curves/meltCurve_O75323_GBAS.pdf", "Melting_Curves/meltCurve_O75323_GBAS.pdf")</f>
        <v>Melting_Curves/meltCurve_O75323_GBAS.pdf</v>
      </c>
    </row>
    <row r="1227" spans="1:28" x14ac:dyDescent="0.25">
      <c r="A1227" t="s">
        <v>1231</v>
      </c>
      <c r="B1227">
        <v>0.99987803227770999</v>
      </c>
      <c r="C1227">
        <v>1.13736196449016</v>
      </c>
      <c r="D1227">
        <v>0.99799327417997696</v>
      </c>
      <c r="E1227">
        <v>0.955024665654717</v>
      </c>
      <c r="F1227">
        <v>0.62881475424826805</v>
      </c>
      <c r="G1227">
        <v>0.43163919914752702</v>
      </c>
      <c r="H1227">
        <v>0.44774584917305399</v>
      </c>
      <c r="I1227">
        <v>0.457019289384612</v>
      </c>
      <c r="J1227">
        <v>0.35293857644924398</v>
      </c>
      <c r="K1227">
        <v>0.27028386867653698</v>
      </c>
      <c r="L1227">
        <v>2293.0085390461199</v>
      </c>
      <c r="M1227">
        <v>43.628742974303201</v>
      </c>
      <c r="N1227">
        <v>54.407639010311101</v>
      </c>
      <c r="O1227">
        <v>52.4472333893994</v>
      </c>
      <c r="P1227">
        <v>-0.12756390420309</v>
      </c>
      <c r="Q1227">
        <v>0.38660953514806901</v>
      </c>
      <c r="R1227">
        <v>0.95378083168427996</v>
      </c>
      <c r="S1227" t="s">
        <v>7538</v>
      </c>
      <c r="T1227" t="s">
        <v>12620</v>
      </c>
      <c r="U1227" t="s">
        <v>12620</v>
      </c>
      <c r="V1227" t="s">
        <v>12620</v>
      </c>
      <c r="W1227" t="s">
        <v>13816</v>
      </c>
      <c r="X1227">
        <v>14</v>
      </c>
      <c r="Y1227" t="s">
        <v>20045</v>
      </c>
      <c r="Z1227" t="s">
        <v>26174</v>
      </c>
      <c r="AA1227">
        <v>0.64523042572118783</v>
      </c>
      <c r="AB1227" t="str">
        <f>HYPERLINK("Melting_Curves/meltCurve_O75330_2_HMMR.pdf", "Melting_Curves/meltCurve_O75330_2_HMMR.pdf")</f>
        <v>Melting_Curves/meltCurve_O75330_2_HMMR.pdf</v>
      </c>
    </row>
    <row r="1228" spans="1:28" x14ac:dyDescent="0.25">
      <c r="A1228" t="s">
        <v>1232</v>
      </c>
      <c r="B1228">
        <v>0.99987803227770999</v>
      </c>
      <c r="C1228">
        <v>1.1003633779742299</v>
      </c>
      <c r="D1228">
        <v>0.92448422388990104</v>
      </c>
      <c r="E1228">
        <v>0.90327982060345702</v>
      </c>
      <c r="F1228">
        <v>0.52341591205281901</v>
      </c>
      <c r="G1228">
        <v>0.33347341946639097</v>
      </c>
      <c r="H1228">
        <v>0.16452371974400801</v>
      </c>
      <c r="I1228">
        <v>0.14029207200465801</v>
      </c>
      <c r="J1228">
        <v>0.103031031821507</v>
      </c>
      <c r="K1228">
        <v>6.6325034715872894E-2</v>
      </c>
      <c r="L1228">
        <v>1114.6527871020401</v>
      </c>
      <c r="M1228">
        <v>20.815077191115201</v>
      </c>
      <c r="N1228">
        <v>54.080898663945</v>
      </c>
      <c r="O1228">
        <v>53.063354332720301</v>
      </c>
      <c r="P1228">
        <v>-8.9011684456348203E-2</v>
      </c>
      <c r="Q1228">
        <v>9.2364296407237007E-2</v>
      </c>
      <c r="R1228">
        <v>0.98290430378883498</v>
      </c>
      <c r="S1228" t="s">
        <v>7539</v>
      </c>
      <c r="T1228" t="s">
        <v>12620</v>
      </c>
      <c r="U1228" t="s">
        <v>12620</v>
      </c>
      <c r="V1228" t="s">
        <v>12620</v>
      </c>
      <c r="W1228" t="s">
        <v>13817</v>
      </c>
      <c r="X1228">
        <v>8</v>
      </c>
      <c r="Y1228" t="s">
        <v>20046</v>
      </c>
      <c r="Z1228" t="s">
        <v>26175</v>
      </c>
      <c r="AA1228">
        <v>0.51393035960155753</v>
      </c>
      <c r="AB1228" t="str">
        <f>HYPERLINK("Melting_Curves/meltCurve_O75340_PDCD6.pdf", "Melting_Curves/meltCurve_O75340_PDCD6.pdf")</f>
        <v>Melting_Curves/meltCurve_O75340_PDCD6.pdf</v>
      </c>
    </row>
    <row r="1229" spans="1:28" x14ac:dyDescent="0.25">
      <c r="A1229" t="s">
        <v>1233</v>
      </c>
      <c r="B1229">
        <v>0.99987803227770999</v>
      </c>
      <c r="C1229">
        <v>0.805540872472851</v>
      </c>
      <c r="D1229">
        <v>0.97086649361469102</v>
      </c>
      <c r="E1229">
        <v>0.84872892525881904</v>
      </c>
      <c r="F1229">
        <v>1.1321925389280101</v>
      </c>
      <c r="G1229">
        <v>0.82966496681671598</v>
      </c>
      <c r="H1229">
        <v>1.0034859693646401</v>
      </c>
      <c r="I1229">
        <v>0.94972805454638198</v>
      </c>
      <c r="J1229">
        <v>1.10940327530417</v>
      </c>
      <c r="K1229">
        <v>0.92877610301396296</v>
      </c>
      <c r="L1229">
        <v>53.166768758063</v>
      </c>
      <c r="M1229">
        <v>18.533210750698402</v>
      </c>
      <c r="Q1229">
        <v>0.95782652350380904</v>
      </c>
      <c r="R1229">
        <v>-8.7936902204432995E-10</v>
      </c>
      <c r="S1229" t="s">
        <v>7540</v>
      </c>
      <c r="T1229" t="s">
        <v>12620</v>
      </c>
      <c r="U1229" t="s">
        <v>12620</v>
      </c>
      <c r="V1229" t="s">
        <v>12620</v>
      </c>
      <c r="W1229" t="s">
        <v>13818</v>
      </c>
      <c r="X1229">
        <v>17</v>
      </c>
      <c r="Y1229" t="s">
        <v>20047</v>
      </c>
      <c r="Z1229" t="s">
        <v>26176</v>
      </c>
      <c r="AA1229">
        <v>0.95782652453330386</v>
      </c>
      <c r="AB1229" t="str">
        <f>HYPERLINK("Melting_Curves/meltCurve_O75347_TBCA.pdf", "Melting_Curves/meltCurve_O75347_TBCA.pdf")</f>
        <v>Melting_Curves/meltCurve_O75347_TBCA.pdf</v>
      </c>
    </row>
    <row r="1230" spans="1:28" x14ac:dyDescent="0.25">
      <c r="A1230" t="s">
        <v>1234</v>
      </c>
      <c r="B1230">
        <v>0.99987803227770999</v>
      </c>
      <c r="C1230">
        <v>0.93067703607252905</v>
      </c>
      <c r="D1230">
        <v>0.90501470588933797</v>
      </c>
      <c r="E1230">
        <v>0.97615316454091305</v>
      </c>
      <c r="F1230">
        <v>0.83793585681157301</v>
      </c>
      <c r="G1230">
        <v>0.60069206693743304</v>
      </c>
      <c r="H1230">
        <v>0.51369489352223097</v>
      </c>
      <c r="I1230">
        <v>0.50141557664884595</v>
      </c>
      <c r="J1230">
        <v>0.43783643497289199</v>
      </c>
      <c r="K1230">
        <v>0.37903737936533399</v>
      </c>
      <c r="L1230">
        <v>970.50772626107698</v>
      </c>
      <c r="M1230">
        <v>17.4250802410718</v>
      </c>
      <c r="N1230">
        <v>61.355188941135999</v>
      </c>
      <c r="O1230">
        <v>54.978017296441301</v>
      </c>
      <c r="P1230">
        <v>-4.7562184898890199E-2</v>
      </c>
      <c r="Q1230">
        <v>0.39977831299055899</v>
      </c>
      <c r="R1230">
        <v>0.96556602635810795</v>
      </c>
      <c r="S1230" t="s">
        <v>7541</v>
      </c>
      <c r="T1230" t="s">
        <v>12620</v>
      </c>
      <c r="U1230" t="s">
        <v>12620</v>
      </c>
      <c r="V1230" t="s">
        <v>12620</v>
      </c>
      <c r="W1230" t="s">
        <v>13819</v>
      </c>
      <c r="X1230">
        <v>8</v>
      </c>
      <c r="Y1230" t="s">
        <v>20048</v>
      </c>
      <c r="Z1230" t="s">
        <v>26177</v>
      </c>
      <c r="AA1230">
        <v>0.72316771122302248</v>
      </c>
      <c r="AB1230" t="str">
        <f>HYPERLINK("Melting_Curves/meltCurve_O75348_ATP6V1G1.pdf", "Melting_Curves/meltCurve_O75348_ATP6V1G1.pdf")</f>
        <v>Melting_Curves/meltCurve_O75348_ATP6V1G1.pdf</v>
      </c>
    </row>
    <row r="1231" spans="1:28" x14ac:dyDescent="0.25">
      <c r="A1231" t="s">
        <v>1235</v>
      </c>
      <c r="B1231">
        <v>0.99987803227770999</v>
      </c>
      <c r="C1231">
        <v>0.83761918135239499</v>
      </c>
      <c r="D1231">
        <v>0.87775031501846701</v>
      </c>
      <c r="E1231">
        <v>0.41032428893071499</v>
      </c>
      <c r="F1231">
        <v>0.218605809726405</v>
      </c>
      <c r="G1231">
        <v>0.14187878925660599</v>
      </c>
      <c r="H1231">
        <v>0.123823108418796</v>
      </c>
      <c r="I1231">
        <v>0.12945751682283901</v>
      </c>
      <c r="J1231">
        <v>8.1275511410734205E-2</v>
      </c>
      <c r="K1231">
        <v>5.4532584549766103E-2</v>
      </c>
      <c r="L1231">
        <v>1075.65390856673</v>
      </c>
      <c r="M1231">
        <v>22.030276209501999</v>
      </c>
      <c r="N1231">
        <v>49.281294112926702</v>
      </c>
      <c r="O1231">
        <v>48.429207289078398</v>
      </c>
      <c r="P1231">
        <v>-0.10325846563564001</v>
      </c>
      <c r="Q1231">
        <v>9.2047122872700504E-2</v>
      </c>
      <c r="R1231">
        <v>0.98184040891602398</v>
      </c>
      <c r="S1231" t="s">
        <v>7542</v>
      </c>
      <c r="T1231" t="s">
        <v>12620</v>
      </c>
      <c r="U1231" t="s">
        <v>12620</v>
      </c>
      <c r="V1231" t="s">
        <v>12620</v>
      </c>
      <c r="W1231" t="s">
        <v>13820</v>
      </c>
      <c r="X1231">
        <v>16</v>
      </c>
      <c r="Y1231" t="s">
        <v>20049</v>
      </c>
      <c r="Z1231" t="s">
        <v>26178</v>
      </c>
      <c r="AA1231">
        <v>0.3696137985297055</v>
      </c>
      <c r="AB1231" t="str">
        <f>HYPERLINK("Melting_Curves/meltCurve_O75351_VPS4B.pdf", "Melting_Curves/meltCurve_O75351_VPS4B.pdf")</f>
        <v>Melting_Curves/meltCurve_O75351_VPS4B.pdf</v>
      </c>
    </row>
    <row r="1232" spans="1:28" x14ac:dyDescent="0.25">
      <c r="A1232" t="s">
        <v>1236</v>
      </c>
      <c r="B1232">
        <v>0.99987803227770999</v>
      </c>
      <c r="C1232">
        <v>0.94890010414644999</v>
      </c>
      <c r="D1232">
        <v>0.96089128896930998</v>
      </c>
      <c r="E1232">
        <v>0.87510036794328605</v>
      </c>
      <c r="F1232">
        <v>0.80408512983520697</v>
      </c>
      <c r="G1232">
        <v>0.608747739242256</v>
      </c>
      <c r="H1232">
        <v>0.51700216739381399</v>
      </c>
      <c r="I1232">
        <v>0.47693372824263602</v>
      </c>
      <c r="J1232">
        <v>0.43191655671228302</v>
      </c>
      <c r="K1232">
        <v>0.35900885633721202</v>
      </c>
      <c r="L1232">
        <v>645.52331583631997</v>
      </c>
      <c r="M1232">
        <v>11.423616280963399</v>
      </c>
      <c r="N1232">
        <v>61.866826566529902</v>
      </c>
      <c r="O1232">
        <v>54.859328555859697</v>
      </c>
      <c r="P1232">
        <v>-3.5716154952749699E-2</v>
      </c>
      <c r="Q1232">
        <v>0.31412514510738798</v>
      </c>
      <c r="R1232">
        <v>0.99244839398693696</v>
      </c>
      <c r="S1232" t="s">
        <v>7543</v>
      </c>
      <c r="T1232" t="s">
        <v>12620</v>
      </c>
      <c r="U1232" t="s">
        <v>12620</v>
      </c>
      <c r="V1232" t="s">
        <v>12620</v>
      </c>
      <c r="W1232" t="s">
        <v>13821</v>
      </c>
      <c r="X1232">
        <v>11</v>
      </c>
      <c r="Y1232" t="s">
        <v>20050</v>
      </c>
      <c r="Z1232" t="s">
        <v>26179</v>
      </c>
      <c r="AA1232">
        <v>0.70440615095142933</v>
      </c>
      <c r="AB1232" t="str">
        <f>HYPERLINK("Melting_Curves/meltCurve_O75362_ZNF217.pdf", "Melting_Curves/meltCurve_O75362_ZNF217.pdf")</f>
        <v>Melting_Curves/meltCurve_O75362_ZNF217.pdf</v>
      </c>
    </row>
    <row r="1233" spans="1:28" x14ac:dyDescent="0.25">
      <c r="A1233" t="s">
        <v>1237</v>
      </c>
      <c r="B1233">
        <v>0.99987803227770999</v>
      </c>
      <c r="C1233">
        <v>0.83293894457082296</v>
      </c>
      <c r="D1233">
        <v>1.05600587259126</v>
      </c>
      <c r="E1233">
        <v>0.88079419209006904</v>
      </c>
      <c r="F1233">
        <v>1.18796084174674</v>
      </c>
      <c r="G1233">
        <v>0.86490242334045797</v>
      </c>
      <c r="H1233">
        <v>0.425903026307554</v>
      </c>
      <c r="I1233">
        <v>0.12015015581895901</v>
      </c>
      <c r="J1233">
        <v>3.5607480888282202E-2</v>
      </c>
      <c r="K1233">
        <v>2.2074331782826299E-2</v>
      </c>
      <c r="L1233">
        <v>2176.77090502806</v>
      </c>
      <c r="M1233">
        <v>36.0495937796288</v>
      </c>
      <c r="N1233">
        <v>60.420796177509096</v>
      </c>
      <c r="O1233">
        <v>60.197763121591898</v>
      </c>
      <c r="P1233">
        <v>-0.14803024319131899</v>
      </c>
      <c r="Q1233">
        <v>1.1244065864602699E-2</v>
      </c>
      <c r="R1233">
        <v>0.953619778465571</v>
      </c>
      <c r="S1233" t="s">
        <v>7544</v>
      </c>
      <c r="T1233" t="s">
        <v>12620</v>
      </c>
      <c r="U1233" t="s">
        <v>12620</v>
      </c>
      <c r="V1233" t="s">
        <v>12620</v>
      </c>
      <c r="W1233" t="s">
        <v>13822</v>
      </c>
      <c r="X1233">
        <v>5</v>
      </c>
      <c r="Y1233" t="s">
        <v>20051</v>
      </c>
      <c r="Z1233" t="s">
        <v>26180</v>
      </c>
      <c r="AA1233">
        <v>0.68756043178580128</v>
      </c>
      <c r="AB1233" t="str">
        <f>HYPERLINK("Melting_Curves/meltCurve_O75367_2_H2AFY.pdf", "Melting_Curves/meltCurve_O75367_2_H2AFY.pdf")</f>
        <v>Melting_Curves/meltCurve_O75367_2_H2AFY.pdf</v>
      </c>
    </row>
    <row r="1234" spans="1:28" x14ac:dyDescent="0.25">
      <c r="A1234" t="s">
        <v>1238</v>
      </c>
      <c r="B1234">
        <v>0.99987803227770999</v>
      </c>
      <c r="C1234">
        <v>0.78569477851444403</v>
      </c>
      <c r="D1234">
        <v>1.02866335875224</v>
      </c>
      <c r="E1234">
        <v>0.85399881121449295</v>
      </c>
      <c r="F1234">
        <v>1.1514924144788199</v>
      </c>
      <c r="G1234">
        <v>1.0305967462469201</v>
      </c>
      <c r="H1234">
        <v>0.94450215693412298</v>
      </c>
      <c r="I1234">
        <v>0.95452025122530504</v>
      </c>
      <c r="J1234">
        <v>0.86005025371866395</v>
      </c>
      <c r="K1234">
        <v>0.70943620586492995</v>
      </c>
      <c r="L1234">
        <v>1442.3896398356701</v>
      </c>
      <c r="M1234">
        <v>19.7116751020436</v>
      </c>
      <c r="Q1234">
        <v>0</v>
      </c>
      <c r="R1234">
        <v>0.39400597604718401</v>
      </c>
      <c r="S1234" t="s">
        <v>7545</v>
      </c>
      <c r="T1234" t="s">
        <v>12620</v>
      </c>
      <c r="U1234" t="s">
        <v>12620</v>
      </c>
      <c r="V1234" t="s">
        <v>12620</v>
      </c>
      <c r="W1234" t="s">
        <v>13823</v>
      </c>
      <c r="X1234">
        <v>13</v>
      </c>
      <c r="Y1234" t="s">
        <v>20052</v>
      </c>
      <c r="Z1234" t="s">
        <v>26181</v>
      </c>
      <c r="AA1234">
        <v>0.96474825352983673</v>
      </c>
      <c r="AB1234" t="str">
        <f>HYPERLINK("Melting_Curves/meltCurve_O75368_SH3BGRL.pdf", "Melting_Curves/meltCurve_O75368_SH3BGRL.pdf")</f>
        <v>Melting_Curves/meltCurve_O75368_SH3BGRL.pdf</v>
      </c>
    </row>
    <row r="1235" spans="1:28" x14ac:dyDescent="0.25">
      <c r="A1235" t="s">
        <v>1239</v>
      </c>
      <c r="B1235">
        <v>0.99987803227770999</v>
      </c>
      <c r="C1235">
        <v>1.22250747831762</v>
      </c>
      <c r="D1235">
        <v>0.92048061568204398</v>
      </c>
      <c r="E1235">
        <v>1.3902037230300499</v>
      </c>
      <c r="F1235">
        <v>0.81574490903614605</v>
      </c>
      <c r="G1235">
        <v>0.53412319198254699</v>
      </c>
      <c r="H1235">
        <v>0.27189730754400199</v>
      </c>
      <c r="I1235">
        <v>0.183488101194938</v>
      </c>
      <c r="J1235">
        <v>0.15026767846647901</v>
      </c>
      <c r="K1235">
        <v>8.6125683533204198E-2</v>
      </c>
      <c r="L1235">
        <v>1683.02336110752</v>
      </c>
      <c r="M1235">
        <v>29.6315996048864</v>
      </c>
      <c r="N1235">
        <v>57.403528417192497</v>
      </c>
      <c r="O1235">
        <v>56.541457651696703</v>
      </c>
      <c r="P1235">
        <v>-0.113439006014459</v>
      </c>
      <c r="Q1235">
        <v>0.13417258859957701</v>
      </c>
      <c r="R1235">
        <v>0.88574270548871803</v>
      </c>
      <c r="S1235" t="s">
        <v>7546</v>
      </c>
      <c r="T1235" t="s">
        <v>12620</v>
      </c>
      <c r="U1235" t="s">
        <v>12620</v>
      </c>
      <c r="V1235" t="s">
        <v>12620</v>
      </c>
      <c r="W1235" t="s">
        <v>13824</v>
      </c>
      <c r="X1235">
        <v>186</v>
      </c>
      <c r="Y1235" t="s">
        <v>20053</v>
      </c>
      <c r="Z1235" t="s">
        <v>26182</v>
      </c>
      <c r="AA1235">
        <v>0.6248844427379171</v>
      </c>
      <c r="AB1235" t="str">
        <f>HYPERLINK("Melting_Curves/meltCurve_O75369_8_FLNB.pdf", "Melting_Curves/meltCurve_O75369_8_FLNB.pdf")</f>
        <v>Melting_Curves/meltCurve_O75369_8_FLNB.pdf</v>
      </c>
    </row>
    <row r="1236" spans="1:28" x14ac:dyDescent="0.25">
      <c r="A1236" t="s">
        <v>1240</v>
      </c>
      <c r="B1236">
        <v>0.99987803227770999</v>
      </c>
      <c r="C1236">
        <v>0.93053198594605802</v>
      </c>
      <c r="D1236">
        <v>1.02128699255154</v>
      </c>
      <c r="E1236">
        <v>0.95978487021251602</v>
      </c>
      <c r="F1236">
        <v>1.0139259374237399</v>
      </c>
      <c r="G1236">
        <v>0.920750582230493</v>
      </c>
      <c r="H1236">
        <v>0.87737936676448602</v>
      </c>
      <c r="I1236">
        <v>0.81848340984925305</v>
      </c>
      <c r="J1236">
        <v>0.80126503258315995</v>
      </c>
      <c r="K1236">
        <v>0.67267276223290895</v>
      </c>
      <c r="L1236">
        <v>589.982046492412</v>
      </c>
      <c r="M1236">
        <v>7.62617122356595</v>
      </c>
      <c r="Q1236">
        <v>0</v>
      </c>
      <c r="R1236">
        <v>0.91090710814695197</v>
      </c>
      <c r="S1236" t="s">
        <v>7547</v>
      </c>
      <c r="T1236" t="s">
        <v>12620</v>
      </c>
      <c r="U1236" t="s">
        <v>12620</v>
      </c>
      <c r="V1236" t="s">
        <v>12620</v>
      </c>
      <c r="W1236" t="s">
        <v>12724</v>
      </c>
      <c r="X1236">
        <v>42</v>
      </c>
      <c r="Y1236" t="s">
        <v>18970</v>
      </c>
      <c r="Z1236" t="s">
        <v>26183</v>
      </c>
      <c r="AA1236">
        <v>0.91733499500130733</v>
      </c>
      <c r="AB1236" t="str">
        <f>HYPERLINK("Melting_Curves/meltCurve_O75376_NCOR1.pdf", "Melting_Curves/meltCurve_O75376_NCOR1.pdf")</f>
        <v>Melting_Curves/meltCurve_O75376_NCOR1.pdf</v>
      </c>
    </row>
    <row r="1237" spans="1:28" x14ac:dyDescent="0.25">
      <c r="A1237" t="s">
        <v>1241</v>
      </c>
      <c r="B1237">
        <v>0.99987803227770999</v>
      </c>
      <c r="C1237">
        <v>0.88104260186589101</v>
      </c>
      <c r="D1237">
        <v>1.0221306407530799</v>
      </c>
      <c r="E1237">
        <v>0.85264270642235795</v>
      </c>
      <c r="F1237">
        <v>0.94988888247419201</v>
      </c>
      <c r="G1237">
        <v>0.77188219081017895</v>
      </c>
      <c r="H1237">
        <v>0.81251291438731998</v>
      </c>
      <c r="I1237">
        <v>0.76740428813716699</v>
      </c>
      <c r="J1237">
        <v>0.87719467882473401</v>
      </c>
      <c r="K1237">
        <v>0.72558274617603902</v>
      </c>
      <c r="L1237">
        <v>408.34124702812397</v>
      </c>
      <c r="M1237">
        <v>7.6137593831756298</v>
      </c>
      <c r="O1237">
        <v>50.307476389647199</v>
      </c>
      <c r="P1237">
        <v>-1.0010431828045001E-2</v>
      </c>
      <c r="Q1237">
        <v>0.735785886012984</v>
      </c>
      <c r="R1237">
        <v>0.57437166514020199</v>
      </c>
      <c r="S1237" t="s">
        <v>7548</v>
      </c>
      <c r="T1237" t="s">
        <v>12620</v>
      </c>
      <c r="U1237" t="s">
        <v>12620</v>
      </c>
      <c r="V1237" t="s">
        <v>12620</v>
      </c>
      <c r="W1237" t="s">
        <v>13825</v>
      </c>
      <c r="X1237">
        <v>7</v>
      </c>
      <c r="Y1237" t="s">
        <v>20054</v>
      </c>
      <c r="Z1237" t="s">
        <v>26184</v>
      </c>
      <c r="AA1237">
        <v>0.86574731466235511</v>
      </c>
      <c r="AB1237" t="str">
        <f>HYPERLINK("Melting_Curves/meltCurve_O75380_NDUFS6.pdf", "Melting_Curves/meltCurve_O75380_NDUFS6.pdf")</f>
        <v>Melting_Curves/meltCurve_O75380_NDUFS6.pdf</v>
      </c>
    </row>
    <row r="1238" spans="1:28" x14ac:dyDescent="0.25">
      <c r="A1238" t="s">
        <v>1242</v>
      </c>
      <c r="B1238">
        <v>0.99987803227770999</v>
      </c>
      <c r="C1238">
        <v>1.0719268113595299</v>
      </c>
      <c r="D1238">
        <v>0.99207782318798499</v>
      </c>
      <c r="E1238">
        <v>0.86222977438060999</v>
      </c>
      <c r="F1238">
        <v>0.69755480153772798</v>
      </c>
      <c r="G1238">
        <v>0.58012320506384596</v>
      </c>
      <c r="H1238">
        <v>0.41634430399641298</v>
      </c>
      <c r="I1238">
        <v>0.41420826570702202</v>
      </c>
      <c r="J1238">
        <v>0.28100852153945699</v>
      </c>
      <c r="K1238">
        <v>0.24244690627225701</v>
      </c>
      <c r="L1238">
        <v>703.95044813504501</v>
      </c>
      <c r="M1238">
        <v>12.5245556736119</v>
      </c>
      <c r="N1238">
        <v>58.7230991601973</v>
      </c>
      <c r="O1238">
        <v>54.830485499756499</v>
      </c>
      <c r="P1238">
        <v>-4.5252430403892298E-2</v>
      </c>
      <c r="Q1238">
        <v>0.20773059477304501</v>
      </c>
      <c r="R1238">
        <v>0.98051254462320203</v>
      </c>
      <c r="S1238" t="s">
        <v>7549</v>
      </c>
      <c r="T1238" t="s">
        <v>12620</v>
      </c>
      <c r="U1238" t="s">
        <v>12620</v>
      </c>
      <c r="V1238" t="s">
        <v>12620</v>
      </c>
      <c r="W1238" t="s">
        <v>13826</v>
      </c>
      <c r="X1238">
        <v>2</v>
      </c>
      <c r="Y1238" t="s">
        <v>20055</v>
      </c>
      <c r="Z1238" t="s">
        <v>26185</v>
      </c>
      <c r="AA1238">
        <v>0.65106881593050714</v>
      </c>
      <c r="AB1238" t="str">
        <f>HYPERLINK("Melting_Curves/meltCurve_O75385_ULK1.pdf", "Melting_Curves/meltCurve_O75385_ULK1.pdf")</f>
        <v>Melting_Curves/meltCurve_O75385_ULK1.pdf</v>
      </c>
    </row>
    <row r="1239" spans="1:28" x14ac:dyDescent="0.25">
      <c r="A1239" t="s">
        <v>1243</v>
      </c>
      <c r="B1239">
        <v>0.99987803227770999</v>
      </c>
      <c r="C1239">
        <v>0.84016069946948202</v>
      </c>
      <c r="D1239">
        <v>1.0214809403760501</v>
      </c>
      <c r="E1239">
        <v>0.87281741179643002</v>
      </c>
      <c r="F1239">
        <v>1.0825460137571601</v>
      </c>
      <c r="G1239">
        <v>0.87564984692024606</v>
      </c>
      <c r="H1239">
        <v>0.88715551005392301</v>
      </c>
      <c r="I1239">
        <v>0.88164007383836696</v>
      </c>
      <c r="J1239">
        <v>0.85425820266236996</v>
      </c>
      <c r="K1239">
        <v>0.72890752604956299</v>
      </c>
      <c r="L1239">
        <v>391.12206443383201</v>
      </c>
      <c r="M1239">
        <v>4.3500901610804004</v>
      </c>
      <c r="Q1239">
        <v>0</v>
      </c>
      <c r="R1239">
        <v>0.39628848282868501</v>
      </c>
      <c r="S1239" t="s">
        <v>7550</v>
      </c>
      <c r="T1239" t="s">
        <v>12620</v>
      </c>
      <c r="U1239" t="s">
        <v>12620</v>
      </c>
      <c r="V1239" t="s">
        <v>12620</v>
      </c>
      <c r="W1239" t="s">
        <v>13346</v>
      </c>
      <c r="X1239">
        <v>19</v>
      </c>
      <c r="Y1239" t="s">
        <v>19589</v>
      </c>
      <c r="Z1239" t="s">
        <v>26186</v>
      </c>
      <c r="AA1239">
        <v>0.92115179385195289</v>
      </c>
      <c r="AB1239" t="str">
        <f>HYPERLINK("Melting_Curves/meltCurve_O75391_SPAG7.pdf", "Melting_Curves/meltCurve_O75391_SPAG7.pdf")</f>
        <v>Melting_Curves/meltCurve_O75391_SPAG7.pdf</v>
      </c>
    </row>
    <row r="1240" spans="1:28" x14ac:dyDescent="0.25">
      <c r="A1240" t="s">
        <v>1244</v>
      </c>
      <c r="B1240">
        <v>0.99987803227770999</v>
      </c>
      <c r="C1240">
        <v>0.73623868435471596</v>
      </c>
      <c r="D1240">
        <v>0.94863054393603696</v>
      </c>
      <c r="E1240">
        <v>0.83570747522872202</v>
      </c>
      <c r="F1240">
        <v>1.14905231458171</v>
      </c>
      <c r="G1240">
        <v>0.85642216930027604</v>
      </c>
      <c r="H1240">
        <v>0.44538548302078701</v>
      </c>
      <c r="I1240">
        <v>0.15466500026424301</v>
      </c>
      <c r="J1240">
        <v>7.4187892996190996E-2</v>
      </c>
      <c r="K1240">
        <v>4.6047471590479901E-2</v>
      </c>
      <c r="L1240">
        <v>2036.0420998892901</v>
      </c>
      <c r="M1240">
        <v>33.727307617020301</v>
      </c>
      <c r="N1240">
        <v>60.508865165332999</v>
      </c>
      <c r="O1240">
        <v>60.1567322920015</v>
      </c>
      <c r="P1240">
        <v>-0.13486411826875899</v>
      </c>
      <c r="Q1240">
        <v>3.7818233601620697E-2</v>
      </c>
      <c r="R1240">
        <v>0.91804268920632703</v>
      </c>
      <c r="S1240" t="s">
        <v>7551</v>
      </c>
      <c r="T1240" t="s">
        <v>12620</v>
      </c>
      <c r="U1240" t="s">
        <v>12620</v>
      </c>
      <c r="V1240" t="s">
        <v>12620</v>
      </c>
      <c r="W1240" t="s">
        <v>13827</v>
      </c>
      <c r="X1240">
        <v>4</v>
      </c>
      <c r="Y1240" t="s">
        <v>20056</v>
      </c>
      <c r="Z1240" t="s">
        <v>26187</v>
      </c>
      <c r="AA1240">
        <v>0.69593908234274837</v>
      </c>
      <c r="AB1240" t="str">
        <f>HYPERLINK("Melting_Curves/meltCurve_O75396_SEC22B.pdf", "Melting_Curves/meltCurve_O75396_SEC22B.pdf")</f>
        <v>Melting_Curves/meltCurve_O75396_SEC22B.pdf</v>
      </c>
    </row>
    <row r="1241" spans="1:28" x14ac:dyDescent="0.25">
      <c r="A1241" t="s">
        <v>1245</v>
      </c>
      <c r="B1241">
        <v>0.99987803227770999</v>
      </c>
      <c r="C1241">
        <v>0.93575083015290095</v>
      </c>
      <c r="D1241">
        <v>1.0151184444030701</v>
      </c>
      <c r="E1241">
        <v>0.90315335340302105</v>
      </c>
      <c r="F1241">
        <v>0.63574330041774396</v>
      </c>
      <c r="G1241">
        <v>0.51946443303710199</v>
      </c>
      <c r="H1241">
        <v>0.37209601254511399</v>
      </c>
      <c r="I1241">
        <v>0.29893037462955502</v>
      </c>
      <c r="J1241">
        <v>0.34419180860870202</v>
      </c>
      <c r="K1241">
        <v>0.31982002505513002</v>
      </c>
      <c r="L1241">
        <v>1076.7802178919801</v>
      </c>
      <c r="M1241">
        <v>20.1077619382067</v>
      </c>
      <c r="N1241">
        <v>56.330372153185301</v>
      </c>
      <c r="O1241">
        <v>53.029248154948498</v>
      </c>
      <c r="P1241">
        <v>-6.4971055623133295E-2</v>
      </c>
      <c r="Q1241">
        <v>0.31464123262024601</v>
      </c>
      <c r="R1241">
        <v>0.98296673625640896</v>
      </c>
      <c r="S1241" t="s">
        <v>7552</v>
      </c>
      <c r="T1241" t="s">
        <v>12620</v>
      </c>
      <c r="U1241" t="s">
        <v>12620</v>
      </c>
      <c r="V1241" t="s">
        <v>12620</v>
      </c>
      <c r="W1241" t="s">
        <v>13828</v>
      </c>
      <c r="X1241">
        <v>10</v>
      </c>
      <c r="Y1241" t="s">
        <v>20057</v>
      </c>
      <c r="Z1241" t="s">
        <v>26188</v>
      </c>
      <c r="AA1241">
        <v>0.63349581742506667</v>
      </c>
      <c r="AB1241" t="str">
        <f>HYPERLINK("Melting_Curves/meltCurve_O75400_2_PRPF40A.pdf", "Melting_Curves/meltCurve_O75400_2_PRPF40A.pdf")</f>
        <v>Melting_Curves/meltCurve_O75400_2_PRPF40A.pdf</v>
      </c>
    </row>
    <row r="1242" spans="1:28" x14ac:dyDescent="0.25">
      <c r="A1242" t="s">
        <v>1246</v>
      </c>
      <c r="B1242">
        <v>0.99987803227770999</v>
      </c>
      <c r="C1242">
        <v>0.92634851271604302</v>
      </c>
      <c r="D1242">
        <v>1.04373289719631</v>
      </c>
      <c r="E1242">
        <v>0.95362600444503298</v>
      </c>
      <c r="F1242">
        <v>1.1180677526945899</v>
      </c>
      <c r="G1242">
        <v>0.97103775277718596</v>
      </c>
      <c r="H1242">
        <v>1.00647626288708</v>
      </c>
      <c r="I1242">
        <v>0.99472887697049495</v>
      </c>
      <c r="J1242">
        <v>0.92052822838173898</v>
      </c>
      <c r="K1242">
        <v>0.74565919286780102</v>
      </c>
      <c r="L1242">
        <v>4436.6350058858397</v>
      </c>
      <c r="M1242">
        <v>65.222776190720595</v>
      </c>
      <c r="O1242">
        <v>67.958926211508796</v>
      </c>
      <c r="P1242">
        <v>-7.0694460768072606E-2</v>
      </c>
      <c r="Q1242">
        <v>0.70535947799599696</v>
      </c>
      <c r="R1242">
        <v>0.71434989510644198</v>
      </c>
      <c r="S1242" t="s">
        <v>7553</v>
      </c>
      <c r="T1242" t="s">
        <v>12620</v>
      </c>
      <c r="U1242" t="s">
        <v>12620</v>
      </c>
      <c r="V1242" t="s">
        <v>12620</v>
      </c>
      <c r="W1242" t="s">
        <v>13829</v>
      </c>
      <c r="X1242">
        <v>29</v>
      </c>
      <c r="Y1242" t="s">
        <v>20058</v>
      </c>
      <c r="Z1242" t="s">
        <v>26189</v>
      </c>
      <c r="AA1242">
        <v>0.97944904501628904</v>
      </c>
      <c r="AB1242" t="str">
        <f>HYPERLINK("Melting_Curves/meltCurve_O75410_7_TACC1.pdf", "Melting_Curves/meltCurve_O75410_7_TACC1.pdf")</f>
        <v>Melting_Curves/meltCurve_O75410_7_TACC1.pdf</v>
      </c>
    </row>
    <row r="1243" spans="1:28" x14ac:dyDescent="0.25">
      <c r="A1243" t="s">
        <v>1247</v>
      </c>
      <c r="B1243">
        <v>0.99987803227770999</v>
      </c>
      <c r="C1243">
        <v>0.94371698531745896</v>
      </c>
      <c r="D1243">
        <v>0.64219779512999597</v>
      </c>
      <c r="E1243">
        <v>0.36959417943926298</v>
      </c>
      <c r="F1243">
        <v>0.28652866095330298</v>
      </c>
      <c r="G1243">
        <v>0.196628691673711</v>
      </c>
      <c r="H1243">
        <v>0.15163103711109199</v>
      </c>
      <c r="I1243">
        <v>0.117309818526493</v>
      </c>
      <c r="J1243">
        <v>0.101361692791267</v>
      </c>
      <c r="K1243">
        <v>7.3792793019577196E-2</v>
      </c>
      <c r="L1243">
        <v>808.489429134234</v>
      </c>
      <c r="M1243">
        <v>16.954152178633102</v>
      </c>
      <c r="N1243">
        <v>48.401888447800999</v>
      </c>
      <c r="O1243">
        <v>47.038201816492503</v>
      </c>
      <c r="P1243">
        <v>-8.0130736928152896E-2</v>
      </c>
      <c r="Q1243">
        <v>0.11078530457331801</v>
      </c>
      <c r="R1243">
        <v>0.98891782449182997</v>
      </c>
      <c r="S1243" t="s">
        <v>7554</v>
      </c>
      <c r="T1243" t="s">
        <v>12620</v>
      </c>
      <c r="U1243" t="s">
        <v>12620</v>
      </c>
      <c r="V1243" t="s">
        <v>12620</v>
      </c>
      <c r="W1243" t="s">
        <v>13830</v>
      </c>
      <c r="X1243">
        <v>3</v>
      </c>
      <c r="Y1243" t="s">
        <v>20059</v>
      </c>
      <c r="Z1243" t="s">
        <v>26190</v>
      </c>
      <c r="AA1243">
        <v>0.35670476973700971</v>
      </c>
      <c r="AB1243" t="str">
        <f>HYPERLINK("Melting_Curves/meltCurve_O75419_2_CDC45.pdf", "Melting_Curves/meltCurve_O75419_2_CDC45.pdf")</f>
        <v>Melting_Curves/meltCurve_O75419_2_CDC45.pdf</v>
      </c>
    </row>
    <row r="1244" spans="1:28" x14ac:dyDescent="0.25">
      <c r="A1244" t="s">
        <v>1248</v>
      </c>
      <c r="B1244">
        <v>0.99987803227770999</v>
      </c>
      <c r="C1244">
        <v>0.94118862553853799</v>
      </c>
      <c r="D1244">
        <v>0.96233661735763998</v>
      </c>
      <c r="E1244">
        <v>0.93911288931628201</v>
      </c>
      <c r="F1244">
        <v>1.0268850671410701</v>
      </c>
      <c r="G1244">
        <v>0.90787500785812802</v>
      </c>
      <c r="H1244">
        <v>0.81341849509689002</v>
      </c>
      <c r="I1244">
        <v>0.85491637641199802</v>
      </c>
      <c r="J1244">
        <v>0.65629044012899596</v>
      </c>
      <c r="K1244">
        <v>0.56213168226046495</v>
      </c>
      <c r="L1244">
        <v>718.798746550386</v>
      </c>
      <c r="M1244">
        <v>9.9815696168046699</v>
      </c>
      <c r="O1244">
        <v>69.301121170579805</v>
      </c>
      <c r="P1244">
        <v>-3.6025603402207E-2</v>
      </c>
      <c r="Q1244">
        <v>0</v>
      </c>
      <c r="R1244">
        <v>0.90721494585686202</v>
      </c>
      <c r="S1244" t="s">
        <v>7555</v>
      </c>
      <c r="T1244" t="s">
        <v>12620</v>
      </c>
      <c r="U1244" t="s">
        <v>12620</v>
      </c>
      <c r="V1244" t="s">
        <v>12620</v>
      </c>
      <c r="W1244" t="s">
        <v>13831</v>
      </c>
      <c r="X1244">
        <v>7</v>
      </c>
      <c r="Y1244" t="s">
        <v>20060</v>
      </c>
      <c r="Z1244" t="s">
        <v>26191</v>
      </c>
      <c r="AA1244">
        <v>0.89477575336760407</v>
      </c>
      <c r="AB1244" t="str">
        <f>HYPERLINK("Melting_Curves/meltCurve_O75420_GIGYF1.pdf", "Melting_Curves/meltCurve_O75420_GIGYF1.pdf")</f>
        <v>Melting_Curves/meltCurve_O75420_GIGYF1.pdf</v>
      </c>
    </row>
    <row r="1245" spans="1:28" x14ac:dyDescent="0.25">
      <c r="A1245" t="s">
        <v>1249</v>
      </c>
      <c r="B1245">
        <v>0.99987803227770999</v>
      </c>
      <c r="C1245">
        <v>1.0298123457391</v>
      </c>
      <c r="D1245">
        <v>0.94832936913715704</v>
      </c>
      <c r="E1245">
        <v>1.0782453993785901</v>
      </c>
      <c r="F1245">
        <v>0.94404516008806505</v>
      </c>
      <c r="G1245">
        <v>0.76734354091919399</v>
      </c>
      <c r="H1245">
        <v>0.214413445490171</v>
      </c>
      <c r="I1245">
        <v>0.175982858467257</v>
      </c>
      <c r="J1245">
        <v>0.126252821502673</v>
      </c>
      <c r="K1245">
        <v>9.2213319180974807E-2</v>
      </c>
      <c r="L1245">
        <v>2539.1176225141398</v>
      </c>
      <c r="M1245">
        <v>43.566922965001901</v>
      </c>
      <c r="N1245">
        <v>58.650412987375802</v>
      </c>
      <c r="O1245">
        <v>58.158475150375601</v>
      </c>
      <c r="P1245">
        <v>-0.16479837344954101</v>
      </c>
      <c r="Q1245">
        <v>0.12002906313254599</v>
      </c>
      <c r="R1245">
        <v>0.99121956228053898</v>
      </c>
      <c r="S1245" t="s">
        <v>7556</v>
      </c>
      <c r="T1245" t="s">
        <v>12620</v>
      </c>
      <c r="U1245" t="s">
        <v>12620</v>
      </c>
      <c r="V1245" t="s">
        <v>12620</v>
      </c>
      <c r="W1245" t="s">
        <v>13832</v>
      </c>
      <c r="X1245">
        <v>19</v>
      </c>
      <c r="Y1245" t="s">
        <v>20061</v>
      </c>
      <c r="Z1245" t="s">
        <v>26192</v>
      </c>
      <c r="AA1245">
        <v>0.65919403016935252</v>
      </c>
      <c r="AB1245" t="str">
        <f>HYPERLINK("Melting_Curves/meltCurve_O75436_VPS26A.pdf", "Melting_Curves/meltCurve_O75436_VPS26A.pdf")</f>
        <v>Melting_Curves/meltCurve_O75436_VPS26A.pdf</v>
      </c>
    </row>
    <row r="1246" spans="1:28" x14ac:dyDescent="0.25">
      <c r="A1246" t="s">
        <v>1250</v>
      </c>
      <c r="B1246">
        <v>0.99987803227770999</v>
      </c>
      <c r="C1246">
        <v>0.85155004616282604</v>
      </c>
      <c r="D1246">
        <v>0.52485144631985203</v>
      </c>
      <c r="E1246">
        <v>0.37023004917067898</v>
      </c>
      <c r="F1246">
        <v>0.19197804801017601</v>
      </c>
      <c r="G1246">
        <v>0.13022611187073799</v>
      </c>
      <c r="H1246">
        <v>0.10886938490774301</v>
      </c>
      <c r="I1246">
        <v>8.1963568276885099E-2</v>
      </c>
      <c r="J1246">
        <v>7.2689734497649997E-2</v>
      </c>
      <c r="K1246">
        <v>4.7882665269485002E-2</v>
      </c>
      <c r="L1246">
        <v>741.743220054625</v>
      </c>
      <c r="M1246">
        <v>15.8479435499797</v>
      </c>
      <c r="N1246">
        <v>47.257302354852797</v>
      </c>
      <c r="O1246">
        <v>46.077543042586399</v>
      </c>
      <c r="P1246">
        <v>-7.9925761886533095E-2</v>
      </c>
      <c r="Q1246">
        <v>7.0546197095350205E-2</v>
      </c>
      <c r="R1246">
        <v>0.98728958952771095</v>
      </c>
      <c r="S1246" t="s">
        <v>7557</v>
      </c>
      <c r="T1246" t="s">
        <v>12620</v>
      </c>
      <c r="U1246" t="s">
        <v>12620</v>
      </c>
      <c r="V1246" t="s">
        <v>12620</v>
      </c>
      <c r="W1246" t="s">
        <v>13833</v>
      </c>
      <c r="X1246">
        <v>11</v>
      </c>
      <c r="Y1246" t="s">
        <v>20062</v>
      </c>
      <c r="Z1246" t="s">
        <v>26193</v>
      </c>
      <c r="AA1246">
        <v>0.30413215323565712</v>
      </c>
      <c r="AB1246" t="str">
        <f>HYPERLINK("Melting_Curves/meltCurve_O75439_PMPCB.pdf", "Melting_Curves/meltCurve_O75439_PMPCB.pdf")</f>
        <v>Melting_Curves/meltCurve_O75439_PMPCB.pdf</v>
      </c>
    </row>
    <row r="1247" spans="1:28" x14ac:dyDescent="0.25">
      <c r="A1247" t="s">
        <v>1251</v>
      </c>
      <c r="B1247">
        <v>0.99987803227770999</v>
      </c>
      <c r="C1247">
        <v>1.01667686930926</v>
      </c>
      <c r="D1247">
        <v>0.86065410195568404</v>
      </c>
      <c r="E1247">
        <v>0.58341219061856298</v>
      </c>
      <c r="F1247">
        <v>0.42338325327297299</v>
      </c>
      <c r="G1247">
        <v>0.27063110841827798</v>
      </c>
      <c r="H1247">
        <v>0.17948186894092499</v>
      </c>
      <c r="I1247">
        <v>0.15100273167194</v>
      </c>
      <c r="J1247">
        <v>0.116895973453862</v>
      </c>
      <c r="K1247">
        <v>7.7103959729964797E-2</v>
      </c>
      <c r="L1247">
        <v>789.51936908646201</v>
      </c>
      <c r="M1247">
        <v>15.4850062023334</v>
      </c>
      <c r="N1247">
        <v>51.724898074972899</v>
      </c>
      <c r="O1247">
        <v>50.1584410133907</v>
      </c>
      <c r="P1247">
        <v>-6.9529008670035697E-2</v>
      </c>
      <c r="Q1247">
        <v>9.9217488445604504E-2</v>
      </c>
      <c r="R1247">
        <v>0.99394135758519497</v>
      </c>
      <c r="S1247" t="s">
        <v>7558</v>
      </c>
      <c r="T1247" t="s">
        <v>12620</v>
      </c>
      <c r="U1247" t="s">
        <v>12620</v>
      </c>
      <c r="V1247" t="s">
        <v>12620</v>
      </c>
      <c r="W1247" t="s">
        <v>13834</v>
      </c>
      <c r="X1247">
        <v>7</v>
      </c>
      <c r="Y1247" t="s">
        <v>20063</v>
      </c>
      <c r="Z1247" t="s">
        <v>26194</v>
      </c>
      <c r="AA1247">
        <v>0.44882979392181899</v>
      </c>
      <c r="AB1247" t="str">
        <f>HYPERLINK("Melting_Curves/meltCurve_O75449_KATNA1.pdf", "Melting_Curves/meltCurve_O75449_KATNA1.pdf")</f>
        <v>Melting_Curves/meltCurve_O75449_KATNA1.pdf</v>
      </c>
    </row>
    <row r="1248" spans="1:28" x14ac:dyDescent="0.25">
      <c r="A1248" t="s">
        <v>1252</v>
      </c>
      <c r="B1248">
        <v>0.99987803227770999</v>
      </c>
      <c r="C1248">
        <v>0.84908502533381502</v>
      </c>
      <c r="D1248">
        <v>0.96148871108205602</v>
      </c>
      <c r="E1248">
        <v>0.78311358050374802</v>
      </c>
      <c r="F1248">
        <v>0.87580112354381601</v>
      </c>
      <c r="G1248">
        <v>0.68702133508173102</v>
      </c>
      <c r="H1248">
        <v>0.70665759835637998</v>
      </c>
      <c r="I1248">
        <v>0.622981277510952</v>
      </c>
      <c r="J1248">
        <v>0.66527816586732702</v>
      </c>
      <c r="K1248">
        <v>0.54192665330758505</v>
      </c>
      <c r="L1248">
        <v>273.95958920039402</v>
      </c>
      <c r="M1248">
        <v>4.0555994548863197</v>
      </c>
      <c r="O1248">
        <v>55.697671558873601</v>
      </c>
      <c r="P1248">
        <v>-1.46815859353252E-2</v>
      </c>
      <c r="Q1248">
        <v>0.203276829057602</v>
      </c>
      <c r="R1248">
        <v>0.84978982708802497</v>
      </c>
      <c r="S1248" t="s">
        <v>7559</v>
      </c>
      <c r="T1248" t="s">
        <v>12620</v>
      </c>
      <c r="U1248" t="s">
        <v>12620</v>
      </c>
      <c r="V1248" t="s">
        <v>12620</v>
      </c>
      <c r="W1248" t="s">
        <v>13835</v>
      </c>
      <c r="X1248">
        <v>21</v>
      </c>
      <c r="Y1248" t="s">
        <v>20064</v>
      </c>
      <c r="Z1248" t="s">
        <v>26195</v>
      </c>
      <c r="AA1248">
        <v>0.77110029442297345</v>
      </c>
      <c r="AB1248" t="str">
        <f>HYPERLINK("Melting_Curves/meltCurve_O75475_PSIP1.pdf", "Melting_Curves/meltCurve_O75475_PSIP1.pdf")</f>
        <v>Melting_Curves/meltCurve_O75475_PSIP1.pdf</v>
      </c>
    </row>
    <row r="1249" spans="1:28" x14ac:dyDescent="0.25">
      <c r="A1249" t="s">
        <v>1253</v>
      </c>
      <c r="B1249">
        <v>0.99987803227770999</v>
      </c>
      <c r="C1249">
        <v>1.0176288878322</v>
      </c>
      <c r="D1249">
        <v>1.0406058639282401</v>
      </c>
      <c r="E1249">
        <v>0.94623508361333797</v>
      </c>
      <c r="F1249">
        <v>0.80013011360963904</v>
      </c>
      <c r="G1249">
        <v>0.37086175867400201</v>
      </c>
      <c r="H1249">
        <v>0.17358583836938499</v>
      </c>
      <c r="I1249">
        <v>0.13384524221960201</v>
      </c>
      <c r="J1249">
        <v>0.10993303805886</v>
      </c>
      <c r="K1249">
        <v>6.0525816982793398E-2</v>
      </c>
      <c r="L1249">
        <v>1488.1153430783199</v>
      </c>
      <c r="M1249">
        <v>26.858255053251899</v>
      </c>
      <c r="N1249">
        <v>55.8224379900212</v>
      </c>
      <c r="O1249">
        <v>55.101835256819903</v>
      </c>
      <c r="P1249">
        <v>-0.110801981023341</v>
      </c>
      <c r="Q1249">
        <v>9.0733073491353303E-2</v>
      </c>
      <c r="R1249">
        <v>0.99743771608072296</v>
      </c>
      <c r="S1249" t="s">
        <v>7560</v>
      </c>
      <c r="T1249" t="s">
        <v>12620</v>
      </c>
      <c r="U1249" t="s">
        <v>12620</v>
      </c>
      <c r="V1249" t="s">
        <v>12620</v>
      </c>
      <c r="W1249" t="s">
        <v>13836</v>
      </c>
      <c r="X1249">
        <v>4</v>
      </c>
      <c r="Y1249" t="s">
        <v>20065</v>
      </c>
      <c r="Z1249" t="s">
        <v>26196</v>
      </c>
      <c r="AA1249">
        <v>0.56508355441340929</v>
      </c>
      <c r="AB1249" t="str">
        <f>HYPERLINK("Melting_Curves/meltCurve_O75503_CLN5.pdf", "Melting_Curves/meltCurve_O75503_CLN5.pdf")</f>
        <v>Melting_Curves/meltCurve_O75503_CLN5.pdf</v>
      </c>
    </row>
    <row r="1250" spans="1:28" x14ac:dyDescent="0.25">
      <c r="A1250" t="s">
        <v>1254</v>
      </c>
      <c r="B1250">
        <v>0.99987803227770999</v>
      </c>
      <c r="C1250">
        <v>0.79179710141831405</v>
      </c>
      <c r="D1250">
        <v>1.0092758685744301</v>
      </c>
      <c r="E1250">
        <v>0.876417672034428</v>
      </c>
      <c r="F1250">
        <v>1.22663470952036</v>
      </c>
      <c r="G1250">
        <v>1.24263438455755</v>
      </c>
      <c r="H1250">
        <v>1.0902480161851</v>
      </c>
      <c r="I1250">
        <v>1.126677160514</v>
      </c>
      <c r="J1250">
        <v>0.87181278235642601</v>
      </c>
      <c r="K1250">
        <v>0.65057346562654095</v>
      </c>
      <c r="L1250">
        <v>15000</v>
      </c>
      <c r="M1250">
        <v>223.334545133175</v>
      </c>
      <c r="O1250">
        <v>67.158451305050505</v>
      </c>
      <c r="P1250">
        <v>-0.29053855075971802</v>
      </c>
      <c r="Q1250">
        <v>0.65053122151117104</v>
      </c>
      <c r="R1250">
        <v>0.41538664119726798</v>
      </c>
      <c r="S1250" t="s">
        <v>7561</v>
      </c>
      <c r="T1250" t="s">
        <v>12620</v>
      </c>
      <c r="U1250" t="s">
        <v>12620</v>
      </c>
      <c r="V1250" t="s">
        <v>12620</v>
      </c>
      <c r="W1250" t="s">
        <v>13837</v>
      </c>
      <c r="X1250">
        <v>4</v>
      </c>
      <c r="Y1250" t="s">
        <v>20066</v>
      </c>
      <c r="Z1250" t="s">
        <v>26197</v>
      </c>
      <c r="AA1250">
        <v>0.96701256019028603</v>
      </c>
      <c r="AB1250" t="str">
        <f>HYPERLINK("Melting_Curves/meltCurve_O75506_HSBP1.pdf", "Melting_Curves/meltCurve_O75506_HSBP1.pdf")</f>
        <v>Melting_Curves/meltCurve_O75506_HSBP1.pdf</v>
      </c>
    </row>
    <row r="1251" spans="1:28" x14ac:dyDescent="0.25">
      <c r="A1251" t="s">
        <v>1255</v>
      </c>
      <c r="B1251">
        <v>0.99987803227770999</v>
      </c>
      <c r="C1251">
        <v>0.92838796586752403</v>
      </c>
      <c r="D1251">
        <v>0.96287880839182605</v>
      </c>
      <c r="E1251">
        <v>0.63436082725697496</v>
      </c>
      <c r="F1251">
        <v>0.50029487423198005</v>
      </c>
      <c r="G1251">
        <v>0.271678510707558</v>
      </c>
      <c r="H1251">
        <v>0.186286071548771</v>
      </c>
      <c r="I1251">
        <v>0.159113406684705</v>
      </c>
      <c r="J1251">
        <v>0.13139843443958801</v>
      </c>
      <c r="K1251">
        <v>9.2421736260505094E-2</v>
      </c>
      <c r="L1251">
        <v>824.15866504102098</v>
      </c>
      <c r="M1251">
        <v>15.877800777486099</v>
      </c>
      <c r="N1251">
        <v>52.6620552995427</v>
      </c>
      <c r="O1251">
        <v>51.103917402941697</v>
      </c>
      <c r="P1251">
        <v>-6.9766530298484397E-2</v>
      </c>
      <c r="Q1251">
        <v>0.101876941174497</v>
      </c>
      <c r="R1251">
        <v>0.99199725379065096</v>
      </c>
      <c r="S1251" t="s">
        <v>7562</v>
      </c>
      <c r="T1251" t="s">
        <v>12620</v>
      </c>
      <c r="U1251" t="s">
        <v>12620</v>
      </c>
      <c r="V1251" t="s">
        <v>12620</v>
      </c>
      <c r="W1251" t="s">
        <v>13838</v>
      </c>
      <c r="X1251">
        <v>7</v>
      </c>
      <c r="Y1251" t="s">
        <v>20067</v>
      </c>
      <c r="Z1251" t="s">
        <v>26198</v>
      </c>
      <c r="AA1251">
        <v>0.47674674678068862</v>
      </c>
      <c r="AB1251" t="str">
        <f>HYPERLINK("Melting_Curves/meltCurve_O75521_2_ECI2.pdf", "Melting_Curves/meltCurve_O75521_2_ECI2.pdf")</f>
        <v>Melting_Curves/meltCurve_O75521_2_ECI2.pdf</v>
      </c>
    </row>
    <row r="1252" spans="1:28" x14ac:dyDescent="0.25">
      <c r="A1252" t="s">
        <v>1256</v>
      </c>
      <c r="B1252">
        <v>0.99987803227770999</v>
      </c>
      <c r="C1252">
        <v>0.92449542607391999</v>
      </c>
      <c r="D1252">
        <v>0.97135607960326398</v>
      </c>
      <c r="E1252">
        <v>0.74236395024242297</v>
      </c>
      <c r="F1252">
        <v>0.32975984197606401</v>
      </c>
      <c r="G1252">
        <v>0.16082322136588101</v>
      </c>
      <c r="H1252">
        <v>0.14318620831432499</v>
      </c>
      <c r="I1252">
        <v>0.147087410391847</v>
      </c>
      <c r="J1252">
        <v>9.9399648274215005E-2</v>
      </c>
      <c r="K1252">
        <v>7.5297429917062106E-2</v>
      </c>
      <c r="L1252">
        <v>1695.03645778791</v>
      </c>
      <c r="M1252">
        <v>33.059610322570201</v>
      </c>
      <c r="N1252">
        <v>51.686602918757998</v>
      </c>
      <c r="O1252">
        <v>51.085618907244303</v>
      </c>
      <c r="P1252">
        <v>-0.142947716717025</v>
      </c>
      <c r="Q1252">
        <v>0.116439758287522</v>
      </c>
      <c r="R1252">
        <v>0.99348620881993799</v>
      </c>
      <c r="S1252" t="s">
        <v>7563</v>
      </c>
      <c r="T1252" t="s">
        <v>12620</v>
      </c>
      <c r="U1252" t="s">
        <v>12620</v>
      </c>
      <c r="V1252" t="s">
        <v>12620</v>
      </c>
      <c r="W1252" t="s">
        <v>13839</v>
      </c>
      <c r="X1252">
        <v>9</v>
      </c>
      <c r="Y1252" t="s">
        <v>20068</v>
      </c>
      <c r="Z1252" t="s">
        <v>26199</v>
      </c>
      <c r="AA1252">
        <v>0.45302009092119477</v>
      </c>
      <c r="AB1252" t="str">
        <f>HYPERLINK("Melting_Curves/meltCurve_O75530_3_EED.pdf", "Melting_Curves/meltCurve_O75530_3_EED.pdf")</f>
        <v>Melting_Curves/meltCurve_O75530_3_EED.pdf</v>
      </c>
    </row>
    <row r="1253" spans="1:28" x14ac:dyDescent="0.25">
      <c r="A1253" t="s">
        <v>1257</v>
      </c>
      <c r="B1253">
        <v>0.99987803227770999</v>
      </c>
      <c r="C1253">
        <v>0.71475222051313003</v>
      </c>
      <c r="D1253">
        <v>0.93532686518923402</v>
      </c>
      <c r="E1253">
        <v>0.61223946692387898</v>
      </c>
      <c r="F1253">
        <v>0.51531822650384795</v>
      </c>
      <c r="G1253">
        <v>0.29444859242778898</v>
      </c>
      <c r="H1253">
        <v>0.26296589730914499</v>
      </c>
      <c r="I1253">
        <v>0.216489653348831</v>
      </c>
      <c r="J1253">
        <v>0.246788190051171</v>
      </c>
      <c r="K1253">
        <v>0.21032349388284899</v>
      </c>
      <c r="L1253">
        <v>575.41153211741403</v>
      </c>
      <c r="M1253">
        <v>11.3079678244532</v>
      </c>
      <c r="N1253">
        <v>52.681901770861899</v>
      </c>
      <c r="O1253">
        <v>49.372027775358603</v>
      </c>
      <c r="P1253">
        <v>-4.8113533105536697E-2</v>
      </c>
      <c r="Q1253">
        <v>0.159975787017091</v>
      </c>
      <c r="R1253">
        <v>0.924974614937349</v>
      </c>
      <c r="S1253" t="s">
        <v>7564</v>
      </c>
      <c r="T1253" t="s">
        <v>12620</v>
      </c>
      <c r="U1253" t="s">
        <v>12620</v>
      </c>
      <c r="V1253" t="s">
        <v>12620</v>
      </c>
      <c r="W1253" t="s">
        <v>13840</v>
      </c>
      <c r="X1253">
        <v>9</v>
      </c>
      <c r="Y1253" t="s">
        <v>20069</v>
      </c>
      <c r="Z1253" t="s">
        <v>26200</v>
      </c>
      <c r="AA1253">
        <v>0.49478590865715671</v>
      </c>
      <c r="AB1253" t="str">
        <f>HYPERLINK("Melting_Curves/meltCurve_O75531_BANF1.pdf", "Melting_Curves/meltCurve_O75531_BANF1.pdf")</f>
        <v>Melting_Curves/meltCurve_O75531_BANF1.pdf</v>
      </c>
    </row>
    <row r="1254" spans="1:28" x14ac:dyDescent="0.25">
      <c r="A1254" t="s">
        <v>1258</v>
      </c>
      <c r="B1254">
        <v>0.99987803227770999</v>
      </c>
      <c r="C1254">
        <v>0.88607373765318898</v>
      </c>
      <c r="D1254">
        <v>0.85560963331943196</v>
      </c>
      <c r="E1254">
        <v>1.1132790185049399</v>
      </c>
      <c r="F1254">
        <v>0.61125190460485601</v>
      </c>
      <c r="G1254">
        <v>0.41722518547139897</v>
      </c>
      <c r="H1254">
        <v>0.37645455454520899</v>
      </c>
      <c r="I1254">
        <v>0.37689960238100101</v>
      </c>
      <c r="J1254">
        <v>0.36472886111354802</v>
      </c>
      <c r="K1254">
        <v>0.29107479855039098</v>
      </c>
      <c r="L1254">
        <v>13225.741971965001</v>
      </c>
      <c r="M1254">
        <v>250</v>
      </c>
      <c r="N1254">
        <v>53.181935082092103</v>
      </c>
      <c r="O1254">
        <v>52.8995843294203</v>
      </c>
      <c r="P1254">
        <v>-0.74991544502446605</v>
      </c>
      <c r="Q1254">
        <v>0.36527657811222403</v>
      </c>
      <c r="R1254">
        <v>0.93484401063482603</v>
      </c>
      <c r="S1254" t="s">
        <v>7565</v>
      </c>
      <c r="T1254" t="s">
        <v>12620</v>
      </c>
      <c r="U1254" t="s">
        <v>12620</v>
      </c>
      <c r="V1254" t="s">
        <v>12620</v>
      </c>
      <c r="W1254" t="s">
        <v>13841</v>
      </c>
      <c r="X1254">
        <v>50</v>
      </c>
      <c r="Y1254" t="s">
        <v>20070</v>
      </c>
      <c r="Z1254" t="s">
        <v>26201</v>
      </c>
      <c r="AA1254">
        <v>0.63832937264381806</v>
      </c>
      <c r="AB1254" t="str">
        <f>HYPERLINK("Melting_Curves/meltCurve_O75533_SF3B1.pdf", "Melting_Curves/meltCurve_O75533_SF3B1.pdf")</f>
        <v>Melting_Curves/meltCurve_O75533_SF3B1.pdf</v>
      </c>
    </row>
    <row r="1255" spans="1:28" x14ac:dyDescent="0.25">
      <c r="A1255" t="s">
        <v>1259</v>
      </c>
      <c r="B1255">
        <v>0.99987803227770999</v>
      </c>
      <c r="C1255">
        <v>0.91472214104489902</v>
      </c>
      <c r="D1255">
        <v>0.77533229252057101</v>
      </c>
      <c r="E1255">
        <v>0.43659567167547397</v>
      </c>
      <c r="F1255">
        <v>0.236131763097471</v>
      </c>
      <c r="G1255">
        <v>0.16361506603901699</v>
      </c>
      <c r="H1255">
        <v>0.137304537726961</v>
      </c>
      <c r="I1255">
        <v>0.121437794876168</v>
      </c>
      <c r="J1255">
        <v>0.113469411495308</v>
      </c>
      <c r="K1255">
        <v>9.0041900138581002E-2</v>
      </c>
      <c r="L1255">
        <v>931.14512318112497</v>
      </c>
      <c r="M1255">
        <v>19.190592541502301</v>
      </c>
      <c r="N1255">
        <v>49.135683166280103</v>
      </c>
      <c r="O1255">
        <v>48.003258279573799</v>
      </c>
      <c r="P1255">
        <v>-8.9280834626112193E-2</v>
      </c>
      <c r="Q1255">
        <v>0.106727571639774</v>
      </c>
      <c r="R1255">
        <v>0.99862197342315995</v>
      </c>
      <c r="S1255" t="s">
        <v>7566</v>
      </c>
      <c r="T1255" t="s">
        <v>12620</v>
      </c>
      <c r="U1255" t="s">
        <v>12620</v>
      </c>
      <c r="V1255" t="s">
        <v>12620</v>
      </c>
      <c r="W1255" t="s">
        <v>13842</v>
      </c>
      <c r="X1255">
        <v>33</v>
      </c>
      <c r="Y1255" t="s">
        <v>20071</v>
      </c>
      <c r="Z1255" t="s">
        <v>26202</v>
      </c>
      <c r="AA1255">
        <v>0.37414872199952059</v>
      </c>
      <c r="AB1255" t="str">
        <f>HYPERLINK("Melting_Curves/meltCurve_O75534_CSDE1.pdf", "Melting_Curves/meltCurve_O75534_CSDE1.pdf")</f>
        <v>Melting_Curves/meltCurve_O75534_CSDE1.pdf</v>
      </c>
    </row>
    <row r="1256" spans="1:28" x14ac:dyDescent="0.25">
      <c r="A1256" t="s">
        <v>1260</v>
      </c>
      <c r="B1256">
        <v>0.99987803227770999</v>
      </c>
      <c r="C1256">
        <v>0.95709036929235702</v>
      </c>
      <c r="D1256">
        <v>0.967114456856355</v>
      </c>
      <c r="E1256">
        <v>0.97972372863647805</v>
      </c>
      <c r="F1256">
        <v>0.91616909026501003</v>
      </c>
      <c r="G1256">
        <v>0.74446950692818903</v>
      </c>
      <c r="H1256">
        <v>0.88032134652730698</v>
      </c>
      <c r="I1256">
        <v>0.871357225753012</v>
      </c>
      <c r="J1256">
        <v>0.85885371553649503</v>
      </c>
      <c r="K1256">
        <v>0.656176881398853</v>
      </c>
      <c r="L1256">
        <v>287.86801301412601</v>
      </c>
      <c r="M1256">
        <v>3.0455387554743898</v>
      </c>
      <c r="Q1256">
        <v>0</v>
      </c>
      <c r="R1256">
        <v>0.62425070292493001</v>
      </c>
      <c r="S1256" t="s">
        <v>7567</v>
      </c>
      <c r="T1256" t="s">
        <v>12620</v>
      </c>
      <c r="U1256" t="s">
        <v>12620</v>
      </c>
      <c r="V1256" t="s">
        <v>12620</v>
      </c>
      <c r="W1256" t="s">
        <v>13843</v>
      </c>
      <c r="X1256">
        <v>8</v>
      </c>
      <c r="Y1256" t="s">
        <v>20072</v>
      </c>
      <c r="Z1256" t="s">
        <v>26203</v>
      </c>
      <c r="AA1256">
        <v>0.88709944180756639</v>
      </c>
      <c r="AB1256" t="str">
        <f>HYPERLINK("Melting_Curves/meltCurve_O75554_WBP4.pdf", "Melting_Curves/meltCurve_O75554_WBP4.pdf")</f>
        <v>Melting_Curves/meltCurve_O75554_WBP4.pdf</v>
      </c>
    </row>
    <row r="1257" spans="1:28" x14ac:dyDescent="0.25">
      <c r="A1257" t="s">
        <v>1261</v>
      </c>
      <c r="B1257">
        <v>0.99987803227770999</v>
      </c>
      <c r="C1257">
        <v>0.90836345367036597</v>
      </c>
      <c r="D1257">
        <v>0.55919450607387</v>
      </c>
      <c r="E1257">
        <v>0.31772880970295703</v>
      </c>
      <c r="F1257">
        <v>0.215786759286728</v>
      </c>
      <c r="G1257">
        <v>0.174754307878006</v>
      </c>
      <c r="H1257">
        <v>0.15292508023124299</v>
      </c>
      <c r="I1257">
        <v>0.16524930491019699</v>
      </c>
      <c r="J1257">
        <v>0.119086074621266</v>
      </c>
      <c r="K1257">
        <v>9.2155276484875606E-2</v>
      </c>
      <c r="L1257">
        <v>980.95364558433801</v>
      </c>
      <c r="M1257">
        <v>21.161202861477999</v>
      </c>
      <c r="N1257">
        <v>47.090361623344698</v>
      </c>
      <c r="O1257">
        <v>45.948210268821398</v>
      </c>
      <c r="P1257">
        <v>-9.8961870779954206E-2</v>
      </c>
      <c r="Q1257">
        <v>0.140502074426929</v>
      </c>
      <c r="R1257">
        <v>0.99074647874750499</v>
      </c>
      <c r="S1257" t="s">
        <v>7568</v>
      </c>
      <c r="T1257" t="s">
        <v>12620</v>
      </c>
      <c r="U1257" t="s">
        <v>12620</v>
      </c>
      <c r="V1257" t="s">
        <v>12620</v>
      </c>
      <c r="W1257" t="s">
        <v>13844</v>
      </c>
      <c r="X1257">
        <v>4</v>
      </c>
      <c r="Y1257" t="s">
        <v>20073</v>
      </c>
      <c r="Z1257" t="s">
        <v>26204</v>
      </c>
      <c r="AA1257">
        <v>0.33403128347222111</v>
      </c>
      <c r="AB1257" t="str">
        <f>HYPERLINK("Melting_Curves/meltCurve_O75582_RPS6KA5.pdf", "Melting_Curves/meltCurve_O75582_RPS6KA5.pdf")</f>
        <v>Melting_Curves/meltCurve_O75582_RPS6KA5.pdf</v>
      </c>
    </row>
    <row r="1258" spans="1:28" x14ac:dyDescent="0.25">
      <c r="A1258" t="s">
        <v>1262</v>
      </c>
      <c r="B1258">
        <v>0.99987803227770999</v>
      </c>
      <c r="C1258">
        <v>1.0128779308875899</v>
      </c>
      <c r="D1258">
        <v>0.99916735937740098</v>
      </c>
      <c r="E1258">
        <v>1.00345325661615</v>
      </c>
      <c r="F1258">
        <v>1.0379471946122101</v>
      </c>
      <c r="G1258">
        <v>0.81140820476285502</v>
      </c>
      <c r="H1258">
        <v>0.83827543894197298</v>
      </c>
      <c r="I1258">
        <v>0.66545414048293505</v>
      </c>
      <c r="J1258">
        <v>0.70470503328942002</v>
      </c>
      <c r="K1258">
        <v>0.44166065311587699</v>
      </c>
      <c r="L1258">
        <v>703.72149311121996</v>
      </c>
      <c r="M1258">
        <v>10.0766926041173</v>
      </c>
      <c r="N1258">
        <v>69.836554562208903</v>
      </c>
      <c r="O1258">
        <v>67.253426333574495</v>
      </c>
      <c r="P1258">
        <v>-3.7475604668092903E-2</v>
      </c>
      <c r="Q1258">
        <v>0</v>
      </c>
      <c r="R1258">
        <v>0.91098729402964995</v>
      </c>
      <c r="S1258" t="s">
        <v>7569</v>
      </c>
      <c r="T1258" t="s">
        <v>12620</v>
      </c>
      <c r="U1258" t="s">
        <v>12620</v>
      </c>
      <c r="V1258" t="s">
        <v>12620</v>
      </c>
      <c r="W1258" t="s">
        <v>13845</v>
      </c>
      <c r="X1258">
        <v>2</v>
      </c>
      <c r="Y1258" t="s">
        <v>20074</v>
      </c>
      <c r="Z1258" t="s">
        <v>26205</v>
      </c>
      <c r="AA1258">
        <v>0.86604029662500992</v>
      </c>
      <c r="AB1258" t="str">
        <f>HYPERLINK("Melting_Curves/meltCurve_O75607_NPM3.pdf", "Melting_Curves/meltCurve_O75607_NPM3.pdf")</f>
        <v>Melting_Curves/meltCurve_O75607_NPM3.pdf</v>
      </c>
    </row>
    <row r="1259" spans="1:28" x14ac:dyDescent="0.25">
      <c r="A1259" t="s">
        <v>1263</v>
      </c>
      <c r="B1259">
        <v>0.99987803227770999</v>
      </c>
      <c r="C1259">
        <v>0.84953954459478898</v>
      </c>
      <c r="D1259">
        <v>1.0305557156874701</v>
      </c>
      <c r="E1259">
        <v>0.85540166035725895</v>
      </c>
      <c r="F1259">
        <v>1.0882931129092199</v>
      </c>
      <c r="G1259">
        <v>0.676247188126194</v>
      </c>
      <c r="H1259">
        <v>0.30654220996964798</v>
      </c>
      <c r="I1259">
        <v>0.16485416070700901</v>
      </c>
      <c r="J1259">
        <v>8.4422594652835706E-2</v>
      </c>
      <c r="K1259">
        <v>6.21002177236415E-2</v>
      </c>
      <c r="L1259">
        <v>1712.33153212652</v>
      </c>
      <c r="M1259">
        <v>29.223682277881</v>
      </c>
      <c r="N1259">
        <v>58.896959625058102</v>
      </c>
      <c r="O1259">
        <v>58.321630427610899</v>
      </c>
      <c r="P1259">
        <v>-0.11652750846927799</v>
      </c>
      <c r="Q1259">
        <v>6.9791693733920898E-2</v>
      </c>
      <c r="R1259">
        <v>0.95995878598290696</v>
      </c>
      <c r="S1259" t="s">
        <v>7570</v>
      </c>
      <c r="T1259" t="s">
        <v>12620</v>
      </c>
      <c r="U1259" t="s">
        <v>12620</v>
      </c>
      <c r="V1259" t="s">
        <v>12620</v>
      </c>
      <c r="W1259" t="s">
        <v>13846</v>
      </c>
      <c r="X1259">
        <v>6</v>
      </c>
      <c r="Y1259" t="s">
        <v>20075</v>
      </c>
      <c r="Z1259" t="s">
        <v>26206</v>
      </c>
      <c r="AA1259">
        <v>0.65262379958058558</v>
      </c>
      <c r="AB1259" t="str">
        <f>HYPERLINK("Melting_Curves/meltCurve_O75608_2_LYPLA1.pdf", "Melting_Curves/meltCurve_O75608_2_LYPLA1.pdf")</f>
        <v>Melting_Curves/meltCurve_O75608_2_LYPLA1.pdf</v>
      </c>
    </row>
    <row r="1260" spans="1:28" x14ac:dyDescent="0.25">
      <c r="A1260" t="s">
        <v>1264</v>
      </c>
      <c r="B1260">
        <v>0.99987803227770999</v>
      </c>
      <c r="C1260">
        <v>0.90852993273697902</v>
      </c>
      <c r="D1260">
        <v>0.97926545893276595</v>
      </c>
      <c r="E1260">
        <v>0.85727554930110395</v>
      </c>
      <c r="F1260">
        <v>1.10570702912464</v>
      </c>
      <c r="G1260">
        <v>0.84976426988928699</v>
      </c>
      <c r="H1260">
        <v>0.93099431293649704</v>
      </c>
      <c r="I1260">
        <v>0.90367228889808104</v>
      </c>
      <c r="J1260">
        <v>0.90530537451230597</v>
      </c>
      <c r="K1260">
        <v>0.71945545561022695</v>
      </c>
      <c r="L1260">
        <v>485.62178699123098</v>
      </c>
      <c r="M1260">
        <v>5.6389828286366903</v>
      </c>
      <c r="Q1260">
        <v>0</v>
      </c>
      <c r="R1260">
        <v>0.33994092158931699</v>
      </c>
      <c r="S1260" t="s">
        <v>7571</v>
      </c>
      <c r="T1260" t="s">
        <v>12620</v>
      </c>
      <c r="U1260" t="s">
        <v>12620</v>
      </c>
      <c r="V1260" t="s">
        <v>12620</v>
      </c>
      <c r="W1260" t="s">
        <v>13847</v>
      </c>
      <c r="X1260">
        <v>2</v>
      </c>
      <c r="Y1260" t="s">
        <v>20076</v>
      </c>
      <c r="Z1260" t="s">
        <v>26207</v>
      </c>
      <c r="AA1260">
        <v>0.93662185782276253</v>
      </c>
      <c r="AB1260" t="str">
        <f>HYPERLINK("Melting_Curves/meltCurve_O75629_CREG1.pdf", "Melting_Curves/meltCurve_O75629_CREG1.pdf")</f>
        <v>Melting_Curves/meltCurve_O75629_CREG1.pdf</v>
      </c>
    </row>
    <row r="1261" spans="1:28" x14ac:dyDescent="0.25">
      <c r="A1261" t="s">
        <v>1265</v>
      </c>
      <c r="B1261">
        <v>0.99987803227770999</v>
      </c>
      <c r="C1261">
        <v>0.93525003482018298</v>
      </c>
      <c r="D1261">
        <v>0.94509402905527395</v>
      </c>
      <c r="E1261">
        <v>1.23742121384112</v>
      </c>
      <c r="F1261">
        <v>0.64452351427182297</v>
      </c>
      <c r="G1261">
        <v>0.45465013877780402</v>
      </c>
      <c r="H1261">
        <v>0.3448467452599</v>
      </c>
      <c r="I1261">
        <v>0.32208983033526001</v>
      </c>
      <c r="J1261">
        <v>0.22204523662109299</v>
      </c>
      <c r="K1261">
        <v>0.157527680600413</v>
      </c>
      <c r="L1261">
        <v>1786.2635023979999</v>
      </c>
      <c r="M1261">
        <v>32.937652492532699</v>
      </c>
      <c r="N1261">
        <v>55.491566251254199</v>
      </c>
      <c r="O1261">
        <v>54.0329266713021</v>
      </c>
      <c r="P1261">
        <v>-0.112270292457691</v>
      </c>
      <c r="Q1261">
        <v>0.26330328937959302</v>
      </c>
      <c r="R1261">
        <v>0.90362752295539694</v>
      </c>
      <c r="S1261" t="s">
        <v>7572</v>
      </c>
      <c r="T1261" t="s">
        <v>12620</v>
      </c>
      <c r="U1261" t="s">
        <v>12620</v>
      </c>
      <c r="V1261" t="s">
        <v>12620</v>
      </c>
      <c r="W1261" t="s">
        <v>13848</v>
      </c>
      <c r="X1261">
        <v>46</v>
      </c>
      <c r="Y1261" t="s">
        <v>20077</v>
      </c>
      <c r="Z1261" t="s">
        <v>26208</v>
      </c>
      <c r="AA1261">
        <v>0.61683144493038433</v>
      </c>
      <c r="AB1261" t="str">
        <f>HYPERLINK("Melting_Curves/meltCurve_O75643_SNRNP200.pdf", "Melting_Curves/meltCurve_O75643_SNRNP200.pdf")</f>
        <v>Melting_Curves/meltCurve_O75643_SNRNP200.pdf</v>
      </c>
    </row>
    <row r="1262" spans="1:28" x14ac:dyDescent="0.25">
      <c r="A1262" t="s">
        <v>1266</v>
      </c>
      <c r="B1262">
        <v>0.99987803227770999</v>
      </c>
      <c r="C1262">
        <v>0.91138530207057999</v>
      </c>
      <c r="D1262">
        <v>1.03230795414665</v>
      </c>
      <c r="E1262">
        <v>0.87260638541133795</v>
      </c>
      <c r="F1262">
        <v>0.57837082888580504</v>
      </c>
      <c r="G1262">
        <v>0.145132713199805</v>
      </c>
      <c r="H1262">
        <v>9.1939157519713294E-2</v>
      </c>
      <c r="I1262">
        <v>7.3622653778154398E-2</v>
      </c>
      <c r="J1262">
        <v>5.5402925472237699E-2</v>
      </c>
      <c r="K1262">
        <v>4.0745825122100197E-2</v>
      </c>
      <c r="L1262">
        <v>1662.4518210588101</v>
      </c>
      <c r="M1262">
        <v>31.208279743058899</v>
      </c>
      <c r="N1262">
        <v>53.472663152718901</v>
      </c>
      <c r="O1262">
        <v>53.052285655971097</v>
      </c>
      <c r="P1262">
        <v>-0.13884562255163799</v>
      </c>
      <c r="Q1262">
        <v>5.5886877541275803E-2</v>
      </c>
      <c r="R1262">
        <v>0.99366909752769605</v>
      </c>
      <c r="S1262" t="s">
        <v>7573</v>
      </c>
      <c r="T1262" t="s">
        <v>12620</v>
      </c>
      <c r="U1262" t="s">
        <v>12620</v>
      </c>
      <c r="V1262" t="s">
        <v>12620</v>
      </c>
      <c r="W1262" t="s">
        <v>13849</v>
      </c>
      <c r="X1262">
        <v>14</v>
      </c>
      <c r="Y1262" t="s">
        <v>20078</v>
      </c>
      <c r="Z1262" t="s">
        <v>26209</v>
      </c>
      <c r="AA1262">
        <v>0.47917426527876461</v>
      </c>
      <c r="AB1262" t="str">
        <f>HYPERLINK("Melting_Curves/meltCurve_O75663_TIPRL.pdf", "Melting_Curves/meltCurve_O75663_TIPRL.pdf")</f>
        <v>Melting_Curves/meltCurve_O75663_TIPRL.pdf</v>
      </c>
    </row>
    <row r="1263" spans="1:28" x14ac:dyDescent="0.25">
      <c r="A1263" t="s">
        <v>1267</v>
      </c>
      <c r="B1263">
        <v>0.99987803227770999</v>
      </c>
      <c r="C1263">
        <v>1.6146532143221799</v>
      </c>
      <c r="D1263">
        <v>1.0634085112212801</v>
      </c>
      <c r="E1263">
        <v>1.6630130665577101</v>
      </c>
      <c r="F1263">
        <v>1.29240814479471</v>
      </c>
      <c r="G1263">
        <v>1.0397233203476199</v>
      </c>
      <c r="H1263">
        <v>3.4604771947209998</v>
      </c>
      <c r="I1263">
        <v>2.90025333951181</v>
      </c>
      <c r="J1263">
        <v>4.4002087040150899</v>
      </c>
      <c r="K1263">
        <v>1.86186677681601</v>
      </c>
      <c r="L1263">
        <v>10253.236314480801</v>
      </c>
      <c r="M1263">
        <v>250</v>
      </c>
      <c r="O1263">
        <v>41.010320711100803</v>
      </c>
      <c r="P1263">
        <v>0.76200330799942395</v>
      </c>
      <c r="Q1263">
        <v>1.5</v>
      </c>
      <c r="R1263">
        <v>-0.20807254837400399</v>
      </c>
      <c r="S1263" t="s">
        <v>7574</v>
      </c>
      <c r="T1263" t="s">
        <v>12620</v>
      </c>
      <c r="U1263" t="s">
        <v>12620</v>
      </c>
      <c r="V1263" t="s">
        <v>12620</v>
      </c>
      <c r="W1263" t="s">
        <v>13850</v>
      </c>
      <c r="X1263">
        <v>2</v>
      </c>
      <c r="Y1263" t="s">
        <v>20079</v>
      </c>
      <c r="Z1263" t="s">
        <v>26210</v>
      </c>
      <c r="AA1263">
        <v>1.483076999792122</v>
      </c>
      <c r="AB1263" t="str">
        <f>HYPERLINK("Melting_Curves/meltCurve_O75683_SURF6.pdf", "Melting_Curves/meltCurve_O75683_SURF6.pdf")</f>
        <v>Melting_Curves/meltCurve_O75683_SURF6.pdf</v>
      </c>
    </row>
    <row r="1264" spans="1:28" x14ac:dyDescent="0.25">
      <c r="A1264" t="s">
        <v>1268</v>
      </c>
      <c r="B1264">
        <v>0.99987803227770999</v>
      </c>
      <c r="C1264">
        <v>0.86292809249564195</v>
      </c>
      <c r="D1264">
        <v>1.0384706056334301</v>
      </c>
      <c r="E1264">
        <v>0.92702543174087004</v>
      </c>
      <c r="F1264">
        <v>0.46402916231766</v>
      </c>
      <c r="G1264">
        <v>0.22449847567409201</v>
      </c>
      <c r="H1264">
        <v>0.16359250547054299</v>
      </c>
      <c r="I1264">
        <v>0.14475184431025701</v>
      </c>
      <c r="J1264">
        <v>9.1819316472542406E-2</v>
      </c>
      <c r="K1264">
        <v>6.8461568707325102E-2</v>
      </c>
      <c r="L1264">
        <v>2126.7224588092199</v>
      </c>
      <c r="M1264">
        <v>40.489733914238997</v>
      </c>
      <c r="N1264">
        <v>52.912866535263198</v>
      </c>
      <c r="O1264">
        <v>52.397343458332699</v>
      </c>
      <c r="P1264">
        <v>-0.16837929488741199</v>
      </c>
      <c r="Q1264">
        <v>0.12841014409705401</v>
      </c>
      <c r="R1264">
        <v>0.979227249889004</v>
      </c>
      <c r="S1264" t="s">
        <v>7575</v>
      </c>
      <c r="T1264" t="s">
        <v>12620</v>
      </c>
      <c r="U1264" t="s">
        <v>12620</v>
      </c>
      <c r="V1264" t="s">
        <v>12620</v>
      </c>
      <c r="W1264" t="s">
        <v>13851</v>
      </c>
      <c r="X1264">
        <v>13</v>
      </c>
      <c r="Y1264" t="s">
        <v>20080</v>
      </c>
      <c r="Z1264" t="s">
        <v>26211</v>
      </c>
      <c r="AA1264">
        <v>0.49538406496016812</v>
      </c>
      <c r="AB1264" t="str">
        <f>HYPERLINK("Melting_Curves/meltCurve_O75688_PPM1B.pdf", "Melting_Curves/meltCurve_O75688_PPM1B.pdf")</f>
        <v>Melting_Curves/meltCurve_O75688_PPM1B.pdf</v>
      </c>
    </row>
    <row r="1265" spans="1:28" x14ac:dyDescent="0.25">
      <c r="A1265" t="s">
        <v>1269</v>
      </c>
      <c r="B1265">
        <v>0.99987803227770999</v>
      </c>
      <c r="C1265">
        <v>0.938817444224327</v>
      </c>
      <c r="D1265">
        <v>0.84012327247025198</v>
      </c>
      <c r="E1265">
        <v>0.78529053120257897</v>
      </c>
      <c r="F1265">
        <v>0.52020952104029605</v>
      </c>
      <c r="G1265">
        <v>0.26359161717690599</v>
      </c>
      <c r="H1265">
        <v>0.207633531480858</v>
      </c>
      <c r="I1265">
        <v>0.17198600422853599</v>
      </c>
      <c r="J1265">
        <v>0.26243058897647897</v>
      </c>
      <c r="K1265">
        <v>0.17661516130716001</v>
      </c>
      <c r="L1265">
        <v>950.70552943099699</v>
      </c>
      <c r="M1265">
        <v>18.3103368548656</v>
      </c>
      <c r="N1265">
        <v>53.173074851052597</v>
      </c>
      <c r="O1265">
        <v>51.314392738553401</v>
      </c>
      <c r="P1265">
        <v>-7.3595992266065294E-2</v>
      </c>
      <c r="Q1265">
        <v>0.175032580667531</v>
      </c>
      <c r="R1265">
        <v>0.97890512388967299</v>
      </c>
      <c r="S1265" t="s">
        <v>7576</v>
      </c>
      <c r="T1265" t="s">
        <v>12620</v>
      </c>
      <c r="U1265" t="s">
        <v>12620</v>
      </c>
      <c r="V1265" t="s">
        <v>12620</v>
      </c>
      <c r="W1265" t="s">
        <v>13852</v>
      </c>
      <c r="X1265">
        <v>3</v>
      </c>
      <c r="Y1265" t="s">
        <v>20081</v>
      </c>
      <c r="Z1265" t="s">
        <v>26212</v>
      </c>
      <c r="AA1265">
        <v>0.51621338788419791</v>
      </c>
      <c r="AB1265" t="str">
        <f>HYPERLINK("Melting_Curves/meltCurve_O75691_UTP20.pdf", "Melting_Curves/meltCurve_O75691_UTP20.pdf")</f>
        <v>Melting_Curves/meltCurve_O75691_UTP20.pdf</v>
      </c>
    </row>
    <row r="1266" spans="1:28" x14ac:dyDescent="0.25">
      <c r="A1266" t="s">
        <v>1270</v>
      </c>
      <c r="B1266">
        <v>0.99987803227770999</v>
      </c>
      <c r="C1266">
        <v>0.96674132902604104</v>
      </c>
      <c r="D1266">
        <v>0.90492282685615999</v>
      </c>
      <c r="E1266">
        <v>0.73322185263693296</v>
      </c>
      <c r="F1266">
        <v>0.61614203906512899</v>
      </c>
      <c r="G1266">
        <v>0.46196652528617099</v>
      </c>
      <c r="H1266">
        <v>0.45549796483511101</v>
      </c>
      <c r="I1266">
        <v>0.42136399107862299</v>
      </c>
      <c r="J1266">
        <v>0.44992406562916698</v>
      </c>
      <c r="K1266">
        <v>0.37360596514924599</v>
      </c>
      <c r="L1266">
        <v>819.92483546301798</v>
      </c>
      <c r="M1266">
        <v>16.156905754906401</v>
      </c>
      <c r="N1266">
        <v>56.437259238128902</v>
      </c>
      <c r="O1266">
        <v>49.989326692266097</v>
      </c>
      <c r="P1266">
        <v>-4.832954042076E-2</v>
      </c>
      <c r="Q1266">
        <v>0.40192042685686302</v>
      </c>
      <c r="R1266">
        <v>0.99284538438016401</v>
      </c>
      <c r="S1266" t="s">
        <v>7577</v>
      </c>
      <c r="T1266" t="s">
        <v>12620</v>
      </c>
      <c r="U1266" t="s">
        <v>12620</v>
      </c>
      <c r="V1266" t="s">
        <v>12620</v>
      </c>
      <c r="W1266" t="s">
        <v>13853</v>
      </c>
      <c r="X1266">
        <v>31</v>
      </c>
      <c r="Y1266" t="s">
        <v>20082</v>
      </c>
      <c r="Z1266" t="s">
        <v>26213</v>
      </c>
      <c r="AA1266">
        <v>0.62844649534700348</v>
      </c>
      <c r="AB1266" t="str">
        <f>HYPERLINK("Melting_Curves/meltCurve_O75717_WDHD1.pdf", "Melting_Curves/meltCurve_O75717_WDHD1.pdf")</f>
        <v>Melting_Curves/meltCurve_O75717_WDHD1.pdf</v>
      </c>
    </row>
    <row r="1267" spans="1:28" x14ac:dyDescent="0.25">
      <c r="A1267" t="s">
        <v>1271</v>
      </c>
      <c r="B1267">
        <v>0.99987803227770999</v>
      </c>
      <c r="C1267">
        <v>1.2951092019475701</v>
      </c>
      <c r="D1267">
        <v>0.870078815725291</v>
      </c>
      <c r="E1267">
        <v>1.0215015309325199</v>
      </c>
      <c r="F1267">
        <v>0.42077826791703099</v>
      </c>
      <c r="G1267">
        <v>0.215956374693659</v>
      </c>
      <c r="H1267">
        <v>0.22779298975679799</v>
      </c>
      <c r="I1267">
        <v>0.109337413231595</v>
      </c>
      <c r="J1267">
        <v>0</v>
      </c>
      <c r="K1267">
        <v>5.1999012235556197E-2</v>
      </c>
      <c r="L1267">
        <v>13215.0889459059</v>
      </c>
      <c r="M1267">
        <v>250</v>
      </c>
      <c r="N1267">
        <v>52.919018117161798</v>
      </c>
      <c r="O1267">
        <v>52.856961540296197</v>
      </c>
      <c r="P1267">
        <v>-1.0393411690521801</v>
      </c>
      <c r="Q1267">
        <v>0.121017149420847</v>
      </c>
      <c r="R1267">
        <v>0.92959500592085698</v>
      </c>
      <c r="S1267" t="s">
        <v>7578</v>
      </c>
      <c r="T1267" t="s">
        <v>12620</v>
      </c>
      <c r="U1267" t="s">
        <v>12620</v>
      </c>
      <c r="V1267" t="s">
        <v>12620</v>
      </c>
      <c r="W1267" t="s">
        <v>13854</v>
      </c>
      <c r="X1267">
        <v>2</v>
      </c>
      <c r="Y1267" t="s">
        <v>20083</v>
      </c>
      <c r="Z1267" t="s">
        <v>26214</v>
      </c>
      <c r="AA1267">
        <v>0.49789976474203118</v>
      </c>
      <c r="AB1267" t="str">
        <f>HYPERLINK("Melting_Curves/meltCurve_O75771_5_RAD51D.pdf", "Melting_Curves/meltCurve_O75771_5_RAD51D.pdf")</f>
        <v>Melting_Curves/meltCurve_O75771_5_RAD51D.pdf</v>
      </c>
    </row>
    <row r="1268" spans="1:28" x14ac:dyDescent="0.25">
      <c r="A1268" t="s">
        <v>1272</v>
      </c>
      <c r="B1268">
        <v>0.99987803227770999</v>
      </c>
      <c r="C1268">
        <v>0.81031222020105698</v>
      </c>
      <c r="D1268">
        <v>0.97980846904641405</v>
      </c>
      <c r="E1268">
        <v>0.78293555341431598</v>
      </c>
      <c r="F1268">
        <v>0.92093620119516395</v>
      </c>
      <c r="G1268">
        <v>0.60904474661928898</v>
      </c>
      <c r="H1268">
        <v>0.76602634758782095</v>
      </c>
      <c r="I1268">
        <v>0.61854780042762503</v>
      </c>
      <c r="J1268">
        <v>0.77747192012701805</v>
      </c>
      <c r="K1268">
        <v>0.70191971595923697</v>
      </c>
      <c r="L1268">
        <v>429.29693603573099</v>
      </c>
      <c r="M1268">
        <v>8.6281884873043904</v>
      </c>
      <c r="O1268">
        <v>47.2989446591967</v>
      </c>
      <c r="P1268">
        <v>-1.5237828181306E-2</v>
      </c>
      <c r="Q1268">
        <v>0.666154775112616</v>
      </c>
      <c r="R1268">
        <v>0.52403208628572395</v>
      </c>
      <c r="S1268" t="s">
        <v>7579</v>
      </c>
      <c r="T1268" t="s">
        <v>12620</v>
      </c>
      <c r="U1268" t="s">
        <v>12620</v>
      </c>
      <c r="V1268" t="s">
        <v>12620</v>
      </c>
      <c r="W1268" t="s">
        <v>13855</v>
      </c>
      <c r="X1268">
        <v>11</v>
      </c>
      <c r="Y1268" t="s">
        <v>20084</v>
      </c>
      <c r="Z1268" t="s">
        <v>26215</v>
      </c>
      <c r="AA1268">
        <v>0.79338616889884817</v>
      </c>
      <c r="AB1268" t="str">
        <f>HYPERLINK("Melting_Curves/meltCurve_O75781_PALM.pdf", "Melting_Curves/meltCurve_O75781_PALM.pdf")</f>
        <v>Melting_Curves/meltCurve_O75781_PALM.pdf</v>
      </c>
    </row>
    <row r="1269" spans="1:28" x14ac:dyDescent="0.25">
      <c r="A1269" t="s">
        <v>1273</v>
      </c>
      <c r="B1269">
        <v>0.99987803227770999</v>
      </c>
      <c r="C1269">
        <v>0.96017353978270203</v>
      </c>
      <c r="D1269">
        <v>0.89255235071261896</v>
      </c>
      <c r="E1269">
        <v>0.67356095606505495</v>
      </c>
      <c r="F1269">
        <v>0.51666062539047997</v>
      </c>
      <c r="G1269">
        <v>0.18257569799435999</v>
      </c>
      <c r="H1269">
        <v>8.2264977045907406E-2</v>
      </c>
      <c r="I1269">
        <v>7.1610937092880605E-2</v>
      </c>
      <c r="J1269">
        <v>5.0066765943353297E-2</v>
      </c>
      <c r="K1269">
        <v>4.0041727180555098E-2</v>
      </c>
      <c r="L1269">
        <v>856.83975845088298</v>
      </c>
      <c r="M1269">
        <v>16.343692526630601</v>
      </c>
      <c r="N1269">
        <v>52.511722351490697</v>
      </c>
      <c r="O1269">
        <v>51.660302289251</v>
      </c>
      <c r="P1269">
        <v>-7.8060572284954804E-2</v>
      </c>
      <c r="Q1269">
        <v>1.3113633424490999E-2</v>
      </c>
      <c r="R1269">
        <v>0.99591825885174501</v>
      </c>
      <c r="S1269" t="s">
        <v>7580</v>
      </c>
      <c r="T1269" t="s">
        <v>12620</v>
      </c>
      <c r="U1269" t="s">
        <v>12620</v>
      </c>
      <c r="V1269" t="s">
        <v>12620</v>
      </c>
      <c r="W1269" t="s">
        <v>13856</v>
      </c>
      <c r="X1269">
        <v>8</v>
      </c>
      <c r="Y1269" t="s">
        <v>20085</v>
      </c>
      <c r="Z1269" t="s">
        <v>26216</v>
      </c>
      <c r="AA1269">
        <v>0.44096486051692829</v>
      </c>
      <c r="AB1269" t="str">
        <f>HYPERLINK("Melting_Curves/meltCurve_O75792_RNASEH2A.pdf", "Melting_Curves/meltCurve_O75792_RNASEH2A.pdf")</f>
        <v>Melting_Curves/meltCurve_O75792_RNASEH2A.pdf</v>
      </c>
    </row>
    <row r="1270" spans="1:28" x14ac:dyDescent="0.25">
      <c r="A1270" t="s">
        <v>1274</v>
      </c>
      <c r="B1270">
        <v>0.99987803227770999</v>
      </c>
      <c r="C1270">
        <v>0.95724609205570399</v>
      </c>
      <c r="D1270">
        <v>0.66745520539250502</v>
      </c>
      <c r="E1270">
        <v>0.42091276474710199</v>
      </c>
      <c r="F1270">
        <v>0.263641823727569</v>
      </c>
      <c r="G1270">
        <v>0.18818080180233501</v>
      </c>
      <c r="H1270">
        <v>0.13661148011309901</v>
      </c>
      <c r="I1270">
        <v>0.120388480435048</v>
      </c>
      <c r="J1270">
        <v>7.7530004489961904E-2</v>
      </c>
      <c r="K1270">
        <v>5.3790448294630103E-2</v>
      </c>
      <c r="L1270">
        <v>787.37007342592904</v>
      </c>
      <c r="M1270">
        <v>16.311401758245498</v>
      </c>
      <c r="N1270">
        <v>48.850834817645101</v>
      </c>
      <c r="O1270">
        <v>47.563124025453298</v>
      </c>
      <c r="P1270">
        <v>-7.8197456361476306E-2</v>
      </c>
      <c r="Q1270">
        <v>8.79891859195846E-2</v>
      </c>
      <c r="R1270">
        <v>0.99071036765287201</v>
      </c>
      <c r="S1270" t="s">
        <v>7581</v>
      </c>
      <c r="T1270" t="s">
        <v>12620</v>
      </c>
      <c r="U1270" t="s">
        <v>12620</v>
      </c>
      <c r="V1270" t="s">
        <v>12620</v>
      </c>
      <c r="W1270" t="s">
        <v>13857</v>
      </c>
      <c r="X1270">
        <v>10</v>
      </c>
      <c r="Y1270" t="s">
        <v>20086</v>
      </c>
      <c r="Z1270" t="s">
        <v>26217</v>
      </c>
      <c r="AA1270">
        <v>0.359064666857766</v>
      </c>
      <c r="AB1270" t="str">
        <f>HYPERLINK("Melting_Curves/meltCurve_O75794_CDC123.pdf", "Melting_Curves/meltCurve_O75794_CDC123.pdf")</f>
        <v>Melting_Curves/meltCurve_O75794_CDC123.pdf</v>
      </c>
    </row>
    <row r="1271" spans="1:28" x14ac:dyDescent="0.25">
      <c r="A1271" t="s">
        <v>1275</v>
      </c>
      <c r="B1271">
        <v>0.99987803227770999</v>
      </c>
      <c r="C1271">
        <v>0.86493497661995</v>
      </c>
      <c r="D1271">
        <v>0.95168850687460305</v>
      </c>
      <c r="E1271">
        <v>0.77328615520102095</v>
      </c>
      <c r="F1271">
        <v>0.730967072247515</v>
      </c>
      <c r="G1271">
        <v>0.53764714650803902</v>
      </c>
      <c r="H1271">
        <v>0.59579662610812401</v>
      </c>
      <c r="I1271">
        <v>0.64326531941617304</v>
      </c>
      <c r="J1271">
        <v>0.71143644856306698</v>
      </c>
      <c r="K1271">
        <v>0.56334821880630104</v>
      </c>
      <c r="L1271">
        <v>835.33406831876505</v>
      </c>
      <c r="M1271">
        <v>17.0115408383957</v>
      </c>
      <c r="O1271">
        <v>48.440477306073902</v>
      </c>
      <c r="P1271">
        <v>-3.45903548115414E-2</v>
      </c>
      <c r="Q1271">
        <v>0.606039209653641</v>
      </c>
      <c r="R1271">
        <v>0.83329313014823203</v>
      </c>
      <c r="S1271" t="s">
        <v>7582</v>
      </c>
      <c r="T1271" t="s">
        <v>12620</v>
      </c>
      <c r="U1271" t="s">
        <v>12620</v>
      </c>
      <c r="V1271" t="s">
        <v>12620</v>
      </c>
      <c r="W1271" t="s">
        <v>13858</v>
      </c>
      <c r="X1271">
        <v>3</v>
      </c>
      <c r="Y1271" t="s">
        <v>20087</v>
      </c>
      <c r="Z1271" t="s">
        <v>26218</v>
      </c>
      <c r="AA1271">
        <v>0.73320483054312946</v>
      </c>
      <c r="AB1271" t="str">
        <f>HYPERLINK("Melting_Curves/meltCurve_O75808_SOLH.pdf", "Melting_Curves/meltCurve_O75808_SOLH.pdf")</f>
        <v>Melting_Curves/meltCurve_O75808_SOLH.pdf</v>
      </c>
    </row>
    <row r="1272" spans="1:28" x14ac:dyDescent="0.25">
      <c r="A1272" t="s">
        <v>1276</v>
      </c>
      <c r="B1272">
        <v>0.99987803227770999</v>
      </c>
      <c r="C1272">
        <v>0.974221495498934</v>
      </c>
      <c r="D1272">
        <v>0.832326292312351</v>
      </c>
      <c r="E1272">
        <v>0.63013692739292104</v>
      </c>
      <c r="F1272">
        <v>0.44620981769371598</v>
      </c>
      <c r="G1272">
        <v>0.245100797978655</v>
      </c>
      <c r="H1272">
        <v>0.18061880326750901</v>
      </c>
      <c r="I1272">
        <v>0.17831974519220101</v>
      </c>
      <c r="J1272">
        <v>0.13922041174091901</v>
      </c>
      <c r="K1272">
        <v>0.119479283811686</v>
      </c>
      <c r="L1272">
        <v>773.921906614362</v>
      </c>
      <c r="M1272">
        <v>15.1776846869873</v>
      </c>
      <c r="N1272">
        <v>51.895483005061301</v>
      </c>
      <c r="O1272">
        <v>50.130151884830298</v>
      </c>
      <c r="P1272">
        <v>-6.6899296509180806E-2</v>
      </c>
      <c r="Q1272">
        <v>0.11624209440203501</v>
      </c>
      <c r="R1272">
        <v>0.99779848232848201</v>
      </c>
      <c r="S1272" t="s">
        <v>7583</v>
      </c>
      <c r="T1272" t="s">
        <v>12620</v>
      </c>
      <c r="U1272" t="s">
        <v>12620</v>
      </c>
      <c r="V1272" t="s">
        <v>12620</v>
      </c>
      <c r="W1272" t="s">
        <v>13859</v>
      </c>
      <c r="X1272">
        <v>12</v>
      </c>
      <c r="Y1272" t="s">
        <v>20088</v>
      </c>
      <c r="Z1272" t="s">
        <v>26219</v>
      </c>
      <c r="AA1272">
        <v>0.46004450416273268</v>
      </c>
      <c r="AB1272" t="str">
        <f>HYPERLINK("Melting_Curves/meltCurve_O75815_BCAR3.pdf", "Melting_Curves/meltCurve_O75815_BCAR3.pdf")</f>
        <v>Melting_Curves/meltCurve_O75815_BCAR3.pdf</v>
      </c>
    </row>
    <row r="1273" spans="1:28" x14ac:dyDescent="0.25">
      <c r="A1273" t="s">
        <v>1277</v>
      </c>
      <c r="B1273">
        <v>0.99987803227770999</v>
      </c>
      <c r="C1273">
        <v>1.01530680659382</v>
      </c>
      <c r="D1273">
        <v>0.964259094133877</v>
      </c>
      <c r="E1273">
        <v>1.2098649971797399</v>
      </c>
      <c r="F1273">
        <v>1.0877033214610901</v>
      </c>
      <c r="G1273">
        <v>0.757565836640819</v>
      </c>
      <c r="H1273">
        <v>0.72725485716837002</v>
      </c>
      <c r="I1273">
        <v>0.42882747444455699</v>
      </c>
      <c r="J1273">
        <v>0.29778850748525998</v>
      </c>
      <c r="K1273">
        <v>0.15814889397565199</v>
      </c>
      <c r="L1273">
        <v>1178.77406114985</v>
      </c>
      <c r="M1273">
        <v>18.671452203430899</v>
      </c>
      <c r="N1273">
        <v>63.370915851006103</v>
      </c>
      <c r="O1273">
        <v>62.4216173920316</v>
      </c>
      <c r="P1273">
        <v>-7.2245684537823304E-2</v>
      </c>
      <c r="Q1273">
        <v>3.3926283823430499E-2</v>
      </c>
      <c r="R1273">
        <v>0.92888962827966703</v>
      </c>
      <c r="S1273" t="s">
        <v>7584</v>
      </c>
      <c r="T1273" t="s">
        <v>12620</v>
      </c>
      <c r="U1273" t="s">
        <v>12620</v>
      </c>
      <c r="V1273" t="s">
        <v>12620</v>
      </c>
      <c r="W1273" t="s">
        <v>13860</v>
      </c>
      <c r="X1273">
        <v>5</v>
      </c>
      <c r="Y1273" t="s">
        <v>20089</v>
      </c>
      <c r="Z1273" t="s">
        <v>26220</v>
      </c>
      <c r="AA1273">
        <v>0.7759404607821162</v>
      </c>
      <c r="AB1273" t="str">
        <f>HYPERLINK("Melting_Curves/meltCurve_O75818_2_RPP40.pdf", "Melting_Curves/meltCurve_O75818_2_RPP40.pdf")</f>
        <v>Melting_Curves/meltCurve_O75818_2_RPP40.pdf</v>
      </c>
    </row>
    <row r="1274" spans="1:28" x14ac:dyDescent="0.25">
      <c r="A1274" t="s">
        <v>1278</v>
      </c>
      <c r="B1274">
        <v>0.99987803227770999</v>
      </c>
      <c r="C1274">
        <v>0.88750859257610704</v>
      </c>
      <c r="D1274">
        <v>1.39603850086083</v>
      </c>
      <c r="E1274">
        <v>1.5067093127462401</v>
      </c>
      <c r="F1274">
        <v>1.6811923856714901</v>
      </c>
      <c r="G1274">
        <v>1.30373544336464</v>
      </c>
      <c r="H1274">
        <v>0.73996808550078896</v>
      </c>
      <c r="I1274">
        <v>0.59495372185290396</v>
      </c>
      <c r="J1274">
        <v>0.45555526944619401</v>
      </c>
      <c r="K1274">
        <v>0.35580430988529799</v>
      </c>
      <c r="L1274">
        <v>2639.6383383019502</v>
      </c>
      <c r="M1274">
        <v>42.417327792509099</v>
      </c>
      <c r="N1274">
        <v>64.686982101149795</v>
      </c>
      <c r="O1274">
        <v>62.092351279193899</v>
      </c>
      <c r="P1274">
        <v>-0.102443485320208</v>
      </c>
      <c r="Q1274">
        <v>0.40015585337996601</v>
      </c>
      <c r="R1274">
        <v>0.47890663309482001</v>
      </c>
      <c r="S1274" t="s">
        <v>7585</v>
      </c>
      <c r="T1274" t="s">
        <v>12620</v>
      </c>
      <c r="U1274" t="s">
        <v>12620</v>
      </c>
      <c r="V1274" t="s">
        <v>12620</v>
      </c>
      <c r="W1274" t="s">
        <v>13861</v>
      </c>
      <c r="X1274">
        <v>14</v>
      </c>
      <c r="Y1274" t="s">
        <v>20090</v>
      </c>
      <c r="Z1274" t="s">
        <v>26221</v>
      </c>
      <c r="AA1274">
        <v>0.84658445891781708</v>
      </c>
      <c r="AB1274" t="str">
        <f>HYPERLINK("Melting_Curves/meltCurve_O75821_EIF3G.pdf", "Melting_Curves/meltCurve_O75821_EIF3G.pdf")</f>
        <v>Melting_Curves/meltCurve_O75821_EIF3G.pdf</v>
      </c>
    </row>
    <row r="1275" spans="1:28" x14ac:dyDescent="0.25">
      <c r="A1275" t="s">
        <v>1279</v>
      </c>
      <c r="B1275">
        <v>0.99987803227770999</v>
      </c>
      <c r="C1275">
        <v>0.88654485809751005</v>
      </c>
      <c r="D1275">
        <v>1.07664714344887</v>
      </c>
      <c r="E1275">
        <v>1.2761341707469001</v>
      </c>
      <c r="F1275">
        <v>1.2741111994566101</v>
      </c>
      <c r="G1275">
        <v>0.81552972297716797</v>
      </c>
      <c r="H1275">
        <v>0.45326468911611101</v>
      </c>
      <c r="I1275">
        <v>0.38725097773634498</v>
      </c>
      <c r="J1275">
        <v>0.31242449528155902</v>
      </c>
      <c r="K1275">
        <v>0.202977685741595</v>
      </c>
      <c r="L1275">
        <v>2178.5850072343701</v>
      </c>
      <c r="M1275">
        <v>36.812073161406303</v>
      </c>
      <c r="N1275">
        <v>60.519848497762503</v>
      </c>
      <c r="O1275">
        <v>59.007445680051603</v>
      </c>
      <c r="P1275">
        <v>-0.11252723524007301</v>
      </c>
      <c r="Q1275">
        <v>0.27850585599048</v>
      </c>
      <c r="R1275">
        <v>0.86974333088912104</v>
      </c>
      <c r="S1275" t="s">
        <v>7586</v>
      </c>
      <c r="T1275" t="s">
        <v>12620</v>
      </c>
      <c r="U1275" t="s">
        <v>12620</v>
      </c>
      <c r="V1275" t="s">
        <v>12620</v>
      </c>
      <c r="W1275" t="s">
        <v>13862</v>
      </c>
      <c r="X1275">
        <v>15</v>
      </c>
      <c r="Y1275" t="s">
        <v>20091</v>
      </c>
      <c r="Z1275" t="s">
        <v>26222</v>
      </c>
      <c r="AA1275">
        <v>0.74310729027981304</v>
      </c>
      <c r="AB1275" t="str">
        <f>HYPERLINK("Melting_Curves/meltCurve_O75822_EIF3J.pdf", "Melting_Curves/meltCurve_O75822_EIF3J.pdf")</f>
        <v>Melting_Curves/meltCurve_O75822_EIF3J.pdf</v>
      </c>
    </row>
    <row r="1276" spans="1:28" x14ac:dyDescent="0.25">
      <c r="A1276" t="s">
        <v>1280</v>
      </c>
      <c r="B1276">
        <v>0.99987803227770999</v>
      </c>
      <c r="C1276">
        <v>0.92782945512355697</v>
      </c>
      <c r="D1276">
        <v>1.00425053935783</v>
      </c>
      <c r="E1276">
        <v>0.82141271061370802</v>
      </c>
      <c r="F1276">
        <v>0.55877344038191701</v>
      </c>
      <c r="G1276">
        <v>0.19114688271620001</v>
      </c>
      <c r="H1276">
        <v>0.143293100576004</v>
      </c>
      <c r="I1276">
        <v>0.114303413974401</v>
      </c>
      <c r="J1276">
        <v>8.7088699687336096E-2</v>
      </c>
      <c r="K1276">
        <v>6.0437266339904698E-2</v>
      </c>
      <c r="L1276">
        <v>1334.75502385185</v>
      </c>
      <c r="M1276">
        <v>25.179697510918899</v>
      </c>
      <c r="N1276">
        <v>53.398531246973803</v>
      </c>
      <c r="O1276">
        <v>52.678217628391899</v>
      </c>
      <c r="P1276">
        <v>-0.109477511847289</v>
      </c>
      <c r="Q1276">
        <v>8.3864330102728799E-2</v>
      </c>
      <c r="R1276">
        <v>0.99457754717703295</v>
      </c>
      <c r="S1276" t="s">
        <v>7587</v>
      </c>
      <c r="T1276" t="s">
        <v>12620</v>
      </c>
      <c r="U1276" t="s">
        <v>12620</v>
      </c>
      <c r="V1276" t="s">
        <v>12620</v>
      </c>
      <c r="W1276" t="s">
        <v>13863</v>
      </c>
      <c r="X1276">
        <v>18</v>
      </c>
      <c r="Y1276" t="s">
        <v>20092</v>
      </c>
      <c r="Z1276" t="s">
        <v>26223</v>
      </c>
      <c r="AA1276">
        <v>0.48945949209334089</v>
      </c>
      <c r="AB1276" t="str">
        <f>HYPERLINK("Melting_Curves/meltCurve_O75828_CBR3.pdf", "Melting_Curves/meltCurve_O75828_CBR3.pdf")</f>
        <v>Melting_Curves/meltCurve_O75828_CBR3.pdf</v>
      </c>
    </row>
    <row r="1277" spans="1:28" x14ac:dyDescent="0.25">
      <c r="A1277" t="s">
        <v>1281</v>
      </c>
      <c r="B1277">
        <v>0.99987803227770999</v>
      </c>
      <c r="C1277">
        <v>0.85736437277978905</v>
      </c>
      <c r="D1277">
        <v>0.53450133218385698</v>
      </c>
      <c r="E1277">
        <v>0.53330263498187802</v>
      </c>
      <c r="F1277">
        <v>0.25948794711740403</v>
      </c>
      <c r="G1277">
        <v>0.14215944349641599</v>
      </c>
      <c r="H1277">
        <v>7.9086019818018896E-2</v>
      </c>
      <c r="I1277">
        <v>7.8110521097088603E-2</v>
      </c>
      <c r="J1277">
        <v>5.87084585439763E-2</v>
      </c>
      <c r="K1277">
        <v>4.2166216886929397E-2</v>
      </c>
      <c r="L1277">
        <v>575.33203090144696</v>
      </c>
      <c r="M1277">
        <v>11.8560893760529</v>
      </c>
      <c r="N1277">
        <v>48.661208905358102</v>
      </c>
      <c r="O1277">
        <v>47.207539455687801</v>
      </c>
      <c r="P1277">
        <v>-6.1787474466579E-2</v>
      </c>
      <c r="Q1277">
        <v>1.6168968656458501E-2</v>
      </c>
      <c r="R1277">
        <v>0.968058567211313</v>
      </c>
      <c r="S1277" t="s">
        <v>7588</v>
      </c>
      <c r="T1277" t="s">
        <v>12620</v>
      </c>
      <c r="U1277" t="s">
        <v>12620</v>
      </c>
      <c r="V1277" t="s">
        <v>12620</v>
      </c>
      <c r="W1277" t="s">
        <v>13864</v>
      </c>
      <c r="X1277">
        <v>5</v>
      </c>
      <c r="Y1277" t="s">
        <v>20093</v>
      </c>
      <c r="Z1277" t="s">
        <v>26224</v>
      </c>
      <c r="AA1277">
        <v>0.3337769870515005</v>
      </c>
      <c r="AB1277" t="str">
        <f>HYPERLINK("Melting_Curves/meltCurve_O75843_AP1G2.pdf", "Melting_Curves/meltCurve_O75843_AP1G2.pdf")</f>
        <v>Melting_Curves/meltCurve_O75843_AP1G2.pdf</v>
      </c>
    </row>
    <row r="1278" spans="1:28" x14ac:dyDescent="0.25">
      <c r="A1278" t="s">
        <v>1282</v>
      </c>
      <c r="B1278">
        <v>0.99987803227770999</v>
      </c>
      <c r="C1278">
        <v>0.90019535762890002</v>
      </c>
      <c r="D1278">
        <v>0.96884049674205597</v>
      </c>
      <c r="E1278">
        <v>0.70301258549581702</v>
      </c>
      <c r="F1278">
        <v>0.36411889521558699</v>
      </c>
      <c r="G1278">
        <v>0.11759964483103399</v>
      </c>
      <c r="H1278">
        <v>6.6225411422366806E-2</v>
      </c>
      <c r="I1278">
        <v>5.1980508898049303E-2</v>
      </c>
      <c r="J1278">
        <v>3.5639301072849301E-2</v>
      </c>
      <c r="K1278">
        <v>2.3267774987235298E-2</v>
      </c>
      <c r="L1278">
        <v>1260.22361338988</v>
      </c>
      <c r="M1278">
        <v>24.4138755492991</v>
      </c>
      <c r="N1278">
        <v>51.768577748627102</v>
      </c>
      <c r="O1278">
        <v>51.276565169704099</v>
      </c>
      <c r="P1278">
        <v>-0.114982566946371</v>
      </c>
      <c r="Q1278">
        <v>3.40208184504232E-2</v>
      </c>
      <c r="R1278">
        <v>0.99421387317738696</v>
      </c>
      <c r="S1278" t="s">
        <v>7589</v>
      </c>
      <c r="T1278" t="s">
        <v>12620</v>
      </c>
      <c r="U1278" t="s">
        <v>12620</v>
      </c>
      <c r="V1278" t="s">
        <v>12620</v>
      </c>
      <c r="W1278" t="s">
        <v>13865</v>
      </c>
      <c r="X1278">
        <v>1</v>
      </c>
      <c r="Y1278" t="s">
        <v>20094</v>
      </c>
      <c r="Z1278" t="s">
        <v>26225</v>
      </c>
      <c r="AA1278">
        <v>0.41734718923086112</v>
      </c>
      <c r="AB1278" t="str">
        <f>HYPERLINK("Melting_Curves/meltCurve_O75865_TRAPPC6A.pdf", "Melting_Curves/meltCurve_O75865_TRAPPC6A.pdf")</f>
        <v>Melting_Curves/meltCurve_O75865_TRAPPC6A.pdf</v>
      </c>
    </row>
    <row r="1279" spans="1:28" x14ac:dyDescent="0.25">
      <c r="A1279" t="s">
        <v>1283</v>
      </c>
      <c r="B1279">
        <v>0.99987803227770999</v>
      </c>
      <c r="C1279">
        <v>1.0602842852140599</v>
      </c>
      <c r="D1279">
        <v>0.72115239940907305</v>
      </c>
      <c r="E1279">
        <v>0.46162190294887201</v>
      </c>
      <c r="F1279">
        <v>0.142672560973093</v>
      </c>
      <c r="G1279">
        <v>9.2807874749050098E-2</v>
      </c>
      <c r="H1279">
        <v>6.6453234840811795E-2</v>
      </c>
      <c r="I1279">
        <v>6.1213480387867801E-2</v>
      </c>
      <c r="J1279">
        <v>4.4802516559896199E-2</v>
      </c>
      <c r="K1279">
        <v>3.1090397961237699E-2</v>
      </c>
      <c r="L1279">
        <v>1051.37651988632</v>
      </c>
      <c r="M1279">
        <v>21.533306902748802</v>
      </c>
      <c r="N1279">
        <v>49.0309327473013</v>
      </c>
      <c r="O1279">
        <v>48.410361624833399</v>
      </c>
      <c r="P1279">
        <v>-0.106409908660632</v>
      </c>
      <c r="Q1279">
        <v>4.3116558590766497E-2</v>
      </c>
      <c r="R1279">
        <v>0.98456456295776995</v>
      </c>
      <c r="S1279" t="s">
        <v>7590</v>
      </c>
      <c r="T1279" t="s">
        <v>12620</v>
      </c>
      <c r="U1279" t="s">
        <v>12620</v>
      </c>
      <c r="V1279" t="s">
        <v>12620</v>
      </c>
      <c r="W1279" t="s">
        <v>13866</v>
      </c>
      <c r="X1279">
        <v>22</v>
      </c>
      <c r="Y1279" t="s">
        <v>20095</v>
      </c>
      <c r="Z1279" t="s">
        <v>26226</v>
      </c>
      <c r="AA1279">
        <v>0.33615414962656293</v>
      </c>
      <c r="AB1279" t="str">
        <f>HYPERLINK("Melting_Curves/meltCurve_O75874_IDH1.pdf", "Melting_Curves/meltCurve_O75874_IDH1.pdf")</f>
        <v>Melting_Curves/meltCurve_O75874_IDH1.pdf</v>
      </c>
    </row>
    <row r="1280" spans="1:28" x14ac:dyDescent="0.25">
      <c r="A1280" t="s">
        <v>1284</v>
      </c>
      <c r="B1280">
        <v>0.99987803227770999</v>
      </c>
      <c r="C1280">
        <v>1.02560929244966</v>
      </c>
      <c r="D1280">
        <v>0.97991554037348805</v>
      </c>
      <c r="E1280">
        <v>0.87704030262068</v>
      </c>
      <c r="F1280">
        <v>0.57665280419556197</v>
      </c>
      <c r="G1280">
        <v>0.38553317789618802</v>
      </c>
      <c r="H1280">
        <v>0.29140724297793802</v>
      </c>
      <c r="I1280">
        <v>0.21133445816704099</v>
      </c>
      <c r="J1280">
        <v>0.17807711799840301</v>
      </c>
      <c r="K1280">
        <v>0.104942262704123</v>
      </c>
      <c r="L1280">
        <v>953.32295177237597</v>
      </c>
      <c r="M1280">
        <v>17.682595132067998</v>
      </c>
      <c r="N1280">
        <v>54.978351276702803</v>
      </c>
      <c r="O1280">
        <v>53.237716549737399</v>
      </c>
      <c r="P1280">
        <v>-7.0995589571684795E-2</v>
      </c>
      <c r="Q1280">
        <v>0.14504784855656899</v>
      </c>
      <c r="R1280">
        <v>0.98948814690865705</v>
      </c>
      <c r="S1280" t="s">
        <v>7591</v>
      </c>
      <c r="T1280" t="s">
        <v>12620</v>
      </c>
      <c r="U1280" t="s">
        <v>12620</v>
      </c>
      <c r="V1280" t="s">
        <v>12620</v>
      </c>
      <c r="W1280" t="s">
        <v>13867</v>
      </c>
      <c r="X1280">
        <v>2</v>
      </c>
      <c r="Y1280" t="s">
        <v>20096</v>
      </c>
      <c r="Z1280" t="s">
        <v>26227</v>
      </c>
      <c r="AA1280">
        <v>0.55562652214298169</v>
      </c>
      <c r="AB1280" t="str">
        <f>HYPERLINK("Melting_Curves/meltCurve_O75882_2_ATRN.pdf", "Melting_Curves/meltCurve_O75882_2_ATRN.pdf")</f>
        <v>Melting_Curves/meltCurve_O75882_2_ATRN.pdf</v>
      </c>
    </row>
    <row r="1281" spans="1:28" x14ac:dyDescent="0.25">
      <c r="A1281" t="s">
        <v>1285</v>
      </c>
      <c r="B1281">
        <v>0.99987803227770999</v>
      </c>
      <c r="C1281">
        <v>0.85074726315112104</v>
      </c>
      <c r="D1281">
        <v>1.0149728008722001</v>
      </c>
      <c r="E1281">
        <v>0.81880355925994397</v>
      </c>
      <c r="F1281">
        <v>0.98821156145213596</v>
      </c>
      <c r="G1281">
        <v>0.46139726264248399</v>
      </c>
      <c r="H1281">
        <v>0.17695589876741699</v>
      </c>
      <c r="I1281">
        <v>0.145849588597943</v>
      </c>
      <c r="J1281">
        <v>0.10746711345705701</v>
      </c>
      <c r="K1281">
        <v>8.0771207193763198E-2</v>
      </c>
      <c r="L1281">
        <v>2306.3342920954801</v>
      </c>
      <c r="M1281">
        <v>40.840791584523402</v>
      </c>
      <c r="N1281">
        <v>56.830245289381601</v>
      </c>
      <c r="O1281">
        <v>56.336455164253202</v>
      </c>
      <c r="P1281">
        <v>-0.160634489851193</v>
      </c>
      <c r="Q1281">
        <v>0.113674331692651</v>
      </c>
      <c r="R1281">
        <v>0.96110871618734095</v>
      </c>
      <c r="S1281" t="s">
        <v>7592</v>
      </c>
      <c r="T1281" t="s">
        <v>12620</v>
      </c>
      <c r="U1281" t="s">
        <v>12620</v>
      </c>
      <c r="V1281" t="s">
        <v>12620</v>
      </c>
      <c r="W1281" t="s">
        <v>13868</v>
      </c>
      <c r="X1281">
        <v>8</v>
      </c>
      <c r="Y1281" t="s">
        <v>20097</v>
      </c>
      <c r="Z1281" t="s">
        <v>26228</v>
      </c>
      <c r="AA1281">
        <v>0.60360026814946577</v>
      </c>
      <c r="AB1281" t="str">
        <f>HYPERLINK("Melting_Curves/meltCurve_O75884_RBBP9.pdf", "Melting_Curves/meltCurve_O75884_RBBP9.pdf")</f>
        <v>Melting_Curves/meltCurve_O75884_RBBP9.pdf</v>
      </c>
    </row>
    <row r="1282" spans="1:28" x14ac:dyDescent="0.25">
      <c r="A1282" t="s">
        <v>1286</v>
      </c>
      <c r="B1282">
        <v>0.99987803227770999</v>
      </c>
      <c r="C1282">
        <v>1.07848595407836</v>
      </c>
      <c r="D1282">
        <v>1.10321367886528</v>
      </c>
      <c r="E1282">
        <v>1.0878108289052</v>
      </c>
      <c r="F1282">
        <v>0.99073820862434803</v>
      </c>
      <c r="G1282">
        <v>0.56773216566437501</v>
      </c>
      <c r="H1282">
        <v>0.253157201451156</v>
      </c>
      <c r="I1282">
        <v>0.19950271743831199</v>
      </c>
      <c r="J1282">
        <v>0.15438062899405999</v>
      </c>
      <c r="K1282">
        <v>0.12426675205356701</v>
      </c>
      <c r="L1282">
        <v>2229.7673873785102</v>
      </c>
      <c r="M1282">
        <v>39.1008710769012</v>
      </c>
      <c r="N1282">
        <v>57.601490930137203</v>
      </c>
      <c r="O1282">
        <v>56.877478752182</v>
      </c>
      <c r="P1282">
        <v>-0.14407672948365299</v>
      </c>
      <c r="Q1282">
        <v>0.161685935722369</v>
      </c>
      <c r="R1282">
        <v>0.98267080643748095</v>
      </c>
      <c r="S1282" t="s">
        <v>7593</v>
      </c>
      <c r="T1282" t="s">
        <v>12620</v>
      </c>
      <c r="U1282" t="s">
        <v>12620</v>
      </c>
      <c r="V1282" t="s">
        <v>12620</v>
      </c>
      <c r="W1282" t="s">
        <v>13869</v>
      </c>
      <c r="X1282">
        <v>12</v>
      </c>
      <c r="Y1282" t="s">
        <v>20098</v>
      </c>
      <c r="Z1282" t="s">
        <v>26229</v>
      </c>
      <c r="AA1282">
        <v>0.64087176338221497</v>
      </c>
      <c r="AB1282" t="str">
        <f>HYPERLINK("Melting_Curves/meltCurve_O75886_STAM2.pdf", "Melting_Curves/meltCurve_O75886_STAM2.pdf")</f>
        <v>Melting_Curves/meltCurve_O75886_STAM2.pdf</v>
      </c>
    </row>
    <row r="1283" spans="1:28" x14ac:dyDescent="0.25">
      <c r="A1283" t="s">
        <v>1287</v>
      </c>
      <c r="B1283">
        <v>0.99987803227770999</v>
      </c>
      <c r="C1283">
        <v>1.2011847824786199</v>
      </c>
      <c r="D1283">
        <v>0.98703044928211403</v>
      </c>
      <c r="E1283">
        <v>1.1584269937910301</v>
      </c>
      <c r="F1283">
        <v>0.80370746833983098</v>
      </c>
      <c r="G1283">
        <v>0.53604281532086395</v>
      </c>
      <c r="H1283">
        <v>0.277143507598623</v>
      </c>
      <c r="I1283">
        <v>0.22125553043326199</v>
      </c>
      <c r="J1283">
        <v>0.12518998031457099</v>
      </c>
      <c r="K1283">
        <v>0.101035063149954</v>
      </c>
      <c r="L1283">
        <v>1376.3285233460799</v>
      </c>
      <c r="M1283">
        <v>24.221915283080001</v>
      </c>
      <c r="N1283">
        <v>57.4844561852574</v>
      </c>
      <c r="O1283">
        <v>56.438552885097501</v>
      </c>
      <c r="P1283">
        <v>-9.4221891627446194E-2</v>
      </c>
      <c r="Q1283">
        <v>0.121841899747292</v>
      </c>
      <c r="R1283">
        <v>0.95125313719319604</v>
      </c>
      <c r="S1283" t="s">
        <v>7594</v>
      </c>
      <c r="T1283" t="s">
        <v>12620</v>
      </c>
      <c r="U1283" t="s">
        <v>12620</v>
      </c>
      <c r="V1283" t="s">
        <v>12620</v>
      </c>
      <c r="W1283" t="s">
        <v>13870</v>
      </c>
      <c r="X1283">
        <v>3</v>
      </c>
      <c r="Y1283" t="s">
        <v>20099</v>
      </c>
      <c r="Z1283" t="s">
        <v>26230</v>
      </c>
      <c r="AA1283">
        <v>0.62258714773904944</v>
      </c>
      <c r="AB1283" t="str">
        <f>HYPERLINK("Melting_Curves/meltCurve_O75896_TUSC2.pdf", "Melting_Curves/meltCurve_O75896_TUSC2.pdf")</f>
        <v>Melting_Curves/meltCurve_O75896_TUSC2.pdf</v>
      </c>
    </row>
    <row r="1284" spans="1:28" x14ac:dyDescent="0.25">
      <c r="A1284" t="s">
        <v>1288</v>
      </c>
      <c r="B1284">
        <v>0.99987803227770999</v>
      </c>
      <c r="C1284">
        <v>1.14030855296707</v>
      </c>
      <c r="D1284">
        <v>1.0653723833870199</v>
      </c>
      <c r="E1284">
        <v>1.2207057070935401</v>
      </c>
      <c r="F1284">
        <v>1.1630220287786199</v>
      </c>
      <c r="G1284">
        <v>0.479057121662954</v>
      </c>
      <c r="H1284">
        <v>0.27596187049362397</v>
      </c>
      <c r="I1284">
        <v>0.250953751981079</v>
      </c>
      <c r="J1284">
        <v>0.17772306039003999</v>
      </c>
      <c r="K1284">
        <v>0.112708294468905</v>
      </c>
      <c r="L1284">
        <v>14213.526471973701</v>
      </c>
      <c r="M1284">
        <v>250</v>
      </c>
      <c r="N1284">
        <v>56.973838818062603</v>
      </c>
      <c r="O1284">
        <v>56.850456042281202</v>
      </c>
      <c r="P1284">
        <v>-0.87473254662881905</v>
      </c>
      <c r="Q1284">
        <v>0.20433673157384399</v>
      </c>
      <c r="R1284">
        <v>0.94067363684346705</v>
      </c>
      <c r="S1284" t="s">
        <v>7595</v>
      </c>
      <c r="T1284" t="s">
        <v>12620</v>
      </c>
      <c r="U1284" t="s">
        <v>12620</v>
      </c>
      <c r="V1284" t="s">
        <v>12620</v>
      </c>
      <c r="W1284" t="s">
        <v>13871</v>
      </c>
      <c r="X1284">
        <v>6</v>
      </c>
      <c r="Y1284" t="s">
        <v>20100</v>
      </c>
      <c r="Z1284" t="s">
        <v>26231</v>
      </c>
      <c r="AA1284">
        <v>0.65142255389202008</v>
      </c>
      <c r="AB1284" t="str">
        <f>HYPERLINK("Melting_Curves/meltCurve_O75909_CCNK.pdf", "Melting_Curves/meltCurve_O75909_CCNK.pdf")</f>
        <v>Melting_Curves/meltCurve_O75909_CCNK.pdf</v>
      </c>
    </row>
    <row r="1285" spans="1:28" x14ac:dyDescent="0.25">
      <c r="A1285" t="s">
        <v>1289</v>
      </c>
      <c r="B1285">
        <v>0.99987803227770999</v>
      </c>
      <c r="C1285">
        <v>1.13496475239524</v>
      </c>
      <c r="D1285">
        <v>0.79987964449336402</v>
      </c>
      <c r="E1285">
        <v>1.3992714969106901</v>
      </c>
      <c r="F1285">
        <v>0.99866113303040205</v>
      </c>
      <c r="G1285">
        <v>0.790234356863728</v>
      </c>
      <c r="H1285">
        <v>0.34677050168524298</v>
      </c>
      <c r="I1285">
        <v>0.24869833948369299</v>
      </c>
      <c r="J1285">
        <v>0.26063019836985402</v>
      </c>
      <c r="K1285">
        <v>0.120360781853458</v>
      </c>
      <c r="L1285">
        <v>2182.9499473843498</v>
      </c>
      <c r="M1285">
        <v>37.200155207118399</v>
      </c>
      <c r="N1285">
        <v>59.461002213493899</v>
      </c>
      <c r="O1285">
        <v>58.512396153366701</v>
      </c>
      <c r="P1285">
        <v>-0.12826121424054299</v>
      </c>
      <c r="Q1285">
        <v>0.19303015881761501</v>
      </c>
      <c r="R1285">
        <v>0.86806606866363301</v>
      </c>
      <c r="S1285" t="s">
        <v>7596</v>
      </c>
      <c r="T1285" t="s">
        <v>12620</v>
      </c>
      <c r="U1285" t="s">
        <v>12620</v>
      </c>
      <c r="V1285" t="s">
        <v>12620</v>
      </c>
      <c r="W1285" t="s">
        <v>13872</v>
      </c>
      <c r="X1285">
        <v>1</v>
      </c>
      <c r="Y1285" t="s">
        <v>20101</v>
      </c>
      <c r="Z1285" t="s">
        <v>26232</v>
      </c>
      <c r="AA1285">
        <v>0.69916895099724918</v>
      </c>
      <c r="AB1285" t="str">
        <f>HYPERLINK("Melting_Curves/meltCurve_O75915_ARL6IP5.pdf", "Melting_Curves/meltCurve_O75915_ARL6IP5.pdf")</f>
        <v>Melting_Curves/meltCurve_O75915_ARL6IP5.pdf</v>
      </c>
    </row>
    <row r="1286" spans="1:28" x14ac:dyDescent="0.25">
      <c r="A1286" t="s">
        <v>1290</v>
      </c>
      <c r="B1286">
        <v>0.99987803227770999</v>
      </c>
      <c r="C1286">
        <v>0.93547069389208903</v>
      </c>
      <c r="D1286">
        <v>0.89316055024208996</v>
      </c>
      <c r="E1286">
        <v>0.63127816848435003</v>
      </c>
      <c r="F1286">
        <v>0.45291932325381301</v>
      </c>
      <c r="G1286">
        <v>0.24615199253152001</v>
      </c>
      <c r="H1286">
        <v>0.190016655062474</v>
      </c>
      <c r="I1286">
        <v>0.13888407545593501</v>
      </c>
      <c r="J1286">
        <v>7.6830104883296002E-2</v>
      </c>
      <c r="K1286">
        <v>6.7217299286359194E-2</v>
      </c>
      <c r="L1286">
        <v>737.81163373753498</v>
      </c>
      <c r="M1286">
        <v>14.2535453058612</v>
      </c>
      <c r="N1286">
        <v>52.238615147726001</v>
      </c>
      <c r="O1286">
        <v>50.776455739632397</v>
      </c>
      <c r="P1286">
        <v>-6.5918692287776304E-2</v>
      </c>
      <c r="Q1286">
        <v>6.0807762699639799E-2</v>
      </c>
      <c r="R1286">
        <v>0.99700203277583799</v>
      </c>
      <c r="S1286" t="s">
        <v>7597</v>
      </c>
      <c r="T1286" t="s">
        <v>12620</v>
      </c>
      <c r="U1286" t="s">
        <v>12620</v>
      </c>
      <c r="V1286" t="s">
        <v>12620</v>
      </c>
      <c r="W1286" t="s">
        <v>13873</v>
      </c>
      <c r="X1286">
        <v>1</v>
      </c>
      <c r="Y1286" t="s">
        <v>20102</v>
      </c>
      <c r="Z1286" t="s">
        <v>26233</v>
      </c>
      <c r="AA1286">
        <v>0.45196745575790909</v>
      </c>
      <c r="AB1286" t="str">
        <f>HYPERLINK("Melting_Curves/meltCurve_O75928_3_PIAS2.pdf", "Melting_Curves/meltCurve_O75928_3_PIAS2.pdf")</f>
        <v>Melting_Curves/meltCurve_O75928_3_PIAS2.pdf</v>
      </c>
    </row>
    <row r="1287" spans="1:28" x14ac:dyDescent="0.25">
      <c r="A1287" t="s">
        <v>1291</v>
      </c>
      <c r="B1287">
        <v>0.99987803227770999</v>
      </c>
      <c r="C1287">
        <v>1.14144219615284</v>
      </c>
      <c r="D1287">
        <v>0.99205219422507496</v>
      </c>
      <c r="E1287">
        <v>1.30393533480809</v>
      </c>
      <c r="F1287">
        <v>0.65854053253604705</v>
      </c>
      <c r="G1287">
        <v>0.43464930440660499</v>
      </c>
      <c r="H1287">
        <v>0.21595835095961199</v>
      </c>
      <c r="I1287">
        <v>0.205537944477555</v>
      </c>
      <c r="J1287">
        <v>0.21459278844577101</v>
      </c>
      <c r="K1287">
        <v>0.19048225440466199</v>
      </c>
      <c r="L1287">
        <v>1918.00118013323</v>
      </c>
      <c r="M1287">
        <v>35.213146800050602</v>
      </c>
      <c r="N1287">
        <v>55.342815800292101</v>
      </c>
      <c r="O1287">
        <v>54.293556318238501</v>
      </c>
      <c r="P1287">
        <v>-0.127546585058431</v>
      </c>
      <c r="Q1287">
        <v>0.21336949473441499</v>
      </c>
      <c r="R1287">
        <v>0.90960030794864699</v>
      </c>
      <c r="S1287" t="s">
        <v>7598</v>
      </c>
      <c r="T1287" t="s">
        <v>12620</v>
      </c>
      <c r="U1287" t="s">
        <v>12620</v>
      </c>
      <c r="V1287" t="s">
        <v>12620</v>
      </c>
      <c r="W1287" t="s">
        <v>13874</v>
      </c>
      <c r="X1287">
        <v>6</v>
      </c>
      <c r="Y1287" t="s">
        <v>20103</v>
      </c>
      <c r="Z1287" t="s">
        <v>26234</v>
      </c>
      <c r="AA1287">
        <v>0.59654714649898932</v>
      </c>
      <c r="AB1287" t="str">
        <f>HYPERLINK("Melting_Curves/meltCurve_O75934_BCAS2.pdf", "Melting_Curves/meltCurve_O75934_BCAS2.pdf")</f>
        <v>Melting_Curves/meltCurve_O75934_BCAS2.pdf</v>
      </c>
    </row>
    <row r="1288" spans="1:28" x14ac:dyDescent="0.25">
      <c r="A1288" t="s">
        <v>1292</v>
      </c>
      <c r="B1288">
        <v>0.99987803227770999</v>
      </c>
      <c r="C1288">
        <v>0.92130362500565499</v>
      </c>
      <c r="D1288">
        <v>1.0989489753806501</v>
      </c>
      <c r="E1288">
        <v>1.14906048717867</v>
      </c>
      <c r="F1288">
        <v>0.47922917359450501</v>
      </c>
      <c r="G1288">
        <v>0.26678513354774702</v>
      </c>
      <c r="H1288">
        <v>0.176474896029053</v>
      </c>
      <c r="I1288">
        <v>0.15045596100814301</v>
      </c>
      <c r="J1288">
        <v>0.113967460178532</v>
      </c>
      <c r="K1288">
        <v>7.2380787601037097E-2</v>
      </c>
      <c r="L1288">
        <v>13224.719720199</v>
      </c>
      <c r="M1288">
        <v>250</v>
      </c>
      <c r="N1288">
        <v>52.978135487817802</v>
      </c>
      <c r="O1288">
        <v>52.895470237728802</v>
      </c>
      <c r="P1288">
        <v>-0.99723426337359899</v>
      </c>
      <c r="Q1288">
        <v>0.156012819205612</v>
      </c>
      <c r="R1288">
        <v>0.96688897354037595</v>
      </c>
      <c r="S1288" t="s">
        <v>7599</v>
      </c>
      <c r="T1288" t="s">
        <v>12620</v>
      </c>
      <c r="U1288" t="s">
        <v>12620</v>
      </c>
      <c r="V1288" t="s">
        <v>12620</v>
      </c>
      <c r="W1288" t="s">
        <v>13875</v>
      </c>
      <c r="X1288">
        <v>7</v>
      </c>
      <c r="Y1288" t="s">
        <v>20104</v>
      </c>
      <c r="Z1288" t="s">
        <v>26235</v>
      </c>
      <c r="AA1288">
        <v>0.51897411959841677</v>
      </c>
      <c r="AB1288" t="str">
        <f>HYPERLINK("Melting_Curves/meltCurve_O75935_DCTN3.pdf", "Melting_Curves/meltCurve_O75935_DCTN3.pdf")</f>
        <v>Melting_Curves/meltCurve_O75935_DCTN3.pdf</v>
      </c>
    </row>
    <row r="1289" spans="1:28" x14ac:dyDescent="0.25">
      <c r="A1289" t="s">
        <v>1293</v>
      </c>
      <c r="B1289">
        <v>0.99987803227770999</v>
      </c>
      <c r="C1289">
        <v>0.48865372774772498</v>
      </c>
      <c r="D1289">
        <v>1.0290931084624999</v>
      </c>
      <c r="E1289">
        <v>1.21984479980211</v>
      </c>
      <c r="F1289">
        <v>0.58884724258201904</v>
      </c>
      <c r="G1289">
        <v>0.640483825171969</v>
      </c>
      <c r="H1289">
        <v>0.59841012893455603</v>
      </c>
      <c r="I1289">
        <v>0.60606004671174796</v>
      </c>
      <c r="J1289">
        <v>0.61158151686066897</v>
      </c>
      <c r="K1289">
        <v>0.53694253428646099</v>
      </c>
      <c r="L1289">
        <v>12946.414315743101</v>
      </c>
      <c r="M1289">
        <v>250</v>
      </c>
      <c r="O1289">
        <v>51.782343906997497</v>
      </c>
      <c r="P1289">
        <v>-0.48659671291304302</v>
      </c>
      <c r="Q1289">
        <v>0.59684611169442203</v>
      </c>
      <c r="R1289">
        <v>0.44691686233259498</v>
      </c>
      <c r="S1289" t="s">
        <v>7600</v>
      </c>
      <c r="T1289" t="s">
        <v>12620</v>
      </c>
      <c r="U1289" t="s">
        <v>12620</v>
      </c>
      <c r="V1289" t="s">
        <v>12620</v>
      </c>
      <c r="W1289" t="s">
        <v>13876</v>
      </c>
      <c r="X1289">
        <v>17</v>
      </c>
      <c r="Y1289" t="s">
        <v>20105</v>
      </c>
      <c r="Z1289" t="s">
        <v>26236</v>
      </c>
      <c r="AA1289">
        <v>0.75526386993181094</v>
      </c>
      <c r="AB1289" t="str">
        <f>HYPERLINK("Melting_Curves/meltCurve_O75937_DNAJC8.pdf", "Melting_Curves/meltCurve_O75937_DNAJC8.pdf")</f>
        <v>Melting_Curves/meltCurve_O75937_DNAJC8.pdf</v>
      </c>
    </row>
    <row r="1290" spans="1:28" x14ac:dyDescent="0.25">
      <c r="A1290" t="s">
        <v>1294</v>
      </c>
      <c r="B1290">
        <v>0.99987803227770999</v>
      </c>
      <c r="C1290">
        <v>0.84906250157041496</v>
      </c>
      <c r="D1290">
        <v>0.91956057472799801</v>
      </c>
      <c r="E1290">
        <v>0.98186343339844795</v>
      </c>
      <c r="F1290">
        <v>1.46564762726262</v>
      </c>
      <c r="G1290">
        <v>1.37918007898359</v>
      </c>
      <c r="H1290">
        <v>1.4012084892944501</v>
      </c>
      <c r="I1290">
        <v>1.3213368044613101</v>
      </c>
      <c r="J1290">
        <v>1.3898037429966399</v>
      </c>
      <c r="K1290">
        <v>1.1878576767983</v>
      </c>
      <c r="L1290">
        <v>12820.3653973747</v>
      </c>
      <c r="M1290">
        <v>250</v>
      </c>
      <c r="O1290">
        <v>51.278179686245501</v>
      </c>
      <c r="P1290">
        <v>0.43575201708925398</v>
      </c>
      <c r="Q1290">
        <v>1.35751312487876</v>
      </c>
      <c r="R1290">
        <v>0.84487272659746204</v>
      </c>
      <c r="S1290" t="s">
        <v>7601</v>
      </c>
      <c r="T1290" t="s">
        <v>12620</v>
      </c>
      <c r="U1290" t="s">
        <v>12620</v>
      </c>
      <c r="V1290" t="s">
        <v>12620</v>
      </c>
      <c r="W1290" t="s">
        <v>13877</v>
      </c>
      <c r="X1290">
        <v>9</v>
      </c>
      <c r="Y1290" t="s">
        <v>20106</v>
      </c>
      <c r="Z1290" t="s">
        <v>26237</v>
      </c>
      <c r="AA1290">
        <v>1.2230385964841379</v>
      </c>
      <c r="AB1290" t="str">
        <f>HYPERLINK("Melting_Curves/meltCurve_O75940_SMNDC1.pdf", "Melting_Curves/meltCurve_O75940_SMNDC1.pdf")</f>
        <v>Melting_Curves/meltCurve_O75940_SMNDC1.pdf</v>
      </c>
    </row>
    <row r="1291" spans="1:28" x14ac:dyDescent="0.25">
      <c r="A1291" t="s">
        <v>1295</v>
      </c>
      <c r="B1291">
        <v>0.99987803227770999</v>
      </c>
      <c r="C1291">
        <v>1.00123885483915</v>
      </c>
      <c r="D1291">
        <v>0.84476996818049699</v>
      </c>
      <c r="E1291">
        <v>0.79744178801921095</v>
      </c>
      <c r="F1291">
        <v>0.41147955821363003</v>
      </c>
      <c r="G1291">
        <v>0.26823266520689498</v>
      </c>
      <c r="H1291">
        <v>0.20050518594133199</v>
      </c>
      <c r="I1291">
        <v>0.178157798756405</v>
      </c>
      <c r="J1291">
        <v>0.138028813348195</v>
      </c>
      <c r="K1291">
        <v>9.6467825897898804E-2</v>
      </c>
      <c r="L1291">
        <v>973.97535270316905</v>
      </c>
      <c r="M1291">
        <v>18.776791139545999</v>
      </c>
      <c r="N1291">
        <v>52.689890177611801</v>
      </c>
      <c r="O1291">
        <v>51.293629864245901</v>
      </c>
      <c r="P1291">
        <v>-7.9940943762670996E-2</v>
      </c>
      <c r="Q1291">
        <v>0.126519564385592</v>
      </c>
      <c r="R1291">
        <v>0.98274938833255598</v>
      </c>
      <c r="S1291" t="s">
        <v>7602</v>
      </c>
      <c r="T1291" t="s">
        <v>12620</v>
      </c>
      <c r="U1291" t="s">
        <v>12620</v>
      </c>
      <c r="V1291" t="s">
        <v>12620</v>
      </c>
      <c r="W1291" t="s">
        <v>13878</v>
      </c>
      <c r="X1291">
        <v>29</v>
      </c>
      <c r="Y1291" t="s">
        <v>20107</v>
      </c>
      <c r="Z1291" t="s">
        <v>26238</v>
      </c>
      <c r="AA1291">
        <v>0.48569346747091841</v>
      </c>
      <c r="AB1291" t="str">
        <f>HYPERLINK("Melting_Curves/meltCurve_O75962_TRIO.pdf", "Melting_Curves/meltCurve_O75962_TRIO.pdf")</f>
        <v>Melting_Curves/meltCurve_O75962_TRIO.pdf</v>
      </c>
    </row>
    <row r="1292" spans="1:28" x14ac:dyDescent="0.25">
      <c r="A1292" t="s">
        <v>1296</v>
      </c>
      <c r="B1292">
        <v>0.99987803227770999</v>
      </c>
      <c r="C1292">
        <v>1.16578186969471</v>
      </c>
      <c r="D1292">
        <v>1.00967150627161</v>
      </c>
      <c r="E1292">
        <v>0.88403057165590104</v>
      </c>
      <c r="F1292">
        <v>0.62162937560146703</v>
      </c>
      <c r="G1292">
        <v>0.46603567945374602</v>
      </c>
      <c r="H1292">
        <v>0.36719469685963702</v>
      </c>
      <c r="I1292">
        <v>0.308892920164762</v>
      </c>
      <c r="J1292">
        <v>0.232054461602833</v>
      </c>
      <c r="K1292">
        <v>0.15729205502229701</v>
      </c>
      <c r="L1292">
        <v>909.60191411500398</v>
      </c>
      <c r="M1292">
        <v>16.696785042874399</v>
      </c>
      <c r="N1292">
        <v>56.2363946558621</v>
      </c>
      <c r="O1292">
        <v>53.714208954752301</v>
      </c>
      <c r="P1292">
        <v>-6.1910103525263702E-2</v>
      </c>
      <c r="Q1292">
        <v>0.20338396629526401</v>
      </c>
      <c r="R1292">
        <v>0.961155135872926</v>
      </c>
      <c r="S1292" t="s">
        <v>7603</v>
      </c>
      <c r="T1292" t="s">
        <v>12620</v>
      </c>
      <c r="U1292" t="s">
        <v>12620</v>
      </c>
      <c r="V1292" t="s">
        <v>12620</v>
      </c>
      <c r="W1292" t="s">
        <v>13879</v>
      </c>
      <c r="X1292">
        <v>21</v>
      </c>
      <c r="Y1292" t="s">
        <v>20108</v>
      </c>
      <c r="Z1292" t="s">
        <v>26239</v>
      </c>
      <c r="AA1292">
        <v>0.60174675513738785</v>
      </c>
      <c r="AB1292" t="str">
        <f>HYPERLINK("Melting_Curves/meltCurve_O75970_3_MPDZ.pdf", "Melting_Curves/meltCurve_O75970_3_MPDZ.pdf")</f>
        <v>Melting_Curves/meltCurve_O75970_3_MPDZ.pdf</v>
      </c>
    </row>
    <row r="1293" spans="1:28" x14ac:dyDescent="0.25">
      <c r="A1293" t="s">
        <v>1297</v>
      </c>
      <c r="B1293">
        <v>0.99987803227770999</v>
      </c>
      <c r="C1293">
        <v>0.88303599315372105</v>
      </c>
      <c r="D1293">
        <v>1.0377355134917901</v>
      </c>
      <c r="E1293">
        <v>0.89834137705112105</v>
      </c>
      <c r="F1293">
        <v>0.96923291041847703</v>
      </c>
      <c r="G1293">
        <v>0.48730939651648703</v>
      </c>
      <c r="H1293">
        <v>0.19567536538625699</v>
      </c>
      <c r="I1293">
        <v>0.124220178753458</v>
      </c>
      <c r="J1293">
        <v>8.3161862051584295E-2</v>
      </c>
      <c r="K1293">
        <v>5.4094725559741499E-2</v>
      </c>
      <c r="L1293">
        <v>1827.01361805544</v>
      </c>
      <c r="M1293">
        <v>32.179495900722102</v>
      </c>
      <c r="N1293">
        <v>57.0886133501564</v>
      </c>
      <c r="O1293">
        <v>56.557796721444802</v>
      </c>
      <c r="P1293">
        <v>-0.130742029666746</v>
      </c>
      <c r="Q1293">
        <v>8.0850174281591594E-2</v>
      </c>
      <c r="R1293">
        <v>0.98232850058090304</v>
      </c>
      <c r="S1293" t="s">
        <v>7604</v>
      </c>
      <c r="T1293" t="s">
        <v>12620</v>
      </c>
      <c r="U1293" t="s">
        <v>12620</v>
      </c>
      <c r="V1293" t="s">
        <v>12620</v>
      </c>
      <c r="W1293" t="s">
        <v>13880</v>
      </c>
      <c r="X1293">
        <v>20</v>
      </c>
      <c r="Y1293" t="s">
        <v>20109</v>
      </c>
      <c r="Z1293" t="s">
        <v>26240</v>
      </c>
      <c r="AA1293">
        <v>0.60022804719542466</v>
      </c>
      <c r="AB1293" t="str">
        <f>HYPERLINK("Melting_Curves/meltCurve_O76003_GLRX3.pdf", "Melting_Curves/meltCurve_O76003_GLRX3.pdf")</f>
        <v>Melting_Curves/meltCurve_O76003_GLRX3.pdf</v>
      </c>
    </row>
    <row r="1294" spans="1:28" x14ac:dyDescent="0.25">
      <c r="A1294" t="s">
        <v>1298</v>
      </c>
      <c r="B1294">
        <v>0.99987803227770999</v>
      </c>
      <c r="C1294">
        <v>1.0048379980006501</v>
      </c>
      <c r="D1294">
        <v>1.13541619760686</v>
      </c>
      <c r="E1294">
        <v>1.0491292426435701</v>
      </c>
      <c r="F1294">
        <v>0.94061404755737499</v>
      </c>
      <c r="G1294">
        <v>0.57702388176724595</v>
      </c>
      <c r="H1294">
        <v>0.57464344166019499</v>
      </c>
      <c r="I1294">
        <v>0.499455459620884</v>
      </c>
      <c r="J1294">
        <v>0.66622343478576795</v>
      </c>
      <c r="K1294">
        <v>0.57110697269534905</v>
      </c>
      <c r="L1294">
        <v>13345.937128928301</v>
      </c>
      <c r="M1294">
        <v>250</v>
      </c>
      <c r="O1294">
        <v>53.380320569198801</v>
      </c>
      <c r="P1294">
        <v>-0.49445806494723399</v>
      </c>
      <c r="Q1294">
        <v>0.57769062705213903</v>
      </c>
      <c r="R1294">
        <v>0.93526126043011903</v>
      </c>
      <c r="S1294" t="s">
        <v>7605</v>
      </c>
      <c r="T1294" t="s">
        <v>12620</v>
      </c>
      <c r="U1294" t="s">
        <v>12620</v>
      </c>
      <c r="V1294" t="s">
        <v>12620</v>
      </c>
      <c r="W1294" t="s">
        <v>13881</v>
      </c>
      <c r="X1294">
        <v>10</v>
      </c>
      <c r="Y1294" t="s">
        <v>20110</v>
      </c>
      <c r="Z1294" t="s">
        <v>26241</v>
      </c>
      <c r="AA1294">
        <v>0.76613294033602908</v>
      </c>
      <c r="AB1294" t="str">
        <f>HYPERLINK("Melting_Curves/meltCurve_O76021_RSL1D1.pdf", "Melting_Curves/meltCurve_O76021_RSL1D1.pdf")</f>
        <v>Melting_Curves/meltCurve_O76021_RSL1D1.pdf</v>
      </c>
    </row>
    <row r="1295" spans="1:28" x14ac:dyDescent="0.25">
      <c r="A1295" t="s">
        <v>1299</v>
      </c>
      <c r="B1295">
        <v>0.99987803227770999</v>
      </c>
      <c r="C1295">
        <v>0.87792783559756105</v>
      </c>
      <c r="D1295">
        <v>0.987918977349592</v>
      </c>
      <c r="E1295">
        <v>0.78159859223095696</v>
      </c>
      <c r="F1295">
        <v>0.90481524423127602</v>
      </c>
      <c r="G1295">
        <v>0.779567791785858</v>
      </c>
      <c r="H1295">
        <v>0.91492335169555505</v>
      </c>
      <c r="I1295">
        <v>0.93004360557103805</v>
      </c>
      <c r="J1295">
        <v>1.0619158105972499</v>
      </c>
      <c r="K1295">
        <v>0.80015941373255495</v>
      </c>
      <c r="L1295">
        <v>10246.894278604699</v>
      </c>
      <c r="M1295">
        <v>250</v>
      </c>
      <c r="O1295">
        <v>40.984954193654197</v>
      </c>
      <c r="P1295">
        <v>-0.162852867306538</v>
      </c>
      <c r="Q1295">
        <v>0.89320772324742104</v>
      </c>
      <c r="R1295">
        <v>0.12205947179293</v>
      </c>
      <c r="S1295" t="s">
        <v>7606</v>
      </c>
      <c r="T1295" t="s">
        <v>12620</v>
      </c>
      <c r="U1295" t="s">
        <v>12620</v>
      </c>
      <c r="V1295" t="s">
        <v>12620</v>
      </c>
      <c r="W1295" t="s">
        <v>13882</v>
      </c>
      <c r="X1295">
        <v>2</v>
      </c>
      <c r="Y1295" t="s">
        <v>20111</v>
      </c>
      <c r="Z1295" t="s">
        <v>26242</v>
      </c>
      <c r="AA1295">
        <v>0.89673207486745687</v>
      </c>
      <c r="AB1295" t="str">
        <f>HYPERLINK("Melting_Curves/meltCurve_O76024_WFS1.pdf", "Melting_Curves/meltCurve_O76024_WFS1.pdf")</f>
        <v>Melting_Curves/meltCurve_O76024_WFS1.pdf</v>
      </c>
    </row>
    <row r="1296" spans="1:28" x14ac:dyDescent="0.25">
      <c r="A1296" t="s">
        <v>1300</v>
      </c>
      <c r="B1296">
        <v>0.99987803227770999</v>
      </c>
      <c r="C1296">
        <v>0.65616088186903998</v>
      </c>
      <c r="D1296">
        <v>0.50034644741474898</v>
      </c>
      <c r="E1296">
        <v>0.43974419586708202</v>
      </c>
      <c r="F1296">
        <v>0.30509575394249899</v>
      </c>
      <c r="G1296">
        <v>0.208569449731453</v>
      </c>
      <c r="H1296">
        <v>0.16539488660304</v>
      </c>
      <c r="I1296">
        <v>0.15959524289336299</v>
      </c>
      <c r="J1296">
        <v>0.11504298519933701</v>
      </c>
      <c r="K1296">
        <v>8.8547987188658903E-2</v>
      </c>
      <c r="L1296">
        <v>502.150409857125</v>
      </c>
      <c r="M1296">
        <v>10.825810140281</v>
      </c>
      <c r="N1296">
        <v>47.342705099547103</v>
      </c>
      <c r="O1296">
        <v>44.886002230808103</v>
      </c>
      <c r="P1296">
        <v>-5.4383806938546601E-2</v>
      </c>
      <c r="Q1296">
        <v>9.8378799816332504E-2</v>
      </c>
      <c r="R1296">
        <v>0.95391781377413698</v>
      </c>
      <c r="S1296" t="s">
        <v>7607</v>
      </c>
      <c r="T1296" t="s">
        <v>12620</v>
      </c>
      <c r="U1296" t="s">
        <v>12620</v>
      </c>
      <c r="V1296" t="s">
        <v>12620</v>
      </c>
      <c r="W1296" t="s">
        <v>13883</v>
      </c>
      <c r="X1296">
        <v>10</v>
      </c>
      <c r="Y1296" t="s">
        <v>20112</v>
      </c>
      <c r="Z1296" t="s">
        <v>26243</v>
      </c>
      <c r="AA1296">
        <v>0.33802390825876089</v>
      </c>
      <c r="AB1296" t="str">
        <f>HYPERLINK("Melting_Curves/meltCurve_O76031_CLPX.pdf", "Melting_Curves/meltCurve_O76031_CLPX.pdf")</f>
        <v>Melting_Curves/meltCurve_O76031_CLPX.pdf</v>
      </c>
    </row>
    <row r="1297" spans="1:28" x14ac:dyDescent="0.25">
      <c r="A1297" t="s">
        <v>1301</v>
      </c>
      <c r="B1297">
        <v>0.99987803227770999</v>
      </c>
      <c r="C1297">
        <v>0.80279464753605501</v>
      </c>
      <c r="D1297">
        <v>0.98601173095869898</v>
      </c>
      <c r="E1297">
        <v>0.819520419115918</v>
      </c>
      <c r="F1297">
        <v>1.1127543456511699</v>
      </c>
      <c r="G1297">
        <v>0.81674774348628598</v>
      </c>
      <c r="H1297">
        <v>0.92089354452646999</v>
      </c>
      <c r="I1297">
        <v>0.83487900575836704</v>
      </c>
      <c r="J1297">
        <v>1.1273640428531999</v>
      </c>
      <c r="K1297">
        <v>0.95632091414127196</v>
      </c>
      <c r="L1297">
        <v>10216.077088878301</v>
      </c>
      <c r="M1297">
        <v>250</v>
      </c>
      <c r="O1297">
        <v>40.861693328276402</v>
      </c>
      <c r="P1297">
        <v>-0.105829958121146</v>
      </c>
      <c r="Q1297">
        <v>0.93080973941159995</v>
      </c>
      <c r="R1297">
        <v>3.2819630867897097E-2</v>
      </c>
      <c r="S1297" t="s">
        <v>7608</v>
      </c>
      <c r="T1297" t="s">
        <v>12620</v>
      </c>
      <c r="U1297" t="s">
        <v>12620</v>
      </c>
      <c r="V1297" t="s">
        <v>12620</v>
      </c>
      <c r="W1297" t="s">
        <v>13884</v>
      </c>
      <c r="X1297">
        <v>11</v>
      </c>
      <c r="Y1297" t="s">
        <v>20113</v>
      </c>
      <c r="Z1297" t="s">
        <v>26244</v>
      </c>
      <c r="AA1297">
        <v>0.93280970419817821</v>
      </c>
      <c r="AB1297" t="str">
        <f>HYPERLINK("Melting_Curves/meltCurve_O76041_2_NEBL.pdf", "Melting_Curves/meltCurve_O76041_2_NEBL.pdf")</f>
        <v>Melting_Curves/meltCurve_O76041_2_NEBL.pdf</v>
      </c>
    </row>
    <row r="1298" spans="1:28" x14ac:dyDescent="0.25">
      <c r="A1298" t="s">
        <v>1302</v>
      </c>
      <c r="B1298">
        <v>0.99987803227770999</v>
      </c>
      <c r="C1298">
        <v>0.90819260854129102</v>
      </c>
      <c r="D1298">
        <v>0.984095797132857</v>
      </c>
      <c r="E1298">
        <v>0.84895510876476599</v>
      </c>
      <c r="F1298">
        <v>0.73705037828221898</v>
      </c>
      <c r="G1298">
        <v>0.33033241029872901</v>
      </c>
      <c r="H1298">
        <v>0.21951517412089</v>
      </c>
      <c r="I1298">
        <v>0.17677518787615501</v>
      </c>
      <c r="J1298">
        <v>0.13585941153301001</v>
      </c>
      <c r="K1298">
        <v>0.100043276901928</v>
      </c>
      <c r="L1298">
        <v>1126.7278649111499</v>
      </c>
      <c r="M1298">
        <v>20.642179118742501</v>
      </c>
      <c r="N1298">
        <v>55.268395406788301</v>
      </c>
      <c r="O1298">
        <v>54.079233050657599</v>
      </c>
      <c r="P1298">
        <v>-8.4662708655291005E-2</v>
      </c>
      <c r="Q1298">
        <v>0.11281398620944801</v>
      </c>
      <c r="R1298">
        <v>0.98890941482489703</v>
      </c>
      <c r="S1298" t="s">
        <v>7609</v>
      </c>
      <c r="T1298" t="s">
        <v>12620</v>
      </c>
      <c r="U1298" t="s">
        <v>12620</v>
      </c>
      <c r="V1298" t="s">
        <v>12620</v>
      </c>
      <c r="W1298" t="s">
        <v>13885</v>
      </c>
      <c r="X1298">
        <v>8</v>
      </c>
      <c r="Y1298" t="s">
        <v>20114</v>
      </c>
      <c r="Z1298" t="s">
        <v>26245</v>
      </c>
      <c r="AA1298">
        <v>0.55545102474860519</v>
      </c>
      <c r="AB1298" t="str">
        <f>HYPERLINK("Melting_Curves/meltCurve_O76054_SEC14L2.pdf", "Melting_Curves/meltCurve_O76054_SEC14L2.pdf")</f>
        <v>Melting_Curves/meltCurve_O76054_SEC14L2.pdf</v>
      </c>
    </row>
    <row r="1299" spans="1:28" x14ac:dyDescent="0.25">
      <c r="A1299" t="s">
        <v>1303</v>
      </c>
      <c r="B1299">
        <v>0.99987803227770999</v>
      </c>
      <c r="C1299">
        <v>0.80290658518566005</v>
      </c>
      <c r="D1299">
        <v>0.99901534056060104</v>
      </c>
      <c r="E1299">
        <v>0.83711914145037802</v>
      </c>
      <c r="F1299">
        <v>1.07251257215545</v>
      </c>
      <c r="G1299">
        <v>0.92880352563084401</v>
      </c>
      <c r="H1299">
        <v>0.89117582114775196</v>
      </c>
      <c r="I1299">
        <v>0.86174337288949199</v>
      </c>
      <c r="J1299">
        <v>0.73843427995682098</v>
      </c>
      <c r="K1299">
        <v>0.59723441010642198</v>
      </c>
      <c r="L1299">
        <v>855.08913410381194</v>
      </c>
      <c r="M1299">
        <v>11.7615927460197</v>
      </c>
      <c r="Q1299">
        <v>0</v>
      </c>
      <c r="R1299">
        <v>0.58214249694813502</v>
      </c>
      <c r="S1299" t="s">
        <v>7610</v>
      </c>
      <c r="T1299" t="s">
        <v>12620</v>
      </c>
      <c r="U1299" t="s">
        <v>12620</v>
      </c>
      <c r="V1299" t="s">
        <v>12620</v>
      </c>
      <c r="W1299" t="s">
        <v>13886</v>
      </c>
      <c r="X1299">
        <v>3</v>
      </c>
      <c r="Y1299" t="s">
        <v>20115</v>
      </c>
      <c r="Z1299" t="s">
        <v>26246</v>
      </c>
      <c r="AA1299">
        <v>0.92000780892604339</v>
      </c>
      <c r="AB1299" t="str">
        <f>HYPERLINK("Melting_Curves/meltCurve_O76070_SNCG.pdf", "Melting_Curves/meltCurve_O76070_SNCG.pdf")</f>
        <v>Melting_Curves/meltCurve_O76070_SNCG.pdf</v>
      </c>
    </row>
    <row r="1300" spans="1:28" x14ac:dyDescent="0.25">
      <c r="A1300" t="s">
        <v>1304</v>
      </c>
      <c r="B1300">
        <v>0.99987803227770999</v>
      </c>
      <c r="C1300">
        <v>1.05564341894183</v>
      </c>
      <c r="D1300">
        <v>0.93737242771087104</v>
      </c>
      <c r="E1300">
        <v>0.74046061876188296</v>
      </c>
      <c r="F1300">
        <v>0.61482810247910202</v>
      </c>
      <c r="G1300">
        <v>0.48756215061286201</v>
      </c>
      <c r="H1300">
        <v>0.312104584277827</v>
      </c>
      <c r="I1300">
        <v>0.18876341942998001</v>
      </c>
      <c r="J1300">
        <v>7.3502695006185198E-2</v>
      </c>
      <c r="K1300">
        <v>4.12863764960835E-2</v>
      </c>
      <c r="L1300">
        <v>652.885847341454</v>
      </c>
      <c r="M1300">
        <v>11.705060601424501</v>
      </c>
      <c r="N1300">
        <v>55.778100531345203</v>
      </c>
      <c r="O1300">
        <v>54.224676106606204</v>
      </c>
      <c r="P1300">
        <v>-5.3979889355852802E-2</v>
      </c>
      <c r="Q1300">
        <v>0</v>
      </c>
      <c r="R1300">
        <v>0.98464251530053404</v>
      </c>
      <c r="S1300" t="s">
        <v>7611</v>
      </c>
      <c r="T1300" t="s">
        <v>12620</v>
      </c>
      <c r="U1300" t="s">
        <v>12620</v>
      </c>
      <c r="V1300" t="s">
        <v>12620</v>
      </c>
      <c r="W1300" t="s">
        <v>13887</v>
      </c>
      <c r="X1300">
        <v>7</v>
      </c>
      <c r="Y1300" t="s">
        <v>20116</v>
      </c>
      <c r="Z1300" t="s">
        <v>26247</v>
      </c>
      <c r="AA1300">
        <v>0.54727186971945874</v>
      </c>
      <c r="AB1300" t="str">
        <f>HYPERLINK("Melting_Curves/meltCurve_O76071_CIAO1.pdf", "Melting_Curves/meltCurve_O76071_CIAO1.pdf")</f>
        <v>Melting_Curves/meltCurve_O76071_CIAO1.pdf</v>
      </c>
    </row>
    <row r="1301" spans="1:28" x14ac:dyDescent="0.25">
      <c r="A1301" t="s">
        <v>1305</v>
      </c>
      <c r="B1301">
        <v>0.99987803227770999</v>
      </c>
      <c r="C1301">
        <v>0.90320851040839401</v>
      </c>
      <c r="D1301">
        <v>0.92923399849222099</v>
      </c>
      <c r="E1301">
        <v>0.76736678993951402</v>
      </c>
      <c r="F1301">
        <v>0.52853562667681198</v>
      </c>
      <c r="G1301">
        <v>0.29875352747658501</v>
      </c>
      <c r="H1301">
        <v>0.27456544513106701</v>
      </c>
      <c r="I1301">
        <v>0.21312398041621</v>
      </c>
      <c r="J1301">
        <v>0.26236145715128201</v>
      </c>
      <c r="K1301">
        <v>0.141041011652278</v>
      </c>
      <c r="L1301">
        <v>930.230216563147</v>
      </c>
      <c r="M1301">
        <v>17.852110364787102</v>
      </c>
      <c r="N1301">
        <v>53.532316889959802</v>
      </c>
      <c r="O1301">
        <v>51.466930662996397</v>
      </c>
      <c r="P1301">
        <v>-7.0322205374880001E-2</v>
      </c>
      <c r="Q1301">
        <v>0.18909674949461</v>
      </c>
      <c r="R1301">
        <v>0.98451556687933495</v>
      </c>
      <c r="S1301" t="s">
        <v>7612</v>
      </c>
      <c r="T1301" t="s">
        <v>12620</v>
      </c>
      <c r="U1301" t="s">
        <v>12620</v>
      </c>
      <c r="V1301" t="s">
        <v>12620</v>
      </c>
      <c r="W1301" t="s">
        <v>13119</v>
      </c>
      <c r="X1301">
        <v>1</v>
      </c>
      <c r="Y1301" t="s">
        <v>20117</v>
      </c>
      <c r="Z1301" t="s">
        <v>26248</v>
      </c>
      <c r="AA1301">
        <v>0.53002902030973265</v>
      </c>
      <c r="AB1301" t="str">
        <f>HYPERLINK("Melting_Curves/meltCurve_O76075_DFFB.pdf", "Melting_Curves/meltCurve_O76075_DFFB.pdf")</f>
        <v>Melting_Curves/meltCurve_O76075_DFFB.pdf</v>
      </c>
    </row>
    <row r="1302" spans="1:28" x14ac:dyDescent="0.25">
      <c r="A1302" t="s">
        <v>1306</v>
      </c>
      <c r="B1302">
        <v>0.99987803227770999</v>
      </c>
      <c r="C1302">
        <v>0.77533370297207305</v>
      </c>
      <c r="D1302">
        <v>0.96583459341514499</v>
      </c>
      <c r="E1302">
        <v>0.83026128694813806</v>
      </c>
      <c r="F1302">
        <v>1.191337155979</v>
      </c>
      <c r="G1302">
        <v>0.99396963341030997</v>
      </c>
      <c r="H1302">
        <v>1.0417753820314199</v>
      </c>
      <c r="I1302">
        <v>0.99719395220281404</v>
      </c>
      <c r="J1302">
        <v>1.2014002787915401</v>
      </c>
      <c r="K1302">
        <v>0.84513324960521297</v>
      </c>
      <c r="S1302" t="s">
        <v>7613</v>
      </c>
      <c r="T1302" t="s">
        <v>12620</v>
      </c>
      <c r="U1302" t="s">
        <v>12621</v>
      </c>
      <c r="V1302" t="s">
        <v>12620</v>
      </c>
      <c r="W1302" t="s">
        <v>13888</v>
      </c>
      <c r="X1302">
        <v>11</v>
      </c>
      <c r="Y1302" t="s">
        <v>20118</v>
      </c>
      <c r="Z1302" t="s">
        <v>26249</v>
      </c>
      <c r="AB1302" t="str">
        <f>HYPERLINK("Melting_Curves/meltCurve_O76080_ZFAND5.pdf", "Melting_Curves/meltCurve_O76080_ZFAND5.pdf")</f>
        <v>Melting_Curves/meltCurve_O76080_ZFAND5.pdf</v>
      </c>
    </row>
    <row r="1303" spans="1:28" x14ac:dyDescent="0.25">
      <c r="A1303" t="s">
        <v>1307</v>
      </c>
      <c r="B1303">
        <v>0.99987803227770999</v>
      </c>
      <c r="C1303">
        <v>0.57411655202832701</v>
      </c>
      <c r="D1303">
        <v>0.71013569348523997</v>
      </c>
      <c r="E1303">
        <v>0.503040277010534</v>
      </c>
      <c r="F1303">
        <v>0.68366334543436702</v>
      </c>
      <c r="G1303">
        <v>0.50001458588265602</v>
      </c>
      <c r="H1303">
        <v>0.40846087620044103</v>
      </c>
      <c r="I1303">
        <v>0.53984444131503895</v>
      </c>
      <c r="J1303">
        <v>0.81231963745311697</v>
      </c>
      <c r="K1303">
        <v>0.70589362158682201</v>
      </c>
      <c r="L1303">
        <v>10263.1580426089</v>
      </c>
      <c r="M1303">
        <v>250</v>
      </c>
      <c r="O1303">
        <v>41.049996133253501</v>
      </c>
      <c r="P1303">
        <v>-0.602672496499424</v>
      </c>
      <c r="Q1303">
        <v>0.60416465553918597</v>
      </c>
      <c r="R1303">
        <v>0.50955947221331299</v>
      </c>
      <c r="S1303" t="s">
        <v>7614</v>
      </c>
      <c r="T1303" t="s">
        <v>12620</v>
      </c>
      <c r="U1303" t="s">
        <v>12620</v>
      </c>
      <c r="V1303" t="s">
        <v>12620</v>
      </c>
      <c r="W1303" t="s">
        <v>13889</v>
      </c>
      <c r="X1303">
        <v>2</v>
      </c>
      <c r="Y1303" t="s">
        <v>20119</v>
      </c>
      <c r="Z1303" t="s">
        <v>26250</v>
      </c>
      <c r="AA1303">
        <v>0.61808497523432848</v>
      </c>
      <c r="AB1303" t="str">
        <f>HYPERLINK("Melting_Curves/meltCurve_O76081_6_RGS20.pdf", "Melting_Curves/meltCurve_O76081_6_RGS20.pdf")</f>
        <v>Melting_Curves/meltCurve_O76081_6_RGS20.pdf</v>
      </c>
    </row>
    <row r="1304" spans="1:28" x14ac:dyDescent="0.25">
      <c r="A1304" t="s">
        <v>1308</v>
      </c>
      <c r="B1304">
        <v>0.99987803227770999</v>
      </c>
      <c r="C1304">
        <v>0.75033379526933797</v>
      </c>
      <c r="D1304">
        <v>0.66467483928599902</v>
      </c>
      <c r="E1304">
        <v>0.42809807502632002</v>
      </c>
      <c r="F1304">
        <v>0.19915977020262601</v>
      </c>
      <c r="G1304">
        <v>9.6005373250402995E-2</v>
      </c>
      <c r="H1304">
        <v>5.3458216840369999E-2</v>
      </c>
      <c r="I1304">
        <v>4.2568964580010402E-2</v>
      </c>
      <c r="J1304">
        <v>4.18616656257286E-2</v>
      </c>
      <c r="K1304">
        <v>3.1342106448952002E-2</v>
      </c>
      <c r="L1304">
        <v>631.60847523228404</v>
      </c>
      <c r="M1304">
        <v>13.1316652039117</v>
      </c>
      <c r="N1304">
        <v>48.1281253437892</v>
      </c>
      <c r="O1304">
        <v>47.023718285129902</v>
      </c>
      <c r="P1304">
        <v>-6.9541292963527707E-2</v>
      </c>
      <c r="Q1304">
        <v>4.0760286313561303E-3</v>
      </c>
      <c r="R1304">
        <v>0.98663204708081598</v>
      </c>
      <c r="S1304" t="s">
        <v>7615</v>
      </c>
      <c r="T1304" t="s">
        <v>12620</v>
      </c>
      <c r="U1304" t="s">
        <v>12620</v>
      </c>
      <c r="V1304" t="s">
        <v>12620</v>
      </c>
      <c r="W1304" t="s">
        <v>13890</v>
      </c>
      <c r="X1304">
        <v>15</v>
      </c>
      <c r="Y1304" t="s">
        <v>20120</v>
      </c>
      <c r="Z1304" t="s">
        <v>26251</v>
      </c>
      <c r="AA1304">
        <v>0.30582009279608369</v>
      </c>
      <c r="AB1304" t="str">
        <f>HYPERLINK("Melting_Curves/meltCurve_O76094_SRP72.pdf", "Melting_Curves/meltCurve_O76094_SRP72.pdf")</f>
        <v>Melting_Curves/meltCurve_O76094_SRP72.pdf</v>
      </c>
    </row>
    <row r="1305" spans="1:28" x14ac:dyDescent="0.25">
      <c r="A1305" t="s">
        <v>1309</v>
      </c>
      <c r="B1305">
        <v>0.99987803227770999</v>
      </c>
      <c r="C1305">
        <v>0.88766856019816298</v>
      </c>
      <c r="D1305">
        <v>0.879990866704358</v>
      </c>
      <c r="E1305">
        <v>0.60495368894920398</v>
      </c>
      <c r="F1305">
        <v>0.32068029305713802</v>
      </c>
      <c r="G1305">
        <v>0.18875466499034499</v>
      </c>
      <c r="H1305">
        <v>0.18157080144180099</v>
      </c>
      <c r="I1305">
        <v>0.20648045844563001</v>
      </c>
      <c r="J1305">
        <v>0.13358100173355</v>
      </c>
      <c r="K1305">
        <v>0.12511109733272399</v>
      </c>
      <c r="L1305">
        <v>1000.10972806697</v>
      </c>
      <c r="M1305">
        <v>20.003211275603402</v>
      </c>
      <c r="N1305">
        <v>50.859101741168899</v>
      </c>
      <c r="O1305">
        <v>49.505815528649997</v>
      </c>
      <c r="P1305">
        <v>-8.6499759993526895E-2</v>
      </c>
      <c r="Q1305">
        <v>0.143717116118109</v>
      </c>
      <c r="R1305">
        <v>0.98834620791018102</v>
      </c>
      <c r="S1305" t="s">
        <v>7616</v>
      </c>
      <c r="T1305" t="s">
        <v>12620</v>
      </c>
      <c r="U1305" t="s">
        <v>12620</v>
      </c>
      <c r="V1305" t="s">
        <v>12620</v>
      </c>
      <c r="W1305" t="s">
        <v>13891</v>
      </c>
      <c r="X1305">
        <v>3</v>
      </c>
      <c r="Y1305" t="s">
        <v>20121</v>
      </c>
      <c r="Z1305" t="s">
        <v>26252</v>
      </c>
      <c r="AA1305">
        <v>0.44098917422640133</v>
      </c>
      <c r="AB1305" t="str">
        <f>HYPERLINK("Melting_Curves/meltCurve_O77932_DOM3Z.pdf", "Melting_Curves/meltCurve_O77932_DOM3Z.pdf")</f>
        <v>Melting_Curves/meltCurve_O77932_DOM3Z.pdf</v>
      </c>
    </row>
    <row r="1306" spans="1:28" x14ac:dyDescent="0.25">
      <c r="A1306" t="s">
        <v>1310</v>
      </c>
      <c r="B1306">
        <v>0.99987803227770999</v>
      </c>
      <c r="C1306">
        <v>0.88624141169705395</v>
      </c>
      <c r="D1306">
        <v>0.97013164584634204</v>
      </c>
      <c r="E1306">
        <v>0.90086219707906001</v>
      </c>
      <c r="F1306">
        <v>0.99672481895860199</v>
      </c>
      <c r="G1306">
        <v>0.68612886044518395</v>
      </c>
      <c r="H1306">
        <v>0.32307895808248199</v>
      </c>
      <c r="I1306">
        <v>0.163307750039831</v>
      </c>
      <c r="J1306">
        <v>9.6312189675073004E-2</v>
      </c>
      <c r="K1306">
        <v>7.5024021092992998E-2</v>
      </c>
      <c r="L1306">
        <v>1509.1904026125501</v>
      </c>
      <c r="M1306">
        <v>25.720532060638298</v>
      </c>
      <c r="N1306">
        <v>58.979492325007698</v>
      </c>
      <c r="O1306">
        <v>58.3252303240656</v>
      </c>
      <c r="P1306">
        <v>-0.103424197956674</v>
      </c>
      <c r="Q1306">
        <v>6.1890609128250999E-2</v>
      </c>
      <c r="R1306">
        <v>0.98277537228993594</v>
      </c>
      <c r="S1306" t="s">
        <v>7617</v>
      </c>
      <c r="T1306" t="s">
        <v>12620</v>
      </c>
      <c r="U1306" t="s">
        <v>12620</v>
      </c>
      <c r="V1306" t="s">
        <v>12620</v>
      </c>
      <c r="W1306" t="s">
        <v>13892</v>
      </c>
      <c r="X1306">
        <v>9</v>
      </c>
      <c r="Y1306" t="s">
        <v>20122</v>
      </c>
      <c r="Z1306" t="s">
        <v>26253</v>
      </c>
      <c r="AA1306">
        <v>0.65349233269509033</v>
      </c>
      <c r="AB1306" t="str">
        <f>HYPERLINK("Melting_Curves/meltCurve_O94760_DDAH1.pdf", "Melting_Curves/meltCurve_O94760_DDAH1.pdf")</f>
        <v>Melting_Curves/meltCurve_O94760_DDAH1.pdf</v>
      </c>
    </row>
    <row r="1307" spans="1:28" x14ac:dyDescent="0.25">
      <c r="A1307" t="s">
        <v>1311</v>
      </c>
      <c r="B1307">
        <v>0.99987803227770999</v>
      </c>
      <c r="C1307">
        <v>1.06965692467784</v>
      </c>
      <c r="D1307">
        <v>0.98725897555592501</v>
      </c>
      <c r="E1307">
        <v>0.80478259941705999</v>
      </c>
      <c r="F1307">
        <v>0.601594104250605</v>
      </c>
      <c r="G1307">
        <v>0.42581432011515102</v>
      </c>
      <c r="H1307">
        <v>0.31979684141824999</v>
      </c>
      <c r="I1307">
        <v>0.26341386583304799</v>
      </c>
      <c r="J1307">
        <v>0.25759475204419402</v>
      </c>
      <c r="K1307">
        <v>0.202323851549844</v>
      </c>
      <c r="L1307">
        <v>950.978232440836</v>
      </c>
      <c r="M1307">
        <v>17.875354776377002</v>
      </c>
      <c r="N1307">
        <v>55.063518808790498</v>
      </c>
      <c r="O1307">
        <v>52.548104599010401</v>
      </c>
      <c r="P1307">
        <v>-6.5749539290967801E-2</v>
      </c>
      <c r="Q1307">
        <v>0.22690463295666599</v>
      </c>
      <c r="R1307">
        <v>0.99037487929548096</v>
      </c>
      <c r="S1307" t="s">
        <v>7618</v>
      </c>
      <c r="T1307" t="s">
        <v>12620</v>
      </c>
      <c r="U1307" t="s">
        <v>12620</v>
      </c>
      <c r="V1307" t="s">
        <v>12620</v>
      </c>
      <c r="W1307" t="s">
        <v>13893</v>
      </c>
      <c r="X1307">
        <v>2</v>
      </c>
      <c r="Y1307" t="s">
        <v>20123</v>
      </c>
      <c r="Z1307" t="s">
        <v>26254</v>
      </c>
      <c r="AA1307">
        <v>0.57982727099385112</v>
      </c>
      <c r="AB1307" t="str">
        <f>HYPERLINK("Melting_Curves/meltCurve_O94761_RECQL4.pdf", "Melting_Curves/meltCurve_O94761_RECQL4.pdf")</f>
        <v>Melting_Curves/meltCurve_O94761_RECQL4.pdf</v>
      </c>
    </row>
    <row r="1308" spans="1:28" x14ac:dyDescent="0.25">
      <c r="A1308" t="s">
        <v>1312</v>
      </c>
      <c r="B1308">
        <v>0.99987803227770999</v>
      </c>
      <c r="C1308">
        <v>0.96615577500346805</v>
      </c>
      <c r="D1308">
        <v>0.95430045994660195</v>
      </c>
      <c r="E1308">
        <v>1.12709455461332</v>
      </c>
      <c r="F1308">
        <v>1.0856239238101999</v>
      </c>
      <c r="G1308">
        <v>0.92056726146408596</v>
      </c>
      <c r="H1308">
        <v>0.84285277399972802</v>
      </c>
      <c r="I1308">
        <v>0.80704961967441002</v>
      </c>
      <c r="J1308">
        <v>0.79192594075848599</v>
      </c>
      <c r="K1308">
        <v>0.70421987461940605</v>
      </c>
      <c r="L1308">
        <v>1488.80544606238</v>
      </c>
      <c r="M1308">
        <v>24.583809453817999</v>
      </c>
      <c r="O1308">
        <v>60.163960696810399</v>
      </c>
      <c r="P1308">
        <v>-2.7223282512714501E-2</v>
      </c>
      <c r="Q1308">
        <v>0.73350970536253801</v>
      </c>
      <c r="R1308">
        <v>0.79766912670968504</v>
      </c>
      <c r="S1308" t="s">
        <v>7619</v>
      </c>
      <c r="T1308" t="s">
        <v>12620</v>
      </c>
      <c r="U1308" t="s">
        <v>12620</v>
      </c>
      <c r="V1308" t="s">
        <v>12620</v>
      </c>
      <c r="W1308" t="s">
        <v>13894</v>
      </c>
      <c r="X1308">
        <v>14</v>
      </c>
      <c r="Y1308" t="s">
        <v>20124</v>
      </c>
      <c r="Z1308" t="s">
        <v>26255</v>
      </c>
      <c r="AA1308">
        <v>0.91798739818593134</v>
      </c>
      <c r="AB1308" t="str">
        <f>HYPERLINK("Melting_Curves/meltCurve_O94763_URI1.pdf", "Melting_Curves/meltCurve_O94763_URI1.pdf")</f>
        <v>Melting_Curves/meltCurve_O94763_URI1.pdf</v>
      </c>
    </row>
    <row r="1309" spans="1:28" x14ac:dyDescent="0.25">
      <c r="A1309" t="s">
        <v>1313</v>
      </c>
      <c r="B1309">
        <v>0.99987803227770999</v>
      </c>
      <c r="C1309">
        <v>1.33552977591388</v>
      </c>
      <c r="D1309">
        <v>1.4454550058904601</v>
      </c>
      <c r="E1309">
        <v>1.6210363867456501</v>
      </c>
      <c r="F1309">
        <v>1.62525975489366</v>
      </c>
      <c r="G1309">
        <v>1.1239904324879599</v>
      </c>
      <c r="H1309">
        <v>1.12631950492707</v>
      </c>
      <c r="I1309">
        <v>1.04498306079571</v>
      </c>
      <c r="J1309">
        <v>0.409503629239029</v>
      </c>
      <c r="K1309">
        <v>0.44817671899052902</v>
      </c>
      <c r="L1309">
        <v>14986.266396011</v>
      </c>
      <c r="M1309">
        <v>228.51064210898301</v>
      </c>
      <c r="N1309">
        <v>66.138245424173405</v>
      </c>
      <c r="O1309">
        <v>65.577333351364601</v>
      </c>
      <c r="P1309">
        <v>-0.499393728500514</v>
      </c>
      <c r="Q1309">
        <v>0.42674164094452699</v>
      </c>
      <c r="R1309">
        <v>0.31365742358689702</v>
      </c>
      <c r="S1309" t="s">
        <v>7620</v>
      </c>
      <c r="T1309" t="s">
        <v>12620</v>
      </c>
      <c r="U1309" t="s">
        <v>12620</v>
      </c>
      <c r="V1309" t="s">
        <v>12620</v>
      </c>
      <c r="W1309" t="s">
        <v>13895</v>
      </c>
      <c r="X1309">
        <v>11</v>
      </c>
      <c r="Y1309" t="s">
        <v>20124</v>
      </c>
      <c r="Z1309" t="s">
        <v>26256</v>
      </c>
      <c r="AA1309">
        <v>0.91566393749585173</v>
      </c>
      <c r="AB1309" t="str">
        <f>HYPERLINK("Melting_Curves/meltCurve_O94763_4_URI1.pdf", "Melting_Curves/meltCurve_O94763_4_URI1.pdf")</f>
        <v>Melting_Curves/meltCurve_O94763_4_URI1.pdf</v>
      </c>
    </row>
    <row r="1310" spans="1:28" x14ac:dyDescent="0.25">
      <c r="A1310" t="s">
        <v>1314</v>
      </c>
      <c r="B1310">
        <v>0.99987803227770999</v>
      </c>
      <c r="C1310">
        <v>1.06105645832467</v>
      </c>
      <c r="D1310">
        <v>0.78700622372641105</v>
      </c>
      <c r="E1310">
        <v>0.76514804969234995</v>
      </c>
      <c r="F1310">
        <v>0.38295931749358503</v>
      </c>
      <c r="G1310">
        <v>0.186885237330119</v>
      </c>
      <c r="H1310">
        <v>0.13001696980503699</v>
      </c>
      <c r="I1310">
        <v>0.107705660439394</v>
      </c>
      <c r="J1310">
        <v>7.8528038452286897E-2</v>
      </c>
      <c r="K1310">
        <v>5.5612954425117302E-2</v>
      </c>
      <c r="L1310">
        <v>963.68077411207605</v>
      </c>
      <c r="M1310">
        <v>18.6377906430344</v>
      </c>
      <c r="N1310">
        <v>52.083457815465898</v>
      </c>
      <c r="O1310">
        <v>51.121519449973803</v>
      </c>
      <c r="P1310">
        <v>-8.5386661826773499E-2</v>
      </c>
      <c r="Q1310">
        <v>6.3213391509234995E-2</v>
      </c>
      <c r="R1310">
        <v>0.97685397766064197</v>
      </c>
      <c r="S1310" t="s">
        <v>7621</v>
      </c>
      <c r="T1310" t="s">
        <v>12620</v>
      </c>
      <c r="U1310" t="s">
        <v>12620</v>
      </c>
      <c r="V1310" t="s">
        <v>12620</v>
      </c>
      <c r="W1310" t="s">
        <v>13896</v>
      </c>
      <c r="X1310">
        <v>16</v>
      </c>
      <c r="Y1310" t="s">
        <v>20125</v>
      </c>
      <c r="Z1310" t="s">
        <v>26257</v>
      </c>
      <c r="AA1310">
        <v>0.4434646338028288</v>
      </c>
      <c r="AB1310" t="str">
        <f>HYPERLINK("Melting_Curves/meltCurve_O94776_MTA2.pdf", "Melting_Curves/meltCurve_O94776_MTA2.pdf")</f>
        <v>Melting_Curves/meltCurve_O94776_MTA2.pdf</v>
      </c>
    </row>
    <row r="1311" spans="1:28" x14ac:dyDescent="0.25">
      <c r="A1311" t="s">
        <v>1315</v>
      </c>
      <c r="B1311">
        <v>0.99987803227770999</v>
      </c>
      <c r="C1311">
        <v>0.93328135173017401</v>
      </c>
      <c r="D1311">
        <v>0.98374756060215396</v>
      </c>
      <c r="E1311">
        <v>0.77024704416377299</v>
      </c>
      <c r="F1311">
        <v>0.77115765209105103</v>
      </c>
      <c r="G1311">
        <v>0.61681260812488903</v>
      </c>
      <c r="H1311">
        <v>0.58837102586456602</v>
      </c>
      <c r="I1311">
        <v>0.54731083367203304</v>
      </c>
      <c r="J1311">
        <v>0.54928735702368703</v>
      </c>
      <c r="K1311">
        <v>0.43159292214205902</v>
      </c>
      <c r="L1311">
        <v>541.50071940830696</v>
      </c>
      <c r="M1311">
        <v>10.0018993737286</v>
      </c>
      <c r="N1311">
        <v>67.602415710799804</v>
      </c>
      <c r="O1311">
        <v>52.1090452656167</v>
      </c>
      <c r="P1311">
        <v>-2.7279697171835201E-2</v>
      </c>
      <c r="Q1311">
        <v>0.43177656298735001</v>
      </c>
      <c r="R1311">
        <v>0.95768174389218297</v>
      </c>
      <c r="S1311" t="s">
        <v>7622</v>
      </c>
      <c r="T1311" t="s">
        <v>12620</v>
      </c>
      <c r="U1311" t="s">
        <v>12620</v>
      </c>
      <c r="V1311" t="s">
        <v>12620</v>
      </c>
      <c r="W1311" t="s">
        <v>13897</v>
      </c>
      <c r="X1311">
        <v>2</v>
      </c>
      <c r="Y1311" t="s">
        <v>20126</v>
      </c>
      <c r="Z1311" t="s">
        <v>26258</v>
      </c>
      <c r="AA1311">
        <v>0.71642791864295285</v>
      </c>
      <c r="AB1311" t="str">
        <f>HYPERLINK("Melting_Curves/meltCurve_O94782_USP1.pdf", "Melting_Curves/meltCurve_O94782_USP1.pdf")</f>
        <v>Melting_Curves/meltCurve_O94782_USP1.pdf</v>
      </c>
    </row>
    <row r="1312" spans="1:28" x14ac:dyDescent="0.25">
      <c r="A1312" t="s">
        <v>1316</v>
      </c>
      <c r="B1312">
        <v>0.99987803227770999</v>
      </c>
      <c r="C1312">
        <v>1.0755214060312701</v>
      </c>
      <c r="D1312">
        <v>1.07972133489013</v>
      </c>
      <c r="E1312">
        <v>1.02145373169043</v>
      </c>
      <c r="F1312">
        <v>0.78540988233226705</v>
      </c>
      <c r="G1312">
        <v>0.64226162188476099</v>
      </c>
      <c r="H1312">
        <v>0.79690796523774698</v>
      </c>
      <c r="I1312">
        <v>0.77964641117628497</v>
      </c>
      <c r="J1312">
        <v>0.50244962995952402</v>
      </c>
      <c r="K1312">
        <v>0.336595835906422</v>
      </c>
      <c r="L1312">
        <v>550.851016556373</v>
      </c>
      <c r="M1312">
        <v>8.1431129759744607</v>
      </c>
      <c r="N1312">
        <v>67.6462450707144</v>
      </c>
      <c r="O1312">
        <v>63.933607855939201</v>
      </c>
      <c r="P1312">
        <v>-3.18757695699712E-2</v>
      </c>
      <c r="Q1312">
        <v>0</v>
      </c>
      <c r="R1312">
        <v>0.80116814973752004</v>
      </c>
      <c r="S1312" t="s">
        <v>7623</v>
      </c>
      <c r="T1312" t="s">
        <v>12620</v>
      </c>
      <c r="U1312" t="s">
        <v>12620</v>
      </c>
      <c r="V1312" t="s">
        <v>12620</v>
      </c>
      <c r="W1312" t="s">
        <v>13898</v>
      </c>
      <c r="X1312">
        <v>4</v>
      </c>
      <c r="Y1312" t="s">
        <v>20127</v>
      </c>
      <c r="Z1312" t="s">
        <v>26259</v>
      </c>
      <c r="AA1312">
        <v>0.80711445561038375</v>
      </c>
      <c r="AB1312" t="str">
        <f>HYPERLINK("Melting_Curves/meltCurve_O94788_4_ALDH1A2.pdf", "Melting_Curves/meltCurve_O94788_4_ALDH1A2.pdf")</f>
        <v>Melting_Curves/meltCurve_O94788_4_ALDH1A2.pdf</v>
      </c>
    </row>
    <row r="1313" spans="1:28" x14ac:dyDescent="0.25">
      <c r="A1313" t="s">
        <v>1317</v>
      </c>
      <c r="B1313">
        <v>0.99987803227770999</v>
      </c>
      <c r="C1313">
        <v>0.95649399996140705</v>
      </c>
      <c r="D1313">
        <v>0.83206366293137302</v>
      </c>
      <c r="E1313">
        <v>0.326402080988417</v>
      </c>
      <c r="F1313">
        <v>0.22778379144372601</v>
      </c>
      <c r="G1313">
        <v>0.17813403422434501</v>
      </c>
      <c r="H1313">
        <v>0.135856741780013</v>
      </c>
      <c r="I1313">
        <v>0.113544744387353</v>
      </c>
      <c r="J1313">
        <v>9.2929393683222006E-2</v>
      </c>
      <c r="K1313">
        <v>6.8129978318439005E-2</v>
      </c>
      <c r="L1313">
        <v>1295.3566778269301</v>
      </c>
      <c r="M1313">
        <v>26.866566794195201</v>
      </c>
      <c r="N1313">
        <v>48.696727647745199</v>
      </c>
      <c r="O1313">
        <v>47.9497039934055</v>
      </c>
      <c r="P1313">
        <v>-0.12371555577915</v>
      </c>
      <c r="Q1313">
        <v>0.116810958299689</v>
      </c>
      <c r="R1313">
        <v>0.993095221669127</v>
      </c>
      <c r="S1313" t="s">
        <v>7624</v>
      </c>
      <c r="T1313" t="s">
        <v>12620</v>
      </c>
      <c r="U1313" t="s">
        <v>12620</v>
      </c>
      <c r="V1313" t="s">
        <v>12620</v>
      </c>
      <c r="W1313" t="s">
        <v>13899</v>
      </c>
      <c r="X1313">
        <v>13</v>
      </c>
      <c r="Y1313" t="s">
        <v>20128</v>
      </c>
      <c r="Z1313" t="s">
        <v>26260</v>
      </c>
      <c r="AA1313">
        <v>0.36534843983573623</v>
      </c>
      <c r="AB1313" t="str">
        <f>HYPERLINK("Melting_Curves/meltCurve_O94804_STK10.pdf", "Melting_Curves/meltCurve_O94804_STK10.pdf")</f>
        <v>Melting_Curves/meltCurve_O94804_STK10.pdf</v>
      </c>
    </row>
    <row r="1314" spans="1:28" x14ac:dyDescent="0.25">
      <c r="A1314" t="s">
        <v>1318</v>
      </c>
      <c r="B1314">
        <v>0.99987803227770999</v>
      </c>
      <c r="C1314">
        <v>1.12852140161287</v>
      </c>
      <c r="D1314">
        <v>0.69226543999881596</v>
      </c>
      <c r="E1314">
        <v>0.482903159957211</v>
      </c>
      <c r="F1314">
        <v>0.22712621579568901</v>
      </c>
      <c r="G1314">
        <v>0.16743829532243201</v>
      </c>
      <c r="H1314">
        <v>0.103708686018671</v>
      </c>
      <c r="I1314">
        <v>0.11851767134635301</v>
      </c>
      <c r="J1314">
        <v>6.9199852305881202E-2</v>
      </c>
      <c r="K1314">
        <v>3.4317814636147297E-2</v>
      </c>
      <c r="L1314">
        <v>967.14564340835602</v>
      </c>
      <c r="M1314">
        <v>19.755765218097601</v>
      </c>
      <c r="N1314">
        <v>49.388088304815199</v>
      </c>
      <c r="O1314">
        <v>48.461784192401097</v>
      </c>
      <c r="P1314">
        <v>-9.3813784193377298E-2</v>
      </c>
      <c r="Q1314">
        <v>7.9513662265476404E-2</v>
      </c>
      <c r="R1314">
        <v>0.96564754116025397</v>
      </c>
      <c r="S1314" t="s">
        <v>7625</v>
      </c>
      <c r="T1314" t="s">
        <v>12620</v>
      </c>
      <c r="U1314" t="s">
        <v>12620</v>
      </c>
      <c r="V1314" t="s">
        <v>12620</v>
      </c>
      <c r="W1314" t="s">
        <v>13900</v>
      </c>
      <c r="X1314">
        <v>3</v>
      </c>
      <c r="Y1314" t="s">
        <v>20129</v>
      </c>
      <c r="Z1314" t="s">
        <v>26261</v>
      </c>
      <c r="AA1314">
        <v>0.36750820204981882</v>
      </c>
      <c r="AB1314" t="str">
        <f>HYPERLINK("Melting_Curves/meltCurve_O94806_PRKD3.pdf", "Melting_Curves/meltCurve_O94806_PRKD3.pdf")</f>
        <v>Melting_Curves/meltCurve_O94806_PRKD3.pdf</v>
      </c>
    </row>
    <row r="1315" spans="1:28" x14ac:dyDescent="0.25">
      <c r="A1315" t="s">
        <v>1319</v>
      </c>
      <c r="B1315">
        <v>0.99987803227770999</v>
      </c>
      <c r="C1315">
        <v>0.94567501618068295</v>
      </c>
      <c r="D1315">
        <v>0.53953588612574999</v>
      </c>
      <c r="E1315">
        <v>0.36701448244929302</v>
      </c>
      <c r="F1315">
        <v>0.22158637976956699</v>
      </c>
      <c r="G1315">
        <v>0.129762499392854</v>
      </c>
      <c r="H1315">
        <v>0.106839389150005</v>
      </c>
      <c r="I1315">
        <v>0.105261656719063</v>
      </c>
      <c r="J1315">
        <v>7.47572447592013E-2</v>
      </c>
      <c r="K1315">
        <v>6.0264694112530402E-2</v>
      </c>
      <c r="L1315">
        <v>835.55579746500302</v>
      </c>
      <c r="M1315">
        <v>17.7530922829235</v>
      </c>
      <c r="N1315">
        <v>47.577121573422403</v>
      </c>
      <c r="O1315">
        <v>46.480372791084498</v>
      </c>
      <c r="P1315">
        <v>-8.7191952009031598E-2</v>
      </c>
      <c r="Q1315">
        <v>8.69188919841868E-2</v>
      </c>
      <c r="R1315">
        <v>0.98147302480885901</v>
      </c>
      <c r="S1315" t="s">
        <v>7626</v>
      </c>
      <c r="T1315" t="s">
        <v>12620</v>
      </c>
      <c r="U1315" t="s">
        <v>12620</v>
      </c>
      <c r="V1315" t="s">
        <v>12620</v>
      </c>
      <c r="W1315" t="s">
        <v>13901</v>
      </c>
      <c r="X1315">
        <v>14</v>
      </c>
      <c r="Y1315" t="s">
        <v>20130</v>
      </c>
      <c r="Z1315" t="s">
        <v>26262</v>
      </c>
      <c r="AA1315">
        <v>0.31926372030405659</v>
      </c>
      <c r="AB1315" t="str">
        <f>HYPERLINK("Melting_Curves/meltCurve_O94808_GFPT2.pdf", "Melting_Curves/meltCurve_O94808_GFPT2.pdf")</f>
        <v>Melting_Curves/meltCurve_O94808_GFPT2.pdf</v>
      </c>
    </row>
    <row r="1316" spans="1:28" x14ac:dyDescent="0.25">
      <c r="A1316" t="s">
        <v>1320</v>
      </c>
      <c r="B1316">
        <v>0.99987803227770999</v>
      </c>
      <c r="C1316">
        <v>0.85928373244663603</v>
      </c>
      <c r="D1316">
        <v>1.0610552732732099</v>
      </c>
      <c r="E1316">
        <v>0.88104357088038598</v>
      </c>
      <c r="F1316">
        <v>1.1114945262393701</v>
      </c>
      <c r="G1316">
        <v>0.70579878824225495</v>
      </c>
      <c r="H1316">
        <v>0.80895200846316095</v>
      </c>
      <c r="I1316">
        <v>0.83857645525733804</v>
      </c>
      <c r="J1316">
        <v>0.85123416307536803</v>
      </c>
      <c r="K1316">
        <v>0.68255796614117104</v>
      </c>
      <c r="L1316">
        <v>5834.8444799580102</v>
      </c>
      <c r="M1316">
        <v>106.003490899198</v>
      </c>
      <c r="O1316">
        <v>55.024308063456502</v>
      </c>
      <c r="P1316">
        <v>-0.107370406174949</v>
      </c>
      <c r="Q1316">
        <v>0.77706462613410598</v>
      </c>
      <c r="R1316">
        <v>0.57268415971292297</v>
      </c>
      <c r="S1316" t="s">
        <v>7627</v>
      </c>
      <c r="T1316" t="s">
        <v>12620</v>
      </c>
      <c r="U1316" t="s">
        <v>12620</v>
      </c>
      <c r="V1316" t="s">
        <v>12620</v>
      </c>
      <c r="W1316" t="s">
        <v>13902</v>
      </c>
      <c r="X1316">
        <v>4</v>
      </c>
      <c r="Y1316" t="s">
        <v>20131</v>
      </c>
      <c r="Z1316" t="s">
        <v>26263</v>
      </c>
      <c r="AA1316">
        <v>0.88897837242979239</v>
      </c>
      <c r="AB1316" t="str">
        <f>HYPERLINK("Melting_Curves/meltCurve_O94811_TPPP.pdf", "Melting_Curves/meltCurve_O94811_TPPP.pdf")</f>
        <v>Melting_Curves/meltCurve_O94811_TPPP.pdf</v>
      </c>
    </row>
    <row r="1317" spans="1:28" x14ac:dyDescent="0.25">
      <c r="A1317" t="s">
        <v>1321</v>
      </c>
      <c r="B1317">
        <v>0.99987803227770999</v>
      </c>
      <c r="C1317">
        <v>0.95591316878394295</v>
      </c>
      <c r="D1317">
        <v>0.98191634204205203</v>
      </c>
      <c r="E1317">
        <v>0.96603640591128404</v>
      </c>
      <c r="F1317">
        <v>0.94769184847704402</v>
      </c>
      <c r="G1317">
        <v>0.43299866016212601</v>
      </c>
      <c r="H1317">
        <v>0.14806877490292</v>
      </c>
      <c r="I1317">
        <v>9.1348709242682499E-2</v>
      </c>
      <c r="J1317">
        <v>6.0625163265630798E-2</v>
      </c>
      <c r="K1317">
        <v>4.0546834840284998E-2</v>
      </c>
      <c r="L1317">
        <v>2098.8114447809498</v>
      </c>
      <c r="M1317">
        <v>37.194538224173598</v>
      </c>
      <c r="N1317">
        <v>56.6432733866653</v>
      </c>
      <c r="O1317">
        <v>56.265579754105197</v>
      </c>
      <c r="P1317">
        <v>-0.15436851073945099</v>
      </c>
      <c r="Q1317">
        <v>6.5926392503720996E-2</v>
      </c>
      <c r="R1317">
        <v>0.99689632418192797</v>
      </c>
      <c r="S1317" t="s">
        <v>7628</v>
      </c>
      <c r="T1317" t="s">
        <v>12620</v>
      </c>
      <c r="U1317" t="s">
        <v>12620</v>
      </c>
      <c r="V1317" t="s">
        <v>12620</v>
      </c>
      <c r="W1317" t="s">
        <v>13903</v>
      </c>
      <c r="X1317">
        <v>2</v>
      </c>
      <c r="Y1317" t="s">
        <v>20132</v>
      </c>
      <c r="Z1317" t="s">
        <v>26264</v>
      </c>
      <c r="AA1317">
        <v>0.58158661174915394</v>
      </c>
      <c r="AB1317" t="str">
        <f>HYPERLINK("Melting_Curves/meltCurve_O94817_ATG12.pdf", "Melting_Curves/meltCurve_O94817_ATG12.pdf")</f>
        <v>Melting_Curves/meltCurve_O94817_ATG12.pdf</v>
      </c>
    </row>
    <row r="1318" spans="1:28" x14ac:dyDescent="0.25">
      <c r="A1318" t="s">
        <v>1322</v>
      </c>
      <c r="B1318">
        <v>0.99987803227770999</v>
      </c>
      <c r="C1318">
        <v>0.894682124734686</v>
      </c>
      <c r="D1318">
        <v>0.93951946798777997</v>
      </c>
      <c r="E1318">
        <v>0.79009759166332905</v>
      </c>
      <c r="F1318">
        <v>0.65290298947624403</v>
      </c>
      <c r="G1318">
        <v>0.28165648640138802</v>
      </c>
      <c r="H1318">
        <v>0.163552316022821</v>
      </c>
      <c r="I1318">
        <v>0.115963277868928</v>
      </c>
      <c r="J1318">
        <v>0.108956291969833</v>
      </c>
      <c r="K1318">
        <v>6.5205737969832506E-2</v>
      </c>
      <c r="L1318">
        <v>928.47485548772102</v>
      </c>
      <c r="M1318">
        <v>17.207401166605798</v>
      </c>
      <c r="N1318">
        <v>54.319679730257597</v>
      </c>
      <c r="O1318">
        <v>53.244945577347103</v>
      </c>
      <c r="P1318">
        <v>-7.6423730206908694E-2</v>
      </c>
      <c r="Q1318">
        <v>5.4142387609625399E-2</v>
      </c>
      <c r="R1318">
        <v>0.98926006081970497</v>
      </c>
      <c r="S1318" t="s">
        <v>7629</v>
      </c>
      <c r="T1318" t="s">
        <v>12620</v>
      </c>
      <c r="U1318" t="s">
        <v>12620</v>
      </c>
      <c r="V1318" t="s">
        <v>12620</v>
      </c>
      <c r="W1318" t="s">
        <v>13904</v>
      </c>
      <c r="X1318">
        <v>12</v>
      </c>
      <c r="Y1318" t="s">
        <v>20133</v>
      </c>
      <c r="Z1318" t="s">
        <v>26265</v>
      </c>
      <c r="AA1318">
        <v>0.51039603408609924</v>
      </c>
      <c r="AB1318" t="str">
        <f>HYPERLINK("Melting_Curves/meltCurve_O94819_KBTBD11.pdf", "Melting_Curves/meltCurve_O94819_KBTBD11.pdf")</f>
        <v>Melting_Curves/meltCurve_O94819_KBTBD11.pdf</v>
      </c>
    </row>
    <row r="1319" spans="1:28" x14ac:dyDescent="0.25">
      <c r="A1319" t="s">
        <v>1323</v>
      </c>
      <c r="B1319">
        <v>0.99987803227770999</v>
      </c>
      <c r="C1319">
        <v>1.0599271965031201</v>
      </c>
      <c r="D1319">
        <v>0.85852764704562001</v>
      </c>
      <c r="E1319">
        <v>0.61123179712264797</v>
      </c>
      <c r="F1319">
        <v>0.266363387415602</v>
      </c>
      <c r="G1319">
        <v>0.16013199652148</v>
      </c>
      <c r="H1319">
        <v>0.106475195502722</v>
      </c>
      <c r="I1319">
        <v>9.8487065934960594E-2</v>
      </c>
      <c r="J1319">
        <v>6.8114489572953699E-2</v>
      </c>
      <c r="K1319">
        <v>5.20296690022784E-2</v>
      </c>
      <c r="L1319">
        <v>1150.35449486678</v>
      </c>
      <c r="M1319">
        <v>22.8265589341433</v>
      </c>
      <c r="N1319">
        <v>50.758713583781898</v>
      </c>
      <c r="O1319">
        <v>50.013444832589101</v>
      </c>
      <c r="P1319">
        <v>-0.105505417548154</v>
      </c>
      <c r="Q1319">
        <v>7.5359973868410299E-2</v>
      </c>
      <c r="R1319">
        <v>0.99198954601679301</v>
      </c>
      <c r="S1319" t="s">
        <v>7630</v>
      </c>
      <c r="T1319" t="s">
        <v>12620</v>
      </c>
      <c r="U1319" t="s">
        <v>12620</v>
      </c>
      <c r="V1319" t="s">
        <v>12620</v>
      </c>
      <c r="W1319" t="s">
        <v>13905</v>
      </c>
      <c r="X1319">
        <v>9</v>
      </c>
      <c r="Y1319" t="s">
        <v>20134</v>
      </c>
      <c r="Z1319" t="s">
        <v>26266</v>
      </c>
      <c r="AA1319">
        <v>0.40569963880578153</v>
      </c>
      <c r="AB1319" t="str">
        <f>HYPERLINK("Melting_Curves/meltCurve_O94822_LTN1.pdf", "Melting_Curves/meltCurve_O94822_LTN1.pdf")</f>
        <v>Melting_Curves/meltCurve_O94822_LTN1.pdf</v>
      </c>
    </row>
    <row r="1320" spans="1:28" x14ac:dyDescent="0.25">
      <c r="A1320" t="s">
        <v>1324</v>
      </c>
      <c r="B1320">
        <v>0.99987803227770999</v>
      </c>
      <c r="C1320">
        <v>1.0328666180314401</v>
      </c>
      <c r="D1320">
        <v>0.95456624593567796</v>
      </c>
      <c r="E1320">
        <v>0.94622897261640604</v>
      </c>
      <c r="F1320">
        <v>0.31480974019980301</v>
      </c>
      <c r="G1320">
        <v>0.19641960311525999</v>
      </c>
      <c r="H1320">
        <v>0.12202654194274801</v>
      </c>
      <c r="I1320">
        <v>0.114989574834942</v>
      </c>
      <c r="J1320">
        <v>8.3342495048419105E-2</v>
      </c>
      <c r="K1320">
        <v>6.0833946640030702E-2</v>
      </c>
      <c r="L1320">
        <v>3398.6316996103701</v>
      </c>
      <c r="M1320">
        <v>65.333624631404902</v>
      </c>
      <c r="N1320">
        <v>52.227403882222703</v>
      </c>
      <c r="O1320">
        <v>51.970978485976602</v>
      </c>
      <c r="P1320">
        <v>-0.27831474627709601</v>
      </c>
      <c r="Q1320">
        <v>0.114435606135098</v>
      </c>
      <c r="R1320">
        <v>0.99226172017248704</v>
      </c>
      <c r="S1320" t="s">
        <v>7631</v>
      </c>
      <c r="T1320" t="s">
        <v>12620</v>
      </c>
      <c r="U1320" t="s">
        <v>12620</v>
      </c>
      <c r="V1320" t="s">
        <v>12620</v>
      </c>
      <c r="W1320" t="s">
        <v>13906</v>
      </c>
      <c r="X1320">
        <v>11</v>
      </c>
      <c r="Y1320" t="s">
        <v>20135</v>
      </c>
      <c r="Z1320" t="s">
        <v>26267</v>
      </c>
      <c r="AA1320">
        <v>0.47042850851777562</v>
      </c>
      <c r="AB1320" t="str">
        <f>HYPERLINK("Melting_Curves/meltCurve_O94826_TOMM70A.pdf", "Melting_Curves/meltCurve_O94826_TOMM70A.pdf")</f>
        <v>Melting_Curves/meltCurve_O94826_TOMM70A.pdf</v>
      </c>
    </row>
    <row r="1321" spans="1:28" x14ac:dyDescent="0.25">
      <c r="A1321" t="s">
        <v>1325</v>
      </c>
      <c r="B1321">
        <v>0.99987803227770999</v>
      </c>
      <c r="C1321">
        <v>1.22537491163098</v>
      </c>
      <c r="D1321">
        <v>0.951580510535732</v>
      </c>
      <c r="E1321">
        <v>0.93032214518588396</v>
      </c>
      <c r="F1321">
        <v>0.35705409235943097</v>
      </c>
      <c r="G1321">
        <v>0.21390728488904701</v>
      </c>
      <c r="H1321">
        <v>0.15921537469604599</v>
      </c>
      <c r="I1321">
        <v>0.149900734773914</v>
      </c>
      <c r="J1321">
        <v>0.12727968162248199</v>
      </c>
      <c r="K1321">
        <v>9.9096729732650796E-2</v>
      </c>
      <c r="L1321">
        <v>3024.3644485049699</v>
      </c>
      <c r="M1321">
        <v>58.159892688820499</v>
      </c>
      <c r="N1321">
        <v>52.317031184668402</v>
      </c>
      <c r="O1321">
        <v>51.939499410271203</v>
      </c>
      <c r="P1321">
        <v>-0.238459838235759</v>
      </c>
      <c r="Q1321">
        <v>0.148177502816147</v>
      </c>
      <c r="R1321">
        <v>0.966805538843864</v>
      </c>
      <c r="S1321" t="s">
        <v>7632</v>
      </c>
      <c r="T1321" t="s">
        <v>12620</v>
      </c>
      <c r="U1321" t="s">
        <v>12620</v>
      </c>
      <c r="V1321" t="s">
        <v>12620</v>
      </c>
      <c r="W1321" t="s">
        <v>13907</v>
      </c>
      <c r="X1321">
        <v>8</v>
      </c>
      <c r="Y1321" t="s">
        <v>20136</v>
      </c>
      <c r="Z1321" t="s">
        <v>26268</v>
      </c>
      <c r="AA1321">
        <v>0.49037288255217909</v>
      </c>
      <c r="AB1321" t="str">
        <f>HYPERLINK("Melting_Curves/meltCurve_O94829_IPO13.pdf", "Melting_Curves/meltCurve_O94829_IPO13.pdf")</f>
        <v>Melting_Curves/meltCurve_O94829_IPO13.pdf</v>
      </c>
    </row>
    <row r="1322" spans="1:28" x14ac:dyDescent="0.25">
      <c r="A1322" t="s">
        <v>1326</v>
      </c>
      <c r="B1322">
        <v>0.99987803227770999</v>
      </c>
      <c r="C1322">
        <v>1.151500513027</v>
      </c>
      <c r="D1322">
        <v>0.92959608929370696</v>
      </c>
      <c r="E1322">
        <v>0.99579441706618299</v>
      </c>
      <c r="F1322">
        <v>0.68648751428872701</v>
      </c>
      <c r="G1322">
        <v>0.48215973746340701</v>
      </c>
      <c r="H1322">
        <v>0.19789529685715099</v>
      </c>
      <c r="I1322">
        <v>0.133519014530357</v>
      </c>
      <c r="J1322">
        <v>9.7364480680296905E-2</v>
      </c>
      <c r="K1322">
        <v>7.3714660890987202E-2</v>
      </c>
      <c r="L1322">
        <v>1080.8534776004401</v>
      </c>
      <c r="M1322">
        <v>19.326663289834499</v>
      </c>
      <c r="N1322">
        <v>56.276907574533197</v>
      </c>
      <c r="O1322">
        <v>55.337080495731698</v>
      </c>
      <c r="P1322">
        <v>-8.2353512242333504E-2</v>
      </c>
      <c r="Q1322">
        <v>5.6840172034979999E-2</v>
      </c>
      <c r="R1322">
        <v>0.97539036829440895</v>
      </c>
      <c r="S1322" t="s">
        <v>7633</v>
      </c>
      <c r="T1322" t="s">
        <v>12620</v>
      </c>
      <c r="U1322" t="s">
        <v>12620</v>
      </c>
      <c r="V1322" t="s">
        <v>12620</v>
      </c>
      <c r="W1322" t="s">
        <v>13908</v>
      </c>
      <c r="X1322">
        <v>7</v>
      </c>
      <c r="Y1322" t="s">
        <v>20137</v>
      </c>
      <c r="Z1322" t="s">
        <v>26269</v>
      </c>
      <c r="AA1322">
        <v>0.57027645524034754</v>
      </c>
      <c r="AB1322" t="str">
        <f>HYPERLINK("Melting_Curves/meltCurve_O94830_DDHD2.pdf", "Melting_Curves/meltCurve_O94830_DDHD2.pdf")</f>
        <v>Melting_Curves/meltCurve_O94830_DDHD2.pdf</v>
      </c>
    </row>
    <row r="1323" spans="1:28" x14ac:dyDescent="0.25">
      <c r="A1323" t="s">
        <v>1327</v>
      </c>
      <c r="B1323">
        <v>0.99987803227770999</v>
      </c>
      <c r="C1323">
        <v>0.98622148972456902</v>
      </c>
      <c r="D1323">
        <v>0.90942973038688502</v>
      </c>
      <c r="E1323">
        <v>0.73848798369611801</v>
      </c>
      <c r="F1323">
        <v>0.39949547834629501</v>
      </c>
      <c r="G1323">
        <v>0.191237482490247</v>
      </c>
      <c r="H1323">
        <v>0.120262294823723</v>
      </c>
      <c r="I1323">
        <v>0.12890120910480199</v>
      </c>
      <c r="J1323">
        <v>8.6347379231332594E-2</v>
      </c>
      <c r="K1323">
        <v>5.3770079679986198E-2</v>
      </c>
      <c r="L1323">
        <v>1133.7646364080699</v>
      </c>
      <c r="M1323">
        <v>21.9169329347828</v>
      </c>
      <c r="N1323">
        <v>52.157792781013299</v>
      </c>
      <c r="O1323">
        <v>51.305193957805898</v>
      </c>
      <c r="P1323">
        <v>-9.8015145613111504E-2</v>
      </c>
      <c r="Q1323">
        <v>8.2248944003372598E-2</v>
      </c>
      <c r="R1323">
        <v>0.99664258480257994</v>
      </c>
      <c r="S1323" t="s">
        <v>7634</v>
      </c>
      <c r="T1323" t="s">
        <v>12620</v>
      </c>
      <c r="U1323" t="s">
        <v>12620</v>
      </c>
      <c r="V1323" t="s">
        <v>12620</v>
      </c>
      <c r="W1323" t="s">
        <v>13909</v>
      </c>
      <c r="X1323">
        <v>9</v>
      </c>
      <c r="Y1323" t="s">
        <v>20138</v>
      </c>
      <c r="Z1323" t="s">
        <v>26270</v>
      </c>
      <c r="AA1323">
        <v>0.45183081833699601</v>
      </c>
      <c r="AB1323" t="str">
        <f>HYPERLINK("Melting_Curves/meltCurve_O94851_5_MICAL2.pdf", "Melting_Curves/meltCurve_O94851_5_MICAL2.pdf")</f>
        <v>Melting_Curves/meltCurve_O94851_5_MICAL2.pdf</v>
      </c>
    </row>
    <row r="1324" spans="1:28" x14ac:dyDescent="0.25">
      <c r="A1324" t="s">
        <v>1328</v>
      </c>
      <c r="B1324">
        <v>0.99987803227770999</v>
      </c>
      <c r="C1324">
        <v>1.01978404818365</v>
      </c>
      <c r="D1324">
        <v>1.5440812695797299</v>
      </c>
      <c r="E1324">
        <v>1.0015608421295299</v>
      </c>
      <c r="F1324">
        <v>0.97689276976815298</v>
      </c>
      <c r="G1324">
        <v>0.84299396058971998</v>
      </c>
      <c r="H1324">
        <v>0.74165457911369304</v>
      </c>
      <c r="I1324">
        <v>0.76344605881364602</v>
      </c>
      <c r="J1324">
        <v>0.67757134594157098</v>
      </c>
      <c r="K1324">
        <v>0.53839324710324998</v>
      </c>
      <c r="L1324">
        <v>930.92393962521999</v>
      </c>
      <c r="M1324">
        <v>15.0269918373592</v>
      </c>
      <c r="O1324">
        <v>60.884082680998503</v>
      </c>
      <c r="P1324">
        <v>-2.9808007114332302E-2</v>
      </c>
      <c r="Q1324">
        <v>0.51696232326966096</v>
      </c>
      <c r="R1324">
        <v>0.540807395265685</v>
      </c>
      <c r="S1324" t="s">
        <v>7635</v>
      </c>
      <c r="T1324" t="s">
        <v>12620</v>
      </c>
      <c r="U1324" t="s">
        <v>12620</v>
      </c>
      <c r="V1324" t="s">
        <v>12620</v>
      </c>
      <c r="W1324" t="s">
        <v>13910</v>
      </c>
      <c r="X1324">
        <v>3</v>
      </c>
      <c r="Y1324" t="s">
        <v>20139</v>
      </c>
      <c r="Z1324" t="s">
        <v>26271</v>
      </c>
      <c r="AA1324">
        <v>0.86919110096983332</v>
      </c>
      <c r="AB1324" t="str">
        <f>HYPERLINK("Melting_Curves/meltCurve_O94854_2_KIAA0754.pdf", "Melting_Curves/meltCurve_O94854_2_KIAA0754.pdf")</f>
        <v>Melting_Curves/meltCurve_O94854_2_KIAA0754.pdf</v>
      </c>
    </row>
    <row r="1325" spans="1:28" x14ac:dyDescent="0.25">
      <c r="A1325" t="s">
        <v>1329</v>
      </c>
      <c r="B1325">
        <v>0.99987803227770999</v>
      </c>
      <c r="C1325">
        <v>1.1365764668231</v>
      </c>
      <c r="D1325">
        <v>0.99200975181227302</v>
      </c>
      <c r="E1325">
        <v>1.1120489217723</v>
      </c>
      <c r="F1325">
        <v>0.47509485281192398</v>
      </c>
      <c r="G1325">
        <v>0.20857828372256401</v>
      </c>
      <c r="H1325">
        <v>0.145542700113971</v>
      </c>
      <c r="I1325">
        <v>0.10597087387061099</v>
      </c>
      <c r="J1325">
        <v>6.2065899502727798E-2</v>
      </c>
      <c r="K1325">
        <v>4.0254325914166098E-2</v>
      </c>
      <c r="L1325">
        <v>13230.396261796999</v>
      </c>
      <c r="M1325">
        <v>250</v>
      </c>
      <c r="N1325">
        <v>52.9755895699465</v>
      </c>
      <c r="O1325">
        <v>52.918219607564502</v>
      </c>
      <c r="P1325">
        <v>-1.04821879600497</v>
      </c>
      <c r="Q1325">
        <v>0.112482395119628</v>
      </c>
      <c r="R1325">
        <v>0.97570847150542706</v>
      </c>
      <c r="S1325" t="s">
        <v>7636</v>
      </c>
      <c r="T1325" t="s">
        <v>12620</v>
      </c>
      <c r="U1325" t="s">
        <v>12620</v>
      </c>
      <c r="V1325" t="s">
        <v>12620</v>
      </c>
      <c r="W1325" t="s">
        <v>13911</v>
      </c>
      <c r="X1325">
        <v>8</v>
      </c>
      <c r="Y1325" t="s">
        <v>20140</v>
      </c>
      <c r="Z1325" t="s">
        <v>26272</v>
      </c>
      <c r="AA1325">
        <v>0.49483596511131572</v>
      </c>
      <c r="AB1325" t="str">
        <f>HYPERLINK("Melting_Curves/meltCurve_O94855_SEC24D.pdf", "Melting_Curves/meltCurve_O94855_SEC24D.pdf")</f>
        <v>Melting_Curves/meltCurve_O94855_SEC24D.pdf</v>
      </c>
    </row>
    <row r="1326" spans="1:28" x14ac:dyDescent="0.25">
      <c r="A1326" t="s">
        <v>1330</v>
      </c>
      <c r="B1326">
        <v>0.99987803227770999</v>
      </c>
      <c r="C1326">
        <v>0.93555907799309002</v>
      </c>
      <c r="D1326">
        <v>0.96804459321140401</v>
      </c>
      <c r="E1326">
        <v>0.84881294550147501</v>
      </c>
      <c r="F1326">
        <v>0.71452046540918801</v>
      </c>
      <c r="G1326">
        <v>0.321603999131855</v>
      </c>
      <c r="H1326">
        <v>0.27650001878666902</v>
      </c>
      <c r="I1326">
        <v>0.179603093709573</v>
      </c>
      <c r="J1326">
        <v>0.16082000960346901</v>
      </c>
      <c r="K1326">
        <v>0.12355109137244399</v>
      </c>
      <c r="L1326">
        <v>1072.1684185956101</v>
      </c>
      <c r="M1326">
        <v>19.741955686790799</v>
      </c>
      <c r="N1326">
        <v>55.199994739333299</v>
      </c>
      <c r="O1326">
        <v>53.761096024512703</v>
      </c>
      <c r="P1326">
        <v>-7.9282855587110096E-2</v>
      </c>
      <c r="Q1326">
        <v>0.136420449883495</v>
      </c>
      <c r="R1326">
        <v>0.98993768104513802</v>
      </c>
      <c r="S1326" t="s">
        <v>7637</v>
      </c>
      <c r="T1326" t="s">
        <v>12620</v>
      </c>
      <c r="U1326" t="s">
        <v>12620</v>
      </c>
      <c r="V1326" t="s">
        <v>12620</v>
      </c>
      <c r="W1326" t="s">
        <v>13912</v>
      </c>
      <c r="X1326">
        <v>4</v>
      </c>
      <c r="Y1326" t="s">
        <v>20141</v>
      </c>
      <c r="Z1326" t="s">
        <v>26273</v>
      </c>
      <c r="AA1326">
        <v>0.56023872164523547</v>
      </c>
      <c r="AB1326" t="str">
        <f>HYPERLINK("Melting_Curves/meltCurve_O94864_2_SUPT7L.pdf", "Melting_Curves/meltCurve_O94864_2_SUPT7L.pdf")</f>
        <v>Melting_Curves/meltCurve_O94864_2_SUPT7L.pdf</v>
      </c>
    </row>
    <row r="1327" spans="1:28" x14ac:dyDescent="0.25">
      <c r="A1327" t="s">
        <v>1331</v>
      </c>
      <c r="B1327">
        <v>0.99987803227770999</v>
      </c>
      <c r="C1327">
        <v>0.97377070427560997</v>
      </c>
      <c r="D1327">
        <v>0.95064875972813001</v>
      </c>
      <c r="E1327">
        <v>0.49421022705187401</v>
      </c>
      <c r="F1327">
        <v>0.42375237615199302</v>
      </c>
      <c r="G1327">
        <v>0.30543864272536603</v>
      </c>
      <c r="H1327">
        <v>0.33751439583430098</v>
      </c>
      <c r="I1327">
        <v>0.29609500044410902</v>
      </c>
      <c r="J1327">
        <v>0.20787369065433201</v>
      </c>
      <c r="K1327">
        <v>0.16943892104011099</v>
      </c>
      <c r="L1327">
        <v>1265.6290880105701</v>
      </c>
      <c r="M1327">
        <v>25.721142927922301</v>
      </c>
      <c r="N1327">
        <v>50.666026613306499</v>
      </c>
      <c r="O1327">
        <v>48.911244956821498</v>
      </c>
      <c r="P1327">
        <v>-9.7057126741069297E-2</v>
      </c>
      <c r="Q1327">
        <v>0.26175475271698001</v>
      </c>
      <c r="R1327">
        <v>0.97048512857299596</v>
      </c>
      <c r="S1327" t="s">
        <v>7638</v>
      </c>
      <c r="T1327" t="s">
        <v>12620</v>
      </c>
      <c r="U1327" t="s">
        <v>12620</v>
      </c>
      <c r="V1327" t="s">
        <v>12620</v>
      </c>
      <c r="W1327" t="s">
        <v>13913</v>
      </c>
      <c r="X1327">
        <v>2</v>
      </c>
      <c r="Y1327" t="s">
        <v>20142</v>
      </c>
      <c r="Z1327" t="s">
        <v>26274</v>
      </c>
      <c r="AA1327">
        <v>0.49447270241482388</v>
      </c>
      <c r="AB1327" t="str">
        <f>HYPERLINK("Melting_Curves/meltCurve_O94868_FCHSD2.pdf", "Melting_Curves/meltCurve_O94868_FCHSD2.pdf")</f>
        <v>Melting_Curves/meltCurve_O94868_FCHSD2.pdf</v>
      </c>
    </row>
    <row r="1328" spans="1:28" x14ac:dyDescent="0.25">
      <c r="A1328" t="s">
        <v>1332</v>
      </c>
      <c r="B1328">
        <v>0.99987803227770999</v>
      </c>
      <c r="C1328">
        <v>1.18058899500547</v>
      </c>
      <c r="D1328">
        <v>0.82979876406720199</v>
      </c>
      <c r="E1328">
        <v>0.77438847454332205</v>
      </c>
      <c r="F1328">
        <v>0.28796657781759299</v>
      </c>
      <c r="G1328">
        <v>0.23068268443225501</v>
      </c>
      <c r="H1328">
        <v>0.16238575315585199</v>
      </c>
      <c r="I1328">
        <v>0.14435700634474599</v>
      </c>
      <c r="J1328">
        <v>9.5351194782296103E-2</v>
      </c>
      <c r="K1328">
        <v>4.5892510632025797E-2</v>
      </c>
      <c r="L1328">
        <v>1531.4700155821399</v>
      </c>
      <c r="M1328">
        <v>29.90081558847</v>
      </c>
      <c r="N1328">
        <v>51.6847372722521</v>
      </c>
      <c r="O1328">
        <v>50.990880524984</v>
      </c>
      <c r="P1328">
        <v>-0.12926532298494101</v>
      </c>
      <c r="Q1328">
        <v>0.11824357085048499</v>
      </c>
      <c r="R1328">
        <v>0.95383031981918898</v>
      </c>
      <c r="S1328" t="s">
        <v>7639</v>
      </c>
      <c r="T1328" t="s">
        <v>12620</v>
      </c>
      <c r="U1328" t="s">
        <v>12620</v>
      </c>
      <c r="V1328" t="s">
        <v>12620</v>
      </c>
      <c r="W1328" t="s">
        <v>13914</v>
      </c>
      <c r="X1328">
        <v>4</v>
      </c>
      <c r="Y1328" t="s">
        <v>20143</v>
      </c>
      <c r="Z1328" t="s">
        <v>26275</v>
      </c>
      <c r="AA1328">
        <v>0.4535723360486647</v>
      </c>
      <c r="AB1328" t="str">
        <f>HYPERLINK("Melting_Curves/meltCurve_O94874_UFL1.pdf", "Melting_Curves/meltCurve_O94874_UFL1.pdf")</f>
        <v>Melting_Curves/meltCurve_O94874_UFL1.pdf</v>
      </c>
    </row>
    <row r="1329" spans="1:28" x14ac:dyDescent="0.25">
      <c r="A1329" t="s">
        <v>1333</v>
      </c>
      <c r="B1329">
        <v>0.99987803227770999</v>
      </c>
      <c r="C1329">
        <v>0.77651628592965105</v>
      </c>
      <c r="D1329">
        <v>0.96925440196416801</v>
      </c>
      <c r="E1329">
        <v>0.83137789011827601</v>
      </c>
      <c r="F1329">
        <v>1.10164070693393</v>
      </c>
      <c r="G1329">
        <v>0.83611244773756799</v>
      </c>
      <c r="H1329">
        <v>0.96631829097560196</v>
      </c>
      <c r="I1329">
        <v>0.92689384431093003</v>
      </c>
      <c r="J1329">
        <v>1.0396438510367201</v>
      </c>
      <c r="K1329">
        <v>0.86198854730358199</v>
      </c>
      <c r="L1329">
        <v>10216.407891025599</v>
      </c>
      <c r="M1329">
        <v>250</v>
      </c>
      <c r="O1329">
        <v>40.863016451892904</v>
      </c>
      <c r="P1329">
        <v>-0.117304567430321</v>
      </c>
      <c r="Q1329">
        <v>0.92330530462149596</v>
      </c>
      <c r="R1329">
        <v>5.4996177219328098E-2</v>
      </c>
      <c r="S1329" t="s">
        <v>7640</v>
      </c>
      <c r="T1329" t="s">
        <v>12620</v>
      </c>
      <c r="U1329" t="s">
        <v>12620</v>
      </c>
      <c r="V1329" t="s">
        <v>12620</v>
      </c>
      <c r="W1329" t="s">
        <v>13915</v>
      </c>
      <c r="X1329">
        <v>6</v>
      </c>
      <c r="Y1329" t="s">
        <v>20144</v>
      </c>
      <c r="Z1329" t="s">
        <v>26276</v>
      </c>
      <c r="AA1329">
        <v>0.92552555550456717</v>
      </c>
      <c r="AB1329" t="str">
        <f>HYPERLINK("Melting_Curves/meltCurve_O94880_PHF14.pdf", "Melting_Curves/meltCurve_O94880_PHF14.pdf")</f>
        <v>Melting_Curves/meltCurve_O94880_PHF14.pdf</v>
      </c>
    </row>
    <row r="1330" spans="1:28" x14ac:dyDescent="0.25">
      <c r="A1330" t="s">
        <v>1334</v>
      </c>
      <c r="B1330">
        <v>0.99987803227770999</v>
      </c>
      <c r="C1330">
        <v>0.98252147945549395</v>
      </c>
      <c r="D1330">
        <v>1.0108880364024899</v>
      </c>
      <c r="E1330">
        <v>0.85413895890326397</v>
      </c>
      <c r="F1330">
        <v>0.791249548262555</v>
      </c>
      <c r="G1330">
        <v>0.55357793297885804</v>
      </c>
      <c r="H1330">
        <v>0.56534792754045204</v>
      </c>
      <c r="I1330">
        <v>0.50642618177145204</v>
      </c>
      <c r="J1330">
        <v>0.53505331320054805</v>
      </c>
      <c r="K1330">
        <v>0.43860568894604102</v>
      </c>
      <c r="L1330">
        <v>1028.66780491437</v>
      </c>
      <c r="M1330">
        <v>19.3106501697577</v>
      </c>
      <c r="N1330">
        <v>65.289920991906698</v>
      </c>
      <c r="O1330">
        <v>52.7080591839973</v>
      </c>
      <c r="P1330">
        <v>-4.71065801117906E-2</v>
      </c>
      <c r="Q1330">
        <v>0.485713108358028</v>
      </c>
      <c r="R1330">
        <v>0.97525652046414402</v>
      </c>
      <c r="S1330" t="s">
        <v>7641</v>
      </c>
      <c r="T1330" t="s">
        <v>12620</v>
      </c>
      <c r="U1330" t="s">
        <v>12620</v>
      </c>
      <c r="V1330" t="s">
        <v>12620</v>
      </c>
      <c r="W1330" t="s">
        <v>13916</v>
      </c>
      <c r="X1330">
        <v>11</v>
      </c>
      <c r="Y1330" t="s">
        <v>20145</v>
      </c>
      <c r="Z1330" t="s">
        <v>26277</v>
      </c>
      <c r="AA1330">
        <v>0.72066975805264588</v>
      </c>
      <c r="AB1330" t="str">
        <f>HYPERLINK("Melting_Curves/meltCurve_O94885_SASH1.pdf", "Melting_Curves/meltCurve_O94885_SASH1.pdf")</f>
        <v>Melting_Curves/meltCurve_O94885_SASH1.pdf</v>
      </c>
    </row>
    <row r="1331" spans="1:28" x14ac:dyDescent="0.25">
      <c r="A1331" t="s">
        <v>1335</v>
      </c>
      <c r="B1331">
        <v>0.99987803227770999</v>
      </c>
      <c r="C1331">
        <v>1.5424999872154701</v>
      </c>
      <c r="D1331">
        <v>1.10292863589294</v>
      </c>
      <c r="E1331">
        <v>1.19439575443766</v>
      </c>
      <c r="F1331">
        <v>0.38595313109992702</v>
      </c>
      <c r="G1331">
        <v>0.31584440396110802</v>
      </c>
      <c r="H1331">
        <v>0.18311680844084599</v>
      </c>
      <c r="I1331">
        <v>0.158919461332474</v>
      </c>
      <c r="J1331">
        <v>0.109207741899105</v>
      </c>
      <c r="K1331">
        <v>8.6251299622368605E-2</v>
      </c>
      <c r="L1331">
        <v>13194.4506558925</v>
      </c>
      <c r="M1331">
        <v>250</v>
      </c>
      <c r="N1331">
        <v>52.866098737369803</v>
      </c>
      <c r="O1331">
        <v>52.774425197724199</v>
      </c>
      <c r="P1331">
        <v>-0.98216627833364001</v>
      </c>
      <c r="Q1331">
        <v>0.17066782842404599</v>
      </c>
      <c r="R1331">
        <v>0.85869355676661296</v>
      </c>
      <c r="S1331" t="s">
        <v>7642</v>
      </c>
      <c r="T1331" t="s">
        <v>12620</v>
      </c>
      <c r="U1331" t="s">
        <v>12620</v>
      </c>
      <c r="V1331" t="s">
        <v>12620</v>
      </c>
      <c r="W1331" t="s">
        <v>13917</v>
      </c>
      <c r="X1331">
        <v>9</v>
      </c>
      <c r="Y1331" t="s">
        <v>20146</v>
      </c>
      <c r="Z1331" t="s">
        <v>26278</v>
      </c>
      <c r="AA1331">
        <v>0.52397940459719161</v>
      </c>
      <c r="AB1331" t="str">
        <f>HYPERLINK("Melting_Curves/meltCurve_O94887_FARP2.pdf", "Melting_Curves/meltCurve_O94887_FARP2.pdf")</f>
        <v>Melting_Curves/meltCurve_O94887_FARP2.pdf</v>
      </c>
    </row>
    <row r="1332" spans="1:28" x14ac:dyDescent="0.25">
      <c r="A1332" t="s">
        <v>1336</v>
      </c>
      <c r="B1332">
        <v>0.99987803227770999</v>
      </c>
      <c r="C1332">
        <v>0.92260265066101699</v>
      </c>
      <c r="D1332">
        <v>1.01923912676534</v>
      </c>
      <c r="E1332">
        <v>0.96974440392654904</v>
      </c>
      <c r="F1332">
        <v>1.1274683765156699</v>
      </c>
      <c r="G1332">
        <v>0.92853266363202402</v>
      </c>
      <c r="H1332">
        <v>0.63808998637672898</v>
      </c>
      <c r="I1332">
        <v>0.42148473832644301</v>
      </c>
      <c r="J1332">
        <v>0.28162571072422099</v>
      </c>
      <c r="K1332">
        <v>0.19909614936926801</v>
      </c>
      <c r="L1332">
        <v>1744.90626320554</v>
      </c>
      <c r="M1332">
        <v>28.2835327623912</v>
      </c>
      <c r="N1332">
        <v>62.7521177791781</v>
      </c>
      <c r="O1332">
        <v>61.387433299144</v>
      </c>
      <c r="P1332">
        <v>-9.3329923909716006E-2</v>
      </c>
      <c r="Q1332">
        <v>0.189742421622354</v>
      </c>
      <c r="R1332">
        <v>0.97403985465512599</v>
      </c>
      <c r="S1332" t="s">
        <v>7643</v>
      </c>
      <c r="T1332" t="s">
        <v>12620</v>
      </c>
      <c r="U1332" t="s">
        <v>12620</v>
      </c>
      <c r="V1332" t="s">
        <v>12620</v>
      </c>
      <c r="W1332" t="s">
        <v>13918</v>
      </c>
      <c r="X1332">
        <v>15</v>
      </c>
      <c r="Y1332" t="s">
        <v>20147</v>
      </c>
      <c r="Z1332" t="s">
        <v>26279</v>
      </c>
      <c r="AA1332">
        <v>0.7797852319890396</v>
      </c>
      <c r="AB1332" t="str">
        <f>HYPERLINK("Melting_Curves/meltCurve_O94888_UBXN7.pdf", "Melting_Curves/meltCurve_O94888_UBXN7.pdf")</f>
        <v>Melting_Curves/meltCurve_O94888_UBXN7.pdf</v>
      </c>
    </row>
    <row r="1333" spans="1:28" x14ac:dyDescent="0.25">
      <c r="A1333" t="s">
        <v>1337</v>
      </c>
      <c r="B1333">
        <v>0.99987803227770999</v>
      </c>
      <c r="C1333">
        <v>1.00675539588165</v>
      </c>
      <c r="D1333">
        <v>0.83367926555051797</v>
      </c>
      <c r="E1333">
        <v>0.69725019480597406</v>
      </c>
      <c r="F1333">
        <v>0.42447692525437303</v>
      </c>
      <c r="G1333">
        <v>0.165779664726701</v>
      </c>
      <c r="H1333">
        <v>0.117474622690942</v>
      </c>
      <c r="I1333">
        <v>0.115863136681272</v>
      </c>
      <c r="J1333">
        <v>8.0051520683967606E-2</v>
      </c>
      <c r="K1333">
        <v>7.54152550877841E-2</v>
      </c>
      <c r="L1333">
        <v>928.98626207352595</v>
      </c>
      <c r="M1333">
        <v>18.0265363554029</v>
      </c>
      <c r="N1333">
        <v>51.938754278959301</v>
      </c>
      <c r="O1333">
        <v>50.912732694540999</v>
      </c>
      <c r="P1333">
        <v>-8.2725485633991402E-2</v>
      </c>
      <c r="Q1333">
        <v>6.5472397344270503E-2</v>
      </c>
      <c r="R1333">
        <v>0.99310921205062397</v>
      </c>
      <c r="S1333" t="s">
        <v>7644</v>
      </c>
      <c r="T1333" t="s">
        <v>12620</v>
      </c>
      <c r="U1333" t="s">
        <v>12620</v>
      </c>
      <c r="V1333" t="s">
        <v>12620</v>
      </c>
      <c r="W1333" t="s">
        <v>13919</v>
      </c>
      <c r="X1333">
        <v>2</v>
      </c>
      <c r="Y1333" t="s">
        <v>20148</v>
      </c>
      <c r="Z1333" t="s">
        <v>26280</v>
      </c>
      <c r="AA1333">
        <v>0.44038440352635111</v>
      </c>
      <c r="AB1333" t="str">
        <f>HYPERLINK("Melting_Curves/meltCurve_O94889_KLHL18.pdf", "Melting_Curves/meltCurve_O94889_KLHL18.pdf")</f>
        <v>Melting_Curves/meltCurve_O94889_KLHL18.pdf</v>
      </c>
    </row>
    <row r="1334" spans="1:28" x14ac:dyDescent="0.25">
      <c r="A1334" t="s">
        <v>1338</v>
      </c>
      <c r="B1334">
        <v>0.99987803227770999</v>
      </c>
      <c r="C1334">
        <v>0.98184364134449498</v>
      </c>
      <c r="D1334">
        <v>0.86686453101598704</v>
      </c>
      <c r="E1334">
        <v>0.46510940678672202</v>
      </c>
      <c r="F1334">
        <v>0.236450458172136</v>
      </c>
      <c r="G1334">
        <v>0.15064176904176299</v>
      </c>
      <c r="H1334">
        <v>0.11395146368494601</v>
      </c>
      <c r="I1334">
        <v>9.55979700792014E-2</v>
      </c>
      <c r="J1334">
        <v>7.6354161162110107E-2</v>
      </c>
      <c r="K1334">
        <v>5.3107355837827198E-2</v>
      </c>
      <c r="L1334">
        <v>1148.03697369002</v>
      </c>
      <c r="M1334">
        <v>23.260427959554701</v>
      </c>
      <c r="N1334">
        <v>49.7550927271988</v>
      </c>
      <c r="O1334">
        <v>48.9953541176653</v>
      </c>
      <c r="P1334">
        <v>-0.108583802080333</v>
      </c>
      <c r="Q1334">
        <v>8.5140636264273803E-2</v>
      </c>
      <c r="R1334">
        <v>0.99819338311392702</v>
      </c>
      <c r="S1334" t="s">
        <v>7645</v>
      </c>
      <c r="T1334" t="s">
        <v>12620</v>
      </c>
      <c r="U1334" t="s">
        <v>12620</v>
      </c>
      <c r="V1334" t="s">
        <v>12620</v>
      </c>
      <c r="W1334" t="s">
        <v>13920</v>
      </c>
      <c r="X1334">
        <v>11</v>
      </c>
      <c r="Y1334" t="s">
        <v>20149</v>
      </c>
      <c r="Z1334" t="s">
        <v>26281</v>
      </c>
      <c r="AA1334">
        <v>0.37986452293494583</v>
      </c>
      <c r="AB1334" t="str">
        <f>HYPERLINK("Melting_Curves/meltCurve_O94903_PROSC.pdf", "Melting_Curves/meltCurve_O94903_PROSC.pdf")</f>
        <v>Melting_Curves/meltCurve_O94903_PROSC.pdf</v>
      </c>
    </row>
    <row r="1335" spans="1:28" x14ac:dyDescent="0.25">
      <c r="A1335" t="s">
        <v>1339</v>
      </c>
      <c r="B1335">
        <v>0.99987803227770999</v>
      </c>
      <c r="C1335">
        <v>1.03022229103653</v>
      </c>
      <c r="D1335">
        <v>1.12075240429848</v>
      </c>
      <c r="E1335">
        <v>1.74638496199947</v>
      </c>
      <c r="F1335">
        <v>2.1125352025094899</v>
      </c>
      <c r="G1335">
        <v>2.0312556034195901</v>
      </c>
      <c r="H1335">
        <v>1.91973129622464</v>
      </c>
      <c r="I1335">
        <v>2.0819672390082999</v>
      </c>
      <c r="J1335">
        <v>1.67717713761474</v>
      </c>
      <c r="K1335">
        <v>1.4490015776574099</v>
      </c>
      <c r="L1335">
        <v>11552.644561463299</v>
      </c>
      <c r="M1335">
        <v>250</v>
      </c>
      <c r="O1335">
        <v>46.207621923735097</v>
      </c>
      <c r="P1335">
        <v>0.67629536663458401</v>
      </c>
      <c r="Q1335">
        <v>1.5</v>
      </c>
      <c r="R1335">
        <v>0.27340681784003101</v>
      </c>
      <c r="S1335" t="s">
        <v>7646</v>
      </c>
      <c r="T1335" t="s">
        <v>12620</v>
      </c>
      <c r="U1335" t="s">
        <v>12620</v>
      </c>
      <c r="V1335" t="s">
        <v>12620</v>
      </c>
      <c r="W1335" t="s">
        <v>13921</v>
      </c>
      <c r="X1335">
        <v>6</v>
      </c>
      <c r="Y1335" t="s">
        <v>20150</v>
      </c>
      <c r="Z1335" t="s">
        <v>26282</v>
      </c>
      <c r="AA1335">
        <v>1.396449813146301</v>
      </c>
      <c r="AB1335" t="str">
        <f>HYPERLINK("Melting_Curves/meltCurve_O94906_2_PRPF6.pdf", "Melting_Curves/meltCurve_O94906_2_PRPF6.pdf")</f>
        <v>Melting_Curves/meltCurve_O94906_2_PRPF6.pdf</v>
      </c>
    </row>
    <row r="1336" spans="1:28" x14ac:dyDescent="0.25">
      <c r="A1336" t="s">
        <v>1340</v>
      </c>
      <c r="B1336">
        <v>0.99987803227770999</v>
      </c>
      <c r="C1336">
        <v>0.86199525003268596</v>
      </c>
      <c r="D1336">
        <v>0.935315854614447</v>
      </c>
      <c r="E1336">
        <v>0.88519642861779202</v>
      </c>
      <c r="F1336">
        <v>1.1046790065793799</v>
      </c>
      <c r="G1336">
        <v>0.694342538113497</v>
      </c>
      <c r="H1336">
        <v>0.98672171085429305</v>
      </c>
      <c r="I1336">
        <v>0.86393117225098504</v>
      </c>
      <c r="J1336">
        <v>1.0566398153511301</v>
      </c>
      <c r="K1336">
        <v>0.80194474857571296</v>
      </c>
      <c r="L1336">
        <v>10231.783864568801</v>
      </c>
      <c r="M1336">
        <v>250</v>
      </c>
      <c r="O1336">
        <v>40.924523198345298</v>
      </c>
      <c r="P1336">
        <v>-0.13731809638126499</v>
      </c>
      <c r="Q1336">
        <v>0.91008517308390602</v>
      </c>
      <c r="R1336">
        <v>5.3194226264060097E-2</v>
      </c>
      <c r="S1336" t="s">
        <v>7647</v>
      </c>
      <c r="T1336" t="s">
        <v>12620</v>
      </c>
      <c r="U1336" t="s">
        <v>12620</v>
      </c>
      <c r="V1336" t="s">
        <v>12620</v>
      </c>
      <c r="W1336" t="s">
        <v>13922</v>
      </c>
      <c r="X1336">
        <v>2</v>
      </c>
      <c r="Y1336" t="s">
        <v>20151</v>
      </c>
      <c r="Z1336" t="s">
        <v>26283</v>
      </c>
      <c r="AA1336">
        <v>0.91287181895725067</v>
      </c>
      <c r="AB1336" t="str">
        <f>HYPERLINK("Melting_Curves/meltCurve_O94907_DKK1.pdf", "Melting_Curves/meltCurve_O94907_DKK1.pdf")</f>
        <v>Melting_Curves/meltCurve_O94907_DKK1.pdf</v>
      </c>
    </row>
    <row r="1337" spans="1:28" x14ac:dyDescent="0.25">
      <c r="A1337" t="s">
        <v>1341</v>
      </c>
      <c r="B1337">
        <v>0.99987803227770999</v>
      </c>
      <c r="C1337">
        <v>0.99773251896145498</v>
      </c>
      <c r="D1337">
        <v>0.81266754138979802</v>
      </c>
      <c r="E1337">
        <v>0.81019867557049996</v>
      </c>
      <c r="F1337">
        <v>0.65451252337938304</v>
      </c>
      <c r="G1337">
        <v>0.503903777551993</v>
      </c>
      <c r="H1337">
        <v>0.26808268889113601</v>
      </c>
      <c r="I1337">
        <v>0.237128425151162</v>
      </c>
      <c r="J1337">
        <v>0.19405428771063299</v>
      </c>
      <c r="K1337">
        <v>0.15477018960964201</v>
      </c>
      <c r="L1337">
        <v>571.07208806831204</v>
      </c>
      <c r="M1337">
        <v>10.213628903382</v>
      </c>
      <c r="N1337">
        <v>56.2867046034835</v>
      </c>
      <c r="O1337">
        <v>53.896483734363102</v>
      </c>
      <c r="P1337">
        <v>-4.5842627616979797E-2</v>
      </c>
      <c r="Q1337">
        <v>3.2802776689340001E-2</v>
      </c>
      <c r="R1337">
        <v>0.98459137882695302</v>
      </c>
      <c r="S1337" t="s">
        <v>7648</v>
      </c>
      <c r="T1337" t="s">
        <v>12620</v>
      </c>
      <c r="U1337" t="s">
        <v>12620</v>
      </c>
      <c r="V1337" t="s">
        <v>12620</v>
      </c>
      <c r="W1337" t="s">
        <v>13923</v>
      </c>
      <c r="X1337">
        <v>14</v>
      </c>
      <c r="Y1337" t="s">
        <v>20152</v>
      </c>
      <c r="Z1337" t="s">
        <v>26284</v>
      </c>
      <c r="AA1337">
        <v>0.56663468143412798</v>
      </c>
      <c r="AB1337" t="str">
        <f>HYPERLINK("Melting_Curves/meltCurve_O94913_PCF11.pdf", "Melting_Curves/meltCurve_O94913_PCF11.pdf")</f>
        <v>Melting_Curves/meltCurve_O94913_PCF11.pdf</v>
      </c>
    </row>
    <row r="1338" spans="1:28" x14ac:dyDescent="0.25">
      <c r="A1338" t="s">
        <v>1342</v>
      </c>
      <c r="B1338">
        <v>0.99987803227770999</v>
      </c>
      <c r="C1338">
        <v>0.94979903604375404</v>
      </c>
      <c r="D1338">
        <v>0.88865732342039905</v>
      </c>
      <c r="E1338">
        <v>0.75537634002875098</v>
      </c>
      <c r="F1338">
        <v>0.92814960667614499</v>
      </c>
      <c r="G1338">
        <v>0.75787101782737099</v>
      </c>
      <c r="H1338">
        <v>0.78494144228204599</v>
      </c>
      <c r="I1338">
        <v>0.81104505239108704</v>
      </c>
      <c r="J1338">
        <v>0.75076433254867203</v>
      </c>
      <c r="K1338">
        <v>0.61237268294673197</v>
      </c>
      <c r="L1338">
        <v>203.66473398064301</v>
      </c>
      <c r="M1338">
        <v>2.13332050095954</v>
      </c>
      <c r="O1338">
        <v>58.949561183546599</v>
      </c>
      <c r="P1338">
        <v>-9.7418965397595998E-3</v>
      </c>
      <c r="Q1338">
        <v>0</v>
      </c>
      <c r="R1338">
        <v>0.68697409397917997</v>
      </c>
      <c r="S1338" t="s">
        <v>7649</v>
      </c>
      <c r="T1338" t="s">
        <v>12620</v>
      </c>
      <c r="U1338" t="s">
        <v>12620</v>
      </c>
      <c r="V1338" t="s">
        <v>12620</v>
      </c>
      <c r="W1338" t="s">
        <v>13924</v>
      </c>
      <c r="X1338">
        <v>3</v>
      </c>
      <c r="Y1338" t="s">
        <v>20153</v>
      </c>
      <c r="Z1338" t="s">
        <v>26285</v>
      </c>
      <c r="AA1338">
        <v>0.8246029521491417</v>
      </c>
      <c r="AB1338" t="str">
        <f>HYPERLINK("Melting_Curves/meltCurve_O94916_NFAT5.pdf", "Melting_Curves/meltCurve_O94916_NFAT5.pdf")</f>
        <v>Melting_Curves/meltCurve_O94916_NFAT5.pdf</v>
      </c>
    </row>
    <row r="1339" spans="1:28" x14ac:dyDescent="0.25">
      <c r="A1339" t="s">
        <v>1343</v>
      </c>
      <c r="B1339">
        <v>0.99987803227770999</v>
      </c>
      <c r="C1339">
        <v>0.80057148785069898</v>
      </c>
      <c r="D1339">
        <v>0.68741625047694699</v>
      </c>
      <c r="E1339">
        <v>0.50805290540074899</v>
      </c>
      <c r="F1339">
        <v>0.31799721180367202</v>
      </c>
      <c r="G1339">
        <v>0.171820914366698</v>
      </c>
      <c r="H1339">
        <v>0.12687994227829599</v>
      </c>
      <c r="I1339">
        <v>0.116122393826301</v>
      </c>
      <c r="J1339">
        <v>9.7471359437914198E-2</v>
      </c>
      <c r="K1339">
        <v>6.5479377431939198E-2</v>
      </c>
      <c r="L1339">
        <v>578.91760377437402</v>
      </c>
      <c r="M1339">
        <v>11.809655484605701</v>
      </c>
      <c r="N1339">
        <v>49.4264603739866</v>
      </c>
      <c r="O1339">
        <v>47.678476736142699</v>
      </c>
      <c r="P1339">
        <v>-5.9077756103253401E-2</v>
      </c>
      <c r="Q1339">
        <v>4.61990271545413E-2</v>
      </c>
      <c r="R1339">
        <v>0.99094999873543199</v>
      </c>
      <c r="S1339" t="s">
        <v>7650</v>
      </c>
      <c r="T1339" t="s">
        <v>12620</v>
      </c>
      <c r="U1339" t="s">
        <v>12620</v>
      </c>
      <c r="V1339" t="s">
        <v>12620</v>
      </c>
      <c r="W1339" t="s">
        <v>13925</v>
      </c>
      <c r="X1339">
        <v>18</v>
      </c>
      <c r="Y1339" t="s">
        <v>20154</v>
      </c>
      <c r="Z1339" t="s">
        <v>26286</v>
      </c>
      <c r="AA1339">
        <v>0.36893746869272032</v>
      </c>
      <c r="AB1339" t="str">
        <f>HYPERLINK("Melting_Curves/meltCurve_O94925_GLS.pdf", "Melting_Curves/meltCurve_O94925_GLS.pdf")</f>
        <v>Melting_Curves/meltCurve_O94925_GLS.pdf</v>
      </c>
    </row>
    <row r="1340" spans="1:28" x14ac:dyDescent="0.25">
      <c r="A1340" t="s">
        <v>1344</v>
      </c>
      <c r="B1340">
        <v>0.99987803227770999</v>
      </c>
      <c r="C1340">
        <v>0.64808130992498603</v>
      </c>
      <c r="D1340">
        <v>0.24628634589575399</v>
      </c>
      <c r="E1340">
        <v>0.19364527569786399</v>
      </c>
      <c r="F1340">
        <v>0.117620196281222</v>
      </c>
      <c r="G1340">
        <v>7.5582695783609502E-2</v>
      </c>
      <c r="H1340">
        <v>6.1299364921161198E-2</v>
      </c>
      <c r="I1340">
        <v>6.0609185668825699E-2</v>
      </c>
      <c r="J1340">
        <v>4.3746672234656399E-2</v>
      </c>
      <c r="K1340">
        <v>3.5646258018572401E-2</v>
      </c>
      <c r="L1340">
        <v>1259.7572874038599</v>
      </c>
      <c r="M1340">
        <v>28.797698176035599</v>
      </c>
      <c r="N1340">
        <v>44.0016771000072</v>
      </c>
      <c r="O1340">
        <v>43.535754097433397</v>
      </c>
      <c r="P1340">
        <v>-0.152586525997157</v>
      </c>
      <c r="Q1340">
        <v>7.7298685307770607E-2</v>
      </c>
      <c r="R1340">
        <v>0.98187709949179303</v>
      </c>
      <c r="S1340" t="s">
        <v>7651</v>
      </c>
      <c r="T1340" t="s">
        <v>12620</v>
      </c>
      <c r="U1340" t="s">
        <v>12620</v>
      </c>
      <c r="V1340" t="s">
        <v>12620</v>
      </c>
      <c r="W1340" t="s">
        <v>13926</v>
      </c>
      <c r="X1340">
        <v>20</v>
      </c>
      <c r="Y1340" t="s">
        <v>20154</v>
      </c>
      <c r="Z1340" t="s">
        <v>26287</v>
      </c>
      <c r="AA1340">
        <v>0.20031145387441751</v>
      </c>
      <c r="AB1340" t="str">
        <f>HYPERLINK("Melting_Curves/meltCurve_O94925_3_GLS.pdf", "Melting_Curves/meltCurve_O94925_3_GLS.pdf")</f>
        <v>Melting_Curves/meltCurve_O94925_3_GLS.pdf</v>
      </c>
    </row>
    <row r="1341" spans="1:28" x14ac:dyDescent="0.25">
      <c r="A1341" t="s">
        <v>1345</v>
      </c>
      <c r="B1341">
        <v>0.99987803227770999</v>
      </c>
      <c r="C1341">
        <v>1.1529526142599</v>
      </c>
      <c r="D1341">
        <v>0.739379834991857</v>
      </c>
      <c r="E1341">
        <v>0.59107675767936496</v>
      </c>
      <c r="F1341">
        <v>0.40265838634328999</v>
      </c>
      <c r="G1341">
        <v>0.28483467267109402</v>
      </c>
      <c r="H1341">
        <v>0.14011210462512699</v>
      </c>
      <c r="I1341">
        <v>0.123841085232159</v>
      </c>
      <c r="J1341">
        <v>6.7276475474332298E-2</v>
      </c>
      <c r="K1341">
        <v>6.6229550830773296E-2</v>
      </c>
      <c r="L1341">
        <v>746.30089725043001</v>
      </c>
      <c r="M1341">
        <v>14.6199543640373</v>
      </c>
      <c r="N1341">
        <v>51.532424990058999</v>
      </c>
      <c r="O1341">
        <v>50.120220267795297</v>
      </c>
      <c r="P1341">
        <v>-6.8238624672844805E-2</v>
      </c>
      <c r="Q1341">
        <v>6.43604519628386E-2</v>
      </c>
      <c r="R1341">
        <v>0.95905626300192404</v>
      </c>
      <c r="S1341" t="s">
        <v>7652</v>
      </c>
      <c r="T1341" t="s">
        <v>12620</v>
      </c>
      <c r="U1341" t="s">
        <v>12620</v>
      </c>
      <c r="V1341" t="s">
        <v>12620</v>
      </c>
      <c r="W1341" t="s">
        <v>13927</v>
      </c>
      <c r="X1341">
        <v>5</v>
      </c>
      <c r="Y1341" t="s">
        <v>20155</v>
      </c>
      <c r="Z1341" t="s">
        <v>26288</v>
      </c>
      <c r="AA1341">
        <v>0.43139721359063637</v>
      </c>
      <c r="AB1341" t="str">
        <f>HYPERLINK("Melting_Curves/meltCurve_O94927_HAUS5.pdf", "Melting_Curves/meltCurve_O94927_HAUS5.pdf")</f>
        <v>Melting_Curves/meltCurve_O94927_HAUS5.pdf</v>
      </c>
    </row>
    <row r="1342" spans="1:28" x14ac:dyDescent="0.25">
      <c r="A1342" t="s">
        <v>1346</v>
      </c>
      <c r="B1342">
        <v>0.99987803227770999</v>
      </c>
      <c r="C1342">
        <v>0.93515509596852797</v>
      </c>
      <c r="D1342">
        <v>0.79953619576637003</v>
      </c>
      <c r="E1342">
        <v>0.71609111700928496</v>
      </c>
      <c r="F1342">
        <v>0.56208483345121496</v>
      </c>
      <c r="G1342">
        <v>0.41982222208707598</v>
      </c>
      <c r="H1342">
        <v>0.39654466532967197</v>
      </c>
      <c r="I1342">
        <v>0.35101443879196798</v>
      </c>
      <c r="J1342">
        <v>0.33390884768944001</v>
      </c>
      <c r="K1342">
        <v>0.29096094136282602</v>
      </c>
      <c r="L1342">
        <v>580.45112461849703</v>
      </c>
      <c r="M1342">
        <v>11.3615195553202</v>
      </c>
      <c r="N1342">
        <v>55.013660281030099</v>
      </c>
      <c r="O1342">
        <v>49.583279674573298</v>
      </c>
      <c r="P1342">
        <v>-4.1390543673425498E-2</v>
      </c>
      <c r="Q1342">
        <v>0.27767843967503197</v>
      </c>
      <c r="R1342">
        <v>0.99137165386844395</v>
      </c>
      <c r="S1342" t="s">
        <v>7653</v>
      </c>
      <c r="T1342" t="s">
        <v>12620</v>
      </c>
      <c r="U1342" t="s">
        <v>12620</v>
      </c>
      <c r="V1342" t="s">
        <v>12620</v>
      </c>
      <c r="W1342" t="s">
        <v>13928</v>
      </c>
      <c r="X1342">
        <v>2</v>
      </c>
      <c r="Y1342" t="s">
        <v>20156</v>
      </c>
      <c r="Z1342" t="s">
        <v>26289</v>
      </c>
      <c r="AA1342">
        <v>0.5699570725041655</v>
      </c>
      <c r="AB1342" t="str">
        <f>HYPERLINK("Melting_Curves/meltCurve_O94941_2_UBOX5.pdf", "Melting_Curves/meltCurve_O94941_2_UBOX5.pdf")</f>
        <v>Melting_Curves/meltCurve_O94941_2_UBOX5.pdf</v>
      </c>
    </row>
    <row r="1343" spans="1:28" x14ac:dyDescent="0.25">
      <c r="A1343" t="s">
        <v>1347</v>
      </c>
      <c r="B1343">
        <v>0.99987803227770999</v>
      </c>
      <c r="C1343">
        <v>1.08488303337211</v>
      </c>
      <c r="D1343">
        <v>0.88682102098300997</v>
      </c>
      <c r="E1343">
        <v>0.70280507776191703</v>
      </c>
      <c r="F1343">
        <v>0.30009456719884198</v>
      </c>
      <c r="G1343">
        <v>0.19552477563752599</v>
      </c>
      <c r="H1343">
        <v>0.135045431602936</v>
      </c>
      <c r="I1343">
        <v>0.13377130205180299</v>
      </c>
      <c r="J1343">
        <v>8.9340592929006105E-2</v>
      </c>
      <c r="K1343">
        <v>6.5054024422789805E-2</v>
      </c>
      <c r="L1343">
        <v>1340.3754439980601</v>
      </c>
      <c r="M1343">
        <v>26.296453275089</v>
      </c>
      <c r="N1343">
        <v>51.432430766076202</v>
      </c>
      <c r="O1343">
        <v>50.679686100659403</v>
      </c>
      <c r="P1343">
        <v>-0.116108393201572</v>
      </c>
      <c r="Q1343">
        <v>0.1049329692564</v>
      </c>
      <c r="R1343">
        <v>0.986740717358777</v>
      </c>
      <c r="S1343" t="s">
        <v>7654</v>
      </c>
      <c r="T1343" t="s">
        <v>12620</v>
      </c>
      <c r="U1343" t="s">
        <v>12620</v>
      </c>
      <c r="V1343" t="s">
        <v>12620</v>
      </c>
      <c r="W1343" t="s">
        <v>13929</v>
      </c>
      <c r="X1343">
        <v>3</v>
      </c>
      <c r="Y1343" t="s">
        <v>20157</v>
      </c>
      <c r="Z1343" t="s">
        <v>26290</v>
      </c>
      <c r="AA1343">
        <v>0.43959563388083822</v>
      </c>
      <c r="AB1343" t="str">
        <f>HYPERLINK("Melting_Curves/meltCurve_O94952_1_FBXO21.pdf", "Melting_Curves/meltCurve_O94952_1_FBXO21.pdf")</f>
        <v>Melting_Curves/meltCurve_O94952_1_FBXO21.pdf</v>
      </c>
    </row>
    <row r="1344" spans="1:28" x14ac:dyDescent="0.25">
      <c r="A1344" t="s">
        <v>1348</v>
      </c>
      <c r="B1344">
        <v>0.99987803227770999</v>
      </c>
      <c r="C1344">
        <v>0.93602461968874795</v>
      </c>
      <c r="D1344">
        <v>0.90102256957535798</v>
      </c>
      <c r="E1344">
        <v>0.80051046199325204</v>
      </c>
      <c r="F1344">
        <v>0.74823080064602199</v>
      </c>
      <c r="G1344">
        <v>0.47663161092155198</v>
      </c>
      <c r="H1344">
        <v>0.46037568971616599</v>
      </c>
      <c r="I1344">
        <v>0.36407259502739497</v>
      </c>
      <c r="J1344">
        <v>0.35516193463941298</v>
      </c>
      <c r="K1344">
        <v>0.28802248504948602</v>
      </c>
      <c r="L1344">
        <v>581.34310257889399</v>
      </c>
      <c r="M1344">
        <v>10.566015731757901</v>
      </c>
      <c r="N1344">
        <v>58.435956135033202</v>
      </c>
      <c r="O1344">
        <v>53.158933156420197</v>
      </c>
      <c r="P1344">
        <v>-3.8257465159874299E-2</v>
      </c>
      <c r="Q1344">
        <v>0.23039095539471499</v>
      </c>
      <c r="R1344">
        <v>0.98386107148381996</v>
      </c>
      <c r="S1344" t="s">
        <v>7655</v>
      </c>
      <c r="T1344" t="s">
        <v>12620</v>
      </c>
      <c r="U1344" t="s">
        <v>12620</v>
      </c>
      <c r="V1344" t="s">
        <v>12620</v>
      </c>
      <c r="W1344" t="s">
        <v>13930</v>
      </c>
      <c r="X1344">
        <v>7</v>
      </c>
      <c r="Y1344" t="s">
        <v>20158</v>
      </c>
      <c r="Z1344" t="s">
        <v>26291</v>
      </c>
      <c r="AA1344">
        <v>0.63508957022088153</v>
      </c>
      <c r="AB1344" t="str">
        <f>HYPERLINK("Melting_Curves/meltCurve_O94964_2_SOGA1.pdf", "Melting_Curves/meltCurve_O94964_2_SOGA1.pdf")</f>
        <v>Melting_Curves/meltCurve_O94964_2_SOGA1.pdf</v>
      </c>
    </row>
    <row r="1345" spans="1:28" x14ac:dyDescent="0.25">
      <c r="A1345" t="s">
        <v>1349</v>
      </c>
      <c r="B1345">
        <v>0.99987803227770999</v>
      </c>
      <c r="C1345">
        <v>1.1206556873961999</v>
      </c>
      <c r="D1345">
        <v>0.99780536784305096</v>
      </c>
      <c r="E1345">
        <v>0.97718480536187902</v>
      </c>
      <c r="F1345">
        <v>0.55953009927042596</v>
      </c>
      <c r="G1345">
        <v>0.301236161158289</v>
      </c>
      <c r="H1345">
        <v>0.21295161367020901</v>
      </c>
      <c r="I1345">
        <v>0.168296722279481</v>
      </c>
      <c r="J1345">
        <v>0.187156066293512</v>
      </c>
      <c r="K1345">
        <v>0.14405521805316401</v>
      </c>
      <c r="L1345">
        <v>2020.6829136839301</v>
      </c>
      <c r="M1345">
        <v>38.133630933972803</v>
      </c>
      <c r="N1345">
        <v>53.652335776248798</v>
      </c>
      <c r="O1345">
        <v>52.8444312234165</v>
      </c>
      <c r="P1345">
        <v>-0.14651796311301499</v>
      </c>
      <c r="Q1345">
        <v>0.18784143518472399</v>
      </c>
      <c r="R1345">
        <v>0.98365625466963602</v>
      </c>
      <c r="S1345" t="s">
        <v>7656</v>
      </c>
      <c r="T1345" t="s">
        <v>12620</v>
      </c>
      <c r="U1345" t="s">
        <v>12620</v>
      </c>
      <c r="V1345" t="s">
        <v>12620</v>
      </c>
      <c r="W1345" t="s">
        <v>13931</v>
      </c>
      <c r="X1345">
        <v>16</v>
      </c>
      <c r="Y1345" t="s">
        <v>20159</v>
      </c>
      <c r="Z1345" t="s">
        <v>26292</v>
      </c>
      <c r="AA1345">
        <v>0.54276353412154454</v>
      </c>
      <c r="AB1345" t="str">
        <f>HYPERLINK("Melting_Curves/meltCurve_O94966_7_USP19.pdf", "Melting_Curves/meltCurve_O94966_7_USP19.pdf")</f>
        <v>Melting_Curves/meltCurve_O94966_7_USP19.pdf</v>
      </c>
    </row>
    <row r="1346" spans="1:28" x14ac:dyDescent="0.25">
      <c r="A1346" t="s">
        <v>1350</v>
      </c>
      <c r="B1346">
        <v>0.99987803227770999</v>
      </c>
      <c r="C1346">
        <v>1.1791928717492499</v>
      </c>
      <c r="D1346">
        <v>1.0237228178434901</v>
      </c>
      <c r="E1346">
        <v>1.1086299271823701</v>
      </c>
      <c r="F1346">
        <v>0.817072695429091</v>
      </c>
      <c r="G1346">
        <v>0.732179285355543</v>
      </c>
      <c r="H1346">
        <v>0.208859697354145</v>
      </c>
      <c r="I1346">
        <v>0.17143267240047899</v>
      </c>
      <c r="J1346">
        <v>7.2788998522936202E-2</v>
      </c>
      <c r="K1346">
        <v>5.7990391399183099E-2</v>
      </c>
      <c r="L1346">
        <v>1620.593023869</v>
      </c>
      <c r="M1346">
        <v>27.789328667107601</v>
      </c>
      <c r="N1346">
        <v>58.552635049361299</v>
      </c>
      <c r="O1346">
        <v>58.0176163058971</v>
      </c>
      <c r="P1346">
        <v>-0.11341380665531201</v>
      </c>
      <c r="Q1346">
        <v>5.28823979916292E-2</v>
      </c>
      <c r="R1346">
        <v>0.96195680079599299</v>
      </c>
      <c r="S1346" t="s">
        <v>7657</v>
      </c>
      <c r="T1346" t="s">
        <v>12620</v>
      </c>
      <c r="U1346" t="s">
        <v>12620</v>
      </c>
      <c r="V1346" t="s">
        <v>12620</v>
      </c>
      <c r="W1346" t="s">
        <v>13932</v>
      </c>
      <c r="X1346">
        <v>3</v>
      </c>
      <c r="Y1346" t="s">
        <v>20160</v>
      </c>
      <c r="Z1346" t="s">
        <v>26293</v>
      </c>
      <c r="AA1346">
        <v>0.63814231698515644</v>
      </c>
      <c r="AB1346" t="str">
        <f>HYPERLINK("Melting_Curves/meltCurve_O94967_2_WDR47.pdf", "Melting_Curves/meltCurve_O94967_2_WDR47.pdf")</f>
        <v>Melting_Curves/meltCurve_O94967_2_WDR47.pdf</v>
      </c>
    </row>
    <row r="1347" spans="1:28" x14ac:dyDescent="0.25">
      <c r="A1347" t="s">
        <v>1351</v>
      </c>
      <c r="B1347">
        <v>0.99987803227770999</v>
      </c>
      <c r="C1347">
        <v>0.93098205413508095</v>
      </c>
      <c r="D1347">
        <v>0.91274449400272895</v>
      </c>
      <c r="E1347">
        <v>1.00442271327208</v>
      </c>
      <c r="F1347">
        <v>1.00214007585867</v>
      </c>
      <c r="G1347">
        <v>1.04920709868992</v>
      </c>
      <c r="H1347">
        <v>0.59976203225359304</v>
      </c>
      <c r="I1347">
        <v>0.493460194708781</v>
      </c>
      <c r="J1347">
        <v>0.38925101604710899</v>
      </c>
      <c r="K1347">
        <v>0.22609933614196101</v>
      </c>
      <c r="L1347">
        <v>1917.72582974701</v>
      </c>
      <c r="M1347">
        <v>31.224441715870199</v>
      </c>
      <c r="N1347">
        <v>63.089568650218901</v>
      </c>
      <c r="O1347">
        <v>61.167204283609401</v>
      </c>
      <c r="P1347">
        <v>-9.1702188708007198E-2</v>
      </c>
      <c r="Q1347">
        <v>0.28144316828277399</v>
      </c>
      <c r="R1347">
        <v>0.94999198658152195</v>
      </c>
      <c r="S1347" t="s">
        <v>7658</v>
      </c>
      <c r="T1347" t="s">
        <v>12620</v>
      </c>
      <c r="U1347" t="s">
        <v>12620</v>
      </c>
      <c r="V1347" t="s">
        <v>12620</v>
      </c>
      <c r="W1347" t="s">
        <v>13933</v>
      </c>
      <c r="X1347">
        <v>1</v>
      </c>
      <c r="Y1347" t="s">
        <v>20161</v>
      </c>
      <c r="Z1347" t="s">
        <v>26294</v>
      </c>
      <c r="AA1347">
        <v>0.79804277559622905</v>
      </c>
      <c r="AB1347" t="str">
        <f>HYPERLINK("Melting_Curves/meltCurve_O94972_2_TRIM37.pdf", "Melting_Curves/meltCurve_O94972_2_TRIM37.pdf")</f>
        <v>Melting_Curves/meltCurve_O94972_2_TRIM37.pdf</v>
      </c>
    </row>
    <row r="1348" spans="1:28" x14ac:dyDescent="0.25">
      <c r="A1348" t="s">
        <v>1352</v>
      </c>
      <c r="B1348">
        <v>0.99987803227770999</v>
      </c>
      <c r="C1348">
        <v>1.0796872455408499</v>
      </c>
      <c r="D1348">
        <v>0.91457297647144198</v>
      </c>
      <c r="E1348">
        <v>1.0645391636755901</v>
      </c>
      <c r="F1348">
        <v>0.54853820051102997</v>
      </c>
      <c r="G1348">
        <v>0.25321903522848699</v>
      </c>
      <c r="H1348">
        <v>0.16159484490258999</v>
      </c>
      <c r="I1348">
        <v>0.12992394719491199</v>
      </c>
      <c r="J1348">
        <v>9.5834683947961505E-2</v>
      </c>
      <c r="K1348">
        <v>7.3488393391439893E-2</v>
      </c>
      <c r="L1348">
        <v>13244.3389560701</v>
      </c>
      <c r="M1348">
        <v>250</v>
      </c>
      <c r="N1348">
        <v>53.0487322592884</v>
      </c>
      <c r="O1348">
        <v>52.973975009389903</v>
      </c>
      <c r="P1348">
        <v>-1.0113314865654901</v>
      </c>
      <c r="Q1348">
        <v>0.142812170110104</v>
      </c>
      <c r="R1348">
        <v>0.97825555437383305</v>
      </c>
      <c r="S1348" t="s">
        <v>7659</v>
      </c>
      <c r="T1348" t="s">
        <v>12620</v>
      </c>
      <c r="U1348" t="s">
        <v>12620</v>
      </c>
      <c r="V1348" t="s">
        <v>12620</v>
      </c>
      <c r="W1348" t="s">
        <v>13934</v>
      </c>
      <c r="X1348">
        <v>24</v>
      </c>
      <c r="Y1348" t="s">
        <v>20162</v>
      </c>
      <c r="Z1348" t="s">
        <v>26295</v>
      </c>
      <c r="AA1348">
        <v>0.51369291588837518</v>
      </c>
      <c r="AB1348" t="str">
        <f>HYPERLINK("Melting_Curves/meltCurve_O94973_AP2A2.pdf", "Melting_Curves/meltCurve_O94973_AP2A2.pdf")</f>
        <v>Melting_Curves/meltCurve_O94973_AP2A2.pdf</v>
      </c>
    </row>
    <row r="1349" spans="1:28" x14ac:dyDescent="0.25">
      <c r="A1349" t="s">
        <v>1353</v>
      </c>
      <c r="B1349">
        <v>0.99987803227770999</v>
      </c>
      <c r="C1349">
        <v>0.95045545909742102</v>
      </c>
      <c r="D1349">
        <v>0.99356162324862796</v>
      </c>
      <c r="E1349">
        <v>1.00152832173055</v>
      </c>
      <c r="F1349">
        <v>1.0701509340280499</v>
      </c>
      <c r="G1349">
        <v>0.68399854389889403</v>
      </c>
      <c r="H1349">
        <v>1.2534740095968</v>
      </c>
      <c r="I1349">
        <v>1.14197611669946</v>
      </c>
      <c r="J1349">
        <v>1.12767233558089</v>
      </c>
      <c r="K1349">
        <v>0.86248850840524005</v>
      </c>
      <c r="L1349">
        <v>1703.72238389121</v>
      </c>
      <c r="M1349">
        <v>28.588191134934199</v>
      </c>
      <c r="O1349">
        <v>59.306001905573098</v>
      </c>
      <c r="P1349">
        <v>8.1541044643976997E-3</v>
      </c>
      <c r="Q1349">
        <v>1.06766199592162</v>
      </c>
      <c r="R1349">
        <v>6.0521018978446799E-2</v>
      </c>
      <c r="S1349" t="s">
        <v>7660</v>
      </c>
      <c r="T1349" t="s">
        <v>12620</v>
      </c>
      <c r="U1349" t="s">
        <v>12620</v>
      </c>
      <c r="V1349" t="s">
        <v>12620</v>
      </c>
      <c r="W1349" t="s">
        <v>13935</v>
      </c>
      <c r="X1349">
        <v>19</v>
      </c>
      <c r="Y1349" t="s">
        <v>20163</v>
      </c>
      <c r="Z1349" t="s">
        <v>26296</v>
      </c>
      <c r="AA1349">
        <v>1.0230167868636271</v>
      </c>
      <c r="AB1349" t="str">
        <f>HYPERLINK("Melting_Curves/meltCurve_O94992_HEXIM1.pdf", "Melting_Curves/meltCurve_O94992_HEXIM1.pdf")</f>
        <v>Melting_Curves/meltCurve_O94992_HEXIM1.pdf</v>
      </c>
    </row>
    <row r="1350" spans="1:28" x14ac:dyDescent="0.25">
      <c r="A1350" t="s">
        <v>1354</v>
      </c>
      <c r="B1350">
        <v>0.99987803227770999</v>
      </c>
      <c r="C1350">
        <v>0.97547456306537905</v>
      </c>
      <c r="D1350">
        <v>0.89452700413346897</v>
      </c>
      <c r="E1350">
        <v>1.27284381120034</v>
      </c>
      <c r="F1350">
        <v>1.13081821867698</v>
      </c>
      <c r="G1350">
        <v>0.69319807038546599</v>
      </c>
      <c r="H1350">
        <v>0.44942614015305199</v>
      </c>
      <c r="I1350">
        <v>0.256504724418393</v>
      </c>
      <c r="J1350">
        <v>0.206703507180795</v>
      </c>
      <c r="K1350">
        <v>0.12796170218845199</v>
      </c>
      <c r="L1350">
        <v>1659.20888810522</v>
      </c>
      <c r="M1350">
        <v>28.057811549473701</v>
      </c>
      <c r="N1350">
        <v>59.945354858825297</v>
      </c>
      <c r="O1350">
        <v>58.837438537665399</v>
      </c>
      <c r="P1350">
        <v>-0.10040961542022001</v>
      </c>
      <c r="Q1350">
        <v>0.15776867660154001</v>
      </c>
      <c r="R1350">
        <v>0.91805949187809699</v>
      </c>
      <c r="S1350" t="s">
        <v>7661</v>
      </c>
      <c r="T1350" t="s">
        <v>12620</v>
      </c>
      <c r="U1350" t="s">
        <v>12620</v>
      </c>
      <c r="V1350" t="s">
        <v>12620</v>
      </c>
      <c r="W1350" t="s">
        <v>13936</v>
      </c>
      <c r="X1350">
        <v>1</v>
      </c>
      <c r="Y1350" t="s">
        <v>20164</v>
      </c>
      <c r="Z1350" t="s">
        <v>26297</v>
      </c>
      <c r="AA1350">
        <v>0.70088547484310881</v>
      </c>
      <c r="AB1350" t="str">
        <f>HYPERLINK("Melting_Curves/meltCurve_O95059_RPP14.pdf", "Melting_Curves/meltCurve_O95059_RPP14.pdf")</f>
        <v>Melting_Curves/meltCurve_O95059_RPP14.pdf</v>
      </c>
    </row>
    <row r="1351" spans="1:28" x14ac:dyDescent="0.25">
      <c r="A1351" t="s">
        <v>1355</v>
      </c>
      <c r="B1351">
        <v>0.99987803227770999</v>
      </c>
      <c r="C1351">
        <v>0.78092530416969697</v>
      </c>
      <c r="D1351">
        <v>0.617675336638703</v>
      </c>
      <c r="E1351">
        <v>0.56815134048522098</v>
      </c>
      <c r="F1351">
        <v>0.40844449395260701</v>
      </c>
      <c r="G1351">
        <v>0.33826831215215403</v>
      </c>
      <c r="H1351">
        <v>0.28228501580456999</v>
      </c>
      <c r="I1351">
        <v>0.20632153674186399</v>
      </c>
      <c r="J1351">
        <v>0.109877442562826</v>
      </c>
      <c r="K1351">
        <v>8.8918013152703299E-2</v>
      </c>
      <c r="L1351">
        <v>381.401777324325</v>
      </c>
      <c r="M1351">
        <v>7.4588220592011201</v>
      </c>
      <c r="N1351">
        <v>51.134314343137298</v>
      </c>
      <c r="O1351">
        <v>47.845363681002702</v>
      </c>
      <c r="P1351">
        <v>-3.9030778323560403E-2</v>
      </c>
      <c r="Q1351">
        <v>0</v>
      </c>
      <c r="R1351">
        <v>0.96679129823758803</v>
      </c>
      <c r="S1351" t="s">
        <v>7662</v>
      </c>
      <c r="T1351" t="s">
        <v>12620</v>
      </c>
      <c r="U1351" t="s">
        <v>12620</v>
      </c>
      <c r="V1351" t="s">
        <v>12620</v>
      </c>
      <c r="W1351" t="s">
        <v>13937</v>
      </c>
      <c r="X1351">
        <v>2</v>
      </c>
      <c r="Y1351" t="s">
        <v>20165</v>
      </c>
      <c r="Z1351" t="s">
        <v>26298</v>
      </c>
      <c r="AA1351">
        <v>0.42730984117483473</v>
      </c>
      <c r="AB1351" t="str">
        <f>HYPERLINK("Melting_Curves/meltCurve_O95067_CCNB2.pdf", "Melting_Curves/meltCurve_O95067_CCNB2.pdf")</f>
        <v>Melting_Curves/meltCurve_O95067_CCNB2.pdf</v>
      </c>
    </row>
    <row r="1352" spans="1:28" x14ac:dyDescent="0.25">
      <c r="A1352" t="s">
        <v>1356</v>
      </c>
      <c r="B1352">
        <v>0.99987803227770999</v>
      </c>
      <c r="C1352">
        <v>0.79202496504952302</v>
      </c>
      <c r="D1352">
        <v>0.96816910843848902</v>
      </c>
      <c r="E1352">
        <v>0.58508696548640005</v>
      </c>
      <c r="F1352">
        <v>0.29329682636315202</v>
      </c>
      <c r="G1352">
        <v>0.117076556708557</v>
      </c>
      <c r="H1352">
        <v>0.102164090568258</v>
      </c>
      <c r="I1352">
        <v>8.3023424884777403E-2</v>
      </c>
      <c r="J1352">
        <v>8.9274116540025497E-2</v>
      </c>
      <c r="K1352">
        <v>6.2453566475535897E-2</v>
      </c>
      <c r="L1352">
        <v>1200.0966566330001</v>
      </c>
      <c r="M1352">
        <v>23.7907726448544</v>
      </c>
      <c r="N1352">
        <v>50.787781180787398</v>
      </c>
      <c r="O1352">
        <v>50.091438825595503</v>
      </c>
      <c r="P1352">
        <v>-0.109902952893013</v>
      </c>
      <c r="Q1352">
        <v>7.4413131694384405E-2</v>
      </c>
      <c r="R1352">
        <v>0.96976742467352595</v>
      </c>
      <c r="S1352" t="s">
        <v>7663</v>
      </c>
      <c r="T1352" t="s">
        <v>12620</v>
      </c>
      <c r="U1352" t="s">
        <v>12620</v>
      </c>
      <c r="V1352" t="s">
        <v>12620</v>
      </c>
      <c r="W1352" t="s">
        <v>13938</v>
      </c>
      <c r="X1352">
        <v>7</v>
      </c>
      <c r="Y1352" t="s">
        <v>20166</v>
      </c>
      <c r="Z1352" t="s">
        <v>26299</v>
      </c>
      <c r="AA1352">
        <v>0.40580524576166632</v>
      </c>
      <c r="AB1352" t="str">
        <f>HYPERLINK("Melting_Curves/meltCurve_O95081_AGFG2.pdf", "Melting_Curves/meltCurve_O95081_AGFG2.pdf")</f>
        <v>Melting_Curves/meltCurve_O95081_AGFG2.pdf</v>
      </c>
    </row>
    <row r="1353" spans="1:28" x14ac:dyDescent="0.25">
      <c r="A1353" t="s">
        <v>1357</v>
      </c>
      <c r="B1353">
        <v>0.99987803227770999</v>
      </c>
      <c r="C1353">
        <v>0.81623043054438704</v>
      </c>
      <c r="D1353">
        <v>0.91305331081042895</v>
      </c>
      <c r="E1353">
        <v>0.69199543324499002</v>
      </c>
      <c r="F1353">
        <v>0.793442793835064</v>
      </c>
      <c r="G1353">
        <v>0.69903552070129005</v>
      </c>
      <c r="H1353">
        <v>0.70302351173811894</v>
      </c>
      <c r="I1353">
        <v>0.77028121753518597</v>
      </c>
      <c r="J1353">
        <v>0.66074233012653805</v>
      </c>
      <c r="K1353">
        <v>0.54886824564502401</v>
      </c>
      <c r="L1353">
        <v>285.19968735403802</v>
      </c>
      <c r="M1353">
        <v>5.5071522700567899</v>
      </c>
      <c r="O1353">
        <v>46.158620204223702</v>
      </c>
      <c r="P1353">
        <v>-1.34991283117915E-2</v>
      </c>
      <c r="Q1353">
        <v>0.549399822685538</v>
      </c>
      <c r="R1353">
        <v>0.69324494652462498</v>
      </c>
      <c r="S1353" t="s">
        <v>7664</v>
      </c>
      <c r="T1353" t="s">
        <v>12620</v>
      </c>
      <c r="U1353" t="s">
        <v>12620</v>
      </c>
      <c r="V1353" t="s">
        <v>12620</v>
      </c>
      <c r="W1353" t="s">
        <v>13939</v>
      </c>
      <c r="X1353">
        <v>6</v>
      </c>
      <c r="Y1353" t="s">
        <v>20167</v>
      </c>
      <c r="Z1353" t="s">
        <v>26300</v>
      </c>
      <c r="AA1353">
        <v>0.75512286760127367</v>
      </c>
      <c r="AB1353" t="str">
        <f>HYPERLINK("Melting_Curves/meltCurve_O95104_SCAF4.pdf", "Melting_Curves/meltCurve_O95104_SCAF4.pdf")</f>
        <v>Melting_Curves/meltCurve_O95104_SCAF4.pdf</v>
      </c>
    </row>
    <row r="1354" spans="1:28" x14ac:dyDescent="0.25">
      <c r="A1354" t="s">
        <v>1358</v>
      </c>
      <c r="B1354">
        <v>0.99987803227770999</v>
      </c>
      <c r="C1354">
        <v>0.88492303455476495</v>
      </c>
      <c r="D1354">
        <v>0.90073618694455704</v>
      </c>
      <c r="E1354">
        <v>0.675251600247884</v>
      </c>
      <c r="F1354">
        <v>0.22077221050870499</v>
      </c>
      <c r="G1354">
        <v>0.19409609074988299</v>
      </c>
      <c r="H1354">
        <v>8.9831366571192395E-2</v>
      </c>
      <c r="I1354">
        <v>9.0595208202235294E-2</v>
      </c>
      <c r="J1354">
        <v>7.0186366704584793E-2</v>
      </c>
      <c r="K1354">
        <v>5.2845493824088E-2</v>
      </c>
      <c r="L1354">
        <v>1370.7416227517101</v>
      </c>
      <c r="M1354">
        <v>27.0580979029208</v>
      </c>
      <c r="N1354">
        <v>50.987338474870903</v>
      </c>
      <c r="O1354">
        <v>50.384919979550403</v>
      </c>
      <c r="P1354">
        <v>-0.12352979358193</v>
      </c>
      <c r="Q1354">
        <v>7.9909027461493101E-2</v>
      </c>
      <c r="R1354">
        <v>0.98032279857552995</v>
      </c>
      <c r="S1354" t="s">
        <v>7665</v>
      </c>
      <c r="T1354" t="s">
        <v>12620</v>
      </c>
      <c r="U1354" t="s">
        <v>12620</v>
      </c>
      <c r="V1354" t="s">
        <v>12620</v>
      </c>
      <c r="W1354" t="s">
        <v>13940</v>
      </c>
      <c r="X1354">
        <v>5</v>
      </c>
      <c r="Y1354" t="s">
        <v>20168</v>
      </c>
      <c r="Z1354" t="s">
        <v>26301</v>
      </c>
      <c r="AA1354">
        <v>0.41389828786487681</v>
      </c>
      <c r="AB1354" t="str">
        <f>HYPERLINK("Melting_Curves/meltCurve_O95149_SNUPN.pdf", "Melting_Curves/meltCurve_O95149_SNUPN.pdf")</f>
        <v>Melting_Curves/meltCurve_O95149_SNUPN.pdf</v>
      </c>
    </row>
    <row r="1355" spans="1:28" x14ac:dyDescent="0.25">
      <c r="A1355" t="s">
        <v>1359</v>
      </c>
      <c r="B1355">
        <v>0.99987803227770999</v>
      </c>
      <c r="C1355">
        <v>0.84390980368215296</v>
      </c>
      <c r="D1355">
        <v>0.75080528258417101</v>
      </c>
      <c r="E1355">
        <v>1.0572289149998499</v>
      </c>
      <c r="F1355">
        <v>0.65349843306601196</v>
      </c>
      <c r="G1355">
        <v>0.28628342462261303</v>
      </c>
      <c r="H1355">
        <v>0.169685282130358</v>
      </c>
      <c r="I1355">
        <v>0.14014877437780901</v>
      </c>
      <c r="J1355">
        <v>0.123715427606764</v>
      </c>
      <c r="K1355">
        <v>9.3898020172497099E-2</v>
      </c>
      <c r="L1355">
        <v>1783.1784407774901</v>
      </c>
      <c r="M1355">
        <v>33.0106014379001</v>
      </c>
      <c r="N1355">
        <v>54.508940098602601</v>
      </c>
      <c r="O1355">
        <v>53.821275533013001</v>
      </c>
      <c r="P1355">
        <v>-0.133629282046339</v>
      </c>
      <c r="Q1355">
        <v>0.12851436976445399</v>
      </c>
      <c r="R1355">
        <v>0.92423565796720697</v>
      </c>
      <c r="S1355" t="s">
        <v>7666</v>
      </c>
      <c r="T1355" t="s">
        <v>12620</v>
      </c>
      <c r="U1355" t="s">
        <v>12620</v>
      </c>
      <c r="V1355" t="s">
        <v>12620</v>
      </c>
      <c r="W1355" t="s">
        <v>13941</v>
      </c>
      <c r="X1355">
        <v>17</v>
      </c>
      <c r="Y1355" t="s">
        <v>20169</v>
      </c>
      <c r="Z1355" t="s">
        <v>26302</v>
      </c>
      <c r="AA1355">
        <v>0.54049420827653061</v>
      </c>
      <c r="AB1355" t="str">
        <f>HYPERLINK("Melting_Curves/meltCurve_O95155_2_UBE4B.pdf", "Melting_Curves/meltCurve_O95155_2_UBE4B.pdf")</f>
        <v>Melting_Curves/meltCurve_O95155_2_UBE4B.pdf</v>
      </c>
    </row>
    <row r="1356" spans="1:28" x14ac:dyDescent="0.25">
      <c r="A1356" t="s">
        <v>1360</v>
      </c>
      <c r="B1356">
        <v>0.99987803227770999</v>
      </c>
      <c r="C1356">
        <v>0.80312265219965095</v>
      </c>
      <c r="D1356">
        <v>0.74465648591810296</v>
      </c>
      <c r="E1356">
        <v>1.3409962012668</v>
      </c>
      <c r="F1356">
        <v>1.0435581994227101</v>
      </c>
      <c r="G1356">
        <v>0.59225039464566298</v>
      </c>
      <c r="H1356">
        <v>0.14069035888339601</v>
      </c>
      <c r="I1356">
        <v>0.110042746315545</v>
      </c>
      <c r="J1356">
        <v>7.9004790959794402E-2</v>
      </c>
      <c r="K1356">
        <v>5.32045251668734E-2</v>
      </c>
      <c r="L1356">
        <v>3262.7606391314498</v>
      </c>
      <c r="M1356">
        <v>57.0031112913681</v>
      </c>
      <c r="N1356">
        <v>57.432987615280702</v>
      </c>
      <c r="O1356">
        <v>57.167974106243399</v>
      </c>
      <c r="P1356">
        <v>-0.22737828803353299</v>
      </c>
      <c r="Q1356">
        <v>8.7856847786343603E-2</v>
      </c>
      <c r="R1356">
        <v>0.88653497663017999</v>
      </c>
      <c r="S1356" t="s">
        <v>7667</v>
      </c>
      <c r="T1356" t="s">
        <v>12620</v>
      </c>
      <c r="U1356" t="s">
        <v>12620</v>
      </c>
      <c r="V1356" t="s">
        <v>12620</v>
      </c>
      <c r="W1356" t="s">
        <v>13942</v>
      </c>
      <c r="X1356">
        <v>20</v>
      </c>
      <c r="Y1356" t="s">
        <v>20170</v>
      </c>
      <c r="Z1356" t="s">
        <v>26303</v>
      </c>
      <c r="AA1356">
        <v>0.61375125028335253</v>
      </c>
      <c r="AB1356" t="str">
        <f>HYPERLINK("Melting_Curves/meltCurve_O95163_IKBKAP.pdf", "Melting_Curves/meltCurve_O95163_IKBKAP.pdf")</f>
        <v>Melting_Curves/meltCurve_O95163_IKBKAP.pdf</v>
      </c>
    </row>
    <row r="1357" spans="1:28" x14ac:dyDescent="0.25">
      <c r="A1357" t="s">
        <v>1361</v>
      </c>
      <c r="B1357">
        <v>0.99987803227770999</v>
      </c>
      <c r="C1357">
        <v>1.0796371668072799</v>
      </c>
      <c r="D1357">
        <v>1.05982283073462</v>
      </c>
      <c r="E1357">
        <v>0.98907787262831903</v>
      </c>
      <c r="F1357">
        <v>1.14686142697708</v>
      </c>
      <c r="G1357">
        <v>1.17551549971762</v>
      </c>
      <c r="H1357">
        <v>1.10080333847752</v>
      </c>
      <c r="I1357">
        <v>1.0340909429012799</v>
      </c>
      <c r="J1357">
        <v>1.0668210230544499</v>
      </c>
      <c r="K1357">
        <v>0.89536078627357196</v>
      </c>
      <c r="L1357">
        <v>15000</v>
      </c>
      <c r="M1357">
        <v>212.13894533583399</v>
      </c>
      <c r="Q1357">
        <v>0</v>
      </c>
      <c r="R1357">
        <v>-0.32243861753942099</v>
      </c>
      <c r="S1357" t="s">
        <v>7668</v>
      </c>
      <c r="T1357" t="s">
        <v>12620</v>
      </c>
      <c r="U1357" t="s">
        <v>12620</v>
      </c>
      <c r="V1357" t="s">
        <v>12620</v>
      </c>
      <c r="W1357" t="s">
        <v>13943</v>
      </c>
      <c r="X1357">
        <v>3</v>
      </c>
      <c r="Y1357" t="s">
        <v>20171</v>
      </c>
      <c r="Z1357" t="s">
        <v>26304</v>
      </c>
      <c r="AA1357">
        <v>0.99880792173042265</v>
      </c>
      <c r="AB1357" t="str">
        <f>HYPERLINK("Melting_Curves/meltCurve_O95197_7_RTN3.pdf", "Melting_Curves/meltCurve_O95197_7_RTN3.pdf")</f>
        <v>Melting_Curves/meltCurve_O95197_7_RTN3.pdf</v>
      </c>
    </row>
    <row r="1358" spans="1:28" x14ac:dyDescent="0.25">
      <c r="A1358" t="s">
        <v>1362</v>
      </c>
      <c r="B1358">
        <v>0.99987803227770999</v>
      </c>
      <c r="C1358">
        <v>0.88541128315988704</v>
      </c>
      <c r="D1358">
        <v>0.96346964311960304</v>
      </c>
      <c r="E1358">
        <v>0.85039435299413302</v>
      </c>
      <c r="F1358">
        <v>1.0504554862617701</v>
      </c>
      <c r="G1358">
        <v>0.69698107037613899</v>
      </c>
      <c r="H1358">
        <v>0.775757006297077</v>
      </c>
      <c r="I1358">
        <v>0.63943549815248502</v>
      </c>
      <c r="J1358">
        <v>0.72826905247516804</v>
      </c>
      <c r="K1358">
        <v>0.59445535763744795</v>
      </c>
      <c r="L1358">
        <v>346.71288328283703</v>
      </c>
      <c r="M1358">
        <v>4.9477087269764004</v>
      </c>
      <c r="O1358">
        <v>61.008864634373303</v>
      </c>
      <c r="P1358">
        <v>-1.5781006281070601E-2</v>
      </c>
      <c r="Q1358">
        <v>0.22654783610870199</v>
      </c>
      <c r="R1358">
        <v>0.69717128751650204</v>
      </c>
      <c r="S1358" t="s">
        <v>7669</v>
      </c>
      <c r="T1358" t="s">
        <v>12620</v>
      </c>
      <c r="U1358" t="s">
        <v>12620</v>
      </c>
      <c r="V1358" t="s">
        <v>12620</v>
      </c>
      <c r="W1358" t="s">
        <v>13944</v>
      </c>
      <c r="X1358">
        <v>3</v>
      </c>
      <c r="Y1358" t="s">
        <v>20172</v>
      </c>
      <c r="Z1358" t="s">
        <v>26305</v>
      </c>
      <c r="AA1358">
        <v>0.82608828728500427</v>
      </c>
      <c r="AB1358" t="str">
        <f>HYPERLINK("Melting_Curves/meltCurve_O95202_LETM1.pdf", "Melting_Curves/meltCurve_O95202_LETM1.pdf")</f>
        <v>Melting_Curves/meltCurve_O95202_LETM1.pdf</v>
      </c>
    </row>
    <row r="1359" spans="1:28" x14ac:dyDescent="0.25">
      <c r="A1359" t="s">
        <v>1363</v>
      </c>
      <c r="B1359">
        <v>0.99987803227770999</v>
      </c>
      <c r="C1359">
        <v>0.78070977922437401</v>
      </c>
      <c r="D1359">
        <v>0.95823221537960102</v>
      </c>
      <c r="E1359">
        <v>0.64003697162802498</v>
      </c>
      <c r="F1359">
        <v>0.60836030643081995</v>
      </c>
      <c r="G1359">
        <v>0.29801063914826298</v>
      </c>
      <c r="H1359">
        <v>0.25192971130504399</v>
      </c>
      <c r="I1359">
        <v>0.192304103853258</v>
      </c>
      <c r="J1359">
        <v>0.21624643752058101</v>
      </c>
      <c r="K1359">
        <v>0.15885692051922701</v>
      </c>
      <c r="L1359">
        <v>621.03385678803295</v>
      </c>
      <c r="M1359">
        <v>11.8357996264322</v>
      </c>
      <c r="N1359">
        <v>53.657225439103001</v>
      </c>
      <c r="O1359">
        <v>51.0401456768233</v>
      </c>
      <c r="P1359">
        <v>-5.1311557641476602E-2</v>
      </c>
      <c r="Q1359">
        <v>0.11513051492783299</v>
      </c>
      <c r="R1359">
        <v>0.94824596160841501</v>
      </c>
      <c r="S1359" t="s">
        <v>7670</v>
      </c>
      <c r="T1359" t="s">
        <v>12620</v>
      </c>
      <c r="U1359" t="s">
        <v>12620</v>
      </c>
      <c r="V1359" t="s">
        <v>12620</v>
      </c>
      <c r="W1359" t="s">
        <v>13945</v>
      </c>
      <c r="X1359">
        <v>8</v>
      </c>
      <c r="Y1359" t="s">
        <v>20173</v>
      </c>
      <c r="Z1359" t="s">
        <v>26306</v>
      </c>
      <c r="AA1359">
        <v>0.50961230376982991</v>
      </c>
      <c r="AB1359" t="str">
        <f>HYPERLINK("Melting_Curves/meltCurve_O95205_MBLL.pdf", "Melting_Curves/meltCurve_O95205_MBLL.pdf")</f>
        <v>Melting_Curves/meltCurve_O95205_MBLL.pdf</v>
      </c>
    </row>
    <row r="1360" spans="1:28" x14ac:dyDescent="0.25">
      <c r="A1360" t="s">
        <v>1364</v>
      </c>
      <c r="B1360">
        <v>0.99987803227770999</v>
      </c>
      <c r="C1360">
        <v>0.93225541857808902</v>
      </c>
      <c r="D1360">
        <v>0.99205252772528896</v>
      </c>
      <c r="E1360">
        <v>0.999930521688841</v>
      </c>
      <c r="F1360">
        <v>1.1845148889675201</v>
      </c>
      <c r="G1360">
        <v>0.83701516146326005</v>
      </c>
      <c r="H1360">
        <v>1.0935708830511699</v>
      </c>
      <c r="I1360">
        <v>1.1130145695754801</v>
      </c>
      <c r="J1360">
        <v>1.3861115022685999</v>
      </c>
      <c r="K1360">
        <v>1.08158277632841</v>
      </c>
      <c r="L1360">
        <v>3164.6171633937502</v>
      </c>
      <c r="M1360">
        <v>50.889304984021003</v>
      </c>
      <c r="O1360">
        <v>62.0904899697762</v>
      </c>
      <c r="P1360">
        <v>4.3946989367535598E-2</v>
      </c>
      <c r="Q1360">
        <v>1.21448025852737</v>
      </c>
      <c r="R1360">
        <v>0.413757498243016</v>
      </c>
      <c r="S1360" t="s">
        <v>7671</v>
      </c>
      <c r="T1360" t="s">
        <v>12620</v>
      </c>
      <c r="U1360" t="s">
        <v>12620</v>
      </c>
      <c r="V1360" t="s">
        <v>12620</v>
      </c>
      <c r="W1360" t="s">
        <v>13946</v>
      </c>
      <c r="X1360">
        <v>9</v>
      </c>
      <c r="Y1360" t="s">
        <v>20174</v>
      </c>
      <c r="Z1360" t="s">
        <v>26307</v>
      </c>
      <c r="AA1360">
        <v>1.055334529250967</v>
      </c>
      <c r="AB1360" t="str">
        <f>HYPERLINK("Melting_Curves/meltCurve_O95218_2_ZRANB2.pdf", "Melting_Curves/meltCurve_O95218_2_ZRANB2.pdf")</f>
        <v>Melting_Curves/meltCurve_O95218_2_ZRANB2.pdf</v>
      </c>
    </row>
    <row r="1361" spans="1:28" x14ac:dyDescent="0.25">
      <c r="A1361" t="s">
        <v>1365</v>
      </c>
      <c r="B1361">
        <v>0.99987803227770999</v>
      </c>
      <c r="C1361">
        <v>0.92149790730060599</v>
      </c>
      <c r="D1361">
        <v>0.56148118888393495</v>
      </c>
      <c r="E1361">
        <v>0.37009368652449698</v>
      </c>
      <c r="F1361">
        <v>0.24619694983741999</v>
      </c>
      <c r="G1361">
        <v>0.15997365174237399</v>
      </c>
      <c r="H1361">
        <v>0.15960304081342999</v>
      </c>
      <c r="I1361">
        <v>0.114542830510436</v>
      </c>
      <c r="J1361">
        <v>0.160992332713356</v>
      </c>
      <c r="K1361">
        <v>0.123602770461576</v>
      </c>
      <c r="L1361">
        <v>886.84905509779696</v>
      </c>
      <c r="M1361">
        <v>18.992324785097601</v>
      </c>
      <c r="N1361">
        <v>47.523967756748398</v>
      </c>
      <c r="O1361">
        <v>46.1866782923409</v>
      </c>
      <c r="P1361">
        <v>-8.8312318213251501E-2</v>
      </c>
      <c r="Q1361">
        <v>0.140981347913439</v>
      </c>
      <c r="R1361">
        <v>0.98698641777537399</v>
      </c>
      <c r="S1361" t="s">
        <v>7672</v>
      </c>
      <c r="T1361" t="s">
        <v>12620</v>
      </c>
      <c r="U1361" t="s">
        <v>12620</v>
      </c>
      <c r="V1361" t="s">
        <v>12620</v>
      </c>
      <c r="W1361" t="s">
        <v>13947</v>
      </c>
      <c r="X1361">
        <v>8</v>
      </c>
      <c r="Y1361" t="s">
        <v>20175</v>
      </c>
      <c r="Z1361" t="s">
        <v>26308</v>
      </c>
      <c r="AA1361">
        <v>0.34699283887490417</v>
      </c>
      <c r="AB1361" t="str">
        <f>HYPERLINK("Melting_Curves/meltCurve_O95219_SNX4.pdf", "Melting_Curves/meltCurve_O95219_SNX4.pdf")</f>
        <v>Melting_Curves/meltCurve_O95219_SNX4.pdf</v>
      </c>
    </row>
    <row r="1362" spans="1:28" x14ac:dyDescent="0.25">
      <c r="A1362" t="s">
        <v>1366</v>
      </c>
      <c r="B1362">
        <v>0.99987803227770999</v>
      </c>
      <c r="C1362">
        <v>0.96523667906555899</v>
      </c>
      <c r="D1362">
        <v>1.05554384580798</v>
      </c>
      <c r="E1362">
        <v>0.90139587601527504</v>
      </c>
      <c r="F1362">
        <v>0.80825587227317197</v>
      </c>
      <c r="G1362">
        <v>0.69963278050603195</v>
      </c>
      <c r="H1362">
        <v>0.72083270838379898</v>
      </c>
      <c r="I1362">
        <v>0.71856044146106801</v>
      </c>
      <c r="J1362">
        <v>0.62680343808629402</v>
      </c>
      <c r="K1362">
        <v>0.54157974533535502</v>
      </c>
      <c r="L1362">
        <v>680.92403436655502</v>
      </c>
      <c r="M1362">
        <v>12.3883256744883</v>
      </c>
      <c r="O1362">
        <v>53.5916652252088</v>
      </c>
      <c r="P1362">
        <v>-2.4093706963198999E-2</v>
      </c>
      <c r="Q1362">
        <v>0.58317310957925705</v>
      </c>
      <c r="R1362">
        <v>0.90970581499056602</v>
      </c>
      <c r="S1362" t="s">
        <v>7673</v>
      </c>
      <c r="T1362" t="s">
        <v>12620</v>
      </c>
      <c r="U1362" t="s">
        <v>12620</v>
      </c>
      <c r="V1362" t="s">
        <v>12620</v>
      </c>
      <c r="W1362" t="s">
        <v>12669</v>
      </c>
      <c r="X1362">
        <v>7</v>
      </c>
      <c r="Y1362" t="s">
        <v>18915</v>
      </c>
      <c r="Z1362" t="s">
        <v>26309</v>
      </c>
      <c r="AA1362">
        <v>0.80069237934431592</v>
      </c>
      <c r="AB1362" t="str">
        <f>HYPERLINK("Melting_Curves/meltCurve_O95229_ZWINT.pdf", "Melting_Curves/meltCurve_O95229_ZWINT.pdf")</f>
        <v>Melting_Curves/meltCurve_O95229_ZWINT.pdf</v>
      </c>
    </row>
    <row r="1363" spans="1:28" x14ac:dyDescent="0.25">
      <c r="A1363" t="s">
        <v>1367</v>
      </c>
      <c r="B1363">
        <v>0.99987803227770999</v>
      </c>
      <c r="C1363">
        <v>0.93091196584769798</v>
      </c>
      <c r="D1363">
        <v>1.1012027454597</v>
      </c>
      <c r="E1363">
        <v>0.99794854842731995</v>
      </c>
      <c r="F1363">
        <v>1.1705453060711299</v>
      </c>
      <c r="G1363">
        <v>0.89925059921504902</v>
      </c>
      <c r="H1363">
        <v>0.262140927888663</v>
      </c>
      <c r="I1363">
        <v>0.121979761520899</v>
      </c>
      <c r="J1363">
        <v>0.104577337369738</v>
      </c>
      <c r="K1363">
        <v>6.4262658768982697E-2</v>
      </c>
      <c r="L1363">
        <v>3119.1133948306801</v>
      </c>
      <c r="M1363">
        <v>52.577990786825197</v>
      </c>
      <c r="N1363">
        <v>59.546408940853503</v>
      </c>
      <c r="O1363">
        <v>59.237924811586197</v>
      </c>
      <c r="P1363">
        <v>-0.20207577699585799</v>
      </c>
      <c r="Q1363">
        <v>8.9311617094643497E-2</v>
      </c>
      <c r="R1363">
        <v>0.97627017291971097</v>
      </c>
      <c r="S1363" t="s">
        <v>7674</v>
      </c>
      <c r="T1363" t="s">
        <v>12620</v>
      </c>
      <c r="U1363" t="s">
        <v>12620</v>
      </c>
      <c r="V1363" t="s">
        <v>12620</v>
      </c>
      <c r="W1363" t="s">
        <v>13948</v>
      </c>
      <c r="X1363">
        <v>1</v>
      </c>
      <c r="Y1363" t="s">
        <v>20176</v>
      </c>
      <c r="Z1363" t="s">
        <v>26310</v>
      </c>
      <c r="AA1363">
        <v>0.67804039789288606</v>
      </c>
      <c r="AB1363" t="str">
        <f>HYPERLINK("Melting_Curves/meltCurve_O95231_VENTX.pdf", "Melting_Curves/meltCurve_O95231_VENTX.pdf")</f>
        <v>Melting_Curves/meltCurve_O95231_VENTX.pdf</v>
      </c>
    </row>
    <row r="1364" spans="1:28" x14ac:dyDescent="0.25">
      <c r="A1364" t="s">
        <v>1368</v>
      </c>
      <c r="B1364">
        <v>0.99987803227770999</v>
      </c>
      <c r="C1364">
        <v>0.93572289827714294</v>
      </c>
      <c r="D1364">
        <v>1.0413953970662699</v>
      </c>
      <c r="E1364">
        <v>1.1811906916141599</v>
      </c>
      <c r="F1364">
        <v>1.0644873143468101</v>
      </c>
      <c r="G1364">
        <v>0.71625544122025098</v>
      </c>
      <c r="H1364">
        <v>0.36302105227050002</v>
      </c>
      <c r="I1364">
        <v>0.20822852424745</v>
      </c>
      <c r="J1364">
        <v>0.18327538359571799</v>
      </c>
      <c r="K1364">
        <v>0.13744518685153601</v>
      </c>
      <c r="L1364">
        <v>1921.3224711376899</v>
      </c>
      <c r="M1364">
        <v>32.818222135379003</v>
      </c>
      <c r="N1364">
        <v>59.235044420644797</v>
      </c>
      <c r="O1364">
        <v>58.328288768557201</v>
      </c>
      <c r="P1364">
        <v>-0.118300581658246</v>
      </c>
      <c r="Q1364">
        <v>0.158974670060651</v>
      </c>
      <c r="R1364">
        <v>0.96733364095624297</v>
      </c>
      <c r="S1364" t="s">
        <v>7675</v>
      </c>
      <c r="T1364" t="s">
        <v>12620</v>
      </c>
      <c r="U1364" t="s">
        <v>12620</v>
      </c>
      <c r="V1364" t="s">
        <v>12620</v>
      </c>
      <c r="W1364" t="s">
        <v>13949</v>
      </c>
      <c r="X1364">
        <v>13</v>
      </c>
      <c r="Y1364" t="s">
        <v>20177</v>
      </c>
      <c r="Z1364" t="s">
        <v>26311</v>
      </c>
      <c r="AA1364">
        <v>0.68357162973667718</v>
      </c>
      <c r="AB1364" t="str">
        <f>HYPERLINK("Melting_Curves/meltCurve_O95232_LUC7L3.pdf", "Melting_Curves/meltCurve_O95232_LUC7L3.pdf")</f>
        <v>Melting_Curves/meltCurve_O95232_LUC7L3.pdf</v>
      </c>
    </row>
    <row r="1365" spans="1:28" x14ac:dyDescent="0.25">
      <c r="A1365" t="s">
        <v>1369</v>
      </c>
      <c r="B1365">
        <v>0.99987803227770999</v>
      </c>
      <c r="C1365">
        <v>0.96736090658684604</v>
      </c>
      <c r="D1365">
        <v>0.80040840870385699</v>
      </c>
      <c r="E1365">
        <v>0.56018274922226097</v>
      </c>
      <c r="F1365">
        <v>0.39835798222877999</v>
      </c>
      <c r="G1365">
        <v>0.28750278441548899</v>
      </c>
      <c r="H1365">
        <v>0.19719281644266301</v>
      </c>
      <c r="I1365">
        <v>0.128757298003459</v>
      </c>
      <c r="J1365">
        <v>9.8588781690881006E-2</v>
      </c>
      <c r="K1365">
        <v>9.09044950502092E-2</v>
      </c>
      <c r="L1365">
        <v>672.51405853233496</v>
      </c>
      <c r="M1365">
        <v>13.267881519554299</v>
      </c>
      <c r="N1365">
        <v>51.374155634765003</v>
      </c>
      <c r="O1365">
        <v>49.577424410512897</v>
      </c>
      <c r="P1365">
        <v>-6.1477901419694198E-2</v>
      </c>
      <c r="Q1365">
        <v>8.1264369534130201E-2</v>
      </c>
      <c r="R1365">
        <v>0.99497511274150496</v>
      </c>
      <c r="S1365" t="s">
        <v>7676</v>
      </c>
      <c r="T1365" t="s">
        <v>12620</v>
      </c>
      <c r="U1365" t="s">
        <v>12620</v>
      </c>
      <c r="V1365" t="s">
        <v>12620</v>
      </c>
      <c r="W1365" t="s">
        <v>13950</v>
      </c>
      <c r="X1365">
        <v>3</v>
      </c>
      <c r="Y1365" t="s">
        <v>20178</v>
      </c>
      <c r="Z1365" t="s">
        <v>26312</v>
      </c>
      <c r="AA1365">
        <v>0.43475816557385671</v>
      </c>
      <c r="AB1365" t="str">
        <f>HYPERLINK("Melting_Curves/meltCurve_O95235_KIF20A.pdf", "Melting_Curves/meltCurve_O95235_KIF20A.pdf")</f>
        <v>Melting_Curves/meltCurve_O95235_KIF20A.pdf</v>
      </c>
    </row>
    <row r="1366" spans="1:28" x14ac:dyDescent="0.25">
      <c r="A1366" t="s">
        <v>1370</v>
      </c>
      <c r="B1366">
        <v>0.99987803227770999</v>
      </c>
      <c r="C1366">
        <v>0.73800207310428501</v>
      </c>
      <c r="D1366">
        <v>0.582110796734709</v>
      </c>
      <c r="E1366">
        <v>0.49092695420176502</v>
      </c>
      <c r="F1366">
        <v>0.41987832610813097</v>
      </c>
      <c r="G1366">
        <v>0.28363470340500402</v>
      </c>
      <c r="H1366">
        <v>0.27970734052100699</v>
      </c>
      <c r="I1366">
        <v>0.246835184225944</v>
      </c>
      <c r="J1366">
        <v>0.24979775253917599</v>
      </c>
      <c r="K1366">
        <v>0.19990329927382899</v>
      </c>
      <c r="L1366">
        <v>530.48338208863004</v>
      </c>
      <c r="M1366">
        <v>11.380448584255801</v>
      </c>
      <c r="N1366">
        <v>49.046922905668303</v>
      </c>
      <c r="O1366">
        <v>45.243906391141699</v>
      </c>
      <c r="P1366">
        <v>-4.9333767220020697E-2</v>
      </c>
      <c r="Q1366">
        <v>0.215710345419732</v>
      </c>
      <c r="R1366">
        <v>0.96574580660670595</v>
      </c>
      <c r="S1366" t="s">
        <v>7677</v>
      </c>
      <c r="T1366" t="s">
        <v>12620</v>
      </c>
      <c r="U1366" t="s">
        <v>12620</v>
      </c>
      <c r="V1366" t="s">
        <v>12620</v>
      </c>
      <c r="W1366" t="s">
        <v>13951</v>
      </c>
      <c r="X1366">
        <v>27</v>
      </c>
      <c r="Y1366" t="s">
        <v>20179</v>
      </c>
      <c r="Z1366" t="s">
        <v>26313</v>
      </c>
      <c r="AA1366">
        <v>0.42595475064643967</v>
      </c>
      <c r="AB1366" t="str">
        <f>HYPERLINK("Melting_Curves/meltCurve_O95239_KIF4A.pdf", "Melting_Curves/meltCurve_O95239_KIF4A.pdf")</f>
        <v>Melting_Curves/meltCurve_O95239_KIF4A.pdf</v>
      </c>
    </row>
    <row r="1367" spans="1:28" x14ac:dyDescent="0.25">
      <c r="A1367" t="s">
        <v>1371</v>
      </c>
      <c r="B1367">
        <v>0.99987803227770999</v>
      </c>
      <c r="C1367">
        <v>0.68076554845737403</v>
      </c>
      <c r="D1367">
        <v>0</v>
      </c>
      <c r="E1367">
        <v>0.63201000879205005</v>
      </c>
      <c r="F1367">
        <v>0.93629664967190096</v>
      </c>
      <c r="G1367">
        <v>0.67019241275284902</v>
      </c>
      <c r="H1367">
        <v>0.78824136567337</v>
      </c>
      <c r="I1367">
        <v>0.54630358987610705</v>
      </c>
      <c r="J1367">
        <v>0.85690679246560997</v>
      </c>
      <c r="K1367">
        <v>0.71753279733727005</v>
      </c>
      <c r="L1367">
        <v>10632.9311383734</v>
      </c>
      <c r="M1367">
        <v>250</v>
      </c>
      <c r="O1367">
        <v>42.529002793683297</v>
      </c>
      <c r="P1367">
        <v>-0.52400203317830996</v>
      </c>
      <c r="Q1367">
        <v>0.64343545739416497</v>
      </c>
      <c r="R1367">
        <v>0.162496215012744</v>
      </c>
      <c r="S1367" t="s">
        <v>7678</v>
      </c>
      <c r="T1367" t="s">
        <v>12620</v>
      </c>
      <c r="U1367" t="s">
        <v>12620</v>
      </c>
      <c r="V1367" t="s">
        <v>12620</v>
      </c>
      <c r="W1367" t="s">
        <v>13952</v>
      </c>
      <c r="X1367">
        <v>1</v>
      </c>
      <c r="Y1367" t="s">
        <v>20180</v>
      </c>
      <c r="Z1367" t="s">
        <v>26314</v>
      </c>
      <c r="AA1367">
        <v>0.67355284608732535</v>
      </c>
      <c r="AB1367" t="str">
        <f>HYPERLINK("Melting_Curves/meltCurve_O95243_3_MBD4.pdf", "Melting_Curves/meltCurve_O95243_3_MBD4.pdf")</f>
        <v>Melting_Curves/meltCurve_O95243_3_MBD4.pdf</v>
      </c>
    </row>
    <row r="1368" spans="1:28" x14ac:dyDescent="0.25">
      <c r="A1368" t="s">
        <v>1372</v>
      </c>
      <c r="B1368">
        <v>0.99987803227770999</v>
      </c>
      <c r="C1368">
        <v>0.81311123461742196</v>
      </c>
      <c r="D1368">
        <v>0.77384428388061299</v>
      </c>
      <c r="E1368">
        <v>0.71216942016135498</v>
      </c>
      <c r="F1368">
        <v>0.42013584775477503</v>
      </c>
      <c r="G1368">
        <v>0.29634329466964499</v>
      </c>
      <c r="H1368">
        <v>0.14326395394970001</v>
      </c>
      <c r="I1368">
        <v>0.121877322950489</v>
      </c>
      <c r="J1368">
        <v>7.2694072592796893E-2</v>
      </c>
      <c r="K1368">
        <v>6.4580831747132098E-2</v>
      </c>
      <c r="L1368">
        <v>553.51049492418497</v>
      </c>
      <c r="M1368">
        <v>10.619347924791301</v>
      </c>
      <c r="N1368">
        <v>52.122825067352302</v>
      </c>
      <c r="O1368">
        <v>50.376385263734797</v>
      </c>
      <c r="P1368">
        <v>-5.2720395177561601E-2</v>
      </c>
      <c r="Q1368">
        <v>0</v>
      </c>
      <c r="R1368">
        <v>0.97847691920053304</v>
      </c>
      <c r="S1368" t="s">
        <v>7679</v>
      </c>
      <c r="T1368" t="s">
        <v>12620</v>
      </c>
      <c r="U1368" t="s">
        <v>12620</v>
      </c>
      <c r="V1368" t="s">
        <v>12620</v>
      </c>
      <c r="W1368" t="s">
        <v>13953</v>
      </c>
      <c r="X1368">
        <v>2</v>
      </c>
      <c r="Y1368" t="s">
        <v>20181</v>
      </c>
      <c r="Z1368" t="s">
        <v>26315</v>
      </c>
      <c r="AA1368">
        <v>0.43922053840549441</v>
      </c>
      <c r="AB1368" t="str">
        <f>HYPERLINK("Melting_Curves/meltCurve_O95248_SBF1.pdf", "Melting_Curves/meltCurve_O95248_SBF1.pdf")</f>
        <v>Melting_Curves/meltCurve_O95248_SBF1.pdf</v>
      </c>
    </row>
    <row r="1369" spans="1:28" x14ac:dyDescent="0.25">
      <c r="A1369" t="s">
        <v>1373</v>
      </c>
      <c r="B1369">
        <v>0.99987803227770999</v>
      </c>
      <c r="C1369">
        <v>0.84602360082364303</v>
      </c>
      <c r="D1369">
        <v>0.97256137359129002</v>
      </c>
      <c r="E1369">
        <v>0.68252527147585995</v>
      </c>
      <c r="F1369">
        <v>0.90900063354684701</v>
      </c>
      <c r="G1369">
        <v>0.86142396944007404</v>
      </c>
      <c r="H1369">
        <v>1.0452737815193001</v>
      </c>
      <c r="I1369">
        <v>0.88973912754675499</v>
      </c>
      <c r="J1369">
        <v>0.72033462873535803</v>
      </c>
      <c r="K1369">
        <v>0.43914673463752901</v>
      </c>
      <c r="L1369">
        <v>2082.6180405885498</v>
      </c>
      <c r="M1369">
        <v>30.380138260540502</v>
      </c>
      <c r="N1369">
        <v>69.308349590271604</v>
      </c>
      <c r="O1369">
        <v>68.2569977292614</v>
      </c>
      <c r="P1369">
        <v>-9.5571983293015597E-2</v>
      </c>
      <c r="Q1369">
        <v>0.14109468865563199</v>
      </c>
      <c r="R1369">
        <v>0.46396137089588702</v>
      </c>
      <c r="S1369" t="s">
        <v>7680</v>
      </c>
      <c r="T1369" t="s">
        <v>12620</v>
      </c>
      <c r="U1369" t="s">
        <v>12620</v>
      </c>
      <c r="V1369" t="s">
        <v>12620</v>
      </c>
      <c r="W1369" t="s">
        <v>13954</v>
      </c>
      <c r="X1369">
        <v>5</v>
      </c>
      <c r="Y1369" t="s">
        <v>20182</v>
      </c>
      <c r="Z1369" t="s">
        <v>26316</v>
      </c>
      <c r="AA1369">
        <v>0.93442934999811911</v>
      </c>
      <c r="AB1369" t="str">
        <f>HYPERLINK("Melting_Curves/meltCurve_O95249_GOSR1.pdf", "Melting_Curves/meltCurve_O95249_GOSR1.pdf")</f>
        <v>Melting_Curves/meltCurve_O95249_GOSR1.pdf</v>
      </c>
    </row>
    <row r="1370" spans="1:28" x14ac:dyDescent="0.25">
      <c r="A1370" t="s">
        <v>1374</v>
      </c>
      <c r="B1370">
        <v>0.99987803227770999</v>
      </c>
      <c r="C1370">
        <v>0.83742257119541097</v>
      </c>
      <c r="D1370">
        <v>0.93178818202648195</v>
      </c>
      <c r="E1370">
        <v>0.84191132830235704</v>
      </c>
      <c r="F1370">
        <v>1.16430652009303</v>
      </c>
      <c r="G1370">
        <v>0.98013098752441796</v>
      </c>
      <c r="H1370">
        <v>1.0420211707320099</v>
      </c>
      <c r="I1370">
        <v>0.88528433536682405</v>
      </c>
      <c r="J1370">
        <v>1.0694973861178101</v>
      </c>
      <c r="K1370">
        <v>0.89275633984666503</v>
      </c>
      <c r="L1370">
        <v>1.0000000000000001E-5</v>
      </c>
      <c r="M1370">
        <v>1.0000000000000001E-5</v>
      </c>
      <c r="Q1370">
        <v>0.92899971942176796</v>
      </c>
      <c r="R1370">
        <v>-2.1590926824188699E-9</v>
      </c>
      <c r="S1370" t="s">
        <v>7681</v>
      </c>
      <c r="T1370" t="s">
        <v>12620</v>
      </c>
      <c r="U1370" t="s">
        <v>12620</v>
      </c>
      <c r="V1370" t="s">
        <v>12620</v>
      </c>
      <c r="W1370" t="s">
        <v>13955</v>
      </c>
      <c r="X1370">
        <v>3</v>
      </c>
      <c r="Y1370" t="s">
        <v>20183</v>
      </c>
      <c r="Z1370" t="s">
        <v>26317</v>
      </c>
      <c r="AA1370">
        <v>0.96449968552125553</v>
      </c>
      <c r="AB1370" t="str">
        <f>HYPERLINK("Melting_Curves/meltCurve_O95251_4_KAT7.pdf", "Melting_Curves/meltCurve_O95251_4_KAT7.pdf")</f>
        <v>Melting_Curves/meltCurve_O95251_4_KAT7.pdf</v>
      </c>
    </row>
    <row r="1371" spans="1:28" x14ac:dyDescent="0.25">
      <c r="A1371" t="s">
        <v>1375</v>
      </c>
      <c r="B1371">
        <v>0.99987803227770999</v>
      </c>
      <c r="C1371">
        <v>1.1264884285836501</v>
      </c>
      <c r="D1371">
        <v>1.05060072195333</v>
      </c>
      <c r="E1371">
        <v>0.99411313639807997</v>
      </c>
      <c r="F1371">
        <v>0.67581338034345595</v>
      </c>
      <c r="G1371">
        <v>0.437992339665775</v>
      </c>
      <c r="H1371">
        <v>0.29091206213024801</v>
      </c>
      <c r="I1371">
        <v>0.205687699281733</v>
      </c>
      <c r="J1371">
        <v>0.16405898914040901</v>
      </c>
      <c r="K1371">
        <v>0.123575231576682</v>
      </c>
      <c r="L1371">
        <v>1175.45514936465</v>
      </c>
      <c r="M1371">
        <v>21.335268694369301</v>
      </c>
      <c r="N1371">
        <v>56.046949518214298</v>
      </c>
      <c r="O1371">
        <v>54.617294807703502</v>
      </c>
      <c r="P1371">
        <v>-8.2810123950944906E-2</v>
      </c>
      <c r="Q1371">
        <v>0.152061131688878</v>
      </c>
      <c r="R1371">
        <v>0.97640574557278703</v>
      </c>
      <c r="S1371" t="s">
        <v>7682</v>
      </c>
      <c r="T1371" t="s">
        <v>12620</v>
      </c>
      <c r="U1371" t="s">
        <v>12620</v>
      </c>
      <c r="V1371" t="s">
        <v>12620</v>
      </c>
      <c r="W1371" t="s">
        <v>13956</v>
      </c>
      <c r="X1371">
        <v>4</v>
      </c>
      <c r="Y1371" t="s">
        <v>20184</v>
      </c>
      <c r="Z1371" t="s">
        <v>26318</v>
      </c>
      <c r="AA1371">
        <v>0.58890331803307461</v>
      </c>
      <c r="AB1371" t="str">
        <f>HYPERLINK("Melting_Curves/meltCurve_O95273_CCNDBP1.pdf", "Melting_Curves/meltCurve_O95273_CCNDBP1.pdf")</f>
        <v>Melting_Curves/meltCurve_O95273_CCNDBP1.pdf</v>
      </c>
    </row>
    <row r="1372" spans="1:28" x14ac:dyDescent="0.25">
      <c r="A1372" t="s">
        <v>1376</v>
      </c>
      <c r="B1372">
        <v>0.99987803227770999</v>
      </c>
      <c r="C1372">
        <v>0.84597503472893498</v>
      </c>
      <c r="D1372">
        <v>1.0292622610988</v>
      </c>
      <c r="E1372">
        <v>0.86988254846435198</v>
      </c>
      <c r="F1372">
        <v>1.0613858345068099</v>
      </c>
      <c r="G1372">
        <v>0.80802911748950301</v>
      </c>
      <c r="H1372">
        <v>0.82371468119288604</v>
      </c>
      <c r="I1372">
        <v>0.75506791318965705</v>
      </c>
      <c r="J1372">
        <v>0.77477385388509701</v>
      </c>
      <c r="K1372">
        <v>0.65203604274627402</v>
      </c>
      <c r="L1372">
        <v>361.17632578302101</v>
      </c>
      <c r="M1372">
        <v>4.4089310506144503</v>
      </c>
      <c r="O1372">
        <v>69.231547393667697</v>
      </c>
      <c r="P1372">
        <v>-1.6069981334351901E-2</v>
      </c>
      <c r="Q1372">
        <v>0</v>
      </c>
      <c r="R1372">
        <v>0.63727793124251997</v>
      </c>
      <c r="S1372" t="s">
        <v>7683</v>
      </c>
      <c r="T1372" t="s">
        <v>12620</v>
      </c>
      <c r="U1372" t="s">
        <v>12620</v>
      </c>
      <c r="V1372" t="s">
        <v>12620</v>
      </c>
      <c r="W1372" t="s">
        <v>13957</v>
      </c>
      <c r="X1372">
        <v>11</v>
      </c>
      <c r="Y1372" t="s">
        <v>20185</v>
      </c>
      <c r="Z1372" t="s">
        <v>26319</v>
      </c>
      <c r="AA1372">
        <v>0.87448034822409215</v>
      </c>
      <c r="AB1372" t="str">
        <f>HYPERLINK("Melting_Curves/meltCurve_O95292_VAPB.pdf", "Melting_Curves/meltCurve_O95292_VAPB.pdf")</f>
        <v>Melting_Curves/meltCurve_O95292_VAPB.pdf</v>
      </c>
    </row>
    <row r="1373" spans="1:28" x14ac:dyDescent="0.25">
      <c r="A1373" t="s">
        <v>1377</v>
      </c>
      <c r="B1373">
        <v>0.99987803227770999</v>
      </c>
      <c r="C1373">
        <v>1.0052399069087601</v>
      </c>
      <c r="D1373">
        <v>1.0404638283916401</v>
      </c>
      <c r="E1373">
        <v>1.0161180636298</v>
      </c>
      <c r="F1373">
        <v>0.87316585563628002</v>
      </c>
      <c r="G1373">
        <v>0.68269728656093498</v>
      </c>
      <c r="H1373">
        <v>0.50966283160193004</v>
      </c>
      <c r="I1373">
        <v>0.41062877609631399</v>
      </c>
      <c r="J1373">
        <v>0.31701653859245499</v>
      </c>
      <c r="K1373">
        <v>0.240513498965684</v>
      </c>
      <c r="L1373">
        <v>932.01640157980796</v>
      </c>
      <c r="M1373">
        <v>15.7716971189659</v>
      </c>
      <c r="N1373">
        <v>61.085102974455801</v>
      </c>
      <c r="O1373">
        <v>58.168671051373998</v>
      </c>
      <c r="P1373">
        <v>-5.4167001632767602E-2</v>
      </c>
      <c r="Q1373">
        <v>0.20095826828032101</v>
      </c>
      <c r="R1373">
        <v>0.99067499908370205</v>
      </c>
      <c r="S1373" t="s">
        <v>7684</v>
      </c>
      <c r="T1373" t="s">
        <v>12620</v>
      </c>
      <c r="U1373" t="s">
        <v>12620</v>
      </c>
      <c r="V1373" t="s">
        <v>12620</v>
      </c>
      <c r="W1373" t="s">
        <v>13958</v>
      </c>
      <c r="X1373">
        <v>8</v>
      </c>
      <c r="Y1373" t="s">
        <v>20186</v>
      </c>
      <c r="Z1373" t="s">
        <v>26320</v>
      </c>
      <c r="AA1373">
        <v>0.71782935465231845</v>
      </c>
      <c r="AB1373" t="str">
        <f>HYPERLINK("Melting_Curves/meltCurve_O95295_SNAPIN.pdf", "Melting_Curves/meltCurve_O95295_SNAPIN.pdf")</f>
        <v>Melting_Curves/meltCurve_O95295_SNAPIN.pdf</v>
      </c>
    </row>
    <row r="1374" spans="1:28" x14ac:dyDescent="0.25">
      <c r="A1374" t="s">
        <v>1378</v>
      </c>
      <c r="B1374">
        <v>0.99987803227770999</v>
      </c>
      <c r="C1374">
        <v>0.90923875536797805</v>
      </c>
      <c r="D1374">
        <v>1.05400536012318</v>
      </c>
      <c r="E1374">
        <v>0.93508648321221399</v>
      </c>
      <c r="F1374">
        <v>1.2812957121188899</v>
      </c>
      <c r="G1374">
        <v>0.92068866161507201</v>
      </c>
      <c r="H1374">
        <v>1.09605219430762</v>
      </c>
      <c r="I1374">
        <v>0.87660739798424903</v>
      </c>
      <c r="J1374">
        <v>1.47213312075902</v>
      </c>
      <c r="K1374">
        <v>1.2193205159828799</v>
      </c>
      <c r="L1374">
        <v>15000</v>
      </c>
      <c r="M1374">
        <v>229.13861573852699</v>
      </c>
      <c r="O1374">
        <v>65.457571781747504</v>
      </c>
      <c r="P1374">
        <v>0.30276409985375202</v>
      </c>
      <c r="Q1374">
        <v>1.3459600677902399</v>
      </c>
      <c r="R1374">
        <v>0.53200150750776698</v>
      </c>
      <c r="S1374" t="s">
        <v>7685</v>
      </c>
      <c r="T1374" t="s">
        <v>12620</v>
      </c>
      <c r="U1374" t="s">
        <v>12620</v>
      </c>
      <c r="V1374" t="s">
        <v>12620</v>
      </c>
      <c r="W1374" t="s">
        <v>13959</v>
      </c>
      <c r="X1374">
        <v>1</v>
      </c>
      <c r="Y1374" t="s">
        <v>20187</v>
      </c>
      <c r="Z1374" t="s">
        <v>26321</v>
      </c>
      <c r="AA1374">
        <v>1.0522784743929829</v>
      </c>
      <c r="AB1374" t="str">
        <f>HYPERLINK("Melting_Curves/meltCurve_O95297_4_MPZL1.pdf", "Melting_Curves/meltCurve_O95297_4_MPZL1.pdf")</f>
        <v>Melting_Curves/meltCurve_O95297_4_MPZL1.pdf</v>
      </c>
    </row>
    <row r="1375" spans="1:28" x14ac:dyDescent="0.25">
      <c r="A1375" t="s">
        <v>1379</v>
      </c>
      <c r="B1375">
        <v>0.99987803227770999</v>
      </c>
      <c r="C1375">
        <v>1.0394762450136901</v>
      </c>
      <c r="D1375">
        <v>0.98683956037890497</v>
      </c>
      <c r="E1375">
        <v>0.828594758377588</v>
      </c>
      <c r="F1375">
        <v>0.43644274766455099</v>
      </c>
      <c r="G1375">
        <v>0.31386760317345302</v>
      </c>
      <c r="H1375">
        <v>0.208861306254222</v>
      </c>
      <c r="I1375">
        <v>0.15619176123412001</v>
      </c>
      <c r="J1375">
        <v>0.122270210483149</v>
      </c>
      <c r="K1375">
        <v>7.1636616246138096E-2</v>
      </c>
      <c r="L1375">
        <v>1195.2818417727201</v>
      </c>
      <c r="M1375">
        <v>22.802634507024202</v>
      </c>
      <c r="N1375">
        <v>53.128321804454998</v>
      </c>
      <c r="O1375">
        <v>52.020429609521997</v>
      </c>
      <c r="P1375">
        <v>-9.5198590716327705E-2</v>
      </c>
      <c r="Q1375">
        <v>0.13129762863612701</v>
      </c>
      <c r="R1375">
        <v>0.98602830777122596</v>
      </c>
      <c r="S1375" t="s">
        <v>7686</v>
      </c>
      <c r="T1375" t="s">
        <v>12620</v>
      </c>
      <c r="U1375" t="s">
        <v>12620</v>
      </c>
      <c r="V1375" t="s">
        <v>12620</v>
      </c>
      <c r="W1375" t="s">
        <v>13960</v>
      </c>
      <c r="X1375">
        <v>15</v>
      </c>
      <c r="Y1375" t="s">
        <v>20188</v>
      </c>
      <c r="Z1375" t="s">
        <v>26322</v>
      </c>
      <c r="AA1375">
        <v>0.50036464594044339</v>
      </c>
      <c r="AB1375" t="str">
        <f>HYPERLINK("Melting_Curves/meltCurve_O95302_FKBP9.pdf", "Melting_Curves/meltCurve_O95302_FKBP9.pdf")</f>
        <v>Melting_Curves/meltCurve_O95302_FKBP9.pdf</v>
      </c>
    </row>
    <row r="1376" spans="1:28" x14ac:dyDescent="0.25">
      <c r="A1376" t="s">
        <v>1380</v>
      </c>
      <c r="B1376">
        <v>0.99987803227770999</v>
      </c>
      <c r="C1376">
        <v>0.89163042864647502</v>
      </c>
      <c r="D1376">
        <v>1.02106068741958</v>
      </c>
      <c r="E1376">
        <v>0.89792445941351196</v>
      </c>
      <c r="F1376">
        <v>1.0805290004533299</v>
      </c>
      <c r="G1376">
        <v>0.92405071180656295</v>
      </c>
      <c r="H1376">
        <v>0.73359115352832305</v>
      </c>
      <c r="I1376">
        <v>0.35090294084977902</v>
      </c>
      <c r="J1376">
        <v>0.119890553886002</v>
      </c>
      <c r="K1376">
        <v>8.1588259236208896E-2</v>
      </c>
      <c r="L1376">
        <v>2139.5605189233202</v>
      </c>
      <c r="M1376">
        <v>34.180603877266101</v>
      </c>
      <c r="N1376">
        <v>62.7652389659413</v>
      </c>
      <c r="O1376">
        <v>62.382653755852601</v>
      </c>
      <c r="P1376">
        <v>-0.13094145253372799</v>
      </c>
      <c r="Q1376">
        <v>4.4084350292883497E-2</v>
      </c>
      <c r="R1376">
        <v>0.97562310521565498</v>
      </c>
      <c r="S1376" t="s">
        <v>7687</v>
      </c>
      <c r="T1376" t="s">
        <v>12620</v>
      </c>
      <c r="U1376" t="s">
        <v>12620</v>
      </c>
      <c r="V1376" t="s">
        <v>12620</v>
      </c>
      <c r="W1376" t="s">
        <v>13961</v>
      </c>
      <c r="X1376">
        <v>13</v>
      </c>
      <c r="Y1376" t="s">
        <v>20189</v>
      </c>
      <c r="Z1376" t="s">
        <v>26323</v>
      </c>
      <c r="AA1376">
        <v>0.76767720844926246</v>
      </c>
      <c r="AB1376" t="str">
        <f>HYPERLINK("Melting_Curves/meltCurve_O95336_PGLS.pdf", "Melting_Curves/meltCurve_O95336_PGLS.pdf")</f>
        <v>Melting_Curves/meltCurve_O95336_PGLS.pdf</v>
      </c>
    </row>
    <row r="1377" spans="1:28" x14ac:dyDescent="0.25">
      <c r="A1377" t="s">
        <v>1381</v>
      </c>
      <c r="B1377">
        <v>0.99987803227770999</v>
      </c>
      <c r="C1377">
        <v>1.17310347759532</v>
      </c>
      <c r="D1377">
        <v>0.93995922354204497</v>
      </c>
      <c r="E1377">
        <v>0.78643018921817798</v>
      </c>
      <c r="F1377">
        <v>0.31371790261570198</v>
      </c>
      <c r="G1377">
        <v>0.184257695305592</v>
      </c>
      <c r="H1377">
        <v>0.14404080114986101</v>
      </c>
      <c r="I1377">
        <v>0.13284583946923201</v>
      </c>
      <c r="J1377">
        <v>0.10242119724411899</v>
      </c>
      <c r="K1377">
        <v>7.9378489534190202E-2</v>
      </c>
      <c r="L1377">
        <v>1980.6623081371199</v>
      </c>
      <c r="M1377">
        <v>38.549238607625298</v>
      </c>
      <c r="N1377">
        <v>51.756408273109599</v>
      </c>
      <c r="O1377">
        <v>51.242380915662899</v>
      </c>
      <c r="P1377">
        <v>-0.16508537102822299</v>
      </c>
      <c r="Q1377">
        <v>0.12222940650896399</v>
      </c>
      <c r="R1377">
        <v>0.97798271573060203</v>
      </c>
      <c r="S1377" t="s">
        <v>7688</v>
      </c>
      <c r="T1377" t="s">
        <v>12620</v>
      </c>
      <c r="U1377" t="s">
        <v>12620</v>
      </c>
      <c r="V1377" t="s">
        <v>12620</v>
      </c>
      <c r="W1377" t="s">
        <v>13962</v>
      </c>
      <c r="X1377">
        <v>24</v>
      </c>
      <c r="Y1377" t="s">
        <v>20190</v>
      </c>
      <c r="Z1377" t="s">
        <v>26324</v>
      </c>
      <c r="AA1377">
        <v>0.45855629543356891</v>
      </c>
      <c r="AB1377" t="str">
        <f>HYPERLINK("Melting_Curves/meltCurve_O95340_PAPSS2.pdf", "Melting_Curves/meltCurve_O95340_PAPSS2.pdf")</f>
        <v>Melting_Curves/meltCurve_O95340_PAPSS2.pdf</v>
      </c>
    </row>
    <row r="1378" spans="1:28" x14ac:dyDescent="0.25">
      <c r="A1378" t="s">
        <v>1382</v>
      </c>
      <c r="B1378">
        <v>0.99987803227770999</v>
      </c>
      <c r="C1378">
        <v>1.0176449615313199</v>
      </c>
      <c r="D1378">
        <v>0.67173888590719799</v>
      </c>
      <c r="E1378">
        <v>0.46010665734629502</v>
      </c>
      <c r="F1378">
        <v>0.21448603136441499</v>
      </c>
      <c r="G1378">
        <v>0.12942518392872601</v>
      </c>
      <c r="H1378">
        <v>8.1252730041260199E-2</v>
      </c>
      <c r="I1378">
        <v>6.7660008384483494E-2</v>
      </c>
      <c r="J1378">
        <v>5.5771035907837899E-2</v>
      </c>
      <c r="K1378">
        <v>3.9004324548756901E-2</v>
      </c>
      <c r="L1378">
        <v>864.65520282323405</v>
      </c>
      <c r="M1378">
        <v>17.750989292815401</v>
      </c>
      <c r="N1378">
        <v>49.003971027861802</v>
      </c>
      <c r="O1378">
        <v>48.104674164442997</v>
      </c>
      <c r="P1378">
        <v>-8.7600955369153494E-2</v>
      </c>
      <c r="Q1378">
        <v>5.0465127067383903E-2</v>
      </c>
      <c r="R1378">
        <v>0.98638971208214199</v>
      </c>
      <c r="S1378" t="s">
        <v>7689</v>
      </c>
      <c r="T1378" t="s">
        <v>12620</v>
      </c>
      <c r="U1378" t="s">
        <v>12620</v>
      </c>
      <c r="V1378" t="s">
        <v>12620</v>
      </c>
      <c r="W1378" t="s">
        <v>13963</v>
      </c>
      <c r="X1378">
        <v>44</v>
      </c>
      <c r="Y1378" t="s">
        <v>20191</v>
      </c>
      <c r="Z1378" t="s">
        <v>26325</v>
      </c>
      <c r="AA1378">
        <v>0.34316955292729762</v>
      </c>
      <c r="AB1378" t="str">
        <f>HYPERLINK("Melting_Curves/meltCurve_O95347_SMC2.pdf", "Melting_Curves/meltCurve_O95347_SMC2.pdf")</f>
        <v>Melting_Curves/meltCurve_O95347_SMC2.pdf</v>
      </c>
    </row>
    <row r="1379" spans="1:28" x14ac:dyDescent="0.25">
      <c r="A1379" t="s">
        <v>1383</v>
      </c>
      <c r="B1379">
        <v>0.99987803227770999</v>
      </c>
      <c r="C1379">
        <v>1.08297880308648</v>
      </c>
      <c r="D1379">
        <v>0.84023780493978195</v>
      </c>
      <c r="E1379">
        <v>1.0529805669638801</v>
      </c>
      <c r="F1379">
        <v>0.29411754346021302</v>
      </c>
      <c r="G1379">
        <v>0.17430064860438599</v>
      </c>
      <c r="H1379">
        <v>0.102583578093475</v>
      </c>
      <c r="I1379">
        <v>8.5072089650519503E-2</v>
      </c>
      <c r="J1379">
        <v>5.34462816760976E-2</v>
      </c>
      <c r="K1379">
        <v>3.4878903315496798E-2</v>
      </c>
      <c r="L1379">
        <v>13184.2256222755</v>
      </c>
      <c r="M1379">
        <v>250</v>
      </c>
      <c r="N1379">
        <v>52.778827802829603</v>
      </c>
      <c r="O1379">
        <v>52.7335276931449</v>
      </c>
      <c r="P1379">
        <v>-1.0784691777058499</v>
      </c>
      <c r="Q1379">
        <v>9.0056253362695807E-2</v>
      </c>
      <c r="R1379">
        <v>0.97529757484435697</v>
      </c>
      <c r="S1379" t="s">
        <v>7690</v>
      </c>
      <c r="T1379" t="s">
        <v>12620</v>
      </c>
      <c r="U1379" t="s">
        <v>12620</v>
      </c>
      <c r="V1379" t="s">
        <v>12620</v>
      </c>
      <c r="W1379" t="s">
        <v>13964</v>
      </c>
      <c r="X1379">
        <v>21</v>
      </c>
      <c r="Y1379" t="s">
        <v>20192</v>
      </c>
      <c r="Z1379" t="s">
        <v>26326</v>
      </c>
      <c r="AA1379">
        <v>0.47646929659578069</v>
      </c>
      <c r="AB1379" t="str">
        <f>HYPERLINK("Melting_Curves/meltCurve_O95352_ATG7.pdf", "Melting_Curves/meltCurve_O95352_ATG7.pdf")</f>
        <v>Melting_Curves/meltCurve_O95352_ATG7.pdf</v>
      </c>
    </row>
    <row r="1380" spans="1:28" x14ac:dyDescent="0.25">
      <c r="A1380" t="s">
        <v>1384</v>
      </c>
      <c r="B1380">
        <v>0.99987803227770999</v>
      </c>
      <c r="C1380">
        <v>0.97224877651169495</v>
      </c>
      <c r="D1380">
        <v>0.82738462426016501</v>
      </c>
      <c r="E1380">
        <v>0.543932515035215</v>
      </c>
      <c r="F1380">
        <v>0.268851030630333</v>
      </c>
      <c r="G1380">
        <v>0.20465432604881501</v>
      </c>
      <c r="H1380">
        <v>0.14028661071895801</v>
      </c>
      <c r="I1380">
        <v>0.118621498938439</v>
      </c>
      <c r="J1380">
        <v>9.7325435669928698E-2</v>
      </c>
      <c r="K1380">
        <v>5.8443993149942301E-2</v>
      </c>
      <c r="L1380">
        <v>935.29173997950102</v>
      </c>
      <c r="M1380">
        <v>18.805753544346601</v>
      </c>
      <c r="N1380">
        <v>50.286625560951798</v>
      </c>
      <c r="O1380">
        <v>49.182195160977003</v>
      </c>
      <c r="P1380">
        <v>-8.6676872912328201E-2</v>
      </c>
      <c r="Q1380">
        <v>9.3302469513569394E-2</v>
      </c>
      <c r="R1380">
        <v>0.99549540292118599</v>
      </c>
      <c r="S1380" t="s">
        <v>7691</v>
      </c>
      <c r="T1380" t="s">
        <v>12620</v>
      </c>
      <c r="U1380" t="s">
        <v>12620</v>
      </c>
      <c r="V1380" t="s">
        <v>12620</v>
      </c>
      <c r="W1380" t="s">
        <v>13965</v>
      </c>
      <c r="X1380">
        <v>27</v>
      </c>
      <c r="Y1380" t="s">
        <v>20193</v>
      </c>
      <c r="Z1380" t="s">
        <v>26327</v>
      </c>
      <c r="AA1380">
        <v>0.4017631752611599</v>
      </c>
      <c r="AB1380" t="str">
        <f>HYPERLINK("Melting_Curves/meltCurve_O95361_TRIM16.pdf", "Melting_Curves/meltCurve_O95361_TRIM16.pdf")</f>
        <v>Melting_Curves/meltCurve_O95361_TRIM16.pdf</v>
      </c>
    </row>
    <row r="1381" spans="1:28" x14ac:dyDescent="0.25">
      <c r="A1381" t="s">
        <v>1385</v>
      </c>
      <c r="B1381">
        <v>0.99987803227770999</v>
      </c>
      <c r="C1381">
        <v>1.05133216291237</v>
      </c>
      <c r="D1381">
        <v>1.02606584290059</v>
      </c>
      <c r="E1381">
        <v>1.2730408445788599</v>
      </c>
      <c r="F1381">
        <v>1.2355414973241601</v>
      </c>
      <c r="G1381">
        <v>1.39335012296868</v>
      </c>
      <c r="H1381">
        <v>1.0334327637012599</v>
      </c>
      <c r="I1381">
        <v>0.642731089973133</v>
      </c>
      <c r="J1381">
        <v>0.35926961547045499</v>
      </c>
      <c r="K1381">
        <v>0.19248560760826899</v>
      </c>
      <c r="L1381">
        <v>3497.8293066373499</v>
      </c>
      <c r="M1381">
        <v>54.312280168210201</v>
      </c>
      <c r="N1381">
        <v>65.100275180316103</v>
      </c>
      <c r="O1381">
        <v>64.315047455759398</v>
      </c>
      <c r="P1381">
        <v>-0.164519308082475</v>
      </c>
      <c r="Q1381">
        <v>0.22072425112176899</v>
      </c>
      <c r="R1381">
        <v>0.78898993836118803</v>
      </c>
      <c r="S1381" t="s">
        <v>7692</v>
      </c>
      <c r="T1381" t="s">
        <v>12620</v>
      </c>
      <c r="U1381" t="s">
        <v>12620</v>
      </c>
      <c r="V1381" t="s">
        <v>12620</v>
      </c>
      <c r="W1381" t="s">
        <v>13966</v>
      </c>
      <c r="X1381">
        <v>3</v>
      </c>
      <c r="Y1381" t="s">
        <v>20194</v>
      </c>
      <c r="Z1381" t="s">
        <v>26328</v>
      </c>
      <c r="AA1381">
        <v>0.85597655376276194</v>
      </c>
      <c r="AB1381" t="str">
        <f>HYPERLINK("Melting_Curves/meltCurve_O95365_ZBTB7A.pdf", "Melting_Curves/meltCurve_O95365_ZBTB7A.pdf")</f>
        <v>Melting_Curves/meltCurve_O95365_ZBTB7A.pdf</v>
      </c>
    </row>
    <row r="1382" spans="1:28" x14ac:dyDescent="0.25">
      <c r="A1382" t="s">
        <v>1386</v>
      </c>
      <c r="B1382">
        <v>0.99987803227770999</v>
      </c>
      <c r="C1382">
        <v>0.85064101532991199</v>
      </c>
      <c r="D1382">
        <v>1.00246514741741</v>
      </c>
      <c r="E1382">
        <v>0.80425762322870897</v>
      </c>
      <c r="F1382">
        <v>0.94094105783664295</v>
      </c>
      <c r="G1382">
        <v>0.47018576638430898</v>
      </c>
      <c r="H1382">
        <v>0.17355813590892499</v>
      </c>
      <c r="I1382">
        <v>0.105709959923312</v>
      </c>
      <c r="J1382">
        <v>7.1551933245948898E-2</v>
      </c>
      <c r="K1382">
        <v>4.8353040747814303E-2</v>
      </c>
      <c r="L1382">
        <v>1461.8967921296</v>
      </c>
      <c r="M1382">
        <v>25.800035606746899</v>
      </c>
      <c r="N1382">
        <v>56.886953480887698</v>
      </c>
      <c r="O1382">
        <v>56.325460573952299</v>
      </c>
      <c r="P1382">
        <v>-0.108974847114805</v>
      </c>
      <c r="Q1382">
        <v>4.8375635448773602E-2</v>
      </c>
      <c r="R1382">
        <v>0.96335722838351101</v>
      </c>
      <c r="S1382" t="s">
        <v>7693</v>
      </c>
      <c r="T1382" t="s">
        <v>12620</v>
      </c>
      <c r="U1382" t="s">
        <v>12620</v>
      </c>
      <c r="V1382" t="s">
        <v>12620</v>
      </c>
      <c r="W1382" t="s">
        <v>13967</v>
      </c>
      <c r="X1382">
        <v>9</v>
      </c>
      <c r="Y1382" t="s">
        <v>20195</v>
      </c>
      <c r="Z1382" t="s">
        <v>26329</v>
      </c>
      <c r="AA1382">
        <v>0.58514001331618859</v>
      </c>
      <c r="AB1382" t="str">
        <f>HYPERLINK("Melting_Curves/meltCurve_O95372_LYPLA2.pdf", "Melting_Curves/meltCurve_O95372_LYPLA2.pdf")</f>
        <v>Melting_Curves/meltCurve_O95372_LYPLA2.pdf</v>
      </c>
    </row>
    <row r="1383" spans="1:28" x14ac:dyDescent="0.25">
      <c r="A1383" t="s">
        <v>1387</v>
      </c>
      <c r="B1383">
        <v>0.99987803227770999</v>
      </c>
      <c r="C1383">
        <v>1.1639791212380499</v>
      </c>
      <c r="D1383">
        <v>0.90112753237577703</v>
      </c>
      <c r="E1383">
        <v>1.25961983090612</v>
      </c>
      <c r="F1383">
        <v>0.92227992017886995</v>
      </c>
      <c r="G1383">
        <v>0.56738592439906999</v>
      </c>
      <c r="H1383">
        <v>0.22210024584548399</v>
      </c>
      <c r="I1383">
        <v>0.12672471987881401</v>
      </c>
      <c r="J1383">
        <v>8.8906194061842705E-2</v>
      </c>
      <c r="K1383">
        <v>6.5580505091372407E-2</v>
      </c>
      <c r="L1383">
        <v>1890.2240317605599</v>
      </c>
      <c r="M1383">
        <v>32.985493547169497</v>
      </c>
      <c r="N1383">
        <v>57.637006960151702</v>
      </c>
      <c r="O1383">
        <v>57.095317137386303</v>
      </c>
      <c r="P1383">
        <v>-0.13192625300146699</v>
      </c>
      <c r="Q1383">
        <v>8.6587845112803805E-2</v>
      </c>
      <c r="R1383">
        <v>0.94537902516748196</v>
      </c>
      <c r="S1383" t="s">
        <v>7694</v>
      </c>
      <c r="T1383" t="s">
        <v>12620</v>
      </c>
      <c r="U1383" t="s">
        <v>12620</v>
      </c>
      <c r="V1383" t="s">
        <v>12620</v>
      </c>
      <c r="W1383" t="s">
        <v>13968</v>
      </c>
      <c r="X1383">
        <v>34</v>
      </c>
      <c r="Y1383" t="s">
        <v>20196</v>
      </c>
      <c r="Z1383" t="s">
        <v>26330</v>
      </c>
      <c r="AA1383">
        <v>0.61859452761020661</v>
      </c>
      <c r="AB1383" t="str">
        <f>HYPERLINK("Melting_Curves/meltCurve_O95373_IPO7.pdf", "Melting_Curves/meltCurve_O95373_IPO7.pdf")</f>
        <v>Melting_Curves/meltCurve_O95373_IPO7.pdf</v>
      </c>
    </row>
    <row r="1384" spans="1:28" x14ac:dyDescent="0.25">
      <c r="A1384" t="s">
        <v>1388</v>
      </c>
      <c r="B1384">
        <v>0.99987803227770999</v>
      </c>
      <c r="C1384">
        <v>0.92918378350293596</v>
      </c>
      <c r="D1384">
        <v>1.0085586462487801</v>
      </c>
      <c r="E1384">
        <v>0.937573907586286</v>
      </c>
      <c r="F1384">
        <v>0.82135663699707895</v>
      </c>
      <c r="G1384">
        <v>0.30187535181209701</v>
      </c>
      <c r="H1384">
        <v>0.17738018373157299</v>
      </c>
      <c r="I1384">
        <v>0.147066636866548</v>
      </c>
      <c r="J1384">
        <v>0.107905531641821</v>
      </c>
      <c r="K1384">
        <v>8.0166937916674105E-2</v>
      </c>
      <c r="L1384">
        <v>1851.41135275336</v>
      </c>
      <c r="M1384">
        <v>33.677883060166899</v>
      </c>
      <c r="N1384">
        <v>55.403064774816897</v>
      </c>
      <c r="O1384">
        <v>54.781355627477502</v>
      </c>
      <c r="P1384">
        <v>-0.13605420485001199</v>
      </c>
      <c r="Q1384">
        <v>0.114765846615695</v>
      </c>
      <c r="R1384">
        <v>0.99374258243006397</v>
      </c>
      <c r="S1384" t="s">
        <v>7695</v>
      </c>
      <c r="T1384" t="s">
        <v>12620</v>
      </c>
      <c r="U1384" t="s">
        <v>12620</v>
      </c>
      <c r="V1384" t="s">
        <v>12620</v>
      </c>
      <c r="W1384" t="s">
        <v>13969</v>
      </c>
      <c r="X1384">
        <v>16</v>
      </c>
      <c r="Y1384" t="s">
        <v>20197</v>
      </c>
      <c r="Z1384" t="s">
        <v>26331</v>
      </c>
      <c r="AA1384">
        <v>0.56132157016441753</v>
      </c>
      <c r="AB1384" t="str">
        <f>HYPERLINK("Melting_Curves/meltCurve_O95376_ARIH2.pdf", "Melting_Curves/meltCurve_O95376_ARIH2.pdf")</f>
        <v>Melting_Curves/meltCurve_O95376_ARIH2.pdf</v>
      </c>
    </row>
    <row r="1385" spans="1:28" x14ac:dyDescent="0.25">
      <c r="A1385" t="s">
        <v>1389</v>
      </c>
      <c r="B1385">
        <v>0.99987803227770999</v>
      </c>
      <c r="C1385">
        <v>0.950764475234537</v>
      </c>
      <c r="D1385">
        <v>0.98569933726158798</v>
      </c>
      <c r="E1385">
        <v>0.95482669570036505</v>
      </c>
      <c r="F1385">
        <v>0.84704500775905101</v>
      </c>
      <c r="G1385">
        <v>0.28059530486232698</v>
      </c>
      <c r="H1385">
        <v>0.17252522122667199</v>
      </c>
      <c r="I1385">
        <v>0.150348635198779</v>
      </c>
      <c r="J1385">
        <v>7.6675029046067406E-2</v>
      </c>
      <c r="K1385">
        <v>5.6025150130736098E-2</v>
      </c>
      <c r="L1385">
        <v>2080.21834658023</v>
      </c>
      <c r="M1385">
        <v>37.779491867008502</v>
      </c>
      <c r="N1385">
        <v>55.402937420780603</v>
      </c>
      <c r="O1385">
        <v>54.908509618640601</v>
      </c>
      <c r="P1385">
        <v>-0.15417517519078</v>
      </c>
      <c r="Q1385">
        <v>0.10369286102571</v>
      </c>
      <c r="R1385">
        <v>0.99341504852596596</v>
      </c>
      <c r="S1385" t="s">
        <v>7696</v>
      </c>
      <c r="T1385" t="s">
        <v>12620</v>
      </c>
      <c r="U1385" t="s">
        <v>12620</v>
      </c>
      <c r="V1385" t="s">
        <v>12620</v>
      </c>
      <c r="W1385" t="s">
        <v>13970</v>
      </c>
      <c r="X1385">
        <v>5</v>
      </c>
      <c r="Y1385" t="s">
        <v>20198</v>
      </c>
      <c r="Z1385" t="s">
        <v>26332</v>
      </c>
      <c r="AA1385">
        <v>0.557507523683067</v>
      </c>
      <c r="AB1385" t="str">
        <f>HYPERLINK("Melting_Curves/meltCurve_O95379_3_TNFAIP8.pdf", "Melting_Curves/meltCurve_O95379_3_TNFAIP8.pdf")</f>
        <v>Melting_Curves/meltCurve_O95379_3_TNFAIP8.pdf</v>
      </c>
    </row>
    <row r="1386" spans="1:28" x14ac:dyDescent="0.25">
      <c r="A1386" t="s">
        <v>1390</v>
      </c>
      <c r="B1386">
        <v>0.99987803227770999</v>
      </c>
      <c r="C1386">
        <v>0.86795363317346697</v>
      </c>
      <c r="D1386">
        <v>0.94475983849122402</v>
      </c>
      <c r="E1386">
        <v>0.79810891097846204</v>
      </c>
      <c r="F1386">
        <v>0.90047734119987199</v>
      </c>
      <c r="G1386">
        <v>0.73911998819342595</v>
      </c>
      <c r="H1386">
        <v>0.76128751931613803</v>
      </c>
      <c r="I1386">
        <v>0.67858741765478303</v>
      </c>
      <c r="J1386">
        <v>0.68447004052098404</v>
      </c>
      <c r="K1386">
        <v>0.58753967414660602</v>
      </c>
      <c r="L1386">
        <v>241.37327359078</v>
      </c>
      <c r="M1386">
        <v>2.9690366953391298</v>
      </c>
      <c r="O1386">
        <v>59.5843733232226</v>
      </c>
      <c r="P1386">
        <v>-1.2853731537824801E-2</v>
      </c>
      <c r="Q1386">
        <v>0</v>
      </c>
      <c r="R1386">
        <v>0.85684358501015101</v>
      </c>
      <c r="S1386" t="s">
        <v>7697</v>
      </c>
      <c r="T1386" t="s">
        <v>12620</v>
      </c>
      <c r="U1386" t="s">
        <v>12620</v>
      </c>
      <c r="V1386" t="s">
        <v>12620</v>
      </c>
      <c r="W1386" t="s">
        <v>13971</v>
      </c>
      <c r="X1386">
        <v>8</v>
      </c>
      <c r="Y1386" t="s">
        <v>20199</v>
      </c>
      <c r="Z1386" t="s">
        <v>26333</v>
      </c>
      <c r="AA1386">
        <v>0.79915869402253725</v>
      </c>
      <c r="AB1386" t="str">
        <f>HYPERLINK("Melting_Curves/meltCurve_O95391_SLU7.pdf", "Melting_Curves/meltCurve_O95391_SLU7.pdf")</f>
        <v>Melting_Curves/meltCurve_O95391_SLU7.pdf</v>
      </c>
    </row>
    <row r="1387" spans="1:28" x14ac:dyDescent="0.25">
      <c r="A1387" t="s">
        <v>1391</v>
      </c>
      <c r="B1387">
        <v>0.99987803227770999</v>
      </c>
      <c r="C1387">
        <v>0.92756902093893101</v>
      </c>
      <c r="D1387">
        <v>1.02535747825399</v>
      </c>
      <c r="E1387">
        <v>0.73203810336045705</v>
      </c>
      <c r="F1387">
        <v>0.25460039977370502</v>
      </c>
      <c r="G1387">
        <v>0.14696868109470301</v>
      </c>
      <c r="H1387">
        <v>0.109542984601078</v>
      </c>
      <c r="I1387">
        <v>9.2480450251551605E-2</v>
      </c>
      <c r="J1387">
        <v>7.1511965425437696E-2</v>
      </c>
      <c r="K1387">
        <v>4.7654927203978202E-2</v>
      </c>
      <c r="L1387">
        <v>2066.0009692713802</v>
      </c>
      <c r="M1387">
        <v>40.443320600517801</v>
      </c>
      <c r="N1387">
        <v>51.334265944311603</v>
      </c>
      <c r="O1387">
        <v>50.959442660626301</v>
      </c>
      <c r="P1387">
        <v>-0.18064801124624499</v>
      </c>
      <c r="Q1387">
        <v>8.9520486275487296E-2</v>
      </c>
      <c r="R1387">
        <v>0.99328554064269703</v>
      </c>
      <c r="S1387" t="s">
        <v>7698</v>
      </c>
      <c r="T1387" t="s">
        <v>12620</v>
      </c>
      <c r="U1387" t="s">
        <v>12620</v>
      </c>
      <c r="V1387" t="s">
        <v>12620</v>
      </c>
      <c r="W1387" t="s">
        <v>13972</v>
      </c>
      <c r="X1387">
        <v>23</v>
      </c>
      <c r="Y1387" t="s">
        <v>20200</v>
      </c>
      <c r="Z1387" t="s">
        <v>26334</v>
      </c>
      <c r="AA1387">
        <v>0.42905217956303199</v>
      </c>
      <c r="AB1387" t="str">
        <f>HYPERLINK("Melting_Curves/meltCurve_O95394_PGM3.pdf", "Melting_Curves/meltCurve_O95394_PGM3.pdf")</f>
        <v>Melting_Curves/meltCurve_O95394_PGM3.pdf</v>
      </c>
    </row>
    <row r="1388" spans="1:28" x14ac:dyDescent="0.25">
      <c r="A1388" t="s">
        <v>1392</v>
      </c>
      <c r="B1388">
        <v>0.99987803227770999</v>
      </c>
      <c r="C1388">
        <v>0.97435457269636505</v>
      </c>
      <c r="D1388">
        <v>0.73278321166827798</v>
      </c>
      <c r="E1388">
        <v>0.50013077437839104</v>
      </c>
      <c r="F1388">
        <v>0.35286876937190298</v>
      </c>
      <c r="G1388">
        <v>0.33999588252304103</v>
      </c>
      <c r="H1388">
        <v>0.25654594330962199</v>
      </c>
      <c r="I1388">
        <v>0.22438536662487699</v>
      </c>
      <c r="J1388">
        <v>0.167317974959236</v>
      </c>
      <c r="K1388">
        <v>0.121907428977923</v>
      </c>
      <c r="L1388">
        <v>727.31280471643299</v>
      </c>
      <c r="M1388">
        <v>14.887678615806101</v>
      </c>
      <c r="N1388">
        <v>50.3570196572241</v>
      </c>
      <c r="O1388">
        <v>47.997324913289702</v>
      </c>
      <c r="P1388">
        <v>-6.3636073845351901E-2</v>
      </c>
      <c r="Q1388">
        <v>0.17944418943183599</v>
      </c>
      <c r="R1388">
        <v>0.97942501957740902</v>
      </c>
      <c r="S1388" t="s">
        <v>7699</v>
      </c>
      <c r="T1388" t="s">
        <v>12620</v>
      </c>
      <c r="U1388" t="s">
        <v>12620</v>
      </c>
      <c r="V1388" t="s">
        <v>12620</v>
      </c>
      <c r="W1388" t="s">
        <v>13973</v>
      </c>
      <c r="X1388">
        <v>9</v>
      </c>
      <c r="Y1388" t="s">
        <v>20201</v>
      </c>
      <c r="Z1388" t="s">
        <v>26335</v>
      </c>
      <c r="AA1388">
        <v>0.44225570194192432</v>
      </c>
      <c r="AB1388" t="str">
        <f>HYPERLINK("Melting_Curves/meltCurve_O95396_MOCS3.pdf", "Melting_Curves/meltCurve_O95396_MOCS3.pdf")</f>
        <v>Melting_Curves/meltCurve_O95396_MOCS3.pdf</v>
      </c>
    </row>
    <row r="1389" spans="1:28" x14ac:dyDescent="0.25">
      <c r="A1389" t="s">
        <v>1393</v>
      </c>
      <c r="B1389">
        <v>0.99987803227770999</v>
      </c>
      <c r="C1389">
        <v>1.05948739519568</v>
      </c>
      <c r="D1389">
        <v>0.98620248840268498</v>
      </c>
      <c r="E1389">
        <v>1.0708016970208001</v>
      </c>
      <c r="F1389">
        <v>1.0655908720629701</v>
      </c>
      <c r="G1389">
        <v>0.74436395035529401</v>
      </c>
      <c r="H1389">
        <v>0.464320124988506</v>
      </c>
      <c r="I1389">
        <v>0.27477154042028401</v>
      </c>
      <c r="J1389">
        <v>0.20543993342611999</v>
      </c>
      <c r="K1389">
        <v>0.12964916708879701</v>
      </c>
      <c r="L1389">
        <v>1508.8804853863101</v>
      </c>
      <c r="M1389">
        <v>25.299234576601901</v>
      </c>
      <c r="N1389">
        <v>60.400909985169001</v>
      </c>
      <c r="O1389">
        <v>59.2724346521602</v>
      </c>
      <c r="P1389">
        <v>-9.2169507272041096E-2</v>
      </c>
      <c r="Q1389">
        <v>0.13625164156753</v>
      </c>
      <c r="R1389">
        <v>0.98279094405991196</v>
      </c>
      <c r="S1389" t="s">
        <v>7700</v>
      </c>
      <c r="T1389" t="s">
        <v>12620</v>
      </c>
      <c r="U1389" t="s">
        <v>12620</v>
      </c>
      <c r="V1389" t="s">
        <v>12620</v>
      </c>
      <c r="W1389" t="s">
        <v>13974</v>
      </c>
      <c r="X1389">
        <v>1</v>
      </c>
      <c r="Y1389" t="s">
        <v>20202</v>
      </c>
      <c r="Z1389" t="s">
        <v>26336</v>
      </c>
      <c r="AA1389">
        <v>0.70835852211343886</v>
      </c>
      <c r="AB1389" t="str">
        <f>HYPERLINK("Melting_Curves/meltCurve_O95399_UTS2.pdf", "Melting_Curves/meltCurve_O95399_UTS2.pdf")</f>
        <v>Melting_Curves/meltCurve_O95399_UTS2.pdf</v>
      </c>
    </row>
    <row r="1390" spans="1:28" x14ac:dyDescent="0.25">
      <c r="A1390" t="s">
        <v>1394</v>
      </c>
      <c r="B1390">
        <v>0.99987803227770999</v>
      </c>
      <c r="C1390">
        <v>0.905766928902215</v>
      </c>
      <c r="D1390">
        <v>1.3492094137703099</v>
      </c>
      <c r="E1390">
        <v>1.6387012449054601</v>
      </c>
      <c r="F1390">
        <v>1.5291405600708601</v>
      </c>
      <c r="G1390">
        <v>1.11700295707027</v>
      </c>
      <c r="H1390">
        <v>1.2088124089753101</v>
      </c>
      <c r="I1390">
        <v>1.19430356355631</v>
      </c>
      <c r="J1390">
        <v>1.52099936508974</v>
      </c>
      <c r="K1390">
        <v>1.4095758483081799</v>
      </c>
      <c r="L1390">
        <v>11378.4631631304</v>
      </c>
      <c r="M1390">
        <v>250</v>
      </c>
      <c r="O1390">
        <v>45.510940514290503</v>
      </c>
      <c r="P1390">
        <v>0.513717983591224</v>
      </c>
      <c r="Q1390">
        <v>1.37407661336993</v>
      </c>
      <c r="R1390">
        <v>0.523065974245843</v>
      </c>
      <c r="S1390" t="s">
        <v>7701</v>
      </c>
      <c r="T1390" t="s">
        <v>12620</v>
      </c>
      <c r="U1390" t="s">
        <v>12620</v>
      </c>
      <c r="V1390" t="s">
        <v>12620</v>
      </c>
      <c r="W1390" t="s">
        <v>13975</v>
      </c>
      <c r="X1390">
        <v>7</v>
      </c>
      <c r="Y1390" t="s">
        <v>20203</v>
      </c>
      <c r="Z1390" t="s">
        <v>26337</v>
      </c>
      <c r="AA1390">
        <v>1.30529328935861</v>
      </c>
      <c r="AB1390" t="str">
        <f>HYPERLINK("Melting_Curves/meltCurve_O95400_CD2BP2.pdf", "Melting_Curves/meltCurve_O95400_CD2BP2.pdf")</f>
        <v>Melting_Curves/meltCurve_O95400_CD2BP2.pdf</v>
      </c>
    </row>
    <row r="1391" spans="1:28" x14ac:dyDescent="0.25">
      <c r="A1391" t="s">
        <v>1395</v>
      </c>
      <c r="B1391">
        <v>0.99987803227770999</v>
      </c>
      <c r="C1391">
        <v>1.01746763264872</v>
      </c>
      <c r="D1391">
        <v>0.92012019421737001</v>
      </c>
      <c r="E1391">
        <v>0.90928284739189502</v>
      </c>
      <c r="F1391">
        <v>0.68911143723361201</v>
      </c>
      <c r="G1391">
        <v>0.49493148716942498</v>
      </c>
      <c r="H1391">
        <v>0.356412413429752</v>
      </c>
      <c r="I1391">
        <v>0.29347100269976201</v>
      </c>
      <c r="J1391">
        <v>0.19113362212835999</v>
      </c>
      <c r="K1391">
        <v>0.149705287429685</v>
      </c>
      <c r="L1391">
        <v>729.21631780451503</v>
      </c>
      <c r="M1391">
        <v>12.9532028766019</v>
      </c>
      <c r="N1391">
        <v>57.2995052651412</v>
      </c>
      <c r="O1391">
        <v>55.005115500060199</v>
      </c>
      <c r="P1391">
        <v>-5.2908865003445903E-2</v>
      </c>
      <c r="Q1391">
        <v>0.101461792900451</v>
      </c>
      <c r="R1391">
        <v>0.991833053867749</v>
      </c>
      <c r="S1391" t="s">
        <v>7702</v>
      </c>
      <c r="T1391" t="s">
        <v>12620</v>
      </c>
      <c r="U1391" t="s">
        <v>12620</v>
      </c>
      <c r="V1391" t="s">
        <v>12620</v>
      </c>
      <c r="W1391" t="s">
        <v>13976</v>
      </c>
      <c r="X1391">
        <v>3</v>
      </c>
      <c r="Y1391" t="s">
        <v>20204</v>
      </c>
      <c r="Z1391" t="s">
        <v>26338</v>
      </c>
      <c r="AA1391">
        <v>0.60648974384239662</v>
      </c>
      <c r="AB1391" t="str">
        <f>HYPERLINK("Melting_Curves/meltCurve_O95402_MED26.pdf", "Melting_Curves/meltCurve_O95402_MED26.pdf")</f>
        <v>Melting_Curves/meltCurve_O95402_MED26.pdf</v>
      </c>
    </row>
    <row r="1392" spans="1:28" x14ac:dyDescent="0.25">
      <c r="A1392" t="s">
        <v>1396</v>
      </c>
      <c r="B1392">
        <v>0.99987803227770999</v>
      </c>
      <c r="C1392">
        <v>0.84338503171797397</v>
      </c>
      <c r="D1392">
        <v>0.92229507602041505</v>
      </c>
      <c r="E1392">
        <v>0.827028690822455</v>
      </c>
      <c r="F1392">
        <v>0.823461969074748</v>
      </c>
      <c r="G1392">
        <v>0.65944344308099101</v>
      </c>
      <c r="H1392">
        <v>0.68124714584611401</v>
      </c>
      <c r="I1392">
        <v>0.62337918947677295</v>
      </c>
      <c r="J1392">
        <v>0.66146605407383197</v>
      </c>
      <c r="K1392">
        <v>0.54977228550936197</v>
      </c>
      <c r="L1392">
        <v>319.69545264628601</v>
      </c>
      <c r="M1392">
        <v>5.5474619249408397</v>
      </c>
      <c r="O1392">
        <v>51.441009125887597</v>
      </c>
      <c r="P1392">
        <v>-1.5562645878206801E-2</v>
      </c>
      <c r="Q1392">
        <v>0.42521382658208601</v>
      </c>
      <c r="R1392">
        <v>0.89302801153302402</v>
      </c>
      <c r="S1392" t="s">
        <v>7703</v>
      </c>
      <c r="T1392" t="s">
        <v>12620</v>
      </c>
      <c r="U1392" t="s">
        <v>12620</v>
      </c>
      <c r="V1392" t="s">
        <v>12620</v>
      </c>
      <c r="W1392" t="s">
        <v>13977</v>
      </c>
      <c r="X1392">
        <v>5</v>
      </c>
      <c r="Y1392" t="s">
        <v>20205</v>
      </c>
      <c r="Z1392" t="s">
        <v>26339</v>
      </c>
      <c r="AA1392">
        <v>0.75864274459794412</v>
      </c>
      <c r="AB1392" t="str">
        <f>HYPERLINK("Melting_Curves/meltCurve_O95405_ZFYVE9.pdf", "Melting_Curves/meltCurve_O95405_ZFYVE9.pdf")</f>
        <v>Melting_Curves/meltCurve_O95405_ZFYVE9.pdf</v>
      </c>
    </row>
    <row r="1393" spans="1:28" x14ac:dyDescent="0.25">
      <c r="A1393" t="s">
        <v>1397</v>
      </c>
      <c r="B1393">
        <v>0.99987803227770999</v>
      </c>
      <c r="C1393">
        <v>0.96258413070367799</v>
      </c>
      <c r="D1393">
        <v>0.89762875038526901</v>
      </c>
      <c r="E1393">
        <v>0.70805978712617901</v>
      </c>
      <c r="F1393">
        <v>0.48928103641194898</v>
      </c>
      <c r="G1393">
        <v>0.333455998486682</v>
      </c>
      <c r="H1393">
        <v>0.30707651417912901</v>
      </c>
      <c r="I1393">
        <v>0.31868473404848602</v>
      </c>
      <c r="J1393">
        <v>0.28799341225856401</v>
      </c>
      <c r="K1393">
        <v>0.22681460338870199</v>
      </c>
      <c r="L1393">
        <v>940.85369688669505</v>
      </c>
      <c r="M1393">
        <v>18.509334737719801</v>
      </c>
      <c r="N1393">
        <v>52.995913807858201</v>
      </c>
      <c r="O1393">
        <v>50.249142937341801</v>
      </c>
      <c r="P1393">
        <v>-6.7666235950825895E-2</v>
      </c>
      <c r="Q1393">
        <v>0.26523161950535701</v>
      </c>
      <c r="R1393">
        <v>0.99445175204909897</v>
      </c>
      <c r="S1393" t="s">
        <v>7704</v>
      </c>
      <c r="T1393" t="s">
        <v>12620</v>
      </c>
      <c r="U1393" t="s">
        <v>12620</v>
      </c>
      <c r="V1393" t="s">
        <v>12620</v>
      </c>
      <c r="W1393" t="s">
        <v>13978</v>
      </c>
      <c r="X1393">
        <v>7</v>
      </c>
      <c r="Y1393" t="s">
        <v>20206</v>
      </c>
      <c r="Z1393" t="s">
        <v>26340</v>
      </c>
      <c r="AA1393">
        <v>0.54230248936114822</v>
      </c>
      <c r="AB1393" t="str">
        <f>HYPERLINK("Melting_Curves/meltCurve_O95425_SVIL.pdf", "Melting_Curves/meltCurve_O95425_SVIL.pdf")</f>
        <v>Melting_Curves/meltCurve_O95425_SVIL.pdf</v>
      </c>
    </row>
    <row r="1394" spans="1:28" x14ac:dyDescent="0.25">
      <c r="A1394" t="s">
        <v>1398</v>
      </c>
      <c r="B1394">
        <v>0.99987803227770999</v>
      </c>
      <c r="C1394">
        <v>0.91023868875469305</v>
      </c>
      <c r="D1394">
        <v>1.07178817834867</v>
      </c>
      <c r="E1394">
        <v>0.91754537740320197</v>
      </c>
      <c r="F1394">
        <v>0.88369578363150503</v>
      </c>
      <c r="G1394">
        <v>0.73380217039904305</v>
      </c>
      <c r="H1394">
        <v>0.73197801523176098</v>
      </c>
      <c r="I1394">
        <v>0.74271165635031</v>
      </c>
      <c r="J1394">
        <v>0.75634510502392205</v>
      </c>
      <c r="K1394">
        <v>0.66090323350402302</v>
      </c>
      <c r="L1394">
        <v>1360.9267092472401</v>
      </c>
      <c r="M1394">
        <v>25.645732579241699</v>
      </c>
      <c r="O1394">
        <v>52.7469002011361</v>
      </c>
      <c r="P1394">
        <v>-3.4544510742493498E-2</v>
      </c>
      <c r="Q1394">
        <v>0.71580557017198798</v>
      </c>
      <c r="R1394">
        <v>0.86962189274013901</v>
      </c>
      <c r="S1394" t="s">
        <v>7705</v>
      </c>
      <c r="T1394" t="s">
        <v>12620</v>
      </c>
      <c r="U1394" t="s">
        <v>12620</v>
      </c>
      <c r="V1394" t="s">
        <v>12620</v>
      </c>
      <c r="W1394" t="s">
        <v>13979</v>
      </c>
      <c r="X1394">
        <v>8</v>
      </c>
      <c r="Y1394" t="s">
        <v>20207</v>
      </c>
      <c r="Z1394" t="s">
        <v>26341</v>
      </c>
      <c r="AA1394">
        <v>0.84208070656910883</v>
      </c>
      <c r="AB1394" t="str">
        <f>HYPERLINK("Melting_Curves/meltCurve_O95429_2_BAG4.pdf", "Melting_Curves/meltCurve_O95429_2_BAG4.pdf")</f>
        <v>Melting_Curves/meltCurve_O95429_2_BAG4.pdf</v>
      </c>
    </row>
    <row r="1395" spans="1:28" x14ac:dyDescent="0.25">
      <c r="A1395" t="s">
        <v>1399</v>
      </c>
      <c r="B1395">
        <v>0.99987803227770999</v>
      </c>
      <c r="C1395">
        <v>0.89174073415447197</v>
      </c>
      <c r="D1395">
        <v>0.98691413827694796</v>
      </c>
      <c r="E1395">
        <v>0.85251222373328905</v>
      </c>
      <c r="F1395">
        <v>0.84048569805100504</v>
      </c>
      <c r="G1395">
        <v>0.31015194295517701</v>
      </c>
      <c r="H1395">
        <v>0.191389602967169</v>
      </c>
      <c r="I1395">
        <v>0.182271304463586</v>
      </c>
      <c r="J1395">
        <v>0.11381780868651099</v>
      </c>
      <c r="K1395">
        <v>7.9127513950299794E-2</v>
      </c>
      <c r="L1395">
        <v>1591.7133371955099</v>
      </c>
      <c r="M1395">
        <v>28.9371510746954</v>
      </c>
      <c r="N1395">
        <v>55.5235258288917</v>
      </c>
      <c r="O1395">
        <v>54.745189762558901</v>
      </c>
      <c r="P1395">
        <v>-0.11652243214039899</v>
      </c>
      <c r="Q1395">
        <v>0.11822768259455201</v>
      </c>
      <c r="R1395">
        <v>0.97711954822075597</v>
      </c>
      <c r="S1395" t="s">
        <v>7706</v>
      </c>
      <c r="T1395" t="s">
        <v>12620</v>
      </c>
      <c r="U1395" t="s">
        <v>12620</v>
      </c>
      <c r="V1395" t="s">
        <v>12620</v>
      </c>
      <c r="W1395" t="s">
        <v>13980</v>
      </c>
      <c r="X1395">
        <v>27</v>
      </c>
      <c r="Y1395" t="s">
        <v>20208</v>
      </c>
      <c r="Z1395" t="s">
        <v>26342</v>
      </c>
      <c r="AA1395">
        <v>0.56554558976287872</v>
      </c>
      <c r="AB1395" t="str">
        <f>HYPERLINK("Melting_Curves/meltCurve_O95433_AHSA1.pdf", "Melting_Curves/meltCurve_O95433_AHSA1.pdf")</f>
        <v>Melting_Curves/meltCurve_O95433_AHSA1.pdf</v>
      </c>
    </row>
    <row r="1396" spans="1:28" x14ac:dyDescent="0.25">
      <c r="A1396" t="s">
        <v>1400</v>
      </c>
      <c r="B1396">
        <v>0.99987803227770999</v>
      </c>
      <c r="C1396">
        <v>1.1347367904480099</v>
      </c>
      <c r="D1396">
        <v>1.13237872068003</v>
      </c>
      <c r="E1396">
        <v>1.11481412414871</v>
      </c>
      <c r="F1396">
        <v>0.73063971005335504</v>
      </c>
      <c r="G1396">
        <v>0.38048883028696801</v>
      </c>
      <c r="H1396">
        <v>0.37285373381807901</v>
      </c>
      <c r="I1396">
        <v>0.36606923813771702</v>
      </c>
      <c r="J1396">
        <v>0.360404549438892</v>
      </c>
      <c r="K1396">
        <v>0.27804757471699498</v>
      </c>
      <c r="L1396">
        <v>13268.1081730398</v>
      </c>
      <c r="M1396">
        <v>250</v>
      </c>
      <c r="N1396">
        <v>53.331526060581801</v>
      </c>
      <c r="O1396">
        <v>53.069036554709101</v>
      </c>
      <c r="P1396">
        <v>-0.76366002093694896</v>
      </c>
      <c r="Q1396">
        <v>0.35157277748301902</v>
      </c>
      <c r="R1396">
        <v>0.95536772264769598</v>
      </c>
      <c r="S1396" t="s">
        <v>7707</v>
      </c>
      <c r="T1396" t="s">
        <v>12620</v>
      </c>
      <c r="U1396" t="s">
        <v>12620</v>
      </c>
      <c r="V1396" t="s">
        <v>12620</v>
      </c>
      <c r="W1396" t="s">
        <v>13981</v>
      </c>
      <c r="X1396">
        <v>12</v>
      </c>
      <c r="Y1396" t="s">
        <v>20209</v>
      </c>
      <c r="Z1396" t="s">
        <v>26343</v>
      </c>
      <c r="AA1396">
        <v>0.63418388023708916</v>
      </c>
      <c r="AB1396" t="str">
        <f>HYPERLINK("Melting_Curves/meltCurve_O95453_2_PARN.pdf", "Melting_Curves/meltCurve_O95453_2_PARN.pdf")</f>
        <v>Melting_Curves/meltCurve_O95453_2_PARN.pdf</v>
      </c>
    </row>
    <row r="1397" spans="1:28" x14ac:dyDescent="0.25">
      <c r="A1397" t="s">
        <v>1401</v>
      </c>
      <c r="B1397">
        <v>0.99987803227770999</v>
      </c>
      <c r="C1397">
        <v>1.0398826380944</v>
      </c>
      <c r="D1397">
        <v>1.04015033328745</v>
      </c>
      <c r="E1397">
        <v>1.2365510025577</v>
      </c>
      <c r="F1397">
        <v>1.25195344165444</v>
      </c>
      <c r="G1397">
        <v>1.30269456935892</v>
      </c>
      <c r="H1397">
        <v>0.92577054386326596</v>
      </c>
      <c r="I1397">
        <v>0.41872652348935901</v>
      </c>
      <c r="J1397">
        <v>0.129369633887367</v>
      </c>
      <c r="K1397">
        <v>9.1130834167064495E-2</v>
      </c>
      <c r="L1397">
        <v>4034.5487730249902</v>
      </c>
      <c r="M1397">
        <v>63.624405796077497</v>
      </c>
      <c r="N1397">
        <v>63.621317944391201</v>
      </c>
      <c r="O1397">
        <v>63.349396787174499</v>
      </c>
      <c r="P1397">
        <v>-0.227370684837851</v>
      </c>
      <c r="Q1397">
        <v>9.4448472491424101E-2</v>
      </c>
      <c r="R1397">
        <v>0.88677497269112904</v>
      </c>
      <c r="S1397" t="s">
        <v>7708</v>
      </c>
      <c r="T1397" t="s">
        <v>12620</v>
      </c>
      <c r="U1397" t="s">
        <v>12620</v>
      </c>
      <c r="V1397" t="s">
        <v>12620</v>
      </c>
      <c r="W1397" t="s">
        <v>13982</v>
      </c>
      <c r="X1397">
        <v>10</v>
      </c>
      <c r="Y1397" t="s">
        <v>20210</v>
      </c>
      <c r="Z1397" t="s">
        <v>26344</v>
      </c>
      <c r="AA1397">
        <v>0.80260562946033798</v>
      </c>
      <c r="AB1397" t="str">
        <f>HYPERLINK("Melting_Curves/meltCurve_O95456_PSMG1.pdf", "Melting_Curves/meltCurve_O95456_PSMG1.pdf")</f>
        <v>Melting_Curves/meltCurve_O95456_PSMG1.pdf</v>
      </c>
    </row>
    <row r="1398" spans="1:28" x14ac:dyDescent="0.25">
      <c r="A1398" t="s">
        <v>1402</v>
      </c>
      <c r="B1398">
        <v>0.99987803227770999</v>
      </c>
      <c r="C1398">
        <v>0.67937755584267401</v>
      </c>
      <c r="D1398">
        <v>0.47022827874287798</v>
      </c>
      <c r="E1398">
        <v>0.37973221773709998</v>
      </c>
      <c r="F1398">
        <v>0.256101953821888</v>
      </c>
      <c r="G1398">
        <v>0.160171542868217</v>
      </c>
      <c r="H1398">
        <v>0.120320383644044</v>
      </c>
      <c r="I1398">
        <v>0.11168813947796399</v>
      </c>
      <c r="J1398">
        <v>0.101095260480005</v>
      </c>
      <c r="K1398">
        <v>7.8802364562925997E-2</v>
      </c>
      <c r="L1398">
        <v>593.49337594805695</v>
      </c>
      <c r="M1398">
        <v>12.9476524145678</v>
      </c>
      <c r="N1398">
        <v>46.565290928192297</v>
      </c>
      <c r="O1398">
        <v>44.785805191319199</v>
      </c>
      <c r="P1398">
        <v>-6.56700705449689E-2</v>
      </c>
      <c r="Q1398">
        <v>9.15546339985326E-2</v>
      </c>
      <c r="R1398">
        <v>0.96841352731610697</v>
      </c>
      <c r="S1398" t="s">
        <v>7709</v>
      </c>
      <c r="T1398" t="s">
        <v>12620</v>
      </c>
      <c r="U1398" t="s">
        <v>12620</v>
      </c>
      <c r="V1398" t="s">
        <v>12620</v>
      </c>
      <c r="W1398" t="s">
        <v>13983</v>
      </c>
      <c r="X1398">
        <v>6</v>
      </c>
      <c r="Y1398" t="s">
        <v>20211</v>
      </c>
      <c r="Z1398" t="s">
        <v>26345</v>
      </c>
      <c r="AA1398">
        <v>0.30460553304990579</v>
      </c>
      <c r="AB1398" t="str">
        <f>HYPERLINK("Melting_Curves/meltCurve_O95466_FMNL1.pdf", "Melting_Curves/meltCurve_O95466_FMNL1.pdf")</f>
        <v>Melting_Curves/meltCurve_O95466_FMNL1.pdf</v>
      </c>
    </row>
    <row r="1399" spans="1:28" x14ac:dyDescent="0.25">
      <c r="A1399" t="s">
        <v>1403</v>
      </c>
      <c r="B1399">
        <v>0.99987803227770999</v>
      </c>
      <c r="C1399">
        <v>1.1820364803672201</v>
      </c>
      <c r="D1399">
        <v>0.92858997695189305</v>
      </c>
      <c r="E1399">
        <v>1.07971790495866</v>
      </c>
      <c r="F1399">
        <v>0.43949418515931299</v>
      </c>
      <c r="G1399">
        <v>0.275015810608706</v>
      </c>
      <c r="H1399">
        <v>0.22982492165876101</v>
      </c>
      <c r="I1399">
        <v>0.23898332205212999</v>
      </c>
      <c r="J1399">
        <v>0.185567045354322</v>
      </c>
      <c r="K1399">
        <v>0.132187702403082</v>
      </c>
      <c r="L1399">
        <v>13202.1356104307</v>
      </c>
      <c r="M1399">
        <v>250</v>
      </c>
      <c r="N1399">
        <v>52.925560080550397</v>
      </c>
      <c r="O1399">
        <v>52.805161008113501</v>
      </c>
      <c r="P1399">
        <v>-0.93230026081857897</v>
      </c>
      <c r="Q1399">
        <v>0.212315724429887</v>
      </c>
      <c r="R1399">
        <v>0.96494038114347302</v>
      </c>
      <c r="S1399" t="s">
        <v>7710</v>
      </c>
      <c r="T1399" t="s">
        <v>12620</v>
      </c>
      <c r="U1399" t="s">
        <v>12620</v>
      </c>
      <c r="V1399" t="s">
        <v>12620</v>
      </c>
      <c r="W1399" t="s">
        <v>13984</v>
      </c>
      <c r="X1399">
        <v>4</v>
      </c>
      <c r="Y1399" t="s">
        <v>20212</v>
      </c>
      <c r="Z1399" t="s">
        <v>26346</v>
      </c>
      <c r="AA1399">
        <v>0.54869164137774784</v>
      </c>
      <c r="AB1399" t="str">
        <f>HYPERLINK("Melting_Curves/meltCurve_O95479_H6PD.pdf", "Melting_Curves/meltCurve_O95479_H6PD.pdf")</f>
        <v>Melting_Curves/meltCurve_O95479_H6PD.pdf</v>
      </c>
    </row>
    <row r="1400" spans="1:28" x14ac:dyDescent="0.25">
      <c r="A1400" t="s">
        <v>1404</v>
      </c>
      <c r="B1400">
        <v>0.99987803227770999</v>
      </c>
      <c r="C1400">
        <v>1.17818214539368</v>
      </c>
      <c r="D1400">
        <v>0.95433575501708701</v>
      </c>
      <c r="E1400">
        <v>0.90127390889033898</v>
      </c>
      <c r="F1400">
        <v>0.24891235838783099</v>
      </c>
      <c r="G1400">
        <v>0.177089053483727</v>
      </c>
      <c r="H1400">
        <v>0.119635778632602</v>
      </c>
      <c r="I1400">
        <v>0.116247535749139</v>
      </c>
      <c r="J1400">
        <v>7.5354354011277394E-2</v>
      </c>
      <c r="K1400">
        <v>6.2218078624582403E-2</v>
      </c>
      <c r="L1400">
        <v>3280.44918702423</v>
      </c>
      <c r="M1400">
        <v>63.5533156918667</v>
      </c>
      <c r="N1400">
        <v>51.818189114890899</v>
      </c>
      <c r="O1400">
        <v>51.566244142433099</v>
      </c>
      <c r="P1400">
        <v>-0.27446918949347099</v>
      </c>
      <c r="Q1400">
        <v>0.10919891879676299</v>
      </c>
      <c r="R1400">
        <v>0.97815004806880601</v>
      </c>
      <c r="S1400" t="s">
        <v>7711</v>
      </c>
      <c r="T1400" t="s">
        <v>12620</v>
      </c>
      <c r="U1400" t="s">
        <v>12620</v>
      </c>
      <c r="V1400" t="s">
        <v>12620</v>
      </c>
      <c r="W1400" t="s">
        <v>13985</v>
      </c>
      <c r="X1400">
        <v>15</v>
      </c>
      <c r="Y1400" t="s">
        <v>20213</v>
      </c>
      <c r="Z1400" t="s">
        <v>26347</v>
      </c>
      <c r="AA1400">
        <v>0.45540776646142922</v>
      </c>
      <c r="AB1400" t="str">
        <f>HYPERLINK("Melting_Curves/meltCurve_O95486_SEC24A.pdf", "Melting_Curves/meltCurve_O95486_SEC24A.pdf")</f>
        <v>Melting_Curves/meltCurve_O95486_SEC24A.pdf</v>
      </c>
    </row>
    <row r="1401" spans="1:28" x14ac:dyDescent="0.25">
      <c r="A1401" t="s">
        <v>1405</v>
      </c>
      <c r="B1401">
        <v>0.99987803227770999</v>
      </c>
      <c r="C1401">
        <v>1.02118993374737</v>
      </c>
      <c r="D1401">
        <v>0.93092979328760705</v>
      </c>
      <c r="E1401">
        <v>0.66206925245173798</v>
      </c>
      <c r="F1401">
        <v>0.43229769720293099</v>
      </c>
      <c r="G1401">
        <v>0.30767498302313001</v>
      </c>
      <c r="H1401">
        <v>0.212227925152389</v>
      </c>
      <c r="I1401">
        <v>0.210525364005066</v>
      </c>
      <c r="J1401">
        <v>0.169944131626143</v>
      </c>
      <c r="K1401">
        <v>0.14804180696972899</v>
      </c>
      <c r="L1401">
        <v>994.31305742841198</v>
      </c>
      <c r="M1401">
        <v>19.4584659072938</v>
      </c>
      <c r="N1401">
        <v>52.250427217971499</v>
      </c>
      <c r="O1401">
        <v>50.5687380355077</v>
      </c>
      <c r="P1401">
        <v>-7.9431298215601895E-2</v>
      </c>
      <c r="Q1401">
        <v>0.17432446994192199</v>
      </c>
      <c r="R1401">
        <v>0.99558286164825005</v>
      </c>
      <c r="S1401" t="s">
        <v>7712</v>
      </c>
      <c r="T1401" t="s">
        <v>12620</v>
      </c>
      <c r="U1401" t="s">
        <v>12620</v>
      </c>
      <c r="V1401" t="s">
        <v>12620</v>
      </c>
      <c r="W1401" t="s">
        <v>13986</v>
      </c>
      <c r="X1401">
        <v>14</v>
      </c>
      <c r="Y1401" t="s">
        <v>20214</v>
      </c>
      <c r="Z1401" t="s">
        <v>26348</v>
      </c>
      <c r="AA1401">
        <v>0.49186149836282372</v>
      </c>
      <c r="AB1401" t="str">
        <f>HYPERLINK("Melting_Curves/meltCurve_O95487_2_SEC24B.pdf", "Melting_Curves/meltCurve_O95487_2_SEC24B.pdf")</f>
        <v>Melting_Curves/meltCurve_O95487_2_SEC24B.pdf</v>
      </c>
    </row>
    <row r="1402" spans="1:28" x14ac:dyDescent="0.25">
      <c r="A1402" t="s">
        <v>1406</v>
      </c>
      <c r="B1402">
        <v>0.99987803227770999</v>
      </c>
      <c r="C1402">
        <v>1.0864250554114301</v>
      </c>
      <c r="D1402">
        <v>0.91506605991244505</v>
      </c>
      <c r="E1402">
        <v>1.22860341202639</v>
      </c>
      <c r="F1402">
        <v>0.986413137435035</v>
      </c>
      <c r="G1402">
        <v>1.08674766390665</v>
      </c>
      <c r="H1402">
        <v>1.16901789083934</v>
      </c>
      <c r="I1402">
        <v>1.24994430738393</v>
      </c>
      <c r="J1402">
        <v>0.90319644413247202</v>
      </c>
      <c r="K1402">
        <v>0.44757244644938099</v>
      </c>
      <c r="L1402">
        <v>15000</v>
      </c>
      <c r="M1402">
        <v>222.33109614356701</v>
      </c>
      <c r="N1402">
        <v>68.157267057171893</v>
      </c>
      <c r="O1402">
        <v>67.461487930133998</v>
      </c>
      <c r="P1402">
        <v>-0.455301500207204</v>
      </c>
      <c r="Q1402">
        <v>0.44739504809740899</v>
      </c>
      <c r="R1402">
        <v>0.65459557257719603</v>
      </c>
      <c r="S1402" t="s">
        <v>7713</v>
      </c>
      <c r="T1402" t="s">
        <v>12620</v>
      </c>
      <c r="U1402" t="s">
        <v>12620</v>
      </c>
      <c r="V1402" t="s">
        <v>12620</v>
      </c>
      <c r="W1402" t="s">
        <v>13987</v>
      </c>
      <c r="X1402">
        <v>3</v>
      </c>
      <c r="Y1402" t="s">
        <v>20215</v>
      </c>
      <c r="Z1402" t="s">
        <v>26349</v>
      </c>
      <c r="AA1402">
        <v>0.95342150948895965</v>
      </c>
      <c r="AB1402" t="str">
        <f>HYPERLINK("Melting_Curves/meltCurve_O95544_NADK.pdf", "Melting_Curves/meltCurve_O95544_NADK.pdf")</f>
        <v>Melting_Curves/meltCurve_O95544_NADK.pdf</v>
      </c>
    </row>
    <row r="1403" spans="1:28" x14ac:dyDescent="0.25">
      <c r="A1403" t="s">
        <v>1407</v>
      </c>
      <c r="B1403">
        <v>0.99987803227770999</v>
      </c>
      <c r="C1403">
        <v>0.85662549235576102</v>
      </c>
      <c r="D1403">
        <v>0.87618194713348896</v>
      </c>
      <c r="E1403">
        <v>0.45302738165881601</v>
      </c>
      <c r="F1403">
        <v>0.22309838840896101</v>
      </c>
      <c r="G1403">
        <v>0.14395156397367501</v>
      </c>
      <c r="H1403">
        <v>0.115953257379805</v>
      </c>
      <c r="I1403">
        <v>0.11384715100232901</v>
      </c>
      <c r="J1403">
        <v>9.1208923640851702E-2</v>
      </c>
      <c r="K1403">
        <v>6.8674924824857903E-2</v>
      </c>
      <c r="L1403">
        <v>1066.61468067596</v>
      </c>
      <c r="M1403">
        <v>21.7253429838131</v>
      </c>
      <c r="N1403">
        <v>49.551242856360403</v>
      </c>
      <c r="O1403">
        <v>48.685132541807903</v>
      </c>
      <c r="P1403">
        <v>-0.101458266262129</v>
      </c>
      <c r="Q1403">
        <v>9.0575016009858206E-2</v>
      </c>
      <c r="R1403">
        <v>0.98814048012883404</v>
      </c>
      <c r="S1403" t="s">
        <v>7714</v>
      </c>
      <c r="T1403" t="s">
        <v>12620</v>
      </c>
      <c r="U1403" t="s">
        <v>12620</v>
      </c>
      <c r="V1403" t="s">
        <v>12620</v>
      </c>
      <c r="W1403" t="s">
        <v>13988</v>
      </c>
      <c r="X1403">
        <v>9</v>
      </c>
      <c r="Y1403" t="s">
        <v>20216</v>
      </c>
      <c r="Z1403" t="s">
        <v>26350</v>
      </c>
      <c r="AA1403">
        <v>0.37705028895913689</v>
      </c>
      <c r="AB1403" t="str">
        <f>HYPERLINK("Melting_Curves/meltCurve_O95551_TDP2.pdf", "Melting_Curves/meltCurve_O95551_TDP2.pdf")</f>
        <v>Melting_Curves/meltCurve_O95551_TDP2.pdf</v>
      </c>
    </row>
    <row r="1404" spans="1:28" x14ac:dyDescent="0.25">
      <c r="A1404" t="s">
        <v>1408</v>
      </c>
      <c r="B1404">
        <v>0.99987803227770999</v>
      </c>
      <c r="C1404">
        <v>0.86477176325138105</v>
      </c>
      <c r="D1404">
        <v>0.87769137260039298</v>
      </c>
      <c r="E1404">
        <v>0.87320345490629803</v>
      </c>
      <c r="F1404">
        <v>1.0094777264497601</v>
      </c>
      <c r="G1404">
        <v>0.54298507640392801</v>
      </c>
      <c r="H1404">
        <v>0.544632510834828</v>
      </c>
      <c r="I1404">
        <v>0.46614988382740302</v>
      </c>
      <c r="J1404">
        <v>0.62290605462434301</v>
      </c>
      <c r="K1404">
        <v>0.48545869121037499</v>
      </c>
      <c r="L1404">
        <v>14047.956765651001</v>
      </c>
      <c r="M1404">
        <v>250</v>
      </c>
      <c r="O1404">
        <v>56.1882311841701</v>
      </c>
      <c r="P1404">
        <v>-0.52303350719417996</v>
      </c>
      <c r="Q1404">
        <v>0.529786758858243</v>
      </c>
      <c r="R1404">
        <v>0.84745069515627203</v>
      </c>
      <c r="S1404" t="s">
        <v>7715</v>
      </c>
      <c r="T1404" t="s">
        <v>12620</v>
      </c>
      <c r="U1404" t="s">
        <v>12620</v>
      </c>
      <c r="V1404" t="s">
        <v>12620</v>
      </c>
      <c r="W1404" t="s">
        <v>13989</v>
      </c>
      <c r="X1404">
        <v>1</v>
      </c>
      <c r="Y1404" t="s">
        <v>20217</v>
      </c>
      <c r="Z1404" t="s">
        <v>26351</v>
      </c>
      <c r="AA1404">
        <v>0.78362017874183343</v>
      </c>
      <c r="AB1404" t="str">
        <f>HYPERLINK("Melting_Curves/meltCurve_O95568_METTL18.pdf", "Melting_Curves/meltCurve_O95568_METTL18.pdf")</f>
        <v>Melting_Curves/meltCurve_O95568_METTL18.pdf</v>
      </c>
    </row>
    <row r="1405" spans="1:28" x14ac:dyDescent="0.25">
      <c r="A1405" t="s">
        <v>1409</v>
      </c>
      <c r="B1405">
        <v>0.99987803227770999</v>
      </c>
      <c r="C1405">
        <v>0.96731340863630699</v>
      </c>
      <c r="D1405">
        <v>0.99982723469080403</v>
      </c>
      <c r="E1405">
        <v>0.91421979590342595</v>
      </c>
      <c r="F1405">
        <v>0.87782135265205696</v>
      </c>
      <c r="G1405">
        <v>0.59122979603715198</v>
      </c>
      <c r="H1405">
        <v>0.463615962767078</v>
      </c>
      <c r="I1405">
        <v>0.25902400286247901</v>
      </c>
      <c r="J1405">
        <v>0.104225586413035</v>
      </c>
      <c r="K1405">
        <v>6.4537575055263696E-2</v>
      </c>
      <c r="L1405">
        <v>887.40002715057301</v>
      </c>
      <c r="M1405">
        <v>14.976337111467499</v>
      </c>
      <c r="N1405">
        <v>59.253476005471903</v>
      </c>
      <c r="O1405">
        <v>58.227121139086798</v>
      </c>
      <c r="P1405">
        <v>-6.4307917292902902E-2</v>
      </c>
      <c r="Q1405">
        <v>0</v>
      </c>
      <c r="R1405">
        <v>0.990059008568418</v>
      </c>
      <c r="S1405" t="s">
        <v>7716</v>
      </c>
      <c r="T1405" t="s">
        <v>12620</v>
      </c>
      <c r="U1405" t="s">
        <v>12620</v>
      </c>
      <c r="V1405" t="s">
        <v>12620</v>
      </c>
      <c r="W1405" t="s">
        <v>13990</v>
      </c>
      <c r="X1405">
        <v>7</v>
      </c>
      <c r="Y1405" t="s">
        <v>20218</v>
      </c>
      <c r="Z1405" t="s">
        <v>26352</v>
      </c>
      <c r="AA1405">
        <v>0.65140695604504295</v>
      </c>
      <c r="AB1405" t="str">
        <f>HYPERLINK("Melting_Curves/meltCurve_O95571_ETHE1.pdf", "Melting_Curves/meltCurve_O95571_ETHE1.pdf")</f>
        <v>Melting_Curves/meltCurve_O95571_ETHE1.pdf</v>
      </c>
    </row>
    <row r="1406" spans="1:28" x14ac:dyDescent="0.25">
      <c r="A1406" t="s">
        <v>1410</v>
      </c>
      <c r="B1406">
        <v>0.99987803227770999</v>
      </c>
      <c r="C1406">
        <v>1.30488053991099</v>
      </c>
      <c r="D1406">
        <v>1.1202535857006499</v>
      </c>
      <c r="E1406">
        <v>1.80782410066498</v>
      </c>
      <c r="F1406">
        <v>0.87871124466837702</v>
      </c>
      <c r="G1406">
        <v>0.73570004386328103</v>
      </c>
      <c r="H1406">
        <v>0.53502982136722299</v>
      </c>
      <c r="I1406">
        <v>0.198059852856172</v>
      </c>
      <c r="J1406">
        <v>9.4869552376969202E-2</v>
      </c>
      <c r="K1406">
        <v>6.3592120053922799E-2</v>
      </c>
      <c r="L1406">
        <v>1470.2562405163801</v>
      </c>
      <c r="M1406">
        <v>24.263624041741799</v>
      </c>
      <c r="N1406">
        <v>60.6780385956176</v>
      </c>
      <c r="O1406">
        <v>60.187987915428998</v>
      </c>
      <c r="P1406">
        <v>-9.9139691066181201E-2</v>
      </c>
      <c r="Q1406">
        <v>1.6317245942703E-2</v>
      </c>
      <c r="R1406">
        <v>0.72605436513156996</v>
      </c>
      <c r="S1406" t="s">
        <v>7717</v>
      </c>
      <c r="T1406" t="s">
        <v>12620</v>
      </c>
      <c r="U1406" t="s">
        <v>12620</v>
      </c>
      <c r="V1406" t="s">
        <v>12620</v>
      </c>
      <c r="W1406" t="s">
        <v>13991</v>
      </c>
      <c r="X1406">
        <v>7</v>
      </c>
      <c r="Y1406" t="s">
        <v>20219</v>
      </c>
      <c r="Z1406" t="s">
        <v>26353</v>
      </c>
      <c r="AA1406">
        <v>0.69841341094609366</v>
      </c>
      <c r="AB1406" t="str">
        <f>HYPERLINK("Melting_Curves/meltCurve_O95602_POLR1A.pdf", "Melting_Curves/meltCurve_O95602_POLR1A.pdf")</f>
        <v>Melting_Curves/meltCurve_O95602_POLR1A.pdf</v>
      </c>
    </row>
    <row r="1407" spans="1:28" x14ac:dyDescent="0.25">
      <c r="A1407" t="s">
        <v>1411</v>
      </c>
      <c r="B1407">
        <v>0.99987803227770999</v>
      </c>
      <c r="C1407">
        <v>0.93653265480478598</v>
      </c>
      <c r="D1407">
        <v>1.02689151769742</v>
      </c>
      <c r="E1407">
        <v>1.0415512109365399</v>
      </c>
      <c r="F1407">
        <v>1.08226321596202</v>
      </c>
      <c r="G1407">
        <v>0.43291294190824497</v>
      </c>
      <c r="H1407">
        <v>0.213250366401536</v>
      </c>
      <c r="I1407">
        <v>0.18475316924922799</v>
      </c>
      <c r="J1407">
        <v>0.15483571867909601</v>
      </c>
      <c r="K1407">
        <v>0.10530286177006799</v>
      </c>
      <c r="L1407">
        <v>12444.3336854433</v>
      </c>
      <c r="M1407">
        <v>219.06976126853101</v>
      </c>
      <c r="N1407">
        <v>56.909011204837</v>
      </c>
      <c r="O1407">
        <v>56.8006069063917</v>
      </c>
      <c r="P1407">
        <v>-0.805559184192289</v>
      </c>
      <c r="Q1407">
        <v>0.16453544847012899</v>
      </c>
      <c r="R1407">
        <v>0.98826396904756797</v>
      </c>
      <c r="S1407" t="s">
        <v>7718</v>
      </c>
      <c r="T1407" t="s">
        <v>12620</v>
      </c>
      <c r="U1407" t="s">
        <v>12620</v>
      </c>
      <c r="V1407" t="s">
        <v>12620</v>
      </c>
      <c r="W1407" t="s">
        <v>13992</v>
      </c>
      <c r="X1407">
        <v>6</v>
      </c>
      <c r="Y1407" t="s">
        <v>19389</v>
      </c>
      <c r="Z1407" t="s">
        <v>26354</v>
      </c>
      <c r="AA1407">
        <v>0.63265296588635034</v>
      </c>
      <c r="AB1407" t="str">
        <f>HYPERLINK("Melting_Curves/meltCurve_O95619_YEATS4.pdf", "Melting_Curves/meltCurve_O95619_YEATS4.pdf")</f>
        <v>Melting_Curves/meltCurve_O95619_YEATS4.pdf</v>
      </c>
    </row>
    <row r="1408" spans="1:28" x14ac:dyDescent="0.25">
      <c r="A1408" t="s">
        <v>1412</v>
      </c>
      <c r="B1408">
        <v>0.99987803227770999</v>
      </c>
      <c r="C1408">
        <v>1.05434684157099</v>
      </c>
      <c r="D1408">
        <v>1.0063041654836899</v>
      </c>
      <c r="E1408">
        <v>0.92915758180031405</v>
      </c>
      <c r="F1408">
        <v>0.82087916875165601</v>
      </c>
      <c r="G1408">
        <v>0.63378777059219804</v>
      </c>
      <c r="H1408">
        <v>0.38374682648916703</v>
      </c>
      <c r="I1408">
        <v>0.27429223547299503</v>
      </c>
      <c r="J1408">
        <v>0.177100052448907</v>
      </c>
      <c r="K1408">
        <v>0.11625287109443699</v>
      </c>
      <c r="L1408">
        <v>852.76414399162604</v>
      </c>
      <c r="M1408">
        <v>14.5083009346318</v>
      </c>
      <c r="N1408">
        <v>59.086760706173102</v>
      </c>
      <c r="O1408">
        <v>57.694841965050799</v>
      </c>
      <c r="P1408">
        <v>-6.0576184957498898E-2</v>
      </c>
      <c r="Q1408">
        <v>3.6542973581426802E-2</v>
      </c>
      <c r="R1408">
        <v>0.996315739992925</v>
      </c>
      <c r="S1408" t="s">
        <v>7719</v>
      </c>
      <c r="T1408" t="s">
        <v>12620</v>
      </c>
      <c r="U1408" t="s">
        <v>12620</v>
      </c>
      <c r="V1408" t="s">
        <v>12620</v>
      </c>
      <c r="W1408" t="s">
        <v>13993</v>
      </c>
      <c r="X1408">
        <v>4</v>
      </c>
      <c r="Y1408" t="s">
        <v>20220</v>
      </c>
      <c r="Z1408" t="s">
        <v>26355</v>
      </c>
      <c r="AA1408">
        <v>0.6502438212170919</v>
      </c>
      <c r="AB1408" t="str">
        <f>HYPERLINK("Melting_Curves/meltCurve_O95620_DUS4L.pdf", "Melting_Curves/meltCurve_O95620_DUS4L.pdf")</f>
        <v>Melting_Curves/meltCurve_O95620_DUS4L.pdf</v>
      </c>
    </row>
    <row r="1409" spans="1:28" x14ac:dyDescent="0.25">
      <c r="A1409" t="s">
        <v>1413</v>
      </c>
      <c r="B1409">
        <v>0.99987803227770999</v>
      </c>
      <c r="C1409">
        <v>1.01042494705049</v>
      </c>
      <c r="D1409">
        <v>1.0915318406750201</v>
      </c>
      <c r="E1409">
        <v>0.94233645201792005</v>
      </c>
      <c r="F1409">
        <v>1.03002342298901</v>
      </c>
      <c r="G1409">
        <v>0.94645168619752296</v>
      </c>
      <c r="H1409">
        <v>0.476581619526736</v>
      </c>
      <c r="I1409">
        <v>0.36919413045716798</v>
      </c>
      <c r="J1409">
        <v>0.130891313058871</v>
      </c>
      <c r="K1409">
        <v>7.5474732055993698E-2</v>
      </c>
      <c r="L1409">
        <v>1644.85541802069</v>
      </c>
      <c r="M1409">
        <v>26.859953798194201</v>
      </c>
      <c r="N1409">
        <v>61.544971158243101</v>
      </c>
      <c r="O1409">
        <v>60.901786025636902</v>
      </c>
      <c r="P1409">
        <v>-0.103352263327135</v>
      </c>
      <c r="Q1409">
        <v>6.2653066804688795E-2</v>
      </c>
      <c r="R1409">
        <v>0.97869487086358598</v>
      </c>
      <c r="S1409" t="s">
        <v>7720</v>
      </c>
      <c r="T1409" t="s">
        <v>12620</v>
      </c>
      <c r="U1409" t="s">
        <v>12620</v>
      </c>
      <c r="V1409" t="s">
        <v>12620</v>
      </c>
      <c r="W1409" t="s">
        <v>13994</v>
      </c>
      <c r="X1409">
        <v>6</v>
      </c>
      <c r="Y1409" t="s">
        <v>20221</v>
      </c>
      <c r="Z1409" t="s">
        <v>26356</v>
      </c>
      <c r="AA1409">
        <v>0.73165197563960693</v>
      </c>
      <c r="AB1409" t="str">
        <f>HYPERLINK("Melting_Curves/meltCurve_O95628_3_CNOT4.pdf", "Melting_Curves/meltCurve_O95628_3_CNOT4.pdf")</f>
        <v>Melting_Curves/meltCurve_O95628_3_CNOT4.pdf</v>
      </c>
    </row>
    <row r="1410" spans="1:28" x14ac:dyDescent="0.25">
      <c r="A1410" t="s">
        <v>1414</v>
      </c>
      <c r="B1410">
        <v>0.99987803227770999</v>
      </c>
      <c r="C1410">
        <v>0.85955826801505297</v>
      </c>
      <c r="D1410">
        <v>0.98801616703349504</v>
      </c>
      <c r="E1410">
        <v>0.80738842472309502</v>
      </c>
      <c r="F1410">
        <v>0.62403483818155203</v>
      </c>
      <c r="G1410">
        <v>0.25869845744452402</v>
      </c>
      <c r="H1410">
        <v>0.15982971352830899</v>
      </c>
      <c r="I1410">
        <v>0.125321481489548</v>
      </c>
      <c r="J1410">
        <v>9.57154402656238E-2</v>
      </c>
      <c r="K1410">
        <v>6.9589678233460003E-2</v>
      </c>
      <c r="L1410">
        <v>1065.2569332647099</v>
      </c>
      <c r="M1410">
        <v>19.856320524484101</v>
      </c>
      <c r="N1410">
        <v>54.080559110428098</v>
      </c>
      <c r="O1410">
        <v>53.113024520075399</v>
      </c>
      <c r="P1410">
        <v>-8.66066984252713E-2</v>
      </c>
      <c r="Q1410">
        <v>7.3385599320122105E-2</v>
      </c>
      <c r="R1410">
        <v>0.98461729279129595</v>
      </c>
      <c r="S1410" t="s">
        <v>7721</v>
      </c>
      <c r="T1410" t="s">
        <v>12620</v>
      </c>
      <c r="U1410" t="s">
        <v>12620</v>
      </c>
      <c r="V1410" t="s">
        <v>12620</v>
      </c>
      <c r="W1410" t="s">
        <v>13995</v>
      </c>
      <c r="X1410">
        <v>15</v>
      </c>
      <c r="Y1410" t="s">
        <v>20222</v>
      </c>
      <c r="Z1410" t="s">
        <v>26357</v>
      </c>
      <c r="AA1410">
        <v>0.50774913490315599</v>
      </c>
      <c r="AB1410" t="str">
        <f>HYPERLINK("Melting_Curves/meltCurve_O95630_STAMBP.pdf", "Melting_Curves/meltCurve_O95630_STAMBP.pdf")</f>
        <v>Melting_Curves/meltCurve_O95630_STAMBP.pdf</v>
      </c>
    </row>
    <row r="1411" spans="1:28" x14ac:dyDescent="0.25">
      <c r="A1411" t="s">
        <v>1415</v>
      </c>
      <c r="B1411">
        <v>0.99987803227770999</v>
      </c>
      <c r="C1411">
        <v>1.0777380988237499</v>
      </c>
      <c r="D1411">
        <v>0.92256413135688498</v>
      </c>
      <c r="E1411">
        <v>0.73753528502750099</v>
      </c>
      <c r="F1411">
        <v>0.37456972516729098</v>
      </c>
      <c r="G1411">
        <v>0.207834051828338</v>
      </c>
      <c r="H1411">
        <v>0.120560564703418</v>
      </c>
      <c r="I1411">
        <v>0.10072104342070901</v>
      </c>
      <c r="J1411">
        <v>8.1718153928867401E-2</v>
      </c>
      <c r="K1411">
        <v>5.4037758905831797E-2</v>
      </c>
      <c r="L1411">
        <v>1220.35513659914</v>
      </c>
      <c r="M1411">
        <v>23.621399652156899</v>
      </c>
      <c r="N1411">
        <v>52.064023110166097</v>
      </c>
      <c r="O1411">
        <v>51.297117738252197</v>
      </c>
      <c r="P1411">
        <v>-0.10554904620488099</v>
      </c>
      <c r="Q1411">
        <v>8.3158364966207404E-2</v>
      </c>
      <c r="R1411">
        <v>0.99223602197515803</v>
      </c>
      <c r="S1411" t="s">
        <v>7722</v>
      </c>
      <c r="T1411" t="s">
        <v>12620</v>
      </c>
      <c r="U1411" t="s">
        <v>12620</v>
      </c>
      <c r="V1411" t="s">
        <v>12620</v>
      </c>
      <c r="W1411" t="s">
        <v>13996</v>
      </c>
      <c r="X1411">
        <v>17</v>
      </c>
      <c r="Y1411" t="s">
        <v>20223</v>
      </c>
      <c r="Z1411" t="s">
        <v>26358</v>
      </c>
      <c r="AA1411">
        <v>0.44890485076829972</v>
      </c>
      <c r="AB1411" t="str">
        <f>HYPERLINK("Melting_Curves/meltCurve_O95671_2_ASMTL.pdf", "Melting_Curves/meltCurve_O95671_2_ASMTL.pdf")</f>
        <v>Melting_Curves/meltCurve_O95671_2_ASMTL.pdf</v>
      </c>
    </row>
    <row r="1412" spans="1:28" x14ac:dyDescent="0.25">
      <c r="A1412" t="s">
        <v>1416</v>
      </c>
      <c r="B1412">
        <v>0.99987803227770999</v>
      </c>
      <c r="C1412">
        <v>1.02258487372033</v>
      </c>
      <c r="D1412">
        <v>1.00229733719627</v>
      </c>
      <c r="E1412">
        <v>0.98814825442306298</v>
      </c>
      <c r="F1412">
        <v>0.96070991496687297</v>
      </c>
      <c r="G1412">
        <v>0.88062003341009198</v>
      </c>
      <c r="H1412">
        <v>0.90105582267767603</v>
      </c>
      <c r="I1412">
        <v>0.77169135935613797</v>
      </c>
      <c r="J1412">
        <v>0.731445893294845</v>
      </c>
      <c r="K1412">
        <v>0.59456462001962096</v>
      </c>
      <c r="L1412">
        <v>641.34614365535697</v>
      </c>
      <c r="M1412">
        <v>8.70160427147718</v>
      </c>
      <c r="Q1412">
        <v>0</v>
      </c>
      <c r="R1412">
        <v>0.96728706795565</v>
      </c>
      <c r="S1412" t="s">
        <v>7723</v>
      </c>
      <c r="T1412" t="s">
        <v>12620</v>
      </c>
      <c r="U1412" t="s">
        <v>12620</v>
      </c>
      <c r="V1412" t="s">
        <v>12620</v>
      </c>
      <c r="W1412" t="s">
        <v>13997</v>
      </c>
      <c r="X1412">
        <v>8</v>
      </c>
      <c r="Y1412" t="s">
        <v>20224</v>
      </c>
      <c r="Z1412" t="s">
        <v>26359</v>
      </c>
      <c r="AA1412">
        <v>0.89863463206555827</v>
      </c>
      <c r="AB1412" t="str">
        <f>HYPERLINK("Melting_Curves/meltCurve_O95684_FGFR1OP.pdf", "Melting_Curves/meltCurve_O95684_FGFR1OP.pdf")</f>
        <v>Melting_Curves/meltCurve_O95684_FGFR1OP.pdf</v>
      </c>
    </row>
    <row r="1413" spans="1:28" x14ac:dyDescent="0.25">
      <c r="A1413" t="s">
        <v>1417</v>
      </c>
      <c r="B1413">
        <v>0.99987803227770999</v>
      </c>
      <c r="C1413">
        <v>1.02074063429144</v>
      </c>
      <c r="D1413">
        <v>1.03853548480762</v>
      </c>
      <c r="E1413">
        <v>0.85805814658581903</v>
      </c>
      <c r="F1413">
        <v>0.73872261828179298</v>
      </c>
      <c r="G1413">
        <v>0.38756483010134002</v>
      </c>
      <c r="H1413">
        <v>0.35685470389878199</v>
      </c>
      <c r="I1413">
        <v>0.370433163652718</v>
      </c>
      <c r="J1413">
        <v>0.273923967736944</v>
      </c>
      <c r="K1413">
        <v>0.192957744740232</v>
      </c>
      <c r="L1413">
        <v>1191.0034692990901</v>
      </c>
      <c r="M1413">
        <v>22.0757081251929</v>
      </c>
      <c r="N1413">
        <v>55.889493439224204</v>
      </c>
      <c r="O1413">
        <v>53.514002601234701</v>
      </c>
      <c r="P1413">
        <v>-7.5544304940287299E-2</v>
      </c>
      <c r="Q1413">
        <v>0.267504510073932</v>
      </c>
      <c r="R1413">
        <v>0.97831921086608298</v>
      </c>
      <c r="S1413" t="s">
        <v>7724</v>
      </c>
      <c r="T1413" t="s">
        <v>12620</v>
      </c>
      <c r="U1413" t="s">
        <v>12620</v>
      </c>
      <c r="V1413" t="s">
        <v>12620</v>
      </c>
      <c r="W1413" t="s">
        <v>13998</v>
      </c>
      <c r="X1413">
        <v>2</v>
      </c>
      <c r="Y1413" t="s">
        <v>20225</v>
      </c>
      <c r="Z1413" t="s">
        <v>26360</v>
      </c>
      <c r="AA1413">
        <v>0.61658615685700491</v>
      </c>
      <c r="AB1413" t="str">
        <f>HYPERLINK("Melting_Curves/meltCurve_O95685_PPP1R3D.pdf", "Melting_Curves/meltCurve_O95685_PPP1R3D.pdf")</f>
        <v>Melting_Curves/meltCurve_O95685_PPP1R3D.pdf</v>
      </c>
    </row>
    <row r="1414" spans="1:28" x14ac:dyDescent="0.25">
      <c r="A1414" t="s">
        <v>1418</v>
      </c>
      <c r="B1414">
        <v>0.99987803227770999</v>
      </c>
      <c r="C1414">
        <v>0.82171080620169701</v>
      </c>
      <c r="D1414">
        <v>0.548402963975124</v>
      </c>
      <c r="E1414">
        <v>1.1102672689753801</v>
      </c>
      <c r="F1414">
        <v>1.0722039063789099</v>
      </c>
      <c r="G1414">
        <v>0.459751514070531</v>
      </c>
      <c r="H1414">
        <v>0.495145164985347</v>
      </c>
      <c r="I1414">
        <v>0.24819345312215699</v>
      </c>
      <c r="J1414">
        <v>0.30031676683387498</v>
      </c>
      <c r="K1414">
        <v>0.177281542699881</v>
      </c>
      <c r="L1414">
        <v>9673.2888069306791</v>
      </c>
      <c r="M1414">
        <v>170.95845767672901</v>
      </c>
      <c r="N1414">
        <v>56.896454356937802</v>
      </c>
      <c r="O1414">
        <v>56.574945546795099</v>
      </c>
      <c r="P1414">
        <v>-0.524863541362252</v>
      </c>
      <c r="Q1414">
        <v>0.30523178974855703</v>
      </c>
      <c r="R1414">
        <v>0.72243014516334603</v>
      </c>
      <c r="S1414" t="s">
        <v>7725</v>
      </c>
      <c r="T1414" t="s">
        <v>12620</v>
      </c>
      <c r="U1414" t="s">
        <v>12620</v>
      </c>
      <c r="V1414" t="s">
        <v>12620</v>
      </c>
      <c r="W1414" t="s">
        <v>13999</v>
      </c>
      <c r="X1414">
        <v>2</v>
      </c>
      <c r="Y1414" t="s">
        <v>20226</v>
      </c>
      <c r="Z1414" t="s">
        <v>26361</v>
      </c>
      <c r="AA1414">
        <v>0.68941680834911279</v>
      </c>
      <c r="AB1414" t="str">
        <f>HYPERLINK("Melting_Curves/meltCurve_O95707_POP4.pdf", "Melting_Curves/meltCurve_O95707_POP4.pdf")</f>
        <v>Melting_Curves/meltCurve_O95707_POP4.pdf</v>
      </c>
    </row>
    <row r="1415" spans="1:28" x14ac:dyDescent="0.25">
      <c r="A1415" t="s">
        <v>1419</v>
      </c>
      <c r="B1415">
        <v>0.99987803227770999</v>
      </c>
      <c r="C1415">
        <v>1.1261299792695101</v>
      </c>
      <c r="D1415">
        <v>0.87632611047495701</v>
      </c>
      <c r="E1415">
        <v>1.53079843590557</v>
      </c>
      <c r="F1415">
        <v>0.62456215094340695</v>
      </c>
      <c r="G1415">
        <v>0.638522099558403</v>
      </c>
      <c r="H1415">
        <v>0.54121722395585903</v>
      </c>
      <c r="I1415">
        <v>0.46951269791789002</v>
      </c>
      <c r="J1415">
        <v>0.46094230915367002</v>
      </c>
      <c r="K1415">
        <v>0.429513453910701</v>
      </c>
      <c r="L1415">
        <v>13188.036284097099</v>
      </c>
      <c r="M1415">
        <v>250</v>
      </c>
      <c r="O1415">
        <v>52.748769358040803</v>
      </c>
      <c r="P1415">
        <v>-0.58302169978642604</v>
      </c>
      <c r="Q1415">
        <v>0.50794116589685101</v>
      </c>
      <c r="R1415">
        <v>0.70666497416033103</v>
      </c>
      <c r="S1415" t="s">
        <v>7726</v>
      </c>
      <c r="T1415" t="s">
        <v>12620</v>
      </c>
      <c r="U1415" t="s">
        <v>12620</v>
      </c>
      <c r="V1415" t="s">
        <v>12620</v>
      </c>
      <c r="W1415" t="s">
        <v>14000</v>
      </c>
      <c r="X1415">
        <v>3</v>
      </c>
      <c r="Y1415" t="s">
        <v>20227</v>
      </c>
      <c r="Z1415" t="s">
        <v>26362</v>
      </c>
      <c r="AA1415">
        <v>0.71714690924448388</v>
      </c>
      <c r="AB1415" t="str">
        <f>HYPERLINK("Melting_Curves/meltCurve_O95714_HERC2.pdf", "Melting_Curves/meltCurve_O95714_HERC2.pdf")</f>
        <v>Melting_Curves/meltCurve_O95714_HERC2.pdf</v>
      </c>
    </row>
    <row r="1416" spans="1:28" x14ac:dyDescent="0.25">
      <c r="A1416" t="s">
        <v>1420</v>
      </c>
      <c r="B1416">
        <v>0.99987803227770999</v>
      </c>
      <c r="C1416">
        <v>0.98926058048134302</v>
      </c>
      <c r="D1416">
        <v>1.07485640081125</v>
      </c>
      <c r="E1416">
        <v>0.95901095759922805</v>
      </c>
      <c r="F1416">
        <v>1.0180457427054701</v>
      </c>
      <c r="G1416">
        <v>0.658091692381224</v>
      </c>
      <c r="H1416">
        <v>0.37965258327865697</v>
      </c>
      <c r="I1416">
        <v>0.26604825056513498</v>
      </c>
      <c r="J1416">
        <v>0.18176547210765301</v>
      </c>
      <c r="K1416">
        <v>0.131670832065101</v>
      </c>
      <c r="L1416">
        <v>1444.5244264016901</v>
      </c>
      <c r="M1416">
        <v>24.7224230819354</v>
      </c>
      <c r="N1416">
        <v>59.256347570963101</v>
      </c>
      <c r="O1416">
        <v>58.0514514796292</v>
      </c>
      <c r="P1416">
        <v>-9.0940794894233706E-2</v>
      </c>
      <c r="Q1416">
        <v>0.14584894573825399</v>
      </c>
      <c r="R1416">
        <v>0.98747753996383403</v>
      </c>
      <c r="S1416" t="s">
        <v>7727</v>
      </c>
      <c r="T1416" t="s">
        <v>12620</v>
      </c>
      <c r="U1416" t="s">
        <v>12620</v>
      </c>
      <c r="V1416" t="s">
        <v>12620</v>
      </c>
      <c r="W1416" t="s">
        <v>14001</v>
      </c>
      <c r="X1416">
        <v>2</v>
      </c>
      <c r="Y1416" t="s">
        <v>20228</v>
      </c>
      <c r="Z1416" t="s">
        <v>26363</v>
      </c>
      <c r="AA1416">
        <v>0.67794894854912635</v>
      </c>
      <c r="AB1416" t="str">
        <f>HYPERLINK("Melting_Curves/meltCurve_O95716_RAB3D.pdf", "Melting_Curves/meltCurve_O95716_RAB3D.pdf")</f>
        <v>Melting_Curves/meltCurve_O95716_RAB3D.pdf</v>
      </c>
    </row>
    <row r="1417" spans="1:28" x14ac:dyDescent="0.25">
      <c r="A1417" t="s">
        <v>1421</v>
      </c>
      <c r="B1417">
        <v>0.99987803227770999</v>
      </c>
      <c r="C1417">
        <v>0.85176971100618604</v>
      </c>
      <c r="D1417">
        <v>0.96605506458422197</v>
      </c>
      <c r="E1417">
        <v>0.84005570336028901</v>
      </c>
      <c r="F1417">
        <v>1.03206941885329</v>
      </c>
      <c r="G1417">
        <v>0.86246676263369604</v>
      </c>
      <c r="H1417">
        <v>0.79821417965014096</v>
      </c>
      <c r="I1417">
        <v>0.834734269264643</v>
      </c>
      <c r="J1417">
        <v>0.68902877047745004</v>
      </c>
      <c r="K1417">
        <v>0.61147593622840501</v>
      </c>
      <c r="L1417">
        <v>389.510204119891</v>
      </c>
      <c r="M1417">
        <v>4.9395746739347102</v>
      </c>
      <c r="O1417">
        <v>68.625683369227502</v>
      </c>
      <c r="P1417">
        <v>-1.8109580268247001E-2</v>
      </c>
      <c r="Q1417">
        <v>0</v>
      </c>
      <c r="R1417">
        <v>0.67975651946163096</v>
      </c>
      <c r="S1417" t="s">
        <v>7728</v>
      </c>
      <c r="T1417" t="s">
        <v>12620</v>
      </c>
      <c r="U1417" t="s">
        <v>12620</v>
      </c>
      <c r="V1417" t="s">
        <v>12620</v>
      </c>
      <c r="W1417" t="s">
        <v>14002</v>
      </c>
      <c r="X1417">
        <v>14</v>
      </c>
      <c r="Y1417" t="s">
        <v>20229</v>
      </c>
      <c r="Z1417" t="s">
        <v>26364</v>
      </c>
      <c r="AA1417">
        <v>0.86857028990650376</v>
      </c>
      <c r="AB1417" t="str">
        <f>HYPERLINK("Melting_Curves/meltCurve_O95721_SNAP29.pdf", "Melting_Curves/meltCurve_O95721_SNAP29.pdf")</f>
        <v>Melting_Curves/meltCurve_O95721_SNAP29.pdf</v>
      </c>
    </row>
    <row r="1418" spans="1:28" x14ac:dyDescent="0.25">
      <c r="A1418" t="s">
        <v>1422</v>
      </c>
      <c r="B1418">
        <v>0.99987803227770999</v>
      </c>
      <c r="C1418">
        <v>0.83542230293687503</v>
      </c>
      <c r="D1418">
        <v>0.43093483785578401</v>
      </c>
      <c r="E1418">
        <v>0.27480796169695598</v>
      </c>
      <c r="F1418">
        <v>0.16452453577374199</v>
      </c>
      <c r="G1418">
        <v>0.138122531048118</v>
      </c>
      <c r="H1418">
        <v>9.6060515649376399E-2</v>
      </c>
      <c r="I1418">
        <v>8.7910605839191205E-2</v>
      </c>
      <c r="J1418">
        <v>6.7883344000740004E-2</v>
      </c>
      <c r="K1418">
        <v>4.6517516990427103E-2</v>
      </c>
      <c r="L1418">
        <v>944.16689725597701</v>
      </c>
      <c r="M1418">
        <v>20.7340613235775</v>
      </c>
      <c r="N1418">
        <v>45.9896750144378</v>
      </c>
      <c r="O1418">
        <v>45.119761193248898</v>
      </c>
      <c r="P1418">
        <v>-0.10428225378312</v>
      </c>
      <c r="Q1418">
        <v>9.2303835581636004E-2</v>
      </c>
      <c r="R1418">
        <v>0.98446370009196504</v>
      </c>
      <c r="S1418" t="s">
        <v>7729</v>
      </c>
      <c r="T1418" t="s">
        <v>12620</v>
      </c>
      <c r="U1418" t="s">
        <v>12620</v>
      </c>
      <c r="V1418" t="s">
        <v>12620</v>
      </c>
      <c r="W1418" t="s">
        <v>14003</v>
      </c>
      <c r="X1418">
        <v>16</v>
      </c>
      <c r="Y1418" t="s">
        <v>20230</v>
      </c>
      <c r="Z1418" t="s">
        <v>26365</v>
      </c>
      <c r="AA1418">
        <v>0.2732227867270875</v>
      </c>
      <c r="AB1418" t="str">
        <f>HYPERLINK("Melting_Curves/meltCurve_O95747_OXSR1.pdf", "Melting_Curves/meltCurve_O95747_OXSR1.pdf")</f>
        <v>Melting_Curves/meltCurve_O95747_OXSR1.pdf</v>
      </c>
    </row>
    <row r="1419" spans="1:28" x14ac:dyDescent="0.25">
      <c r="A1419" t="s">
        <v>1423</v>
      </c>
      <c r="B1419">
        <v>0.99987803227770999</v>
      </c>
      <c r="C1419">
        <v>1.2147703661867599</v>
      </c>
      <c r="D1419">
        <v>1.0316424029239299</v>
      </c>
      <c r="E1419">
        <v>1.1042672911087901</v>
      </c>
      <c r="F1419">
        <v>0.51708338056439895</v>
      </c>
      <c r="G1419">
        <v>0.24638213383249299</v>
      </c>
      <c r="H1419">
        <v>0.159640571364876</v>
      </c>
      <c r="I1419">
        <v>0.135681978337893</v>
      </c>
      <c r="J1419">
        <v>0.10758194074864599</v>
      </c>
      <c r="K1419">
        <v>7.6878312523475004E-2</v>
      </c>
      <c r="L1419">
        <v>13236.1483725257</v>
      </c>
      <c r="M1419">
        <v>250</v>
      </c>
      <c r="N1419">
        <v>53.017367574764002</v>
      </c>
      <c r="O1419">
        <v>52.941205468618499</v>
      </c>
      <c r="P1419">
        <v>-1.0090994146605701</v>
      </c>
      <c r="Q1419">
        <v>0.14523297111799599</v>
      </c>
      <c r="R1419">
        <v>0.96305076954388602</v>
      </c>
      <c r="S1419" t="s">
        <v>7730</v>
      </c>
      <c r="T1419" t="s">
        <v>12620</v>
      </c>
      <c r="U1419" t="s">
        <v>12620</v>
      </c>
      <c r="V1419" t="s">
        <v>12620</v>
      </c>
      <c r="W1419" t="s">
        <v>14004</v>
      </c>
      <c r="X1419">
        <v>7</v>
      </c>
      <c r="Y1419" t="s">
        <v>20231</v>
      </c>
      <c r="Z1419" t="s">
        <v>26366</v>
      </c>
      <c r="AA1419">
        <v>0.5141327840400115</v>
      </c>
      <c r="AB1419" t="str">
        <f>HYPERLINK("Melting_Curves/meltCurve_O95749_GGPS1.pdf", "Melting_Curves/meltCurve_O95749_GGPS1.pdf")</f>
        <v>Melting_Curves/meltCurve_O95749_GGPS1.pdf</v>
      </c>
    </row>
    <row r="1420" spans="1:28" x14ac:dyDescent="0.25">
      <c r="A1420" t="s">
        <v>1424</v>
      </c>
      <c r="B1420">
        <v>0.99987803227770999</v>
      </c>
      <c r="C1420">
        <v>1.2121691373043499</v>
      </c>
      <c r="D1420">
        <v>0.81179042856016703</v>
      </c>
      <c r="E1420">
        <v>0.72418394932366503</v>
      </c>
      <c r="F1420">
        <v>0.28753510409083799</v>
      </c>
      <c r="G1420">
        <v>0.20132849458379301</v>
      </c>
      <c r="H1420">
        <v>0.14471426414955699</v>
      </c>
      <c r="I1420">
        <v>0.118496314291944</v>
      </c>
      <c r="J1420">
        <v>9.5674852619218001E-2</v>
      </c>
      <c r="K1420">
        <v>7.1131438799343194E-2</v>
      </c>
      <c r="L1420">
        <v>1280.5962070939199</v>
      </c>
      <c r="M1420">
        <v>25.130461196550499</v>
      </c>
      <c r="N1420">
        <v>51.435984827592897</v>
      </c>
      <c r="O1420">
        <v>50.638540153621499</v>
      </c>
      <c r="P1420">
        <v>-0.111147902189877</v>
      </c>
      <c r="Q1420">
        <v>0.104148024138581</v>
      </c>
      <c r="R1420">
        <v>0.95271689715962404</v>
      </c>
      <c r="S1420" t="s">
        <v>7731</v>
      </c>
      <c r="T1420" t="s">
        <v>12620</v>
      </c>
      <c r="U1420" t="s">
        <v>12620</v>
      </c>
      <c r="V1420" t="s">
        <v>12620</v>
      </c>
      <c r="W1420" t="s">
        <v>14005</v>
      </c>
      <c r="X1420">
        <v>46</v>
      </c>
      <c r="Y1420" t="s">
        <v>20232</v>
      </c>
      <c r="Z1420" t="s">
        <v>26367</v>
      </c>
      <c r="AA1420">
        <v>0.43937756041091991</v>
      </c>
      <c r="AB1420" t="str">
        <f>HYPERLINK("Melting_Curves/meltCurve_O95757_HSPA4L.pdf", "Melting_Curves/meltCurve_O95757_HSPA4L.pdf")</f>
        <v>Melting_Curves/meltCurve_O95757_HSPA4L.pdf</v>
      </c>
    </row>
    <row r="1421" spans="1:28" x14ac:dyDescent="0.25">
      <c r="A1421" t="s">
        <v>1425</v>
      </c>
      <c r="B1421">
        <v>0.99987803227770999</v>
      </c>
      <c r="C1421">
        <v>0.71228821103209705</v>
      </c>
      <c r="D1421">
        <v>0.70023444562931003</v>
      </c>
      <c r="E1421">
        <v>0.53064243638243003</v>
      </c>
      <c r="F1421">
        <v>0.48854315220758199</v>
      </c>
      <c r="G1421">
        <v>0.29299170217866499</v>
      </c>
      <c r="H1421">
        <v>0.24213612074413501</v>
      </c>
      <c r="I1421">
        <v>0.18668486019177899</v>
      </c>
      <c r="J1421">
        <v>0.21739228510202099</v>
      </c>
      <c r="K1421">
        <v>0.17089195619019101</v>
      </c>
      <c r="L1421">
        <v>427.63439629910999</v>
      </c>
      <c r="M1421">
        <v>8.6290181062953195</v>
      </c>
      <c r="N1421">
        <v>50.918338526729997</v>
      </c>
      <c r="O1421">
        <v>47.111689924111303</v>
      </c>
      <c r="P1421">
        <v>-4.1110437822280098E-2</v>
      </c>
      <c r="Q1421">
        <v>0.102964461352288</v>
      </c>
      <c r="R1421">
        <v>0.96247392765449102</v>
      </c>
      <c r="S1421" t="s">
        <v>7732</v>
      </c>
      <c r="T1421" t="s">
        <v>12620</v>
      </c>
      <c r="U1421" t="s">
        <v>12620</v>
      </c>
      <c r="V1421" t="s">
        <v>12620</v>
      </c>
      <c r="W1421" t="s">
        <v>14006</v>
      </c>
      <c r="X1421">
        <v>5</v>
      </c>
      <c r="Y1421" t="s">
        <v>20233</v>
      </c>
      <c r="Z1421" t="s">
        <v>26368</v>
      </c>
      <c r="AA1421">
        <v>0.43987491535972539</v>
      </c>
      <c r="AB1421" t="str">
        <f>HYPERLINK("Melting_Curves/meltCurve_O95758_1_PTBP3.pdf", "Melting_Curves/meltCurve_O95758_1_PTBP3.pdf")</f>
        <v>Melting_Curves/meltCurve_O95758_1_PTBP3.pdf</v>
      </c>
    </row>
    <row r="1422" spans="1:28" x14ac:dyDescent="0.25">
      <c r="A1422" t="s">
        <v>1426</v>
      </c>
      <c r="B1422">
        <v>0.99987803227770999</v>
      </c>
      <c r="C1422">
        <v>0.96661306518448198</v>
      </c>
      <c r="D1422">
        <v>0.89859667492081496</v>
      </c>
      <c r="E1422">
        <v>0.62902909426609499</v>
      </c>
      <c r="F1422">
        <v>0.55057244141405903</v>
      </c>
      <c r="G1422">
        <v>0.35488442450471402</v>
      </c>
      <c r="H1422">
        <v>0.26270911092323102</v>
      </c>
      <c r="I1422">
        <v>0.22722360553232199</v>
      </c>
      <c r="J1422">
        <v>0.18052474700400001</v>
      </c>
      <c r="K1422">
        <v>0.14929852713834699</v>
      </c>
      <c r="L1422">
        <v>668.09605647143405</v>
      </c>
      <c r="M1422">
        <v>12.8072448287162</v>
      </c>
      <c r="N1422">
        <v>53.501466783035099</v>
      </c>
      <c r="O1422">
        <v>50.9427467003106</v>
      </c>
      <c r="P1422">
        <v>-5.4259750397418101E-2</v>
      </c>
      <c r="Q1422">
        <v>0.13685627022049901</v>
      </c>
      <c r="R1422">
        <v>0.994050895501432</v>
      </c>
      <c r="S1422" t="s">
        <v>7733</v>
      </c>
      <c r="T1422" t="s">
        <v>12620</v>
      </c>
      <c r="U1422" t="s">
        <v>12620</v>
      </c>
      <c r="V1422" t="s">
        <v>12620</v>
      </c>
      <c r="W1422" t="s">
        <v>14007</v>
      </c>
      <c r="X1422">
        <v>8</v>
      </c>
      <c r="Y1422" t="s">
        <v>20234</v>
      </c>
      <c r="Z1422" t="s">
        <v>26369</v>
      </c>
      <c r="AA1422">
        <v>0.51088412440625419</v>
      </c>
      <c r="AB1422" t="str">
        <f>HYPERLINK("Melting_Curves/meltCurve_O95759_TBC1D8.pdf", "Melting_Curves/meltCurve_O95759_TBC1D8.pdf")</f>
        <v>Melting_Curves/meltCurve_O95759_TBC1D8.pdf</v>
      </c>
    </row>
    <row r="1423" spans="1:28" x14ac:dyDescent="0.25">
      <c r="A1423" t="s">
        <v>1427</v>
      </c>
      <c r="B1423">
        <v>0.99987803227770999</v>
      </c>
      <c r="C1423">
        <v>1.0162171772253801</v>
      </c>
      <c r="D1423">
        <v>1.07172840126373</v>
      </c>
      <c r="E1423">
        <v>1.1025458181780901</v>
      </c>
      <c r="F1423">
        <v>1.1611658779887499</v>
      </c>
      <c r="G1423">
        <v>1.0153914759364699</v>
      </c>
      <c r="H1423">
        <v>1.1375247025184101</v>
      </c>
      <c r="I1423">
        <v>0.98564826640874204</v>
      </c>
      <c r="J1423">
        <v>0.92607966601220304</v>
      </c>
      <c r="K1423">
        <v>0.67550920032704298</v>
      </c>
      <c r="L1423">
        <v>4409.4444402276404</v>
      </c>
      <c r="M1423">
        <v>64.297438481787097</v>
      </c>
      <c r="O1423">
        <v>68.512604521844196</v>
      </c>
      <c r="P1423">
        <v>-9.6763233962006506E-2</v>
      </c>
      <c r="Q1423">
        <v>0.58757305131660498</v>
      </c>
      <c r="R1423">
        <v>0.64251294180068297</v>
      </c>
      <c r="S1423" t="s">
        <v>7734</v>
      </c>
      <c r="T1423" t="s">
        <v>12620</v>
      </c>
      <c r="U1423" t="s">
        <v>12620</v>
      </c>
      <c r="V1423" t="s">
        <v>12620</v>
      </c>
      <c r="W1423" t="s">
        <v>14008</v>
      </c>
      <c r="X1423">
        <v>5</v>
      </c>
      <c r="Y1423" t="s">
        <v>20235</v>
      </c>
      <c r="Z1423" t="s">
        <v>26370</v>
      </c>
      <c r="AA1423">
        <v>0.97742110533292936</v>
      </c>
      <c r="AB1423" t="str">
        <f>HYPERLINK("Melting_Curves/meltCurve_O95777_NAA38.pdf", "Melting_Curves/meltCurve_O95777_NAA38.pdf")</f>
        <v>Melting_Curves/meltCurve_O95777_NAA38.pdf</v>
      </c>
    </row>
    <row r="1424" spans="1:28" x14ac:dyDescent="0.25">
      <c r="A1424" t="s">
        <v>1428</v>
      </c>
      <c r="B1424">
        <v>0.99987803227770999</v>
      </c>
      <c r="C1424">
        <v>1.0712286697164399</v>
      </c>
      <c r="D1424">
        <v>0.87264190376502504</v>
      </c>
      <c r="E1424">
        <v>1.07514107006877</v>
      </c>
      <c r="F1424">
        <v>0.64063805419659803</v>
      </c>
      <c r="G1424">
        <v>0.33624282705144298</v>
      </c>
      <c r="H1424">
        <v>0.17331396762567899</v>
      </c>
      <c r="I1424">
        <v>0.142916945353387</v>
      </c>
      <c r="J1424">
        <v>0.10210930266595</v>
      </c>
      <c r="K1424">
        <v>6.7081250841866794E-2</v>
      </c>
      <c r="L1424">
        <v>1515.29197525175</v>
      </c>
      <c r="M1424">
        <v>27.835652911994501</v>
      </c>
      <c r="N1424">
        <v>54.916505158203897</v>
      </c>
      <c r="O1424">
        <v>54.1584506833482</v>
      </c>
      <c r="P1424">
        <v>-0.114632966045162</v>
      </c>
      <c r="Q1424">
        <v>0.10786501420995399</v>
      </c>
      <c r="R1424">
        <v>0.96952830880681695</v>
      </c>
      <c r="S1424" t="s">
        <v>7735</v>
      </c>
      <c r="T1424" t="s">
        <v>12620</v>
      </c>
      <c r="U1424" t="s">
        <v>12620</v>
      </c>
      <c r="V1424" t="s">
        <v>12620</v>
      </c>
      <c r="W1424" t="s">
        <v>14009</v>
      </c>
      <c r="X1424">
        <v>33</v>
      </c>
      <c r="Y1424" t="s">
        <v>20236</v>
      </c>
      <c r="Z1424" t="s">
        <v>26371</v>
      </c>
      <c r="AA1424">
        <v>0.54397700811054506</v>
      </c>
      <c r="AB1424" t="str">
        <f>HYPERLINK("Melting_Curves/meltCurve_O95782_2_AP2A1.pdf", "Melting_Curves/meltCurve_O95782_2_AP2A1.pdf")</f>
        <v>Melting_Curves/meltCurve_O95782_2_AP2A1.pdf</v>
      </c>
    </row>
    <row r="1425" spans="1:28" x14ac:dyDescent="0.25">
      <c r="A1425" t="s">
        <v>1429</v>
      </c>
      <c r="B1425">
        <v>0.99987803227770999</v>
      </c>
      <c r="C1425">
        <v>1.02131382005954</v>
      </c>
      <c r="D1425">
        <v>0.74266968062840899</v>
      </c>
      <c r="E1425">
        <v>0.34157321303018001</v>
      </c>
      <c r="F1425">
        <v>0.224368834781905</v>
      </c>
      <c r="G1425">
        <v>0.120559325855345</v>
      </c>
      <c r="H1425">
        <v>0.1202269356457</v>
      </c>
      <c r="I1425">
        <v>0.120119107952452</v>
      </c>
      <c r="J1425">
        <v>6.52160135058448E-2</v>
      </c>
      <c r="K1425">
        <v>4.5236319847723999E-2</v>
      </c>
      <c r="L1425">
        <v>1121.2819361658601</v>
      </c>
      <c r="M1425">
        <v>23.311980936328101</v>
      </c>
      <c r="N1425">
        <v>48.520380605889798</v>
      </c>
      <c r="O1425">
        <v>47.749210099573503</v>
      </c>
      <c r="P1425">
        <v>-0.11087029877422</v>
      </c>
      <c r="Q1425">
        <v>9.1647286656498406E-2</v>
      </c>
      <c r="R1425">
        <v>0.99141815772817199</v>
      </c>
      <c r="S1425" t="s">
        <v>7736</v>
      </c>
      <c r="T1425" t="s">
        <v>12620</v>
      </c>
      <c r="U1425" t="s">
        <v>12620</v>
      </c>
      <c r="V1425" t="s">
        <v>12620</v>
      </c>
      <c r="W1425" t="s">
        <v>14010</v>
      </c>
      <c r="X1425">
        <v>7</v>
      </c>
      <c r="Y1425" t="s">
        <v>20237</v>
      </c>
      <c r="Z1425" t="s">
        <v>26372</v>
      </c>
      <c r="AA1425">
        <v>0.3461804874930296</v>
      </c>
      <c r="AB1425" t="str">
        <f>HYPERLINK("Melting_Curves/meltCurve_O95786_2_DDX58.pdf", "Melting_Curves/meltCurve_O95786_2_DDX58.pdf")</f>
        <v>Melting_Curves/meltCurve_O95786_2_DDX58.pdf</v>
      </c>
    </row>
    <row r="1426" spans="1:28" x14ac:dyDescent="0.25">
      <c r="A1426" t="s">
        <v>1430</v>
      </c>
      <c r="B1426">
        <v>0.99987803227770999</v>
      </c>
      <c r="C1426">
        <v>1.1535918986488101</v>
      </c>
      <c r="D1426">
        <v>1.00450629390142</v>
      </c>
      <c r="E1426">
        <v>0.77408212584776404</v>
      </c>
      <c r="F1426">
        <v>0.29397051815147401</v>
      </c>
      <c r="G1426">
        <v>0.161635914287311</v>
      </c>
      <c r="H1426">
        <v>9.8827963736198093E-2</v>
      </c>
      <c r="I1426">
        <v>7.6942565191856702E-2</v>
      </c>
      <c r="J1426">
        <v>6.2140282706485098E-2</v>
      </c>
      <c r="K1426">
        <v>4.7177408489970797E-2</v>
      </c>
      <c r="L1426">
        <v>1956.5791737587399</v>
      </c>
      <c r="M1426">
        <v>38.0402987722644</v>
      </c>
      <c r="N1426">
        <v>51.678837838012903</v>
      </c>
      <c r="O1426">
        <v>51.292855786165703</v>
      </c>
      <c r="P1426">
        <v>-0.17014113270176601</v>
      </c>
      <c r="Q1426">
        <v>8.2341333743207304E-2</v>
      </c>
      <c r="R1426">
        <v>0.98447036047892</v>
      </c>
      <c r="S1426" t="s">
        <v>7737</v>
      </c>
      <c r="T1426" t="s">
        <v>12620</v>
      </c>
      <c r="U1426" t="s">
        <v>12620</v>
      </c>
      <c r="V1426" t="s">
        <v>12620</v>
      </c>
      <c r="W1426" t="s">
        <v>14011</v>
      </c>
      <c r="X1426">
        <v>16</v>
      </c>
      <c r="Y1426" t="s">
        <v>20238</v>
      </c>
      <c r="Z1426" t="s">
        <v>26373</v>
      </c>
      <c r="AA1426">
        <v>0.4357120743128628</v>
      </c>
      <c r="AB1426" t="str">
        <f>HYPERLINK("Melting_Curves/meltCurve_O95801_TTC4.pdf", "Melting_Curves/meltCurve_O95801_TTC4.pdf")</f>
        <v>Melting_Curves/meltCurve_O95801_TTC4.pdf</v>
      </c>
    </row>
    <row r="1427" spans="1:28" x14ac:dyDescent="0.25">
      <c r="A1427" t="s">
        <v>1431</v>
      </c>
      <c r="B1427">
        <v>0.99987803227770999</v>
      </c>
      <c r="C1427">
        <v>1.12872472092142</v>
      </c>
      <c r="D1427">
        <v>0.93103961480191799</v>
      </c>
      <c r="E1427">
        <v>1.0376544571622399</v>
      </c>
      <c r="F1427">
        <v>0.78538000314204304</v>
      </c>
      <c r="G1427">
        <v>0.85627244282170401</v>
      </c>
      <c r="H1427">
        <v>0.98804815986698902</v>
      </c>
      <c r="I1427">
        <v>1.0464769432319001</v>
      </c>
      <c r="J1427">
        <v>0.96567219363986601</v>
      </c>
      <c r="K1427">
        <v>0.84322136331756703</v>
      </c>
      <c r="L1427">
        <v>12833.902621425001</v>
      </c>
      <c r="M1427">
        <v>250</v>
      </c>
      <c r="O1427">
        <v>51.332325276736199</v>
      </c>
      <c r="P1427">
        <v>-0.10447946463457999</v>
      </c>
      <c r="Q1427">
        <v>0.91418921816911802</v>
      </c>
      <c r="R1427">
        <v>0.26711649603051801</v>
      </c>
      <c r="S1427" t="s">
        <v>7738</v>
      </c>
      <c r="T1427" t="s">
        <v>12620</v>
      </c>
      <c r="U1427" t="s">
        <v>12620</v>
      </c>
      <c r="V1427" t="s">
        <v>12620</v>
      </c>
      <c r="W1427" t="s">
        <v>14012</v>
      </c>
      <c r="X1427">
        <v>9</v>
      </c>
      <c r="Y1427" t="s">
        <v>20239</v>
      </c>
      <c r="Z1427" t="s">
        <v>26374</v>
      </c>
      <c r="AA1427">
        <v>0.94662086908048115</v>
      </c>
      <c r="AB1427" t="str">
        <f>HYPERLINK("Melting_Curves/meltCurve_O95810_SDPR.pdf", "Melting_Curves/meltCurve_O95810_SDPR.pdf")</f>
        <v>Melting_Curves/meltCurve_O95810_SDPR.pdf</v>
      </c>
    </row>
    <row r="1428" spans="1:28" x14ac:dyDescent="0.25">
      <c r="A1428" t="s">
        <v>1432</v>
      </c>
      <c r="B1428">
        <v>0.99987803227770999</v>
      </c>
      <c r="C1428">
        <v>0.917372532061698</v>
      </c>
      <c r="D1428">
        <v>1.1979157015999999</v>
      </c>
      <c r="E1428">
        <v>0.52354150255957099</v>
      </c>
      <c r="F1428">
        <v>2.1730710994048001</v>
      </c>
      <c r="G1428">
        <v>1.3216495320400901</v>
      </c>
      <c r="H1428">
        <v>0.808107910924177</v>
      </c>
      <c r="I1428">
        <v>0.56723318154246705</v>
      </c>
      <c r="J1428">
        <v>0.46132411548623298</v>
      </c>
      <c r="K1428">
        <v>0.35059012864109201</v>
      </c>
      <c r="L1428">
        <v>2919.7486777706899</v>
      </c>
      <c r="M1428">
        <v>46.693578183837097</v>
      </c>
      <c r="N1428">
        <v>64.672475783742797</v>
      </c>
      <c r="O1428">
        <v>62.415613881280599</v>
      </c>
      <c r="P1428">
        <v>-0.113423604775853</v>
      </c>
      <c r="Q1428">
        <v>0.39354434952339101</v>
      </c>
      <c r="R1428">
        <v>0.33252010708945001</v>
      </c>
      <c r="S1428" t="s">
        <v>7739</v>
      </c>
      <c r="T1428" t="s">
        <v>12620</v>
      </c>
      <c r="U1428" t="s">
        <v>12620</v>
      </c>
      <c r="V1428" t="s">
        <v>12620</v>
      </c>
      <c r="W1428" t="s">
        <v>14013</v>
      </c>
      <c r="X1428">
        <v>11</v>
      </c>
      <c r="Y1428" t="s">
        <v>20240</v>
      </c>
      <c r="Z1428" t="s">
        <v>26375</v>
      </c>
      <c r="AA1428">
        <v>0.85066806400684081</v>
      </c>
      <c r="AB1428" t="str">
        <f>HYPERLINK("Melting_Curves/meltCurve_O95816_BAG2.pdf", "Melting_Curves/meltCurve_O95816_BAG2.pdf")</f>
        <v>Melting_Curves/meltCurve_O95816_BAG2.pdf</v>
      </c>
    </row>
    <row r="1429" spans="1:28" x14ac:dyDescent="0.25">
      <c r="A1429" t="s">
        <v>1433</v>
      </c>
      <c r="B1429">
        <v>0.99987803227770999</v>
      </c>
      <c r="C1429">
        <v>0.91833301302223502</v>
      </c>
      <c r="D1429">
        <v>1.00337658540593</v>
      </c>
      <c r="E1429">
        <v>0.93833983943469002</v>
      </c>
      <c r="F1429">
        <v>0.96462837015770997</v>
      </c>
      <c r="G1429">
        <v>0.92869189329595703</v>
      </c>
      <c r="H1429">
        <v>1.00155129168923</v>
      </c>
      <c r="I1429">
        <v>0.98889849629286497</v>
      </c>
      <c r="J1429">
        <v>0.96964499741218402</v>
      </c>
      <c r="K1429">
        <v>0.83528262396832498</v>
      </c>
      <c r="L1429">
        <v>173.08005391704</v>
      </c>
      <c r="M1429">
        <v>1.0000000000000001E-5</v>
      </c>
      <c r="Q1429">
        <v>0</v>
      </c>
      <c r="R1429">
        <v>0.12076080085687101</v>
      </c>
      <c r="S1429" t="s">
        <v>7740</v>
      </c>
      <c r="T1429" t="s">
        <v>12620</v>
      </c>
      <c r="U1429" t="s">
        <v>12620</v>
      </c>
      <c r="V1429" t="s">
        <v>12620</v>
      </c>
      <c r="W1429" t="s">
        <v>14014</v>
      </c>
      <c r="X1429">
        <v>30</v>
      </c>
      <c r="Y1429" t="s">
        <v>19087</v>
      </c>
      <c r="Z1429" t="s">
        <v>26376</v>
      </c>
      <c r="AA1429">
        <v>0.95739665846327326</v>
      </c>
      <c r="AB1429" t="str">
        <f>HYPERLINK("Melting_Curves/meltCurve_O95817_BAG3.pdf", "Melting_Curves/meltCurve_O95817_BAG3.pdf")</f>
        <v>Melting_Curves/meltCurve_O95817_BAG3.pdf</v>
      </c>
    </row>
    <row r="1430" spans="1:28" x14ac:dyDescent="0.25">
      <c r="A1430" t="s">
        <v>1434</v>
      </c>
      <c r="B1430">
        <v>0.99987803227770999</v>
      </c>
      <c r="C1430">
        <v>1.11662969368694</v>
      </c>
      <c r="D1430">
        <v>1.0633625141310401</v>
      </c>
      <c r="E1430">
        <v>1.35351998575719</v>
      </c>
      <c r="F1430">
        <v>1.3697555345277399</v>
      </c>
      <c r="G1430">
        <v>1.3820021613325699</v>
      </c>
      <c r="H1430">
        <v>1.26707953999371</v>
      </c>
      <c r="I1430">
        <v>0.22954415043849899</v>
      </c>
      <c r="J1430">
        <v>9.4036673235128501E-2</v>
      </c>
      <c r="K1430">
        <v>6.2778875419344696E-2</v>
      </c>
      <c r="L1430">
        <v>15000</v>
      </c>
      <c r="M1430">
        <v>236.002776612172</v>
      </c>
      <c r="N1430">
        <v>63.604527523006297</v>
      </c>
      <c r="O1430">
        <v>63.554010328317602</v>
      </c>
      <c r="P1430">
        <v>-0.85559923741019706</v>
      </c>
      <c r="Q1430">
        <v>7.8370799380329301E-2</v>
      </c>
      <c r="R1430">
        <v>0.81429017020437799</v>
      </c>
      <c r="S1430" t="s">
        <v>7741</v>
      </c>
      <c r="T1430" t="s">
        <v>12620</v>
      </c>
      <c r="U1430" t="s">
        <v>12620</v>
      </c>
      <c r="V1430" t="s">
        <v>12620</v>
      </c>
      <c r="W1430" t="s">
        <v>14015</v>
      </c>
      <c r="X1430">
        <v>11</v>
      </c>
      <c r="Y1430" t="s">
        <v>20241</v>
      </c>
      <c r="Z1430" t="s">
        <v>26377</v>
      </c>
      <c r="AA1430">
        <v>0.80222849267578089</v>
      </c>
      <c r="AB1430" t="str">
        <f>HYPERLINK("Melting_Curves/meltCurve_O95825_CRYZL1.pdf", "Melting_Curves/meltCurve_O95825_CRYZL1.pdf")</f>
        <v>Melting_Curves/meltCurve_O95825_CRYZL1.pdf</v>
      </c>
    </row>
    <row r="1431" spans="1:28" x14ac:dyDescent="0.25">
      <c r="A1431" t="s">
        <v>1435</v>
      </c>
      <c r="B1431">
        <v>0.99987803227770999</v>
      </c>
      <c r="C1431">
        <v>0.91720180635147897</v>
      </c>
      <c r="D1431">
        <v>0.93831578205083199</v>
      </c>
      <c r="E1431">
        <v>0.91951551465598302</v>
      </c>
      <c r="F1431">
        <v>0.88070588575282405</v>
      </c>
      <c r="G1431">
        <v>0.63544717161643804</v>
      </c>
      <c r="H1431">
        <v>0.33756224045024502</v>
      </c>
      <c r="I1431">
        <v>0.223824654795582</v>
      </c>
      <c r="J1431">
        <v>0.141340823254791</v>
      </c>
      <c r="K1431">
        <v>9.8369833037071294E-2</v>
      </c>
      <c r="L1431">
        <v>992.93669198471503</v>
      </c>
      <c r="M1431">
        <v>16.982447735077901</v>
      </c>
      <c r="N1431">
        <v>58.759053776421901</v>
      </c>
      <c r="O1431">
        <v>57.675743325941099</v>
      </c>
      <c r="P1431">
        <v>-7.0650678935169797E-2</v>
      </c>
      <c r="Q1431">
        <v>4.0284968613137399E-2</v>
      </c>
      <c r="R1431">
        <v>0.99089335710301596</v>
      </c>
      <c r="S1431" t="s">
        <v>7742</v>
      </c>
      <c r="T1431" t="s">
        <v>12620</v>
      </c>
      <c r="U1431" t="s">
        <v>12620</v>
      </c>
      <c r="V1431" t="s">
        <v>12620</v>
      </c>
      <c r="W1431" t="s">
        <v>14016</v>
      </c>
      <c r="X1431">
        <v>6</v>
      </c>
      <c r="Y1431" t="s">
        <v>20242</v>
      </c>
      <c r="Z1431" t="s">
        <v>26378</v>
      </c>
      <c r="AA1431">
        <v>0.64252195384899125</v>
      </c>
      <c r="AB1431" t="str">
        <f>HYPERLINK("Melting_Curves/meltCurve_O95831_3_AIFM1.pdf", "Melting_Curves/meltCurve_O95831_3_AIFM1.pdf")</f>
        <v>Melting_Curves/meltCurve_O95831_3_AIFM1.pdf</v>
      </c>
    </row>
    <row r="1432" spans="1:28" x14ac:dyDescent="0.25">
      <c r="A1432" t="s">
        <v>1436</v>
      </c>
      <c r="B1432">
        <v>0.99987803227770999</v>
      </c>
      <c r="C1432">
        <v>0.78167295429216099</v>
      </c>
      <c r="D1432">
        <v>0.92880598512665102</v>
      </c>
      <c r="E1432">
        <v>0.68658315324267005</v>
      </c>
      <c r="F1432">
        <v>0.46368588730997301</v>
      </c>
      <c r="G1432">
        <v>0.22043222920330899</v>
      </c>
      <c r="H1432">
        <v>0.227580938236806</v>
      </c>
      <c r="I1432">
        <v>0.34041682959195302</v>
      </c>
      <c r="J1432">
        <v>9.7855104754126704E-2</v>
      </c>
      <c r="K1432">
        <v>7.9676906395569097E-2</v>
      </c>
      <c r="L1432">
        <v>664.49376963756299</v>
      </c>
      <c r="M1432">
        <v>12.8618039436465</v>
      </c>
      <c r="N1432">
        <v>52.632147260447297</v>
      </c>
      <c r="O1432">
        <v>50.462998125277601</v>
      </c>
      <c r="P1432">
        <v>-5.7017962425762403E-2</v>
      </c>
      <c r="Q1432">
        <v>0.105330002023695</v>
      </c>
      <c r="R1432">
        <v>0.92878327509592695</v>
      </c>
      <c r="S1432" t="s">
        <v>7743</v>
      </c>
      <c r="T1432" t="s">
        <v>12620</v>
      </c>
      <c r="U1432" t="s">
        <v>12620</v>
      </c>
      <c r="V1432" t="s">
        <v>12620</v>
      </c>
      <c r="W1432" t="s">
        <v>14017</v>
      </c>
      <c r="X1432">
        <v>4</v>
      </c>
      <c r="Y1432" t="s">
        <v>20243</v>
      </c>
      <c r="Z1432" t="s">
        <v>26379</v>
      </c>
      <c r="AA1432">
        <v>0.47863077425605011</v>
      </c>
      <c r="AB1432" t="str">
        <f>HYPERLINK("Melting_Curves/meltCurve_O95833_CLIC3.pdf", "Melting_Curves/meltCurve_O95833_CLIC3.pdf")</f>
        <v>Melting_Curves/meltCurve_O95833_CLIC3.pdf</v>
      </c>
    </row>
    <row r="1433" spans="1:28" x14ac:dyDescent="0.25">
      <c r="A1433" t="s">
        <v>1437</v>
      </c>
      <c r="B1433">
        <v>0.99987803227770999</v>
      </c>
      <c r="C1433">
        <v>0.97915012403205703</v>
      </c>
      <c r="D1433">
        <v>1.0207307300230899</v>
      </c>
      <c r="E1433">
        <v>1.00443102311472</v>
      </c>
      <c r="F1433">
        <v>0.85357230588904998</v>
      </c>
      <c r="G1433">
        <v>0.297927054462503</v>
      </c>
      <c r="H1433">
        <v>0.19760304864581499</v>
      </c>
      <c r="I1433">
        <v>0.16200633889084701</v>
      </c>
      <c r="J1433">
        <v>0.12872742332958501</v>
      </c>
      <c r="K1433">
        <v>9.6286185970468396E-2</v>
      </c>
      <c r="L1433">
        <v>2271.4862696058699</v>
      </c>
      <c r="M1433">
        <v>41.283541358752998</v>
      </c>
      <c r="N1433">
        <v>55.462924850956497</v>
      </c>
      <c r="O1433">
        <v>54.892963931697601</v>
      </c>
      <c r="P1433">
        <v>-0.16169623076880499</v>
      </c>
      <c r="Q1433">
        <v>0.13999925139587599</v>
      </c>
      <c r="R1433">
        <v>0.99659506876252002</v>
      </c>
      <c r="S1433" t="s">
        <v>7744</v>
      </c>
      <c r="T1433" t="s">
        <v>12620</v>
      </c>
      <c r="U1433" t="s">
        <v>12620</v>
      </c>
      <c r="V1433" t="s">
        <v>12620</v>
      </c>
      <c r="W1433" t="s">
        <v>14018</v>
      </c>
      <c r="X1433">
        <v>9</v>
      </c>
      <c r="Y1433" t="s">
        <v>20244</v>
      </c>
      <c r="Z1433" t="s">
        <v>26380</v>
      </c>
      <c r="AA1433">
        <v>0.5736788322390034</v>
      </c>
      <c r="AB1433" t="str">
        <f>HYPERLINK("Melting_Curves/meltCurve_O95834_2_EML2.pdf", "Melting_Curves/meltCurve_O95834_2_EML2.pdf")</f>
        <v>Melting_Curves/meltCurve_O95834_2_EML2.pdf</v>
      </c>
    </row>
    <row r="1434" spans="1:28" x14ac:dyDescent="0.25">
      <c r="A1434" t="s">
        <v>1438</v>
      </c>
      <c r="B1434">
        <v>0.99987803227770999</v>
      </c>
      <c r="C1434">
        <v>0.77555441437806605</v>
      </c>
      <c r="D1434">
        <v>1.0313619232457201</v>
      </c>
      <c r="E1434">
        <v>0.71830775409537395</v>
      </c>
      <c r="F1434">
        <v>0.95642184414429399</v>
      </c>
      <c r="G1434">
        <v>0.848559590762339</v>
      </c>
      <c r="H1434">
        <v>0.81170439090206004</v>
      </c>
      <c r="I1434">
        <v>0.85484207180452598</v>
      </c>
      <c r="J1434">
        <v>0.67543738841678003</v>
      </c>
      <c r="K1434">
        <v>0.62388268490944099</v>
      </c>
      <c r="L1434">
        <v>214.21493776901099</v>
      </c>
      <c r="M1434">
        <v>2.2388374625480099</v>
      </c>
      <c r="O1434">
        <v>60.757030789111397</v>
      </c>
      <c r="P1434">
        <v>-9.8394286803461708E-3</v>
      </c>
      <c r="Q1434">
        <v>0</v>
      </c>
      <c r="R1434">
        <v>0.41362651555353103</v>
      </c>
      <c r="S1434" t="s">
        <v>7745</v>
      </c>
      <c r="T1434" t="s">
        <v>12620</v>
      </c>
      <c r="U1434" t="s">
        <v>12620</v>
      </c>
      <c r="V1434" t="s">
        <v>12620</v>
      </c>
      <c r="W1434" t="s">
        <v>14019</v>
      </c>
      <c r="X1434">
        <v>5</v>
      </c>
      <c r="Y1434" t="s">
        <v>20245</v>
      </c>
      <c r="Z1434" t="s">
        <v>26381</v>
      </c>
      <c r="AA1434">
        <v>0.83526936059813062</v>
      </c>
      <c r="AB1434" t="str">
        <f>HYPERLINK("Melting_Curves/meltCurve_O95835_LATS1.pdf", "Melting_Curves/meltCurve_O95835_LATS1.pdf")</f>
        <v>Melting_Curves/meltCurve_O95835_LATS1.pdf</v>
      </c>
    </row>
    <row r="1435" spans="1:28" x14ac:dyDescent="0.25">
      <c r="A1435" t="s">
        <v>1439</v>
      </c>
      <c r="B1435">
        <v>0.99987803227770999</v>
      </c>
      <c r="C1435">
        <v>1.0528444802163199</v>
      </c>
      <c r="D1435">
        <v>1.04266589961998</v>
      </c>
      <c r="E1435">
        <v>1.15110544495668</v>
      </c>
      <c r="F1435">
        <v>1.04478162210822</v>
      </c>
      <c r="G1435">
        <v>0.84131226450542196</v>
      </c>
      <c r="H1435">
        <v>0.14712020020691299</v>
      </c>
      <c r="I1435">
        <v>9.3892809967443105E-2</v>
      </c>
      <c r="J1435">
        <v>6.42227706851623E-2</v>
      </c>
      <c r="K1435">
        <v>4.6863216765852998E-2</v>
      </c>
      <c r="L1435">
        <v>3408.72489214187</v>
      </c>
      <c r="M1435">
        <v>58.207114380145597</v>
      </c>
      <c r="N1435">
        <v>58.703367484316402</v>
      </c>
      <c r="O1435">
        <v>58.492999114980499</v>
      </c>
      <c r="P1435">
        <v>-0.23250932812300301</v>
      </c>
      <c r="Q1435">
        <v>6.5395312490258303E-2</v>
      </c>
      <c r="R1435">
        <v>0.98583006110512705</v>
      </c>
      <c r="S1435" t="s">
        <v>7746</v>
      </c>
      <c r="T1435" t="s">
        <v>12620</v>
      </c>
      <c r="U1435" t="s">
        <v>12620</v>
      </c>
      <c r="V1435" t="s">
        <v>12620</v>
      </c>
      <c r="W1435" t="s">
        <v>14020</v>
      </c>
      <c r="X1435">
        <v>3</v>
      </c>
      <c r="Y1435" t="s">
        <v>20246</v>
      </c>
      <c r="Z1435" t="s">
        <v>26382</v>
      </c>
      <c r="AA1435">
        <v>0.64544167488445892</v>
      </c>
      <c r="AB1435" t="str">
        <f>HYPERLINK("Melting_Curves/meltCurve_O95848_NUDT14.pdf", "Melting_Curves/meltCurve_O95848_NUDT14.pdf")</f>
        <v>Melting_Curves/meltCurve_O95848_NUDT14.pdf</v>
      </c>
    </row>
    <row r="1436" spans="1:28" x14ac:dyDescent="0.25">
      <c r="A1436" t="s">
        <v>1440</v>
      </c>
      <c r="B1436">
        <v>0.99987803227770999</v>
      </c>
      <c r="C1436">
        <v>0.74210551210360998</v>
      </c>
      <c r="D1436">
        <v>0.95729141894942305</v>
      </c>
      <c r="E1436">
        <v>0.854786238560864</v>
      </c>
      <c r="F1436">
        <v>0.78346631366210195</v>
      </c>
      <c r="G1436">
        <v>0.23206575455477699</v>
      </c>
      <c r="H1436">
        <v>0.137570296006397</v>
      </c>
      <c r="I1436">
        <v>0.11752370222224399</v>
      </c>
      <c r="J1436">
        <v>7.7078891643804201E-2</v>
      </c>
      <c r="K1436">
        <v>5.3954324600748102E-2</v>
      </c>
      <c r="L1436">
        <v>1641.81867065648</v>
      </c>
      <c r="M1436">
        <v>30.102492053874698</v>
      </c>
      <c r="N1436">
        <v>54.847455671580001</v>
      </c>
      <c r="O1436">
        <v>54.301955575596601</v>
      </c>
      <c r="P1436">
        <v>-0.12786029673722299</v>
      </c>
      <c r="Q1436">
        <v>7.7415986854976096E-2</v>
      </c>
      <c r="R1436">
        <v>0.94297103647604896</v>
      </c>
      <c r="S1436" t="s">
        <v>7747</v>
      </c>
      <c r="T1436" t="s">
        <v>12620</v>
      </c>
      <c r="U1436" t="s">
        <v>12620</v>
      </c>
      <c r="V1436" t="s">
        <v>12620</v>
      </c>
      <c r="W1436" t="s">
        <v>14021</v>
      </c>
      <c r="X1436">
        <v>14</v>
      </c>
      <c r="Y1436" t="s">
        <v>20247</v>
      </c>
      <c r="Z1436" t="s">
        <v>26383</v>
      </c>
      <c r="AA1436">
        <v>0.53064669019455013</v>
      </c>
      <c r="AB1436" t="str">
        <f>HYPERLINK("Melting_Curves/meltCurve_O95861_BPNT1.pdf", "Melting_Curves/meltCurve_O95861_BPNT1.pdf")</f>
        <v>Melting_Curves/meltCurve_O95861_BPNT1.pdf</v>
      </c>
    </row>
    <row r="1437" spans="1:28" x14ac:dyDescent="0.25">
      <c r="A1437" t="s">
        <v>1441</v>
      </c>
      <c r="B1437">
        <v>0.99987803227770999</v>
      </c>
      <c r="C1437">
        <v>0.81565590128312204</v>
      </c>
      <c r="D1437">
        <v>1.0040752109064399</v>
      </c>
      <c r="E1437">
        <v>0.89073228628499102</v>
      </c>
      <c r="F1437">
        <v>1.10150054155594</v>
      </c>
      <c r="G1437">
        <v>0.73728111871464996</v>
      </c>
      <c r="H1437">
        <v>0.21126688306307201</v>
      </c>
      <c r="I1437">
        <v>0.121300627879679</v>
      </c>
      <c r="J1437">
        <v>8.0921125127765905E-2</v>
      </c>
      <c r="K1437">
        <v>6.80638920114289E-2</v>
      </c>
      <c r="L1437">
        <v>2514.1130850186501</v>
      </c>
      <c r="M1437">
        <v>43.121668792720101</v>
      </c>
      <c r="N1437">
        <v>58.552431195499999</v>
      </c>
      <c r="O1437">
        <v>58.177817000252801</v>
      </c>
      <c r="P1437">
        <v>-0.16974105310562601</v>
      </c>
      <c r="Q1437">
        <v>8.3973549104360001E-2</v>
      </c>
      <c r="R1437">
        <v>0.96403728919351594</v>
      </c>
      <c r="S1437" t="s">
        <v>7748</v>
      </c>
      <c r="T1437" t="s">
        <v>12620</v>
      </c>
      <c r="U1437" t="s">
        <v>12620</v>
      </c>
      <c r="V1437" t="s">
        <v>12620</v>
      </c>
      <c r="W1437" t="s">
        <v>14022</v>
      </c>
      <c r="X1437">
        <v>12</v>
      </c>
      <c r="Y1437" t="s">
        <v>20248</v>
      </c>
      <c r="Z1437" t="s">
        <v>26384</v>
      </c>
      <c r="AA1437">
        <v>0.64596112803039729</v>
      </c>
      <c r="AB1437" t="str">
        <f>HYPERLINK("Melting_Curves/meltCurve_O95865_DDAH2.pdf", "Melting_Curves/meltCurve_O95865_DDAH2.pdf")</f>
        <v>Melting_Curves/meltCurve_O95865_DDAH2.pdf</v>
      </c>
    </row>
    <row r="1438" spans="1:28" x14ac:dyDescent="0.25">
      <c r="A1438" t="s">
        <v>1442</v>
      </c>
      <c r="B1438">
        <v>0.99987803227770999</v>
      </c>
      <c r="C1438">
        <v>0.865195527547028</v>
      </c>
      <c r="D1438">
        <v>0.99107701983080099</v>
      </c>
      <c r="E1438">
        <v>0.84885184154801396</v>
      </c>
      <c r="F1438">
        <v>0.96945428331362404</v>
      </c>
      <c r="G1438">
        <v>0.69887993807221205</v>
      </c>
      <c r="H1438">
        <v>0.49878568402801898</v>
      </c>
      <c r="I1438">
        <v>0.44721054765615997</v>
      </c>
      <c r="J1438">
        <v>0.42314684557773702</v>
      </c>
      <c r="K1438">
        <v>0.364170991086258</v>
      </c>
      <c r="L1438">
        <v>1039.9070549947801</v>
      </c>
      <c r="M1438">
        <v>18.055464449652298</v>
      </c>
      <c r="N1438">
        <v>61.733623947302398</v>
      </c>
      <c r="O1438">
        <v>56.902573240878198</v>
      </c>
      <c r="P1438">
        <v>-5.1488357274691997E-2</v>
      </c>
      <c r="Q1438">
        <v>0.35096054322695203</v>
      </c>
      <c r="R1438">
        <v>0.93469880950439399</v>
      </c>
      <c r="S1438" t="s">
        <v>7749</v>
      </c>
      <c r="T1438" t="s">
        <v>12620</v>
      </c>
      <c r="U1438" t="s">
        <v>12620</v>
      </c>
      <c r="V1438" t="s">
        <v>12620</v>
      </c>
      <c r="W1438" t="s">
        <v>14023</v>
      </c>
      <c r="X1438">
        <v>9</v>
      </c>
      <c r="Y1438" t="s">
        <v>20249</v>
      </c>
      <c r="Z1438" t="s">
        <v>26385</v>
      </c>
      <c r="AA1438">
        <v>0.74001784855388897</v>
      </c>
      <c r="AB1438" t="str">
        <f>HYPERLINK("Melting_Curves/meltCurve_O95881_TXNDC12.pdf", "Melting_Curves/meltCurve_O95881_TXNDC12.pdf")</f>
        <v>Melting_Curves/meltCurve_O95881_TXNDC12.pdf</v>
      </c>
    </row>
    <row r="1439" spans="1:28" x14ac:dyDescent="0.25">
      <c r="A1439" t="s">
        <v>1443</v>
      </c>
      <c r="B1439">
        <v>0.99987803227770999</v>
      </c>
      <c r="C1439">
        <v>1.0243776306350101</v>
      </c>
      <c r="D1439">
        <v>0.93646319278293899</v>
      </c>
      <c r="E1439">
        <v>0.79988915286560502</v>
      </c>
      <c r="F1439">
        <v>0.31052047675510702</v>
      </c>
      <c r="G1439">
        <v>0.17822792941570101</v>
      </c>
      <c r="H1439">
        <v>9.9190229124658899E-2</v>
      </c>
      <c r="I1439">
        <v>8.8203025777803701E-2</v>
      </c>
      <c r="J1439">
        <v>7.2925716824566097E-2</v>
      </c>
      <c r="K1439">
        <v>4.8841336940006502E-2</v>
      </c>
      <c r="L1439">
        <v>1884.4904210323</v>
      </c>
      <c r="M1439">
        <v>36.544929689342702</v>
      </c>
      <c r="N1439">
        <v>51.841178836582003</v>
      </c>
      <c r="O1439">
        <v>51.412723126132299</v>
      </c>
      <c r="P1439">
        <v>-0.16205757971314</v>
      </c>
      <c r="Q1439">
        <v>8.80489908166395E-2</v>
      </c>
      <c r="R1439">
        <v>0.99376536879432797</v>
      </c>
      <c r="S1439" t="s">
        <v>7750</v>
      </c>
      <c r="T1439" t="s">
        <v>12620</v>
      </c>
      <c r="U1439" t="s">
        <v>12620</v>
      </c>
      <c r="V1439" t="s">
        <v>12620</v>
      </c>
      <c r="W1439" t="s">
        <v>14024</v>
      </c>
      <c r="X1439">
        <v>5</v>
      </c>
      <c r="Y1439" t="s">
        <v>20250</v>
      </c>
      <c r="Z1439" t="s">
        <v>26386</v>
      </c>
      <c r="AA1439">
        <v>0.44354589338876799</v>
      </c>
      <c r="AB1439" t="str">
        <f>HYPERLINK("Melting_Curves/meltCurve_O95905_ECD.pdf", "Melting_Curves/meltCurve_O95905_ECD.pdf")</f>
        <v>Melting_Curves/meltCurve_O95905_ECD.pdf</v>
      </c>
    </row>
    <row r="1440" spans="1:28" x14ac:dyDescent="0.25">
      <c r="A1440" t="s">
        <v>1444</v>
      </c>
      <c r="B1440">
        <v>0.99987803227770999</v>
      </c>
      <c r="C1440">
        <v>0.79306149910705404</v>
      </c>
      <c r="D1440">
        <v>1.02829986986763</v>
      </c>
      <c r="E1440">
        <v>0.78530641369146104</v>
      </c>
      <c r="F1440">
        <v>1.0063232176122601</v>
      </c>
      <c r="G1440">
        <v>0.87488170973741897</v>
      </c>
      <c r="H1440">
        <v>0.79479110419043097</v>
      </c>
      <c r="I1440">
        <v>0.78125185360368299</v>
      </c>
      <c r="J1440">
        <v>0.77654433046166704</v>
      </c>
      <c r="K1440">
        <v>0.69641236369974202</v>
      </c>
      <c r="L1440">
        <v>218.94369123038399</v>
      </c>
      <c r="M1440">
        <v>2.1299133374847998</v>
      </c>
      <c r="O1440">
        <v>63.413528641051897</v>
      </c>
      <c r="P1440">
        <v>-9.0441976065032108E-3</v>
      </c>
      <c r="Q1440">
        <v>0</v>
      </c>
      <c r="R1440">
        <v>0.44957442025178301</v>
      </c>
      <c r="S1440" t="s">
        <v>7751</v>
      </c>
      <c r="T1440" t="s">
        <v>12620</v>
      </c>
      <c r="U1440" t="s">
        <v>12620</v>
      </c>
      <c r="V1440" t="s">
        <v>12620</v>
      </c>
      <c r="W1440" t="s">
        <v>14025</v>
      </c>
      <c r="X1440">
        <v>2</v>
      </c>
      <c r="Y1440" t="s">
        <v>20251</v>
      </c>
      <c r="Z1440" t="s">
        <v>26387</v>
      </c>
      <c r="AA1440">
        <v>0.85894030649805975</v>
      </c>
      <c r="AB1440" t="str">
        <f>HYPERLINK("Melting_Curves/meltCurve_O95926_SYF2.pdf", "Melting_Curves/meltCurve_O95926_SYF2.pdf")</f>
        <v>Melting_Curves/meltCurve_O95926_SYF2.pdf</v>
      </c>
    </row>
    <row r="1441" spans="1:28" x14ac:dyDescent="0.25">
      <c r="A1441" t="s">
        <v>1445</v>
      </c>
      <c r="B1441">
        <v>0.99987803227770999</v>
      </c>
      <c r="C1441">
        <v>1.21883951127271</v>
      </c>
      <c r="D1441">
        <v>1.0121262084079301</v>
      </c>
      <c r="E1441">
        <v>1.1994934701895801</v>
      </c>
      <c r="F1441">
        <v>1.1562751911472999</v>
      </c>
      <c r="G1441">
        <v>0.85618609190352302</v>
      </c>
      <c r="H1441">
        <v>0.25980703241129499</v>
      </c>
      <c r="I1441">
        <v>0.327873603491739</v>
      </c>
      <c r="J1441">
        <v>0.14751540442976799</v>
      </c>
      <c r="K1441">
        <v>0.103320151798678</v>
      </c>
      <c r="L1441">
        <v>3133.6003854825699</v>
      </c>
      <c r="M1441">
        <v>53.418098998925899</v>
      </c>
      <c r="N1441">
        <v>59.169520233086502</v>
      </c>
      <c r="O1441">
        <v>58.579732541075501</v>
      </c>
      <c r="P1441">
        <v>-0.186059394424686</v>
      </c>
      <c r="Q1441">
        <v>0.18384946599928301</v>
      </c>
      <c r="R1441">
        <v>0.92751224681595201</v>
      </c>
      <c r="S1441" t="s">
        <v>7752</v>
      </c>
      <c r="T1441" t="s">
        <v>12620</v>
      </c>
      <c r="U1441" t="s">
        <v>12620</v>
      </c>
      <c r="V1441" t="s">
        <v>12620</v>
      </c>
      <c r="W1441" t="s">
        <v>14026</v>
      </c>
      <c r="X1441">
        <v>1</v>
      </c>
      <c r="Y1441" t="s">
        <v>20252</v>
      </c>
      <c r="Z1441" t="s">
        <v>26388</v>
      </c>
      <c r="AA1441">
        <v>0.69338449658597867</v>
      </c>
      <c r="AB1441" t="str">
        <f>HYPERLINK("Melting_Curves/meltCurve_O95985_TOP3B.pdf", "Melting_Curves/meltCurve_O95985_TOP3B.pdf")</f>
        <v>Melting_Curves/meltCurve_O95985_TOP3B.pdf</v>
      </c>
    </row>
    <row r="1442" spans="1:28" x14ac:dyDescent="0.25">
      <c r="A1442" t="s">
        <v>1446</v>
      </c>
      <c r="B1442">
        <v>0.99987803227770999</v>
      </c>
      <c r="C1442">
        <v>0.87539976069633496</v>
      </c>
      <c r="D1442">
        <v>0.99160050290228596</v>
      </c>
      <c r="E1442">
        <v>0.82045133052741603</v>
      </c>
      <c r="F1442">
        <v>0.91557026515116202</v>
      </c>
      <c r="G1442">
        <v>0.55794244139448501</v>
      </c>
      <c r="H1442">
        <v>0.245604730424242</v>
      </c>
      <c r="I1442">
        <v>0.118267936175281</v>
      </c>
      <c r="J1442">
        <v>5.7092763599263602E-2</v>
      </c>
      <c r="K1442">
        <v>4.2411787903547903E-2</v>
      </c>
      <c r="L1442">
        <v>1122.1518115472099</v>
      </c>
      <c r="M1442">
        <v>19.460076705379901</v>
      </c>
      <c r="N1442">
        <v>57.664307826405498</v>
      </c>
      <c r="O1442">
        <v>57.0657309990264</v>
      </c>
      <c r="P1442">
        <v>-8.5255995153479106E-2</v>
      </c>
      <c r="Q1442">
        <v>0</v>
      </c>
      <c r="R1442">
        <v>0.974802556765061</v>
      </c>
      <c r="S1442" t="s">
        <v>7753</v>
      </c>
      <c r="T1442" t="s">
        <v>12620</v>
      </c>
      <c r="U1442" t="s">
        <v>12620</v>
      </c>
      <c r="V1442" t="s">
        <v>12620</v>
      </c>
      <c r="W1442" t="s">
        <v>14027</v>
      </c>
      <c r="X1442">
        <v>8</v>
      </c>
      <c r="Y1442" t="s">
        <v>20253</v>
      </c>
      <c r="Z1442" t="s">
        <v>26389</v>
      </c>
      <c r="AA1442">
        <v>0.60080855754965401</v>
      </c>
      <c r="AB1442" t="str">
        <f>HYPERLINK("Melting_Curves/meltCurve_O95989_NUDT3.pdf", "Melting_Curves/meltCurve_O95989_NUDT3.pdf")</f>
        <v>Melting_Curves/meltCurve_O95989_NUDT3.pdf</v>
      </c>
    </row>
    <row r="1443" spans="1:28" x14ac:dyDescent="0.25">
      <c r="A1443" t="s">
        <v>1447</v>
      </c>
      <c r="B1443">
        <v>0.99987803227770999</v>
      </c>
      <c r="C1443">
        <v>0.70789456232270198</v>
      </c>
      <c r="D1443">
        <v>0.99454845898059896</v>
      </c>
      <c r="E1443">
        <v>0.76254602234079805</v>
      </c>
      <c r="F1443">
        <v>0.83673474453807795</v>
      </c>
      <c r="G1443">
        <v>0.36172815926674701</v>
      </c>
      <c r="H1443">
        <v>0.19916481105651901</v>
      </c>
      <c r="I1443">
        <v>0.160892370021369</v>
      </c>
      <c r="J1443">
        <v>0.114017585179725</v>
      </c>
      <c r="K1443">
        <v>8.7838775976196395E-2</v>
      </c>
      <c r="L1443">
        <v>895.21277412978498</v>
      </c>
      <c r="M1443">
        <v>16.1328045414927</v>
      </c>
      <c r="N1443">
        <v>55.832061205633202</v>
      </c>
      <c r="O1443">
        <v>54.658615078470902</v>
      </c>
      <c r="P1443">
        <v>-7.0324040943917504E-2</v>
      </c>
      <c r="Q1443">
        <v>4.70292137936828E-2</v>
      </c>
      <c r="R1443">
        <v>0.90792746158374105</v>
      </c>
      <c r="S1443" t="s">
        <v>7754</v>
      </c>
      <c r="T1443" t="s">
        <v>12620</v>
      </c>
      <c r="U1443" t="s">
        <v>12620</v>
      </c>
      <c r="V1443" t="s">
        <v>12620</v>
      </c>
      <c r="W1443" t="s">
        <v>14028</v>
      </c>
      <c r="X1443">
        <v>7</v>
      </c>
      <c r="Y1443" t="s">
        <v>20254</v>
      </c>
      <c r="Z1443" t="s">
        <v>26390</v>
      </c>
      <c r="AA1443">
        <v>0.55550775159064081</v>
      </c>
      <c r="AB1443" t="str">
        <f>HYPERLINK("Melting_Curves/meltCurve_O95994_AGR2.pdf", "Melting_Curves/meltCurve_O95994_AGR2.pdf")</f>
        <v>Melting_Curves/meltCurve_O95994_AGR2.pdf</v>
      </c>
    </row>
    <row r="1444" spans="1:28" x14ac:dyDescent="0.25">
      <c r="A1444" t="s">
        <v>1448</v>
      </c>
      <c r="B1444">
        <v>0.99987803227770999</v>
      </c>
      <c r="C1444">
        <v>0.898692538262995</v>
      </c>
      <c r="D1444">
        <v>1.1350025020612799</v>
      </c>
      <c r="E1444">
        <v>0.95641597244531995</v>
      </c>
      <c r="F1444">
        <v>1.1869695949065899</v>
      </c>
      <c r="G1444">
        <v>0.99501906435246201</v>
      </c>
      <c r="H1444">
        <v>0.93850481796266805</v>
      </c>
      <c r="I1444">
        <v>0.93319818456290504</v>
      </c>
      <c r="J1444">
        <v>0.83768795259425599</v>
      </c>
      <c r="K1444">
        <v>0.75429209091850302</v>
      </c>
      <c r="L1444">
        <v>1458.97330213451</v>
      </c>
      <c r="M1444">
        <v>21.5090988905968</v>
      </c>
      <c r="O1444">
        <v>67.252362455864997</v>
      </c>
      <c r="P1444">
        <v>-2.9683895481203201E-2</v>
      </c>
      <c r="Q1444">
        <v>0.62875924858905297</v>
      </c>
      <c r="R1444">
        <v>0.54569233859951505</v>
      </c>
      <c r="S1444" t="s">
        <v>7755</v>
      </c>
      <c r="T1444" t="s">
        <v>12620</v>
      </c>
      <c r="U1444" t="s">
        <v>12620</v>
      </c>
      <c r="V1444" t="s">
        <v>12620</v>
      </c>
      <c r="W1444" t="s">
        <v>14029</v>
      </c>
      <c r="X1444">
        <v>3</v>
      </c>
      <c r="Y1444" t="s">
        <v>20255</v>
      </c>
      <c r="Z1444" t="s">
        <v>26391</v>
      </c>
      <c r="AA1444">
        <v>0.95990798416133605</v>
      </c>
      <c r="AB1444" t="str">
        <f>HYPERLINK("Melting_Curves/meltCurve_O95997_PTTG1.pdf", "Melting_Curves/meltCurve_O95997_PTTG1.pdf")</f>
        <v>Melting_Curves/meltCurve_O95997_PTTG1.pdf</v>
      </c>
    </row>
    <row r="1445" spans="1:28" x14ac:dyDescent="0.25">
      <c r="A1445" t="s">
        <v>1449</v>
      </c>
      <c r="B1445">
        <v>0.99987803227770999</v>
      </c>
      <c r="C1445">
        <v>0.98593074332098496</v>
      </c>
      <c r="D1445">
        <v>1.0547556091566499</v>
      </c>
      <c r="E1445">
        <v>0.92648078234931697</v>
      </c>
      <c r="F1445">
        <v>1.0168408048134301</v>
      </c>
      <c r="G1445">
        <v>0.776208485702375</v>
      </c>
      <c r="H1445">
        <v>0.74873651538958896</v>
      </c>
      <c r="I1445">
        <v>0.73719924572847495</v>
      </c>
      <c r="J1445">
        <v>0.66489194162064902</v>
      </c>
      <c r="K1445">
        <v>0.56517095471650303</v>
      </c>
      <c r="L1445">
        <v>710.65166668561903</v>
      </c>
      <c r="M1445">
        <v>11.585531997354</v>
      </c>
      <c r="O1445">
        <v>59.597506501420199</v>
      </c>
      <c r="P1445">
        <v>-2.4115460422634401E-2</v>
      </c>
      <c r="Q1445">
        <v>0.50392456134545804</v>
      </c>
      <c r="R1445">
        <v>0.91028845871881203</v>
      </c>
      <c r="S1445" t="s">
        <v>7756</v>
      </c>
      <c r="T1445" t="s">
        <v>12620</v>
      </c>
      <c r="U1445" t="s">
        <v>12620</v>
      </c>
      <c r="V1445" t="s">
        <v>12620</v>
      </c>
      <c r="W1445" t="s">
        <v>14030</v>
      </c>
      <c r="X1445">
        <v>9</v>
      </c>
      <c r="Y1445" t="s">
        <v>20256</v>
      </c>
      <c r="Z1445" t="s">
        <v>26392</v>
      </c>
      <c r="AA1445">
        <v>0.85288603440228861</v>
      </c>
      <c r="AB1445" t="str">
        <f>HYPERLINK("Melting_Curves/meltCurve_O95999_BCL10.pdf", "Melting_Curves/meltCurve_O95999_BCL10.pdf")</f>
        <v>Melting_Curves/meltCurve_O95999_BCL10.pdf</v>
      </c>
    </row>
    <row r="1446" spans="1:28" x14ac:dyDescent="0.25">
      <c r="A1446" t="s">
        <v>1450</v>
      </c>
      <c r="B1446">
        <v>0.99987803227770999</v>
      </c>
      <c r="C1446">
        <v>0.98930747270030095</v>
      </c>
      <c r="D1446">
        <v>0.93578363003129506</v>
      </c>
      <c r="E1446">
        <v>0.85202744247906903</v>
      </c>
      <c r="F1446">
        <v>0.53933432360670797</v>
      </c>
      <c r="G1446">
        <v>0.248691169397708</v>
      </c>
      <c r="H1446">
        <v>0.13167307541474399</v>
      </c>
      <c r="I1446">
        <v>0.10369260018250701</v>
      </c>
      <c r="J1446">
        <v>0.101001527193674</v>
      </c>
      <c r="K1446">
        <v>7.6702627006594401E-2</v>
      </c>
      <c r="L1446">
        <v>1228.67410335509</v>
      </c>
      <c r="M1446">
        <v>23.1272212347973</v>
      </c>
      <c r="N1446">
        <v>53.560250254384599</v>
      </c>
      <c r="O1446">
        <v>52.7343257698587</v>
      </c>
      <c r="P1446">
        <v>-0.100283791067203</v>
      </c>
      <c r="Q1446">
        <v>8.53546760804859E-2</v>
      </c>
      <c r="R1446">
        <v>0.99812390348408297</v>
      </c>
      <c r="S1446" t="s">
        <v>7757</v>
      </c>
      <c r="T1446" t="s">
        <v>12620</v>
      </c>
      <c r="U1446" t="s">
        <v>12620</v>
      </c>
      <c r="V1446" t="s">
        <v>12620</v>
      </c>
      <c r="W1446" t="s">
        <v>14031</v>
      </c>
      <c r="X1446">
        <v>4</v>
      </c>
      <c r="Y1446" t="s">
        <v>20257</v>
      </c>
      <c r="Z1446" t="s">
        <v>26393</v>
      </c>
      <c r="AA1446">
        <v>0.4952965727796001</v>
      </c>
      <c r="AB1446" t="str">
        <f>HYPERLINK("Melting_Curves/meltCurve_O96006_ZBED1.pdf", "Melting_Curves/meltCurve_O96006_ZBED1.pdf")</f>
        <v>Melting_Curves/meltCurve_O96006_ZBED1.pdf</v>
      </c>
    </row>
    <row r="1447" spans="1:28" x14ac:dyDescent="0.25">
      <c r="A1447" t="s">
        <v>1451</v>
      </c>
      <c r="B1447">
        <v>0.99987803227770999</v>
      </c>
      <c r="C1447">
        <v>0.92331886564507404</v>
      </c>
      <c r="D1447">
        <v>1.01020568956691</v>
      </c>
      <c r="E1447">
        <v>0.93684355907114902</v>
      </c>
      <c r="F1447">
        <v>0.99592489454099598</v>
      </c>
      <c r="G1447">
        <v>0.93772188760374997</v>
      </c>
      <c r="H1447">
        <v>0.92429202655757903</v>
      </c>
      <c r="I1447">
        <v>0.945613216563989</v>
      </c>
      <c r="J1447">
        <v>0.65884092813352202</v>
      </c>
      <c r="K1447">
        <v>0.49273368413438001</v>
      </c>
      <c r="L1447">
        <v>3465.8406035561302</v>
      </c>
      <c r="M1447">
        <v>52.223175904478801</v>
      </c>
      <c r="N1447">
        <v>69.649267757316807</v>
      </c>
      <c r="O1447">
        <v>66.268848690677999</v>
      </c>
      <c r="P1447">
        <v>-0.106906748742034</v>
      </c>
      <c r="Q1447">
        <v>0.45736106905452201</v>
      </c>
      <c r="R1447">
        <v>0.92636391891558201</v>
      </c>
      <c r="S1447" t="s">
        <v>7758</v>
      </c>
      <c r="T1447" t="s">
        <v>12620</v>
      </c>
      <c r="U1447" t="s">
        <v>12620</v>
      </c>
      <c r="V1447" t="s">
        <v>12620</v>
      </c>
      <c r="W1447" t="s">
        <v>14032</v>
      </c>
      <c r="X1447">
        <v>7</v>
      </c>
      <c r="Y1447" t="s">
        <v>20258</v>
      </c>
      <c r="Z1447" t="s">
        <v>26394</v>
      </c>
      <c r="AA1447">
        <v>0.93400539527262028</v>
      </c>
      <c r="AB1447" t="str">
        <f>HYPERLINK("Melting_Curves/meltCurve_O96007_MOCS2.pdf", "Melting_Curves/meltCurve_O96007_MOCS2.pdf")</f>
        <v>Melting_Curves/meltCurve_O96007_MOCS2.pdf</v>
      </c>
    </row>
    <row r="1448" spans="1:28" x14ac:dyDescent="0.25">
      <c r="A1448" t="s">
        <v>1452</v>
      </c>
      <c r="B1448">
        <v>0.99987803227770999</v>
      </c>
      <c r="C1448">
        <v>0.94667209762156501</v>
      </c>
      <c r="D1448">
        <v>0.87873098787755499</v>
      </c>
      <c r="E1448">
        <v>0.483052052371025</v>
      </c>
      <c r="F1448">
        <v>0.33385634753875698</v>
      </c>
      <c r="G1448">
        <v>0.27069874066414601</v>
      </c>
      <c r="H1448">
        <v>0.230297856707607</v>
      </c>
      <c r="I1448">
        <v>0.199974265240771</v>
      </c>
      <c r="J1448">
        <v>0.16492111114333699</v>
      </c>
      <c r="K1448">
        <v>0.12725597866070601</v>
      </c>
      <c r="L1448">
        <v>1030.4687234643</v>
      </c>
      <c r="M1448">
        <v>20.970467522323101</v>
      </c>
      <c r="N1448">
        <v>50.227477644558803</v>
      </c>
      <c r="O1448">
        <v>48.698760168630699</v>
      </c>
      <c r="P1448">
        <v>-8.79993783863562E-2</v>
      </c>
      <c r="Q1448">
        <v>0.182594601313186</v>
      </c>
      <c r="R1448">
        <v>0.990777751162353</v>
      </c>
      <c r="S1448" t="s">
        <v>7759</v>
      </c>
      <c r="T1448" t="s">
        <v>12620</v>
      </c>
      <c r="U1448" t="s">
        <v>12620</v>
      </c>
      <c r="V1448" t="s">
        <v>12620</v>
      </c>
      <c r="W1448" t="s">
        <v>14033</v>
      </c>
      <c r="X1448">
        <v>23</v>
      </c>
      <c r="Y1448" t="s">
        <v>20259</v>
      </c>
      <c r="Z1448" t="s">
        <v>26395</v>
      </c>
      <c r="AA1448">
        <v>0.44199314779997517</v>
      </c>
      <c r="AB1448" t="str">
        <f>HYPERLINK("Melting_Curves/meltCurve_O96013_PAK4.pdf", "Melting_Curves/meltCurve_O96013_PAK4.pdf")</f>
        <v>Melting_Curves/meltCurve_O96013_PAK4.pdf</v>
      </c>
    </row>
    <row r="1449" spans="1:28" x14ac:dyDescent="0.25">
      <c r="A1449" t="s">
        <v>1453</v>
      </c>
      <c r="B1449">
        <v>0.99987803227770999</v>
      </c>
      <c r="C1449">
        <v>0.86607261179652995</v>
      </c>
      <c r="D1449">
        <v>0.89385722495026398</v>
      </c>
      <c r="E1449">
        <v>0.55528651087182301</v>
      </c>
      <c r="F1449">
        <v>0.26545203331364098</v>
      </c>
      <c r="G1449">
        <v>0.207038484898076</v>
      </c>
      <c r="H1449">
        <v>0.15278428821689499</v>
      </c>
      <c r="I1449">
        <v>0.11877550600964</v>
      </c>
      <c r="J1449">
        <v>7.8760687695030807E-2</v>
      </c>
      <c r="K1449">
        <v>5.3702121370102197E-2</v>
      </c>
      <c r="L1449">
        <v>924.51252850078299</v>
      </c>
      <c r="M1449">
        <v>18.5037698446964</v>
      </c>
      <c r="N1449">
        <v>50.482057122270902</v>
      </c>
      <c r="O1449">
        <v>49.390880831090598</v>
      </c>
      <c r="P1449">
        <v>-8.5556900893334495E-2</v>
      </c>
      <c r="Q1449">
        <v>8.6555045608759595E-2</v>
      </c>
      <c r="R1449">
        <v>0.98508854589631001</v>
      </c>
      <c r="S1449" t="s">
        <v>7760</v>
      </c>
      <c r="T1449" t="s">
        <v>12620</v>
      </c>
      <c r="U1449" t="s">
        <v>12620</v>
      </c>
      <c r="V1449" t="s">
        <v>12620</v>
      </c>
      <c r="W1449" t="s">
        <v>14034</v>
      </c>
      <c r="X1449">
        <v>9</v>
      </c>
      <c r="Y1449" t="s">
        <v>20260</v>
      </c>
      <c r="Z1449" t="s">
        <v>26396</v>
      </c>
      <c r="AA1449">
        <v>0.40470900852587138</v>
      </c>
      <c r="AB1449" t="str">
        <f>HYPERLINK("Melting_Curves/meltCurve_O96017_CHEK2.pdf", "Melting_Curves/meltCurve_O96017_CHEK2.pdf")</f>
        <v>Melting_Curves/meltCurve_O96017_CHEK2.pdf</v>
      </c>
    </row>
    <row r="1450" spans="1:28" x14ac:dyDescent="0.25">
      <c r="A1450" t="s">
        <v>1454</v>
      </c>
      <c r="B1450">
        <v>0.99987803227770999</v>
      </c>
      <c r="C1450">
        <v>0.89008537934944298</v>
      </c>
      <c r="D1450">
        <v>0.91725039011572096</v>
      </c>
      <c r="E1450">
        <v>0.839940641860913</v>
      </c>
      <c r="F1450">
        <v>0.439066386045319</v>
      </c>
      <c r="G1450">
        <v>0.16708452887931699</v>
      </c>
      <c r="H1450">
        <v>0.105880756724283</v>
      </c>
      <c r="I1450">
        <v>8.7065554048773405E-2</v>
      </c>
      <c r="J1450">
        <v>7.0683401820585606E-2</v>
      </c>
      <c r="K1450">
        <v>4.7288844347325699E-2</v>
      </c>
      <c r="L1450">
        <v>1460.8269713977299</v>
      </c>
      <c r="M1450">
        <v>27.8882539516392</v>
      </c>
      <c r="N1450">
        <v>52.6713474822023</v>
      </c>
      <c r="O1450">
        <v>52.114332265823997</v>
      </c>
      <c r="P1450">
        <v>-0.124266530062054</v>
      </c>
      <c r="Q1450">
        <v>7.1148638305427406E-2</v>
      </c>
      <c r="R1450">
        <v>0.98772003314038204</v>
      </c>
      <c r="S1450" t="s">
        <v>7761</v>
      </c>
      <c r="T1450" t="s">
        <v>12620</v>
      </c>
      <c r="U1450" t="s">
        <v>12620</v>
      </c>
      <c r="V1450" t="s">
        <v>12620</v>
      </c>
      <c r="W1450" t="s">
        <v>14035</v>
      </c>
      <c r="X1450">
        <v>13</v>
      </c>
      <c r="Y1450" t="s">
        <v>20261</v>
      </c>
      <c r="Z1450" t="s">
        <v>26397</v>
      </c>
      <c r="AA1450">
        <v>0.46138907213274749</v>
      </c>
      <c r="AB1450" t="str">
        <f>HYPERLINK("Melting_Curves/meltCurve_O96019_ACTL6A.pdf", "Melting_Curves/meltCurve_O96019_ACTL6A.pdf")</f>
        <v>Melting_Curves/meltCurve_O96019_ACTL6A.pdf</v>
      </c>
    </row>
    <row r="1451" spans="1:28" x14ac:dyDescent="0.25">
      <c r="A1451" t="s">
        <v>1455</v>
      </c>
      <c r="B1451">
        <v>0.99987803227770999</v>
      </c>
      <c r="C1451">
        <v>1.01145057870396</v>
      </c>
      <c r="D1451">
        <v>1.0088119470844099</v>
      </c>
      <c r="E1451">
        <v>0.82478875621035797</v>
      </c>
      <c r="F1451">
        <v>0.97510887496882503</v>
      </c>
      <c r="G1451">
        <v>0.75232035424935295</v>
      </c>
      <c r="H1451">
        <v>0.69815230544921003</v>
      </c>
      <c r="I1451">
        <v>0.75378943066815896</v>
      </c>
      <c r="J1451">
        <v>0.64034766197867499</v>
      </c>
      <c r="K1451">
        <v>0.51811675552983605</v>
      </c>
      <c r="L1451">
        <v>397.05097839948098</v>
      </c>
      <c r="M1451">
        <v>5.4548543592571699</v>
      </c>
      <c r="O1451">
        <v>64.751610668161703</v>
      </c>
      <c r="P1451">
        <v>-2.1156178081953199E-2</v>
      </c>
      <c r="Q1451">
        <v>0</v>
      </c>
      <c r="R1451">
        <v>0.87187355673532996</v>
      </c>
      <c r="S1451" t="s">
        <v>7762</v>
      </c>
      <c r="T1451" t="s">
        <v>12620</v>
      </c>
      <c r="U1451" t="s">
        <v>12620</v>
      </c>
      <c r="V1451" t="s">
        <v>12620</v>
      </c>
      <c r="W1451" t="s">
        <v>14036</v>
      </c>
      <c r="X1451">
        <v>5</v>
      </c>
      <c r="Y1451" t="s">
        <v>20262</v>
      </c>
      <c r="Z1451" t="s">
        <v>26398</v>
      </c>
      <c r="AA1451">
        <v>0.82364484804916993</v>
      </c>
      <c r="AB1451" t="str">
        <f>HYPERLINK("Melting_Curves/meltCurve_O96028_WHSC1.pdf", "Melting_Curves/meltCurve_O96028_WHSC1.pdf")</f>
        <v>Melting_Curves/meltCurve_O96028_WHSC1.pdf</v>
      </c>
    </row>
    <row r="1452" spans="1:28" x14ac:dyDescent="0.25">
      <c r="A1452" t="s">
        <v>1456</v>
      </c>
      <c r="B1452">
        <v>0.99987803227770999</v>
      </c>
      <c r="C1452">
        <v>0.79759579166022299</v>
      </c>
      <c r="D1452">
        <v>1.0313986223302301</v>
      </c>
      <c r="E1452">
        <v>0.89348236093753097</v>
      </c>
      <c r="F1452">
        <v>1.0422474854088799</v>
      </c>
      <c r="G1452">
        <v>0.81239206342054204</v>
      </c>
      <c r="H1452">
        <v>0.85997778999202401</v>
      </c>
      <c r="I1452">
        <v>0.86215565145761996</v>
      </c>
      <c r="J1452">
        <v>0.58712879089911396</v>
      </c>
      <c r="K1452">
        <v>0.40311958503665501</v>
      </c>
      <c r="L1452">
        <v>1077.72508440968</v>
      </c>
      <c r="M1452">
        <v>15.671394372065899</v>
      </c>
      <c r="N1452">
        <v>68.770210295615001</v>
      </c>
      <c r="O1452">
        <v>67.6796247873704</v>
      </c>
      <c r="P1452">
        <v>-5.7893080360421199E-2</v>
      </c>
      <c r="Q1452">
        <v>0</v>
      </c>
      <c r="R1452">
        <v>0.75445939373218096</v>
      </c>
      <c r="S1452" t="s">
        <v>7763</v>
      </c>
      <c r="T1452" t="s">
        <v>12620</v>
      </c>
      <c r="U1452" t="s">
        <v>12620</v>
      </c>
      <c r="V1452" t="s">
        <v>12620</v>
      </c>
      <c r="W1452" t="s">
        <v>14037</v>
      </c>
      <c r="X1452">
        <v>8</v>
      </c>
      <c r="Y1452" t="s">
        <v>20258</v>
      </c>
      <c r="Z1452" t="s">
        <v>26399</v>
      </c>
      <c r="AA1452">
        <v>0.88948856554895817</v>
      </c>
      <c r="AB1452" t="str">
        <f>HYPERLINK("Melting_Curves/meltCurve_O96033_MOCS2.pdf", "Melting_Curves/meltCurve_O96033_MOCS2.pdf")</f>
        <v>Melting_Curves/meltCurve_O96033_MOCS2.pdf</v>
      </c>
    </row>
    <row r="1453" spans="1:28" x14ac:dyDescent="0.25">
      <c r="A1453" t="s">
        <v>1457</v>
      </c>
      <c r="B1453">
        <v>0.99987803227770999</v>
      </c>
      <c r="C1453">
        <v>0.90785575349001801</v>
      </c>
      <c r="D1453">
        <v>1.0824291135064501</v>
      </c>
      <c r="E1453">
        <v>0.82182365842423799</v>
      </c>
      <c r="F1453">
        <v>0.75592156397648003</v>
      </c>
      <c r="G1453">
        <v>0.44329484573698602</v>
      </c>
      <c r="H1453">
        <v>0.333672175178996</v>
      </c>
      <c r="I1453">
        <v>0.30928726155623898</v>
      </c>
      <c r="J1453">
        <v>0.12602649641008101</v>
      </c>
      <c r="K1453">
        <v>6.3920524280726795E-2</v>
      </c>
      <c r="L1453">
        <v>701.836339188323</v>
      </c>
      <c r="M1453">
        <v>12.2625531668417</v>
      </c>
      <c r="N1453">
        <v>57.2782434355235</v>
      </c>
      <c r="O1453">
        <v>55.775856561357401</v>
      </c>
      <c r="P1453">
        <v>-5.4717200822059497E-2</v>
      </c>
      <c r="Q1453">
        <v>4.7024155413212696E-3</v>
      </c>
      <c r="R1453">
        <v>0.96811984271533402</v>
      </c>
      <c r="S1453" t="s">
        <v>7764</v>
      </c>
      <c r="T1453" t="s">
        <v>12620</v>
      </c>
      <c r="U1453" t="s">
        <v>12620</v>
      </c>
      <c r="V1453" t="s">
        <v>12620</v>
      </c>
      <c r="W1453" t="s">
        <v>14038</v>
      </c>
      <c r="X1453">
        <v>4</v>
      </c>
      <c r="Y1453" t="s">
        <v>20263</v>
      </c>
      <c r="Z1453" t="s">
        <v>26400</v>
      </c>
      <c r="AA1453">
        <v>0.5923613083837902</v>
      </c>
      <c r="AB1453" t="str">
        <f>HYPERLINK("Melting_Curves/meltCurve_P00325_ADH1B.pdf", "Melting_Curves/meltCurve_P00325_ADH1B.pdf")</f>
        <v>Melting_Curves/meltCurve_P00325_ADH1B.pdf</v>
      </c>
    </row>
    <row r="1454" spans="1:28" x14ac:dyDescent="0.25">
      <c r="A1454" t="s">
        <v>1458</v>
      </c>
      <c r="B1454">
        <v>0.99987803227770999</v>
      </c>
      <c r="C1454">
        <v>1.07691603207909</v>
      </c>
      <c r="D1454">
        <v>1.01388880027692</v>
      </c>
      <c r="E1454">
        <v>1.1579460678556299</v>
      </c>
      <c r="F1454">
        <v>0.905076677561235</v>
      </c>
      <c r="G1454">
        <v>0.75893742070901504</v>
      </c>
      <c r="H1454">
        <v>0.74290061584667599</v>
      </c>
      <c r="I1454">
        <v>0.31240284345625302</v>
      </c>
      <c r="J1454">
        <v>0.11719578661706</v>
      </c>
      <c r="K1454">
        <v>6.81388444369396E-2</v>
      </c>
      <c r="L1454">
        <v>1458.8921240350401</v>
      </c>
      <c r="M1454">
        <v>23.415598422583699</v>
      </c>
      <c r="N1454">
        <v>62.304295843425201</v>
      </c>
      <c r="O1454">
        <v>61.855212394168703</v>
      </c>
      <c r="P1454">
        <v>-9.4640411962178206E-2</v>
      </c>
      <c r="Q1454">
        <v>0</v>
      </c>
      <c r="R1454">
        <v>0.94871682126005796</v>
      </c>
      <c r="S1454" t="s">
        <v>7765</v>
      </c>
      <c r="T1454" t="s">
        <v>12620</v>
      </c>
      <c r="U1454" t="s">
        <v>12620</v>
      </c>
      <c r="V1454" t="s">
        <v>12620</v>
      </c>
      <c r="W1454" t="s">
        <v>14039</v>
      </c>
      <c r="X1454">
        <v>27</v>
      </c>
      <c r="Y1454" t="s">
        <v>20264</v>
      </c>
      <c r="Z1454" t="s">
        <v>26401</v>
      </c>
      <c r="AA1454">
        <v>0.74709833906686651</v>
      </c>
      <c r="AB1454" t="str">
        <f>HYPERLINK("Melting_Curves/meltCurve_P00338_LDHA.pdf", "Melting_Curves/meltCurve_P00338_LDHA.pdf")</f>
        <v>Melting_Curves/meltCurve_P00338_LDHA.pdf</v>
      </c>
    </row>
    <row r="1455" spans="1:28" x14ac:dyDescent="0.25">
      <c r="A1455" t="s">
        <v>1459</v>
      </c>
      <c r="B1455">
        <v>0.99987803227770999</v>
      </c>
      <c r="C1455">
        <v>1.2108154117224501</v>
      </c>
      <c r="D1455">
        <v>0.96176157199462997</v>
      </c>
      <c r="E1455">
        <v>1.2331240837370101</v>
      </c>
      <c r="F1455">
        <v>0.90548616245392899</v>
      </c>
      <c r="G1455">
        <v>1.0041112036658399</v>
      </c>
      <c r="H1455">
        <v>1.52273143616686</v>
      </c>
      <c r="I1455">
        <v>1.2861443927510701</v>
      </c>
      <c r="J1455">
        <v>0.98605666520786805</v>
      </c>
      <c r="K1455">
        <v>0.41012278632093302</v>
      </c>
      <c r="L1455">
        <v>15000</v>
      </c>
      <c r="M1455">
        <v>220.15610913272801</v>
      </c>
      <c r="N1455">
        <v>68.662979643761105</v>
      </c>
      <c r="O1455">
        <v>68.127856035293505</v>
      </c>
      <c r="P1455">
        <v>-0.47789385838403597</v>
      </c>
      <c r="Q1455">
        <v>0.40845828181464999</v>
      </c>
      <c r="R1455">
        <v>0.40881007097547301</v>
      </c>
      <c r="S1455" t="s">
        <v>7766</v>
      </c>
      <c r="T1455" t="s">
        <v>12620</v>
      </c>
      <c r="U1455" t="s">
        <v>12620</v>
      </c>
      <c r="V1455" t="s">
        <v>12620</v>
      </c>
      <c r="W1455" t="s">
        <v>14040</v>
      </c>
      <c r="X1455">
        <v>58</v>
      </c>
      <c r="Y1455" t="s">
        <v>20265</v>
      </c>
      <c r="Z1455" t="s">
        <v>26402</v>
      </c>
      <c r="AA1455">
        <v>0.96326857818337353</v>
      </c>
      <c r="AB1455" t="str">
        <f>HYPERLINK("Melting_Curves/meltCurve_P00352_ALDH1A1.pdf", "Melting_Curves/meltCurve_P00352_ALDH1A1.pdf")</f>
        <v>Melting_Curves/meltCurve_P00352_ALDH1A1.pdf</v>
      </c>
    </row>
    <row r="1456" spans="1:28" x14ac:dyDescent="0.25">
      <c r="A1456" t="s">
        <v>1460</v>
      </c>
      <c r="B1456">
        <v>0.99987803227770999</v>
      </c>
      <c r="C1456">
        <v>0.52059731005944299</v>
      </c>
      <c r="D1456">
        <v>0.32351643582475498</v>
      </c>
      <c r="E1456">
        <v>0.27437601296248598</v>
      </c>
      <c r="F1456">
        <v>0.16838252225511499</v>
      </c>
      <c r="G1456">
        <v>0.101818823940324</v>
      </c>
      <c r="H1456">
        <v>8.4233053573596603E-2</v>
      </c>
      <c r="I1456">
        <v>8.4169123719473493E-2</v>
      </c>
      <c r="J1456">
        <v>6.0057515374339697E-2</v>
      </c>
      <c r="K1456">
        <v>3.8741299480512498E-2</v>
      </c>
      <c r="L1456">
        <v>863.94957551175798</v>
      </c>
      <c r="M1456">
        <v>19.8273139223922</v>
      </c>
      <c r="N1456">
        <v>44.045046737977103</v>
      </c>
      <c r="O1456">
        <v>43.137721909103199</v>
      </c>
      <c r="P1456">
        <v>-0.103926654635002</v>
      </c>
      <c r="Q1456">
        <v>9.5589422034921295E-2</v>
      </c>
      <c r="R1456">
        <v>0.94182956149497998</v>
      </c>
      <c r="S1456" t="s">
        <v>7767</v>
      </c>
      <c r="T1456" t="s">
        <v>12620</v>
      </c>
      <c r="U1456" t="s">
        <v>12620</v>
      </c>
      <c r="V1456" t="s">
        <v>12620</v>
      </c>
      <c r="W1456" t="s">
        <v>14041</v>
      </c>
      <c r="X1456">
        <v>10</v>
      </c>
      <c r="Y1456" t="s">
        <v>20266</v>
      </c>
      <c r="Z1456" t="s">
        <v>26403</v>
      </c>
      <c r="AA1456">
        <v>0.2226515178992465</v>
      </c>
      <c r="AB1456" t="str">
        <f>HYPERLINK("Melting_Curves/meltCurve_P00374_DHFR.pdf", "Melting_Curves/meltCurve_P00374_DHFR.pdf")</f>
        <v>Melting_Curves/meltCurve_P00374_DHFR.pdf</v>
      </c>
    </row>
    <row r="1457" spans="1:28" x14ac:dyDescent="0.25">
      <c r="A1457" t="s">
        <v>1461</v>
      </c>
      <c r="B1457">
        <v>0.99987803227770999</v>
      </c>
      <c r="C1457">
        <v>0.91144659135403905</v>
      </c>
      <c r="D1457">
        <v>0.98159979400749797</v>
      </c>
      <c r="E1457">
        <v>0.82142517282063299</v>
      </c>
      <c r="F1457">
        <v>0.63223460839374801</v>
      </c>
      <c r="G1457">
        <v>0.33603409256625399</v>
      </c>
      <c r="H1457">
        <v>0.18312354668545699</v>
      </c>
      <c r="I1457">
        <v>0.17412262084555999</v>
      </c>
      <c r="J1457">
        <v>0.11265466062051201</v>
      </c>
      <c r="K1457">
        <v>7.3884330248258204E-2</v>
      </c>
      <c r="L1457">
        <v>937.06405887498499</v>
      </c>
      <c r="M1457">
        <v>17.3096830768696</v>
      </c>
      <c r="N1457">
        <v>54.670592819571297</v>
      </c>
      <c r="O1457">
        <v>53.4282247732922</v>
      </c>
      <c r="P1457">
        <v>-7.4685518764298103E-2</v>
      </c>
      <c r="Q1457">
        <v>7.7953074069637293E-2</v>
      </c>
      <c r="R1457">
        <v>0.99330832687418302</v>
      </c>
      <c r="S1457" t="s">
        <v>7768</v>
      </c>
      <c r="T1457" t="s">
        <v>12620</v>
      </c>
      <c r="U1457" t="s">
        <v>12620</v>
      </c>
      <c r="V1457" t="s">
        <v>12620</v>
      </c>
      <c r="W1457" t="s">
        <v>14042</v>
      </c>
      <c r="X1457">
        <v>1</v>
      </c>
      <c r="Y1457" t="s">
        <v>20267</v>
      </c>
      <c r="Z1457" t="s">
        <v>26404</v>
      </c>
      <c r="AA1457">
        <v>0.52794696473951008</v>
      </c>
      <c r="AB1457" t="str">
        <f>HYPERLINK("Melting_Curves/meltCurve_P00387_2_CYB5R3.pdf", "Melting_Curves/meltCurve_P00387_2_CYB5R3.pdf")</f>
        <v>Melting_Curves/meltCurve_P00387_2_CYB5R3.pdf</v>
      </c>
    </row>
    <row r="1458" spans="1:28" x14ac:dyDescent="0.25">
      <c r="A1458" t="s">
        <v>1462</v>
      </c>
      <c r="B1458">
        <v>0.99987803227770999</v>
      </c>
      <c r="C1458">
        <v>1.0774523913074201</v>
      </c>
      <c r="D1458">
        <v>1.0335778478276301</v>
      </c>
      <c r="E1458">
        <v>1.1003244092197699</v>
      </c>
      <c r="F1458">
        <v>1.0039877259462699</v>
      </c>
      <c r="G1458">
        <v>1.1200741898744</v>
      </c>
      <c r="H1458">
        <v>1.2426412808707801</v>
      </c>
      <c r="I1458">
        <v>0.99040124684305098</v>
      </c>
      <c r="J1458">
        <v>0.91882181629572202</v>
      </c>
      <c r="K1458">
        <v>0.63570061880265105</v>
      </c>
      <c r="L1458">
        <v>5525.7687127798699</v>
      </c>
      <c r="M1458">
        <v>81.086991027267601</v>
      </c>
      <c r="O1458">
        <v>68.104768547251396</v>
      </c>
      <c r="P1458">
        <v>-0.121097009528218</v>
      </c>
      <c r="Q1458">
        <v>0.59316372310806997</v>
      </c>
      <c r="R1458">
        <v>0.60343254716204797</v>
      </c>
      <c r="S1458" t="s">
        <v>7769</v>
      </c>
      <c r="T1458" t="s">
        <v>12620</v>
      </c>
      <c r="U1458" t="s">
        <v>12620</v>
      </c>
      <c r="V1458" t="s">
        <v>12620</v>
      </c>
      <c r="W1458" t="s">
        <v>14043</v>
      </c>
      <c r="X1458">
        <v>28</v>
      </c>
      <c r="Y1458" t="s">
        <v>19482</v>
      </c>
      <c r="Z1458" t="s">
        <v>26405</v>
      </c>
      <c r="AA1458">
        <v>0.97395910061896673</v>
      </c>
      <c r="AB1458" t="str">
        <f>HYPERLINK("Melting_Curves/meltCurve_P00390_2_GSR.pdf", "Melting_Curves/meltCurve_P00390_2_GSR.pdf")</f>
        <v>Melting_Curves/meltCurve_P00390_2_GSR.pdf</v>
      </c>
    </row>
    <row r="1459" spans="1:28" x14ac:dyDescent="0.25">
      <c r="A1459" t="s">
        <v>1463</v>
      </c>
      <c r="B1459">
        <v>0.99987803227770999</v>
      </c>
      <c r="C1459">
        <v>0.95731230519389998</v>
      </c>
      <c r="D1459">
        <v>1.0504462670683901</v>
      </c>
      <c r="E1459">
        <v>0.89346086692603699</v>
      </c>
      <c r="F1459">
        <v>0.70893891492689698</v>
      </c>
      <c r="G1459">
        <v>0.74778709607721106</v>
      </c>
      <c r="H1459">
        <v>0.68990925891636401</v>
      </c>
      <c r="I1459">
        <v>0.66726623411418795</v>
      </c>
      <c r="J1459">
        <v>0.50474100577146597</v>
      </c>
      <c r="K1459">
        <v>0.36006834797283599</v>
      </c>
      <c r="L1459">
        <v>423.60407327149602</v>
      </c>
      <c r="M1459">
        <v>6.31745025516748</v>
      </c>
      <c r="N1459">
        <v>67.053012865373802</v>
      </c>
      <c r="O1459">
        <v>61.2758249059194</v>
      </c>
      <c r="P1459">
        <v>-2.58440248212276E-2</v>
      </c>
      <c r="Q1459">
        <v>0</v>
      </c>
      <c r="R1459">
        <v>0.89930956257800199</v>
      </c>
      <c r="S1459" t="s">
        <v>7770</v>
      </c>
      <c r="T1459" t="s">
        <v>12620</v>
      </c>
      <c r="U1459" t="s">
        <v>12620</v>
      </c>
      <c r="V1459" t="s">
        <v>12620</v>
      </c>
      <c r="W1459" t="s">
        <v>14044</v>
      </c>
      <c r="X1459">
        <v>1</v>
      </c>
      <c r="Y1459" t="s">
        <v>20268</v>
      </c>
      <c r="Z1459" t="s">
        <v>26406</v>
      </c>
      <c r="AA1459">
        <v>0.76621086164113283</v>
      </c>
      <c r="AB1459" t="str">
        <f>HYPERLINK("Melting_Curves/meltCurve_P00450_CP.pdf", "Melting_Curves/meltCurve_P00450_CP.pdf")</f>
        <v>Melting_Curves/meltCurve_P00450_CP.pdf</v>
      </c>
    </row>
    <row r="1460" spans="1:28" x14ac:dyDescent="0.25">
      <c r="A1460" t="s">
        <v>1464</v>
      </c>
      <c r="B1460">
        <v>0.99987803227770999</v>
      </c>
      <c r="C1460">
        <v>1.0963818170395701</v>
      </c>
      <c r="D1460">
        <v>1.0435305394905401</v>
      </c>
      <c r="E1460">
        <v>1.10543227829761</v>
      </c>
      <c r="F1460">
        <v>0.98948361345059399</v>
      </c>
      <c r="G1460">
        <v>0.92713372308041397</v>
      </c>
      <c r="H1460">
        <v>1.0801048228138299</v>
      </c>
      <c r="I1460">
        <v>0.96827098587003901</v>
      </c>
      <c r="J1460">
        <v>0.53691847303778595</v>
      </c>
      <c r="K1460">
        <v>0.177189874747952</v>
      </c>
      <c r="L1460">
        <v>5087.9033248150699</v>
      </c>
      <c r="M1460">
        <v>76.121917448946704</v>
      </c>
      <c r="N1460">
        <v>67.155612876146293</v>
      </c>
      <c r="O1460">
        <v>66.792766875544203</v>
      </c>
      <c r="P1460">
        <v>-0.241945696229483</v>
      </c>
      <c r="Q1460">
        <v>0.15082405789877901</v>
      </c>
      <c r="R1460">
        <v>0.95777022710594395</v>
      </c>
      <c r="S1460" t="s">
        <v>7771</v>
      </c>
      <c r="T1460" t="s">
        <v>12620</v>
      </c>
      <c r="U1460" t="s">
        <v>12620</v>
      </c>
      <c r="V1460" t="s">
        <v>12620</v>
      </c>
      <c r="W1460" t="s">
        <v>14045</v>
      </c>
      <c r="X1460">
        <v>12</v>
      </c>
      <c r="Y1460" t="s">
        <v>20269</v>
      </c>
      <c r="Z1460" t="s">
        <v>26407</v>
      </c>
      <c r="AA1460">
        <v>0.91071095259546719</v>
      </c>
      <c r="AB1460" t="str">
        <f>HYPERLINK("Melting_Curves/meltCurve_P00491_PNP.pdf", "Melting_Curves/meltCurve_P00491_PNP.pdf")</f>
        <v>Melting_Curves/meltCurve_P00491_PNP.pdf</v>
      </c>
    </row>
    <row r="1461" spans="1:28" x14ac:dyDescent="0.25">
      <c r="A1461" t="s">
        <v>1465</v>
      </c>
      <c r="B1461">
        <v>0.99987803227770999</v>
      </c>
      <c r="C1461">
        <v>1.13086207051654</v>
      </c>
      <c r="D1461">
        <v>1.05877460995404</v>
      </c>
      <c r="E1461">
        <v>1.1161828866047101</v>
      </c>
      <c r="F1461">
        <v>1.00626612027007</v>
      </c>
      <c r="G1461">
        <v>0.90543848094727497</v>
      </c>
      <c r="H1461">
        <v>1.17953684324524</v>
      </c>
      <c r="I1461">
        <v>1.1182924368412299</v>
      </c>
      <c r="J1461">
        <v>0.94619950316808399</v>
      </c>
      <c r="K1461">
        <v>0.678898088716548</v>
      </c>
      <c r="L1461">
        <v>15000</v>
      </c>
      <c r="M1461">
        <v>222.27699034175399</v>
      </c>
      <c r="O1461">
        <v>67.477906116218705</v>
      </c>
      <c r="P1461">
        <v>-0.26452269301418502</v>
      </c>
      <c r="Q1461">
        <v>0.678789293820385</v>
      </c>
      <c r="R1461">
        <v>0.53813762512338403</v>
      </c>
      <c r="S1461" t="s">
        <v>7772</v>
      </c>
      <c r="T1461" t="s">
        <v>12620</v>
      </c>
      <c r="U1461" t="s">
        <v>12620</v>
      </c>
      <c r="V1461" t="s">
        <v>12620</v>
      </c>
      <c r="W1461" t="s">
        <v>14046</v>
      </c>
      <c r="X1461">
        <v>16</v>
      </c>
      <c r="Y1461" t="s">
        <v>20270</v>
      </c>
      <c r="Z1461" t="s">
        <v>26408</v>
      </c>
      <c r="AA1461">
        <v>0.97310129599345474</v>
      </c>
      <c r="AB1461" t="str">
        <f>HYPERLINK("Melting_Curves/meltCurve_P00492_HPRT1.pdf", "Melting_Curves/meltCurve_P00492_HPRT1.pdf")</f>
        <v>Melting_Curves/meltCurve_P00492_HPRT1.pdf</v>
      </c>
    </row>
    <row r="1462" spans="1:28" x14ac:dyDescent="0.25">
      <c r="A1462" t="s">
        <v>1466</v>
      </c>
      <c r="B1462">
        <v>0.99987803227770999</v>
      </c>
      <c r="C1462">
        <v>1.0938468769095899</v>
      </c>
      <c r="D1462">
        <v>1.0028438857542701</v>
      </c>
      <c r="E1462">
        <v>1.1064649885539399</v>
      </c>
      <c r="F1462">
        <v>1.0620038578989699</v>
      </c>
      <c r="G1462">
        <v>1.0039289380376999</v>
      </c>
      <c r="H1462">
        <v>1.1401115999270099</v>
      </c>
      <c r="I1462">
        <v>1.0038737285509201</v>
      </c>
      <c r="J1462">
        <v>0.66886257091210699</v>
      </c>
      <c r="K1462">
        <v>0.26425868387489898</v>
      </c>
      <c r="L1462">
        <v>15000</v>
      </c>
      <c r="M1462">
        <v>223.680068573141</v>
      </c>
      <c r="N1462">
        <v>67.286165015511699</v>
      </c>
      <c r="O1462">
        <v>67.054699978364695</v>
      </c>
      <c r="P1462">
        <v>-0.61361978785140203</v>
      </c>
      <c r="Q1462">
        <v>0.26419740747022202</v>
      </c>
      <c r="R1462">
        <v>0.93302804505443204</v>
      </c>
      <c r="S1462" t="s">
        <v>7773</v>
      </c>
      <c r="T1462" t="s">
        <v>12620</v>
      </c>
      <c r="U1462" t="s">
        <v>12620</v>
      </c>
      <c r="V1462" t="s">
        <v>12620</v>
      </c>
      <c r="W1462" t="s">
        <v>14047</v>
      </c>
      <c r="X1462">
        <v>29</v>
      </c>
      <c r="Y1462" t="s">
        <v>20271</v>
      </c>
      <c r="Z1462" t="s">
        <v>26409</v>
      </c>
      <c r="AA1462">
        <v>0.92800045441521317</v>
      </c>
      <c r="AB1462" t="str">
        <f>HYPERLINK("Melting_Curves/meltCurve_P00505_GOT2.pdf", "Melting_Curves/meltCurve_P00505_GOT2.pdf")</f>
        <v>Melting_Curves/meltCurve_P00505_GOT2.pdf</v>
      </c>
    </row>
    <row r="1463" spans="1:28" x14ac:dyDescent="0.25">
      <c r="A1463" t="s">
        <v>1467</v>
      </c>
      <c r="B1463">
        <v>0.99987803227770999</v>
      </c>
      <c r="C1463">
        <v>0.80930930680172597</v>
      </c>
      <c r="D1463">
        <v>0.87814848616708496</v>
      </c>
      <c r="E1463">
        <v>0.580488209641561</v>
      </c>
      <c r="F1463">
        <v>0.46937083248018302</v>
      </c>
      <c r="G1463">
        <v>0.296974263660858</v>
      </c>
      <c r="H1463">
        <v>0.23708454974538101</v>
      </c>
      <c r="I1463">
        <v>0.21847737104144599</v>
      </c>
      <c r="J1463">
        <v>0.206304632379399</v>
      </c>
      <c r="K1463">
        <v>0.16504309303799</v>
      </c>
      <c r="L1463">
        <v>615.71468441981904</v>
      </c>
      <c r="M1463">
        <v>12.1848903120285</v>
      </c>
      <c r="N1463">
        <v>52.030763675751203</v>
      </c>
      <c r="O1463">
        <v>49.227789903613797</v>
      </c>
      <c r="P1463">
        <v>-5.2728510604949E-2</v>
      </c>
      <c r="Q1463">
        <v>0.14808682273000101</v>
      </c>
      <c r="R1463">
        <v>0.97840766919077904</v>
      </c>
      <c r="S1463" t="s">
        <v>7774</v>
      </c>
      <c r="T1463" t="s">
        <v>12620</v>
      </c>
      <c r="U1463" t="s">
        <v>12620</v>
      </c>
      <c r="V1463" t="s">
        <v>12620</v>
      </c>
      <c r="W1463" t="s">
        <v>14048</v>
      </c>
      <c r="X1463">
        <v>7</v>
      </c>
      <c r="Y1463" t="s">
        <v>20272</v>
      </c>
      <c r="Z1463" t="s">
        <v>26410</v>
      </c>
      <c r="AA1463">
        <v>0.47506711387075018</v>
      </c>
      <c r="AB1463" t="str">
        <f>HYPERLINK("Melting_Curves/meltCurve_P00519_ABL1.pdf", "Melting_Curves/meltCurve_P00519_ABL1.pdf")</f>
        <v>Melting_Curves/meltCurve_P00519_ABL1.pdf</v>
      </c>
    </row>
    <row r="1464" spans="1:28" x14ac:dyDescent="0.25">
      <c r="A1464" t="s">
        <v>1468</v>
      </c>
      <c r="B1464">
        <v>0.99987803227770999</v>
      </c>
      <c r="C1464">
        <v>0.86980420577901796</v>
      </c>
      <c r="D1464">
        <v>0.981737029143957</v>
      </c>
      <c r="E1464">
        <v>0.84676236999110999</v>
      </c>
      <c r="F1464">
        <v>1.0108511504528801</v>
      </c>
      <c r="G1464">
        <v>0.71061654715876299</v>
      </c>
      <c r="H1464">
        <v>0.76569754610308205</v>
      </c>
      <c r="I1464">
        <v>0.66606384973114696</v>
      </c>
      <c r="J1464">
        <v>0.72319953613717003</v>
      </c>
      <c r="K1464">
        <v>0.61491920782986598</v>
      </c>
      <c r="L1464">
        <v>323.591858484238</v>
      </c>
      <c r="M1464">
        <v>4.64289024837589</v>
      </c>
      <c r="O1464">
        <v>59.727760450653001</v>
      </c>
      <c r="P1464">
        <v>-1.4336669158530499E-2</v>
      </c>
      <c r="Q1464">
        <v>0.268038948643469</v>
      </c>
      <c r="R1464">
        <v>0.73230386434220895</v>
      </c>
      <c r="S1464" t="s">
        <v>7775</v>
      </c>
      <c r="T1464" t="s">
        <v>12620</v>
      </c>
      <c r="U1464" t="s">
        <v>12620</v>
      </c>
      <c r="V1464" t="s">
        <v>12620</v>
      </c>
      <c r="W1464" t="s">
        <v>14049</v>
      </c>
      <c r="X1464">
        <v>16</v>
      </c>
      <c r="Y1464" t="s">
        <v>20273</v>
      </c>
      <c r="Z1464" t="s">
        <v>26411</v>
      </c>
      <c r="AA1464">
        <v>0.82475588538681677</v>
      </c>
      <c r="AB1464" t="str">
        <f>HYPERLINK("Melting_Curves/meltCurve_P00533_EGFR.pdf", "Melting_Curves/meltCurve_P00533_EGFR.pdf")</f>
        <v>Melting_Curves/meltCurve_P00533_EGFR.pdf</v>
      </c>
    </row>
    <row r="1465" spans="1:28" x14ac:dyDescent="0.25">
      <c r="A1465" t="s">
        <v>1469</v>
      </c>
      <c r="B1465">
        <v>0.99987803227770999</v>
      </c>
      <c r="C1465">
        <v>0.67528331217031501</v>
      </c>
      <c r="D1465">
        <v>1.1355910131453499</v>
      </c>
      <c r="E1465">
        <v>0.89017219397885805</v>
      </c>
      <c r="F1465">
        <v>0.35054065035321502</v>
      </c>
      <c r="G1465">
        <v>0.116193172580954</v>
      </c>
      <c r="H1465">
        <v>7.2802093545944593E-2</v>
      </c>
      <c r="I1465">
        <v>5.7761149958549099E-2</v>
      </c>
      <c r="J1465">
        <v>4.4321439335063502E-2</v>
      </c>
      <c r="K1465">
        <v>2.9416501540453301E-2</v>
      </c>
      <c r="L1465">
        <v>2453.9961164270699</v>
      </c>
      <c r="M1465">
        <v>47.078640514062698</v>
      </c>
      <c r="N1465">
        <v>52.2668383813172</v>
      </c>
      <c r="O1465">
        <v>52.0316770680164</v>
      </c>
      <c r="P1465">
        <v>-0.21267924484169001</v>
      </c>
      <c r="Q1465">
        <v>5.9782051716918999E-2</v>
      </c>
      <c r="R1465">
        <v>0.92829016416926002</v>
      </c>
      <c r="S1465" t="s">
        <v>7776</v>
      </c>
      <c r="T1465" t="s">
        <v>12620</v>
      </c>
      <c r="U1465" t="s">
        <v>12620</v>
      </c>
      <c r="V1465" t="s">
        <v>12620</v>
      </c>
      <c r="W1465" t="s">
        <v>14050</v>
      </c>
      <c r="X1465">
        <v>40</v>
      </c>
      <c r="Y1465" t="s">
        <v>20274</v>
      </c>
      <c r="Z1465" t="s">
        <v>26412</v>
      </c>
      <c r="AA1465">
        <v>0.44224125310615731</v>
      </c>
      <c r="AB1465" t="str">
        <f>HYPERLINK("Melting_Curves/meltCurve_P00558_PGK1.pdf", "Melting_Curves/meltCurve_P00558_PGK1.pdf")</f>
        <v>Melting_Curves/meltCurve_P00558_PGK1.pdf</v>
      </c>
    </row>
    <row r="1466" spans="1:28" x14ac:dyDescent="0.25">
      <c r="A1466" t="s">
        <v>1470</v>
      </c>
      <c r="B1466">
        <v>0.99987803227770999</v>
      </c>
      <c r="C1466">
        <v>0.83193528420237906</v>
      </c>
      <c r="D1466">
        <v>1.0048339175120899</v>
      </c>
      <c r="E1466">
        <v>0.75444565176204004</v>
      </c>
      <c r="F1466">
        <v>0.54162639801520596</v>
      </c>
      <c r="G1466">
        <v>0.21144547386682699</v>
      </c>
      <c r="H1466">
        <v>0.14263752954457101</v>
      </c>
      <c r="I1466">
        <v>0.121328211757519</v>
      </c>
      <c r="J1466">
        <v>9.92428597340997E-2</v>
      </c>
      <c r="K1466">
        <v>7.5481781768698103E-2</v>
      </c>
      <c r="L1466">
        <v>1080.8597243474301</v>
      </c>
      <c r="M1466">
        <v>20.5041782642265</v>
      </c>
      <c r="N1466">
        <v>53.176842888135802</v>
      </c>
      <c r="O1466">
        <v>52.220394825158898</v>
      </c>
      <c r="P1466">
        <v>-9.0144196143117306E-2</v>
      </c>
      <c r="Q1466">
        <v>8.1703915590308401E-2</v>
      </c>
      <c r="R1466">
        <v>0.97782827437181097</v>
      </c>
      <c r="S1466" t="s">
        <v>7777</v>
      </c>
      <c r="T1466" t="s">
        <v>12620</v>
      </c>
      <c r="U1466" t="s">
        <v>12620</v>
      </c>
      <c r="V1466" t="s">
        <v>12620</v>
      </c>
      <c r="W1466" t="s">
        <v>14051</v>
      </c>
      <c r="X1466">
        <v>16</v>
      </c>
      <c r="Y1466" t="s">
        <v>20275</v>
      </c>
      <c r="Z1466" t="s">
        <v>26413</v>
      </c>
      <c r="AA1466">
        <v>0.48300223654641272</v>
      </c>
      <c r="AB1466" t="str">
        <f>HYPERLINK("Melting_Curves/meltCurve_P00568_AK1.pdf", "Melting_Curves/meltCurve_P00568_AK1.pdf")</f>
        <v>Melting_Curves/meltCurve_P00568_AK1.pdf</v>
      </c>
    </row>
    <row r="1467" spans="1:28" x14ac:dyDescent="0.25">
      <c r="A1467" t="s">
        <v>1471</v>
      </c>
      <c r="B1467">
        <v>0.99987803227770999</v>
      </c>
      <c r="C1467">
        <v>0.91274919111234598</v>
      </c>
      <c r="D1467">
        <v>1.0505002926090301</v>
      </c>
      <c r="E1467">
        <v>0.95547257460294499</v>
      </c>
      <c r="F1467">
        <v>1.1377528030709501</v>
      </c>
      <c r="G1467">
        <v>0.99402035758660801</v>
      </c>
      <c r="H1467">
        <v>0.87755190435212005</v>
      </c>
      <c r="I1467">
        <v>0.487404096261564</v>
      </c>
      <c r="J1467">
        <v>0.16524201610141201</v>
      </c>
      <c r="K1467">
        <v>9.5286500207829902E-2</v>
      </c>
      <c r="L1467">
        <v>2782.8883087321801</v>
      </c>
      <c r="M1467">
        <v>43.7123463837519</v>
      </c>
      <c r="N1467">
        <v>63.902032097744602</v>
      </c>
      <c r="O1467">
        <v>63.530858773924699</v>
      </c>
      <c r="P1467">
        <v>-0.15907187780710699</v>
      </c>
      <c r="Q1467">
        <v>7.52307764558134E-2</v>
      </c>
      <c r="R1467">
        <v>0.97570146575017203</v>
      </c>
      <c r="S1467" t="s">
        <v>7778</v>
      </c>
      <c r="T1467" t="s">
        <v>12620</v>
      </c>
      <c r="U1467" t="s">
        <v>12620</v>
      </c>
      <c r="V1467" t="s">
        <v>12620</v>
      </c>
      <c r="W1467" t="s">
        <v>14052</v>
      </c>
      <c r="X1467">
        <v>18</v>
      </c>
      <c r="Y1467" t="s">
        <v>20276</v>
      </c>
      <c r="Z1467" t="s">
        <v>26414</v>
      </c>
      <c r="AA1467">
        <v>0.80699768734651656</v>
      </c>
      <c r="AB1467" t="str">
        <f>HYPERLINK("Melting_Curves/meltCurve_P00813_ADA.pdf", "Melting_Curves/meltCurve_P00813_ADA.pdf")</f>
        <v>Melting_Curves/meltCurve_P00813_ADA.pdf</v>
      </c>
    </row>
    <row r="1468" spans="1:28" x14ac:dyDescent="0.25">
      <c r="A1468" t="s">
        <v>1472</v>
      </c>
      <c r="B1468">
        <v>0.99987803227770999</v>
      </c>
      <c r="C1468">
        <v>1.11184267688558</v>
      </c>
      <c r="D1468">
        <v>0.766341988244026</v>
      </c>
      <c r="E1468">
        <v>0.40053522828634902</v>
      </c>
      <c r="F1468">
        <v>0.25190749128101297</v>
      </c>
      <c r="G1468">
        <v>0.17037593944599599</v>
      </c>
      <c r="H1468">
        <v>0.146532570168701</v>
      </c>
      <c r="I1468">
        <v>0.119707005484013</v>
      </c>
      <c r="J1468">
        <v>8.2595558245714504E-2</v>
      </c>
      <c r="K1468">
        <v>6.5367738669102601E-2</v>
      </c>
      <c r="L1468">
        <v>1147.67537907218</v>
      </c>
      <c r="M1468">
        <v>23.625591359569501</v>
      </c>
      <c r="N1468">
        <v>49.105897109715301</v>
      </c>
      <c r="O1468">
        <v>48.2336190491148</v>
      </c>
      <c r="P1468">
        <v>-0.10871476284107599</v>
      </c>
      <c r="Q1468">
        <v>0.112213904309746</v>
      </c>
      <c r="R1468">
        <v>0.978604152543466</v>
      </c>
      <c r="S1468" t="s">
        <v>7779</v>
      </c>
      <c r="T1468" t="s">
        <v>12620</v>
      </c>
      <c r="U1468" t="s">
        <v>12620</v>
      </c>
      <c r="V1468" t="s">
        <v>12620</v>
      </c>
      <c r="W1468" t="s">
        <v>14053</v>
      </c>
      <c r="X1468">
        <v>3</v>
      </c>
      <c r="Y1468" t="s">
        <v>20277</v>
      </c>
      <c r="Z1468" t="s">
        <v>26415</v>
      </c>
      <c r="AA1468">
        <v>0.37488414233769662</v>
      </c>
      <c r="AB1468" t="str">
        <f>HYPERLINK("Melting_Curves/meltCurve_P00966_ASS1.pdf", "Melting_Curves/meltCurve_P00966_ASS1.pdf")</f>
        <v>Melting_Curves/meltCurve_P00966_ASS1.pdf</v>
      </c>
    </row>
    <row r="1469" spans="1:28" x14ac:dyDescent="0.25">
      <c r="A1469" t="s">
        <v>1473</v>
      </c>
      <c r="B1469">
        <v>0.99987803227770999</v>
      </c>
      <c r="C1469">
        <v>1.06067922989284</v>
      </c>
      <c r="D1469">
        <v>1.0720267136475601</v>
      </c>
      <c r="E1469">
        <v>1.0056024141844</v>
      </c>
      <c r="F1469">
        <v>0.90449626541311101</v>
      </c>
      <c r="G1469">
        <v>0.76074584425499903</v>
      </c>
      <c r="H1469">
        <v>0.62603121106204596</v>
      </c>
      <c r="I1469">
        <v>0.67330219674043001</v>
      </c>
      <c r="J1469">
        <v>0.525242832858963</v>
      </c>
      <c r="K1469">
        <v>0.36293313424276802</v>
      </c>
      <c r="L1469">
        <v>637.36142487027303</v>
      </c>
      <c r="M1469">
        <v>9.8511350938023394</v>
      </c>
      <c r="N1469">
        <v>66.685473884679894</v>
      </c>
      <c r="O1469">
        <v>62.202350792186202</v>
      </c>
      <c r="P1469">
        <v>-3.4576962474742103E-2</v>
      </c>
      <c r="Q1469">
        <v>0.127141932782387</v>
      </c>
      <c r="R1469">
        <v>0.94030812536229402</v>
      </c>
      <c r="S1469" t="s">
        <v>7780</v>
      </c>
      <c r="T1469" t="s">
        <v>12620</v>
      </c>
      <c r="U1469" t="s">
        <v>12620</v>
      </c>
      <c r="V1469" t="s">
        <v>12620</v>
      </c>
      <c r="W1469" t="s">
        <v>14054</v>
      </c>
      <c r="X1469">
        <v>1</v>
      </c>
      <c r="Y1469" t="s">
        <v>20278</v>
      </c>
      <c r="Z1469" t="s">
        <v>26416</v>
      </c>
      <c r="AA1469">
        <v>0.80046588670005325</v>
      </c>
      <c r="AB1469" t="str">
        <f>HYPERLINK("Melting_Curves/meltCurve_P01009_SERPINA1.pdf", "Melting_Curves/meltCurve_P01009_SERPINA1.pdf")</f>
        <v>Melting_Curves/meltCurve_P01009_SERPINA1.pdf</v>
      </c>
    </row>
    <row r="1470" spans="1:28" x14ac:dyDescent="0.25">
      <c r="A1470" t="s">
        <v>1474</v>
      </c>
      <c r="B1470">
        <v>0.99987803227770999</v>
      </c>
      <c r="C1470">
        <v>0.95465522361736799</v>
      </c>
      <c r="D1470">
        <v>0.83984876783959606</v>
      </c>
      <c r="E1470">
        <v>1.1340054180595001</v>
      </c>
      <c r="F1470">
        <v>0.90593863583427503</v>
      </c>
      <c r="G1470">
        <v>1.0575233851266499</v>
      </c>
      <c r="H1470">
        <v>0.82217374020033795</v>
      </c>
      <c r="I1470">
        <v>0.59632851106748397</v>
      </c>
      <c r="J1470">
        <v>0.77400586440281705</v>
      </c>
      <c r="K1470">
        <v>0.45853398889214098</v>
      </c>
      <c r="L1470">
        <v>15000</v>
      </c>
      <c r="M1470">
        <v>245.723264554178</v>
      </c>
      <c r="O1470">
        <v>61.040237910231099</v>
      </c>
      <c r="P1470">
        <v>-0.39287651813483199</v>
      </c>
      <c r="Q1470">
        <v>0.60962140166251899</v>
      </c>
      <c r="R1470">
        <v>0.71939747145581201</v>
      </c>
      <c r="S1470" t="s">
        <v>7781</v>
      </c>
      <c r="T1470" t="s">
        <v>12620</v>
      </c>
      <c r="U1470" t="s">
        <v>12620</v>
      </c>
      <c r="V1470" t="s">
        <v>12620</v>
      </c>
      <c r="W1470" t="s">
        <v>14055</v>
      </c>
      <c r="X1470">
        <v>5</v>
      </c>
      <c r="Y1470" t="s">
        <v>20279</v>
      </c>
      <c r="Z1470" t="s">
        <v>26417</v>
      </c>
      <c r="AA1470">
        <v>0.8835059225578471</v>
      </c>
      <c r="AB1470" t="str">
        <f>HYPERLINK("Melting_Curves/meltCurve_P01023_A2M.pdf", "Melting_Curves/meltCurve_P01023_A2M.pdf")</f>
        <v>Melting_Curves/meltCurve_P01023_A2M.pdf</v>
      </c>
    </row>
    <row r="1471" spans="1:28" x14ac:dyDescent="0.25">
      <c r="A1471" t="s">
        <v>1475</v>
      </c>
      <c r="B1471">
        <v>0.99987803227770999</v>
      </c>
      <c r="C1471">
        <v>1.0387508514594199</v>
      </c>
      <c r="D1471">
        <v>0.99423402398508198</v>
      </c>
      <c r="E1471">
        <v>1.0123802709797001</v>
      </c>
      <c r="F1471">
        <v>0.86697432737080604</v>
      </c>
      <c r="G1471">
        <v>0.83546763362238097</v>
      </c>
      <c r="H1471">
        <v>0.76844393523358101</v>
      </c>
      <c r="I1471">
        <v>0.73171229625440803</v>
      </c>
      <c r="J1471">
        <v>0.57586211952662902</v>
      </c>
      <c r="K1471">
        <v>0.39442204154208599</v>
      </c>
      <c r="L1471">
        <v>655.65465159248004</v>
      </c>
      <c r="M1471">
        <v>9.5654578728054709</v>
      </c>
      <c r="N1471">
        <v>68.543990267807402</v>
      </c>
      <c r="O1471">
        <v>65.748974281530707</v>
      </c>
      <c r="P1471">
        <v>-3.63920873271305E-2</v>
      </c>
      <c r="Q1471">
        <v>0</v>
      </c>
      <c r="R1471">
        <v>0.95288051437981103</v>
      </c>
      <c r="S1471" t="s">
        <v>7782</v>
      </c>
      <c r="T1471" t="s">
        <v>12620</v>
      </c>
      <c r="U1471" t="s">
        <v>12620</v>
      </c>
      <c r="V1471" t="s">
        <v>12620</v>
      </c>
      <c r="W1471" t="s">
        <v>14056</v>
      </c>
      <c r="X1471">
        <v>3</v>
      </c>
      <c r="Y1471" t="s">
        <v>20280</v>
      </c>
      <c r="Z1471" t="s">
        <v>26418</v>
      </c>
      <c r="AA1471">
        <v>0.8401108991679469</v>
      </c>
      <c r="AB1471" t="str">
        <f>HYPERLINK("Melting_Curves/meltCurve_P01024_C3.pdf", "Melting_Curves/meltCurve_P01024_C3.pdf")</f>
        <v>Melting_Curves/meltCurve_P01024_C3.pdf</v>
      </c>
    </row>
    <row r="1472" spans="1:28" x14ac:dyDescent="0.25">
      <c r="A1472" t="s">
        <v>1476</v>
      </c>
      <c r="B1472">
        <v>0.99987803227770999</v>
      </c>
      <c r="C1472">
        <v>0.946243125646133</v>
      </c>
      <c r="D1472">
        <v>1.0731200792529401</v>
      </c>
      <c r="E1472">
        <v>0.97764108699087404</v>
      </c>
      <c r="F1472">
        <v>1.07181758577544</v>
      </c>
      <c r="G1472">
        <v>0.98732326398638903</v>
      </c>
      <c r="H1472">
        <v>0.933585808541324</v>
      </c>
      <c r="I1472">
        <v>0.776396088019502</v>
      </c>
      <c r="J1472">
        <v>0.51363771323182095</v>
      </c>
      <c r="K1472">
        <v>0.22969782569660199</v>
      </c>
      <c r="L1472">
        <v>1828.2133442054501</v>
      </c>
      <c r="M1472">
        <v>27.279258665076402</v>
      </c>
      <c r="N1472">
        <v>67.018439036097803</v>
      </c>
      <c r="O1472">
        <v>66.661389160715302</v>
      </c>
      <c r="P1472">
        <v>-0.102306280966316</v>
      </c>
      <c r="Q1472">
        <v>0</v>
      </c>
      <c r="R1472">
        <v>0.97886755942447701</v>
      </c>
      <c r="S1472" t="s">
        <v>7783</v>
      </c>
      <c r="T1472" t="s">
        <v>12620</v>
      </c>
      <c r="U1472" t="s">
        <v>12620</v>
      </c>
      <c r="V1472" t="s">
        <v>12620</v>
      </c>
      <c r="W1472" t="s">
        <v>14057</v>
      </c>
      <c r="X1472">
        <v>4</v>
      </c>
      <c r="Y1472" t="s">
        <v>20281</v>
      </c>
      <c r="Z1472" t="s">
        <v>26419</v>
      </c>
      <c r="AA1472">
        <v>0.88408529300553673</v>
      </c>
      <c r="AB1472" t="str">
        <f>HYPERLINK("Melting_Curves/meltCurve_P01034_CST3.pdf", "Melting_Curves/meltCurve_P01034_CST3.pdf")</f>
        <v>Melting_Curves/meltCurve_P01034_CST3.pdf</v>
      </c>
    </row>
    <row r="1473" spans="1:28" x14ac:dyDescent="0.25">
      <c r="A1473" t="s">
        <v>1477</v>
      </c>
      <c r="B1473">
        <v>0.99987803227770999</v>
      </c>
      <c r="C1473">
        <v>0.96232596976316298</v>
      </c>
      <c r="D1473">
        <v>1.04415218170772</v>
      </c>
      <c r="E1473">
        <v>0.91162301140899304</v>
      </c>
      <c r="F1473">
        <v>1.0839514932975101</v>
      </c>
      <c r="G1473">
        <v>0.83202510308500399</v>
      </c>
      <c r="H1473">
        <v>0.86707374434599405</v>
      </c>
      <c r="I1473">
        <v>0.98314437307270297</v>
      </c>
      <c r="J1473">
        <v>0.85207853228675501</v>
      </c>
      <c r="K1473">
        <v>0.63968285316379003</v>
      </c>
      <c r="L1473">
        <v>1171.84745943504</v>
      </c>
      <c r="M1473">
        <v>16.0216594289856</v>
      </c>
      <c r="Q1473">
        <v>0</v>
      </c>
      <c r="R1473">
        <v>0.59335888508774104</v>
      </c>
      <c r="S1473" t="s">
        <v>7784</v>
      </c>
      <c r="T1473" t="s">
        <v>12620</v>
      </c>
      <c r="U1473" t="s">
        <v>12620</v>
      </c>
      <c r="V1473" t="s">
        <v>12620</v>
      </c>
      <c r="W1473" t="s">
        <v>14058</v>
      </c>
      <c r="X1473">
        <v>2</v>
      </c>
      <c r="Y1473" t="s">
        <v>20282</v>
      </c>
      <c r="Z1473" t="s">
        <v>26420</v>
      </c>
      <c r="AA1473">
        <v>0.95085734102369301</v>
      </c>
      <c r="AB1473" t="str">
        <f>HYPERLINK("Melting_Curves/meltCurve_P01042_3_KNG1.pdf", "Melting_Curves/meltCurve_P01042_3_KNG1.pdf")</f>
        <v>Melting_Curves/meltCurve_P01042_3_KNG1.pdf</v>
      </c>
    </row>
    <row r="1474" spans="1:28" x14ac:dyDescent="0.25">
      <c r="A1474" t="s">
        <v>1478</v>
      </c>
      <c r="B1474">
        <v>0.99987803227770999</v>
      </c>
      <c r="C1474">
        <v>0.96374897222844402</v>
      </c>
      <c r="D1474">
        <v>1.0139948371235299</v>
      </c>
      <c r="E1474">
        <v>0.91664002135883405</v>
      </c>
      <c r="F1474">
        <v>0.83547983173348295</v>
      </c>
      <c r="G1474">
        <v>0.65106114196513898</v>
      </c>
      <c r="H1474">
        <v>0.38085234565319798</v>
      </c>
      <c r="I1474">
        <v>0.21665813454836699</v>
      </c>
      <c r="J1474">
        <v>8.3075637979164396E-2</v>
      </c>
      <c r="K1474">
        <v>4.7302533940289798E-2</v>
      </c>
      <c r="L1474">
        <v>969.95556026752604</v>
      </c>
      <c r="M1474">
        <v>16.4722669063501</v>
      </c>
      <c r="N1474">
        <v>58.884158138849102</v>
      </c>
      <c r="O1474">
        <v>58.036837278734502</v>
      </c>
      <c r="P1474">
        <v>-7.0961050338427395E-2</v>
      </c>
      <c r="Q1474">
        <v>0</v>
      </c>
      <c r="R1474">
        <v>0.995677456749818</v>
      </c>
      <c r="S1474" t="s">
        <v>7785</v>
      </c>
      <c r="T1474" t="s">
        <v>12620</v>
      </c>
      <c r="U1474" t="s">
        <v>12620</v>
      </c>
      <c r="V1474" t="s">
        <v>12620</v>
      </c>
      <c r="W1474" t="s">
        <v>14059</v>
      </c>
      <c r="X1474">
        <v>6</v>
      </c>
      <c r="Y1474" t="s">
        <v>20283</v>
      </c>
      <c r="Z1474" t="s">
        <v>26421</v>
      </c>
      <c r="AA1474">
        <v>0.64048981459684173</v>
      </c>
      <c r="AB1474" t="str">
        <f>HYPERLINK("Melting_Curves/meltCurve_P01111_NRAS.pdf", "Melting_Curves/meltCurve_P01111_NRAS.pdf")</f>
        <v>Melting_Curves/meltCurve_P01111_NRAS.pdf</v>
      </c>
    </row>
    <row r="1475" spans="1:28" x14ac:dyDescent="0.25">
      <c r="A1475" t="s">
        <v>1479</v>
      </c>
      <c r="B1475">
        <v>0.99987803227770999</v>
      </c>
      <c r="C1475">
        <v>0.969714115842644</v>
      </c>
      <c r="D1475">
        <v>1.0262384174054</v>
      </c>
      <c r="E1475">
        <v>0.901726306615238</v>
      </c>
      <c r="F1475">
        <v>0.95487331735992598</v>
      </c>
      <c r="G1475">
        <v>0.98934752720557295</v>
      </c>
      <c r="H1475">
        <v>0.54405764792516298</v>
      </c>
      <c r="I1475">
        <v>0.39199729232027702</v>
      </c>
      <c r="J1475">
        <v>0.15442892628338101</v>
      </c>
      <c r="K1475">
        <v>0.133505650925169</v>
      </c>
      <c r="L1475">
        <v>1768.3893518539901</v>
      </c>
      <c r="M1475">
        <v>28.7528032507802</v>
      </c>
      <c r="N1475">
        <v>62.025539827177901</v>
      </c>
      <c r="O1475">
        <v>61.208019702937698</v>
      </c>
      <c r="P1475">
        <v>-0.104811647558733</v>
      </c>
      <c r="Q1475">
        <v>0.10752885111633401</v>
      </c>
      <c r="R1475">
        <v>0.977666258695846</v>
      </c>
      <c r="S1475" t="s">
        <v>7786</v>
      </c>
      <c r="T1475" t="s">
        <v>12620</v>
      </c>
      <c r="U1475" t="s">
        <v>12620</v>
      </c>
      <c r="V1475" t="s">
        <v>12620</v>
      </c>
      <c r="W1475" t="s">
        <v>14060</v>
      </c>
      <c r="X1475">
        <v>5</v>
      </c>
      <c r="Y1475" t="s">
        <v>20284</v>
      </c>
      <c r="Z1475" t="s">
        <v>26422</v>
      </c>
      <c r="AA1475">
        <v>0.75193372125824987</v>
      </c>
      <c r="AB1475" t="str">
        <f>HYPERLINK("Melting_Curves/meltCurve_P01116_2_KRAS.pdf", "Melting_Curves/meltCurve_P01116_2_KRAS.pdf")</f>
        <v>Melting_Curves/meltCurve_P01116_2_KRAS.pdf</v>
      </c>
    </row>
    <row r="1476" spans="1:28" x14ac:dyDescent="0.25">
      <c r="A1476" t="s">
        <v>1480</v>
      </c>
      <c r="B1476">
        <v>0.99987803227770999</v>
      </c>
      <c r="C1476">
        <v>0.94201784281566403</v>
      </c>
      <c r="D1476">
        <v>0.96989826436979898</v>
      </c>
      <c r="E1476">
        <v>0.90834948125036996</v>
      </c>
      <c r="F1476">
        <v>0.80069105310070798</v>
      </c>
      <c r="G1476">
        <v>0.71573310278452995</v>
      </c>
      <c r="H1476">
        <v>0.58552047470757596</v>
      </c>
      <c r="I1476">
        <v>0.44132053082600098</v>
      </c>
      <c r="J1476">
        <v>0.31225055311202299</v>
      </c>
      <c r="K1476">
        <v>0.23335535268468299</v>
      </c>
      <c r="L1476">
        <v>594.25509435820697</v>
      </c>
      <c r="M1476">
        <v>9.5601878613996192</v>
      </c>
      <c r="N1476">
        <v>62.159333020161803</v>
      </c>
      <c r="O1476">
        <v>59.6220723849951</v>
      </c>
      <c r="P1476">
        <v>-4.0109759151553799E-2</v>
      </c>
      <c r="Q1476">
        <v>0</v>
      </c>
      <c r="R1476">
        <v>0.99127435284018195</v>
      </c>
      <c r="S1476" t="s">
        <v>7787</v>
      </c>
      <c r="T1476" t="s">
        <v>12620</v>
      </c>
      <c r="U1476" t="s">
        <v>12620</v>
      </c>
      <c r="V1476" t="s">
        <v>12620</v>
      </c>
      <c r="W1476" t="s">
        <v>14061</v>
      </c>
      <c r="X1476">
        <v>7</v>
      </c>
      <c r="Y1476" t="s">
        <v>20285</v>
      </c>
      <c r="Z1476" t="s">
        <v>26423</v>
      </c>
      <c r="AA1476">
        <v>0.71300150762821923</v>
      </c>
      <c r="AB1476" t="str">
        <f>HYPERLINK("Melting_Curves/meltCurve_P01130_3_LDLR.pdf", "Melting_Curves/meltCurve_P01130_3_LDLR.pdf")</f>
        <v>Melting_Curves/meltCurve_P01130_3_LDLR.pdf</v>
      </c>
    </row>
    <row r="1477" spans="1:28" x14ac:dyDescent="0.25">
      <c r="A1477" t="s">
        <v>1481</v>
      </c>
      <c r="B1477">
        <v>0.99987803227770999</v>
      </c>
      <c r="C1477">
        <v>1.0792402009650299</v>
      </c>
      <c r="D1477">
        <v>0.91616506301688005</v>
      </c>
      <c r="E1477">
        <v>0.99282105241209395</v>
      </c>
      <c r="F1477">
        <v>0.87724152767758601</v>
      </c>
      <c r="G1477">
        <v>0.71580178624702895</v>
      </c>
      <c r="H1477">
        <v>0.49811524159509102</v>
      </c>
      <c r="I1477">
        <v>0.25268029327077801</v>
      </c>
      <c r="J1477">
        <v>0.12873821080783801</v>
      </c>
      <c r="K1477">
        <v>8.1232408733333206E-2</v>
      </c>
      <c r="L1477">
        <v>1023.66228211141</v>
      </c>
      <c r="M1477">
        <v>16.982439798967899</v>
      </c>
      <c r="N1477">
        <v>60.277692388317803</v>
      </c>
      <c r="O1477">
        <v>59.460500809177297</v>
      </c>
      <c r="P1477">
        <v>-7.1406623917898496E-2</v>
      </c>
      <c r="Q1477">
        <v>0</v>
      </c>
      <c r="R1477">
        <v>0.98661297771963696</v>
      </c>
      <c r="S1477" t="s">
        <v>7788</v>
      </c>
      <c r="T1477" t="s">
        <v>12620</v>
      </c>
      <c r="U1477" t="s">
        <v>12620</v>
      </c>
      <c r="V1477" t="s">
        <v>12620</v>
      </c>
      <c r="W1477" t="s">
        <v>14062</v>
      </c>
      <c r="X1477">
        <v>4</v>
      </c>
      <c r="Y1477" t="s">
        <v>20286</v>
      </c>
      <c r="Z1477" t="s">
        <v>26424</v>
      </c>
      <c r="AA1477">
        <v>0.68306630114884992</v>
      </c>
      <c r="AB1477" t="str">
        <f>HYPERLINK("Melting_Curves/meltCurve_P01137_TGFB1.pdf", "Melting_Curves/meltCurve_P01137_TGFB1.pdf")</f>
        <v>Melting_Curves/meltCurve_P01137_TGFB1.pdf</v>
      </c>
    </row>
    <row r="1478" spans="1:28" x14ac:dyDescent="0.25">
      <c r="A1478" t="s">
        <v>1482</v>
      </c>
      <c r="B1478">
        <v>0.99987803227770999</v>
      </c>
      <c r="C1478">
        <v>1.02656585991205</v>
      </c>
      <c r="D1478">
        <v>0.91628397345934798</v>
      </c>
      <c r="E1478">
        <v>0.71003062768596503</v>
      </c>
      <c r="F1478">
        <v>0.70780197022642399</v>
      </c>
      <c r="G1478">
        <v>0.56966662667087697</v>
      </c>
      <c r="H1478">
        <v>0.44925485872611498</v>
      </c>
      <c r="I1478">
        <v>0.483758254889049</v>
      </c>
      <c r="J1478">
        <v>0.270772907232121</v>
      </c>
      <c r="K1478">
        <v>0.275539170526998</v>
      </c>
      <c r="L1478">
        <v>470.95537075258102</v>
      </c>
      <c r="M1478">
        <v>8.2393162769608495</v>
      </c>
      <c r="N1478">
        <v>59.338749368789699</v>
      </c>
      <c r="O1478">
        <v>54.088917541841298</v>
      </c>
      <c r="P1478">
        <v>-3.3144201064776002E-2</v>
      </c>
      <c r="Q1478">
        <v>0.130549261005213</v>
      </c>
      <c r="R1478">
        <v>0.95987743224334499</v>
      </c>
      <c r="S1478" t="s">
        <v>7789</v>
      </c>
      <c r="T1478" t="s">
        <v>12620</v>
      </c>
      <c r="U1478" t="s">
        <v>12620</v>
      </c>
      <c r="V1478" t="s">
        <v>12620</v>
      </c>
      <c r="W1478" t="s">
        <v>14063</v>
      </c>
      <c r="X1478">
        <v>1</v>
      </c>
      <c r="Y1478" t="s">
        <v>20287</v>
      </c>
      <c r="Z1478" t="s">
        <v>26425</v>
      </c>
      <c r="AA1478">
        <v>0.63777438614568871</v>
      </c>
      <c r="AB1478" t="str">
        <f>HYPERLINK("Melting_Curves/meltCurve_P01859_IGHG2.pdf", "Melting_Curves/meltCurve_P01859_IGHG2.pdf")</f>
        <v>Melting_Curves/meltCurve_P01859_IGHG2.pdf</v>
      </c>
    </row>
    <row r="1479" spans="1:28" x14ac:dyDescent="0.25">
      <c r="A1479" t="s">
        <v>1483</v>
      </c>
      <c r="B1479">
        <v>0.99987803227770999</v>
      </c>
      <c r="C1479">
        <v>1.0083152735299901</v>
      </c>
      <c r="D1479">
        <v>0.99164739256998502</v>
      </c>
      <c r="E1479">
        <v>0.935841266681815</v>
      </c>
      <c r="F1479">
        <v>1.0158377270130601</v>
      </c>
      <c r="G1479">
        <v>0.87260443639677499</v>
      </c>
      <c r="H1479">
        <v>1.01671113971904</v>
      </c>
      <c r="I1479">
        <v>0.92239144756688496</v>
      </c>
      <c r="J1479">
        <v>1.02294346927597</v>
      </c>
      <c r="K1479">
        <v>0.81587405975731497</v>
      </c>
      <c r="L1479">
        <v>15000</v>
      </c>
      <c r="M1479">
        <v>212.797058634352</v>
      </c>
      <c r="Q1479">
        <v>0</v>
      </c>
      <c r="R1479">
        <v>0.39589725005149401</v>
      </c>
      <c r="S1479" t="s">
        <v>7790</v>
      </c>
      <c r="T1479" t="s">
        <v>12620</v>
      </c>
      <c r="U1479" t="s">
        <v>12620</v>
      </c>
      <c r="V1479" t="s">
        <v>12620</v>
      </c>
      <c r="W1479" t="s">
        <v>14064</v>
      </c>
      <c r="X1479">
        <v>9</v>
      </c>
      <c r="Y1479" t="s">
        <v>20288</v>
      </c>
      <c r="Z1479" t="s">
        <v>26426</v>
      </c>
      <c r="AA1479">
        <v>0.99780564382142212</v>
      </c>
      <c r="AB1479" t="str">
        <f>HYPERLINK("Melting_Curves/meltCurve_P02452_COL1A1.pdf", "Melting_Curves/meltCurve_P02452_COL1A1.pdf")</f>
        <v>Melting_Curves/meltCurve_P02452_COL1A1.pdf</v>
      </c>
    </row>
    <row r="1480" spans="1:28" x14ac:dyDescent="0.25">
      <c r="A1480" t="s">
        <v>1484</v>
      </c>
      <c r="B1480">
        <v>0.99987803227770999</v>
      </c>
      <c r="C1480">
        <v>0.98173440474697504</v>
      </c>
      <c r="D1480">
        <v>1.03541543008038</v>
      </c>
      <c r="E1480">
        <v>1.0042228712372001</v>
      </c>
      <c r="F1480">
        <v>0.95833807069902399</v>
      </c>
      <c r="G1480">
        <v>0.814357418684165</v>
      </c>
      <c r="H1480">
        <v>0.56643517011259603</v>
      </c>
      <c r="I1480">
        <v>0.544732700736828</v>
      </c>
      <c r="J1480">
        <v>0.40661091513014602</v>
      </c>
      <c r="K1480">
        <v>0.323414772876226</v>
      </c>
      <c r="L1480">
        <v>1029.7176810112101</v>
      </c>
      <c r="M1480">
        <v>17.012544641420099</v>
      </c>
      <c r="N1480">
        <v>63.649242213745602</v>
      </c>
      <c r="O1480">
        <v>59.709227252275198</v>
      </c>
      <c r="P1480">
        <v>-5.1078321268070701E-2</v>
      </c>
      <c r="Q1480">
        <v>0.28296225852064399</v>
      </c>
      <c r="R1480">
        <v>0.98635465056841498</v>
      </c>
      <c r="S1480" t="s">
        <v>7791</v>
      </c>
      <c r="T1480" t="s">
        <v>12620</v>
      </c>
      <c r="U1480" t="s">
        <v>12620</v>
      </c>
      <c r="V1480" t="s">
        <v>12620</v>
      </c>
      <c r="W1480" t="s">
        <v>14065</v>
      </c>
      <c r="X1480">
        <v>3</v>
      </c>
      <c r="Y1480" t="s">
        <v>20289</v>
      </c>
      <c r="Z1480" t="s">
        <v>26427</v>
      </c>
      <c r="AA1480">
        <v>0.77812283963999429</v>
      </c>
      <c r="AB1480" t="str">
        <f>HYPERLINK("Melting_Curves/meltCurve_P02462_COL4A1.pdf", "Melting_Curves/meltCurve_P02462_COL4A1.pdf")</f>
        <v>Melting_Curves/meltCurve_P02462_COL4A1.pdf</v>
      </c>
    </row>
    <row r="1481" spans="1:28" x14ac:dyDescent="0.25">
      <c r="A1481" t="s">
        <v>1485</v>
      </c>
      <c r="B1481">
        <v>0.99987803227770999</v>
      </c>
      <c r="C1481">
        <v>0.93482637535122703</v>
      </c>
      <c r="D1481">
        <v>0.98962319874092897</v>
      </c>
      <c r="E1481">
        <v>0.93644210054210497</v>
      </c>
      <c r="F1481">
        <v>1.0272865230157899</v>
      </c>
      <c r="G1481">
        <v>0.85244619300243196</v>
      </c>
      <c r="H1481">
        <v>0.58454270564420197</v>
      </c>
      <c r="I1481">
        <v>0.42079162196699399</v>
      </c>
      <c r="J1481">
        <v>0.38553492712700699</v>
      </c>
      <c r="K1481">
        <v>0.31237260591524102</v>
      </c>
      <c r="L1481">
        <v>1577.4520694259099</v>
      </c>
      <c r="M1481">
        <v>26.305629043075999</v>
      </c>
      <c r="N1481">
        <v>62.357591956562402</v>
      </c>
      <c r="O1481">
        <v>59.6230011726391</v>
      </c>
      <c r="P1481">
        <v>-7.5262374210427196E-2</v>
      </c>
      <c r="Q1481">
        <v>0.317664014581721</v>
      </c>
      <c r="R1481">
        <v>0.98429893490953002</v>
      </c>
      <c r="S1481" t="s">
        <v>7792</v>
      </c>
      <c r="T1481" t="s">
        <v>12620</v>
      </c>
      <c r="U1481" t="s">
        <v>12620</v>
      </c>
      <c r="V1481" t="s">
        <v>12620</v>
      </c>
      <c r="W1481" t="s">
        <v>14066</v>
      </c>
      <c r="X1481">
        <v>62</v>
      </c>
      <c r="Y1481" t="s">
        <v>20290</v>
      </c>
      <c r="Z1481" t="s">
        <v>26428</v>
      </c>
      <c r="AA1481">
        <v>0.7766326708837018</v>
      </c>
      <c r="AB1481" t="str">
        <f>HYPERLINK("Melting_Curves/meltCurve_P02545_LMNA.pdf", "Melting_Curves/meltCurve_P02545_LMNA.pdf")</f>
        <v>Melting_Curves/meltCurve_P02545_LMNA.pdf</v>
      </c>
    </row>
    <row r="1482" spans="1:28" x14ac:dyDescent="0.25">
      <c r="A1482" t="s">
        <v>1486</v>
      </c>
      <c r="B1482">
        <v>0.99987803227770999</v>
      </c>
      <c r="C1482">
        <v>0.94378055410671102</v>
      </c>
      <c r="D1482">
        <v>0.92974302717264601</v>
      </c>
      <c r="E1482">
        <v>0.83907698761404903</v>
      </c>
      <c r="F1482">
        <v>0.81463268653560095</v>
      </c>
      <c r="G1482">
        <v>0.59555557120209301</v>
      </c>
      <c r="H1482">
        <v>0.59938236267970502</v>
      </c>
      <c r="I1482">
        <v>0.64431975581784495</v>
      </c>
      <c r="J1482">
        <v>0.41232617451820402</v>
      </c>
      <c r="K1482">
        <v>0.33266166396239299</v>
      </c>
      <c r="L1482">
        <v>389.21527069429402</v>
      </c>
      <c r="M1482">
        <v>6.0329570073682497</v>
      </c>
      <c r="N1482">
        <v>64.5148424222903</v>
      </c>
      <c r="O1482">
        <v>58.499433838208603</v>
      </c>
      <c r="P1482">
        <v>-2.5864000901031099E-2</v>
      </c>
      <c r="Q1482">
        <v>0</v>
      </c>
      <c r="R1482">
        <v>0.93320574582184601</v>
      </c>
      <c r="S1482" t="s">
        <v>7793</v>
      </c>
      <c r="T1482" t="s">
        <v>12620</v>
      </c>
      <c r="U1482" t="s">
        <v>12620</v>
      </c>
      <c r="V1482" t="s">
        <v>12620</v>
      </c>
      <c r="W1482" t="s">
        <v>14067</v>
      </c>
      <c r="X1482">
        <v>60</v>
      </c>
      <c r="Y1482" t="s">
        <v>20290</v>
      </c>
      <c r="Z1482" t="s">
        <v>26429</v>
      </c>
      <c r="AA1482">
        <v>0.71820937339738411</v>
      </c>
      <c r="AB1482" t="str">
        <f>HYPERLINK("Melting_Curves/meltCurve_P02545_2_LMNA.pdf", "Melting_Curves/meltCurve_P02545_2_LMNA.pdf")</f>
        <v>Melting_Curves/meltCurve_P02545_2_LMNA.pdf</v>
      </c>
    </row>
    <row r="1483" spans="1:28" x14ac:dyDescent="0.25">
      <c r="A1483" t="s">
        <v>1487</v>
      </c>
      <c r="B1483">
        <v>0.99987803227770999</v>
      </c>
      <c r="C1483">
        <v>1.1289696456314999</v>
      </c>
      <c r="D1483">
        <v>1.05649872977155</v>
      </c>
      <c r="E1483">
        <v>0.95977422101023702</v>
      </c>
      <c r="F1483">
        <v>0.941625613572461</v>
      </c>
      <c r="G1483">
        <v>0.933467065205007</v>
      </c>
      <c r="H1483">
        <v>0.74380408184319702</v>
      </c>
      <c r="I1483">
        <v>0.88602162705038301</v>
      </c>
      <c r="J1483">
        <v>0.62263468753683304</v>
      </c>
      <c r="K1483">
        <v>0.47156205058818601</v>
      </c>
      <c r="L1483">
        <v>810.03176259858697</v>
      </c>
      <c r="M1483">
        <v>11.5496534526832</v>
      </c>
      <c r="O1483">
        <v>68.131068871227697</v>
      </c>
      <c r="P1483">
        <v>-4.2392130877050897E-2</v>
      </c>
      <c r="Q1483">
        <v>0</v>
      </c>
      <c r="R1483">
        <v>0.85775981515843103</v>
      </c>
      <c r="S1483" t="s">
        <v>7794</v>
      </c>
      <c r="T1483" t="s">
        <v>12620</v>
      </c>
      <c r="U1483" t="s">
        <v>12620</v>
      </c>
      <c r="V1483" t="s">
        <v>12620</v>
      </c>
      <c r="W1483" t="s">
        <v>14068</v>
      </c>
      <c r="X1483">
        <v>5</v>
      </c>
      <c r="Y1483" t="s">
        <v>20291</v>
      </c>
      <c r="Z1483" t="s">
        <v>26430</v>
      </c>
      <c r="AA1483">
        <v>0.88466132471361503</v>
      </c>
      <c r="AB1483" t="str">
        <f>HYPERLINK("Melting_Curves/meltCurve_P02647_APOA1.pdf", "Melting_Curves/meltCurve_P02647_APOA1.pdf")</f>
        <v>Melting_Curves/meltCurve_P02647_APOA1.pdf</v>
      </c>
    </row>
    <row r="1484" spans="1:28" x14ac:dyDescent="0.25">
      <c r="A1484" t="s">
        <v>1488</v>
      </c>
      <c r="B1484">
        <v>0.99987803227770999</v>
      </c>
      <c r="C1484">
        <v>1.14181969131648</v>
      </c>
      <c r="D1484">
        <v>1.0119489220081801</v>
      </c>
      <c r="E1484">
        <v>0.98668696431799197</v>
      </c>
      <c r="F1484">
        <v>1.0346373396139601</v>
      </c>
      <c r="G1484">
        <v>1.2597254809866201</v>
      </c>
      <c r="H1484">
        <v>1.15096113297637</v>
      </c>
      <c r="I1484">
        <v>1.0612387805379799</v>
      </c>
      <c r="J1484">
        <v>0.87061893141532798</v>
      </c>
      <c r="K1484">
        <v>0.85604593748582003</v>
      </c>
      <c r="L1484">
        <v>15000</v>
      </c>
      <c r="M1484">
        <v>226.04333385978001</v>
      </c>
      <c r="O1484">
        <v>66.353768357260606</v>
      </c>
      <c r="P1484">
        <v>-0.122710057171893</v>
      </c>
      <c r="Q1484">
        <v>0.85591658130104098</v>
      </c>
      <c r="R1484">
        <v>0.16892110606785099</v>
      </c>
      <c r="S1484" t="s">
        <v>7795</v>
      </c>
      <c r="T1484" t="s">
        <v>12620</v>
      </c>
      <c r="U1484" t="s">
        <v>12620</v>
      </c>
      <c r="V1484" t="s">
        <v>12620</v>
      </c>
      <c r="W1484" t="s">
        <v>14069</v>
      </c>
      <c r="X1484">
        <v>1</v>
      </c>
      <c r="Y1484" t="s">
        <v>20292</v>
      </c>
      <c r="Z1484" t="s">
        <v>26431</v>
      </c>
      <c r="AA1484">
        <v>0.98253338558288184</v>
      </c>
      <c r="AB1484" t="str">
        <f>HYPERLINK("Melting_Curves/meltCurve_P02656_APOC3.pdf", "Melting_Curves/meltCurve_P02656_APOC3.pdf")</f>
        <v>Melting_Curves/meltCurve_P02656_APOC3.pdf</v>
      </c>
    </row>
    <row r="1485" spans="1:28" x14ac:dyDescent="0.25">
      <c r="A1485" t="s">
        <v>1489</v>
      </c>
      <c r="B1485">
        <v>0.99987803227770999</v>
      </c>
      <c r="C1485">
        <v>0.92440433380817399</v>
      </c>
      <c r="D1485">
        <v>0.96112565104852499</v>
      </c>
      <c r="E1485">
        <v>0.98009244126228801</v>
      </c>
      <c r="F1485">
        <v>0.90336704071789897</v>
      </c>
      <c r="G1485">
        <v>0.91331230762248095</v>
      </c>
      <c r="H1485">
        <v>0.91379913351386699</v>
      </c>
      <c r="I1485">
        <v>0.784182730351899</v>
      </c>
      <c r="J1485">
        <v>0.78274745794477896</v>
      </c>
      <c r="K1485">
        <v>0.57754887397010302</v>
      </c>
      <c r="L1485">
        <v>645.90406540502897</v>
      </c>
      <c r="M1485">
        <v>8.7011610677521904</v>
      </c>
      <c r="Q1485">
        <v>0</v>
      </c>
      <c r="R1485">
        <v>0.85904987934757804</v>
      </c>
      <c r="S1485" t="s">
        <v>7796</v>
      </c>
      <c r="T1485" t="s">
        <v>12620</v>
      </c>
      <c r="U1485" t="s">
        <v>12620</v>
      </c>
      <c r="V1485" t="s">
        <v>12620</v>
      </c>
      <c r="W1485" t="s">
        <v>14070</v>
      </c>
      <c r="X1485">
        <v>2</v>
      </c>
      <c r="Y1485" t="s">
        <v>20293</v>
      </c>
      <c r="Z1485" t="s">
        <v>26432</v>
      </c>
      <c r="AA1485">
        <v>0.90422979697084471</v>
      </c>
      <c r="AB1485" t="str">
        <f>HYPERLINK("Melting_Curves/meltCurve_P02751_12_FN1.pdf", "Melting_Curves/meltCurve_P02751_12_FN1.pdf")</f>
        <v>Melting_Curves/meltCurve_P02751_12_FN1.pdf</v>
      </c>
    </row>
    <row r="1486" spans="1:28" x14ac:dyDescent="0.25">
      <c r="A1486" t="s">
        <v>1490</v>
      </c>
      <c r="B1486">
        <v>0.99987803227770999</v>
      </c>
      <c r="C1486">
        <v>1.0715896993735099</v>
      </c>
      <c r="D1486">
        <v>0.71733603842416505</v>
      </c>
      <c r="E1486">
        <v>0.93112466798220594</v>
      </c>
      <c r="F1486">
        <v>0.58109845912068803</v>
      </c>
      <c r="G1486">
        <v>0.41194353650418702</v>
      </c>
      <c r="H1486">
        <v>0.40839381935332197</v>
      </c>
      <c r="I1486">
        <v>0.47762744019421299</v>
      </c>
      <c r="J1486">
        <v>0.25312607664597903</v>
      </c>
      <c r="K1486">
        <v>0.26416689723013698</v>
      </c>
      <c r="L1486">
        <v>641.03628380710802</v>
      </c>
      <c r="M1486">
        <v>12.0408270514697</v>
      </c>
      <c r="N1486">
        <v>56.631818633856099</v>
      </c>
      <c r="O1486">
        <v>51.833877023023597</v>
      </c>
      <c r="P1486">
        <v>-4.3160545406515698E-2</v>
      </c>
      <c r="Q1486">
        <v>0.25697919128549801</v>
      </c>
      <c r="R1486">
        <v>0.87129091541535997</v>
      </c>
      <c r="S1486" t="s">
        <v>7797</v>
      </c>
      <c r="T1486" t="s">
        <v>12620</v>
      </c>
      <c r="U1486" t="s">
        <v>12620</v>
      </c>
      <c r="V1486" t="s">
        <v>12620</v>
      </c>
      <c r="W1486" t="s">
        <v>14071</v>
      </c>
      <c r="X1486">
        <v>1</v>
      </c>
      <c r="Y1486" t="s">
        <v>20294</v>
      </c>
      <c r="Z1486" t="s">
        <v>26433</v>
      </c>
      <c r="AA1486">
        <v>0.60554256758917446</v>
      </c>
      <c r="AB1486" t="str">
        <f>HYPERLINK("Melting_Curves/meltCurve_P02763_ORM1.pdf", "Melting_Curves/meltCurve_P02763_ORM1.pdf")</f>
        <v>Melting_Curves/meltCurve_P02763_ORM1.pdf</v>
      </c>
    </row>
    <row r="1487" spans="1:28" x14ac:dyDescent="0.25">
      <c r="A1487" t="s">
        <v>1491</v>
      </c>
      <c r="B1487">
        <v>0.99987803227770999</v>
      </c>
      <c r="C1487">
        <v>0.83304272625525</v>
      </c>
      <c r="D1487">
        <v>0.88407748840289002</v>
      </c>
      <c r="E1487">
        <v>0.81023287757665097</v>
      </c>
      <c r="F1487">
        <v>1.0339365315421101</v>
      </c>
      <c r="G1487">
        <v>0.67288038503866898</v>
      </c>
      <c r="H1487">
        <v>0.90991113301150595</v>
      </c>
      <c r="I1487">
        <v>0.81633754190602303</v>
      </c>
      <c r="J1487">
        <v>1.11800894545521</v>
      </c>
      <c r="K1487">
        <v>0.80410601068027099</v>
      </c>
      <c r="L1487">
        <v>10239.177785428899</v>
      </c>
      <c r="M1487">
        <v>250</v>
      </c>
      <c r="O1487">
        <v>40.954104633321997</v>
      </c>
      <c r="P1487">
        <v>-0.18948501807200299</v>
      </c>
      <c r="Q1487">
        <v>0.87583701560648197</v>
      </c>
      <c r="R1487">
        <v>8.9493031029800801E-2</v>
      </c>
      <c r="S1487" t="s">
        <v>7798</v>
      </c>
      <c r="T1487" t="s">
        <v>12620</v>
      </c>
      <c r="U1487" t="s">
        <v>12620</v>
      </c>
      <c r="V1487" t="s">
        <v>12620</v>
      </c>
      <c r="W1487" t="s">
        <v>14072</v>
      </c>
      <c r="X1487">
        <v>3</v>
      </c>
      <c r="Y1487" t="s">
        <v>20295</v>
      </c>
      <c r="Z1487" t="s">
        <v>26434</v>
      </c>
      <c r="AA1487">
        <v>0.87980716561761729</v>
      </c>
      <c r="AB1487" t="str">
        <f>HYPERLINK("Melting_Curves/meltCurve_P02765_AHSG.pdf", "Melting_Curves/meltCurve_P02765_AHSG.pdf")</f>
        <v>Melting_Curves/meltCurve_P02765_AHSG.pdf</v>
      </c>
    </row>
    <row r="1488" spans="1:28" x14ac:dyDescent="0.25">
      <c r="A1488" t="s">
        <v>1492</v>
      </c>
      <c r="B1488">
        <v>0.99987803227770999</v>
      </c>
      <c r="C1488">
        <v>1.06743069920811</v>
      </c>
      <c r="D1488">
        <v>1.0794297203349299</v>
      </c>
      <c r="E1488">
        <v>1.0422957204282099</v>
      </c>
      <c r="F1488">
        <v>1.0471271241568301</v>
      </c>
      <c r="G1488">
        <v>1.0705277708865499</v>
      </c>
      <c r="H1488">
        <v>0.78204241387406803</v>
      </c>
      <c r="I1488">
        <v>0.32361071634597199</v>
      </c>
      <c r="J1488">
        <v>0.21420056074115201</v>
      </c>
      <c r="K1488">
        <v>0.123503054322827</v>
      </c>
      <c r="L1488">
        <v>3186.1379651145498</v>
      </c>
      <c r="M1488">
        <v>51.140816246032998</v>
      </c>
      <c r="N1488">
        <v>62.752387474575698</v>
      </c>
      <c r="O1488">
        <v>62.206231833617899</v>
      </c>
      <c r="P1488">
        <v>-0.17391554277619101</v>
      </c>
      <c r="Q1488">
        <v>0.15381702347168499</v>
      </c>
      <c r="R1488">
        <v>0.98327821137835802</v>
      </c>
      <c r="S1488" t="s">
        <v>7799</v>
      </c>
      <c r="T1488" t="s">
        <v>12620</v>
      </c>
      <c r="U1488" t="s">
        <v>12620</v>
      </c>
      <c r="V1488" t="s">
        <v>12620</v>
      </c>
      <c r="W1488" t="s">
        <v>14073</v>
      </c>
      <c r="X1488">
        <v>3</v>
      </c>
      <c r="Y1488" t="s">
        <v>20296</v>
      </c>
      <c r="Z1488" t="s">
        <v>26435</v>
      </c>
      <c r="AA1488">
        <v>0.78490762774352829</v>
      </c>
      <c r="AB1488" t="str">
        <f>HYPERLINK("Melting_Curves/meltCurve_P02771_AFP.pdf", "Melting_Curves/meltCurve_P02771_AFP.pdf")</f>
        <v>Melting_Curves/meltCurve_P02771_AFP.pdf</v>
      </c>
    </row>
    <row r="1489" spans="1:28" x14ac:dyDescent="0.25">
      <c r="A1489" t="s">
        <v>1493</v>
      </c>
      <c r="B1489">
        <v>0.99987803227770999</v>
      </c>
      <c r="C1489">
        <v>1.0145898661558901</v>
      </c>
      <c r="D1489">
        <v>1.02240523030411</v>
      </c>
      <c r="E1489">
        <v>1.0176210933112999</v>
      </c>
      <c r="F1489">
        <v>0.995523291121583</v>
      </c>
      <c r="G1489">
        <v>0.99467329967689899</v>
      </c>
      <c r="H1489">
        <v>1.1876241166138399</v>
      </c>
      <c r="I1489">
        <v>1.0320072780559499</v>
      </c>
      <c r="J1489">
        <v>1.0748259060912699</v>
      </c>
      <c r="K1489">
        <v>0.60945981730543397</v>
      </c>
      <c r="L1489">
        <v>15000</v>
      </c>
      <c r="M1489">
        <v>213.84061448736199</v>
      </c>
      <c r="Q1489">
        <v>0</v>
      </c>
      <c r="R1489">
        <v>0.78014418334665703</v>
      </c>
      <c r="S1489" t="s">
        <v>7800</v>
      </c>
      <c r="T1489" t="s">
        <v>12620</v>
      </c>
      <c r="U1489" t="s">
        <v>12620</v>
      </c>
      <c r="V1489" t="s">
        <v>12620</v>
      </c>
      <c r="W1489" t="s">
        <v>14074</v>
      </c>
      <c r="X1489">
        <v>5</v>
      </c>
      <c r="Y1489" t="s">
        <v>20297</v>
      </c>
      <c r="Z1489" t="s">
        <v>26436</v>
      </c>
      <c r="AA1489">
        <v>0.99466432113790926</v>
      </c>
      <c r="AB1489" t="str">
        <f>HYPERLINK("Melting_Curves/meltCurve_P02774_GC.pdf", "Melting_Curves/meltCurve_P02774_GC.pdf")</f>
        <v>Melting_Curves/meltCurve_P02774_GC.pdf</v>
      </c>
    </row>
    <row r="1490" spans="1:28" x14ac:dyDescent="0.25">
      <c r="A1490" t="s">
        <v>1494</v>
      </c>
      <c r="B1490">
        <v>0.99987803227770999</v>
      </c>
      <c r="C1490">
        <v>1.03689559351134</v>
      </c>
      <c r="D1490">
        <v>0.85076774633832597</v>
      </c>
      <c r="E1490">
        <v>0.96202367935787403</v>
      </c>
      <c r="F1490">
        <v>0.74796924477485505</v>
      </c>
      <c r="G1490">
        <v>0.79863175021047395</v>
      </c>
      <c r="H1490">
        <v>0.721022029000429</v>
      </c>
      <c r="I1490">
        <v>0.39846991358377098</v>
      </c>
      <c r="J1490">
        <v>0.13040764038531499</v>
      </c>
      <c r="K1490">
        <v>8.3583037868455695E-2</v>
      </c>
      <c r="L1490">
        <v>1103.78843613758</v>
      </c>
      <c r="M1490">
        <v>17.723646929084001</v>
      </c>
      <c r="N1490">
        <v>62.277727666221097</v>
      </c>
      <c r="O1490">
        <v>61.501131288223903</v>
      </c>
      <c r="P1490">
        <v>-7.2049798307051896E-2</v>
      </c>
      <c r="Q1490">
        <v>0</v>
      </c>
      <c r="R1490">
        <v>0.91228194289613496</v>
      </c>
      <c r="S1490" t="s">
        <v>7801</v>
      </c>
      <c r="T1490" t="s">
        <v>12620</v>
      </c>
      <c r="U1490" t="s">
        <v>12620</v>
      </c>
      <c r="V1490" t="s">
        <v>12620</v>
      </c>
      <c r="W1490" t="s">
        <v>14075</v>
      </c>
      <c r="X1490">
        <v>16</v>
      </c>
      <c r="Y1490" t="s">
        <v>20298</v>
      </c>
      <c r="Z1490" t="s">
        <v>26437</v>
      </c>
      <c r="AA1490">
        <v>0.7425605389091009</v>
      </c>
      <c r="AB1490" t="str">
        <f>HYPERLINK("Melting_Curves/meltCurve_P02786_TFRC.pdf", "Melting_Curves/meltCurve_P02786_TFRC.pdf")</f>
        <v>Melting_Curves/meltCurve_P02786_TFRC.pdf</v>
      </c>
    </row>
    <row r="1491" spans="1:28" x14ac:dyDescent="0.25">
      <c r="A1491" t="s">
        <v>1495</v>
      </c>
      <c r="B1491">
        <v>0.99987803227770999</v>
      </c>
      <c r="C1491">
        <v>1.0332245529835</v>
      </c>
      <c r="D1491">
        <v>1.00998540867943</v>
      </c>
      <c r="E1491">
        <v>0.98417210513382003</v>
      </c>
      <c r="F1491">
        <v>1.0319230366987899</v>
      </c>
      <c r="G1491">
        <v>0.81945337623090098</v>
      </c>
      <c r="H1491">
        <v>0.798233632559187</v>
      </c>
      <c r="I1491">
        <v>0.57962120236326298</v>
      </c>
      <c r="J1491">
        <v>0.34599542232287001</v>
      </c>
      <c r="K1491">
        <v>0.22121400643780101</v>
      </c>
      <c r="L1491">
        <v>1118.9095591770099</v>
      </c>
      <c r="M1491">
        <v>17.229764224091198</v>
      </c>
      <c r="N1491">
        <v>64.940503324470498</v>
      </c>
      <c r="O1491">
        <v>64.084646185828106</v>
      </c>
      <c r="P1491">
        <v>-6.7218814052669107E-2</v>
      </c>
      <c r="Q1491">
        <v>0</v>
      </c>
      <c r="R1491">
        <v>0.979712605426731</v>
      </c>
      <c r="S1491" t="s">
        <v>7802</v>
      </c>
      <c r="T1491" t="s">
        <v>12620</v>
      </c>
      <c r="U1491" t="s">
        <v>12620</v>
      </c>
      <c r="V1491" t="s">
        <v>12620</v>
      </c>
      <c r="W1491" t="s">
        <v>14076</v>
      </c>
      <c r="X1491">
        <v>1</v>
      </c>
      <c r="Y1491" t="s">
        <v>20299</v>
      </c>
      <c r="Z1491" t="s">
        <v>26438</v>
      </c>
      <c r="AA1491">
        <v>0.8134294881948736</v>
      </c>
      <c r="AB1491" t="str">
        <f>HYPERLINK("Melting_Curves/meltCurve_P02790_HPX.pdf", "Melting_Curves/meltCurve_P02790_HPX.pdf")</f>
        <v>Melting_Curves/meltCurve_P02790_HPX.pdf</v>
      </c>
    </row>
    <row r="1492" spans="1:28" x14ac:dyDescent="0.25">
      <c r="A1492" t="s">
        <v>1496</v>
      </c>
      <c r="B1492">
        <v>0.99987803227770999</v>
      </c>
      <c r="C1492">
        <v>0.93070065870886198</v>
      </c>
      <c r="D1492">
        <v>1.0057366429047301</v>
      </c>
      <c r="E1492">
        <v>0.87365109464620705</v>
      </c>
      <c r="F1492">
        <v>0.63926503224613096</v>
      </c>
      <c r="G1492">
        <v>0.84540447115767003</v>
      </c>
      <c r="H1492">
        <v>0.57105034482049899</v>
      </c>
      <c r="I1492">
        <v>0.36833399980519899</v>
      </c>
      <c r="J1492">
        <v>0.32017070470022602</v>
      </c>
      <c r="K1492">
        <v>0.21361979590979399</v>
      </c>
      <c r="L1492">
        <v>563.58965413712497</v>
      </c>
      <c r="M1492">
        <v>9.1391692706317293</v>
      </c>
      <c r="N1492">
        <v>61.667481444002398</v>
      </c>
      <c r="O1492">
        <v>58.930196919329198</v>
      </c>
      <c r="P1492">
        <v>-3.8797725026442603E-2</v>
      </c>
      <c r="Q1492">
        <v>0</v>
      </c>
      <c r="R1492">
        <v>0.91088598561621703</v>
      </c>
      <c r="S1492" t="s">
        <v>7803</v>
      </c>
      <c r="T1492" t="s">
        <v>12620</v>
      </c>
      <c r="U1492" t="s">
        <v>12620</v>
      </c>
      <c r="V1492" t="s">
        <v>12620</v>
      </c>
      <c r="W1492" t="s">
        <v>14077</v>
      </c>
      <c r="X1492">
        <v>6</v>
      </c>
      <c r="Y1492" t="s">
        <v>20300</v>
      </c>
      <c r="Z1492" t="s">
        <v>26439</v>
      </c>
      <c r="AA1492">
        <v>0.69860658622860972</v>
      </c>
      <c r="AB1492" t="str">
        <f>HYPERLINK("Melting_Curves/meltCurve_P02794_FTH1.pdf", "Melting_Curves/meltCurve_P02794_FTH1.pdf")</f>
        <v>Melting_Curves/meltCurve_P02794_FTH1.pdf</v>
      </c>
    </row>
    <row r="1493" spans="1:28" x14ac:dyDescent="0.25">
      <c r="A1493" t="s">
        <v>1497</v>
      </c>
      <c r="B1493">
        <v>0.99987803227770999</v>
      </c>
      <c r="C1493">
        <v>0.69172738520034605</v>
      </c>
      <c r="D1493">
        <v>0.84044683614637505</v>
      </c>
      <c r="E1493">
        <v>0.75808102613120598</v>
      </c>
      <c r="F1493">
        <v>1.2196429051111599</v>
      </c>
      <c r="G1493">
        <v>0.77901205033350196</v>
      </c>
      <c r="H1493">
        <v>1.1985948934583099</v>
      </c>
      <c r="I1493">
        <v>1.0973269174220099</v>
      </c>
      <c r="J1493">
        <v>1.91806841417271</v>
      </c>
      <c r="K1493">
        <v>1.2548884997465799</v>
      </c>
      <c r="L1493">
        <v>15000</v>
      </c>
      <c r="M1493">
        <v>232.958857569055</v>
      </c>
      <c r="O1493">
        <v>64.384306919142503</v>
      </c>
      <c r="P1493">
        <v>0.45228191018007602</v>
      </c>
      <c r="Q1493">
        <v>1.5</v>
      </c>
      <c r="R1493">
        <v>0.53170593571331104</v>
      </c>
      <c r="S1493" t="s">
        <v>7804</v>
      </c>
      <c r="T1493" t="s">
        <v>12620</v>
      </c>
      <c r="U1493" t="s">
        <v>12620</v>
      </c>
      <c r="V1493" t="s">
        <v>12620</v>
      </c>
      <c r="W1493" t="s">
        <v>14078</v>
      </c>
      <c r="X1493">
        <v>7</v>
      </c>
      <c r="Y1493" t="s">
        <v>20301</v>
      </c>
      <c r="Z1493" t="s">
        <v>26440</v>
      </c>
      <c r="AA1493">
        <v>1.0934507280113359</v>
      </c>
      <c r="AB1493" t="str">
        <f>HYPERLINK("Melting_Curves/meltCurve_P02795_MT2A.pdf", "Melting_Curves/meltCurve_P02795_MT2A.pdf")</f>
        <v>Melting_Curves/meltCurve_P02795_MT2A.pdf</v>
      </c>
    </row>
    <row r="1494" spans="1:28" x14ac:dyDescent="0.25">
      <c r="A1494" t="s">
        <v>1498</v>
      </c>
      <c r="B1494">
        <v>0.99987803227770999</v>
      </c>
      <c r="C1494">
        <v>1.1855762588825201</v>
      </c>
      <c r="D1494">
        <v>1.06492468816039</v>
      </c>
      <c r="E1494">
        <v>1.2127687545916701</v>
      </c>
      <c r="F1494">
        <v>1.0522458227938101</v>
      </c>
      <c r="G1494">
        <v>1.15261684826202</v>
      </c>
      <c r="H1494">
        <v>0.71369628256958695</v>
      </c>
      <c r="I1494">
        <v>0.20523205738105499</v>
      </c>
      <c r="J1494">
        <v>5.7140599096167602E-2</v>
      </c>
      <c r="K1494">
        <v>3.7337359153023601E-2</v>
      </c>
      <c r="L1494">
        <v>3425.6209277070998</v>
      </c>
      <c r="M1494">
        <v>55.229780508389702</v>
      </c>
      <c r="N1494">
        <v>62.126717627483799</v>
      </c>
      <c r="O1494">
        <v>61.943726476946999</v>
      </c>
      <c r="P1494">
        <v>-0.213257142778457</v>
      </c>
      <c r="Q1494">
        <v>4.3274471949132601E-2</v>
      </c>
      <c r="R1494">
        <v>0.94635495734763697</v>
      </c>
      <c r="S1494" t="s">
        <v>7805</v>
      </c>
      <c r="T1494" t="s">
        <v>12620</v>
      </c>
      <c r="U1494" t="s">
        <v>12620</v>
      </c>
      <c r="V1494" t="s">
        <v>12620</v>
      </c>
      <c r="W1494" t="s">
        <v>14079</v>
      </c>
      <c r="X1494">
        <v>5</v>
      </c>
      <c r="Y1494" t="s">
        <v>20302</v>
      </c>
      <c r="Z1494" t="s">
        <v>26441</v>
      </c>
      <c r="AA1494">
        <v>0.74772199148543161</v>
      </c>
      <c r="AB1494" t="str">
        <f>HYPERLINK("Melting_Curves/meltCurve_P04066_FUCA1.pdf", "Melting_Curves/meltCurve_P04066_FUCA1.pdf")</f>
        <v>Melting_Curves/meltCurve_P04066_FUCA1.pdf</v>
      </c>
    </row>
    <row r="1495" spans="1:28" x14ac:dyDescent="0.25">
      <c r="A1495" t="s">
        <v>1499</v>
      </c>
      <c r="B1495">
        <v>0.99987803227770999</v>
      </c>
      <c r="C1495">
        <v>1.18308764553482</v>
      </c>
      <c r="D1495">
        <v>1.0238888942523601</v>
      </c>
      <c r="E1495">
        <v>1.20303073651994</v>
      </c>
      <c r="F1495">
        <v>0.94877281212709896</v>
      </c>
      <c r="G1495">
        <v>1.00512699652138</v>
      </c>
      <c r="H1495">
        <v>1.34967500632918</v>
      </c>
      <c r="I1495">
        <v>0.84072612721849505</v>
      </c>
      <c r="J1495">
        <v>0.190025355671924</v>
      </c>
      <c r="K1495">
        <v>8.0839954238899697E-2</v>
      </c>
      <c r="L1495">
        <v>5542.7507899064703</v>
      </c>
      <c r="M1495">
        <v>84.934154058102393</v>
      </c>
      <c r="N1495">
        <v>65.407433269615296</v>
      </c>
      <c r="O1495">
        <v>65.223243304380802</v>
      </c>
      <c r="P1495">
        <v>-0.29708319661097998</v>
      </c>
      <c r="Q1495">
        <v>8.7447205511805098E-2</v>
      </c>
      <c r="R1495">
        <v>0.87258760623932796</v>
      </c>
      <c r="S1495" t="s">
        <v>7806</v>
      </c>
      <c r="T1495" t="s">
        <v>12620</v>
      </c>
      <c r="U1495" t="s">
        <v>12620</v>
      </c>
      <c r="V1495" t="s">
        <v>12620</v>
      </c>
      <c r="W1495" t="s">
        <v>14080</v>
      </c>
      <c r="X1495">
        <v>40</v>
      </c>
      <c r="Y1495" t="s">
        <v>19526</v>
      </c>
      <c r="Z1495" t="s">
        <v>26442</v>
      </c>
      <c r="AA1495">
        <v>0.85661751773677985</v>
      </c>
      <c r="AB1495" t="str">
        <f>HYPERLINK("Melting_Curves/meltCurve_P04075_ALDOA.pdf", "Melting_Curves/meltCurve_P04075_ALDOA.pdf")</f>
        <v>Melting_Curves/meltCurve_P04075_ALDOA.pdf</v>
      </c>
    </row>
    <row r="1496" spans="1:28" x14ac:dyDescent="0.25">
      <c r="A1496" t="s">
        <v>1500</v>
      </c>
      <c r="B1496">
        <v>0.99987803227770999</v>
      </c>
      <c r="C1496">
        <v>0.69229073346269598</v>
      </c>
      <c r="D1496">
        <v>0.79413211183361998</v>
      </c>
      <c r="E1496">
        <v>0.75959123876256296</v>
      </c>
      <c r="F1496">
        <v>1.03319550088887</v>
      </c>
      <c r="G1496">
        <v>1.4222465080103901</v>
      </c>
      <c r="H1496">
        <v>0.84027500109389497</v>
      </c>
      <c r="I1496">
        <v>0.57933785342072597</v>
      </c>
      <c r="J1496">
        <v>0.459478454484749</v>
      </c>
      <c r="K1496">
        <v>0.27246532372371901</v>
      </c>
      <c r="L1496">
        <v>2594.1941552265298</v>
      </c>
      <c r="M1496">
        <v>40.911640383064103</v>
      </c>
      <c r="N1496">
        <v>64.991561219824902</v>
      </c>
      <c r="O1496">
        <v>63.258745959097297</v>
      </c>
      <c r="P1496">
        <v>-0.110707765145731</v>
      </c>
      <c r="Q1496">
        <v>0.31528327237306902</v>
      </c>
      <c r="R1496">
        <v>0.58241513817332302</v>
      </c>
      <c r="S1496" t="s">
        <v>7807</v>
      </c>
      <c r="T1496" t="s">
        <v>12620</v>
      </c>
      <c r="U1496" t="s">
        <v>12620</v>
      </c>
      <c r="V1496" t="s">
        <v>12620</v>
      </c>
      <c r="W1496" t="s">
        <v>14081</v>
      </c>
      <c r="X1496">
        <v>6</v>
      </c>
      <c r="Y1496" t="s">
        <v>20303</v>
      </c>
      <c r="Z1496" t="s">
        <v>26443</v>
      </c>
      <c r="AA1496">
        <v>0.85149205962344676</v>
      </c>
      <c r="AB1496" t="str">
        <f>HYPERLINK("Melting_Curves/meltCurve_P04080_CSTB.pdf", "Melting_Curves/meltCurve_P04080_CSTB.pdf")</f>
        <v>Melting_Curves/meltCurve_P04080_CSTB.pdf</v>
      </c>
    </row>
    <row r="1497" spans="1:28" x14ac:dyDescent="0.25">
      <c r="A1497" t="s">
        <v>1501</v>
      </c>
      <c r="B1497">
        <v>0.99987803227770999</v>
      </c>
      <c r="C1497">
        <v>0.75715235514696899</v>
      </c>
      <c r="D1497">
        <v>1.0073790040895201</v>
      </c>
      <c r="E1497">
        <v>0.73896765713398205</v>
      </c>
      <c r="F1497">
        <v>0.14242061964474101</v>
      </c>
      <c r="G1497">
        <v>9.8919462466643807E-2</v>
      </c>
      <c r="H1497">
        <v>5.8299937545951502E-2</v>
      </c>
      <c r="I1497">
        <v>5.4067457118999199E-2</v>
      </c>
      <c r="J1497">
        <v>3.6070330985024698E-2</v>
      </c>
      <c r="K1497">
        <v>2.66019660924975E-2</v>
      </c>
      <c r="L1497">
        <v>2829.1921249338302</v>
      </c>
      <c r="M1497">
        <v>55.621197057676703</v>
      </c>
      <c r="N1497">
        <v>50.969816409680298</v>
      </c>
      <c r="O1497">
        <v>50.799733866064997</v>
      </c>
      <c r="P1497">
        <v>-0.25898512701724902</v>
      </c>
      <c r="Q1497">
        <v>5.3859399026978103E-2</v>
      </c>
      <c r="R1497">
        <v>0.96211985586712301</v>
      </c>
      <c r="S1497" t="s">
        <v>7808</v>
      </c>
      <c r="T1497" t="s">
        <v>12620</v>
      </c>
      <c r="U1497" t="s">
        <v>12620</v>
      </c>
      <c r="V1497" t="s">
        <v>12620</v>
      </c>
      <c r="W1497" t="s">
        <v>14082</v>
      </c>
      <c r="X1497">
        <v>38</v>
      </c>
      <c r="Y1497" t="s">
        <v>20304</v>
      </c>
      <c r="Z1497" t="s">
        <v>26444</v>
      </c>
      <c r="AA1497">
        <v>0.39824488193699892</v>
      </c>
      <c r="AB1497" t="str">
        <f>HYPERLINK("Melting_Curves/meltCurve_P04083_ANXA1.pdf", "Melting_Curves/meltCurve_P04083_ANXA1.pdf")</f>
        <v>Melting_Curves/meltCurve_P04083_ANXA1.pdf</v>
      </c>
    </row>
    <row r="1498" spans="1:28" x14ac:dyDescent="0.25">
      <c r="A1498" t="s">
        <v>1502</v>
      </c>
      <c r="B1498">
        <v>0.99987803227770999</v>
      </c>
      <c r="C1498">
        <v>1.0980392927868601</v>
      </c>
      <c r="D1498">
        <v>1.0842563846134601</v>
      </c>
      <c r="E1498">
        <v>0.98832296810044495</v>
      </c>
      <c r="F1498">
        <v>1.3344000285111299</v>
      </c>
      <c r="G1498">
        <v>0.48383102690289298</v>
      </c>
      <c r="H1498">
        <v>1.0883868306281801</v>
      </c>
      <c r="I1498">
        <v>1.6061946320851299</v>
      </c>
      <c r="J1498">
        <v>0.87203182309744598</v>
      </c>
      <c r="K1498">
        <v>0.67127894655549403</v>
      </c>
      <c r="S1498" t="s">
        <v>7809</v>
      </c>
      <c r="T1498" t="s">
        <v>12620</v>
      </c>
      <c r="U1498" t="s">
        <v>12621</v>
      </c>
      <c r="V1498" t="s">
        <v>12620</v>
      </c>
      <c r="W1498" t="s">
        <v>14083</v>
      </c>
      <c r="X1498">
        <v>4</v>
      </c>
      <c r="Y1498" t="s">
        <v>20305</v>
      </c>
      <c r="Z1498" t="s">
        <v>26445</v>
      </c>
      <c r="AB1498" t="str">
        <f>HYPERLINK("Melting_Curves/meltCurve_P04114_APOB.pdf", "Melting_Curves/meltCurve_P04114_APOB.pdf")</f>
        <v>Melting_Curves/meltCurve_P04114_APOB.pdf</v>
      </c>
    </row>
    <row r="1499" spans="1:28" x14ac:dyDescent="0.25">
      <c r="A1499" t="s">
        <v>1503</v>
      </c>
      <c r="B1499">
        <v>0.99987803227770999</v>
      </c>
      <c r="C1499">
        <v>0.82618415746128204</v>
      </c>
      <c r="D1499">
        <v>0.95910910039154396</v>
      </c>
      <c r="E1499">
        <v>0.83818925338348804</v>
      </c>
      <c r="F1499">
        <v>0.98624700203161597</v>
      </c>
      <c r="G1499">
        <v>0.86616419329458305</v>
      </c>
      <c r="H1499">
        <v>0.83722509105721199</v>
      </c>
      <c r="I1499">
        <v>0.841847373434497</v>
      </c>
      <c r="J1499">
        <v>0.79636786754998101</v>
      </c>
      <c r="K1499">
        <v>0.67535448961375899</v>
      </c>
      <c r="L1499">
        <v>213.07031580419999</v>
      </c>
      <c r="M1499">
        <v>1.9449642913452301</v>
      </c>
      <c r="O1499">
        <v>63.946561423196897</v>
      </c>
      <c r="P1499">
        <v>-8.3332383241270808E-3</v>
      </c>
      <c r="Q1499">
        <v>0</v>
      </c>
      <c r="R1499">
        <v>0.52704076839043501</v>
      </c>
      <c r="S1499" t="s">
        <v>7810</v>
      </c>
      <c r="T1499" t="s">
        <v>12620</v>
      </c>
      <c r="U1499" t="s">
        <v>12620</v>
      </c>
      <c r="V1499" t="s">
        <v>12620</v>
      </c>
      <c r="W1499" t="s">
        <v>14084</v>
      </c>
      <c r="X1499">
        <v>15</v>
      </c>
      <c r="Y1499" t="s">
        <v>20306</v>
      </c>
      <c r="Z1499" t="s">
        <v>26446</v>
      </c>
      <c r="AA1499">
        <v>0.86832587564273356</v>
      </c>
      <c r="AB1499" t="str">
        <f>HYPERLINK("Melting_Curves/meltCurve_P04150_2_NR3C1.pdf", "Melting_Curves/meltCurve_P04150_2_NR3C1.pdf")</f>
        <v>Melting_Curves/meltCurve_P04150_2_NR3C1.pdf</v>
      </c>
    </row>
    <row r="1500" spans="1:28" x14ac:dyDescent="0.25">
      <c r="A1500" t="s">
        <v>1504</v>
      </c>
      <c r="B1500">
        <v>0.99987803227770999</v>
      </c>
      <c r="C1500">
        <v>0.81939503844714201</v>
      </c>
      <c r="D1500">
        <v>0.93852946707489804</v>
      </c>
      <c r="E1500">
        <v>0.86483208095157604</v>
      </c>
      <c r="F1500">
        <v>1.0466255722367499</v>
      </c>
      <c r="G1500">
        <v>0.82820845196123505</v>
      </c>
      <c r="H1500">
        <v>0.86858054833252196</v>
      </c>
      <c r="I1500">
        <v>0.83601394439685295</v>
      </c>
      <c r="J1500">
        <v>0.819003588927253</v>
      </c>
      <c r="K1500">
        <v>0.67239686871025695</v>
      </c>
      <c r="L1500">
        <v>232.22607383613601</v>
      </c>
      <c r="M1500">
        <v>2.1917759229226701</v>
      </c>
      <c r="O1500">
        <v>66.464560296600595</v>
      </c>
      <c r="P1500">
        <v>-8.8361315306917203E-3</v>
      </c>
      <c r="Q1500">
        <v>0</v>
      </c>
      <c r="R1500">
        <v>0.4236417719942</v>
      </c>
      <c r="S1500" t="s">
        <v>7811</v>
      </c>
      <c r="T1500" t="s">
        <v>12620</v>
      </c>
      <c r="U1500" t="s">
        <v>12620</v>
      </c>
      <c r="V1500" t="s">
        <v>12620</v>
      </c>
      <c r="W1500" t="s">
        <v>14085</v>
      </c>
      <c r="X1500">
        <v>1</v>
      </c>
      <c r="Y1500" t="s">
        <v>20307</v>
      </c>
      <c r="Z1500" t="s">
        <v>26447</v>
      </c>
      <c r="AA1500">
        <v>0.87737557326880544</v>
      </c>
      <c r="AB1500" t="str">
        <f>HYPERLINK("Melting_Curves/meltCurve_P04156_2_PRNP.pdf", "Melting_Curves/meltCurve_P04156_2_PRNP.pdf")</f>
        <v>Melting_Curves/meltCurve_P04156_2_PRNP.pdf</v>
      </c>
    </row>
    <row r="1501" spans="1:28" x14ac:dyDescent="0.25">
      <c r="A1501" t="s">
        <v>1505</v>
      </c>
      <c r="B1501">
        <v>0.99987803227770999</v>
      </c>
      <c r="C1501">
        <v>0.96078389996493296</v>
      </c>
      <c r="D1501">
        <v>0.80124349570603703</v>
      </c>
      <c r="E1501">
        <v>0.60776923035610098</v>
      </c>
      <c r="F1501">
        <v>0.36918628980319002</v>
      </c>
      <c r="G1501">
        <v>0.25732650189628598</v>
      </c>
      <c r="H1501">
        <v>0.12516457170419201</v>
      </c>
      <c r="I1501">
        <v>9.3516366422819297E-2</v>
      </c>
      <c r="J1501">
        <v>8.1295409070497995E-2</v>
      </c>
      <c r="K1501">
        <v>8.5395329843374307E-2</v>
      </c>
      <c r="L1501">
        <v>724.99029182442905</v>
      </c>
      <c r="M1501">
        <v>14.2513227552215</v>
      </c>
      <c r="N1501">
        <v>51.302199527604401</v>
      </c>
      <c r="O1501">
        <v>49.901576024076597</v>
      </c>
      <c r="P1501">
        <v>-6.7382493278052194E-2</v>
      </c>
      <c r="Q1501">
        <v>5.63465183857031E-2</v>
      </c>
      <c r="R1501">
        <v>0.99649818534322798</v>
      </c>
      <c r="S1501" t="s">
        <v>7812</v>
      </c>
      <c r="T1501" t="s">
        <v>12620</v>
      </c>
      <c r="U1501" t="s">
        <v>12620</v>
      </c>
      <c r="V1501" t="s">
        <v>12620</v>
      </c>
      <c r="W1501" t="s">
        <v>14086</v>
      </c>
      <c r="X1501">
        <v>15</v>
      </c>
      <c r="Y1501" t="s">
        <v>20308</v>
      </c>
      <c r="Z1501" t="s">
        <v>26448</v>
      </c>
      <c r="AA1501">
        <v>0.42213553036069767</v>
      </c>
      <c r="AB1501" t="str">
        <f>HYPERLINK("Melting_Curves/meltCurve_P04181_OAT.pdf", "Melting_Curves/meltCurve_P04181_OAT.pdf")</f>
        <v>Melting_Curves/meltCurve_P04181_OAT.pdf</v>
      </c>
    </row>
    <row r="1502" spans="1:28" x14ac:dyDescent="0.25">
      <c r="A1502" t="s">
        <v>1506</v>
      </c>
      <c r="B1502">
        <v>0.99987803227770999</v>
      </c>
      <c r="C1502">
        <v>1.05807541386523</v>
      </c>
      <c r="D1502">
        <v>1.0295214453878201</v>
      </c>
      <c r="E1502">
        <v>1.0551039360869101</v>
      </c>
      <c r="F1502">
        <v>0.981358117856165</v>
      </c>
      <c r="G1502">
        <v>0.96680904803807499</v>
      </c>
      <c r="H1502">
        <v>1.1062626133053901</v>
      </c>
      <c r="I1502">
        <v>0.98210744436328001</v>
      </c>
      <c r="J1502">
        <v>0.80656269066798703</v>
      </c>
      <c r="K1502">
        <v>0.57541212234774697</v>
      </c>
      <c r="L1502">
        <v>4771.16286670913</v>
      </c>
      <c r="M1502">
        <v>70.927635869938698</v>
      </c>
      <c r="O1502">
        <v>67.214622529631498</v>
      </c>
      <c r="P1502">
        <v>-0.119022920864069</v>
      </c>
      <c r="Q1502">
        <v>0.54883148627408196</v>
      </c>
      <c r="R1502">
        <v>0.90800848930494704</v>
      </c>
      <c r="S1502" t="s">
        <v>7813</v>
      </c>
      <c r="T1502" t="s">
        <v>12620</v>
      </c>
      <c r="U1502" t="s">
        <v>12620</v>
      </c>
      <c r="V1502" t="s">
        <v>12620</v>
      </c>
      <c r="W1502" t="s">
        <v>14087</v>
      </c>
      <c r="X1502">
        <v>19</v>
      </c>
      <c r="Y1502" t="s">
        <v>19686</v>
      </c>
      <c r="Z1502" t="s">
        <v>26449</v>
      </c>
      <c r="AA1502">
        <v>0.95860783150332141</v>
      </c>
      <c r="AB1502" t="str">
        <f>HYPERLINK("Melting_Curves/meltCurve_P04183_TK1.pdf", "Melting_Curves/meltCurve_P04183_TK1.pdf")</f>
        <v>Melting_Curves/meltCurve_P04183_TK1.pdf</v>
      </c>
    </row>
    <row r="1503" spans="1:28" x14ac:dyDescent="0.25">
      <c r="A1503" t="s">
        <v>1507</v>
      </c>
      <c r="B1503">
        <v>0.99987803227770999</v>
      </c>
      <c r="C1503">
        <v>0.94768611385522195</v>
      </c>
      <c r="D1503">
        <v>1.07691541033974</v>
      </c>
      <c r="E1503">
        <v>0.76762092975534901</v>
      </c>
      <c r="F1503">
        <v>0.475739520642397</v>
      </c>
      <c r="G1503">
        <v>0.67974408845835199</v>
      </c>
      <c r="H1503">
        <v>6.7510999070269202</v>
      </c>
      <c r="I1503">
        <v>4.8290250091951501</v>
      </c>
      <c r="J1503">
        <v>0.52717213925074602</v>
      </c>
      <c r="K1503">
        <v>0.24584738517219301</v>
      </c>
      <c r="L1503">
        <v>4879.35404907063</v>
      </c>
      <c r="M1503">
        <v>84.285911421392001</v>
      </c>
      <c r="O1503">
        <v>57.857940950956603</v>
      </c>
      <c r="P1503">
        <v>0.18209669872328799</v>
      </c>
      <c r="Q1503">
        <v>1.5</v>
      </c>
      <c r="R1503">
        <v>4.2905910077443203E-2</v>
      </c>
      <c r="S1503" t="s">
        <v>7814</v>
      </c>
      <c r="T1503" t="s">
        <v>12620</v>
      </c>
      <c r="U1503" t="s">
        <v>12620</v>
      </c>
      <c r="V1503" t="s">
        <v>12620</v>
      </c>
      <c r="W1503" t="s">
        <v>14088</v>
      </c>
      <c r="X1503">
        <v>14</v>
      </c>
      <c r="Y1503" t="s">
        <v>20309</v>
      </c>
      <c r="Z1503" t="s">
        <v>26450</v>
      </c>
      <c r="AA1503">
        <v>1.2013772256790449</v>
      </c>
      <c r="AB1503" t="str">
        <f>HYPERLINK("Melting_Curves/meltCurve_P04259_KRT6B.pdf", "Melting_Curves/meltCurve_P04259_KRT6B.pdf")</f>
        <v>Melting_Curves/meltCurve_P04259_KRT6B.pdf</v>
      </c>
    </row>
    <row r="1504" spans="1:28" x14ac:dyDescent="0.25">
      <c r="A1504" t="s">
        <v>1508</v>
      </c>
      <c r="B1504">
        <v>0.99987803227770999</v>
      </c>
      <c r="C1504">
        <v>0.220316513481537</v>
      </c>
      <c r="D1504">
        <v>0.33298122116353601</v>
      </c>
      <c r="E1504">
        <v>0.25251724636342998</v>
      </c>
      <c r="F1504">
        <v>0.217252856192265</v>
      </c>
      <c r="G1504">
        <v>0.28556574691460601</v>
      </c>
      <c r="H1504">
        <v>0.27403206513511102</v>
      </c>
      <c r="I1504">
        <v>0.61710255135646996</v>
      </c>
      <c r="J1504">
        <v>0.182547457906304</v>
      </c>
      <c r="K1504">
        <v>0.21349215066612001</v>
      </c>
      <c r="L1504">
        <v>10261.694720982099</v>
      </c>
      <c r="M1504">
        <v>250</v>
      </c>
      <c r="N1504">
        <v>41.188448785541702</v>
      </c>
      <c r="O1504">
        <v>41.044139654607903</v>
      </c>
      <c r="P1504">
        <v>-1.0835560413555501</v>
      </c>
      <c r="Q1504">
        <v>0.28842177519503998</v>
      </c>
      <c r="R1504">
        <v>0.76743423686443002</v>
      </c>
      <c r="S1504" t="s">
        <v>7815</v>
      </c>
      <c r="T1504" t="s">
        <v>12620</v>
      </c>
      <c r="U1504" t="s">
        <v>12620</v>
      </c>
      <c r="V1504" t="s">
        <v>12620</v>
      </c>
      <c r="W1504" t="s">
        <v>14089</v>
      </c>
      <c r="X1504">
        <v>37</v>
      </c>
      <c r="Y1504" t="s">
        <v>20310</v>
      </c>
      <c r="Z1504" t="s">
        <v>26451</v>
      </c>
      <c r="AA1504">
        <v>0.31330715472931769</v>
      </c>
      <c r="AB1504" t="str">
        <f>HYPERLINK("Melting_Curves/meltCurve_P04264_KRT1.pdf", "Melting_Curves/meltCurve_P04264_KRT1.pdf")</f>
        <v>Melting_Curves/meltCurve_P04264_KRT1.pdf</v>
      </c>
    </row>
    <row r="1505" spans="1:28" x14ac:dyDescent="0.25">
      <c r="A1505" t="s">
        <v>1509</v>
      </c>
      <c r="B1505">
        <v>0.99987803227770999</v>
      </c>
      <c r="C1505">
        <v>0.99771263995793302</v>
      </c>
      <c r="D1505">
        <v>0.90458458019318599</v>
      </c>
      <c r="E1505">
        <v>0.82749006294180005</v>
      </c>
      <c r="F1505">
        <v>0.55869100465521604</v>
      </c>
      <c r="G1505">
        <v>0.27861003364527498</v>
      </c>
      <c r="H1505">
        <v>0.15452944631549601</v>
      </c>
      <c r="I1505">
        <v>0.14453609692830899</v>
      </c>
      <c r="J1505">
        <v>0.110323375513093</v>
      </c>
      <c r="K1505">
        <v>8.0278868896766595E-2</v>
      </c>
      <c r="L1505">
        <v>1029.4334373036399</v>
      </c>
      <c r="M1505">
        <v>19.3304781725714</v>
      </c>
      <c r="N1505">
        <v>53.791514607425903</v>
      </c>
      <c r="O1505">
        <v>52.6943150900034</v>
      </c>
      <c r="P1505">
        <v>-8.3664495994493396E-2</v>
      </c>
      <c r="Q1505">
        <v>8.7766148595747495E-2</v>
      </c>
      <c r="R1505">
        <v>0.99656420999905904</v>
      </c>
      <c r="S1505" t="s">
        <v>7816</v>
      </c>
      <c r="T1505" t="s">
        <v>12620</v>
      </c>
      <c r="U1505" t="s">
        <v>12620</v>
      </c>
      <c r="V1505" t="s">
        <v>12620</v>
      </c>
      <c r="W1505" t="s">
        <v>14090</v>
      </c>
      <c r="X1505">
        <v>23</v>
      </c>
      <c r="Y1505" t="s">
        <v>19696</v>
      </c>
      <c r="Z1505" t="s">
        <v>26452</v>
      </c>
      <c r="AA1505">
        <v>0.50405163697623079</v>
      </c>
      <c r="AB1505" t="str">
        <f>HYPERLINK("Melting_Curves/meltCurve_P04350_TUBB4A.pdf", "Melting_Curves/meltCurve_P04350_TUBB4A.pdf")</f>
        <v>Melting_Curves/meltCurve_P04350_TUBB4A.pdf</v>
      </c>
    </row>
    <row r="1506" spans="1:28" x14ac:dyDescent="0.25">
      <c r="A1506" t="s">
        <v>1510</v>
      </c>
      <c r="B1506">
        <v>0.99987803227770999</v>
      </c>
      <c r="C1506">
        <v>1.2199798326169899</v>
      </c>
      <c r="D1506">
        <v>1.06981640311882</v>
      </c>
      <c r="E1506">
        <v>1.2103330629931299</v>
      </c>
      <c r="F1506">
        <v>1.0211590566683999</v>
      </c>
      <c r="G1506">
        <v>1.1705299086648899</v>
      </c>
      <c r="H1506">
        <v>0.47504800231997102</v>
      </c>
      <c r="I1506">
        <v>0.17027950613700299</v>
      </c>
      <c r="J1506">
        <v>9.3510179939215801E-2</v>
      </c>
      <c r="K1506">
        <v>7.0402439397587002E-2</v>
      </c>
      <c r="L1506">
        <v>5906.8836861847403</v>
      </c>
      <c r="M1506">
        <v>97.180492796271395</v>
      </c>
      <c r="N1506">
        <v>60.936056458872997</v>
      </c>
      <c r="O1506">
        <v>60.756892343221097</v>
      </c>
      <c r="P1506">
        <v>-0.35647234208116302</v>
      </c>
      <c r="Q1506">
        <v>0.10853935210791101</v>
      </c>
      <c r="R1506">
        <v>0.93856195675715104</v>
      </c>
      <c r="S1506" t="s">
        <v>7817</v>
      </c>
      <c r="T1506" t="s">
        <v>12620</v>
      </c>
      <c r="U1506" t="s">
        <v>12620</v>
      </c>
      <c r="V1506" t="s">
        <v>12620</v>
      </c>
      <c r="W1506" t="s">
        <v>14091</v>
      </c>
      <c r="X1506">
        <v>35</v>
      </c>
      <c r="Y1506" t="s">
        <v>20311</v>
      </c>
      <c r="Z1506" t="s">
        <v>26453</v>
      </c>
      <c r="AA1506">
        <v>0.72673193253458213</v>
      </c>
      <c r="AB1506" t="str">
        <f>HYPERLINK("Melting_Curves/meltCurve_P04406_GAPDH.pdf", "Melting_Curves/meltCurve_P04406_GAPDH.pdf")</f>
        <v>Melting_Curves/meltCurve_P04406_GAPDH.pdf</v>
      </c>
    </row>
    <row r="1507" spans="1:28" x14ac:dyDescent="0.25">
      <c r="A1507" t="s">
        <v>1511</v>
      </c>
      <c r="B1507">
        <v>0.99987803227770999</v>
      </c>
      <c r="C1507">
        <v>1.10934226919295</v>
      </c>
      <c r="D1507">
        <v>0.94969944352422797</v>
      </c>
      <c r="E1507">
        <v>1.05852133678659</v>
      </c>
      <c r="F1507">
        <v>0.84127616288242302</v>
      </c>
      <c r="G1507">
        <v>0.61943254489060395</v>
      </c>
      <c r="H1507">
        <v>0.21660133718914501</v>
      </c>
      <c r="I1507">
        <v>0.164599755150143</v>
      </c>
      <c r="J1507">
        <v>0.147235756357039</v>
      </c>
      <c r="K1507">
        <v>0.103129609070401</v>
      </c>
      <c r="L1507">
        <v>1511.7470638336099</v>
      </c>
      <c r="M1507">
        <v>26.385622829109501</v>
      </c>
      <c r="N1507">
        <v>57.809897845159199</v>
      </c>
      <c r="O1507">
        <v>56.968290217500702</v>
      </c>
      <c r="P1507">
        <v>-0.103652854134848</v>
      </c>
      <c r="Q1507">
        <v>0.104836582931314</v>
      </c>
      <c r="R1507">
        <v>0.98247789995258905</v>
      </c>
      <c r="S1507" t="s">
        <v>7818</v>
      </c>
      <c r="T1507" t="s">
        <v>12620</v>
      </c>
      <c r="U1507" t="s">
        <v>12620</v>
      </c>
      <c r="V1507" t="s">
        <v>12620</v>
      </c>
      <c r="W1507" t="s">
        <v>14092</v>
      </c>
      <c r="X1507">
        <v>12</v>
      </c>
      <c r="Y1507" t="s">
        <v>20312</v>
      </c>
      <c r="Z1507" t="s">
        <v>26454</v>
      </c>
      <c r="AA1507">
        <v>0.6282375184501231</v>
      </c>
      <c r="AB1507" t="str">
        <f>HYPERLINK("Melting_Curves/meltCurve_P04424_ASL.pdf", "Melting_Curves/meltCurve_P04424_ASL.pdf")</f>
        <v>Melting_Curves/meltCurve_P04424_ASL.pdf</v>
      </c>
    </row>
    <row r="1508" spans="1:28" x14ac:dyDescent="0.25">
      <c r="A1508" t="s">
        <v>1512</v>
      </c>
      <c r="B1508">
        <v>0.99987803227770999</v>
      </c>
      <c r="C1508">
        <v>1.02141403407968</v>
      </c>
      <c r="D1508">
        <v>0.96397102006052104</v>
      </c>
      <c r="E1508">
        <v>0.97847863662601597</v>
      </c>
      <c r="F1508">
        <v>0.79640179375484899</v>
      </c>
      <c r="G1508">
        <v>0.63450217653145402</v>
      </c>
      <c r="H1508">
        <v>0.57941442324691494</v>
      </c>
      <c r="I1508">
        <v>0.43093806635225801</v>
      </c>
      <c r="J1508">
        <v>0.34660725116885599</v>
      </c>
      <c r="K1508">
        <v>0.244468828580062</v>
      </c>
      <c r="L1508">
        <v>610.96180098686796</v>
      </c>
      <c r="M1508">
        <v>9.9897979738508607</v>
      </c>
      <c r="N1508">
        <v>61.900650068424298</v>
      </c>
      <c r="O1508">
        <v>58.8593418852901</v>
      </c>
      <c r="P1508">
        <v>-4.0055800596659002E-2</v>
      </c>
      <c r="Q1508">
        <v>5.6434404457465698E-2</v>
      </c>
      <c r="R1508">
        <v>0.98252273851875904</v>
      </c>
      <c r="S1508" t="s">
        <v>7819</v>
      </c>
      <c r="T1508" t="s">
        <v>12620</v>
      </c>
      <c r="U1508" t="s">
        <v>12620</v>
      </c>
      <c r="V1508" t="s">
        <v>12620</v>
      </c>
      <c r="W1508" t="s">
        <v>14093</v>
      </c>
      <c r="X1508">
        <v>4</v>
      </c>
      <c r="Y1508" t="s">
        <v>20313</v>
      </c>
      <c r="Z1508" t="s">
        <v>26455</v>
      </c>
      <c r="AA1508">
        <v>0.70910367633481353</v>
      </c>
      <c r="AB1508" t="str">
        <f>HYPERLINK("Melting_Curves/meltCurve_P04626_4_ERBB2.pdf", "Melting_Curves/meltCurve_P04626_4_ERBB2.pdf")</f>
        <v>Melting_Curves/meltCurve_P04626_4_ERBB2.pdf</v>
      </c>
    </row>
    <row r="1509" spans="1:28" x14ac:dyDescent="0.25">
      <c r="A1509" t="s">
        <v>1513</v>
      </c>
      <c r="B1509">
        <v>0.99987803227770999</v>
      </c>
      <c r="C1509">
        <v>1.10853265216122</v>
      </c>
      <c r="D1509">
        <v>1.08095650394031</v>
      </c>
      <c r="E1509">
        <v>1.18485723396878</v>
      </c>
      <c r="F1509">
        <v>1.02625057852527</v>
      </c>
      <c r="G1509">
        <v>0.73631707216055498</v>
      </c>
      <c r="H1509">
        <v>0.42350813110237701</v>
      </c>
      <c r="I1509">
        <v>0.241445923661287</v>
      </c>
      <c r="J1509">
        <v>0.162671728152842</v>
      </c>
      <c r="K1509">
        <v>0.10509475881366501</v>
      </c>
      <c r="L1509">
        <v>1571.3110237832</v>
      </c>
      <c r="M1509">
        <v>26.446331081467498</v>
      </c>
      <c r="N1509">
        <v>59.988790465365902</v>
      </c>
      <c r="O1509">
        <v>59.078502190990903</v>
      </c>
      <c r="P1509">
        <v>-9.9408438369331997E-2</v>
      </c>
      <c r="Q1509">
        <v>0.111735084392672</v>
      </c>
      <c r="R1509">
        <v>0.96319115310772196</v>
      </c>
      <c r="S1509" t="s">
        <v>7820</v>
      </c>
      <c r="T1509" t="s">
        <v>12620</v>
      </c>
      <c r="U1509" t="s">
        <v>12620</v>
      </c>
      <c r="V1509" t="s">
        <v>12620</v>
      </c>
      <c r="W1509" t="s">
        <v>14094</v>
      </c>
      <c r="X1509">
        <v>10</v>
      </c>
      <c r="Y1509" t="s">
        <v>20314</v>
      </c>
      <c r="Z1509" t="s">
        <v>26456</v>
      </c>
      <c r="AA1509">
        <v>0.69318715868054004</v>
      </c>
      <c r="AB1509" t="str">
        <f>HYPERLINK("Melting_Curves/meltCurve_P04632_CAPNS1.pdf", "Melting_Curves/meltCurve_P04632_CAPNS1.pdf")</f>
        <v>Melting_Curves/meltCurve_P04632_CAPNS1.pdf</v>
      </c>
    </row>
    <row r="1510" spans="1:28" x14ac:dyDescent="0.25">
      <c r="A1510" t="s">
        <v>1514</v>
      </c>
      <c r="B1510">
        <v>0.99987803227770999</v>
      </c>
      <c r="C1510">
        <v>0.62621803772240803</v>
      </c>
      <c r="D1510">
        <v>0.96124392551025795</v>
      </c>
      <c r="E1510">
        <v>0.65021853806909802</v>
      </c>
      <c r="F1510">
        <v>1.21295135387315</v>
      </c>
      <c r="G1510">
        <v>0.61523864312532495</v>
      </c>
      <c r="H1510">
        <v>1.0700360072666</v>
      </c>
      <c r="I1510">
        <v>1.0765118060715899</v>
      </c>
      <c r="J1510">
        <v>1.80529537760564</v>
      </c>
      <c r="K1510">
        <v>1.4540868383776799</v>
      </c>
      <c r="L1510">
        <v>15000</v>
      </c>
      <c r="M1510">
        <v>232.669442981705</v>
      </c>
      <c r="O1510">
        <v>64.464381522701302</v>
      </c>
      <c r="P1510">
        <v>0.45115891332413399</v>
      </c>
      <c r="Q1510">
        <v>1.5</v>
      </c>
      <c r="R1510">
        <v>0.57142405919036798</v>
      </c>
      <c r="S1510" t="s">
        <v>7821</v>
      </c>
      <c r="T1510" t="s">
        <v>12620</v>
      </c>
      <c r="U1510" t="s">
        <v>12620</v>
      </c>
      <c r="V1510" t="s">
        <v>12620</v>
      </c>
      <c r="W1510" t="s">
        <v>14095</v>
      </c>
      <c r="X1510">
        <v>2</v>
      </c>
      <c r="Y1510" t="s">
        <v>20315</v>
      </c>
      <c r="Z1510" t="s">
        <v>26457</v>
      </c>
      <c r="AA1510">
        <v>1.0921156060202251</v>
      </c>
      <c r="AB1510" t="str">
        <f>HYPERLINK("Melting_Curves/meltCurve_P04731_MT1A.pdf", "Melting_Curves/meltCurve_P04731_MT1A.pdf")</f>
        <v>Melting_Curves/meltCurve_P04731_MT1A.pdf</v>
      </c>
    </row>
    <row r="1511" spans="1:28" x14ac:dyDescent="0.25">
      <c r="A1511" t="s">
        <v>1515</v>
      </c>
      <c r="B1511">
        <v>0.99987803227770999</v>
      </c>
      <c r="C1511">
        <v>0.67791556870040903</v>
      </c>
      <c r="D1511">
        <v>0.79570395060342902</v>
      </c>
      <c r="E1511">
        <v>0.73569403934411703</v>
      </c>
      <c r="F1511">
        <v>1.1222587432811999</v>
      </c>
      <c r="G1511">
        <v>0.63194545501982002</v>
      </c>
      <c r="H1511">
        <v>1.27008430589857</v>
      </c>
      <c r="I1511">
        <v>1.16843623765631</v>
      </c>
      <c r="J1511">
        <v>2.2257986961142202</v>
      </c>
      <c r="K1511">
        <v>1.5506388761443799</v>
      </c>
      <c r="L1511">
        <v>3191.9095250031801</v>
      </c>
      <c r="M1511">
        <v>51.592448657048898</v>
      </c>
      <c r="O1511">
        <v>61.775026526578998</v>
      </c>
      <c r="P1511">
        <v>0.10439592419060199</v>
      </c>
      <c r="Q1511">
        <v>1.5</v>
      </c>
      <c r="R1511">
        <v>0.53589333007308404</v>
      </c>
      <c r="S1511" t="s">
        <v>7822</v>
      </c>
      <c r="T1511" t="s">
        <v>12620</v>
      </c>
      <c r="U1511" t="s">
        <v>12620</v>
      </c>
      <c r="V1511" t="s">
        <v>12620</v>
      </c>
      <c r="W1511" t="s">
        <v>14096</v>
      </c>
      <c r="X1511">
        <v>2</v>
      </c>
      <c r="Y1511" t="s">
        <v>20316</v>
      </c>
      <c r="Z1511" t="s">
        <v>26458</v>
      </c>
      <c r="AA1511">
        <v>1.134322842054297</v>
      </c>
      <c r="AB1511" t="str">
        <f>HYPERLINK("Melting_Curves/meltCurve_P04733_MT1F.pdf", "Melting_Curves/meltCurve_P04733_MT1F.pdf")</f>
        <v>Melting_Curves/meltCurve_P04733_MT1F.pdf</v>
      </c>
    </row>
    <row r="1512" spans="1:28" x14ac:dyDescent="0.25">
      <c r="A1512" t="s">
        <v>1516</v>
      </c>
      <c r="B1512">
        <v>0.99987803227770999</v>
      </c>
      <c r="C1512">
        <v>0.75206514851500705</v>
      </c>
      <c r="D1512">
        <v>0.68171489328867296</v>
      </c>
      <c r="E1512">
        <v>0.62170342428307601</v>
      </c>
      <c r="F1512">
        <v>0.55355196280780805</v>
      </c>
      <c r="G1512">
        <v>0.408056679772825</v>
      </c>
      <c r="H1512">
        <v>0.35196380259328602</v>
      </c>
      <c r="I1512">
        <v>0.30815845948179699</v>
      </c>
      <c r="J1512">
        <v>0.39553078274845199</v>
      </c>
      <c r="K1512">
        <v>0.387052857114348</v>
      </c>
      <c r="L1512">
        <v>472.84224988391298</v>
      </c>
      <c r="M1512">
        <v>9.9503261331436796</v>
      </c>
      <c r="N1512">
        <v>53.060717476180599</v>
      </c>
      <c r="O1512">
        <v>45.720460330636001</v>
      </c>
      <c r="P1512">
        <v>-3.6847800203701903E-2</v>
      </c>
      <c r="Q1512">
        <v>0.32309225557759302</v>
      </c>
      <c r="R1512">
        <v>0.934643212015422</v>
      </c>
      <c r="S1512" t="s">
        <v>7823</v>
      </c>
      <c r="T1512" t="s">
        <v>12620</v>
      </c>
      <c r="U1512" t="s">
        <v>12620</v>
      </c>
      <c r="V1512" t="s">
        <v>12620</v>
      </c>
      <c r="W1512" t="s">
        <v>14097</v>
      </c>
      <c r="X1512">
        <v>19</v>
      </c>
      <c r="Y1512" t="s">
        <v>20317</v>
      </c>
      <c r="Z1512" t="s">
        <v>26459</v>
      </c>
      <c r="AA1512">
        <v>0.53033327415531994</v>
      </c>
      <c r="AB1512" t="str">
        <f>HYPERLINK("Melting_Curves/meltCurve_P04792_HSPB1.pdf", "Melting_Curves/meltCurve_P04792_HSPB1.pdf")</f>
        <v>Melting_Curves/meltCurve_P04792_HSPB1.pdf</v>
      </c>
    </row>
    <row r="1513" spans="1:28" x14ac:dyDescent="0.25">
      <c r="A1513" t="s">
        <v>1517</v>
      </c>
      <c r="B1513">
        <v>0.99987803227770999</v>
      </c>
      <c r="C1513">
        <v>0.99229511148052496</v>
      </c>
      <c r="D1513">
        <v>0.73191088786667202</v>
      </c>
      <c r="E1513">
        <v>0.32358622662022501</v>
      </c>
      <c r="F1513">
        <v>0.15778320076399499</v>
      </c>
      <c r="G1513">
        <v>0.102305281023749</v>
      </c>
      <c r="H1513">
        <v>7.6590153841819303E-2</v>
      </c>
      <c r="I1513">
        <v>6.5356944170323394E-2</v>
      </c>
      <c r="J1513">
        <v>4.43811308649259E-2</v>
      </c>
      <c r="K1513">
        <v>3.5236258623839799E-2</v>
      </c>
      <c r="L1513">
        <v>1130.3607459298801</v>
      </c>
      <c r="M1513">
        <v>23.5480626037746</v>
      </c>
      <c r="N1513">
        <v>48.259070827820999</v>
      </c>
      <c r="O1513">
        <v>47.660120537753698</v>
      </c>
      <c r="P1513">
        <v>-0.116249250308905</v>
      </c>
      <c r="Q1513">
        <v>5.8884974781726197E-2</v>
      </c>
      <c r="R1513">
        <v>0.99715797463897704</v>
      </c>
      <c r="S1513" t="s">
        <v>7824</v>
      </c>
      <c r="T1513" t="s">
        <v>12620</v>
      </c>
      <c r="U1513" t="s">
        <v>12620</v>
      </c>
      <c r="V1513" t="s">
        <v>12620</v>
      </c>
      <c r="W1513" t="s">
        <v>14098</v>
      </c>
      <c r="X1513">
        <v>9</v>
      </c>
      <c r="Y1513" t="s">
        <v>20318</v>
      </c>
      <c r="Z1513" t="s">
        <v>26460</v>
      </c>
      <c r="AA1513">
        <v>0.31936749452444829</v>
      </c>
      <c r="AB1513" t="str">
        <f>HYPERLINK("Melting_Curves/meltCurve_P04818_TYMS.pdf", "Melting_Curves/meltCurve_P04818_TYMS.pdf")</f>
        <v>Melting_Curves/meltCurve_P04818_TYMS.pdf</v>
      </c>
    </row>
    <row r="1514" spans="1:28" x14ac:dyDescent="0.25">
      <c r="A1514" t="s">
        <v>1518</v>
      </c>
      <c r="B1514">
        <v>0.99987803227770999</v>
      </c>
      <c r="C1514">
        <v>0.87262935657571095</v>
      </c>
      <c r="D1514">
        <v>0.87184201662738103</v>
      </c>
      <c r="E1514">
        <v>0.72947395082069799</v>
      </c>
      <c r="F1514">
        <v>0.49104571256267698</v>
      </c>
      <c r="G1514">
        <v>0.21011224858059999</v>
      </c>
      <c r="H1514">
        <v>0.104582967030438</v>
      </c>
      <c r="I1514">
        <v>8.9904286393614599E-2</v>
      </c>
      <c r="J1514">
        <v>7.0281942081626997E-2</v>
      </c>
      <c r="K1514">
        <v>3.4849618270509003E-2</v>
      </c>
      <c r="L1514">
        <v>779.00577625655706</v>
      </c>
      <c r="M1514">
        <v>14.8119216683913</v>
      </c>
      <c r="N1514">
        <v>52.6697153235882</v>
      </c>
      <c r="O1514">
        <v>51.662430167283802</v>
      </c>
      <c r="P1514">
        <v>-7.0920902525610702E-2</v>
      </c>
      <c r="Q1514">
        <v>1.06463221058497E-2</v>
      </c>
      <c r="R1514">
        <v>0.98976430416364203</v>
      </c>
      <c r="S1514" t="s">
        <v>7825</v>
      </c>
      <c r="T1514" t="s">
        <v>12620</v>
      </c>
      <c r="U1514" t="s">
        <v>12620</v>
      </c>
      <c r="V1514" t="s">
        <v>12620</v>
      </c>
      <c r="W1514" t="s">
        <v>14099</v>
      </c>
      <c r="X1514">
        <v>6</v>
      </c>
      <c r="Y1514" t="s">
        <v>20319</v>
      </c>
      <c r="Z1514" t="s">
        <v>26461</v>
      </c>
      <c r="AA1514">
        <v>0.44798897440135732</v>
      </c>
      <c r="AB1514" t="str">
        <f>HYPERLINK("Melting_Curves/meltCurve_P04899_GNAI2.pdf", "Melting_Curves/meltCurve_P04899_GNAI2.pdf")</f>
        <v>Melting_Curves/meltCurve_P04899_GNAI2.pdf</v>
      </c>
    </row>
    <row r="1515" spans="1:28" x14ac:dyDescent="0.25">
      <c r="A1515" t="s">
        <v>1519</v>
      </c>
      <c r="B1515">
        <v>0.99987803227770999</v>
      </c>
      <c r="C1515">
        <v>0.84166896620111098</v>
      </c>
      <c r="D1515">
        <v>0.90967892018359198</v>
      </c>
      <c r="E1515">
        <v>0.89813365093741704</v>
      </c>
      <c r="F1515">
        <v>0.96065039866345703</v>
      </c>
      <c r="G1515">
        <v>0.79759597197859899</v>
      </c>
      <c r="H1515">
        <v>0.83497016418298498</v>
      </c>
      <c r="I1515">
        <v>0.83952047498086302</v>
      </c>
      <c r="J1515">
        <v>0.72399966627898504</v>
      </c>
      <c r="K1515">
        <v>0.55945789432319204</v>
      </c>
      <c r="L1515">
        <v>309.172064005658</v>
      </c>
      <c r="M1515">
        <v>3.74523583647425</v>
      </c>
      <c r="O1515">
        <v>66.310745195526806</v>
      </c>
      <c r="P1515">
        <v>-1.43436638665758E-2</v>
      </c>
      <c r="Q1515">
        <v>0</v>
      </c>
      <c r="R1515">
        <v>0.66718478553166505</v>
      </c>
      <c r="S1515" t="s">
        <v>7826</v>
      </c>
      <c r="T1515" t="s">
        <v>12620</v>
      </c>
      <c r="U1515" t="s">
        <v>12620</v>
      </c>
      <c r="V1515" t="s">
        <v>12620</v>
      </c>
      <c r="W1515" t="s">
        <v>14100</v>
      </c>
      <c r="X1515">
        <v>5</v>
      </c>
      <c r="Y1515" t="s">
        <v>20320</v>
      </c>
      <c r="Z1515" t="s">
        <v>26462</v>
      </c>
      <c r="AA1515">
        <v>0.85127842947840038</v>
      </c>
      <c r="AB1515" t="str">
        <f>HYPERLINK("Melting_Curves/meltCurve_P04920_2_SLC4A2.pdf", "Melting_Curves/meltCurve_P04920_2_SLC4A2.pdf")</f>
        <v>Melting_Curves/meltCurve_P04920_2_SLC4A2.pdf</v>
      </c>
    </row>
    <row r="1516" spans="1:28" x14ac:dyDescent="0.25">
      <c r="A1516" t="s">
        <v>1520</v>
      </c>
      <c r="B1516">
        <v>0.99987803227770999</v>
      </c>
      <c r="C1516">
        <v>1.0698068100440901</v>
      </c>
      <c r="D1516">
        <v>0.79048682765786804</v>
      </c>
      <c r="E1516">
        <v>0.80845287106372898</v>
      </c>
      <c r="F1516">
        <v>0.39464993203744803</v>
      </c>
      <c r="G1516">
        <v>0.24654455956504201</v>
      </c>
      <c r="H1516">
        <v>0.143432358863611</v>
      </c>
      <c r="I1516">
        <v>0.10555875058483501</v>
      </c>
      <c r="J1516">
        <v>8.1548411029278706E-2</v>
      </c>
      <c r="K1516">
        <v>6.0993716068831201E-2</v>
      </c>
      <c r="L1516">
        <v>931.28701271157001</v>
      </c>
      <c r="M1516">
        <v>17.8581168212738</v>
      </c>
      <c r="N1516">
        <v>52.558610392807701</v>
      </c>
      <c r="O1516">
        <v>51.508493655653801</v>
      </c>
      <c r="P1516">
        <v>-8.1052004595603605E-2</v>
      </c>
      <c r="Q1516">
        <v>6.4928497401857493E-2</v>
      </c>
      <c r="R1516">
        <v>0.97159180738208695</v>
      </c>
      <c r="S1516" t="s">
        <v>7827</v>
      </c>
      <c r="T1516" t="s">
        <v>12620</v>
      </c>
      <c r="U1516" t="s">
        <v>12620</v>
      </c>
      <c r="V1516" t="s">
        <v>12620</v>
      </c>
      <c r="W1516" t="s">
        <v>14101</v>
      </c>
      <c r="X1516">
        <v>20</v>
      </c>
      <c r="Y1516" t="s">
        <v>20321</v>
      </c>
      <c r="Z1516" t="s">
        <v>26463</v>
      </c>
      <c r="AA1516">
        <v>0.45934486474117819</v>
      </c>
      <c r="AB1516" t="str">
        <f>HYPERLINK("Melting_Curves/meltCurve_P05091_ALDH2.pdf", "Melting_Curves/meltCurve_P05091_ALDH2.pdf")</f>
        <v>Melting_Curves/meltCurve_P05091_ALDH2.pdf</v>
      </c>
    </row>
    <row r="1517" spans="1:28" x14ac:dyDescent="0.25">
      <c r="A1517" t="s">
        <v>1521</v>
      </c>
      <c r="B1517">
        <v>0.99987803227770999</v>
      </c>
      <c r="C1517">
        <v>0.68290757150158898</v>
      </c>
      <c r="D1517">
        <v>0.81461518610412498</v>
      </c>
      <c r="E1517">
        <v>0.824557157351679</v>
      </c>
      <c r="F1517">
        <v>1.12034321636581</v>
      </c>
      <c r="G1517">
        <v>0.925966501417261</v>
      </c>
      <c r="H1517">
        <v>1.0433855790131501</v>
      </c>
      <c r="I1517">
        <v>1.0902513521355801</v>
      </c>
      <c r="J1517">
        <v>1.24725977360498</v>
      </c>
      <c r="K1517">
        <v>0.97783161023967502</v>
      </c>
      <c r="L1517">
        <v>5278.4309120656699</v>
      </c>
      <c r="M1517">
        <v>86.101599461395296</v>
      </c>
      <c r="O1517">
        <v>61.271638923842403</v>
      </c>
      <c r="P1517">
        <v>3.7344695964883899E-2</v>
      </c>
      <c r="Q1517">
        <v>1.1063009390769101</v>
      </c>
      <c r="R1517">
        <v>0.11049228326523</v>
      </c>
      <c r="S1517" t="s">
        <v>7828</v>
      </c>
      <c r="T1517" t="s">
        <v>12620</v>
      </c>
      <c r="U1517" t="s">
        <v>12620</v>
      </c>
      <c r="V1517" t="s">
        <v>12620</v>
      </c>
      <c r="W1517" t="s">
        <v>14102</v>
      </c>
      <c r="X1517">
        <v>8</v>
      </c>
      <c r="Y1517" t="s">
        <v>20322</v>
      </c>
      <c r="Z1517" t="s">
        <v>26464</v>
      </c>
      <c r="AA1517">
        <v>1.0307141917855509</v>
      </c>
      <c r="AB1517" t="str">
        <f>HYPERLINK("Melting_Curves/meltCurve_P05114_HMGN1.pdf", "Melting_Curves/meltCurve_P05114_HMGN1.pdf")</f>
        <v>Melting_Curves/meltCurve_P05114_HMGN1.pdf</v>
      </c>
    </row>
    <row r="1518" spans="1:28" x14ac:dyDescent="0.25">
      <c r="A1518" t="s">
        <v>1522</v>
      </c>
      <c r="B1518">
        <v>0.99987803227770999</v>
      </c>
      <c r="C1518">
        <v>1.07894102362125</v>
      </c>
      <c r="D1518">
        <v>0.91858440596907698</v>
      </c>
      <c r="E1518">
        <v>0.97043589908017303</v>
      </c>
      <c r="F1518">
        <v>0.98949737685164796</v>
      </c>
      <c r="G1518">
        <v>0.76807007796816296</v>
      </c>
      <c r="H1518">
        <v>0.73313449892014704</v>
      </c>
      <c r="I1518">
        <v>0.64605690621534095</v>
      </c>
      <c r="J1518">
        <v>0.50743800356842095</v>
      </c>
      <c r="K1518">
        <v>0.26595684196746999</v>
      </c>
      <c r="L1518">
        <v>764.390831987919</v>
      </c>
      <c r="M1518">
        <v>11.5699408380209</v>
      </c>
      <c r="N1518">
        <v>66.066952975570203</v>
      </c>
      <c r="O1518">
        <v>64.185801561688294</v>
      </c>
      <c r="P1518">
        <v>-4.5076762760895998E-2</v>
      </c>
      <c r="Q1518">
        <v>0</v>
      </c>
      <c r="R1518">
        <v>0.94231694788324605</v>
      </c>
      <c r="S1518" t="s">
        <v>7829</v>
      </c>
      <c r="T1518" t="s">
        <v>12620</v>
      </c>
      <c r="U1518" t="s">
        <v>12620</v>
      </c>
      <c r="V1518" t="s">
        <v>12620</v>
      </c>
      <c r="W1518" t="s">
        <v>14103</v>
      </c>
      <c r="X1518">
        <v>6</v>
      </c>
      <c r="Y1518" t="s">
        <v>20323</v>
      </c>
      <c r="Z1518" t="s">
        <v>26465</v>
      </c>
      <c r="AA1518">
        <v>0.81321575361452558</v>
      </c>
      <c r="AB1518" t="str">
        <f>HYPERLINK("Melting_Curves/meltCurve_P05121_SERPINE1.pdf", "Melting_Curves/meltCurve_P05121_SERPINE1.pdf")</f>
        <v>Melting_Curves/meltCurve_P05121_SERPINE1.pdf</v>
      </c>
    </row>
    <row r="1519" spans="1:28" x14ac:dyDescent="0.25">
      <c r="A1519" t="s">
        <v>1523</v>
      </c>
      <c r="B1519">
        <v>0.99987803227770999</v>
      </c>
      <c r="C1519">
        <v>0.84156726180047803</v>
      </c>
      <c r="D1519">
        <v>1.0993719653740599</v>
      </c>
      <c r="E1519">
        <v>0.74982886580879704</v>
      </c>
      <c r="F1519">
        <v>0.65143485898396603</v>
      </c>
      <c r="G1519">
        <v>0.136410263927916</v>
      </c>
      <c r="H1519">
        <v>6.1932372192947803E-2</v>
      </c>
      <c r="I1519">
        <v>4.9420821871205098E-2</v>
      </c>
      <c r="J1519">
        <v>3.6739215074686603E-2</v>
      </c>
      <c r="K1519">
        <v>2.7948185110588698E-2</v>
      </c>
      <c r="L1519">
        <v>1328.0955181035199</v>
      </c>
      <c r="M1519">
        <v>24.814848729870501</v>
      </c>
      <c r="N1519">
        <v>53.606523565388102</v>
      </c>
      <c r="O1519">
        <v>53.176253607250203</v>
      </c>
      <c r="P1519">
        <v>-0.114379675040842</v>
      </c>
      <c r="Q1519">
        <v>1.95873062974335E-2</v>
      </c>
      <c r="R1519">
        <v>0.96624890078533698</v>
      </c>
      <c r="S1519" t="s">
        <v>7830</v>
      </c>
      <c r="T1519" t="s">
        <v>12620</v>
      </c>
      <c r="U1519" t="s">
        <v>12620</v>
      </c>
      <c r="V1519" t="s">
        <v>12620</v>
      </c>
      <c r="W1519" t="s">
        <v>14104</v>
      </c>
      <c r="X1519">
        <v>4</v>
      </c>
      <c r="Y1519" t="s">
        <v>20324</v>
      </c>
      <c r="Z1519" t="s">
        <v>26466</v>
      </c>
      <c r="AA1519">
        <v>0.4706135793350264</v>
      </c>
      <c r="AB1519" t="str">
        <f>HYPERLINK("Melting_Curves/meltCurve_P05161_ISG15.pdf", "Melting_Curves/meltCurve_P05161_ISG15.pdf")</f>
        <v>Melting_Curves/meltCurve_P05161_ISG15.pdf</v>
      </c>
    </row>
    <row r="1520" spans="1:28" x14ac:dyDescent="0.25">
      <c r="A1520" t="s">
        <v>1524</v>
      </c>
      <c r="B1520">
        <v>0.99987803227770999</v>
      </c>
      <c r="C1520">
        <v>0.96361285485230497</v>
      </c>
      <c r="D1520">
        <v>0.91537038138433502</v>
      </c>
      <c r="E1520">
        <v>1.0745560285900899</v>
      </c>
      <c r="F1520">
        <v>0.68582628392056499</v>
      </c>
      <c r="G1520">
        <v>0.40487616757297601</v>
      </c>
      <c r="H1520">
        <v>0.26819694141754002</v>
      </c>
      <c r="I1520">
        <v>0.29817095905362501</v>
      </c>
      <c r="J1520">
        <v>0.123642433158466</v>
      </c>
      <c r="K1520">
        <v>9.0910336723803095E-2</v>
      </c>
      <c r="L1520">
        <v>1289.9657739878101</v>
      </c>
      <c r="M1520">
        <v>23.4558232519102</v>
      </c>
      <c r="N1520">
        <v>55.908461328891001</v>
      </c>
      <c r="O1520">
        <v>54.600484574941298</v>
      </c>
      <c r="P1520">
        <v>-9.0312642426941495E-2</v>
      </c>
      <c r="Q1520">
        <v>0.15909521336548799</v>
      </c>
      <c r="R1520">
        <v>0.95952733909217702</v>
      </c>
      <c r="S1520" t="s">
        <v>7831</v>
      </c>
      <c r="T1520" t="s">
        <v>12620</v>
      </c>
      <c r="U1520" t="s">
        <v>12620</v>
      </c>
      <c r="V1520" t="s">
        <v>12620</v>
      </c>
      <c r="W1520" t="s">
        <v>14105</v>
      </c>
      <c r="X1520">
        <v>5</v>
      </c>
      <c r="Y1520" t="s">
        <v>20325</v>
      </c>
      <c r="Z1520" t="s">
        <v>26467</v>
      </c>
      <c r="AA1520">
        <v>0.58810460729263392</v>
      </c>
      <c r="AB1520" t="str">
        <f>HYPERLINK("Melting_Curves/meltCurve_P05165_2_PCCA.pdf", "Melting_Curves/meltCurve_P05165_2_PCCA.pdf")</f>
        <v>Melting_Curves/meltCurve_P05165_2_PCCA.pdf</v>
      </c>
    </row>
    <row r="1521" spans="1:28" x14ac:dyDescent="0.25">
      <c r="A1521" t="s">
        <v>1525</v>
      </c>
      <c r="B1521">
        <v>0.99987803227770999</v>
      </c>
      <c r="C1521">
        <v>0.81323879924730702</v>
      </c>
      <c r="D1521">
        <v>0.98495847382266399</v>
      </c>
      <c r="E1521">
        <v>0.96104123027200805</v>
      </c>
      <c r="F1521">
        <v>0.82602629717010501</v>
      </c>
      <c r="G1521">
        <v>0.42323443828381602</v>
      </c>
      <c r="H1521">
        <v>0.14736057851356099</v>
      </c>
      <c r="I1521">
        <v>0.11982472367324901</v>
      </c>
      <c r="J1521">
        <v>9.3523734935238897E-2</v>
      </c>
      <c r="K1521">
        <v>6.9140866408714197E-2</v>
      </c>
      <c r="L1521">
        <v>1501.0356805670499</v>
      </c>
      <c r="M1521">
        <v>26.859222474700601</v>
      </c>
      <c r="N1521">
        <v>56.2267345116191</v>
      </c>
      <c r="O1521">
        <v>55.5782685997032</v>
      </c>
      <c r="P1521">
        <v>-0.111727023102142</v>
      </c>
      <c r="Q1521">
        <v>7.5247733731825805E-2</v>
      </c>
      <c r="R1521">
        <v>0.97641094840328901</v>
      </c>
      <c r="S1521" t="s">
        <v>7832</v>
      </c>
      <c r="T1521" t="s">
        <v>12620</v>
      </c>
      <c r="U1521" t="s">
        <v>12620</v>
      </c>
      <c r="V1521" t="s">
        <v>12620</v>
      </c>
      <c r="W1521" t="s">
        <v>12742</v>
      </c>
      <c r="X1521">
        <v>28</v>
      </c>
      <c r="Y1521" t="s">
        <v>20326</v>
      </c>
      <c r="Z1521" t="s">
        <v>26468</v>
      </c>
      <c r="AA1521">
        <v>0.5724321190696261</v>
      </c>
      <c r="AB1521" t="str">
        <f>HYPERLINK("Melting_Curves/meltCurve_P05198_EIF2S1.pdf", "Melting_Curves/meltCurve_P05198_EIF2S1.pdf")</f>
        <v>Melting_Curves/meltCurve_P05198_EIF2S1.pdf</v>
      </c>
    </row>
    <row r="1522" spans="1:28" x14ac:dyDescent="0.25">
      <c r="A1522" t="s">
        <v>1526</v>
      </c>
      <c r="B1522">
        <v>0.99987803227770999</v>
      </c>
      <c r="C1522">
        <v>0.47414452807276303</v>
      </c>
      <c r="D1522">
        <v>0.74198096286071302</v>
      </c>
      <c r="E1522">
        <v>0.59443887478705704</v>
      </c>
      <c r="F1522">
        <v>0.92880605549724304</v>
      </c>
      <c r="G1522">
        <v>0.73824626992069897</v>
      </c>
      <c r="H1522">
        <v>0.78433281031713498</v>
      </c>
      <c r="I1522">
        <v>0.58694623312823901</v>
      </c>
      <c r="J1522">
        <v>0.84464542343652005</v>
      </c>
      <c r="K1522">
        <v>0.74851842428170801</v>
      </c>
      <c r="L1522">
        <v>10231.5036626319</v>
      </c>
      <c r="M1522">
        <v>250</v>
      </c>
      <c r="O1522">
        <v>40.923395868853703</v>
      </c>
      <c r="P1522">
        <v>-0.43406618627135302</v>
      </c>
      <c r="Q1522">
        <v>0.71578460381898701</v>
      </c>
      <c r="R1522">
        <v>0.31403963261404</v>
      </c>
      <c r="S1522" t="s">
        <v>7833</v>
      </c>
      <c r="T1522" t="s">
        <v>12620</v>
      </c>
      <c r="U1522" t="s">
        <v>12620</v>
      </c>
      <c r="V1522" t="s">
        <v>12620</v>
      </c>
      <c r="W1522" t="s">
        <v>14106</v>
      </c>
      <c r="X1522">
        <v>7</v>
      </c>
      <c r="Y1522" t="s">
        <v>20327</v>
      </c>
      <c r="Z1522" t="s">
        <v>26469</v>
      </c>
      <c r="AA1522">
        <v>0.72458243750655138</v>
      </c>
      <c r="AB1522" t="str">
        <f>HYPERLINK("Melting_Curves/meltCurve_P05204_HMGN2.pdf", "Melting_Curves/meltCurve_P05204_HMGN2.pdf")</f>
        <v>Melting_Curves/meltCurve_P05204_HMGN2.pdf</v>
      </c>
    </row>
    <row r="1523" spans="1:28" x14ac:dyDescent="0.25">
      <c r="A1523" t="s">
        <v>1527</v>
      </c>
      <c r="B1523">
        <v>0.99987803227770999</v>
      </c>
      <c r="C1523">
        <v>1.0258487982801301</v>
      </c>
      <c r="D1523">
        <v>0.92863845322024896</v>
      </c>
      <c r="E1523">
        <v>0.77657087285340498</v>
      </c>
      <c r="F1523">
        <v>0.60795528791134301</v>
      </c>
      <c r="G1523">
        <v>0.57121897390506504</v>
      </c>
      <c r="H1523">
        <v>0.65648006738375297</v>
      </c>
      <c r="I1523">
        <v>0.947198577819236</v>
      </c>
      <c r="J1523">
        <v>0.66243115655790497</v>
      </c>
      <c r="K1523">
        <v>0.55333773142930998</v>
      </c>
      <c r="L1523">
        <v>1731.58386147839</v>
      </c>
      <c r="M1523">
        <v>35.855680278183499</v>
      </c>
      <c r="O1523">
        <v>48.143658260227497</v>
      </c>
      <c r="P1523">
        <v>-6.1770474270897602E-2</v>
      </c>
      <c r="Q1523">
        <v>0.66824247245470303</v>
      </c>
      <c r="R1523">
        <v>0.65136866941597804</v>
      </c>
      <c r="S1523" t="s">
        <v>7834</v>
      </c>
      <c r="T1523" t="s">
        <v>12620</v>
      </c>
      <c r="U1523" t="s">
        <v>12620</v>
      </c>
      <c r="V1523" t="s">
        <v>12620</v>
      </c>
      <c r="W1523" t="s">
        <v>14107</v>
      </c>
      <c r="X1523">
        <v>1</v>
      </c>
      <c r="Y1523" t="s">
        <v>20328</v>
      </c>
      <c r="Z1523" t="s">
        <v>26470</v>
      </c>
      <c r="AA1523">
        <v>0.76133995473109572</v>
      </c>
      <c r="AB1523" t="str">
        <f>HYPERLINK("Melting_Curves/meltCurve_P05386_RPLP1.pdf", "Melting_Curves/meltCurve_P05386_RPLP1.pdf")</f>
        <v>Melting_Curves/meltCurve_P05386_RPLP1.pdf</v>
      </c>
    </row>
    <row r="1524" spans="1:28" x14ac:dyDescent="0.25">
      <c r="A1524" t="s">
        <v>1528</v>
      </c>
      <c r="B1524">
        <v>0.99987803227770999</v>
      </c>
      <c r="C1524">
        <v>0.98453245659105404</v>
      </c>
      <c r="D1524">
        <v>0.90993622886436398</v>
      </c>
      <c r="E1524">
        <v>0.81775821154262396</v>
      </c>
      <c r="F1524">
        <v>0.83906842996268505</v>
      </c>
      <c r="G1524">
        <v>0.87448998826168201</v>
      </c>
      <c r="H1524">
        <v>1.0944824429420601</v>
      </c>
      <c r="I1524">
        <v>1.6576873775660901</v>
      </c>
      <c r="J1524">
        <v>1.38754760352425</v>
      </c>
      <c r="K1524">
        <v>1.0792882615191799</v>
      </c>
      <c r="L1524">
        <v>15000</v>
      </c>
      <c r="M1524">
        <v>244.814614305205</v>
      </c>
      <c r="O1524">
        <v>61.266763256915098</v>
      </c>
      <c r="P1524">
        <v>0.37445217695363098</v>
      </c>
      <c r="Q1524">
        <v>1.3748382898267899</v>
      </c>
      <c r="R1524">
        <v>0.607989106697846</v>
      </c>
      <c r="S1524" t="s">
        <v>7835</v>
      </c>
      <c r="T1524" t="s">
        <v>12620</v>
      </c>
      <c r="U1524" t="s">
        <v>12620</v>
      </c>
      <c r="V1524" t="s">
        <v>12620</v>
      </c>
      <c r="W1524" t="s">
        <v>14108</v>
      </c>
      <c r="X1524">
        <v>3</v>
      </c>
      <c r="Y1524" t="s">
        <v>20329</v>
      </c>
      <c r="Z1524" t="s">
        <v>26471</v>
      </c>
      <c r="AA1524">
        <v>1.1090252649077039</v>
      </c>
      <c r="AB1524" t="str">
        <f>HYPERLINK("Melting_Curves/meltCurve_P05387_RPLP2.pdf", "Melting_Curves/meltCurve_P05387_RPLP2.pdf")</f>
        <v>Melting_Curves/meltCurve_P05387_RPLP2.pdf</v>
      </c>
    </row>
    <row r="1525" spans="1:28" x14ac:dyDescent="0.25">
      <c r="A1525" t="s">
        <v>1529</v>
      </c>
      <c r="B1525">
        <v>0.99987803227770999</v>
      </c>
      <c r="C1525">
        <v>1.1039041478048199</v>
      </c>
      <c r="D1525">
        <v>0.90427316550524806</v>
      </c>
      <c r="E1525">
        <v>0.74356103919100403</v>
      </c>
      <c r="F1525">
        <v>0.42615829247182602</v>
      </c>
      <c r="G1525">
        <v>0.37004350366099198</v>
      </c>
      <c r="H1525">
        <v>0.18676797196884101</v>
      </c>
      <c r="I1525">
        <v>0.11801579081354401</v>
      </c>
      <c r="J1525">
        <v>0.10759331542370699</v>
      </c>
      <c r="K1525">
        <v>6.0358722255883103E-2</v>
      </c>
      <c r="L1525">
        <v>828.49944690390203</v>
      </c>
      <c r="M1525">
        <v>15.7290530518823</v>
      </c>
      <c r="N1525">
        <v>53.216793620918303</v>
      </c>
      <c r="O1525">
        <v>51.843834650313497</v>
      </c>
      <c r="P1525">
        <v>-7.0225175094504905E-2</v>
      </c>
      <c r="Q1525">
        <v>7.4213304713165604E-2</v>
      </c>
      <c r="R1525">
        <v>0.97726211215165903</v>
      </c>
      <c r="S1525" t="s">
        <v>7836</v>
      </c>
      <c r="T1525" t="s">
        <v>12620</v>
      </c>
      <c r="U1525" t="s">
        <v>12620</v>
      </c>
      <c r="V1525" t="s">
        <v>12620</v>
      </c>
      <c r="W1525" t="s">
        <v>14109</v>
      </c>
      <c r="X1525">
        <v>13</v>
      </c>
      <c r="Y1525" t="s">
        <v>20330</v>
      </c>
      <c r="Z1525" t="s">
        <v>26472</v>
      </c>
      <c r="AA1525">
        <v>0.48413509178915798</v>
      </c>
      <c r="AB1525" t="str">
        <f>HYPERLINK("Melting_Curves/meltCurve_P05388_RPLP0.pdf", "Melting_Curves/meltCurve_P05388_RPLP0.pdf")</f>
        <v>Melting_Curves/meltCurve_P05388_RPLP0.pdf</v>
      </c>
    </row>
    <row r="1526" spans="1:28" x14ac:dyDescent="0.25">
      <c r="A1526" t="s">
        <v>1530</v>
      </c>
      <c r="B1526">
        <v>0.99987803227770999</v>
      </c>
      <c r="C1526">
        <v>0.966492753322297</v>
      </c>
      <c r="D1526">
        <v>1.07882538611104</v>
      </c>
      <c r="E1526">
        <v>0.97418789531088901</v>
      </c>
      <c r="F1526">
        <v>1.0010305806367601</v>
      </c>
      <c r="G1526">
        <v>1.0118177746447301</v>
      </c>
      <c r="H1526">
        <v>0.833099798307671</v>
      </c>
      <c r="I1526">
        <v>0.97783117209490999</v>
      </c>
      <c r="J1526">
        <v>0.68048089651034604</v>
      </c>
      <c r="K1526">
        <v>0.53901874099437597</v>
      </c>
      <c r="L1526">
        <v>1314.14624202818</v>
      </c>
      <c r="M1526">
        <v>18.645563141592501</v>
      </c>
      <c r="O1526">
        <v>69.684659598839104</v>
      </c>
      <c r="P1526">
        <v>-6.68955023862738E-2</v>
      </c>
      <c r="Q1526">
        <v>0</v>
      </c>
      <c r="R1526">
        <v>0.86448855849208095</v>
      </c>
      <c r="S1526" t="s">
        <v>7837</v>
      </c>
      <c r="T1526" t="s">
        <v>12620</v>
      </c>
      <c r="U1526" t="s">
        <v>12620</v>
      </c>
      <c r="V1526" t="s">
        <v>12620</v>
      </c>
      <c r="W1526" t="s">
        <v>14110</v>
      </c>
      <c r="X1526">
        <v>1</v>
      </c>
      <c r="Y1526" t="s">
        <v>20331</v>
      </c>
      <c r="Z1526" t="s">
        <v>26473</v>
      </c>
      <c r="AA1526">
        <v>0.92991886226392073</v>
      </c>
      <c r="AB1526" t="str">
        <f>HYPERLINK("Melting_Curves/meltCurve_P05412_JUN.pdf", "Melting_Curves/meltCurve_P05412_JUN.pdf")</f>
        <v>Melting_Curves/meltCurve_P05412_JUN.pdf</v>
      </c>
    </row>
    <row r="1527" spans="1:28" x14ac:dyDescent="0.25">
      <c r="A1527" t="s">
        <v>1531</v>
      </c>
      <c r="B1527">
        <v>0.99987803227770999</v>
      </c>
      <c r="C1527">
        <v>0.98709478891730695</v>
      </c>
      <c r="D1527">
        <v>0.82772315617622905</v>
      </c>
      <c r="E1527">
        <v>0.91373459952067004</v>
      </c>
      <c r="F1527">
        <v>0.57961052069582597</v>
      </c>
      <c r="G1527">
        <v>0.36940942176462599</v>
      </c>
      <c r="H1527">
        <v>0.23562235931133099</v>
      </c>
      <c r="I1527">
        <v>0.22216496653609</v>
      </c>
      <c r="J1527">
        <v>0.18818956590927499</v>
      </c>
      <c r="K1527">
        <v>0.14176146946579099</v>
      </c>
      <c r="L1527">
        <v>935.97128866516903</v>
      </c>
      <c r="M1527">
        <v>17.443026900545199</v>
      </c>
      <c r="N1527">
        <v>54.777197874029</v>
      </c>
      <c r="O1527">
        <v>52.968409445515903</v>
      </c>
      <c r="P1527">
        <v>-6.9997464233283804E-2</v>
      </c>
      <c r="Q1527">
        <v>0.149815641721358</v>
      </c>
      <c r="R1527">
        <v>0.97430106052092502</v>
      </c>
      <c r="S1527" t="s">
        <v>7838</v>
      </c>
      <c r="T1527" t="s">
        <v>12620</v>
      </c>
      <c r="U1527" t="s">
        <v>12620</v>
      </c>
      <c r="V1527" t="s">
        <v>12620</v>
      </c>
      <c r="W1527" t="s">
        <v>14111</v>
      </c>
      <c r="X1527">
        <v>5</v>
      </c>
      <c r="Y1527" t="s">
        <v>20332</v>
      </c>
      <c r="Z1527" t="s">
        <v>26474</v>
      </c>
      <c r="AA1527">
        <v>0.55128775226922888</v>
      </c>
      <c r="AB1527" t="str">
        <f>HYPERLINK("Melting_Curves/meltCurve_P05423_POLR3D.pdf", "Melting_Curves/meltCurve_P05423_POLR3D.pdf")</f>
        <v>Melting_Curves/meltCurve_P05423_POLR3D.pdf</v>
      </c>
    </row>
    <row r="1528" spans="1:28" x14ac:dyDescent="0.25">
      <c r="A1528" t="s">
        <v>1532</v>
      </c>
      <c r="B1528">
        <v>0.99987803227770999</v>
      </c>
      <c r="C1528">
        <v>0.95409263674243205</v>
      </c>
      <c r="D1528">
        <v>1.0062333452044401</v>
      </c>
      <c r="E1528">
        <v>1.1847426685499101</v>
      </c>
      <c r="F1528">
        <v>0.92102293010059499</v>
      </c>
      <c r="G1528">
        <v>0.627795191790119</v>
      </c>
      <c r="H1528">
        <v>0.22226574632955601</v>
      </c>
      <c r="I1528">
        <v>0.124111631722593</v>
      </c>
      <c r="J1528">
        <v>9.2180834417945196E-2</v>
      </c>
      <c r="K1528">
        <v>6.5550579055091707E-2</v>
      </c>
      <c r="L1528">
        <v>1848.69420547347</v>
      </c>
      <c r="M1528">
        <v>32.026133550641703</v>
      </c>
      <c r="N1528">
        <v>58.028439114728101</v>
      </c>
      <c r="O1528">
        <v>57.500888756726297</v>
      </c>
      <c r="P1528">
        <v>-0.12849340247611701</v>
      </c>
      <c r="Q1528">
        <v>7.7197714165934794E-2</v>
      </c>
      <c r="R1528">
        <v>0.97789078760334003</v>
      </c>
      <c r="S1528" t="s">
        <v>7839</v>
      </c>
      <c r="T1528" t="s">
        <v>12620</v>
      </c>
      <c r="U1528" t="s">
        <v>12620</v>
      </c>
      <c r="V1528" t="s">
        <v>12620</v>
      </c>
      <c r="W1528" t="s">
        <v>14112</v>
      </c>
      <c r="X1528">
        <v>32</v>
      </c>
      <c r="Y1528" t="s">
        <v>20333</v>
      </c>
      <c r="Z1528" t="s">
        <v>26475</v>
      </c>
      <c r="AA1528">
        <v>0.62785923268613664</v>
      </c>
      <c r="AB1528" t="str">
        <f>HYPERLINK("Melting_Curves/meltCurve_P05455_SSB.pdf", "Melting_Curves/meltCurve_P05455_SSB.pdf")</f>
        <v>Melting_Curves/meltCurve_P05455_SSB.pdf</v>
      </c>
    </row>
    <row r="1529" spans="1:28" x14ac:dyDescent="0.25">
      <c r="A1529" t="s">
        <v>1533</v>
      </c>
      <c r="B1529">
        <v>0.99987803227770999</v>
      </c>
      <c r="C1529">
        <v>0.99256949703615904</v>
      </c>
      <c r="D1529">
        <v>0.94233658125238895</v>
      </c>
      <c r="E1529">
        <v>0.94810333381409095</v>
      </c>
      <c r="F1529">
        <v>0.90896770783967396</v>
      </c>
      <c r="G1529">
        <v>0.80597107922446098</v>
      </c>
      <c r="H1529">
        <v>0.934384272639046</v>
      </c>
      <c r="I1529">
        <v>0.82611816152751105</v>
      </c>
      <c r="J1529">
        <v>0.95807744117683102</v>
      </c>
      <c r="K1529">
        <v>0.70071905233604603</v>
      </c>
      <c r="L1529">
        <v>237.62269952116901</v>
      </c>
      <c r="M1529">
        <v>2.0075446548736999</v>
      </c>
      <c r="Q1529">
        <v>0</v>
      </c>
      <c r="R1529">
        <v>0.47877357911697699</v>
      </c>
      <c r="S1529" t="s">
        <v>7840</v>
      </c>
      <c r="T1529" t="s">
        <v>12620</v>
      </c>
      <c r="U1529" t="s">
        <v>12620</v>
      </c>
      <c r="V1529" t="s">
        <v>12620</v>
      </c>
      <c r="W1529" t="s">
        <v>14113</v>
      </c>
      <c r="X1529">
        <v>12</v>
      </c>
      <c r="Y1529" t="s">
        <v>20334</v>
      </c>
      <c r="Z1529" t="s">
        <v>26476</v>
      </c>
      <c r="AA1529">
        <v>0.90332983558654145</v>
      </c>
      <c r="AB1529" t="str">
        <f>HYPERLINK("Melting_Curves/meltCurve_P05556_ITGB1.pdf", "Melting_Curves/meltCurve_P05556_ITGB1.pdf")</f>
        <v>Melting_Curves/meltCurve_P05556_ITGB1.pdf</v>
      </c>
    </row>
    <row r="1530" spans="1:28" x14ac:dyDescent="0.25">
      <c r="A1530" t="s">
        <v>1534</v>
      </c>
      <c r="B1530">
        <v>0.99987803227770999</v>
      </c>
      <c r="C1530">
        <v>1.0089731623565701</v>
      </c>
      <c r="D1530">
        <v>0.95610260617980303</v>
      </c>
      <c r="E1530">
        <v>0.96602894452446397</v>
      </c>
      <c r="F1530">
        <v>0.83948067349438205</v>
      </c>
      <c r="G1530">
        <v>0.70456858179431303</v>
      </c>
      <c r="H1530">
        <v>0.37442814001498598</v>
      </c>
      <c r="I1530">
        <v>0.183146536207101</v>
      </c>
      <c r="J1530">
        <v>0.121680428214402</v>
      </c>
      <c r="K1530">
        <v>8.8833734702173303E-2</v>
      </c>
      <c r="L1530">
        <v>1043.6795571479399</v>
      </c>
      <c r="M1530">
        <v>17.648071012446799</v>
      </c>
      <c r="N1530">
        <v>59.209014067724603</v>
      </c>
      <c r="O1530">
        <v>58.394802865011798</v>
      </c>
      <c r="P1530">
        <v>-7.4772704650666197E-2</v>
      </c>
      <c r="Q1530">
        <v>1.0406409589737599E-2</v>
      </c>
      <c r="R1530">
        <v>0.99498868319629197</v>
      </c>
      <c r="S1530" t="s">
        <v>7841</v>
      </c>
      <c r="T1530" t="s">
        <v>12620</v>
      </c>
      <c r="U1530" t="s">
        <v>12620</v>
      </c>
      <c r="V1530" t="s">
        <v>12620</v>
      </c>
      <c r="W1530" t="s">
        <v>14114</v>
      </c>
      <c r="X1530">
        <v>46</v>
      </c>
      <c r="Y1530" t="s">
        <v>20335</v>
      </c>
      <c r="Z1530" t="s">
        <v>26477</v>
      </c>
      <c r="AA1530">
        <v>0.65194888782004246</v>
      </c>
      <c r="AB1530" t="str">
        <f>HYPERLINK("Melting_Curves/meltCurve_P05783_KRT18.pdf", "Melting_Curves/meltCurve_P05783_KRT18.pdf")</f>
        <v>Melting_Curves/meltCurve_P05783_KRT18.pdf</v>
      </c>
    </row>
    <row r="1531" spans="1:28" x14ac:dyDescent="0.25">
      <c r="A1531" t="s">
        <v>1535</v>
      </c>
      <c r="B1531">
        <v>0.99987803227770999</v>
      </c>
      <c r="C1531">
        <v>0.96583261115558805</v>
      </c>
      <c r="D1531">
        <v>0.95651498402713497</v>
      </c>
      <c r="E1531">
        <v>1.02619920137039</v>
      </c>
      <c r="F1531">
        <v>0.90618562890884002</v>
      </c>
      <c r="G1531">
        <v>0.84346158560817697</v>
      </c>
      <c r="H1531">
        <v>0.43439184775135897</v>
      </c>
      <c r="I1531">
        <v>0.28635223562781498</v>
      </c>
      <c r="J1531">
        <v>0.25141552553573598</v>
      </c>
      <c r="K1531">
        <v>0.23474010909958801</v>
      </c>
      <c r="L1531">
        <v>1889.8431261379001</v>
      </c>
      <c r="M1531">
        <v>31.935955740440399</v>
      </c>
      <c r="N1531">
        <v>60.322456890918502</v>
      </c>
      <c r="O1531">
        <v>58.945454330520697</v>
      </c>
      <c r="P1531">
        <v>-0.10463405146435199</v>
      </c>
      <c r="Q1531">
        <v>0.22749514403267301</v>
      </c>
      <c r="R1531">
        <v>0.99044407840535797</v>
      </c>
      <c r="S1531" t="s">
        <v>7842</v>
      </c>
      <c r="T1531" t="s">
        <v>12620</v>
      </c>
      <c r="U1531" t="s">
        <v>12620</v>
      </c>
      <c r="V1531" t="s">
        <v>12620</v>
      </c>
      <c r="W1531" t="s">
        <v>14115</v>
      </c>
      <c r="X1531">
        <v>51</v>
      </c>
      <c r="Y1531" t="s">
        <v>20336</v>
      </c>
      <c r="Z1531" t="s">
        <v>26478</v>
      </c>
      <c r="AA1531">
        <v>0.72574817600058827</v>
      </c>
      <c r="AB1531" t="str">
        <f>HYPERLINK("Melting_Curves/meltCurve_P05787_KRT8.pdf", "Melting_Curves/meltCurve_P05787_KRT8.pdf")</f>
        <v>Melting_Curves/meltCurve_P05787_KRT8.pdf</v>
      </c>
    </row>
    <row r="1532" spans="1:28" x14ac:dyDescent="0.25">
      <c r="A1532" t="s">
        <v>1536</v>
      </c>
      <c r="B1532">
        <v>0.99987803227770999</v>
      </c>
      <c r="C1532">
        <v>0.97730703795082197</v>
      </c>
      <c r="D1532">
        <v>1.0072588695467599</v>
      </c>
      <c r="E1532">
        <v>1.3331610900056701</v>
      </c>
      <c r="F1532">
        <v>0.80813055104631504</v>
      </c>
      <c r="G1532">
        <v>11.3297001299534</v>
      </c>
      <c r="H1532">
        <v>0.30565818711725501</v>
      </c>
      <c r="I1532">
        <v>5.9898883026278398</v>
      </c>
      <c r="J1532">
        <v>0.21278139854525399</v>
      </c>
      <c r="K1532">
        <v>0.21158629163997</v>
      </c>
      <c r="L1532">
        <v>2667.5779044179399</v>
      </c>
      <c r="M1532">
        <v>53.598925945218198</v>
      </c>
      <c r="O1532">
        <v>49.700106402671402</v>
      </c>
      <c r="P1532">
        <v>0.134805950950279</v>
      </c>
      <c r="Q1532">
        <v>1.5</v>
      </c>
      <c r="R1532">
        <v>-5.0629242145915597E-2</v>
      </c>
      <c r="S1532" t="s">
        <v>7843</v>
      </c>
      <c r="T1532" t="s">
        <v>12620</v>
      </c>
      <c r="U1532" t="s">
        <v>12620</v>
      </c>
      <c r="V1532" t="s">
        <v>12620</v>
      </c>
      <c r="W1532" t="s">
        <v>14116</v>
      </c>
      <c r="X1532">
        <v>4</v>
      </c>
      <c r="Y1532" t="s">
        <v>20337</v>
      </c>
      <c r="Z1532" t="s">
        <v>26479</v>
      </c>
      <c r="AA1532">
        <v>1.336224774291245</v>
      </c>
      <c r="AB1532" t="str">
        <f>HYPERLINK("Melting_Curves/meltCurve_P05814_CSN2.pdf", "Melting_Curves/meltCurve_P05814_CSN2.pdf")</f>
        <v>Melting_Curves/meltCurve_P05814_CSN2.pdf</v>
      </c>
    </row>
    <row r="1533" spans="1:28" x14ac:dyDescent="0.25">
      <c r="A1533" t="s">
        <v>1537</v>
      </c>
      <c r="B1533">
        <v>0.99987803227770999</v>
      </c>
      <c r="C1533">
        <v>1.06484537315836</v>
      </c>
      <c r="D1533">
        <v>0.89633181122541405</v>
      </c>
      <c r="E1533">
        <v>1.15226314973752</v>
      </c>
      <c r="F1533">
        <v>1.4402309474833199</v>
      </c>
      <c r="G1533">
        <v>1.67217365459928</v>
      </c>
      <c r="H1533">
        <v>1.8166829470268799</v>
      </c>
      <c r="I1533">
        <v>1.77180222818702</v>
      </c>
      <c r="J1533">
        <v>1.7126146210772899</v>
      </c>
      <c r="K1533">
        <v>1.5074021394583901</v>
      </c>
      <c r="L1533">
        <v>2868.9213536555299</v>
      </c>
      <c r="M1533">
        <v>56.496099072354298</v>
      </c>
      <c r="O1533">
        <v>50.717373186901099</v>
      </c>
      <c r="P1533">
        <v>0.13924255617299799</v>
      </c>
      <c r="Q1533">
        <v>1.5</v>
      </c>
      <c r="R1533">
        <v>0.75555865978277104</v>
      </c>
      <c r="S1533" t="s">
        <v>7844</v>
      </c>
      <c r="T1533" t="s">
        <v>12620</v>
      </c>
      <c r="U1533" t="s">
        <v>12620</v>
      </c>
      <c r="V1533" t="s">
        <v>12620</v>
      </c>
      <c r="W1533" t="s">
        <v>14117</v>
      </c>
      <c r="X1533">
        <v>2</v>
      </c>
      <c r="Y1533" t="s">
        <v>20338</v>
      </c>
      <c r="Z1533" t="s">
        <v>26480</v>
      </c>
      <c r="AA1533">
        <v>1.3194425872272659</v>
      </c>
      <c r="AB1533" t="str">
        <f>HYPERLINK("Melting_Curves/meltCurve_P05976_2_MYL1.pdf", "Melting_Curves/meltCurve_P05976_2_MYL1.pdf")</f>
        <v>Melting_Curves/meltCurve_P05976_2_MYL1.pdf</v>
      </c>
    </row>
    <row r="1534" spans="1:28" x14ac:dyDescent="0.25">
      <c r="A1534" t="s">
        <v>1538</v>
      </c>
      <c r="B1534">
        <v>0.99987803227770999</v>
      </c>
      <c r="C1534">
        <v>0.95927289163434504</v>
      </c>
      <c r="D1534">
        <v>0.84961655951085302</v>
      </c>
      <c r="E1534">
        <v>0.8696611781693</v>
      </c>
      <c r="F1534">
        <v>1.0035449327310899</v>
      </c>
      <c r="G1534">
        <v>1.0331133711229801</v>
      </c>
      <c r="H1534">
        <v>1.0607052177340499</v>
      </c>
      <c r="I1534">
        <v>0.90379496056547803</v>
      </c>
      <c r="J1534">
        <v>0.96261733100329505</v>
      </c>
      <c r="K1534">
        <v>0.76431401246706598</v>
      </c>
      <c r="L1534">
        <v>2216.5375227633899</v>
      </c>
      <c r="M1534">
        <v>30.460339822450301</v>
      </c>
      <c r="Q1534">
        <v>0</v>
      </c>
      <c r="R1534">
        <v>0.29993185417267798</v>
      </c>
      <c r="S1534" t="s">
        <v>7845</v>
      </c>
      <c r="T1534" t="s">
        <v>12620</v>
      </c>
      <c r="U1534" t="s">
        <v>12620</v>
      </c>
      <c r="V1534" t="s">
        <v>12620</v>
      </c>
      <c r="W1534" t="s">
        <v>14118</v>
      </c>
      <c r="X1534">
        <v>5</v>
      </c>
      <c r="Y1534" t="s">
        <v>20339</v>
      </c>
      <c r="Z1534" t="s">
        <v>26481</v>
      </c>
      <c r="AA1534">
        <v>0.98186489506192298</v>
      </c>
      <c r="AB1534" t="str">
        <f>HYPERLINK("Melting_Curves/meltCurve_P05997_COL5A2.pdf", "Melting_Curves/meltCurve_P05997_COL5A2.pdf")</f>
        <v>Melting_Curves/meltCurve_P05997_COL5A2.pdf</v>
      </c>
    </row>
    <row r="1535" spans="1:28" x14ac:dyDescent="0.25">
      <c r="A1535" t="s">
        <v>1539</v>
      </c>
      <c r="B1535">
        <v>0.99987803227770999</v>
      </c>
      <c r="C1535">
        <v>1.07930249780623</v>
      </c>
      <c r="D1535">
        <v>1.0392645999786401</v>
      </c>
      <c r="E1535">
        <v>1.05879144720603</v>
      </c>
      <c r="F1535">
        <v>0.95909356023186998</v>
      </c>
      <c r="G1535">
        <v>0.93887475526304298</v>
      </c>
      <c r="H1535">
        <v>0.84496061020129898</v>
      </c>
      <c r="I1535">
        <v>0.59759831480758796</v>
      </c>
      <c r="J1535">
        <v>0.209596216093764</v>
      </c>
      <c r="K1535">
        <v>0.128001175232659</v>
      </c>
      <c r="L1535">
        <v>2086.7368711733902</v>
      </c>
      <c r="M1535">
        <v>32.425959958098098</v>
      </c>
      <c r="N1535">
        <v>64.527508575222299</v>
      </c>
      <c r="O1535">
        <v>64.110596530527602</v>
      </c>
      <c r="P1535">
        <v>-0.12116383108423499</v>
      </c>
      <c r="Q1535">
        <v>4.1773843477724198E-2</v>
      </c>
      <c r="R1535">
        <v>0.98350707085357703</v>
      </c>
      <c r="S1535" t="s">
        <v>7846</v>
      </c>
      <c r="T1535" t="s">
        <v>12620</v>
      </c>
      <c r="U1535" t="s">
        <v>12620</v>
      </c>
      <c r="V1535" t="s">
        <v>12620</v>
      </c>
      <c r="W1535" t="s">
        <v>14119</v>
      </c>
      <c r="X1535">
        <v>11</v>
      </c>
      <c r="Y1535" t="s">
        <v>20340</v>
      </c>
      <c r="Z1535" t="s">
        <v>26482</v>
      </c>
      <c r="AA1535">
        <v>0.82047897153610982</v>
      </c>
      <c r="AB1535" t="str">
        <f>HYPERLINK("Melting_Curves/meltCurve_P06132_UROD.pdf", "Melting_Curves/meltCurve_P06132_UROD.pdf")</f>
        <v>Melting_Curves/meltCurve_P06132_UROD.pdf</v>
      </c>
    </row>
    <row r="1536" spans="1:28" x14ac:dyDescent="0.25">
      <c r="A1536" t="s">
        <v>1540</v>
      </c>
      <c r="B1536">
        <v>0.99987803227770999</v>
      </c>
      <c r="C1536">
        <v>1.1224932784511901</v>
      </c>
      <c r="D1536">
        <v>0.96332056170710301</v>
      </c>
      <c r="E1536">
        <v>0.70795754712517001</v>
      </c>
      <c r="F1536">
        <v>0.37153628912285902</v>
      </c>
      <c r="G1536">
        <v>0.15659355219780499</v>
      </c>
      <c r="H1536">
        <v>9.0577449624653097E-2</v>
      </c>
      <c r="I1536">
        <v>5.5920257607149297E-2</v>
      </c>
      <c r="J1536">
        <v>7.5306266556490795E-2</v>
      </c>
      <c r="K1536">
        <v>4.4701516371767197E-2</v>
      </c>
      <c r="L1536">
        <v>1330.9343096155901</v>
      </c>
      <c r="M1536">
        <v>25.799777284587201</v>
      </c>
      <c r="N1536">
        <v>51.8586133042065</v>
      </c>
      <c r="O1536">
        <v>51.280121220277799</v>
      </c>
      <c r="P1536">
        <v>-0.117832741446443</v>
      </c>
      <c r="Q1536">
        <v>6.3185036650857798E-2</v>
      </c>
      <c r="R1536">
        <v>0.99011934186606798</v>
      </c>
      <c r="S1536" t="s">
        <v>7847</v>
      </c>
      <c r="T1536" t="s">
        <v>12620</v>
      </c>
      <c r="U1536" t="s">
        <v>12620</v>
      </c>
      <c r="V1536" t="s">
        <v>12620</v>
      </c>
      <c r="W1536" t="s">
        <v>14120</v>
      </c>
      <c r="X1536">
        <v>7</v>
      </c>
      <c r="Y1536" t="s">
        <v>20341</v>
      </c>
      <c r="Z1536" t="s">
        <v>26483</v>
      </c>
      <c r="AA1536">
        <v>0.43302538722011441</v>
      </c>
      <c r="AB1536" t="str">
        <f>HYPERLINK("Melting_Curves/meltCurve_P06280_GLA.pdf", "Melting_Curves/meltCurve_P06280_GLA.pdf")</f>
        <v>Melting_Curves/meltCurve_P06280_GLA.pdf</v>
      </c>
    </row>
    <row r="1537" spans="1:28" x14ac:dyDescent="0.25">
      <c r="A1537" t="s">
        <v>1541</v>
      </c>
      <c r="B1537">
        <v>0.99987803227770999</v>
      </c>
      <c r="C1537">
        <v>0.98373157660935995</v>
      </c>
      <c r="D1537">
        <v>0.96287896716683896</v>
      </c>
      <c r="E1537">
        <v>0.878559150415817</v>
      </c>
      <c r="F1537">
        <v>0.64470447585153001</v>
      </c>
      <c r="G1537">
        <v>0.30756687100630897</v>
      </c>
      <c r="H1537">
        <v>0.14301516236528899</v>
      </c>
      <c r="I1537">
        <v>0.13592276642566201</v>
      </c>
      <c r="J1537">
        <v>9.8046919611574898E-2</v>
      </c>
      <c r="K1537">
        <v>7.2145772970536301E-2</v>
      </c>
      <c r="L1537">
        <v>1187.2395511043801</v>
      </c>
      <c r="M1537">
        <v>21.937574133509798</v>
      </c>
      <c r="N1537">
        <v>54.563293912855002</v>
      </c>
      <c r="O1537">
        <v>53.675330218322898</v>
      </c>
      <c r="P1537">
        <v>-9.3821943102064001E-2</v>
      </c>
      <c r="Q1537">
        <v>8.1792913866496994E-2</v>
      </c>
      <c r="R1537">
        <v>0.99897971155087495</v>
      </c>
      <c r="S1537" t="s">
        <v>7848</v>
      </c>
      <c r="T1537" t="s">
        <v>12620</v>
      </c>
      <c r="U1537" t="s">
        <v>12620</v>
      </c>
      <c r="V1537" t="s">
        <v>12620</v>
      </c>
      <c r="W1537" t="s">
        <v>14121</v>
      </c>
      <c r="X1537">
        <v>26</v>
      </c>
      <c r="Y1537" t="s">
        <v>20342</v>
      </c>
      <c r="Z1537" t="s">
        <v>26484</v>
      </c>
      <c r="AA1537">
        <v>0.52462610062228421</v>
      </c>
      <c r="AB1537" t="str">
        <f>HYPERLINK("Melting_Curves/meltCurve_P06400_RB1.pdf", "Melting_Curves/meltCurve_P06400_RB1.pdf")</f>
        <v>Melting_Curves/meltCurve_P06400_RB1.pdf</v>
      </c>
    </row>
    <row r="1538" spans="1:28" x14ac:dyDescent="0.25">
      <c r="A1538" t="s">
        <v>1542</v>
      </c>
      <c r="B1538">
        <v>0.99987803227770999</v>
      </c>
      <c r="C1538">
        <v>0.76110534799594698</v>
      </c>
      <c r="D1538">
        <v>0.65789267950363595</v>
      </c>
      <c r="E1538">
        <v>0.30830153708746999</v>
      </c>
      <c r="F1538">
        <v>0.18480053581185099</v>
      </c>
      <c r="G1538">
        <v>0.114853820147409</v>
      </c>
      <c r="H1538">
        <v>8.5066262464956396E-2</v>
      </c>
      <c r="I1538">
        <v>7.2110132534291396E-2</v>
      </c>
      <c r="J1538">
        <v>4.9885501244551503E-2</v>
      </c>
      <c r="K1538">
        <v>3.6323037956455403E-2</v>
      </c>
      <c r="L1538">
        <v>726.48574501695703</v>
      </c>
      <c r="M1538">
        <v>15.4061794623842</v>
      </c>
      <c r="N1538">
        <v>47.445525979731798</v>
      </c>
      <c r="O1538">
        <v>46.382415860681498</v>
      </c>
      <c r="P1538">
        <v>-7.9314229333814906E-2</v>
      </c>
      <c r="Q1538">
        <v>4.4941719805371601E-2</v>
      </c>
      <c r="R1538">
        <v>0.99016265724165398</v>
      </c>
      <c r="S1538" t="s">
        <v>7849</v>
      </c>
      <c r="T1538" t="s">
        <v>12620</v>
      </c>
      <c r="U1538" t="s">
        <v>12620</v>
      </c>
      <c r="V1538" t="s">
        <v>12620</v>
      </c>
      <c r="W1538" t="s">
        <v>14122</v>
      </c>
      <c r="X1538">
        <v>19</v>
      </c>
      <c r="Y1538" t="s">
        <v>20343</v>
      </c>
      <c r="Z1538" t="s">
        <v>26485</v>
      </c>
      <c r="AA1538">
        <v>0.29706660945879471</v>
      </c>
      <c r="AB1538" t="str">
        <f>HYPERLINK("Melting_Curves/meltCurve_P06493_CDK1.pdf", "Melting_Curves/meltCurve_P06493_CDK1.pdf")</f>
        <v>Melting_Curves/meltCurve_P06493_CDK1.pdf</v>
      </c>
    </row>
    <row r="1539" spans="1:28" x14ac:dyDescent="0.25">
      <c r="A1539" t="s">
        <v>1543</v>
      </c>
      <c r="B1539">
        <v>0.99987803227770999</v>
      </c>
      <c r="C1539">
        <v>0.85951444329069304</v>
      </c>
      <c r="D1539">
        <v>0.65777177424132305</v>
      </c>
      <c r="E1539">
        <v>0.40537278326786802</v>
      </c>
      <c r="F1539">
        <v>0.26514846951892701</v>
      </c>
      <c r="G1539">
        <v>0.18525514128347301</v>
      </c>
      <c r="H1539">
        <v>0.14521564517855101</v>
      </c>
      <c r="I1539">
        <v>0.11799474580798799</v>
      </c>
      <c r="J1539">
        <v>8.5747465106324597E-2</v>
      </c>
      <c r="K1539">
        <v>6.5083289046699105E-2</v>
      </c>
      <c r="L1539">
        <v>698.58479766961</v>
      </c>
      <c r="M1539">
        <v>14.584042452038799</v>
      </c>
      <c r="N1539">
        <v>48.522587381956001</v>
      </c>
      <c r="O1539">
        <v>47.027064300730302</v>
      </c>
      <c r="P1539">
        <v>-7.0928367700908601E-2</v>
      </c>
      <c r="Q1539">
        <v>8.5253480027497094E-2</v>
      </c>
      <c r="R1539">
        <v>0.99557059505652101</v>
      </c>
      <c r="S1539" t="s">
        <v>7850</v>
      </c>
      <c r="T1539" t="s">
        <v>12620</v>
      </c>
      <c r="U1539" t="s">
        <v>12620</v>
      </c>
      <c r="V1539" t="s">
        <v>12620</v>
      </c>
      <c r="W1539" t="s">
        <v>14123</v>
      </c>
      <c r="X1539">
        <v>18</v>
      </c>
      <c r="Y1539" t="s">
        <v>20344</v>
      </c>
      <c r="Z1539" t="s">
        <v>26486</v>
      </c>
      <c r="AA1539">
        <v>0.351159516761337</v>
      </c>
      <c r="AB1539" t="str">
        <f>HYPERLINK("Melting_Curves/meltCurve_P06576_ATP5B.pdf", "Melting_Curves/meltCurve_P06576_ATP5B.pdf")</f>
        <v>Melting_Curves/meltCurve_P06576_ATP5B.pdf</v>
      </c>
    </row>
    <row r="1540" spans="1:28" x14ac:dyDescent="0.25">
      <c r="A1540" t="s">
        <v>1544</v>
      </c>
      <c r="B1540">
        <v>0.99987803227770999</v>
      </c>
      <c r="C1540">
        <v>0.47548335397781</v>
      </c>
      <c r="D1540">
        <v>1.0888645767346901</v>
      </c>
      <c r="E1540">
        <v>0.563580618468421</v>
      </c>
      <c r="F1540">
        <v>0.38634390345372299</v>
      </c>
      <c r="G1540">
        <v>0.22020673974685301</v>
      </c>
      <c r="H1540">
        <v>0.21984075334404099</v>
      </c>
      <c r="I1540">
        <v>0.18717963972919299</v>
      </c>
      <c r="J1540">
        <v>0.15660479027416199</v>
      </c>
      <c r="K1540">
        <v>0.122992895657594</v>
      </c>
      <c r="L1540">
        <v>505.51619295345103</v>
      </c>
      <c r="M1540">
        <v>9.9530506714024902</v>
      </c>
      <c r="N1540">
        <v>51.446947251185101</v>
      </c>
      <c r="O1540">
        <v>48.8673916548261</v>
      </c>
      <c r="P1540">
        <v>-4.79041469853951E-2</v>
      </c>
      <c r="Q1540">
        <v>5.9668402115654197E-2</v>
      </c>
      <c r="R1540">
        <v>0.74373094196974598</v>
      </c>
      <c r="S1540" t="s">
        <v>7851</v>
      </c>
      <c r="T1540" t="s">
        <v>12620</v>
      </c>
      <c r="U1540" t="s">
        <v>12620</v>
      </c>
      <c r="V1540" t="s">
        <v>12620</v>
      </c>
      <c r="W1540" t="s">
        <v>14124</v>
      </c>
      <c r="X1540">
        <v>7</v>
      </c>
      <c r="Y1540" t="s">
        <v>20345</v>
      </c>
      <c r="Z1540" t="s">
        <v>26487</v>
      </c>
      <c r="AA1540">
        <v>0.43793389568923602</v>
      </c>
      <c r="AB1540" t="str">
        <f>HYPERLINK("Melting_Curves/meltCurve_P06730_EIF4E.pdf", "Melting_Curves/meltCurve_P06730_EIF4E.pdf")</f>
        <v>Melting_Curves/meltCurve_P06730_EIF4E.pdf</v>
      </c>
    </row>
    <row r="1541" spans="1:28" x14ac:dyDescent="0.25">
      <c r="A1541" t="s">
        <v>1545</v>
      </c>
      <c r="B1541">
        <v>0.99987803227770999</v>
      </c>
      <c r="C1541">
        <v>1.1273694557128</v>
      </c>
      <c r="D1541">
        <v>1.0458788832802499</v>
      </c>
      <c r="E1541">
        <v>1.2076643042673001</v>
      </c>
      <c r="F1541">
        <v>0.94545225612089201</v>
      </c>
      <c r="G1541">
        <v>0.72318950794988501</v>
      </c>
      <c r="H1541">
        <v>0.20300818682536101</v>
      </c>
      <c r="I1541">
        <v>0.110008348862011</v>
      </c>
      <c r="J1541">
        <v>6.3563954186308697E-2</v>
      </c>
      <c r="K1541">
        <v>4.7409115368444298E-2</v>
      </c>
      <c r="L1541">
        <v>2179.2339111967199</v>
      </c>
      <c r="M1541">
        <v>37.3707989910367</v>
      </c>
      <c r="N1541">
        <v>58.505635541267402</v>
      </c>
      <c r="O1541">
        <v>58.147594084471002</v>
      </c>
      <c r="P1541">
        <v>-0.15140854382439001</v>
      </c>
      <c r="Q1541">
        <v>5.7658036901542697E-2</v>
      </c>
      <c r="R1541">
        <v>0.96969833503473701</v>
      </c>
      <c r="S1541" t="s">
        <v>7852</v>
      </c>
      <c r="T1541" t="s">
        <v>12620</v>
      </c>
      <c r="U1541" t="s">
        <v>12620</v>
      </c>
      <c r="V1541" t="s">
        <v>12620</v>
      </c>
      <c r="W1541" t="s">
        <v>14125</v>
      </c>
      <c r="X1541">
        <v>41</v>
      </c>
      <c r="Y1541" t="s">
        <v>20346</v>
      </c>
      <c r="Z1541" t="s">
        <v>26488</v>
      </c>
      <c r="AA1541">
        <v>0.63713165959214557</v>
      </c>
      <c r="AB1541" t="str">
        <f>HYPERLINK("Melting_Curves/meltCurve_P06733_ENO1.pdf", "Melting_Curves/meltCurve_P06733_ENO1.pdf")</f>
        <v>Melting_Curves/meltCurve_P06733_ENO1.pdf</v>
      </c>
    </row>
    <row r="1542" spans="1:28" x14ac:dyDescent="0.25">
      <c r="A1542" t="s">
        <v>1546</v>
      </c>
      <c r="B1542">
        <v>0.99987803227770999</v>
      </c>
      <c r="C1542">
        <v>1.1454283798378599</v>
      </c>
      <c r="D1542">
        <v>0.91764029346811604</v>
      </c>
      <c r="E1542">
        <v>1.22175851113392</v>
      </c>
      <c r="F1542">
        <v>0.76778953604459299</v>
      </c>
      <c r="G1542">
        <v>0.445406686472678</v>
      </c>
      <c r="H1542">
        <v>0.21019881846685101</v>
      </c>
      <c r="I1542">
        <v>0.139892513465142</v>
      </c>
      <c r="J1542">
        <v>9.6328282652290403E-2</v>
      </c>
      <c r="K1542">
        <v>6.8531654834531303E-2</v>
      </c>
      <c r="L1542">
        <v>1589.0403913248299</v>
      </c>
      <c r="M1542">
        <v>28.3649300582499</v>
      </c>
      <c r="N1542">
        <v>56.453424248104</v>
      </c>
      <c r="O1542">
        <v>55.745066960700299</v>
      </c>
      <c r="P1542">
        <v>-0.11479548437142099</v>
      </c>
      <c r="Q1542">
        <v>9.7585536877019693E-2</v>
      </c>
      <c r="R1542">
        <v>0.94744847042662805</v>
      </c>
      <c r="S1542" t="s">
        <v>7853</v>
      </c>
      <c r="T1542" t="s">
        <v>12620</v>
      </c>
      <c r="U1542" t="s">
        <v>12620</v>
      </c>
      <c r="V1542" t="s">
        <v>12620</v>
      </c>
      <c r="W1542" t="s">
        <v>14126</v>
      </c>
      <c r="X1542">
        <v>46</v>
      </c>
      <c r="Y1542" t="s">
        <v>20347</v>
      </c>
      <c r="Z1542" t="s">
        <v>26489</v>
      </c>
      <c r="AA1542">
        <v>0.58617429096486717</v>
      </c>
      <c r="AB1542" t="str">
        <f>HYPERLINK("Melting_Curves/meltCurve_P06737_2_PYGL.pdf", "Melting_Curves/meltCurve_P06737_2_PYGL.pdf")</f>
        <v>Melting_Curves/meltCurve_P06737_2_PYGL.pdf</v>
      </c>
    </row>
    <row r="1543" spans="1:28" x14ac:dyDescent="0.25">
      <c r="A1543" t="s">
        <v>1547</v>
      </c>
      <c r="B1543">
        <v>0.99987803227770999</v>
      </c>
      <c r="C1543">
        <v>1.21526768658089</v>
      </c>
      <c r="D1543">
        <v>0.89320658065701097</v>
      </c>
      <c r="E1543">
        <v>1.2176220025643001</v>
      </c>
      <c r="F1543">
        <v>0.74013666359313102</v>
      </c>
      <c r="G1543">
        <v>0.50794419367711097</v>
      </c>
      <c r="H1543">
        <v>0.101147774165114</v>
      </c>
      <c r="I1543">
        <v>7.94569254301878E-2</v>
      </c>
      <c r="J1543">
        <v>5.5915793263143998E-2</v>
      </c>
      <c r="K1543">
        <v>4.1656978908932198E-2</v>
      </c>
      <c r="L1543">
        <v>1549.2515833889299</v>
      </c>
      <c r="M1543">
        <v>27.429378629250301</v>
      </c>
      <c r="N1543">
        <v>56.624699353146397</v>
      </c>
      <c r="O1543">
        <v>56.183793425759802</v>
      </c>
      <c r="P1543">
        <v>-0.117962464324468</v>
      </c>
      <c r="Q1543">
        <v>3.3515129427542902E-2</v>
      </c>
      <c r="R1543">
        <v>0.93652199620742305</v>
      </c>
      <c r="S1543" t="s">
        <v>7854</v>
      </c>
      <c r="T1543" t="s">
        <v>12620</v>
      </c>
      <c r="U1543" t="s">
        <v>12620</v>
      </c>
      <c r="V1543" t="s">
        <v>12620</v>
      </c>
      <c r="W1543" t="s">
        <v>14127</v>
      </c>
      <c r="X1543">
        <v>42</v>
      </c>
      <c r="Y1543" t="s">
        <v>20348</v>
      </c>
      <c r="Z1543" t="s">
        <v>26490</v>
      </c>
      <c r="AA1543">
        <v>0.57203194916289868</v>
      </c>
      <c r="AB1543" t="str">
        <f>HYPERLINK("Melting_Curves/meltCurve_P06744_GPI.pdf", "Melting_Curves/meltCurve_P06744_GPI.pdf")</f>
        <v>Melting_Curves/meltCurve_P06744_GPI.pdf</v>
      </c>
    </row>
    <row r="1544" spans="1:28" x14ac:dyDescent="0.25">
      <c r="A1544" t="s">
        <v>1548</v>
      </c>
      <c r="B1544">
        <v>0.99987803227770999</v>
      </c>
      <c r="C1544">
        <v>1.0133255895404301</v>
      </c>
      <c r="D1544">
        <v>1.0382431603500699</v>
      </c>
      <c r="E1544">
        <v>1.09481061022301</v>
      </c>
      <c r="F1544">
        <v>1.1102199540022999</v>
      </c>
      <c r="G1544">
        <v>0.833966230637604</v>
      </c>
      <c r="H1544">
        <v>1.1213066472892299</v>
      </c>
      <c r="I1544">
        <v>1.1677775100448999</v>
      </c>
      <c r="J1544">
        <v>1.43246460752508</v>
      </c>
      <c r="K1544">
        <v>1.0760128874411199</v>
      </c>
      <c r="L1544">
        <v>4761.1016084969497</v>
      </c>
      <c r="M1544">
        <v>78.040490508836896</v>
      </c>
      <c r="O1544">
        <v>60.968069298424901</v>
      </c>
      <c r="P1544">
        <v>7.3231798694641595E-2</v>
      </c>
      <c r="Q1544">
        <v>1.2288453444867899</v>
      </c>
      <c r="R1544">
        <v>0.42714981110157602</v>
      </c>
      <c r="S1544" t="s">
        <v>7855</v>
      </c>
      <c r="T1544" t="s">
        <v>12620</v>
      </c>
      <c r="U1544" t="s">
        <v>12620</v>
      </c>
      <c r="V1544" t="s">
        <v>12620</v>
      </c>
      <c r="W1544" t="s">
        <v>14128</v>
      </c>
      <c r="X1544">
        <v>23</v>
      </c>
      <c r="Y1544" t="s">
        <v>20349</v>
      </c>
      <c r="Z1544" t="s">
        <v>26491</v>
      </c>
      <c r="AA1544">
        <v>1.0683402539689391</v>
      </c>
      <c r="AB1544" t="str">
        <f>HYPERLINK("Melting_Curves/meltCurve_P06748_NPM1.pdf", "Melting_Curves/meltCurve_P06748_NPM1.pdf")</f>
        <v>Melting_Curves/meltCurve_P06748_NPM1.pdf</v>
      </c>
    </row>
    <row r="1545" spans="1:28" x14ac:dyDescent="0.25">
      <c r="A1545" t="s">
        <v>1549</v>
      </c>
      <c r="B1545">
        <v>0.99987803227770999</v>
      </c>
      <c r="C1545">
        <v>0.87697487659240003</v>
      </c>
      <c r="D1545">
        <v>1.0301693491223201</v>
      </c>
      <c r="E1545">
        <v>0.94670473183761605</v>
      </c>
      <c r="F1545">
        <v>1.1735351180862199</v>
      </c>
      <c r="G1545">
        <v>1.0848183664117499</v>
      </c>
      <c r="H1545">
        <v>1.1448076107538701</v>
      </c>
      <c r="I1545">
        <v>1.1079916968467201</v>
      </c>
      <c r="J1545">
        <v>1.15125423201072</v>
      </c>
      <c r="K1545">
        <v>0.88490213624683101</v>
      </c>
      <c r="L1545">
        <v>4770.8849812983399</v>
      </c>
      <c r="M1545">
        <v>92.900493255886303</v>
      </c>
      <c r="O1545">
        <v>51.330996510435099</v>
      </c>
      <c r="P1545">
        <v>4.0944971179568503E-2</v>
      </c>
      <c r="Q1545">
        <v>1.09049451608077</v>
      </c>
      <c r="R1545">
        <v>0.29626536307020501</v>
      </c>
      <c r="S1545" t="s">
        <v>7856</v>
      </c>
      <c r="T1545" t="s">
        <v>12620</v>
      </c>
      <c r="U1545" t="s">
        <v>12620</v>
      </c>
      <c r="V1545" t="s">
        <v>12620</v>
      </c>
      <c r="W1545" t="s">
        <v>14129</v>
      </c>
      <c r="X1545">
        <v>49</v>
      </c>
      <c r="Y1545" t="s">
        <v>20350</v>
      </c>
      <c r="Z1545" t="s">
        <v>26492</v>
      </c>
      <c r="AA1545">
        <v>1.056183840776272</v>
      </c>
      <c r="AB1545" t="str">
        <f>HYPERLINK("Melting_Curves/meltCurve_P06753_2_TPM3.pdf", "Melting_Curves/meltCurve_P06753_2_TPM3.pdf")</f>
        <v>Melting_Curves/meltCurve_P06753_2_TPM3.pdf</v>
      </c>
    </row>
    <row r="1546" spans="1:28" x14ac:dyDescent="0.25">
      <c r="A1546" t="s">
        <v>1550</v>
      </c>
      <c r="B1546">
        <v>0.99987803227770999</v>
      </c>
      <c r="C1546">
        <v>0.93204197507864595</v>
      </c>
      <c r="D1546">
        <v>1.06737141141234</v>
      </c>
      <c r="E1546">
        <v>0.97408370621045703</v>
      </c>
      <c r="F1546">
        <v>1.1083454660505201</v>
      </c>
      <c r="G1546">
        <v>0.98660670777666104</v>
      </c>
      <c r="H1546">
        <v>1.0779703412435799</v>
      </c>
      <c r="I1546">
        <v>1.0978689167612099</v>
      </c>
      <c r="J1546">
        <v>1.17241423238131</v>
      </c>
      <c r="K1546">
        <v>0.98068047979920503</v>
      </c>
      <c r="L1546">
        <v>782.58323749128795</v>
      </c>
      <c r="M1546">
        <v>14.835484443320899</v>
      </c>
      <c r="O1546">
        <v>51.820127780961201</v>
      </c>
      <c r="P1546">
        <v>5.6131382578791401E-3</v>
      </c>
      <c r="Q1546">
        <v>1.0784181631977301</v>
      </c>
      <c r="R1546">
        <v>0.224218096698792</v>
      </c>
      <c r="S1546" t="s">
        <v>7857</v>
      </c>
      <c r="T1546" t="s">
        <v>12620</v>
      </c>
      <c r="U1546" t="s">
        <v>12620</v>
      </c>
      <c r="V1546" t="s">
        <v>12620</v>
      </c>
      <c r="W1546" t="s">
        <v>14130</v>
      </c>
      <c r="X1546">
        <v>46</v>
      </c>
      <c r="Y1546" t="s">
        <v>20350</v>
      </c>
      <c r="Z1546" t="s">
        <v>26493</v>
      </c>
      <c r="AA1546">
        <v>1.0433566954751159</v>
      </c>
      <c r="AB1546" t="str">
        <f>HYPERLINK("Melting_Curves/meltCurve_P06753_3_TPM3.pdf", "Melting_Curves/meltCurve_P06753_3_TPM3.pdf")</f>
        <v>Melting_Curves/meltCurve_P06753_3_TPM3.pdf</v>
      </c>
    </row>
    <row r="1547" spans="1:28" x14ac:dyDescent="0.25">
      <c r="A1547" t="s">
        <v>1551</v>
      </c>
      <c r="B1547">
        <v>0.99987803227770999</v>
      </c>
      <c r="C1547">
        <v>0.99367291956410597</v>
      </c>
      <c r="D1547">
        <v>0.98272459514343802</v>
      </c>
      <c r="E1547">
        <v>0.92583405467742197</v>
      </c>
      <c r="F1547">
        <v>0.80152034670139005</v>
      </c>
      <c r="G1547">
        <v>0.62456364011579701</v>
      </c>
      <c r="H1547">
        <v>0.74362554276938198</v>
      </c>
      <c r="I1547">
        <v>0.60406617139670105</v>
      </c>
      <c r="J1547">
        <v>0.64187198879498597</v>
      </c>
      <c r="K1547">
        <v>0.51640943869837796</v>
      </c>
      <c r="L1547">
        <v>980.05557009393704</v>
      </c>
      <c r="M1547">
        <v>18.416220919100901</v>
      </c>
      <c r="O1547">
        <v>52.601399619455897</v>
      </c>
      <c r="P1547">
        <v>-3.5352562997537099E-2</v>
      </c>
      <c r="Q1547">
        <v>0.59611463532411801</v>
      </c>
      <c r="R1547">
        <v>0.914857444053222</v>
      </c>
      <c r="S1547" t="s">
        <v>7858</v>
      </c>
      <c r="T1547" t="s">
        <v>12620</v>
      </c>
      <c r="U1547" t="s">
        <v>12620</v>
      </c>
      <c r="V1547" t="s">
        <v>12620</v>
      </c>
      <c r="W1547" t="s">
        <v>14131</v>
      </c>
      <c r="X1547">
        <v>9</v>
      </c>
      <c r="Y1547" t="s">
        <v>20351</v>
      </c>
      <c r="Z1547" t="s">
        <v>26494</v>
      </c>
      <c r="AA1547">
        <v>0.78040251105849068</v>
      </c>
      <c r="AB1547" t="str">
        <f>HYPERLINK("Melting_Curves/meltCurve_P06756_3_ITGAV.pdf", "Melting_Curves/meltCurve_P06756_3_ITGAV.pdf")</f>
        <v>Melting_Curves/meltCurve_P06756_3_ITGAV.pdf</v>
      </c>
    </row>
    <row r="1548" spans="1:28" x14ac:dyDescent="0.25">
      <c r="A1548" t="s">
        <v>1552</v>
      </c>
      <c r="B1548">
        <v>0.99987803227770999</v>
      </c>
      <c r="C1548">
        <v>1.21501266472375</v>
      </c>
      <c r="D1548">
        <v>1.1614798207902</v>
      </c>
      <c r="E1548">
        <v>1.1715595752339301</v>
      </c>
      <c r="F1548">
        <v>0.96358980728948096</v>
      </c>
      <c r="G1548">
        <v>0.55688725013113105</v>
      </c>
      <c r="H1548">
        <v>0.165428545967127</v>
      </c>
      <c r="I1548">
        <v>0.14240503215401901</v>
      </c>
      <c r="J1548">
        <v>9.7527161456911093E-2</v>
      </c>
      <c r="K1548">
        <v>7.8551361895545596E-2</v>
      </c>
      <c r="L1548">
        <v>2422.7130748128502</v>
      </c>
      <c r="M1548">
        <v>42.464331083000999</v>
      </c>
      <c r="N1548">
        <v>57.368610332289499</v>
      </c>
      <c r="O1548">
        <v>56.926804258660802</v>
      </c>
      <c r="P1548">
        <v>-0.16705457389102599</v>
      </c>
      <c r="Q1548">
        <v>0.104201830111312</v>
      </c>
      <c r="R1548">
        <v>0.95276730794991205</v>
      </c>
      <c r="S1548" t="s">
        <v>7859</v>
      </c>
      <c r="T1548" t="s">
        <v>12620</v>
      </c>
      <c r="U1548" t="s">
        <v>12620</v>
      </c>
      <c r="V1548" t="s">
        <v>12620</v>
      </c>
      <c r="W1548" t="s">
        <v>14132</v>
      </c>
      <c r="X1548">
        <v>10</v>
      </c>
      <c r="Y1548" t="s">
        <v>20352</v>
      </c>
      <c r="Z1548" t="s">
        <v>26495</v>
      </c>
      <c r="AA1548">
        <v>0.61650770098414098</v>
      </c>
      <c r="AB1548" t="str">
        <f>HYPERLINK("Melting_Curves/meltCurve_P06865_HEXA.pdf", "Melting_Curves/meltCurve_P06865_HEXA.pdf")</f>
        <v>Melting_Curves/meltCurve_P06865_HEXA.pdf</v>
      </c>
    </row>
    <row r="1549" spans="1:28" x14ac:dyDescent="0.25">
      <c r="A1549" t="s">
        <v>1553</v>
      </c>
      <c r="B1549">
        <v>0.99987803227770999</v>
      </c>
      <c r="C1549">
        <v>1.0289465400750999</v>
      </c>
      <c r="D1549">
        <v>0.80773754727172797</v>
      </c>
      <c r="E1549">
        <v>0.99378070517261696</v>
      </c>
      <c r="F1549">
        <v>0.70966635210396101</v>
      </c>
      <c r="G1549">
        <v>0.63863401415110199</v>
      </c>
      <c r="H1549">
        <v>0.61535856277719603</v>
      </c>
      <c r="I1549">
        <v>0.56047169581398304</v>
      </c>
      <c r="J1549">
        <v>0.721563563784407</v>
      </c>
      <c r="K1549">
        <v>0.57909540840530205</v>
      </c>
      <c r="L1549">
        <v>4558.0092584399199</v>
      </c>
      <c r="M1549">
        <v>87.206366000924803</v>
      </c>
      <c r="O1549">
        <v>52.239464603558197</v>
      </c>
      <c r="P1549">
        <v>-0.15735838406053701</v>
      </c>
      <c r="Q1549">
        <v>0.62294875800059601</v>
      </c>
      <c r="R1549">
        <v>0.82039206178203905</v>
      </c>
      <c r="S1549" t="s">
        <v>7860</v>
      </c>
      <c r="T1549" t="s">
        <v>12620</v>
      </c>
      <c r="U1549" t="s">
        <v>12620</v>
      </c>
      <c r="V1549" t="s">
        <v>12620</v>
      </c>
      <c r="W1549" t="s">
        <v>14133</v>
      </c>
      <c r="X1549">
        <v>1</v>
      </c>
      <c r="Y1549" t="s">
        <v>20353</v>
      </c>
      <c r="Z1549" t="s">
        <v>26496</v>
      </c>
      <c r="AA1549">
        <v>0.77740885938576754</v>
      </c>
      <c r="AB1549" t="str">
        <f>HYPERLINK("Melting_Curves/meltCurve_P07093_2_SERPINE2.pdf", "Melting_Curves/meltCurve_P07093_2_SERPINE2.pdf")</f>
        <v>Melting_Curves/meltCurve_P07093_2_SERPINE2.pdf</v>
      </c>
    </row>
    <row r="1550" spans="1:28" x14ac:dyDescent="0.25">
      <c r="A1550" t="s">
        <v>1554</v>
      </c>
      <c r="B1550">
        <v>0.99987803227770999</v>
      </c>
      <c r="C1550">
        <v>0.76526852134866097</v>
      </c>
      <c r="D1550">
        <v>1.02286478032765</v>
      </c>
      <c r="E1550">
        <v>0.85841435492594798</v>
      </c>
      <c r="F1550">
        <v>1.30090872126291</v>
      </c>
      <c r="G1550">
        <v>0.96670288607923105</v>
      </c>
      <c r="H1550">
        <v>1.40168330526215</v>
      </c>
      <c r="I1550">
        <v>1.1458623111099</v>
      </c>
      <c r="J1550">
        <v>1.2451695528951201</v>
      </c>
      <c r="K1550">
        <v>1.0472564967037401</v>
      </c>
      <c r="L1550">
        <v>12870.630633009599</v>
      </c>
      <c r="M1550">
        <v>250</v>
      </c>
      <c r="O1550">
        <v>51.479243858408999</v>
      </c>
      <c r="P1550">
        <v>0.22410956881962099</v>
      </c>
      <c r="Q1550">
        <v>1.1845918014728301</v>
      </c>
      <c r="R1550">
        <v>0.41509195703809898</v>
      </c>
      <c r="S1550" t="s">
        <v>7861</v>
      </c>
      <c r="T1550" t="s">
        <v>12620</v>
      </c>
      <c r="U1550" t="s">
        <v>12620</v>
      </c>
      <c r="V1550" t="s">
        <v>12620</v>
      </c>
      <c r="W1550" t="s">
        <v>14134</v>
      </c>
      <c r="X1550">
        <v>9</v>
      </c>
      <c r="Y1550" t="s">
        <v>20354</v>
      </c>
      <c r="Z1550" t="s">
        <v>26497</v>
      </c>
      <c r="AA1550">
        <v>1.113922472759503</v>
      </c>
      <c r="AB1550" t="str">
        <f>HYPERLINK("Melting_Curves/meltCurve_P07108_DBI.pdf", "Melting_Curves/meltCurve_P07108_DBI.pdf")</f>
        <v>Melting_Curves/meltCurve_P07108_DBI.pdf</v>
      </c>
    </row>
    <row r="1551" spans="1:28" x14ac:dyDescent="0.25">
      <c r="A1551" t="s">
        <v>1555</v>
      </c>
      <c r="B1551">
        <v>0.99987803227770999</v>
      </c>
      <c r="C1551">
        <v>0.99618318784566895</v>
      </c>
      <c r="D1551">
        <v>1.01872515754031</v>
      </c>
      <c r="E1551">
        <v>0.973946194539554</v>
      </c>
      <c r="F1551">
        <v>0.91335689295617795</v>
      </c>
      <c r="G1551">
        <v>0.79112227294830795</v>
      </c>
      <c r="H1551">
        <v>0.66701548127146704</v>
      </c>
      <c r="I1551">
        <v>0.84913860089110504</v>
      </c>
      <c r="J1551">
        <v>0.38791359499057398</v>
      </c>
      <c r="K1551">
        <v>0.39855102353559102</v>
      </c>
      <c r="L1551">
        <v>649.04934880431802</v>
      </c>
      <c r="M1551">
        <v>9.6446256019004295</v>
      </c>
      <c r="N1551">
        <v>67.296478865391705</v>
      </c>
      <c r="O1551">
        <v>64.594259702480201</v>
      </c>
      <c r="P1551">
        <v>-3.7348564828345497E-2</v>
      </c>
      <c r="Q1551">
        <v>0</v>
      </c>
      <c r="R1551">
        <v>0.85449289198987599</v>
      </c>
      <c r="S1551" t="s">
        <v>7862</v>
      </c>
      <c r="T1551" t="s">
        <v>12620</v>
      </c>
      <c r="U1551" t="s">
        <v>12620</v>
      </c>
      <c r="V1551" t="s">
        <v>12620</v>
      </c>
      <c r="W1551" t="s">
        <v>14135</v>
      </c>
      <c r="X1551">
        <v>2</v>
      </c>
      <c r="Y1551" t="s">
        <v>20355</v>
      </c>
      <c r="Z1551" t="s">
        <v>26498</v>
      </c>
      <c r="AA1551">
        <v>0.81966925129429968</v>
      </c>
      <c r="AB1551" t="str">
        <f>HYPERLINK("Melting_Curves/meltCurve_P07148_FABP1.pdf", "Melting_Curves/meltCurve_P07148_FABP1.pdf")</f>
        <v>Melting_Curves/meltCurve_P07148_FABP1.pdf</v>
      </c>
    </row>
    <row r="1552" spans="1:28" x14ac:dyDescent="0.25">
      <c r="A1552" t="s">
        <v>1556</v>
      </c>
      <c r="B1552">
        <v>0.99987803227770999</v>
      </c>
      <c r="C1552">
        <v>1.1912724075038099</v>
      </c>
      <c r="D1552">
        <v>1.06276486267375</v>
      </c>
      <c r="E1552">
        <v>1.2280533225007599</v>
      </c>
      <c r="F1552">
        <v>1.01759162077003</v>
      </c>
      <c r="G1552">
        <v>0.94376465549412702</v>
      </c>
      <c r="H1552">
        <v>1.2330097446247299</v>
      </c>
      <c r="I1552">
        <v>0.684528995202631</v>
      </c>
      <c r="J1552">
        <v>0.20015156378062701</v>
      </c>
      <c r="K1552">
        <v>7.2100185702009795E-2</v>
      </c>
      <c r="L1552">
        <v>5814.11419828608</v>
      </c>
      <c r="M1552">
        <v>90.196335322783696</v>
      </c>
      <c r="N1552">
        <v>64.656283840320299</v>
      </c>
      <c r="O1552">
        <v>64.428983977165998</v>
      </c>
      <c r="P1552">
        <v>-0.30818800779261002</v>
      </c>
      <c r="Q1552">
        <v>0.119421549546328</v>
      </c>
      <c r="R1552">
        <v>0.89893449856789898</v>
      </c>
      <c r="S1552" t="s">
        <v>7863</v>
      </c>
      <c r="T1552" t="s">
        <v>12620</v>
      </c>
      <c r="U1552" t="s">
        <v>12620</v>
      </c>
      <c r="V1552" t="s">
        <v>12620</v>
      </c>
      <c r="W1552" t="s">
        <v>14136</v>
      </c>
      <c r="X1552">
        <v>25</v>
      </c>
      <c r="Y1552" t="s">
        <v>19074</v>
      </c>
      <c r="Z1552" t="s">
        <v>26499</v>
      </c>
      <c r="AA1552">
        <v>0.8381518301520039</v>
      </c>
      <c r="AB1552" t="str">
        <f>HYPERLINK("Melting_Curves/meltCurve_P07195_LDHB.pdf", "Melting_Curves/meltCurve_P07195_LDHB.pdf")</f>
        <v>Melting_Curves/meltCurve_P07195_LDHB.pdf</v>
      </c>
    </row>
    <row r="1553" spans="1:28" x14ac:dyDescent="0.25">
      <c r="A1553" t="s">
        <v>1557</v>
      </c>
      <c r="B1553">
        <v>0.99987803227770999</v>
      </c>
      <c r="C1553">
        <v>0.94359156328770399</v>
      </c>
      <c r="D1553">
        <v>0.74212633730561695</v>
      </c>
      <c r="E1553">
        <v>0.72415915024431299</v>
      </c>
      <c r="F1553">
        <v>0.40364552486655098</v>
      </c>
      <c r="G1553">
        <v>0.30222776085152597</v>
      </c>
      <c r="H1553">
        <v>0.24215546340069699</v>
      </c>
      <c r="I1553">
        <v>0.16460723268629701</v>
      </c>
      <c r="J1553">
        <v>0.11835248287805999</v>
      </c>
      <c r="K1553">
        <v>9.39749692957417E-2</v>
      </c>
      <c r="L1553">
        <v>583.82831136509003</v>
      </c>
      <c r="M1553">
        <v>11.2529313704836</v>
      </c>
      <c r="N1553">
        <v>52.455267602310201</v>
      </c>
      <c r="O1553">
        <v>50.324820215420303</v>
      </c>
      <c r="P1553">
        <v>-5.2685119096682401E-2</v>
      </c>
      <c r="Q1553">
        <v>5.7827838716779302E-2</v>
      </c>
      <c r="R1553">
        <v>0.97834111259458101</v>
      </c>
      <c r="S1553" t="s">
        <v>7864</v>
      </c>
      <c r="T1553" t="s">
        <v>12620</v>
      </c>
      <c r="U1553" t="s">
        <v>12620</v>
      </c>
      <c r="V1553" t="s">
        <v>12620</v>
      </c>
      <c r="W1553" t="s">
        <v>14137</v>
      </c>
      <c r="X1553">
        <v>1</v>
      </c>
      <c r="Y1553" t="s">
        <v>20356</v>
      </c>
      <c r="Z1553" t="s">
        <v>26500</v>
      </c>
      <c r="AA1553">
        <v>0.46252620675079442</v>
      </c>
      <c r="AB1553" t="str">
        <f>HYPERLINK("Melting_Curves/meltCurve_P07199_CENPB.pdf", "Melting_Curves/meltCurve_P07199_CENPB.pdf")</f>
        <v>Melting_Curves/meltCurve_P07199_CENPB.pdf</v>
      </c>
    </row>
    <row r="1554" spans="1:28" x14ac:dyDescent="0.25">
      <c r="A1554" t="s">
        <v>1558</v>
      </c>
      <c r="B1554">
        <v>0.99987803227770999</v>
      </c>
      <c r="C1554">
        <v>1.07702855717554</v>
      </c>
      <c r="D1554">
        <v>1.05891394062739</v>
      </c>
      <c r="E1554">
        <v>1.0779515229923899</v>
      </c>
      <c r="F1554">
        <v>0.95152855269664105</v>
      </c>
      <c r="G1554">
        <v>0.87877719626733597</v>
      </c>
      <c r="H1554">
        <v>0.74146634982565895</v>
      </c>
      <c r="I1554">
        <v>0.57906538579561695</v>
      </c>
      <c r="J1554">
        <v>0.41587379890431297</v>
      </c>
      <c r="K1554">
        <v>0.21659324996767701</v>
      </c>
      <c r="L1554">
        <v>1038.2149614215</v>
      </c>
      <c r="M1554">
        <v>15.944130623429499</v>
      </c>
      <c r="N1554">
        <v>65.115808899893494</v>
      </c>
      <c r="O1554">
        <v>64.117328185367697</v>
      </c>
      <c r="P1554">
        <v>-6.21727480126643E-2</v>
      </c>
      <c r="Q1554">
        <v>0</v>
      </c>
      <c r="R1554">
        <v>0.97587470587257197</v>
      </c>
      <c r="S1554" t="s">
        <v>7865</v>
      </c>
      <c r="T1554" t="s">
        <v>12620</v>
      </c>
      <c r="U1554" t="s">
        <v>12620</v>
      </c>
      <c r="V1554" t="s">
        <v>12620</v>
      </c>
      <c r="W1554" t="s">
        <v>14138</v>
      </c>
      <c r="X1554">
        <v>9</v>
      </c>
      <c r="Y1554" t="s">
        <v>20357</v>
      </c>
      <c r="Z1554" t="s">
        <v>26501</v>
      </c>
      <c r="AA1554">
        <v>0.81391032604910529</v>
      </c>
      <c r="AB1554" t="str">
        <f>HYPERLINK("Melting_Curves/meltCurve_P07203_GPX1.pdf", "Melting_Curves/meltCurve_P07203_GPX1.pdf")</f>
        <v>Melting_Curves/meltCurve_P07203_GPX1.pdf</v>
      </c>
    </row>
    <row r="1555" spans="1:28" x14ac:dyDescent="0.25">
      <c r="A1555" t="s">
        <v>1559</v>
      </c>
      <c r="B1555">
        <v>0.99987803227770999</v>
      </c>
      <c r="C1555">
        <v>0.82887030337440903</v>
      </c>
      <c r="D1555">
        <v>0.98949812817538596</v>
      </c>
      <c r="E1555">
        <v>0.84183183613186496</v>
      </c>
      <c r="F1555">
        <v>1.16306313731032</v>
      </c>
      <c r="G1555">
        <v>1.0303555073111099</v>
      </c>
      <c r="H1555">
        <v>1.0979204414036901</v>
      </c>
      <c r="I1555">
        <v>1.05602827074494</v>
      </c>
      <c r="J1555">
        <v>1.06830743512491</v>
      </c>
      <c r="K1555">
        <v>0.82656892657924996</v>
      </c>
      <c r="L1555">
        <v>15000</v>
      </c>
      <c r="M1555">
        <v>212.724163737087</v>
      </c>
      <c r="Q1555">
        <v>0</v>
      </c>
      <c r="R1555">
        <v>0.226735605345739</v>
      </c>
      <c r="S1555" t="s">
        <v>7866</v>
      </c>
      <c r="T1555" t="s">
        <v>12620</v>
      </c>
      <c r="U1555" t="s">
        <v>12620</v>
      </c>
      <c r="V1555" t="s">
        <v>12620</v>
      </c>
      <c r="W1555" t="s">
        <v>14139</v>
      </c>
      <c r="X1555">
        <v>2</v>
      </c>
      <c r="Y1555" t="s">
        <v>20358</v>
      </c>
      <c r="Z1555" t="s">
        <v>26502</v>
      </c>
      <c r="AA1555">
        <v>0.9979460737500373</v>
      </c>
      <c r="AB1555" t="str">
        <f>HYPERLINK("Melting_Curves/meltCurve_P07204_THBD.pdf", "Melting_Curves/meltCurve_P07204_THBD.pdf")</f>
        <v>Melting_Curves/meltCurve_P07204_THBD.pdf</v>
      </c>
    </row>
    <row r="1556" spans="1:28" x14ac:dyDescent="0.25">
      <c r="A1556" t="s">
        <v>1560</v>
      </c>
      <c r="B1556">
        <v>0.99987803227770999</v>
      </c>
      <c r="C1556">
        <v>0.87419321317128995</v>
      </c>
      <c r="D1556">
        <v>1.0151814850760399</v>
      </c>
      <c r="E1556">
        <v>0.84562685485011801</v>
      </c>
      <c r="F1556">
        <v>0.416654258646316</v>
      </c>
      <c r="G1556">
        <v>0.15748914054529001</v>
      </c>
      <c r="H1556">
        <v>0.127191592425524</v>
      </c>
      <c r="I1556">
        <v>0.115469057267308</v>
      </c>
      <c r="J1556">
        <v>7.1425685855656201E-2</v>
      </c>
      <c r="K1556">
        <v>5.4941799423310601E-2</v>
      </c>
      <c r="L1556">
        <v>1821.8530931964401</v>
      </c>
      <c r="M1556">
        <v>34.915543155722403</v>
      </c>
      <c r="N1556">
        <v>52.490236225621103</v>
      </c>
      <c r="O1556">
        <v>52.008585321020902</v>
      </c>
      <c r="P1556">
        <v>-0.15213656888097599</v>
      </c>
      <c r="Q1556">
        <v>9.3540791991653702E-2</v>
      </c>
      <c r="R1556">
        <v>0.98715956263361004</v>
      </c>
      <c r="S1556" t="s">
        <v>7867</v>
      </c>
      <c r="T1556" t="s">
        <v>12620</v>
      </c>
      <c r="U1556" t="s">
        <v>12620</v>
      </c>
      <c r="V1556" t="s">
        <v>12620</v>
      </c>
      <c r="W1556" t="s">
        <v>14140</v>
      </c>
      <c r="X1556">
        <v>7</v>
      </c>
      <c r="Y1556" t="s">
        <v>20359</v>
      </c>
      <c r="Z1556" t="s">
        <v>26503</v>
      </c>
      <c r="AA1556">
        <v>0.46582124621932608</v>
      </c>
      <c r="AB1556" t="str">
        <f>HYPERLINK("Melting_Curves/meltCurve_P07205_PGK2.pdf", "Melting_Curves/meltCurve_P07205_PGK2.pdf")</f>
        <v>Melting_Curves/meltCurve_P07205_PGK2.pdf</v>
      </c>
    </row>
    <row r="1557" spans="1:28" x14ac:dyDescent="0.25">
      <c r="A1557" t="s">
        <v>1561</v>
      </c>
      <c r="B1557">
        <v>0.99987803227770999</v>
      </c>
      <c r="C1557">
        <v>1.0314144817272399</v>
      </c>
      <c r="D1557">
        <v>1.03209933588184</v>
      </c>
      <c r="E1557">
        <v>1.1025976616883799</v>
      </c>
      <c r="F1557">
        <v>1.12671056384188</v>
      </c>
      <c r="G1557">
        <v>1.1394085225061401</v>
      </c>
      <c r="H1557">
        <v>1.1911471773911799</v>
      </c>
      <c r="I1557">
        <v>0.97568590517881204</v>
      </c>
      <c r="J1557">
        <v>0.936579801020747</v>
      </c>
      <c r="K1557">
        <v>0.68783166417421904</v>
      </c>
      <c r="L1557">
        <v>4005.5229646286998</v>
      </c>
      <c r="M1557">
        <v>57.967081756933901</v>
      </c>
      <c r="O1557">
        <v>69.017876505960899</v>
      </c>
      <c r="P1557">
        <v>-9.6642434345790604E-2</v>
      </c>
      <c r="Q1557">
        <v>0.53973523760131203</v>
      </c>
      <c r="R1557">
        <v>0.53180451564002196</v>
      </c>
      <c r="S1557" t="s">
        <v>7868</v>
      </c>
      <c r="T1557" t="s">
        <v>12620</v>
      </c>
      <c r="U1557" t="s">
        <v>12620</v>
      </c>
      <c r="V1557" t="s">
        <v>12620</v>
      </c>
      <c r="W1557" t="s">
        <v>14141</v>
      </c>
      <c r="X1557">
        <v>46</v>
      </c>
      <c r="Y1557" t="s">
        <v>20360</v>
      </c>
      <c r="Z1557" t="s">
        <v>26504</v>
      </c>
      <c r="AA1557">
        <v>0.97964735992764207</v>
      </c>
      <c r="AB1557" t="str">
        <f>HYPERLINK("Melting_Curves/meltCurve_P07237_P4HB.pdf", "Melting_Curves/meltCurve_P07237_P4HB.pdf")</f>
        <v>Melting_Curves/meltCurve_P07237_P4HB.pdf</v>
      </c>
    </row>
    <row r="1558" spans="1:28" x14ac:dyDescent="0.25">
      <c r="A1558" t="s">
        <v>1562</v>
      </c>
      <c r="B1558">
        <v>0.99987803227770999</v>
      </c>
      <c r="C1558">
        <v>1.3234519296299201</v>
      </c>
      <c r="D1558">
        <v>1.1687110187709899</v>
      </c>
      <c r="E1558">
        <v>1.29468460362575</v>
      </c>
      <c r="F1558">
        <v>0.78122218515880504</v>
      </c>
      <c r="G1558">
        <v>0.32879762154914399</v>
      </c>
      <c r="H1558">
        <v>0.35638663870717902</v>
      </c>
      <c r="I1558">
        <v>0.328162815141473</v>
      </c>
      <c r="J1558">
        <v>0.30798719990651602</v>
      </c>
      <c r="K1558">
        <v>0.23107148084137</v>
      </c>
      <c r="L1558">
        <v>13290.611398958299</v>
      </c>
      <c r="M1558">
        <v>250</v>
      </c>
      <c r="N1558">
        <v>53.369538937476896</v>
      </c>
      <c r="O1558">
        <v>53.159040309676001</v>
      </c>
      <c r="P1558">
        <v>-0.81067916033619503</v>
      </c>
      <c r="Q1558">
        <v>0.310481140112563</v>
      </c>
      <c r="R1558">
        <v>0.87451159459366201</v>
      </c>
      <c r="S1558" t="s">
        <v>7869</v>
      </c>
      <c r="T1558" t="s">
        <v>12620</v>
      </c>
      <c r="U1558" t="s">
        <v>12620</v>
      </c>
      <c r="V1558" t="s">
        <v>12620</v>
      </c>
      <c r="W1558" t="s">
        <v>14142</v>
      </c>
      <c r="X1558">
        <v>4</v>
      </c>
      <c r="Y1558" t="s">
        <v>20361</v>
      </c>
      <c r="Z1558" t="s">
        <v>26505</v>
      </c>
      <c r="AA1558">
        <v>0.61307062106745003</v>
      </c>
      <c r="AB1558" t="str">
        <f>HYPERLINK("Melting_Curves/meltCurve_P07305_2_H1F0.pdf", "Melting_Curves/meltCurve_P07305_2_H1F0.pdf")</f>
        <v>Melting_Curves/meltCurve_P07305_2_H1F0.pdf</v>
      </c>
    </row>
    <row r="1559" spans="1:28" x14ac:dyDescent="0.25">
      <c r="A1559" t="s">
        <v>1563</v>
      </c>
      <c r="B1559">
        <v>0.99987803227770999</v>
      </c>
      <c r="C1559">
        <v>0.87345327475328505</v>
      </c>
      <c r="D1559">
        <v>0.96009112225665205</v>
      </c>
      <c r="E1559">
        <v>0.85302247043346702</v>
      </c>
      <c r="F1559">
        <v>1.0250852676193001</v>
      </c>
      <c r="G1559">
        <v>0.79168589113615395</v>
      </c>
      <c r="H1559">
        <v>0.56487862947376799</v>
      </c>
      <c r="I1559">
        <v>0.38854402526708298</v>
      </c>
      <c r="J1559">
        <v>0.29328183810113201</v>
      </c>
      <c r="K1559">
        <v>0.24380139414138</v>
      </c>
      <c r="L1559">
        <v>1146.5968389647901</v>
      </c>
      <c r="M1559">
        <v>18.955027279123001</v>
      </c>
      <c r="N1559">
        <v>61.9715514697765</v>
      </c>
      <c r="O1559">
        <v>59.829178622095398</v>
      </c>
      <c r="P1559">
        <v>-6.4780106004722601E-2</v>
      </c>
      <c r="Q1559">
        <v>0.18215162056095999</v>
      </c>
      <c r="R1559">
        <v>0.94954529465473303</v>
      </c>
      <c r="S1559" t="s">
        <v>7870</v>
      </c>
      <c r="T1559" t="s">
        <v>12620</v>
      </c>
      <c r="U1559" t="s">
        <v>12620</v>
      </c>
      <c r="V1559" t="s">
        <v>12620</v>
      </c>
      <c r="W1559" t="s">
        <v>14143</v>
      </c>
      <c r="X1559">
        <v>5</v>
      </c>
      <c r="Y1559" t="s">
        <v>20362</v>
      </c>
      <c r="Z1559" t="s">
        <v>26506</v>
      </c>
      <c r="AA1559">
        <v>0.74661345794556189</v>
      </c>
      <c r="AB1559" t="str">
        <f>HYPERLINK("Melting_Curves/meltCurve_P07311_ACYP1.pdf", "Melting_Curves/meltCurve_P07311_ACYP1.pdf")</f>
        <v>Melting_Curves/meltCurve_P07311_ACYP1.pdf</v>
      </c>
    </row>
    <row r="1560" spans="1:28" x14ac:dyDescent="0.25">
      <c r="A1560" t="s">
        <v>1564</v>
      </c>
      <c r="B1560">
        <v>0.99987803227770999</v>
      </c>
      <c r="C1560">
        <v>0.82474009935680404</v>
      </c>
      <c r="D1560">
        <v>1.0662836537489999</v>
      </c>
      <c r="E1560">
        <v>0.88341306925221796</v>
      </c>
      <c r="F1560">
        <v>0.78919600717522098</v>
      </c>
      <c r="G1560">
        <v>0.15293633443110399</v>
      </c>
      <c r="H1560">
        <v>0.107686438549564</v>
      </c>
      <c r="I1560">
        <v>8.4710070312858599E-2</v>
      </c>
      <c r="J1560">
        <v>6.5717254568392197E-2</v>
      </c>
      <c r="K1560">
        <v>4.8664012081055703E-2</v>
      </c>
      <c r="L1560">
        <v>2393.0974274866298</v>
      </c>
      <c r="M1560">
        <v>44.051224463120398</v>
      </c>
      <c r="N1560">
        <v>54.512998274797503</v>
      </c>
      <c r="O1560">
        <v>54.213734495592</v>
      </c>
      <c r="P1560">
        <v>-0.18884546799725399</v>
      </c>
      <c r="Q1560">
        <v>7.0354684119605299E-2</v>
      </c>
      <c r="R1560">
        <v>0.97311196494222996</v>
      </c>
      <c r="S1560" t="s">
        <v>7871</v>
      </c>
      <c r="T1560" t="s">
        <v>12620</v>
      </c>
      <c r="U1560" t="s">
        <v>12620</v>
      </c>
      <c r="V1560" t="s">
        <v>12620</v>
      </c>
      <c r="W1560" t="s">
        <v>14144</v>
      </c>
      <c r="X1560">
        <v>54</v>
      </c>
      <c r="Y1560" t="s">
        <v>19500</v>
      </c>
      <c r="Z1560" t="s">
        <v>26507</v>
      </c>
      <c r="AA1560">
        <v>0.51714182993045243</v>
      </c>
      <c r="AB1560" t="str">
        <f>HYPERLINK("Melting_Curves/meltCurve_P07355_ANXA2.pdf", "Melting_Curves/meltCurve_P07355_ANXA2.pdf")</f>
        <v>Melting_Curves/meltCurve_P07355_ANXA2.pdf</v>
      </c>
    </row>
    <row r="1561" spans="1:28" x14ac:dyDescent="0.25">
      <c r="A1561" t="s">
        <v>1565</v>
      </c>
      <c r="B1561">
        <v>0.99987803227770999</v>
      </c>
      <c r="C1561">
        <v>0.97316226982028098</v>
      </c>
      <c r="D1561">
        <v>1.2074426107770799</v>
      </c>
      <c r="E1561">
        <v>1.2049672856541001</v>
      </c>
      <c r="F1561">
        <v>0.95165086633239904</v>
      </c>
      <c r="G1561">
        <v>0.82260447575209805</v>
      </c>
      <c r="H1561">
        <v>0.749986335559923</v>
      </c>
      <c r="I1561">
        <v>0.37594861942614399</v>
      </c>
      <c r="J1561">
        <v>0.16328161448494499</v>
      </c>
      <c r="K1561">
        <v>6.6704302077317604E-2</v>
      </c>
      <c r="L1561">
        <v>1568.23047402872</v>
      </c>
      <c r="M1561">
        <v>24.9331690251231</v>
      </c>
      <c r="N1561">
        <v>62.897363383158201</v>
      </c>
      <c r="O1561">
        <v>62.4969454265511</v>
      </c>
      <c r="P1561">
        <v>-9.9738911859879098E-2</v>
      </c>
      <c r="Q1561">
        <v>0</v>
      </c>
      <c r="R1561">
        <v>0.93162937465095197</v>
      </c>
      <c r="S1561" t="s">
        <v>7872</v>
      </c>
      <c r="T1561" t="s">
        <v>12620</v>
      </c>
      <c r="U1561" t="s">
        <v>12620</v>
      </c>
      <c r="V1561" t="s">
        <v>12620</v>
      </c>
      <c r="W1561" t="s">
        <v>14145</v>
      </c>
      <c r="X1561">
        <v>34</v>
      </c>
      <c r="Y1561" t="s">
        <v>20363</v>
      </c>
      <c r="Z1561" t="s">
        <v>26508</v>
      </c>
      <c r="AA1561">
        <v>0.76576928528078436</v>
      </c>
      <c r="AB1561" t="str">
        <f>HYPERLINK("Melting_Curves/meltCurve_P07384_CAPN1.pdf", "Melting_Curves/meltCurve_P07384_CAPN1.pdf")</f>
        <v>Melting_Curves/meltCurve_P07384_CAPN1.pdf</v>
      </c>
    </row>
    <row r="1562" spans="1:28" x14ac:dyDescent="0.25">
      <c r="A1562" t="s">
        <v>1566</v>
      </c>
      <c r="B1562">
        <v>0.99987803227770999</v>
      </c>
      <c r="C1562">
        <v>0.97209238756620997</v>
      </c>
      <c r="D1562">
        <v>0.98543110918731303</v>
      </c>
      <c r="E1562">
        <v>1.00504924606501</v>
      </c>
      <c r="F1562">
        <v>0.66208356983314198</v>
      </c>
      <c r="G1562">
        <v>4.7740446305273503</v>
      </c>
      <c r="H1562">
        <v>0.36880026491427498</v>
      </c>
      <c r="I1562">
        <v>1.38021430878397</v>
      </c>
      <c r="J1562">
        <v>0.27222228782173202</v>
      </c>
      <c r="K1562">
        <v>0.19255930506796201</v>
      </c>
      <c r="L1562">
        <v>15000</v>
      </c>
      <c r="M1562">
        <v>226.06807386153801</v>
      </c>
      <c r="N1562">
        <v>66.493952339006498</v>
      </c>
      <c r="O1562">
        <v>66.346506570552606</v>
      </c>
      <c r="P1562">
        <v>-0.68853307421401699</v>
      </c>
      <c r="Q1562">
        <v>0.19171671078628399</v>
      </c>
      <c r="R1562">
        <v>5.8236627631529099E-2</v>
      </c>
      <c r="S1562" t="s">
        <v>7873</v>
      </c>
      <c r="T1562" t="s">
        <v>12620</v>
      </c>
      <c r="U1562" t="s">
        <v>12620</v>
      </c>
      <c r="V1562" t="s">
        <v>12620</v>
      </c>
      <c r="W1562" t="s">
        <v>14146</v>
      </c>
      <c r="X1562">
        <v>4</v>
      </c>
      <c r="Y1562" t="s">
        <v>20364</v>
      </c>
      <c r="Z1562" t="s">
        <v>26509</v>
      </c>
      <c r="AA1562">
        <v>0.90181958988339628</v>
      </c>
      <c r="AB1562" t="str">
        <f>HYPERLINK("Melting_Curves/meltCurve_P07498_CSN3.pdf", "Melting_Curves/meltCurve_P07498_CSN3.pdf")</f>
        <v>Melting_Curves/meltCurve_P07498_CSN3.pdf</v>
      </c>
    </row>
    <row r="1563" spans="1:28" x14ac:dyDescent="0.25">
      <c r="A1563" t="s">
        <v>1567</v>
      </c>
      <c r="B1563">
        <v>0.99987803227770999</v>
      </c>
      <c r="C1563">
        <v>0.83709299062257703</v>
      </c>
      <c r="D1563">
        <v>1.0099830465906601</v>
      </c>
      <c r="E1563">
        <v>0.87537823992650998</v>
      </c>
      <c r="F1563">
        <v>1.1018143167601799</v>
      </c>
      <c r="G1563">
        <v>0.80690878718526304</v>
      </c>
      <c r="H1563">
        <v>0.90594315205895803</v>
      </c>
      <c r="I1563">
        <v>0.90311906524230501</v>
      </c>
      <c r="J1563">
        <v>1.0183336958040199</v>
      </c>
      <c r="K1563">
        <v>0.79986999632351297</v>
      </c>
      <c r="L1563">
        <v>113.55922486876101</v>
      </c>
      <c r="M1563">
        <v>1.0000000000000001E-5</v>
      </c>
      <c r="O1563">
        <v>47.328940372998403</v>
      </c>
      <c r="P1563">
        <v>-2.5489669126878001E-3</v>
      </c>
      <c r="Q1563">
        <v>0.34098978085631998</v>
      </c>
      <c r="R1563">
        <v>5.3108588186757802E-2</v>
      </c>
      <c r="S1563" t="s">
        <v>7874</v>
      </c>
      <c r="T1563" t="s">
        <v>12620</v>
      </c>
      <c r="U1563" t="s">
        <v>12620</v>
      </c>
      <c r="V1563" t="s">
        <v>12620</v>
      </c>
      <c r="W1563" t="s">
        <v>14147</v>
      </c>
      <c r="X1563">
        <v>20</v>
      </c>
      <c r="Y1563" t="s">
        <v>20365</v>
      </c>
      <c r="Z1563" t="s">
        <v>26510</v>
      </c>
      <c r="AA1563">
        <v>0.92641160581664395</v>
      </c>
      <c r="AB1563" t="str">
        <f>HYPERLINK("Melting_Curves/meltCurve_P07602_PSAP.pdf", "Melting_Curves/meltCurve_P07602_PSAP.pdf")</f>
        <v>Melting_Curves/meltCurve_P07602_PSAP.pdf</v>
      </c>
    </row>
    <row r="1564" spans="1:28" x14ac:dyDescent="0.25">
      <c r="A1564" t="s">
        <v>1568</v>
      </c>
      <c r="B1564">
        <v>0.99987803227770999</v>
      </c>
      <c r="C1564">
        <v>1.1977019014375601</v>
      </c>
      <c r="D1564">
        <v>1.07340464578852</v>
      </c>
      <c r="E1564">
        <v>1.1637808521600801</v>
      </c>
      <c r="F1564">
        <v>0.86342783859800898</v>
      </c>
      <c r="G1564">
        <v>0.64995122715862197</v>
      </c>
      <c r="H1564">
        <v>0.354612046736618</v>
      </c>
      <c r="I1564">
        <v>0.149350499829627</v>
      </c>
      <c r="J1564">
        <v>0.10735011753658399</v>
      </c>
      <c r="K1564">
        <v>7.7765157313208794E-2</v>
      </c>
      <c r="L1564">
        <v>1347.30046141251</v>
      </c>
      <c r="M1564">
        <v>23.032465669354501</v>
      </c>
      <c r="N1564">
        <v>58.804718047131701</v>
      </c>
      <c r="O1564">
        <v>58.060092903230903</v>
      </c>
      <c r="P1564">
        <v>-9.3524039675818696E-2</v>
      </c>
      <c r="Q1564">
        <v>5.6998067037094299E-2</v>
      </c>
      <c r="R1564">
        <v>0.95546763602974005</v>
      </c>
      <c r="S1564" t="s">
        <v>7875</v>
      </c>
      <c r="T1564" t="s">
        <v>12620</v>
      </c>
      <c r="U1564" t="s">
        <v>12620</v>
      </c>
      <c r="V1564" t="s">
        <v>12620</v>
      </c>
      <c r="W1564" t="s">
        <v>14148</v>
      </c>
      <c r="X1564">
        <v>16</v>
      </c>
      <c r="Y1564" t="s">
        <v>20366</v>
      </c>
      <c r="Z1564" t="s">
        <v>26511</v>
      </c>
      <c r="AA1564">
        <v>0.6472130851181499</v>
      </c>
      <c r="AB1564" t="str">
        <f>HYPERLINK("Melting_Curves/meltCurve_P07686_HEXB.pdf", "Melting_Curves/meltCurve_P07686_HEXB.pdf")</f>
        <v>Melting_Curves/meltCurve_P07686_HEXB.pdf</v>
      </c>
    </row>
    <row r="1565" spans="1:28" x14ac:dyDescent="0.25">
      <c r="A1565" t="s">
        <v>1569</v>
      </c>
      <c r="B1565">
        <v>0.99987803227770999</v>
      </c>
      <c r="C1565">
        <v>1.01414917071463</v>
      </c>
      <c r="D1565">
        <v>1.0298145846187801</v>
      </c>
      <c r="E1565">
        <v>0.95992830857815004</v>
      </c>
      <c r="F1565">
        <v>0.75016737828254898</v>
      </c>
      <c r="G1565">
        <v>0.54666277955453102</v>
      </c>
      <c r="H1565">
        <v>0.57128678132606303</v>
      </c>
      <c r="I1565">
        <v>0.37620330528971702</v>
      </c>
      <c r="J1565">
        <v>0.41640040993460298</v>
      </c>
      <c r="K1565">
        <v>0.32520846421889699</v>
      </c>
      <c r="L1565">
        <v>962.11303878081401</v>
      </c>
      <c r="M1565">
        <v>17.442364756028901</v>
      </c>
      <c r="N1565">
        <v>59.528285656833098</v>
      </c>
      <c r="O1565">
        <v>54.449840140033103</v>
      </c>
      <c r="P1565">
        <v>-5.1177504506308501E-2</v>
      </c>
      <c r="Q1565">
        <v>0.36099238975824999</v>
      </c>
      <c r="R1565">
        <v>0.96500953629761499</v>
      </c>
      <c r="S1565" t="s">
        <v>7876</v>
      </c>
      <c r="T1565" t="s">
        <v>12620</v>
      </c>
      <c r="U1565" t="s">
        <v>12620</v>
      </c>
      <c r="V1565" t="s">
        <v>12620</v>
      </c>
      <c r="W1565" t="s">
        <v>14149</v>
      </c>
      <c r="X1565">
        <v>8</v>
      </c>
      <c r="Y1565" t="s">
        <v>20367</v>
      </c>
      <c r="Z1565" t="s">
        <v>26512</v>
      </c>
      <c r="AA1565">
        <v>0.69412510196866217</v>
      </c>
      <c r="AB1565" t="str">
        <f>HYPERLINK("Melting_Curves/meltCurve_P07711_CTSL1.pdf", "Melting_Curves/meltCurve_P07711_CTSL1.pdf")</f>
        <v>Melting_Curves/meltCurve_P07711_CTSL1.pdf</v>
      </c>
    </row>
    <row r="1566" spans="1:28" x14ac:dyDescent="0.25">
      <c r="A1566" t="s">
        <v>1570</v>
      </c>
      <c r="B1566">
        <v>0.99987803227770999</v>
      </c>
      <c r="C1566">
        <v>0.92470879449757504</v>
      </c>
      <c r="D1566">
        <v>1.0337845169740301</v>
      </c>
      <c r="E1566">
        <v>0.91873357472392303</v>
      </c>
      <c r="F1566">
        <v>1.0964414339989299</v>
      </c>
      <c r="G1566">
        <v>0.43888241775694697</v>
      </c>
      <c r="H1566">
        <v>0.17276970850106599</v>
      </c>
      <c r="I1566">
        <v>0.130249320461126</v>
      </c>
      <c r="J1566">
        <v>0.10393645881227</v>
      </c>
      <c r="K1566">
        <v>8.250329233367E-2</v>
      </c>
      <c r="L1566">
        <v>11142.121829080899</v>
      </c>
      <c r="M1566">
        <v>196.048368335155</v>
      </c>
      <c r="N1566">
        <v>56.915037926569497</v>
      </c>
      <c r="O1566">
        <v>56.827621385568001</v>
      </c>
      <c r="P1566">
        <v>-0.75693409139701695</v>
      </c>
      <c r="Q1566">
        <v>0.12236425802664901</v>
      </c>
      <c r="R1566">
        <v>0.98437350398753198</v>
      </c>
      <c r="S1566" t="s">
        <v>7877</v>
      </c>
      <c r="T1566" t="s">
        <v>12620</v>
      </c>
      <c r="U1566" t="s">
        <v>12620</v>
      </c>
      <c r="V1566" t="s">
        <v>12620</v>
      </c>
      <c r="W1566" t="s">
        <v>14150</v>
      </c>
      <c r="X1566">
        <v>18</v>
      </c>
      <c r="Y1566" t="s">
        <v>20368</v>
      </c>
      <c r="Z1566" t="s">
        <v>26513</v>
      </c>
      <c r="AA1566">
        <v>0.61496369373874782</v>
      </c>
      <c r="AB1566" t="str">
        <f>HYPERLINK("Melting_Curves/meltCurve_P07737_PFN1.pdf", "Melting_Curves/meltCurve_P07737_PFN1.pdf")</f>
        <v>Melting_Curves/meltCurve_P07737_PFN1.pdf</v>
      </c>
    </row>
    <row r="1567" spans="1:28" x14ac:dyDescent="0.25">
      <c r="A1567" t="s">
        <v>1571</v>
      </c>
      <c r="B1567">
        <v>0.99987803227770999</v>
      </c>
      <c r="C1567">
        <v>0.94675667478596004</v>
      </c>
      <c r="D1567">
        <v>1.0182630238400801</v>
      </c>
      <c r="E1567">
        <v>0.74125393547299601</v>
      </c>
      <c r="F1567">
        <v>0.43615696384330799</v>
      </c>
      <c r="G1567">
        <v>0.21634253681149901</v>
      </c>
      <c r="H1567">
        <v>0.12595238955781499</v>
      </c>
      <c r="I1567">
        <v>0.10769466807896701</v>
      </c>
      <c r="J1567">
        <v>8.0031579327570795E-2</v>
      </c>
      <c r="K1567">
        <v>5.4917014998623302E-2</v>
      </c>
      <c r="L1567">
        <v>1203.4457648247501</v>
      </c>
      <c r="M1567">
        <v>23.0988877270301</v>
      </c>
      <c r="N1567">
        <v>52.508120125242698</v>
      </c>
      <c r="O1567">
        <v>51.713955937806297</v>
      </c>
      <c r="P1567">
        <v>-0.102487238541894</v>
      </c>
      <c r="Q1567">
        <v>8.2220223163466805E-2</v>
      </c>
      <c r="R1567">
        <v>0.99484813543501405</v>
      </c>
      <c r="S1567" t="s">
        <v>7878</v>
      </c>
      <c r="T1567" t="s">
        <v>12620</v>
      </c>
      <c r="U1567" t="s">
        <v>12620</v>
      </c>
      <c r="V1567" t="s">
        <v>12620</v>
      </c>
      <c r="W1567" t="s">
        <v>14151</v>
      </c>
      <c r="X1567">
        <v>6</v>
      </c>
      <c r="Y1567" t="s">
        <v>20369</v>
      </c>
      <c r="Z1567" t="s">
        <v>26514</v>
      </c>
      <c r="AA1567">
        <v>0.46213023010776211</v>
      </c>
      <c r="AB1567" t="str">
        <f>HYPERLINK("Melting_Curves/meltCurve_P07738_BPGM.pdf", "Melting_Curves/meltCurve_P07738_BPGM.pdf")</f>
        <v>Melting_Curves/meltCurve_P07738_BPGM.pdf</v>
      </c>
    </row>
    <row r="1568" spans="1:28" x14ac:dyDescent="0.25">
      <c r="A1568" t="s">
        <v>1572</v>
      </c>
      <c r="B1568">
        <v>0.99987803227770999</v>
      </c>
      <c r="C1568">
        <v>0.92421226257758005</v>
      </c>
      <c r="D1568">
        <v>1.0217039135952</v>
      </c>
      <c r="E1568">
        <v>0.945173462690161</v>
      </c>
      <c r="F1568">
        <v>1.13557713831683</v>
      </c>
      <c r="G1568">
        <v>0.98449776533969902</v>
      </c>
      <c r="H1568">
        <v>0.94132825367969097</v>
      </c>
      <c r="I1568">
        <v>0.76948565938048197</v>
      </c>
      <c r="J1568">
        <v>0.40203330205690802</v>
      </c>
      <c r="K1568">
        <v>0.18902922160111801</v>
      </c>
      <c r="L1568">
        <v>2407.5542199957599</v>
      </c>
      <c r="M1568">
        <v>36.5862405768559</v>
      </c>
      <c r="N1568">
        <v>66.193962628924297</v>
      </c>
      <c r="O1568">
        <v>65.609257051850804</v>
      </c>
      <c r="P1568">
        <v>-0.125923574377134</v>
      </c>
      <c r="Q1568">
        <v>9.6739631058326905E-2</v>
      </c>
      <c r="R1568">
        <v>0.96568360886013205</v>
      </c>
      <c r="S1568" t="s">
        <v>7879</v>
      </c>
      <c r="T1568" t="s">
        <v>12620</v>
      </c>
      <c r="U1568" t="s">
        <v>12620</v>
      </c>
      <c r="V1568" t="s">
        <v>12620</v>
      </c>
      <c r="W1568" t="s">
        <v>14152</v>
      </c>
      <c r="X1568">
        <v>11</v>
      </c>
      <c r="Y1568" t="s">
        <v>20370</v>
      </c>
      <c r="Z1568" t="s">
        <v>26515</v>
      </c>
      <c r="AA1568">
        <v>0.87170156924795461</v>
      </c>
      <c r="AB1568" t="str">
        <f>HYPERLINK("Melting_Curves/meltCurve_P07741_APRT.pdf", "Melting_Curves/meltCurve_P07741_APRT.pdf")</f>
        <v>Melting_Curves/meltCurve_P07741_APRT.pdf</v>
      </c>
    </row>
    <row r="1569" spans="1:28" x14ac:dyDescent="0.25">
      <c r="A1569" t="s">
        <v>1573</v>
      </c>
      <c r="B1569">
        <v>0.99987803227770999</v>
      </c>
      <c r="C1569">
        <v>0.69769796049839905</v>
      </c>
      <c r="D1569">
        <v>0.57908111204437296</v>
      </c>
      <c r="E1569">
        <v>0.57072020643385701</v>
      </c>
      <c r="F1569">
        <v>0.39090339597688001</v>
      </c>
      <c r="G1569">
        <v>0.24064492764958301</v>
      </c>
      <c r="H1569">
        <v>0.16730120559088599</v>
      </c>
      <c r="I1569">
        <v>0.10909906164243301</v>
      </c>
      <c r="J1569">
        <v>7.94816634383399E-2</v>
      </c>
      <c r="K1569">
        <v>5.6512120869594798E-2</v>
      </c>
      <c r="L1569">
        <v>422.0678820338</v>
      </c>
      <c r="M1569">
        <v>8.5154719601290996</v>
      </c>
      <c r="N1569">
        <v>49.564825593308903</v>
      </c>
      <c r="O1569">
        <v>47.058181173411</v>
      </c>
      <c r="P1569">
        <v>-4.5279571276742703E-2</v>
      </c>
      <c r="Q1569">
        <v>0</v>
      </c>
      <c r="R1569">
        <v>0.95750463991761803</v>
      </c>
      <c r="S1569" t="s">
        <v>7880</v>
      </c>
      <c r="T1569" t="s">
        <v>12620</v>
      </c>
      <c r="U1569" t="s">
        <v>12620</v>
      </c>
      <c r="V1569" t="s">
        <v>12620</v>
      </c>
      <c r="W1569" t="s">
        <v>14153</v>
      </c>
      <c r="X1569">
        <v>43</v>
      </c>
      <c r="Y1569" t="s">
        <v>20371</v>
      </c>
      <c r="Z1569" t="s">
        <v>26516</v>
      </c>
      <c r="AA1569">
        <v>0.37672370182964038</v>
      </c>
      <c r="AB1569" t="str">
        <f>HYPERLINK("Melting_Curves/meltCurve_P07814_EPRS.pdf", "Melting_Curves/meltCurve_P07814_EPRS.pdf")</f>
        <v>Melting_Curves/meltCurve_P07814_EPRS.pdf</v>
      </c>
    </row>
    <row r="1570" spans="1:28" x14ac:dyDescent="0.25">
      <c r="A1570" t="s">
        <v>1574</v>
      </c>
      <c r="B1570">
        <v>0.99987803227770999</v>
      </c>
      <c r="C1570">
        <v>0.46487486795257699</v>
      </c>
      <c r="D1570">
        <v>1.0358528494069199</v>
      </c>
      <c r="E1570">
        <v>0.583869865454133</v>
      </c>
      <c r="F1570">
        <v>0.405559434681111</v>
      </c>
      <c r="G1570">
        <v>0.216151551174532</v>
      </c>
      <c r="H1570">
        <v>0.19541863011716201</v>
      </c>
      <c r="I1570">
        <v>0.16252615875722501</v>
      </c>
      <c r="J1570">
        <v>0.17532784604092899</v>
      </c>
      <c r="K1570">
        <v>0.14496979510125599</v>
      </c>
      <c r="L1570">
        <v>461.49348580907701</v>
      </c>
      <c r="M1570">
        <v>9.0825063674676301</v>
      </c>
      <c r="N1570">
        <v>51.3165406896767</v>
      </c>
      <c r="O1570">
        <v>48.529682357626001</v>
      </c>
      <c r="P1570">
        <v>-4.4818473644313503E-2</v>
      </c>
      <c r="Q1570">
        <v>4.2774604412771797E-2</v>
      </c>
      <c r="R1570">
        <v>0.75211787710686295</v>
      </c>
      <c r="S1570" t="s">
        <v>7881</v>
      </c>
      <c r="T1570" t="s">
        <v>12620</v>
      </c>
      <c r="U1570" t="s">
        <v>12620</v>
      </c>
      <c r="V1570" t="s">
        <v>12620</v>
      </c>
      <c r="W1570" t="s">
        <v>14154</v>
      </c>
      <c r="X1570">
        <v>11</v>
      </c>
      <c r="Y1570" t="s">
        <v>20372</v>
      </c>
      <c r="Z1570" t="s">
        <v>26517</v>
      </c>
      <c r="AA1570">
        <v>0.43319571105542748</v>
      </c>
      <c r="AB1570" t="str">
        <f>HYPERLINK("Melting_Curves/meltCurve_P07858_CTSB.pdf", "Melting_Curves/meltCurve_P07858_CTSB.pdf")</f>
        <v>Melting_Curves/meltCurve_P07858_CTSB.pdf</v>
      </c>
    </row>
    <row r="1571" spans="1:28" x14ac:dyDescent="0.25">
      <c r="A1571" t="s">
        <v>1575</v>
      </c>
      <c r="B1571">
        <v>0.99987803227770999</v>
      </c>
      <c r="C1571">
        <v>1.3376471448946099</v>
      </c>
      <c r="D1571">
        <v>0.79328550617659899</v>
      </c>
      <c r="E1571">
        <v>1.1517817743893499</v>
      </c>
      <c r="F1571">
        <v>0.40068184357235198</v>
      </c>
      <c r="G1571">
        <v>0.32202888112663602</v>
      </c>
      <c r="H1571">
        <v>0.17488375053738101</v>
      </c>
      <c r="I1571">
        <v>0.12486614667967</v>
      </c>
      <c r="J1571">
        <v>0.123049763830019</v>
      </c>
      <c r="K1571">
        <v>7.2433416264364794E-2</v>
      </c>
      <c r="L1571">
        <v>13200.881686616</v>
      </c>
      <c r="M1571">
        <v>250</v>
      </c>
      <c r="N1571">
        <v>52.887273814258201</v>
      </c>
      <c r="O1571">
        <v>52.800147666376503</v>
      </c>
      <c r="P1571">
        <v>-0.99022885955508999</v>
      </c>
      <c r="Q1571">
        <v>0.163452320779187</v>
      </c>
      <c r="R1571">
        <v>0.89442041576945397</v>
      </c>
      <c r="S1571" t="s">
        <v>7882</v>
      </c>
      <c r="T1571" t="s">
        <v>12620</v>
      </c>
      <c r="U1571" t="s">
        <v>12620</v>
      </c>
      <c r="V1571" t="s">
        <v>12620</v>
      </c>
      <c r="W1571" t="s">
        <v>14155</v>
      </c>
      <c r="X1571">
        <v>68</v>
      </c>
      <c r="Y1571" t="s">
        <v>20373</v>
      </c>
      <c r="Z1571" t="s">
        <v>26518</v>
      </c>
      <c r="AA1571">
        <v>0.52055519597681965</v>
      </c>
      <c r="AB1571" t="str">
        <f>HYPERLINK("Melting_Curves/meltCurve_P07900_HSP90AA1.pdf", "Melting_Curves/meltCurve_P07900_HSP90AA1.pdf")</f>
        <v>Melting_Curves/meltCurve_P07900_HSP90AA1.pdf</v>
      </c>
    </row>
    <row r="1572" spans="1:28" x14ac:dyDescent="0.25">
      <c r="A1572" t="s">
        <v>1576</v>
      </c>
      <c r="B1572">
        <v>0.99987803227770999</v>
      </c>
      <c r="C1572">
        <v>1.06526398750652</v>
      </c>
      <c r="D1572">
        <v>1.0660560661902601</v>
      </c>
      <c r="E1572">
        <v>1.0585852576808801</v>
      </c>
      <c r="F1572">
        <v>1.03131366320326</v>
      </c>
      <c r="G1572">
        <v>1.0084998282737501</v>
      </c>
      <c r="H1572">
        <v>0.32134849301248197</v>
      </c>
      <c r="I1572">
        <v>0.148651018823972</v>
      </c>
      <c r="J1572">
        <v>9.5566633083825306E-2</v>
      </c>
      <c r="K1572">
        <v>7.3883676428504103E-2</v>
      </c>
      <c r="L1572">
        <v>4923.1926611281897</v>
      </c>
      <c r="M1572">
        <v>81.827213031188904</v>
      </c>
      <c r="N1572">
        <v>60.335961504151001</v>
      </c>
      <c r="O1572">
        <v>60.129806231895799</v>
      </c>
      <c r="P1572">
        <v>-0.30513954984414599</v>
      </c>
      <c r="Q1572">
        <v>0.10308665341649299</v>
      </c>
      <c r="R1572">
        <v>0.99166017617580005</v>
      </c>
      <c r="S1572" t="s">
        <v>7883</v>
      </c>
      <c r="T1572" t="s">
        <v>12620</v>
      </c>
      <c r="U1572" t="s">
        <v>12620</v>
      </c>
      <c r="V1572" t="s">
        <v>12620</v>
      </c>
      <c r="W1572" t="s">
        <v>14156</v>
      </c>
      <c r="X1572">
        <v>7</v>
      </c>
      <c r="Y1572" t="s">
        <v>20374</v>
      </c>
      <c r="Z1572" t="s">
        <v>26519</v>
      </c>
      <c r="AA1572">
        <v>0.70686857702233241</v>
      </c>
      <c r="AB1572" t="str">
        <f>HYPERLINK("Melting_Curves/meltCurve_P07902_GALT.pdf", "Melting_Curves/meltCurve_P07902_GALT.pdf")</f>
        <v>Melting_Curves/meltCurve_P07902_GALT.pdf</v>
      </c>
    </row>
    <row r="1573" spans="1:28" x14ac:dyDescent="0.25">
      <c r="A1573" t="s">
        <v>1577</v>
      </c>
      <c r="B1573">
        <v>0.99987803227770999</v>
      </c>
      <c r="C1573">
        <v>0.84665174733074</v>
      </c>
      <c r="D1573">
        <v>0.86316365255670402</v>
      </c>
      <c r="E1573">
        <v>0.83667764446427995</v>
      </c>
      <c r="F1573">
        <v>0.92326801638132505</v>
      </c>
      <c r="G1573">
        <v>0.65264232625229501</v>
      </c>
      <c r="H1573">
        <v>0.71004670723216301</v>
      </c>
      <c r="I1573">
        <v>0.66194244255658896</v>
      </c>
      <c r="J1573">
        <v>0.82263630287290002</v>
      </c>
      <c r="K1573">
        <v>0.61871424218619597</v>
      </c>
      <c r="L1573">
        <v>299.68749106498399</v>
      </c>
      <c r="M1573">
        <v>5.6373925954344104</v>
      </c>
      <c r="O1573">
        <v>47.603188416113802</v>
      </c>
      <c r="P1573">
        <v>-1.2080430066691E-2</v>
      </c>
      <c r="Q1573">
        <v>0.593603936855428</v>
      </c>
      <c r="R1573">
        <v>0.59768246387090695</v>
      </c>
      <c r="S1573" t="s">
        <v>7884</v>
      </c>
      <c r="T1573" t="s">
        <v>12620</v>
      </c>
      <c r="U1573" t="s">
        <v>12620</v>
      </c>
      <c r="V1573" t="s">
        <v>12620</v>
      </c>
      <c r="W1573" t="s">
        <v>14157</v>
      </c>
      <c r="X1573">
        <v>4</v>
      </c>
      <c r="Y1573" t="s">
        <v>20375</v>
      </c>
      <c r="Z1573" t="s">
        <v>26520</v>
      </c>
      <c r="AA1573">
        <v>0.79102561261897786</v>
      </c>
      <c r="AB1573" t="str">
        <f>HYPERLINK("Melting_Curves/meltCurve_P07919_UQCRH.pdf", "Melting_Curves/meltCurve_P07919_UQCRH.pdf")</f>
        <v>Melting_Curves/meltCurve_P07919_UQCRH.pdf</v>
      </c>
    </row>
    <row r="1574" spans="1:28" x14ac:dyDescent="0.25">
      <c r="A1574" t="s">
        <v>1578</v>
      </c>
      <c r="B1574">
        <v>0.99987803227770999</v>
      </c>
      <c r="C1574">
        <v>1.1601066032018901</v>
      </c>
      <c r="D1574">
        <v>0.98113546158313603</v>
      </c>
      <c r="E1574">
        <v>1.09836877207185</v>
      </c>
      <c r="F1574">
        <v>0.75544384039625401</v>
      </c>
      <c r="G1574">
        <v>0.72168748757317702</v>
      </c>
      <c r="H1574">
        <v>0.75754162869860997</v>
      </c>
      <c r="I1574">
        <v>0.61571712735131101</v>
      </c>
      <c r="J1574">
        <v>0.60463196225504701</v>
      </c>
      <c r="K1574">
        <v>0.366329237629128</v>
      </c>
      <c r="L1574">
        <v>531.968427880175</v>
      </c>
      <c r="M1574">
        <v>7.8588761175079398</v>
      </c>
      <c r="N1574">
        <v>67.690140371134206</v>
      </c>
      <c r="O1574">
        <v>63.727441995125403</v>
      </c>
      <c r="P1574">
        <v>-3.0867292795295102E-2</v>
      </c>
      <c r="Q1574">
        <v>0</v>
      </c>
      <c r="R1574">
        <v>0.82627190476634205</v>
      </c>
      <c r="S1574" t="s">
        <v>7885</v>
      </c>
      <c r="T1574" t="s">
        <v>12620</v>
      </c>
      <c r="U1574" t="s">
        <v>12620</v>
      </c>
      <c r="V1574" t="s">
        <v>12620</v>
      </c>
      <c r="W1574" t="s">
        <v>14158</v>
      </c>
      <c r="X1574">
        <v>29</v>
      </c>
      <c r="Y1574" t="s">
        <v>20376</v>
      </c>
      <c r="Z1574" t="s">
        <v>26521</v>
      </c>
      <c r="AA1574">
        <v>0.80366003162903488</v>
      </c>
      <c r="AB1574" t="str">
        <f>HYPERLINK("Melting_Curves/meltCurve_P07942_LAMB1.pdf", "Melting_Curves/meltCurve_P07942_LAMB1.pdf")</f>
        <v>Melting_Curves/meltCurve_P07942_LAMB1.pdf</v>
      </c>
    </row>
    <row r="1575" spans="1:28" x14ac:dyDescent="0.25">
      <c r="A1575" t="s">
        <v>1579</v>
      </c>
      <c r="B1575">
        <v>0.99987803227770999</v>
      </c>
      <c r="C1575">
        <v>0.96096225697807702</v>
      </c>
      <c r="D1575">
        <v>0.84007657356027599</v>
      </c>
      <c r="E1575">
        <v>0.50454706670975502</v>
      </c>
      <c r="F1575">
        <v>0.25229285865172801</v>
      </c>
      <c r="G1575">
        <v>0.134034277273959</v>
      </c>
      <c r="H1575">
        <v>0.116964347632809</v>
      </c>
      <c r="I1575">
        <v>0.103341783737149</v>
      </c>
      <c r="J1575">
        <v>8.1113446095363001E-2</v>
      </c>
      <c r="K1575">
        <v>6.5290600076932895E-2</v>
      </c>
      <c r="L1575">
        <v>1036.61346045236</v>
      </c>
      <c r="M1575">
        <v>20.940102082500001</v>
      </c>
      <c r="N1575">
        <v>49.929205151713198</v>
      </c>
      <c r="O1575">
        <v>49.0588889358758</v>
      </c>
      <c r="P1575">
        <v>-9.7992321351637296E-2</v>
      </c>
      <c r="Q1575">
        <v>8.1711141386538594E-2</v>
      </c>
      <c r="R1575">
        <v>0.99906363574590396</v>
      </c>
      <c r="S1575" t="s">
        <v>7886</v>
      </c>
      <c r="T1575" t="s">
        <v>12620</v>
      </c>
      <c r="U1575" t="s">
        <v>12620</v>
      </c>
      <c r="V1575" t="s">
        <v>12620</v>
      </c>
      <c r="W1575" t="s">
        <v>14159</v>
      </c>
      <c r="X1575">
        <v>10</v>
      </c>
      <c r="Y1575" t="s">
        <v>20377</v>
      </c>
      <c r="Z1575" t="s">
        <v>26522</v>
      </c>
      <c r="AA1575">
        <v>0.38430776131276712</v>
      </c>
      <c r="AB1575" t="str">
        <f>HYPERLINK("Melting_Curves/meltCurve_P07947_YES1.pdf", "Melting_Curves/meltCurve_P07947_YES1.pdf")</f>
        <v>Melting_Curves/meltCurve_P07947_YES1.pdf</v>
      </c>
    </row>
    <row r="1576" spans="1:28" x14ac:dyDescent="0.25">
      <c r="A1576" t="s">
        <v>1580</v>
      </c>
      <c r="B1576">
        <v>0.99987803227770999</v>
      </c>
      <c r="C1576">
        <v>0.96632961990084998</v>
      </c>
      <c r="D1576">
        <v>1.01611628133607</v>
      </c>
      <c r="E1576">
        <v>0.97638875835333305</v>
      </c>
      <c r="F1576">
        <v>0.95641461397977801</v>
      </c>
      <c r="G1576">
        <v>0.75613111808500499</v>
      </c>
      <c r="H1576">
        <v>0.74809153062835398</v>
      </c>
      <c r="I1576">
        <v>0.78867727339827198</v>
      </c>
      <c r="J1576">
        <v>0.78776724137485998</v>
      </c>
      <c r="K1576">
        <v>0.740639180262469</v>
      </c>
      <c r="L1576">
        <v>10712.5353432054</v>
      </c>
      <c r="M1576">
        <v>200.63974576306501</v>
      </c>
      <c r="O1576">
        <v>53.3865691521708</v>
      </c>
      <c r="P1576">
        <v>-0.22149096315956601</v>
      </c>
      <c r="Q1576">
        <v>0.76426113719187405</v>
      </c>
      <c r="R1576">
        <v>0.96788450181863595</v>
      </c>
      <c r="S1576" t="s">
        <v>7887</v>
      </c>
      <c r="T1576" t="s">
        <v>12620</v>
      </c>
      <c r="U1576" t="s">
        <v>12620</v>
      </c>
      <c r="V1576" t="s">
        <v>12620</v>
      </c>
      <c r="W1576" t="s">
        <v>14160</v>
      </c>
      <c r="X1576">
        <v>47</v>
      </c>
      <c r="Y1576" t="s">
        <v>20378</v>
      </c>
      <c r="Z1576" t="s">
        <v>26523</v>
      </c>
      <c r="AA1576">
        <v>0.86952840419628064</v>
      </c>
      <c r="AB1576" t="str">
        <f>HYPERLINK("Melting_Curves/meltCurve_P07951_TPM2.pdf", "Melting_Curves/meltCurve_P07951_TPM2.pdf")</f>
        <v>Melting_Curves/meltCurve_P07951_TPM2.pdf</v>
      </c>
    </row>
    <row r="1577" spans="1:28" x14ac:dyDescent="0.25">
      <c r="A1577" t="s">
        <v>1581</v>
      </c>
      <c r="B1577">
        <v>0.99987803227770999</v>
      </c>
      <c r="C1577">
        <v>0.898430560868552</v>
      </c>
      <c r="D1577">
        <v>1.0991834706828101</v>
      </c>
      <c r="E1577">
        <v>1.00410790870051</v>
      </c>
      <c r="F1577">
        <v>1.26767634144098</v>
      </c>
      <c r="G1577">
        <v>1.1707398577916399</v>
      </c>
      <c r="H1577">
        <v>1.2681324254594</v>
      </c>
      <c r="I1577">
        <v>1.2692460717265299</v>
      </c>
      <c r="J1577">
        <v>1.44070012338736</v>
      </c>
      <c r="K1577">
        <v>1.1766236064932101</v>
      </c>
      <c r="L1577">
        <v>12707.600004895699</v>
      </c>
      <c r="M1577">
        <v>250</v>
      </c>
      <c r="O1577">
        <v>50.827147225978599</v>
      </c>
      <c r="P1577">
        <v>0.32650035113034498</v>
      </c>
      <c r="Q1577">
        <v>1.2655213022709899</v>
      </c>
      <c r="R1577">
        <v>0.71347124008845597</v>
      </c>
      <c r="S1577" t="s">
        <v>7888</v>
      </c>
      <c r="T1577" t="s">
        <v>12620</v>
      </c>
      <c r="U1577" t="s">
        <v>12620</v>
      </c>
      <c r="V1577" t="s">
        <v>12620</v>
      </c>
      <c r="W1577" t="s">
        <v>14161</v>
      </c>
      <c r="X1577">
        <v>49</v>
      </c>
      <c r="Y1577" t="s">
        <v>20378</v>
      </c>
      <c r="Z1577" t="s">
        <v>26524</v>
      </c>
      <c r="AA1577">
        <v>1.169640885451571</v>
      </c>
      <c r="AB1577" t="str">
        <f>HYPERLINK("Melting_Curves/meltCurve_P07951_2_TPM2.pdf", "Melting_Curves/meltCurve_P07951_2_TPM2.pdf")</f>
        <v>Melting_Curves/meltCurve_P07951_2_TPM2.pdf</v>
      </c>
    </row>
    <row r="1578" spans="1:28" x14ac:dyDescent="0.25">
      <c r="A1578" t="s">
        <v>1582</v>
      </c>
      <c r="B1578">
        <v>0.99987803227770999</v>
      </c>
      <c r="C1578">
        <v>1.07181817711405</v>
      </c>
      <c r="D1578">
        <v>0.96655028155163003</v>
      </c>
      <c r="E1578">
        <v>0.32719835653122098</v>
      </c>
      <c r="F1578">
        <v>0.16395136359166301</v>
      </c>
      <c r="G1578">
        <v>0.104996593412981</v>
      </c>
      <c r="H1578">
        <v>7.9529963874296103E-2</v>
      </c>
      <c r="I1578">
        <v>6.8396381204263196E-2</v>
      </c>
      <c r="J1578">
        <v>5.0943370558614601E-2</v>
      </c>
      <c r="K1578">
        <v>3.4928874115684003E-2</v>
      </c>
      <c r="L1578">
        <v>2138.7834546272302</v>
      </c>
      <c r="M1578">
        <v>43.680956992071103</v>
      </c>
      <c r="N1578">
        <v>49.149753913589102</v>
      </c>
      <c r="O1578">
        <v>48.861459331114098</v>
      </c>
      <c r="P1578">
        <v>-0.20646784928697501</v>
      </c>
      <c r="Q1578">
        <v>7.6182723352413703E-2</v>
      </c>
      <c r="R1578">
        <v>0.99298210975890699</v>
      </c>
      <c r="S1578" t="s">
        <v>7889</v>
      </c>
      <c r="T1578" t="s">
        <v>12620</v>
      </c>
      <c r="U1578" t="s">
        <v>12620</v>
      </c>
      <c r="V1578" t="s">
        <v>12620</v>
      </c>
      <c r="W1578" t="s">
        <v>14162</v>
      </c>
      <c r="X1578">
        <v>18</v>
      </c>
      <c r="Y1578" t="s">
        <v>20379</v>
      </c>
      <c r="Z1578" t="s">
        <v>26525</v>
      </c>
      <c r="AA1578">
        <v>0.35483162742844931</v>
      </c>
      <c r="AB1578" t="str">
        <f>HYPERLINK("Melting_Curves/meltCurve_P07954_2_FH.pdf", "Melting_Curves/meltCurve_P07954_2_FH.pdf")</f>
        <v>Melting_Curves/meltCurve_P07954_2_FH.pdf</v>
      </c>
    </row>
    <row r="1579" spans="1:28" x14ac:dyDescent="0.25">
      <c r="A1579" t="s">
        <v>1583</v>
      </c>
      <c r="B1579">
        <v>0.99987803227770999</v>
      </c>
      <c r="C1579">
        <v>0.99247213033258597</v>
      </c>
      <c r="D1579">
        <v>1.0118344876237599</v>
      </c>
      <c r="E1579">
        <v>0.75817787314346097</v>
      </c>
      <c r="F1579">
        <v>0.29837442818250898</v>
      </c>
      <c r="G1579">
        <v>0.157241875389521</v>
      </c>
      <c r="H1579">
        <v>0.11570167238625</v>
      </c>
      <c r="I1579">
        <v>9.2306537916077805E-2</v>
      </c>
      <c r="J1579">
        <v>7.9054774059505395E-2</v>
      </c>
      <c r="K1579">
        <v>6.3772580445964303E-2</v>
      </c>
      <c r="L1579">
        <v>1922.4110617945701</v>
      </c>
      <c r="M1579">
        <v>37.452245234832901</v>
      </c>
      <c r="N1579">
        <v>51.620994039398497</v>
      </c>
      <c r="O1579">
        <v>51.183972785517703</v>
      </c>
      <c r="P1579">
        <v>-0.165503582688075</v>
      </c>
      <c r="Q1579">
        <v>9.5262931722069899E-2</v>
      </c>
      <c r="R1579">
        <v>0.99759393293403398</v>
      </c>
      <c r="S1579" t="s">
        <v>7890</v>
      </c>
      <c r="T1579" t="s">
        <v>12620</v>
      </c>
      <c r="U1579" t="s">
        <v>12620</v>
      </c>
      <c r="V1579" t="s">
        <v>12620</v>
      </c>
      <c r="W1579" t="s">
        <v>14163</v>
      </c>
      <c r="X1579">
        <v>4</v>
      </c>
      <c r="Y1579" t="s">
        <v>20380</v>
      </c>
      <c r="Z1579" t="s">
        <v>26526</v>
      </c>
      <c r="AA1579">
        <v>0.44060583985256491</v>
      </c>
      <c r="AB1579" t="str">
        <f>HYPERLINK("Melting_Curves/meltCurve_P07992_ERCC1.pdf", "Melting_Curves/meltCurve_P07992_ERCC1.pdf")</f>
        <v>Melting_Curves/meltCurve_P07992_ERCC1.pdf</v>
      </c>
    </row>
    <row r="1580" spans="1:28" x14ac:dyDescent="0.25">
      <c r="A1580" t="s">
        <v>1584</v>
      </c>
      <c r="B1580">
        <v>0.99987803227770999</v>
      </c>
      <c r="C1580">
        <v>0.97228736647118796</v>
      </c>
      <c r="D1580">
        <v>0.89157845769361299</v>
      </c>
      <c r="E1580">
        <v>0.897188448301807</v>
      </c>
      <c r="F1580">
        <v>0.76521527548229795</v>
      </c>
      <c r="G1580">
        <v>0.63482485164664504</v>
      </c>
      <c r="H1580">
        <v>0.57537213049283098</v>
      </c>
      <c r="I1580">
        <v>0.608961511260806</v>
      </c>
      <c r="J1580">
        <v>0.55022821789750098</v>
      </c>
      <c r="K1580">
        <v>0.41603921641513603</v>
      </c>
      <c r="L1580">
        <v>478.32070816705698</v>
      </c>
      <c r="M1580">
        <v>8.4183663455365103</v>
      </c>
      <c r="N1580">
        <v>67.530222865359207</v>
      </c>
      <c r="O1580">
        <v>53.884112056933802</v>
      </c>
      <c r="P1580">
        <v>-2.4689537077012699E-2</v>
      </c>
      <c r="Q1580">
        <v>0.36846098992364501</v>
      </c>
      <c r="R1580">
        <v>0.956036441660713</v>
      </c>
      <c r="S1580" t="s">
        <v>7891</v>
      </c>
      <c r="T1580" t="s">
        <v>12620</v>
      </c>
      <c r="U1580" t="s">
        <v>12620</v>
      </c>
      <c r="V1580" t="s">
        <v>12620</v>
      </c>
      <c r="W1580" t="s">
        <v>14164</v>
      </c>
      <c r="X1580">
        <v>3</v>
      </c>
      <c r="Y1580" t="s">
        <v>20381</v>
      </c>
      <c r="Z1580" t="s">
        <v>26527</v>
      </c>
      <c r="AA1580">
        <v>0.73164178647753153</v>
      </c>
      <c r="AB1580" t="str">
        <f>HYPERLINK("Melting_Curves/meltCurve_P07996_THBS1.pdf", "Melting_Curves/meltCurve_P07996_THBS1.pdf")</f>
        <v>Melting_Curves/meltCurve_P07996_THBS1.pdf</v>
      </c>
    </row>
    <row r="1581" spans="1:28" x14ac:dyDescent="0.25">
      <c r="A1581" t="s">
        <v>1585</v>
      </c>
      <c r="B1581">
        <v>0.99987803227770999</v>
      </c>
      <c r="C1581">
        <v>0.93394942538511805</v>
      </c>
      <c r="D1581">
        <v>0.99738245531773495</v>
      </c>
      <c r="E1581">
        <v>0.87002592940960799</v>
      </c>
      <c r="F1581">
        <v>0.83464080563546295</v>
      </c>
      <c r="G1581">
        <v>0.573030525129679</v>
      </c>
      <c r="H1581">
        <v>0.60734568700070601</v>
      </c>
      <c r="I1581">
        <v>0.56382559570583901</v>
      </c>
      <c r="J1581">
        <v>0.63170271088205998</v>
      </c>
      <c r="K1581">
        <v>0.52742283181289495</v>
      </c>
      <c r="L1581">
        <v>1235.5496693754801</v>
      </c>
      <c r="M1581">
        <v>23.3512130023183</v>
      </c>
      <c r="O1581">
        <v>52.528114483089503</v>
      </c>
      <c r="P1581">
        <v>-4.8174727355760401E-2</v>
      </c>
      <c r="Q1581">
        <v>0.56653501744323698</v>
      </c>
      <c r="R1581">
        <v>0.94239895137471097</v>
      </c>
      <c r="S1581" t="s">
        <v>7892</v>
      </c>
      <c r="T1581" t="s">
        <v>12620</v>
      </c>
      <c r="U1581" t="s">
        <v>12620</v>
      </c>
      <c r="V1581" t="s">
        <v>12620</v>
      </c>
      <c r="W1581" t="s">
        <v>14165</v>
      </c>
      <c r="X1581">
        <v>8</v>
      </c>
      <c r="Y1581" t="s">
        <v>20382</v>
      </c>
      <c r="Z1581" t="s">
        <v>26528</v>
      </c>
      <c r="AA1581">
        <v>0.75762079512239555</v>
      </c>
      <c r="AB1581" t="str">
        <f>HYPERLINK("Melting_Curves/meltCurve_P08047_SP1.pdf", "Melting_Curves/meltCurve_P08047_SP1.pdf")</f>
        <v>Melting_Curves/meltCurve_P08047_SP1.pdf</v>
      </c>
    </row>
    <row r="1582" spans="1:28" x14ac:dyDescent="0.25">
      <c r="A1582" t="s">
        <v>1586</v>
      </c>
      <c r="B1582">
        <v>0.99987803227770999</v>
      </c>
      <c r="C1582">
        <v>0.93449743590609602</v>
      </c>
      <c r="D1582">
        <v>1.0219559345554099</v>
      </c>
      <c r="E1582">
        <v>1.06100768082213</v>
      </c>
      <c r="F1582">
        <v>0.87051482750821396</v>
      </c>
      <c r="G1582">
        <v>0.25784641456192903</v>
      </c>
      <c r="H1582">
        <v>0.118193198322494</v>
      </c>
      <c r="I1582">
        <v>9.3809343079204605E-2</v>
      </c>
      <c r="J1582">
        <v>7.2988726654875005E-2</v>
      </c>
      <c r="K1582">
        <v>4.88461348338559E-2</v>
      </c>
      <c r="L1582">
        <v>2487.6554265892601</v>
      </c>
      <c r="M1582">
        <v>45.060532398395303</v>
      </c>
      <c r="N1582">
        <v>55.419501463370402</v>
      </c>
      <c r="O1582">
        <v>55.098567776425298</v>
      </c>
      <c r="P1582">
        <v>-0.18823106772595599</v>
      </c>
      <c r="Q1582">
        <v>7.9349649182509696E-2</v>
      </c>
      <c r="R1582">
        <v>0.99394867051584501</v>
      </c>
      <c r="S1582" t="s">
        <v>7893</v>
      </c>
      <c r="T1582" t="s">
        <v>12620</v>
      </c>
      <c r="U1582" t="s">
        <v>12620</v>
      </c>
      <c r="V1582" t="s">
        <v>12620</v>
      </c>
      <c r="W1582" t="s">
        <v>14166</v>
      </c>
      <c r="X1582">
        <v>44</v>
      </c>
      <c r="Y1582" t="s">
        <v>20383</v>
      </c>
      <c r="Z1582" t="s">
        <v>26529</v>
      </c>
      <c r="AA1582">
        <v>0.54878571789132369</v>
      </c>
      <c r="AB1582" t="str">
        <f>HYPERLINK("Melting_Curves/meltCurve_P08107_HSPA1A.pdf", "Melting_Curves/meltCurve_P08107_HSPA1A.pdf")</f>
        <v>Melting_Curves/meltCurve_P08107_HSPA1A.pdf</v>
      </c>
    </row>
    <row r="1583" spans="1:28" x14ac:dyDescent="0.25">
      <c r="A1583" t="s">
        <v>1587</v>
      </c>
      <c r="B1583">
        <v>0.99987803227770999</v>
      </c>
      <c r="C1583">
        <v>0.93622669703289296</v>
      </c>
      <c r="D1583">
        <v>1.01986677444873</v>
      </c>
      <c r="E1583">
        <v>0.81553330242033995</v>
      </c>
      <c r="F1583">
        <v>0.306775987351947</v>
      </c>
      <c r="G1583">
        <v>0.17286744846292701</v>
      </c>
      <c r="H1583">
        <v>0.112362623383529</v>
      </c>
      <c r="I1583">
        <v>8.9596616974421103E-2</v>
      </c>
      <c r="J1583">
        <v>7.1103119422104802E-2</v>
      </c>
      <c r="K1583">
        <v>5.0406520392448202E-2</v>
      </c>
      <c r="L1583">
        <v>2141.5647748198398</v>
      </c>
      <c r="M1583">
        <v>41.509298389358598</v>
      </c>
      <c r="N1583">
        <v>51.8512261346984</v>
      </c>
      <c r="O1583">
        <v>51.473100214936402</v>
      </c>
      <c r="P1583">
        <v>-0.18274333495870199</v>
      </c>
      <c r="Q1583">
        <v>9.3567026188888E-2</v>
      </c>
      <c r="R1583">
        <v>0.99303347940484799</v>
      </c>
      <c r="S1583" t="s">
        <v>7894</v>
      </c>
      <c r="T1583" t="s">
        <v>12620</v>
      </c>
      <c r="U1583" t="s">
        <v>12620</v>
      </c>
      <c r="V1583" t="s">
        <v>12620</v>
      </c>
      <c r="W1583" t="s">
        <v>14167</v>
      </c>
      <c r="X1583">
        <v>47</v>
      </c>
      <c r="Y1583" t="s">
        <v>20384</v>
      </c>
      <c r="Z1583" t="s">
        <v>26530</v>
      </c>
      <c r="AA1583">
        <v>0.4468246147594957</v>
      </c>
      <c r="AB1583" t="str">
        <f>HYPERLINK("Melting_Curves/meltCurve_P08133_ANXA6.pdf", "Melting_Curves/meltCurve_P08133_ANXA6.pdf")</f>
        <v>Melting_Curves/meltCurve_P08133_ANXA6.pdf</v>
      </c>
    </row>
    <row r="1584" spans="1:28" x14ac:dyDescent="0.25">
      <c r="A1584" t="s">
        <v>1588</v>
      </c>
      <c r="B1584">
        <v>0.99987803227770999</v>
      </c>
      <c r="C1584">
        <v>0.84595404049354095</v>
      </c>
      <c r="D1584">
        <v>0.94893241493749703</v>
      </c>
      <c r="E1584">
        <v>0.83379045720218303</v>
      </c>
      <c r="F1584">
        <v>0.97813516631860298</v>
      </c>
      <c r="G1584">
        <v>0.79359518381725003</v>
      </c>
      <c r="H1584">
        <v>0.91181036002786897</v>
      </c>
      <c r="I1584">
        <v>0.75595521649201602</v>
      </c>
      <c r="J1584">
        <v>0.83326713103912597</v>
      </c>
      <c r="K1584">
        <v>0.71759028923533497</v>
      </c>
      <c r="L1584">
        <v>172.29880828665</v>
      </c>
      <c r="M1584">
        <v>1.2724910482709499</v>
      </c>
      <c r="O1584">
        <v>58.693606036975403</v>
      </c>
      <c r="P1584">
        <v>-6.69989417461007E-3</v>
      </c>
      <c r="Q1584">
        <v>0</v>
      </c>
      <c r="R1584">
        <v>0.463032160337295</v>
      </c>
      <c r="S1584" t="s">
        <v>7895</v>
      </c>
      <c r="T1584" t="s">
        <v>12620</v>
      </c>
      <c r="U1584" t="s">
        <v>12620</v>
      </c>
      <c r="V1584" t="s">
        <v>12620</v>
      </c>
      <c r="W1584" t="s">
        <v>14168</v>
      </c>
      <c r="X1584">
        <v>7</v>
      </c>
      <c r="Y1584" t="s">
        <v>20385</v>
      </c>
      <c r="Z1584" t="s">
        <v>26531</v>
      </c>
      <c r="AA1584">
        <v>0.86379542740494497</v>
      </c>
      <c r="AB1584" t="str">
        <f>HYPERLINK("Melting_Curves/meltCurve_P08195_2_SLC3A2.pdf", "Melting_Curves/meltCurve_P08195_2_SLC3A2.pdf")</f>
        <v>Melting_Curves/meltCurve_P08195_2_SLC3A2.pdf</v>
      </c>
    </row>
    <row r="1585" spans="1:28" x14ac:dyDescent="0.25">
      <c r="A1585" t="s">
        <v>1589</v>
      </c>
      <c r="B1585">
        <v>0.99987803227770999</v>
      </c>
      <c r="C1585">
        <v>0.96819618696110898</v>
      </c>
      <c r="D1585">
        <v>0.79763196579136597</v>
      </c>
      <c r="E1585">
        <v>1.14284369638156</v>
      </c>
      <c r="F1585">
        <v>0.821192274010483</v>
      </c>
      <c r="G1585">
        <v>0.90139069718369202</v>
      </c>
      <c r="H1585">
        <v>0.81910112353091702</v>
      </c>
      <c r="I1585">
        <v>0.62788380306932201</v>
      </c>
      <c r="J1585">
        <v>0.11479174115837699</v>
      </c>
      <c r="K1585">
        <v>7.3969431737424401E-2</v>
      </c>
      <c r="L1585">
        <v>2367.0087607183</v>
      </c>
      <c r="M1585">
        <v>36.7677732867133</v>
      </c>
      <c r="N1585">
        <v>64.377247165909694</v>
      </c>
      <c r="O1585">
        <v>64.187707028588306</v>
      </c>
      <c r="P1585">
        <v>-0.14320449967729401</v>
      </c>
      <c r="Q1585">
        <v>0</v>
      </c>
      <c r="R1585">
        <v>0.89860096609043905</v>
      </c>
      <c r="S1585" t="s">
        <v>7896</v>
      </c>
      <c r="T1585" t="s">
        <v>12620</v>
      </c>
      <c r="U1585" t="s">
        <v>12620</v>
      </c>
      <c r="V1585" t="s">
        <v>12620</v>
      </c>
      <c r="W1585" t="s">
        <v>14169</v>
      </c>
      <c r="X1585">
        <v>25</v>
      </c>
      <c r="Y1585" t="s">
        <v>20386</v>
      </c>
      <c r="Z1585" t="s">
        <v>26532</v>
      </c>
      <c r="AA1585">
        <v>0.81411207839199784</v>
      </c>
      <c r="AB1585" t="str">
        <f>HYPERLINK("Melting_Curves/meltCurve_P08237_PFKM.pdf", "Melting_Curves/meltCurve_P08237_PFKM.pdf")</f>
        <v>Melting_Curves/meltCurve_P08237_PFKM.pdf</v>
      </c>
    </row>
    <row r="1586" spans="1:28" x14ac:dyDescent="0.25">
      <c r="A1586" t="s">
        <v>1590</v>
      </c>
      <c r="B1586">
        <v>0.99987803227770999</v>
      </c>
      <c r="C1586">
        <v>1.42995551464121</v>
      </c>
      <c r="D1586">
        <v>0.69766338975461695</v>
      </c>
      <c r="E1586">
        <v>1.1425033499098201</v>
      </c>
      <c r="F1586">
        <v>0.35308194102073798</v>
      </c>
      <c r="G1586">
        <v>0.318528514507881</v>
      </c>
      <c r="H1586">
        <v>0.16586497608176901</v>
      </c>
      <c r="I1586">
        <v>0.122654143824447</v>
      </c>
      <c r="J1586">
        <v>0.111339507507264</v>
      </c>
      <c r="K1586">
        <v>6.6238742123803596E-2</v>
      </c>
      <c r="L1586">
        <v>13186.7551649052</v>
      </c>
      <c r="M1586">
        <v>250</v>
      </c>
      <c r="N1586">
        <v>52.826615520423204</v>
      </c>
      <c r="O1586">
        <v>52.7436452181189</v>
      </c>
      <c r="P1586">
        <v>-0.99902430534783104</v>
      </c>
      <c r="Q1586">
        <v>0.15692506486653199</v>
      </c>
      <c r="R1586">
        <v>0.847910613896386</v>
      </c>
      <c r="S1586" t="s">
        <v>7897</v>
      </c>
      <c r="T1586" t="s">
        <v>12620</v>
      </c>
      <c r="U1586" t="s">
        <v>12620</v>
      </c>
      <c r="V1586" t="s">
        <v>12620</v>
      </c>
      <c r="W1586" t="s">
        <v>14170</v>
      </c>
      <c r="X1586">
        <v>69</v>
      </c>
      <c r="Y1586" t="s">
        <v>20387</v>
      </c>
      <c r="Z1586" t="s">
        <v>26533</v>
      </c>
      <c r="AA1586">
        <v>0.51522622900733217</v>
      </c>
      <c r="AB1586" t="str">
        <f>HYPERLINK("Melting_Curves/meltCurve_P08238_HSP90AB1.pdf", "Melting_Curves/meltCurve_P08238_HSP90AB1.pdf")</f>
        <v>Melting_Curves/meltCurve_P08238_HSP90AB1.pdf</v>
      </c>
    </row>
    <row r="1587" spans="1:28" x14ac:dyDescent="0.25">
      <c r="A1587" t="s">
        <v>1591</v>
      </c>
      <c r="B1587">
        <v>0.99987803227770999</v>
      </c>
      <c r="C1587">
        <v>0.94834954480469602</v>
      </c>
      <c r="D1587">
        <v>0.991525794758081</v>
      </c>
      <c r="E1587">
        <v>0.72342916735877605</v>
      </c>
      <c r="F1587">
        <v>0.323017001541749</v>
      </c>
      <c r="G1587">
        <v>0.20803908620974601</v>
      </c>
      <c r="H1587">
        <v>0.11687969132788401</v>
      </c>
      <c r="I1587">
        <v>0.102443666015288</v>
      </c>
      <c r="J1587">
        <v>7.4745100816814306E-2</v>
      </c>
      <c r="K1587">
        <v>4.8014886506185503E-2</v>
      </c>
      <c r="L1587">
        <v>1450.2890582421401</v>
      </c>
      <c r="M1587">
        <v>28.247595601318</v>
      </c>
      <c r="N1587">
        <v>51.713944868558897</v>
      </c>
      <c r="O1587">
        <v>51.086792213783198</v>
      </c>
      <c r="P1587">
        <v>-0.12552786402376701</v>
      </c>
      <c r="Q1587">
        <v>9.1920966141860003E-2</v>
      </c>
      <c r="R1587">
        <v>0.99281014904944898</v>
      </c>
      <c r="S1587" t="s">
        <v>7898</v>
      </c>
      <c r="T1587" t="s">
        <v>12620</v>
      </c>
      <c r="U1587" t="s">
        <v>12620</v>
      </c>
      <c r="V1587" t="s">
        <v>12620</v>
      </c>
      <c r="W1587" t="s">
        <v>14171</v>
      </c>
      <c r="X1587">
        <v>5</v>
      </c>
      <c r="Y1587" t="s">
        <v>20388</v>
      </c>
      <c r="Z1587" t="s">
        <v>26534</v>
      </c>
      <c r="AA1587">
        <v>0.44170897491864308</v>
      </c>
      <c r="AB1587" t="str">
        <f>HYPERLINK("Melting_Curves/meltCurve_P08240_2_SRPR.pdf", "Melting_Curves/meltCurve_P08240_2_SRPR.pdf")</f>
        <v>Melting_Curves/meltCurve_P08240_2_SRPR.pdf</v>
      </c>
    </row>
    <row r="1588" spans="1:28" x14ac:dyDescent="0.25">
      <c r="A1588" t="s">
        <v>1592</v>
      </c>
      <c r="B1588">
        <v>0.99987803227770999</v>
      </c>
      <c r="C1588">
        <v>1.1172637502189799</v>
      </c>
      <c r="D1588">
        <v>0.85148457284759205</v>
      </c>
      <c r="E1588">
        <v>0.80023609855354305</v>
      </c>
      <c r="F1588">
        <v>0.26293944336321001</v>
      </c>
      <c r="G1588">
        <v>0.13313478424827199</v>
      </c>
      <c r="H1588">
        <v>8.9319642126772306E-2</v>
      </c>
      <c r="I1588">
        <v>7.2641490573312595E-2</v>
      </c>
      <c r="J1588">
        <v>5.4841177131608097E-2</v>
      </c>
      <c r="K1588">
        <v>3.8334576218062598E-2</v>
      </c>
      <c r="L1588">
        <v>2121.3698161931002</v>
      </c>
      <c r="M1588">
        <v>41.254969788310298</v>
      </c>
      <c r="N1588">
        <v>51.614657408029998</v>
      </c>
      <c r="O1588">
        <v>51.300573583543802</v>
      </c>
      <c r="P1588">
        <v>-0.186627098497432</v>
      </c>
      <c r="Q1588">
        <v>7.1718186941033296E-2</v>
      </c>
      <c r="R1588">
        <v>0.97831138374913196</v>
      </c>
      <c r="S1588" t="s">
        <v>7899</v>
      </c>
      <c r="T1588" t="s">
        <v>12620</v>
      </c>
      <c r="U1588" t="s">
        <v>12620</v>
      </c>
      <c r="V1588" t="s">
        <v>12620</v>
      </c>
      <c r="W1588" t="s">
        <v>14172</v>
      </c>
      <c r="X1588">
        <v>26</v>
      </c>
      <c r="Y1588" t="s">
        <v>20389</v>
      </c>
      <c r="Z1588" t="s">
        <v>26535</v>
      </c>
      <c r="AA1588">
        <v>0.42821341506808203</v>
      </c>
      <c r="AB1588" t="str">
        <f>HYPERLINK("Melting_Curves/meltCurve_P08243_2_ASNS.pdf", "Melting_Curves/meltCurve_P08243_2_ASNS.pdf")</f>
        <v>Melting_Curves/meltCurve_P08243_2_ASNS.pdf</v>
      </c>
    </row>
    <row r="1589" spans="1:28" x14ac:dyDescent="0.25">
      <c r="A1589" t="s">
        <v>1593</v>
      </c>
      <c r="B1589">
        <v>0.99987803227770999</v>
      </c>
      <c r="C1589">
        <v>0.91958533462504199</v>
      </c>
      <c r="D1589">
        <v>0.97984157561926</v>
      </c>
      <c r="E1589">
        <v>0.84539916605743204</v>
      </c>
      <c r="F1589">
        <v>0.93888085187175296</v>
      </c>
      <c r="G1589">
        <v>0.81877584761794697</v>
      </c>
      <c r="H1589">
        <v>0.93733908630517904</v>
      </c>
      <c r="I1589">
        <v>0.91511504682218003</v>
      </c>
      <c r="J1589">
        <v>0.81842606490464798</v>
      </c>
      <c r="K1589">
        <v>0.61238721163370002</v>
      </c>
      <c r="L1589">
        <v>308.43157402734897</v>
      </c>
      <c r="M1589">
        <v>3.3648878147525099</v>
      </c>
      <c r="Q1589">
        <v>0</v>
      </c>
      <c r="R1589">
        <v>0.51332127744996403</v>
      </c>
      <c r="S1589" t="s">
        <v>7900</v>
      </c>
      <c r="T1589" t="s">
        <v>12620</v>
      </c>
      <c r="U1589" t="s">
        <v>12620</v>
      </c>
      <c r="V1589" t="s">
        <v>12620</v>
      </c>
      <c r="W1589" t="s">
        <v>14173</v>
      </c>
      <c r="X1589">
        <v>18</v>
      </c>
      <c r="Y1589" t="s">
        <v>20390</v>
      </c>
      <c r="Z1589" t="s">
        <v>26536</v>
      </c>
      <c r="AA1589">
        <v>0.88978032785891936</v>
      </c>
      <c r="AB1589" t="str">
        <f>HYPERLINK("Melting_Curves/meltCurve_P08397_2_HMBS.pdf", "Melting_Curves/meltCurve_P08397_2_HMBS.pdf")</f>
        <v>Melting_Curves/meltCurve_P08397_2_HMBS.pdf</v>
      </c>
    </row>
    <row r="1590" spans="1:28" x14ac:dyDescent="0.25">
      <c r="A1590" t="s">
        <v>1594</v>
      </c>
      <c r="B1590">
        <v>0.99987803227770999</v>
      </c>
      <c r="C1590">
        <v>1.0240531825895001</v>
      </c>
      <c r="D1590">
        <v>0.62486799576198304</v>
      </c>
      <c r="E1590">
        <v>0.46365705865300499</v>
      </c>
      <c r="F1590">
        <v>0.24987041777779401</v>
      </c>
      <c r="G1590">
        <v>0.17620259806062399</v>
      </c>
      <c r="H1590">
        <v>0.119145244431814</v>
      </c>
      <c r="I1590">
        <v>9.99338066381949E-2</v>
      </c>
      <c r="J1590">
        <v>7.8652426053948898E-2</v>
      </c>
      <c r="K1590">
        <v>5.9129068072584799E-2</v>
      </c>
      <c r="L1590">
        <v>804.92393482876298</v>
      </c>
      <c r="M1590">
        <v>16.6157228391145</v>
      </c>
      <c r="N1590">
        <v>48.9597777714039</v>
      </c>
      <c r="O1590">
        <v>47.7581376956987</v>
      </c>
      <c r="P1590">
        <v>-7.9994413311955406E-2</v>
      </c>
      <c r="Q1590">
        <v>8.0358933348920303E-2</v>
      </c>
      <c r="R1590">
        <v>0.97652998477174902</v>
      </c>
      <c r="S1590" t="s">
        <v>7901</v>
      </c>
      <c r="T1590" t="s">
        <v>12620</v>
      </c>
      <c r="U1590" t="s">
        <v>12620</v>
      </c>
      <c r="V1590" t="s">
        <v>12620</v>
      </c>
      <c r="W1590" t="s">
        <v>14174</v>
      </c>
      <c r="X1590">
        <v>13</v>
      </c>
      <c r="Y1590" t="s">
        <v>20391</v>
      </c>
      <c r="Z1590" t="s">
        <v>26537</v>
      </c>
      <c r="AA1590">
        <v>0.35815277584985789</v>
      </c>
      <c r="AB1590" t="str">
        <f>HYPERLINK("Melting_Curves/meltCurve_P08559_3_PDHA1.pdf", "Melting_Curves/meltCurve_P08559_3_PDHA1.pdf")</f>
        <v>Melting_Curves/meltCurve_P08559_3_PDHA1.pdf</v>
      </c>
    </row>
    <row r="1591" spans="1:28" x14ac:dyDescent="0.25">
      <c r="A1591" t="s">
        <v>1595</v>
      </c>
      <c r="B1591">
        <v>0.99987803227770999</v>
      </c>
      <c r="C1591">
        <v>1.09286829657538</v>
      </c>
      <c r="D1591">
        <v>1.00066007233816</v>
      </c>
      <c r="E1591">
        <v>1.0410068352111801</v>
      </c>
      <c r="F1591">
        <v>0.93989937881248997</v>
      </c>
      <c r="G1591">
        <v>0.98682898796278895</v>
      </c>
      <c r="H1591">
        <v>0.74162973021216105</v>
      </c>
      <c r="I1591">
        <v>0.63170238775824294</v>
      </c>
      <c r="J1591">
        <v>0.58314756919098198</v>
      </c>
      <c r="K1591">
        <v>0.428748710191099</v>
      </c>
      <c r="L1591">
        <v>1235.32734662655</v>
      </c>
      <c r="M1591">
        <v>19.657615165973102</v>
      </c>
      <c r="N1591">
        <v>68.051368646887497</v>
      </c>
      <c r="O1591">
        <v>62.202658653536503</v>
      </c>
      <c r="P1591">
        <v>-4.8277413865803601E-2</v>
      </c>
      <c r="Q1591">
        <v>0.38896355739114802</v>
      </c>
      <c r="R1591">
        <v>0.95387814700791296</v>
      </c>
      <c r="S1591" t="s">
        <v>7902</v>
      </c>
      <c r="T1591" t="s">
        <v>12620</v>
      </c>
      <c r="U1591" t="s">
        <v>12620</v>
      </c>
      <c r="V1591" t="s">
        <v>12620</v>
      </c>
      <c r="W1591" t="s">
        <v>14175</v>
      </c>
      <c r="X1591">
        <v>4</v>
      </c>
      <c r="Y1591" t="s">
        <v>20392</v>
      </c>
      <c r="Z1591" t="s">
        <v>26538</v>
      </c>
      <c r="AA1591">
        <v>0.85391588864244883</v>
      </c>
      <c r="AB1591" t="str">
        <f>HYPERLINK("Melting_Curves/meltCurve_P08572_COL4A2.pdf", "Melting_Curves/meltCurve_P08572_COL4A2.pdf")</f>
        <v>Melting_Curves/meltCurve_P08572_COL4A2.pdf</v>
      </c>
    </row>
    <row r="1592" spans="1:28" x14ac:dyDescent="0.25">
      <c r="A1592" t="s">
        <v>1596</v>
      </c>
      <c r="B1592">
        <v>0.99987803227770999</v>
      </c>
      <c r="C1592">
        <v>0.88655935118892404</v>
      </c>
      <c r="D1592">
        <v>0.88260853121145899</v>
      </c>
      <c r="E1592">
        <v>1.1250443353874999</v>
      </c>
      <c r="F1592">
        <v>0.96783781788164902</v>
      </c>
      <c r="G1592">
        <v>0.76584849672017097</v>
      </c>
      <c r="H1592">
        <v>0.46049553608139498</v>
      </c>
      <c r="I1592">
        <v>0.316597553665111</v>
      </c>
      <c r="J1592">
        <v>0.24583365741395</v>
      </c>
      <c r="K1592">
        <v>0.174905244991375</v>
      </c>
      <c r="L1592">
        <v>1441.85934876542</v>
      </c>
      <c r="M1592">
        <v>24.2736526929089</v>
      </c>
      <c r="N1592">
        <v>60.508949950471496</v>
      </c>
      <c r="O1592">
        <v>59.001411041086598</v>
      </c>
      <c r="P1592">
        <v>-8.4389137944309203E-2</v>
      </c>
      <c r="Q1592">
        <v>0.179521147170283</v>
      </c>
      <c r="R1592">
        <v>0.95827201447255494</v>
      </c>
      <c r="S1592" t="s">
        <v>7903</v>
      </c>
      <c r="T1592" t="s">
        <v>12620</v>
      </c>
      <c r="U1592" t="s">
        <v>12620</v>
      </c>
      <c r="V1592" t="s">
        <v>12620</v>
      </c>
      <c r="W1592" t="s">
        <v>14176</v>
      </c>
      <c r="X1592">
        <v>6</v>
      </c>
      <c r="Y1592" t="s">
        <v>20393</v>
      </c>
      <c r="Z1592" t="s">
        <v>26539</v>
      </c>
      <c r="AA1592">
        <v>0.71680434245531566</v>
      </c>
      <c r="AB1592" t="str">
        <f>HYPERLINK("Melting_Curves/meltCurve_P08579_SNRPB2.pdf", "Melting_Curves/meltCurve_P08579_SNRPB2.pdf")</f>
        <v>Melting_Curves/meltCurve_P08579_SNRPB2.pdf</v>
      </c>
    </row>
    <row r="1593" spans="1:28" x14ac:dyDescent="0.25">
      <c r="A1593" t="s">
        <v>1597</v>
      </c>
      <c r="B1593">
        <v>0.99987803227770999</v>
      </c>
      <c r="C1593">
        <v>0.96295547376311497</v>
      </c>
      <c r="D1593">
        <v>0.94582374253430002</v>
      </c>
      <c r="E1593">
        <v>0.71382302779241802</v>
      </c>
      <c r="F1593">
        <v>0.397400849809946</v>
      </c>
      <c r="G1593">
        <v>0.310798904067833</v>
      </c>
      <c r="H1593">
        <v>0.23876304432547199</v>
      </c>
      <c r="I1593">
        <v>0.19377688800470499</v>
      </c>
      <c r="J1593">
        <v>0.17648132918281101</v>
      </c>
      <c r="K1593">
        <v>0.121258771605209</v>
      </c>
      <c r="L1593">
        <v>1054.15265403277</v>
      </c>
      <c r="M1593">
        <v>20.5660218242298</v>
      </c>
      <c r="N1593">
        <v>52.334181001086499</v>
      </c>
      <c r="O1593">
        <v>50.779759525285698</v>
      </c>
      <c r="P1593">
        <v>-8.3781608022958295E-2</v>
      </c>
      <c r="Q1593">
        <v>0.17256019919795201</v>
      </c>
      <c r="R1593">
        <v>0.99078911156244098</v>
      </c>
      <c r="S1593" t="s">
        <v>7904</v>
      </c>
      <c r="T1593" t="s">
        <v>12620</v>
      </c>
      <c r="U1593" t="s">
        <v>12620</v>
      </c>
      <c r="V1593" t="s">
        <v>12620</v>
      </c>
      <c r="W1593" t="s">
        <v>14177</v>
      </c>
      <c r="X1593">
        <v>8</v>
      </c>
      <c r="Y1593" t="s">
        <v>20394</v>
      </c>
      <c r="Z1593" t="s">
        <v>26540</v>
      </c>
      <c r="AA1593">
        <v>0.49394129969765449</v>
      </c>
      <c r="AB1593" t="str">
        <f>HYPERLINK("Melting_Curves/meltCurve_P08581_MET.pdf", "Melting_Curves/meltCurve_P08581_MET.pdf")</f>
        <v>Melting_Curves/meltCurve_P08581_MET.pdf</v>
      </c>
    </row>
    <row r="1594" spans="1:28" x14ac:dyDescent="0.25">
      <c r="A1594" t="s">
        <v>1598</v>
      </c>
      <c r="B1594">
        <v>0.99987803227770999</v>
      </c>
      <c r="C1594">
        <v>1.1773890242607301</v>
      </c>
      <c r="D1594">
        <v>0.90603630369936905</v>
      </c>
      <c r="E1594">
        <v>0.86770418999891397</v>
      </c>
      <c r="F1594">
        <v>1.09009640619306</v>
      </c>
      <c r="G1594">
        <v>2.00024684734653</v>
      </c>
      <c r="H1594">
        <v>1.5807918048513201</v>
      </c>
      <c r="I1594">
        <v>1.3654240435071401</v>
      </c>
      <c r="J1594">
        <v>0.76581335121767002</v>
      </c>
      <c r="K1594">
        <v>0.46785147861918902</v>
      </c>
      <c r="L1594">
        <v>15000</v>
      </c>
      <c r="M1594">
        <v>223.63932815920199</v>
      </c>
      <c r="N1594">
        <v>67.905037595123702</v>
      </c>
      <c r="O1594">
        <v>67.066913409258504</v>
      </c>
      <c r="P1594">
        <v>-0.44366526313565702</v>
      </c>
      <c r="Q1594">
        <v>0.46779912001103802</v>
      </c>
      <c r="R1594">
        <v>0.10942070897714699</v>
      </c>
      <c r="S1594" t="s">
        <v>7905</v>
      </c>
      <c r="T1594" t="s">
        <v>12620</v>
      </c>
      <c r="U1594" t="s">
        <v>12620</v>
      </c>
      <c r="V1594" t="s">
        <v>12620</v>
      </c>
      <c r="W1594" t="s">
        <v>14178</v>
      </c>
      <c r="X1594">
        <v>1</v>
      </c>
      <c r="Y1594" t="s">
        <v>20395</v>
      </c>
      <c r="Z1594" t="s">
        <v>26541</v>
      </c>
      <c r="AA1594">
        <v>0.94813997199782085</v>
      </c>
      <c r="AB1594" t="str">
        <f>HYPERLINK("Melting_Curves/meltCurve_P08582_MFI2.pdf", "Melting_Curves/meltCurve_P08582_MFI2.pdf")</f>
        <v>Melting_Curves/meltCurve_P08582_MFI2.pdf</v>
      </c>
    </row>
    <row r="1595" spans="1:28" x14ac:dyDescent="0.25">
      <c r="A1595" t="s">
        <v>1599</v>
      </c>
      <c r="B1595">
        <v>0.99987803227770999</v>
      </c>
      <c r="C1595">
        <v>1.0481106879544499</v>
      </c>
      <c r="D1595">
        <v>1.0018269115493099</v>
      </c>
      <c r="E1595">
        <v>1.2941472289579199</v>
      </c>
      <c r="F1595">
        <v>0.58491460817984298</v>
      </c>
      <c r="G1595">
        <v>0.39080803883311199</v>
      </c>
      <c r="H1595">
        <v>0.31687716120186998</v>
      </c>
      <c r="I1595">
        <v>0.28695979290169099</v>
      </c>
      <c r="J1595">
        <v>0.276473522506689</v>
      </c>
      <c r="K1595">
        <v>0.20760645269695999</v>
      </c>
      <c r="L1595">
        <v>13230.842235446</v>
      </c>
      <c r="M1595">
        <v>250</v>
      </c>
      <c r="N1595">
        <v>53.113541358971602</v>
      </c>
      <c r="O1595">
        <v>52.920001471265202</v>
      </c>
      <c r="P1595">
        <v>-0.83174519204753905</v>
      </c>
      <c r="Q1595">
        <v>0.29574494727490502</v>
      </c>
      <c r="R1595">
        <v>0.92743311391804795</v>
      </c>
      <c r="S1595" t="s">
        <v>7906</v>
      </c>
      <c r="T1595" t="s">
        <v>12620</v>
      </c>
      <c r="U1595" t="s">
        <v>12620</v>
      </c>
      <c r="V1595" t="s">
        <v>12620</v>
      </c>
      <c r="W1595" t="s">
        <v>14179</v>
      </c>
      <c r="X1595">
        <v>11</v>
      </c>
      <c r="Y1595" t="s">
        <v>20396</v>
      </c>
      <c r="Z1595" t="s">
        <v>26542</v>
      </c>
      <c r="AA1595">
        <v>0.59918862078112056</v>
      </c>
      <c r="AB1595" t="str">
        <f>HYPERLINK("Melting_Curves/meltCurve_P08621_SNRNP70.pdf", "Melting_Curves/meltCurve_P08621_SNRNP70.pdf")</f>
        <v>Melting_Curves/meltCurve_P08621_SNRNP70.pdf</v>
      </c>
    </row>
    <row r="1596" spans="1:28" x14ac:dyDescent="0.25">
      <c r="A1596" t="s">
        <v>1600</v>
      </c>
      <c r="B1596">
        <v>0.99987803227770999</v>
      </c>
      <c r="C1596">
        <v>0.99629128920694898</v>
      </c>
      <c r="D1596">
        <v>1.09096871844035</v>
      </c>
      <c r="E1596">
        <v>0.98953674921105295</v>
      </c>
      <c r="F1596">
        <v>1.09219087521839</v>
      </c>
      <c r="G1596">
        <v>0.906302284664525</v>
      </c>
      <c r="H1596">
        <v>0.80498727251576396</v>
      </c>
      <c r="I1596">
        <v>0.77638882897056405</v>
      </c>
      <c r="J1596">
        <v>0.61312459083889903</v>
      </c>
      <c r="K1596">
        <v>0.480232647931359</v>
      </c>
      <c r="L1596">
        <v>935.40254851986504</v>
      </c>
      <c r="M1596">
        <v>13.794010919465901</v>
      </c>
      <c r="N1596">
        <v>69.642749645424203</v>
      </c>
      <c r="O1596">
        <v>66.434675223839406</v>
      </c>
      <c r="P1596">
        <v>-4.4021342195226097E-2</v>
      </c>
      <c r="Q1596">
        <v>0.15205707459884801</v>
      </c>
      <c r="R1596">
        <v>0.93315358952670902</v>
      </c>
      <c r="S1596" t="s">
        <v>7907</v>
      </c>
      <c r="T1596" t="s">
        <v>12620</v>
      </c>
      <c r="U1596" t="s">
        <v>12620</v>
      </c>
      <c r="V1596" t="s">
        <v>12620</v>
      </c>
      <c r="W1596" t="s">
        <v>14180</v>
      </c>
      <c r="X1596">
        <v>8</v>
      </c>
      <c r="Y1596" t="s">
        <v>20397</v>
      </c>
      <c r="Z1596" t="s">
        <v>26543</v>
      </c>
      <c r="AA1596">
        <v>0.88293708241118662</v>
      </c>
      <c r="AB1596" t="str">
        <f>HYPERLINK("Melting_Curves/meltCurve_P08651_2_NFIC.pdf", "Melting_Curves/meltCurve_P08651_2_NFIC.pdf")</f>
        <v>Melting_Curves/meltCurve_P08651_2_NFIC.pdf</v>
      </c>
    </row>
    <row r="1597" spans="1:28" x14ac:dyDescent="0.25">
      <c r="A1597" t="s">
        <v>1601</v>
      </c>
      <c r="B1597">
        <v>0.99987803227770999</v>
      </c>
      <c r="C1597">
        <v>0.97450982115441198</v>
      </c>
      <c r="D1597">
        <v>0.99351647605438997</v>
      </c>
      <c r="E1597">
        <v>0.96327066089244495</v>
      </c>
      <c r="F1597">
        <v>0.93793306808336796</v>
      </c>
      <c r="G1597">
        <v>0.91591844948460199</v>
      </c>
      <c r="H1597">
        <v>0.86942350309879202</v>
      </c>
      <c r="I1597">
        <v>0.86874762606967704</v>
      </c>
      <c r="J1597">
        <v>0.76080098114830297</v>
      </c>
      <c r="K1597">
        <v>0.61318896985544602</v>
      </c>
      <c r="L1597">
        <v>654.62089806451104</v>
      </c>
      <c r="M1597">
        <v>8.7335059087303808</v>
      </c>
      <c r="Q1597">
        <v>0</v>
      </c>
      <c r="R1597">
        <v>0.94183952151490002</v>
      </c>
      <c r="S1597" t="s">
        <v>7908</v>
      </c>
      <c r="T1597" t="s">
        <v>12620</v>
      </c>
      <c r="U1597" t="s">
        <v>12620</v>
      </c>
      <c r="V1597" t="s">
        <v>12620</v>
      </c>
      <c r="W1597" t="s">
        <v>14181</v>
      </c>
      <c r="X1597">
        <v>51</v>
      </c>
      <c r="Y1597" t="s">
        <v>20398</v>
      </c>
      <c r="Z1597" t="s">
        <v>26544</v>
      </c>
      <c r="AA1597">
        <v>0.91192889828976098</v>
      </c>
      <c r="AB1597" t="str">
        <f>HYPERLINK("Melting_Curves/meltCurve_P08670_VIM.pdf", "Melting_Curves/meltCurve_P08670_VIM.pdf")</f>
        <v>Melting_Curves/meltCurve_P08670_VIM.pdf</v>
      </c>
    </row>
    <row r="1598" spans="1:28" x14ac:dyDescent="0.25">
      <c r="A1598" t="s">
        <v>1602</v>
      </c>
      <c r="B1598">
        <v>0.99987803227770999</v>
      </c>
      <c r="C1598">
        <v>1.0126664941283701</v>
      </c>
      <c r="D1598">
        <v>0.99711849287121601</v>
      </c>
      <c r="E1598">
        <v>0.99418196179587603</v>
      </c>
      <c r="F1598">
        <v>0.89877369071706503</v>
      </c>
      <c r="G1598">
        <v>0.81566179286432205</v>
      </c>
      <c r="H1598">
        <v>0.70458859342296698</v>
      </c>
      <c r="I1598">
        <v>0.48432397712167002</v>
      </c>
      <c r="J1598">
        <v>0.28513390926695698</v>
      </c>
      <c r="K1598">
        <v>0.234755869555305</v>
      </c>
      <c r="L1598">
        <v>901.81697858278096</v>
      </c>
      <c r="M1598">
        <v>14.1617456459441</v>
      </c>
      <c r="N1598">
        <v>63.679775815766199</v>
      </c>
      <c r="O1598">
        <v>62.450385292345402</v>
      </c>
      <c r="P1598">
        <v>-5.6699161159266299E-2</v>
      </c>
      <c r="Q1598">
        <v>0</v>
      </c>
      <c r="R1598">
        <v>0.98975776573146801</v>
      </c>
      <c r="S1598" t="s">
        <v>7909</v>
      </c>
      <c r="T1598" t="s">
        <v>12620</v>
      </c>
      <c r="U1598" t="s">
        <v>12620</v>
      </c>
      <c r="V1598" t="s">
        <v>12620</v>
      </c>
      <c r="W1598" t="s">
        <v>14182</v>
      </c>
      <c r="X1598">
        <v>27</v>
      </c>
      <c r="Y1598" t="s">
        <v>20399</v>
      </c>
      <c r="Z1598" t="s">
        <v>26545</v>
      </c>
      <c r="AA1598">
        <v>0.7724947082131709</v>
      </c>
      <c r="AB1598" t="str">
        <f>HYPERLINK("Melting_Curves/meltCurve_P08727_KRT19.pdf", "Melting_Curves/meltCurve_P08727_KRT19.pdf")</f>
        <v>Melting_Curves/meltCurve_P08727_KRT19.pdf</v>
      </c>
    </row>
    <row r="1599" spans="1:28" x14ac:dyDescent="0.25">
      <c r="A1599" t="s">
        <v>1603</v>
      </c>
      <c r="B1599">
        <v>0.99987803227770999</v>
      </c>
      <c r="C1599">
        <v>1.0008789562137801</v>
      </c>
      <c r="D1599">
        <v>0.99918936216054399</v>
      </c>
      <c r="E1599">
        <v>1.0275292415967101</v>
      </c>
      <c r="F1599">
        <v>0.84077370228149595</v>
      </c>
      <c r="G1599">
        <v>0.71662415816008496</v>
      </c>
      <c r="H1599">
        <v>0.46596018513203702</v>
      </c>
      <c r="I1599">
        <v>0.26399173717003199</v>
      </c>
      <c r="J1599">
        <v>0.23847690450217199</v>
      </c>
      <c r="K1599">
        <v>0.227276736707125</v>
      </c>
      <c r="L1599">
        <v>1111.68586398191</v>
      </c>
      <c r="M1599">
        <v>18.946740029108401</v>
      </c>
      <c r="N1599">
        <v>59.972528208164697</v>
      </c>
      <c r="O1599">
        <v>58.032361566477498</v>
      </c>
      <c r="P1599">
        <v>-6.7893327253453803E-2</v>
      </c>
      <c r="Q1599">
        <v>0.16822615375202299</v>
      </c>
      <c r="R1599">
        <v>0.98979836961177503</v>
      </c>
      <c r="S1599" t="s">
        <v>7910</v>
      </c>
      <c r="T1599" t="s">
        <v>12620</v>
      </c>
      <c r="U1599" t="s">
        <v>12620</v>
      </c>
      <c r="V1599" t="s">
        <v>12620</v>
      </c>
      <c r="W1599" t="s">
        <v>14183</v>
      </c>
      <c r="X1599">
        <v>39</v>
      </c>
      <c r="Y1599" t="s">
        <v>20400</v>
      </c>
      <c r="Z1599" t="s">
        <v>26546</v>
      </c>
      <c r="AA1599">
        <v>0.6950669551167602</v>
      </c>
      <c r="AB1599" t="str">
        <f>HYPERLINK("Melting_Curves/meltCurve_P08729_KRT7.pdf", "Melting_Curves/meltCurve_P08729_KRT7.pdf")</f>
        <v>Melting_Curves/meltCurve_P08729_KRT7.pdf</v>
      </c>
    </row>
    <row r="1600" spans="1:28" x14ac:dyDescent="0.25">
      <c r="A1600" t="s">
        <v>1604</v>
      </c>
      <c r="B1600">
        <v>0.99987803227770999</v>
      </c>
      <c r="C1600">
        <v>0.97099645147975</v>
      </c>
      <c r="D1600">
        <v>1.0376182953755999</v>
      </c>
      <c r="E1600">
        <v>0.83499613820674001</v>
      </c>
      <c r="F1600">
        <v>0.66193430768348405</v>
      </c>
      <c r="G1600">
        <v>0.199679636537757</v>
      </c>
      <c r="H1600">
        <v>0.170558218414396</v>
      </c>
      <c r="I1600">
        <v>0.15521311708760699</v>
      </c>
      <c r="J1600">
        <v>0.118987120777578</v>
      </c>
      <c r="K1600">
        <v>9.09764233961083E-2</v>
      </c>
      <c r="L1600">
        <v>1506.1195961667399</v>
      </c>
      <c r="M1600">
        <v>28.149655940907</v>
      </c>
      <c r="N1600">
        <v>54.012109556882201</v>
      </c>
      <c r="O1600">
        <v>53.236203374529701</v>
      </c>
      <c r="P1600">
        <v>-0.11681687288890601</v>
      </c>
      <c r="Q1600">
        <v>0.116318593568943</v>
      </c>
      <c r="R1600">
        <v>0.99139350450948904</v>
      </c>
      <c r="S1600" t="s">
        <v>7911</v>
      </c>
      <c r="T1600" t="s">
        <v>12620</v>
      </c>
      <c r="U1600" t="s">
        <v>12620</v>
      </c>
      <c r="V1600" t="s">
        <v>12620</v>
      </c>
      <c r="W1600" t="s">
        <v>14184</v>
      </c>
      <c r="X1600">
        <v>7</v>
      </c>
      <c r="Y1600" t="s">
        <v>20401</v>
      </c>
      <c r="Z1600" t="s">
        <v>26547</v>
      </c>
      <c r="AA1600">
        <v>0.52061817607361804</v>
      </c>
      <c r="AB1600" t="str">
        <f>HYPERLINK("Melting_Curves/meltCurve_P08754_GNAI3.pdf", "Melting_Curves/meltCurve_P08754_GNAI3.pdf")</f>
        <v>Melting_Curves/meltCurve_P08754_GNAI3.pdf</v>
      </c>
    </row>
    <row r="1601" spans="1:28" x14ac:dyDescent="0.25">
      <c r="A1601" t="s">
        <v>1605</v>
      </c>
      <c r="B1601">
        <v>0.99987803227770999</v>
      </c>
      <c r="C1601">
        <v>0.77631022234205405</v>
      </c>
      <c r="D1601">
        <v>0.811461894465074</v>
      </c>
      <c r="E1601">
        <v>0.71922761658981504</v>
      </c>
      <c r="F1601">
        <v>0.58127865380664001</v>
      </c>
      <c r="G1601">
        <v>0.369308359742686</v>
      </c>
      <c r="H1601">
        <v>4.5544320053220302</v>
      </c>
      <c r="I1601">
        <v>4.7183815494604904</v>
      </c>
      <c r="J1601">
        <v>0.38977093391402501</v>
      </c>
      <c r="K1601">
        <v>0.44138654004885203</v>
      </c>
      <c r="L1601">
        <v>2551.15109961808</v>
      </c>
      <c r="M1601">
        <v>44.477507519865398</v>
      </c>
      <c r="O1601">
        <v>57.242646491677498</v>
      </c>
      <c r="P1601">
        <v>9.71250774798747E-2</v>
      </c>
      <c r="Q1601">
        <v>1.5</v>
      </c>
      <c r="R1601">
        <v>0.10168390455458599</v>
      </c>
      <c r="S1601" t="s">
        <v>7912</v>
      </c>
      <c r="T1601" t="s">
        <v>12620</v>
      </c>
      <c r="U1601" t="s">
        <v>12620</v>
      </c>
      <c r="V1601" t="s">
        <v>12620</v>
      </c>
      <c r="W1601" t="s">
        <v>14185</v>
      </c>
      <c r="X1601">
        <v>10</v>
      </c>
      <c r="Y1601" t="s">
        <v>20402</v>
      </c>
      <c r="Z1601" t="s">
        <v>26548</v>
      </c>
      <c r="AA1601">
        <v>1.209106102887874</v>
      </c>
      <c r="AB1601" t="str">
        <f>HYPERLINK("Melting_Curves/meltCurve_P08779_KRT16.pdf", "Melting_Curves/meltCurve_P08779_KRT16.pdf")</f>
        <v>Melting_Curves/meltCurve_P08779_KRT16.pdf</v>
      </c>
    </row>
    <row r="1602" spans="1:28" x14ac:dyDescent="0.25">
      <c r="A1602" t="s">
        <v>1606</v>
      </c>
      <c r="B1602">
        <v>0.99987803227770999</v>
      </c>
      <c r="C1602">
        <v>1.05744011616716</v>
      </c>
      <c r="D1602">
        <v>0.99272306169764402</v>
      </c>
      <c r="E1602">
        <v>1.4932524837052099</v>
      </c>
      <c r="F1602">
        <v>1.0494037846945801</v>
      </c>
      <c r="G1602">
        <v>1.0020166809629201</v>
      </c>
      <c r="H1602">
        <v>0.45540012319420697</v>
      </c>
      <c r="I1602">
        <v>0.244307625217972</v>
      </c>
      <c r="J1602">
        <v>0.196391555606932</v>
      </c>
      <c r="K1602">
        <v>0.14188921591339901</v>
      </c>
      <c r="L1602">
        <v>3626.4597637628399</v>
      </c>
      <c r="M1602">
        <v>60.098893705931502</v>
      </c>
      <c r="N1602">
        <v>60.8027053969044</v>
      </c>
      <c r="O1602">
        <v>60.274830599865098</v>
      </c>
      <c r="P1602">
        <v>-0.20364427697406901</v>
      </c>
      <c r="Q1602">
        <v>0.18303850189884699</v>
      </c>
      <c r="R1602">
        <v>0.86951514171969602</v>
      </c>
      <c r="S1602" t="s">
        <v>7913</v>
      </c>
      <c r="T1602" t="s">
        <v>12620</v>
      </c>
      <c r="U1602" t="s">
        <v>12620</v>
      </c>
      <c r="V1602" t="s">
        <v>12620</v>
      </c>
      <c r="W1602" t="s">
        <v>14186</v>
      </c>
      <c r="X1602">
        <v>8</v>
      </c>
      <c r="Y1602" t="s">
        <v>20403</v>
      </c>
      <c r="Z1602" t="s">
        <v>26549</v>
      </c>
      <c r="AA1602">
        <v>0.73847322951397887</v>
      </c>
      <c r="AB1602" t="str">
        <f>HYPERLINK("Melting_Curves/meltCurve_P09012_SNRPA.pdf", "Melting_Curves/meltCurve_P09012_SNRPA.pdf")</f>
        <v>Melting_Curves/meltCurve_P09012_SNRPA.pdf</v>
      </c>
    </row>
    <row r="1603" spans="1:28" x14ac:dyDescent="0.25">
      <c r="A1603" t="s">
        <v>1607</v>
      </c>
      <c r="B1603">
        <v>0.99987803227770999</v>
      </c>
      <c r="C1603">
        <v>0.86171066630178506</v>
      </c>
      <c r="D1603">
        <v>0.98685843476576796</v>
      </c>
      <c r="E1603">
        <v>0.87433599735200795</v>
      </c>
      <c r="F1603">
        <v>0.92119296095554903</v>
      </c>
      <c r="G1603">
        <v>0.75314658701813797</v>
      </c>
      <c r="H1603">
        <v>0.37151598927298102</v>
      </c>
      <c r="I1603">
        <v>0.15314541237916601</v>
      </c>
      <c r="J1603">
        <v>4.9463518324736701E-2</v>
      </c>
      <c r="K1603">
        <v>3.9727211465251898E-2</v>
      </c>
      <c r="L1603">
        <v>1355.71677618285</v>
      </c>
      <c r="M1603">
        <v>22.7829171543314</v>
      </c>
      <c r="N1603">
        <v>59.5058517831065</v>
      </c>
      <c r="O1603">
        <v>59.053076287299298</v>
      </c>
      <c r="P1603">
        <v>-9.6452876850362995E-2</v>
      </c>
      <c r="Q1603">
        <v>0</v>
      </c>
      <c r="R1603">
        <v>0.97672350308343303</v>
      </c>
      <c r="S1603" t="s">
        <v>7914</v>
      </c>
      <c r="T1603" t="s">
        <v>12620</v>
      </c>
      <c r="U1603" t="s">
        <v>12620</v>
      </c>
      <c r="V1603" t="s">
        <v>12620</v>
      </c>
      <c r="W1603" t="s">
        <v>14187</v>
      </c>
      <c r="X1603">
        <v>3</v>
      </c>
      <c r="Y1603" t="s">
        <v>20404</v>
      </c>
      <c r="Z1603" t="s">
        <v>26550</v>
      </c>
      <c r="AA1603">
        <v>0.658742961695027</v>
      </c>
      <c r="AB1603" t="str">
        <f>HYPERLINK("Melting_Curves/meltCurve_P09038_2_FGF2.pdf", "Melting_Curves/meltCurve_P09038_2_FGF2.pdf")</f>
        <v>Melting_Curves/meltCurve_P09038_2_FGF2.pdf</v>
      </c>
    </row>
    <row r="1604" spans="1:28" x14ac:dyDescent="0.25">
      <c r="A1604" t="s">
        <v>1608</v>
      </c>
      <c r="B1604">
        <v>0.99987803227770999</v>
      </c>
      <c r="C1604">
        <v>0.91207858191041502</v>
      </c>
      <c r="D1604">
        <v>0.950181055494835</v>
      </c>
      <c r="E1604">
        <v>0.84783134988108699</v>
      </c>
      <c r="F1604">
        <v>0.703799523605111</v>
      </c>
      <c r="G1604">
        <v>0.66279710306898199</v>
      </c>
      <c r="H1604">
        <v>0.50608841835148</v>
      </c>
      <c r="I1604">
        <v>0.477905020632586</v>
      </c>
      <c r="J1604">
        <v>0.48242996846942698</v>
      </c>
      <c r="K1604">
        <v>0.35515577537196902</v>
      </c>
      <c r="L1604">
        <v>479.53170499063202</v>
      </c>
      <c r="M1604">
        <v>8.39435113495189</v>
      </c>
      <c r="N1604">
        <v>62.686371119183796</v>
      </c>
      <c r="O1604">
        <v>54.159591238964801</v>
      </c>
      <c r="P1604">
        <v>-2.86018281984971E-2</v>
      </c>
      <c r="Q1604">
        <v>0.262550891513671</v>
      </c>
      <c r="R1604">
        <v>0.97480449340735897</v>
      </c>
      <c r="S1604" t="s">
        <v>7915</v>
      </c>
      <c r="T1604" t="s">
        <v>12620</v>
      </c>
      <c r="U1604" t="s">
        <v>12620</v>
      </c>
      <c r="V1604" t="s">
        <v>12620</v>
      </c>
      <c r="W1604" t="s">
        <v>14188</v>
      </c>
      <c r="X1604">
        <v>10</v>
      </c>
      <c r="Y1604" t="s">
        <v>20405</v>
      </c>
      <c r="Z1604" t="s">
        <v>26551</v>
      </c>
      <c r="AA1604">
        <v>0.6924409927185512</v>
      </c>
      <c r="AB1604" t="str">
        <f>HYPERLINK("Melting_Curves/meltCurve_P09110_ACAA1.pdf", "Melting_Curves/meltCurve_P09110_ACAA1.pdf")</f>
        <v>Melting_Curves/meltCurve_P09110_ACAA1.pdf</v>
      </c>
    </row>
    <row r="1605" spans="1:28" x14ac:dyDescent="0.25">
      <c r="A1605" t="s">
        <v>1609</v>
      </c>
      <c r="B1605">
        <v>0.99987803227770999</v>
      </c>
      <c r="C1605">
        <v>0.84417958875132404</v>
      </c>
      <c r="D1605">
        <v>0.65961134916946296</v>
      </c>
      <c r="E1605">
        <v>0.44805355038640898</v>
      </c>
      <c r="F1605">
        <v>0.20308003320116499</v>
      </c>
      <c r="G1605">
        <v>0.110501531011825</v>
      </c>
      <c r="H1605">
        <v>7.3006259945232493E-2</v>
      </c>
      <c r="I1605">
        <v>5.03577844362533E-2</v>
      </c>
      <c r="J1605">
        <v>6.5400846333430795E-2</v>
      </c>
      <c r="K1605">
        <v>4.3185142465474502E-2</v>
      </c>
      <c r="L1605">
        <v>708.99618529306804</v>
      </c>
      <c r="M1605">
        <v>14.6901784239828</v>
      </c>
      <c r="N1605">
        <v>48.4749572697433</v>
      </c>
      <c r="O1605">
        <v>47.395355947380203</v>
      </c>
      <c r="P1605">
        <v>-7.5088330183428406E-2</v>
      </c>
      <c r="Q1605">
        <v>3.10669412522478E-2</v>
      </c>
      <c r="R1605">
        <v>0.99364633742005004</v>
      </c>
      <c r="S1605" t="s">
        <v>7916</v>
      </c>
      <c r="T1605" t="s">
        <v>12620</v>
      </c>
      <c r="U1605" t="s">
        <v>12620</v>
      </c>
      <c r="V1605" t="s">
        <v>12620</v>
      </c>
      <c r="W1605" t="s">
        <v>14189</v>
      </c>
      <c r="X1605">
        <v>5</v>
      </c>
      <c r="Y1605" t="s">
        <v>20406</v>
      </c>
      <c r="Z1605" t="s">
        <v>26552</v>
      </c>
      <c r="AA1605">
        <v>0.32361059501153588</v>
      </c>
      <c r="AB1605" t="str">
        <f>HYPERLINK("Melting_Curves/meltCurve_P09132_SRP19.pdf", "Melting_Curves/meltCurve_P09132_SRP19.pdf")</f>
        <v>Melting_Curves/meltCurve_P09132_SRP19.pdf</v>
      </c>
    </row>
    <row r="1606" spans="1:28" x14ac:dyDescent="0.25">
      <c r="A1606" t="s">
        <v>1610</v>
      </c>
      <c r="B1606">
        <v>0.99987803227770999</v>
      </c>
      <c r="C1606">
        <v>0.89228320807689498</v>
      </c>
      <c r="D1606">
        <v>0.95856679229410202</v>
      </c>
      <c r="E1606">
        <v>1.1706465110781701</v>
      </c>
      <c r="F1606">
        <v>1.5471646958438301</v>
      </c>
      <c r="G1606">
        <v>1.2005383307128401</v>
      </c>
      <c r="H1606">
        <v>1.26078904912728</v>
      </c>
      <c r="I1606">
        <v>1.19833704254466</v>
      </c>
      <c r="J1606">
        <v>1.3905037431909899</v>
      </c>
      <c r="K1606">
        <v>1.2000384605018699</v>
      </c>
      <c r="L1606">
        <v>12485.9777245272</v>
      </c>
      <c r="M1606">
        <v>250</v>
      </c>
      <c r="O1606">
        <v>49.940719294210702</v>
      </c>
      <c r="P1606">
        <v>0.37489681945640901</v>
      </c>
      <c r="Q1606">
        <v>1.2995618420391499</v>
      </c>
      <c r="R1606">
        <v>0.67430427852222297</v>
      </c>
      <c r="S1606" t="s">
        <v>7917</v>
      </c>
      <c r="T1606" t="s">
        <v>12620</v>
      </c>
      <c r="U1606" t="s">
        <v>12620</v>
      </c>
      <c r="V1606" t="s">
        <v>12620</v>
      </c>
      <c r="W1606" t="s">
        <v>14190</v>
      </c>
      <c r="X1606">
        <v>4</v>
      </c>
      <c r="Y1606" t="s">
        <v>20407</v>
      </c>
      <c r="Z1606" t="s">
        <v>26553</v>
      </c>
      <c r="AA1606">
        <v>1.2002417096844531</v>
      </c>
      <c r="AB1606" t="str">
        <f>HYPERLINK("Melting_Curves/meltCurve_P09234_SNRPC.pdf", "Melting_Curves/meltCurve_P09234_SNRPC.pdf")</f>
        <v>Melting_Curves/meltCurve_P09234_SNRPC.pdf</v>
      </c>
    </row>
    <row r="1607" spans="1:28" x14ac:dyDescent="0.25">
      <c r="A1607" t="s">
        <v>1611</v>
      </c>
      <c r="B1607">
        <v>0.99987803227770999</v>
      </c>
      <c r="C1607">
        <v>0.86831920360780601</v>
      </c>
      <c r="D1607">
        <v>0.97469567206862695</v>
      </c>
      <c r="E1607">
        <v>0.89223689849193299</v>
      </c>
      <c r="F1607">
        <v>1.06521860461782</v>
      </c>
      <c r="G1607">
        <v>0.89086577758033403</v>
      </c>
      <c r="H1607">
        <v>0.78893907543706998</v>
      </c>
      <c r="I1607">
        <v>0.60740558266721101</v>
      </c>
      <c r="J1607">
        <v>0.48776328936334701</v>
      </c>
      <c r="K1607">
        <v>0.37615556723947502</v>
      </c>
      <c r="L1607">
        <v>1102.11263971522</v>
      </c>
      <c r="M1607">
        <v>17.1988310617111</v>
      </c>
      <c r="N1607">
        <v>66.513761407018393</v>
      </c>
      <c r="O1607">
        <v>63.2331644047174</v>
      </c>
      <c r="P1607">
        <v>-5.2125037212423897E-2</v>
      </c>
      <c r="Q1607">
        <v>0.233474278491142</v>
      </c>
      <c r="R1607">
        <v>0.922568343906084</v>
      </c>
      <c r="S1607" t="s">
        <v>7918</v>
      </c>
      <c r="T1607" t="s">
        <v>12620</v>
      </c>
      <c r="U1607" t="s">
        <v>12620</v>
      </c>
      <c r="V1607" t="s">
        <v>12620</v>
      </c>
      <c r="W1607" t="s">
        <v>14191</v>
      </c>
      <c r="X1607">
        <v>10</v>
      </c>
      <c r="Y1607" t="s">
        <v>20408</v>
      </c>
      <c r="Z1607" t="s">
        <v>26554</v>
      </c>
      <c r="AA1607">
        <v>0.84002173630799581</v>
      </c>
      <c r="AB1607" t="str">
        <f>HYPERLINK("Melting_Curves/meltCurve_P09382_LGALS1.pdf", "Melting_Curves/meltCurve_P09382_LGALS1.pdf")</f>
        <v>Melting_Curves/meltCurve_P09382_LGALS1.pdf</v>
      </c>
    </row>
    <row r="1608" spans="1:28" x14ac:dyDescent="0.25">
      <c r="A1608" t="s">
        <v>1612</v>
      </c>
      <c r="B1608">
        <v>0.99987803227770999</v>
      </c>
      <c r="C1608">
        <v>0.982859478491796</v>
      </c>
      <c r="D1608">
        <v>1.08513161530853</v>
      </c>
      <c r="E1608">
        <v>0.98558789445639094</v>
      </c>
      <c r="F1608">
        <v>0.610418927534223</v>
      </c>
      <c r="G1608">
        <v>0.117919000860205</v>
      </c>
      <c r="H1608">
        <v>7.18121471425546E-2</v>
      </c>
      <c r="I1608">
        <v>5.82155907493929E-2</v>
      </c>
      <c r="J1608">
        <v>4.3764937678415397E-2</v>
      </c>
      <c r="K1608">
        <v>2.7580220589606901E-2</v>
      </c>
      <c r="L1608">
        <v>2469.7512828718</v>
      </c>
      <c r="M1608">
        <v>46.208267852516698</v>
      </c>
      <c r="N1608">
        <v>53.576842203677202</v>
      </c>
      <c r="O1608">
        <v>53.348436425455297</v>
      </c>
      <c r="P1608">
        <v>-0.20517492602405299</v>
      </c>
      <c r="Q1608">
        <v>5.2485648183836497E-2</v>
      </c>
      <c r="R1608">
        <v>0.99534929539857098</v>
      </c>
      <c r="S1608" t="s">
        <v>7919</v>
      </c>
      <c r="T1608" t="s">
        <v>12620</v>
      </c>
      <c r="U1608" t="s">
        <v>12620</v>
      </c>
      <c r="V1608" t="s">
        <v>12620</v>
      </c>
      <c r="W1608" t="s">
        <v>14192</v>
      </c>
      <c r="X1608">
        <v>10</v>
      </c>
      <c r="Y1608" t="s">
        <v>20409</v>
      </c>
      <c r="Z1608" t="s">
        <v>26555</v>
      </c>
      <c r="AA1608">
        <v>0.47984967414376078</v>
      </c>
      <c r="AB1608" t="str">
        <f>HYPERLINK("Melting_Curves/meltCurve_P09417_QDPR.pdf", "Melting_Curves/meltCurve_P09417_QDPR.pdf")</f>
        <v>Melting_Curves/meltCurve_P09417_QDPR.pdf</v>
      </c>
    </row>
    <row r="1609" spans="1:28" x14ac:dyDescent="0.25">
      <c r="A1609" t="s">
        <v>1613</v>
      </c>
      <c r="B1609">
        <v>0.99987803227770999</v>
      </c>
      <c r="C1609">
        <v>0.76234497482137797</v>
      </c>
      <c r="D1609">
        <v>0.989764423931347</v>
      </c>
      <c r="E1609">
        <v>0.82606284327680901</v>
      </c>
      <c r="F1609">
        <v>0.984759448778317</v>
      </c>
      <c r="G1609">
        <v>0.71698726823706804</v>
      </c>
      <c r="H1609">
        <v>0.72200571402059999</v>
      </c>
      <c r="I1609">
        <v>0.61644740301295098</v>
      </c>
      <c r="J1609">
        <v>0.75598385162366899</v>
      </c>
      <c r="K1609">
        <v>0.63285512349346995</v>
      </c>
      <c r="L1609">
        <v>221.77598870108</v>
      </c>
      <c r="M1609">
        <v>2.5937656668242401</v>
      </c>
      <c r="O1609">
        <v>58.765363626472698</v>
      </c>
      <c r="P1609">
        <v>-1.1545997315098699E-2</v>
      </c>
      <c r="Q1609">
        <v>0</v>
      </c>
      <c r="R1609">
        <v>0.56036455532623797</v>
      </c>
      <c r="S1609" t="s">
        <v>7920</v>
      </c>
      <c r="T1609" t="s">
        <v>12620</v>
      </c>
      <c r="U1609" t="s">
        <v>12620</v>
      </c>
      <c r="V1609" t="s">
        <v>12620</v>
      </c>
      <c r="W1609" t="s">
        <v>14193</v>
      </c>
      <c r="X1609">
        <v>21</v>
      </c>
      <c r="Y1609" t="s">
        <v>20410</v>
      </c>
      <c r="Z1609" t="s">
        <v>26556</v>
      </c>
      <c r="AA1609">
        <v>0.80405350506277495</v>
      </c>
      <c r="AB1609" t="str">
        <f>HYPERLINK("Melting_Curves/meltCurve_P09429_HMGB1.pdf", "Melting_Curves/meltCurve_P09429_HMGB1.pdf")</f>
        <v>Melting_Curves/meltCurve_P09429_HMGB1.pdf</v>
      </c>
    </row>
    <row r="1610" spans="1:28" x14ac:dyDescent="0.25">
      <c r="A1610" t="s">
        <v>1614</v>
      </c>
      <c r="B1610">
        <v>0.99987803227770999</v>
      </c>
      <c r="C1610">
        <v>0.82997502913584498</v>
      </c>
      <c r="D1610">
        <v>0.87376930477195602</v>
      </c>
      <c r="E1610">
        <v>0.70801332915336501</v>
      </c>
      <c r="F1610">
        <v>0.66084774877062502</v>
      </c>
      <c r="G1610">
        <v>0.20041560449614701</v>
      </c>
      <c r="H1610">
        <v>0.148192447269092</v>
      </c>
      <c r="I1610">
        <v>0.19699799176424401</v>
      </c>
      <c r="J1610">
        <v>6.7607893130650798E-2</v>
      </c>
      <c r="K1610">
        <v>4.7317485739690003E-2</v>
      </c>
      <c r="L1610">
        <v>662.75855563877803</v>
      </c>
      <c r="M1610">
        <v>12.364531617642401</v>
      </c>
      <c r="N1610">
        <v>53.6015893450409</v>
      </c>
      <c r="O1610">
        <v>52.257415082844403</v>
      </c>
      <c r="P1610">
        <v>-5.9164762687816397E-2</v>
      </c>
      <c r="Q1610">
        <v>0</v>
      </c>
      <c r="R1610">
        <v>0.95642641908430803</v>
      </c>
      <c r="S1610" t="s">
        <v>7921</v>
      </c>
      <c r="T1610" t="s">
        <v>12620</v>
      </c>
      <c r="U1610" t="s">
        <v>12620</v>
      </c>
      <c r="V1610" t="s">
        <v>12620</v>
      </c>
      <c r="W1610" t="s">
        <v>14194</v>
      </c>
      <c r="X1610">
        <v>1</v>
      </c>
      <c r="Y1610" t="s">
        <v>20411</v>
      </c>
      <c r="Z1610" t="s">
        <v>26557</v>
      </c>
      <c r="AA1610">
        <v>0.47965639498028628</v>
      </c>
      <c r="AB1610" t="str">
        <f>HYPERLINK("Melting_Curves/meltCurve_P09455_RBP1.pdf", "Melting_Curves/meltCurve_P09455_RBP1.pdf")</f>
        <v>Melting_Curves/meltCurve_P09455_RBP1.pdf</v>
      </c>
    </row>
    <row r="1611" spans="1:28" x14ac:dyDescent="0.25">
      <c r="A1611" t="s">
        <v>1615</v>
      </c>
      <c r="B1611">
        <v>0.99987803227770999</v>
      </c>
      <c r="C1611">
        <v>0.97436633700363195</v>
      </c>
      <c r="D1611">
        <v>1.1250759748052801</v>
      </c>
      <c r="E1611">
        <v>1.1505381637741601</v>
      </c>
      <c r="F1611">
        <v>1.1936735572308199</v>
      </c>
      <c r="G1611">
        <v>1.1195271194038099</v>
      </c>
      <c r="H1611">
        <v>1.2022733970613799</v>
      </c>
      <c r="I1611">
        <v>1.26116396738049</v>
      </c>
      <c r="J1611">
        <v>1.27863052096334</v>
      </c>
      <c r="K1611">
        <v>1.26108370435456</v>
      </c>
      <c r="L1611">
        <v>432.70247082232902</v>
      </c>
      <c r="M1611">
        <v>8.3234224000664199</v>
      </c>
      <c r="O1611">
        <v>49.244783587279002</v>
      </c>
      <c r="P1611">
        <v>1.23539352792856E-2</v>
      </c>
      <c r="Q1611">
        <v>1.29207902489033</v>
      </c>
      <c r="R1611">
        <v>0.82505552141046101</v>
      </c>
      <c r="S1611" t="s">
        <v>7922</v>
      </c>
      <c r="T1611" t="s">
        <v>12620</v>
      </c>
      <c r="U1611" t="s">
        <v>12620</v>
      </c>
      <c r="V1611" t="s">
        <v>12620</v>
      </c>
      <c r="W1611" t="s">
        <v>14195</v>
      </c>
      <c r="X1611">
        <v>50</v>
      </c>
      <c r="Y1611" t="s">
        <v>19550</v>
      </c>
      <c r="Z1611" t="s">
        <v>26558</v>
      </c>
      <c r="AA1611">
        <v>1.162067679914552</v>
      </c>
      <c r="AB1611" t="str">
        <f>HYPERLINK("Melting_Curves/meltCurve_P09493_10_TPM1.pdf", "Melting_Curves/meltCurve_P09493_10_TPM1.pdf")</f>
        <v>Melting_Curves/meltCurve_P09493_10_TPM1.pdf</v>
      </c>
    </row>
    <row r="1612" spans="1:28" x14ac:dyDescent="0.25">
      <c r="A1612" t="s">
        <v>1616</v>
      </c>
      <c r="B1612">
        <v>0.99987803227770999</v>
      </c>
      <c r="C1612">
        <v>0.89509328726031301</v>
      </c>
      <c r="D1612">
        <v>1.1007208916034199</v>
      </c>
      <c r="E1612">
        <v>1.0051490454251699</v>
      </c>
      <c r="F1612">
        <v>1.17329468903529</v>
      </c>
      <c r="G1612">
        <v>0.94500644220306496</v>
      </c>
      <c r="H1612">
        <v>1.08255156672262</v>
      </c>
      <c r="I1612">
        <v>1.01344324304617</v>
      </c>
      <c r="J1612">
        <v>1.5492668270626</v>
      </c>
      <c r="K1612">
        <v>1.41872136704865</v>
      </c>
      <c r="L1612">
        <v>15000</v>
      </c>
      <c r="M1612">
        <v>230.95029124676699</v>
      </c>
      <c r="O1612">
        <v>64.944171144576401</v>
      </c>
      <c r="P1612">
        <v>0.43041978361977401</v>
      </c>
      <c r="Q1612">
        <v>1.48414324808287</v>
      </c>
      <c r="R1612">
        <v>0.82518190128491598</v>
      </c>
      <c r="S1612" t="s">
        <v>7923</v>
      </c>
      <c r="T1612" t="s">
        <v>12620</v>
      </c>
      <c r="U1612" t="s">
        <v>12620</v>
      </c>
      <c r="V1612" t="s">
        <v>12620</v>
      </c>
      <c r="W1612" t="s">
        <v>14196</v>
      </c>
      <c r="X1612">
        <v>52</v>
      </c>
      <c r="Y1612" t="s">
        <v>19550</v>
      </c>
      <c r="Z1612" t="s">
        <v>26559</v>
      </c>
      <c r="AA1612">
        <v>1.081448252478002</v>
      </c>
      <c r="AB1612" t="str">
        <f>HYPERLINK("Melting_Curves/meltCurve_P09493_3_TPM1.pdf", "Melting_Curves/meltCurve_P09493_3_TPM1.pdf")</f>
        <v>Melting_Curves/meltCurve_P09493_3_TPM1.pdf</v>
      </c>
    </row>
    <row r="1613" spans="1:28" x14ac:dyDescent="0.25">
      <c r="A1613" t="s">
        <v>1617</v>
      </c>
      <c r="B1613">
        <v>0.99987803227770999</v>
      </c>
      <c r="C1613">
        <v>0.97767584176081201</v>
      </c>
      <c r="D1613">
        <v>1.58570452997455</v>
      </c>
      <c r="E1613">
        <v>1.1565279359123599</v>
      </c>
      <c r="F1613">
        <v>1.31619258619738</v>
      </c>
      <c r="G1613">
        <v>1.16220820823916</v>
      </c>
      <c r="H1613">
        <v>1.1983624692000101</v>
      </c>
      <c r="I1613">
        <v>1.36699493336608</v>
      </c>
      <c r="J1613">
        <v>1.6756479306032399</v>
      </c>
      <c r="K1613">
        <v>1.3294098045821301</v>
      </c>
      <c r="L1613">
        <v>11048.2724413793</v>
      </c>
      <c r="M1613">
        <v>250</v>
      </c>
      <c r="O1613">
        <v>44.190261627158002</v>
      </c>
      <c r="P1613">
        <v>0.49341799983972401</v>
      </c>
      <c r="Q1613">
        <v>1.34886832824472</v>
      </c>
      <c r="R1613">
        <v>0.44383293236867699</v>
      </c>
      <c r="S1613" t="s">
        <v>7924</v>
      </c>
      <c r="T1613" t="s">
        <v>12620</v>
      </c>
      <c r="U1613" t="s">
        <v>12620</v>
      </c>
      <c r="V1613" t="s">
        <v>12620</v>
      </c>
      <c r="W1613" t="s">
        <v>14197</v>
      </c>
      <c r="X1613">
        <v>47</v>
      </c>
      <c r="Y1613" t="s">
        <v>19550</v>
      </c>
      <c r="Z1613" t="s">
        <v>26560</v>
      </c>
      <c r="AA1613">
        <v>1.3000800634279239</v>
      </c>
      <c r="AB1613" t="str">
        <f>HYPERLINK("Melting_Curves/meltCurve_P09493_9_TPM1.pdf", "Melting_Curves/meltCurve_P09493_9_TPM1.pdf")</f>
        <v>Melting_Curves/meltCurve_P09493_9_TPM1.pdf</v>
      </c>
    </row>
    <row r="1614" spans="1:28" x14ac:dyDescent="0.25">
      <c r="A1614" t="s">
        <v>1618</v>
      </c>
      <c r="B1614">
        <v>0.99987803227770999</v>
      </c>
      <c r="C1614">
        <v>1.1660074123520501</v>
      </c>
      <c r="D1614">
        <v>0.87417757069103696</v>
      </c>
      <c r="E1614">
        <v>1.2552934285138899</v>
      </c>
      <c r="F1614">
        <v>1.64186856849116</v>
      </c>
      <c r="G1614">
        <v>1.0820573566399601</v>
      </c>
      <c r="H1614">
        <v>1.3854071859626</v>
      </c>
      <c r="I1614">
        <v>1.4134628172538199</v>
      </c>
      <c r="J1614">
        <v>1.6568404905866001</v>
      </c>
      <c r="K1614">
        <v>1.4180570934140799</v>
      </c>
      <c r="L1614">
        <v>12481.8714288627</v>
      </c>
      <c r="M1614">
        <v>250</v>
      </c>
      <c r="O1614">
        <v>49.924315563797698</v>
      </c>
      <c r="P1614">
        <v>0.54200681952580498</v>
      </c>
      <c r="Q1614">
        <v>1.43294889737308</v>
      </c>
      <c r="R1614">
        <v>0.572820722707157</v>
      </c>
      <c r="S1614" t="s">
        <v>7925</v>
      </c>
      <c r="T1614" t="s">
        <v>12620</v>
      </c>
      <c r="U1614" t="s">
        <v>12620</v>
      </c>
      <c r="V1614" t="s">
        <v>12620</v>
      </c>
      <c r="W1614" t="s">
        <v>14198</v>
      </c>
      <c r="X1614">
        <v>14</v>
      </c>
      <c r="Y1614" t="s">
        <v>20412</v>
      </c>
      <c r="Z1614" t="s">
        <v>26561</v>
      </c>
      <c r="AA1614">
        <v>1.2896411617355641</v>
      </c>
      <c r="AB1614" t="str">
        <f>HYPERLINK("Melting_Curves/meltCurve_P09496_2_CLTA.pdf", "Melting_Curves/meltCurve_P09496_2_CLTA.pdf")</f>
        <v>Melting_Curves/meltCurve_P09496_2_CLTA.pdf</v>
      </c>
    </row>
    <row r="1615" spans="1:28" x14ac:dyDescent="0.25">
      <c r="A1615" t="s">
        <v>1619</v>
      </c>
      <c r="B1615">
        <v>0.99987803227770999</v>
      </c>
      <c r="C1615">
        <v>1.15964684062249</v>
      </c>
      <c r="D1615">
        <v>0.85308356361666304</v>
      </c>
      <c r="E1615">
        <v>1.26608140800747</v>
      </c>
      <c r="F1615">
        <v>1.7933641539290499</v>
      </c>
      <c r="G1615">
        <v>1.3945446015646701</v>
      </c>
      <c r="H1615">
        <v>1.72290011600992</v>
      </c>
      <c r="I1615">
        <v>1.5537135840430301</v>
      </c>
      <c r="J1615">
        <v>1.8784560324984101</v>
      </c>
      <c r="K1615">
        <v>1.5831412371207501</v>
      </c>
      <c r="L1615">
        <v>12493.558259924999</v>
      </c>
      <c r="M1615">
        <v>250</v>
      </c>
      <c r="O1615">
        <v>49.971036483840997</v>
      </c>
      <c r="P1615">
        <v>0.62536227283561097</v>
      </c>
      <c r="Q1615">
        <v>1.5</v>
      </c>
      <c r="R1615">
        <v>0.67749358148536698</v>
      </c>
      <c r="S1615" t="s">
        <v>7926</v>
      </c>
      <c r="T1615" t="s">
        <v>12620</v>
      </c>
      <c r="U1615" t="s">
        <v>12620</v>
      </c>
      <c r="V1615" t="s">
        <v>12620</v>
      </c>
      <c r="W1615" t="s">
        <v>14199</v>
      </c>
      <c r="X1615">
        <v>14</v>
      </c>
      <c r="Y1615" t="s">
        <v>20413</v>
      </c>
      <c r="Z1615" t="s">
        <v>26562</v>
      </c>
      <c r="AA1615">
        <v>1.3337189306710671</v>
      </c>
      <c r="AB1615" t="str">
        <f>HYPERLINK("Melting_Curves/meltCurve_P09497_2_CLTB.pdf", "Melting_Curves/meltCurve_P09497_2_CLTB.pdf")</f>
        <v>Melting_Curves/meltCurve_P09497_2_CLTB.pdf</v>
      </c>
    </row>
    <row r="1616" spans="1:28" x14ac:dyDescent="0.25">
      <c r="A1616" t="s">
        <v>1620</v>
      </c>
      <c r="B1616">
        <v>0.99987803227770999</v>
      </c>
      <c r="C1616">
        <v>0.65072281330621795</v>
      </c>
      <c r="D1616">
        <v>1.0275988711786199</v>
      </c>
      <c r="E1616">
        <v>0.66912088430301297</v>
      </c>
      <c r="F1616">
        <v>0.14825678336345399</v>
      </c>
      <c r="G1616">
        <v>9.8303532949509706E-2</v>
      </c>
      <c r="H1616">
        <v>6.7118618397593005E-2</v>
      </c>
      <c r="I1616">
        <v>5.8797520014473498E-2</v>
      </c>
      <c r="J1616">
        <v>4.3118249228497697E-2</v>
      </c>
      <c r="K1616">
        <v>2.9455881366063402E-2</v>
      </c>
      <c r="L1616">
        <v>2520.9698976703698</v>
      </c>
      <c r="M1616">
        <v>49.801708193769798</v>
      </c>
      <c r="N1616">
        <v>50.746608872663799</v>
      </c>
      <c r="O1616">
        <v>50.538729500767403</v>
      </c>
      <c r="P1616">
        <v>-0.231978161172536</v>
      </c>
      <c r="Q1616">
        <v>5.83558817543995E-2</v>
      </c>
      <c r="R1616">
        <v>0.918010608638688</v>
      </c>
      <c r="S1616" t="s">
        <v>7927</v>
      </c>
      <c r="T1616" t="s">
        <v>12620</v>
      </c>
      <c r="U1616" t="s">
        <v>12620</v>
      </c>
      <c r="V1616" t="s">
        <v>12620</v>
      </c>
      <c r="W1616" t="s">
        <v>14200</v>
      </c>
      <c r="X1616">
        <v>38</v>
      </c>
      <c r="Y1616" t="s">
        <v>18962</v>
      </c>
      <c r="Z1616" t="s">
        <v>26563</v>
      </c>
      <c r="AA1616">
        <v>0.3938219981339332</v>
      </c>
      <c r="AB1616" t="str">
        <f>HYPERLINK("Melting_Curves/meltCurve_P09525_ANXA4.pdf", "Melting_Curves/meltCurve_P09525_ANXA4.pdf")</f>
        <v>Melting_Curves/meltCurve_P09525_ANXA4.pdf</v>
      </c>
    </row>
    <row r="1617" spans="1:28" x14ac:dyDescent="0.25">
      <c r="A1617" t="s">
        <v>1621</v>
      </c>
      <c r="B1617">
        <v>0.99987803227770999</v>
      </c>
      <c r="C1617">
        <v>0.81228913313847995</v>
      </c>
      <c r="D1617">
        <v>0.57957098712282495</v>
      </c>
      <c r="E1617">
        <v>0.56830612746787601</v>
      </c>
      <c r="F1617">
        <v>0.423695820778975</v>
      </c>
      <c r="G1617">
        <v>0.209849684733562</v>
      </c>
      <c r="H1617">
        <v>0.10465762384640701</v>
      </c>
      <c r="I1617">
        <v>8.6054935829292106E-2</v>
      </c>
      <c r="J1617">
        <v>7.0323200374192596E-2</v>
      </c>
      <c r="K1617">
        <v>4.6788402747206997E-2</v>
      </c>
      <c r="L1617">
        <v>488.58678524451602</v>
      </c>
      <c r="M1617">
        <v>9.7876871940330297</v>
      </c>
      <c r="N1617">
        <v>49.918512943102201</v>
      </c>
      <c r="O1617">
        <v>47.968541698103003</v>
      </c>
      <c r="P1617">
        <v>-5.10378999062545E-2</v>
      </c>
      <c r="Q1617">
        <v>0</v>
      </c>
      <c r="R1617">
        <v>0.96911362203118401</v>
      </c>
      <c r="S1617" t="s">
        <v>7928</v>
      </c>
      <c r="T1617" t="s">
        <v>12620</v>
      </c>
      <c r="U1617" t="s">
        <v>12620</v>
      </c>
      <c r="V1617" t="s">
        <v>12620</v>
      </c>
      <c r="W1617" t="s">
        <v>14201</v>
      </c>
      <c r="X1617">
        <v>17</v>
      </c>
      <c r="Y1617" t="s">
        <v>20414</v>
      </c>
      <c r="Z1617" t="s">
        <v>26564</v>
      </c>
      <c r="AA1617">
        <v>0.3774708707182734</v>
      </c>
      <c r="AB1617" t="str">
        <f>HYPERLINK("Melting_Curves/meltCurve_P09543_2_CNP.pdf", "Melting_Curves/meltCurve_P09543_2_CNP.pdf")</f>
        <v>Melting_Curves/meltCurve_P09543_2_CNP.pdf</v>
      </c>
    </row>
    <row r="1618" spans="1:28" x14ac:dyDescent="0.25">
      <c r="A1618" t="s">
        <v>1622</v>
      </c>
      <c r="B1618">
        <v>0.99987803227770999</v>
      </c>
      <c r="C1618">
        <v>0.97028628477128498</v>
      </c>
      <c r="D1618">
        <v>1.0133390687188399</v>
      </c>
      <c r="E1618">
        <v>0.93812256529480897</v>
      </c>
      <c r="F1618">
        <v>0.91983945202014505</v>
      </c>
      <c r="G1618">
        <v>0.77082784560222295</v>
      </c>
      <c r="H1618">
        <v>0.51252019683517203</v>
      </c>
      <c r="I1618">
        <v>0.35797746860214302</v>
      </c>
      <c r="J1618">
        <v>0.32250199080404701</v>
      </c>
      <c r="K1618">
        <v>0.23617875061535501</v>
      </c>
      <c r="L1618">
        <v>1052.9886725425499</v>
      </c>
      <c r="M1618">
        <v>17.650279835784801</v>
      </c>
      <c r="N1618">
        <v>61.3353950989544</v>
      </c>
      <c r="O1618">
        <v>58.908463977596902</v>
      </c>
      <c r="P1618">
        <v>-6.0571830244396697E-2</v>
      </c>
      <c r="Q1618">
        <v>0.19140013585721499</v>
      </c>
      <c r="R1618">
        <v>0.99525977617619499</v>
      </c>
      <c r="S1618" t="s">
        <v>7929</v>
      </c>
      <c r="T1618" t="s">
        <v>12620</v>
      </c>
      <c r="U1618" t="s">
        <v>12620</v>
      </c>
      <c r="V1618" t="s">
        <v>12620</v>
      </c>
      <c r="W1618" t="s">
        <v>14202</v>
      </c>
      <c r="X1618">
        <v>15</v>
      </c>
      <c r="Y1618" t="s">
        <v>20415</v>
      </c>
      <c r="Z1618" t="s">
        <v>26565</v>
      </c>
      <c r="AA1618">
        <v>0.72862239417035213</v>
      </c>
      <c r="AB1618" t="str">
        <f>HYPERLINK("Melting_Curves/meltCurve_P09601_HMOX1.pdf", "Melting_Curves/meltCurve_P09601_HMOX1.pdf")</f>
        <v>Melting_Curves/meltCurve_P09601_HMOX1.pdf</v>
      </c>
    </row>
    <row r="1619" spans="1:28" x14ac:dyDescent="0.25">
      <c r="A1619" t="s">
        <v>1623</v>
      </c>
      <c r="B1619">
        <v>0.99987803227770999</v>
      </c>
      <c r="C1619">
        <v>0.97060094545511799</v>
      </c>
      <c r="D1619">
        <v>0.86797434791286998</v>
      </c>
      <c r="E1619">
        <v>1.0059387427452799</v>
      </c>
      <c r="F1619">
        <v>0.957774329885548</v>
      </c>
      <c r="G1619">
        <v>1.0619666338456</v>
      </c>
      <c r="H1619">
        <v>1.2420617293854801</v>
      </c>
      <c r="I1619">
        <v>0.97665965017467005</v>
      </c>
      <c r="J1619">
        <v>0.98710232670137699</v>
      </c>
      <c r="K1619">
        <v>0.70273092669943704</v>
      </c>
      <c r="L1619">
        <v>5333.9666486532296</v>
      </c>
      <c r="M1619">
        <v>75.339065341885401</v>
      </c>
      <c r="Q1619">
        <v>0</v>
      </c>
      <c r="R1619">
        <v>0.500902277844543</v>
      </c>
      <c r="S1619" t="s">
        <v>7930</v>
      </c>
      <c r="T1619" t="s">
        <v>12620</v>
      </c>
      <c r="U1619" t="s">
        <v>12620</v>
      </c>
      <c r="V1619" t="s">
        <v>12620</v>
      </c>
      <c r="W1619" t="s">
        <v>14203</v>
      </c>
      <c r="X1619">
        <v>26</v>
      </c>
      <c r="Y1619" t="s">
        <v>20416</v>
      </c>
      <c r="Z1619" t="s">
        <v>26566</v>
      </c>
      <c r="AA1619">
        <v>0.98949584524519052</v>
      </c>
      <c r="AB1619" t="str">
        <f>HYPERLINK("Melting_Curves/meltCurve_P09622_DLD.pdf", "Melting_Curves/meltCurve_P09622_DLD.pdf")</f>
        <v>Melting_Curves/meltCurve_P09622_DLD.pdf</v>
      </c>
    </row>
    <row r="1620" spans="1:28" x14ac:dyDescent="0.25">
      <c r="A1620" t="s">
        <v>1624</v>
      </c>
      <c r="B1620">
        <v>0.99987803227770999</v>
      </c>
      <c r="C1620">
        <v>1.0636028402250199</v>
      </c>
      <c r="D1620">
        <v>0.90941701870323799</v>
      </c>
      <c r="E1620">
        <v>1.5994296507817001</v>
      </c>
      <c r="F1620">
        <v>1.28595695363991</v>
      </c>
      <c r="G1620">
        <v>1.17327955500125</v>
      </c>
      <c r="H1620">
        <v>0.36401518730551602</v>
      </c>
      <c r="I1620">
        <v>0.23179761423277401</v>
      </c>
      <c r="J1620">
        <v>0.17071634897781199</v>
      </c>
      <c r="K1620">
        <v>0.140645234736196</v>
      </c>
      <c r="L1620">
        <v>10795.237442121699</v>
      </c>
      <c r="M1620">
        <v>178.21659582844501</v>
      </c>
      <c r="N1620">
        <v>60.726854627932298</v>
      </c>
      <c r="O1620">
        <v>60.566066463196201</v>
      </c>
      <c r="P1620">
        <v>-0.60246243506279995</v>
      </c>
      <c r="Q1620">
        <v>0.18102397863755801</v>
      </c>
      <c r="R1620">
        <v>0.80330057215372297</v>
      </c>
      <c r="S1620" t="s">
        <v>7931</v>
      </c>
      <c r="T1620" t="s">
        <v>12620</v>
      </c>
      <c r="U1620" t="s">
        <v>12620</v>
      </c>
      <c r="V1620" t="s">
        <v>12620</v>
      </c>
      <c r="W1620" t="s">
        <v>14204</v>
      </c>
      <c r="X1620">
        <v>15</v>
      </c>
      <c r="Y1620" t="s">
        <v>20417</v>
      </c>
      <c r="Z1620" t="s">
        <v>26567</v>
      </c>
      <c r="AA1620">
        <v>0.74284072366923359</v>
      </c>
      <c r="AB1620" t="str">
        <f>HYPERLINK("Melting_Curves/meltCurve_P09661_SNRPA1.pdf", "Melting_Curves/meltCurve_P09661_SNRPA1.pdf")</f>
        <v>Melting_Curves/meltCurve_P09661_SNRPA1.pdf</v>
      </c>
    </row>
    <row r="1621" spans="1:28" x14ac:dyDescent="0.25">
      <c r="A1621" t="s">
        <v>1625</v>
      </c>
      <c r="B1621">
        <v>0.99987803227770999</v>
      </c>
      <c r="C1621">
        <v>0.96807810035441699</v>
      </c>
      <c r="D1621">
        <v>0.99696197810071097</v>
      </c>
      <c r="E1621">
        <v>0.95401499640465104</v>
      </c>
      <c r="F1621">
        <v>1.0052882060925199</v>
      </c>
      <c r="G1621">
        <v>0.934410374595392</v>
      </c>
      <c r="H1621">
        <v>0.81570200798995995</v>
      </c>
      <c r="I1621">
        <v>0.73437531808990397</v>
      </c>
      <c r="J1621">
        <v>0.52272085004011404</v>
      </c>
      <c r="K1621">
        <v>0.29431867758307401</v>
      </c>
      <c r="L1621">
        <v>1181.1931162444801</v>
      </c>
      <c r="M1621">
        <v>17.6117196493806</v>
      </c>
      <c r="N1621">
        <v>67.068586384891006</v>
      </c>
      <c r="O1621">
        <v>66.221814738051407</v>
      </c>
      <c r="P1621">
        <v>-6.64911882300529E-2</v>
      </c>
      <c r="Q1621">
        <v>0</v>
      </c>
      <c r="R1621">
        <v>0.98585219320935502</v>
      </c>
      <c r="S1621" t="s">
        <v>7932</v>
      </c>
      <c r="T1621" t="s">
        <v>12620</v>
      </c>
      <c r="U1621" t="s">
        <v>12620</v>
      </c>
      <c r="V1621" t="s">
        <v>12620</v>
      </c>
      <c r="W1621" t="s">
        <v>14205</v>
      </c>
      <c r="X1621">
        <v>2</v>
      </c>
      <c r="Y1621" t="s">
        <v>20418</v>
      </c>
      <c r="Z1621" t="s">
        <v>26568</v>
      </c>
      <c r="AA1621">
        <v>0.86427601350749228</v>
      </c>
      <c r="AB1621" t="str">
        <f>HYPERLINK("Melting_Curves/meltCurve_P09668_CTSH.pdf", "Melting_Curves/meltCurve_P09668_CTSH.pdf")</f>
        <v>Melting_Curves/meltCurve_P09668_CTSH.pdf</v>
      </c>
    </row>
    <row r="1622" spans="1:28" x14ac:dyDescent="0.25">
      <c r="A1622" t="s">
        <v>1626</v>
      </c>
      <c r="B1622">
        <v>0.99987803227770999</v>
      </c>
      <c r="C1622">
        <v>0.74501814363518903</v>
      </c>
      <c r="D1622">
        <v>0.80381660415752398</v>
      </c>
      <c r="E1622">
        <v>0.43828924805006197</v>
      </c>
      <c r="F1622">
        <v>0.20724582371616401</v>
      </c>
      <c r="G1622">
        <v>0.14461133667854001</v>
      </c>
      <c r="H1622">
        <v>0.10024049123262101</v>
      </c>
      <c r="I1622">
        <v>7.8927059523291404E-2</v>
      </c>
      <c r="J1622">
        <v>6.4198335433797493E-2</v>
      </c>
      <c r="K1622">
        <v>4.7944519821051801E-2</v>
      </c>
      <c r="L1622">
        <v>710.36086503523802</v>
      </c>
      <c r="M1622">
        <v>14.601525567663</v>
      </c>
      <c r="N1622">
        <v>48.938091963640403</v>
      </c>
      <c r="O1622">
        <v>47.764596463413</v>
      </c>
      <c r="P1622">
        <v>-7.3282848526764199E-2</v>
      </c>
      <c r="Q1622">
        <v>4.1214695141667597E-2</v>
      </c>
      <c r="R1622">
        <v>0.97224083337879896</v>
      </c>
      <c r="S1622" t="s">
        <v>7933</v>
      </c>
      <c r="T1622" t="s">
        <v>12620</v>
      </c>
      <c r="U1622" t="s">
        <v>12620</v>
      </c>
      <c r="V1622" t="s">
        <v>12620</v>
      </c>
      <c r="W1622" t="s">
        <v>14206</v>
      </c>
      <c r="X1622">
        <v>28</v>
      </c>
      <c r="Y1622" t="s">
        <v>20419</v>
      </c>
      <c r="Z1622" t="s">
        <v>26569</v>
      </c>
      <c r="AA1622">
        <v>0.34290621901592649</v>
      </c>
      <c r="AB1622" t="str">
        <f>HYPERLINK("Melting_Curves/meltCurve_P09874_PARP1.pdf", "Melting_Curves/meltCurve_P09874_PARP1.pdf")</f>
        <v>Melting_Curves/meltCurve_P09874_PARP1.pdf</v>
      </c>
    </row>
    <row r="1623" spans="1:28" x14ac:dyDescent="0.25">
      <c r="A1623" t="s">
        <v>1627</v>
      </c>
      <c r="B1623">
        <v>0.99987803227770999</v>
      </c>
      <c r="C1623">
        <v>1.0777907794513</v>
      </c>
      <c r="D1623">
        <v>0.89235306902464195</v>
      </c>
      <c r="E1623">
        <v>1.1448104896909299</v>
      </c>
      <c r="F1623">
        <v>0.31496352665557198</v>
      </c>
      <c r="G1623">
        <v>0.19485770303865901</v>
      </c>
      <c r="H1623">
        <v>0.112823283942061</v>
      </c>
      <c r="I1623">
        <v>9.5757370806852704E-2</v>
      </c>
      <c r="J1623">
        <v>7.55614006186478E-2</v>
      </c>
      <c r="K1623">
        <v>5.3132115567402098E-2</v>
      </c>
      <c r="L1623">
        <v>13186.9645288675</v>
      </c>
      <c r="M1623">
        <v>250</v>
      </c>
      <c r="N1623">
        <v>52.7984054933561</v>
      </c>
      <c r="O1623">
        <v>52.7444826192731</v>
      </c>
      <c r="P1623">
        <v>-1.0588474088863</v>
      </c>
      <c r="Q1623">
        <v>0.106426261261462</v>
      </c>
      <c r="R1623">
        <v>0.97447699493845497</v>
      </c>
      <c r="S1623" t="s">
        <v>7934</v>
      </c>
      <c r="T1623" t="s">
        <v>12620</v>
      </c>
      <c r="U1623" t="s">
        <v>12620</v>
      </c>
      <c r="V1623" t="s">
        <v>12620</v>
      </c>
      <c r="W1623" t="s">
        <v>14207</v>
      </c>
      <c r="X1623">
        <v>29</v>
      </c>
      <c r="Y1623" t="s">
        <v>20420</v>
      </c>
      <c r="Z1623" t="s">
        <v>26570</v>
      </c>
      <c r="AA1623">
        <v>0.48621402211307202</v>
      </c>
      <c r="AB1623" t="str">
        <f>HYPERLINK("Melting_Curves/meltCurve_P09884_POLA1.pdf", "Melting_Curves/meltCurve_P09884_POLA1.pdf")</f>
        <v>Melting_Curves/meltCurve_P09884_POLA1.pdf</v>
      </c>
    </row>
    <row r="1624" spans="1:28" x14ac:dyDescent="0.25">
      <c r="A1624" t="s">
        <v>1628</v>
      </c>
      <c r="B1624">
        <v>0.99987803227770999</v>
      </c>
      <c r="C1624">
        <v>0.785586540986832</v>
      </c>
      <c r="D1624">
        <v>1.0321583088898301</v>
      </c>
      <c r="E1624">
        <v>0.82325952251752699</v>
      </c>
      <c r="F1624">
        <v>1.02326502323309</v>
      </c>
      <c r="G1624">
        <v>0.61808875078921</v>
      </c>
      <c r="H1624">
        <v>0.50230459816060702</v>
      </c>
      <c r="I1624">
        <v>0.416630722856071</v>
      </c>
      <c r="J1624">
        <v>0.388873479424584</v>
      </c>
      <c r="K1624">
        <v>0.30707190533343898</v>
      </c>
      <c r="L1624">
        <v>1121.09018084746</v>
      </c>
      <c r="M1624">
        <v>19.531374933157998</v>
      </c>
      <c r="N1624">
        <v>60.622592616806401</v>
      </c>
      <c r="O1624">
        <v>56.807892455182902</v>
      </c>
      <c r="P1624">
        <v>-5.8193088268642799E-2</v>
      </c>
      <c r="Q1624">
        <v>0.32299523065889901</v>
      </c>
      <c r="R1624">
        <v>0.86920726165150597</v>
      </c>
      <c r="S1624" t="s">
        <v>7935</v>
      </c>
      <c r="T1624" t="s">
        <v>12620</v>
      </c>
      <c r="U1624" t="s">
        <v>12620</v>
      </c>
      <c r="V1624" t="s">
        <v>12620</v>
      </c>
      <c r="W1624" t="s">
        <v>14208</v>
      </c>
      <c r="X1624">
        <v>20</v>
      </c>
      <c r="Y1624" t="s">
        <v>20421</v>
      </c>
      <c r="Z1624" t="s">
        <v>26571</v>
      </c>
      <c r="AA1624">
        <v>0.72392001327007593</v>
      </c>
      <c r="AB1624" t="str">
        <f>HYPERLINK("Melting_Curves/meltCurve_P09936_UCHL1.pdf", "Melting_Curves/meltCurve_P09936_UCHL1.pdf")</f>
        <v>Melting_Curves/meltCurve_P09936_UCHL1.pdf</v>
      </c>
    </row>
    <row r="1625" spans="1:28" x14ac:dyDescent="0.25">
      <c r="A1625" t="s">
        <v>1629</v>
      </c>
      <c r="B1625">
        <v>0.99987803227770999</v>
      </c>
      <c r="C1625">
        <v>0.87145976950204895</v>
      </c>
      <c r="D1625">
        <v>1.1540345882984899</v>
      </c>
      <c r="E1625">
        <v>1.0499580041915999</v>
      </c>
      <c r="F1625">
        <v>0.94016412888774703</v>
      </c>
      <c r="G1625">
        <v>0.68948488356566495</v>
      </c>
      <c r="H1625">
        <v>0.121484194443625</v>
      </c>
      <c r="I1625">
        <v>9.3524890321924598E-2</v>
      </c>
      <c r="J1625">
        <v>5.7040296899296003E-2</v>
      </c>
      <c r="K1625">
        <v>4.1102968986320897E-2</v>
      </c>
      <c r="L1625">
        <v>2639.0740715623301</v>
      </c>
      <c r="M1625">
        <v>45.617918681190098</v>
      </c>
      <c r="N1625">
        <v>57.999885036630403</v>
      </c>
      <c r="O1625">
        <v>57.740865730813397</v>
      </c>
      <c r="P1625">
        <v>-0.18664726855949601</v>
      </c>
      <c r="Q1625">
        <v>5.5006485736844302E-2</v>
      </c>
      <c r="R1625">
        <v>0.97646885965153796</v>
      </c>
      <c r="S1625" t="s">
        <v>7936</v>
      </c>
      <c r="T1625" t="s">
        <v>12620</v>
      </c>
      <c r="U1625" t="s">
        <v>12620</v>
      </c>
      <c r="V1625" t="s">
        <v>12620</v>
      </c>
      <c r="W1625" t="s">
        <v>14209</v>
      </c>
      <c r="X1625">
        <v>35</v>
      </c>
      <c r="Y1625" t="s">
        <v>20422</v>
      </c>
      <c r="Z1625" t="s">
        <v>26572</v>
      </c>
      <c r="AA1625">
        <v>0.6202089202246629</v>
      </c>
      <c r="AB1625" t="str">
        <f>HYPERLINK("Melting_Curves/meltCurve_P09960_LTA4H.pdf", "Melting_Curves/meltCurve_P09960_LTA4H.pdf")</f>
        <v>Melting_Curves/meltCurve_P09960_LTA4H.pdf</v>
      </c>
    </row>
    <row r="1626" spans="1:28" x14ac:dyDescent="0.25">
      <c r="A1626" t="s">
        <v>1630</v>
      </c>
      <c r="B1626">
        <v>0.99987803227770999</v>
      </c>
      <c r="C1626">
        <v>1.1080968981791799</v>
      </c>
      <c r="D1626">
        <v>0.98633440940225703</v>
      </c>
      <c r="E1626">
        <v>1.1512864780930101</v>
      </c>
      <c r="F1626">
        <v>1.0037538052272701</v>
      </c>
      <c r="G1626">
        <v>1.2130892403076701</v>
      </c>
      <c r="H1626">
        <v>1.5598385553284699</v>
      </c>
      <c r="I1626">
        <v>0.97892450533221698</v>
      </c>
      <c r="J1626">
        <v>0.171963581277742</v>
      </c>
      <c r="K1626">
        <v>6.47850853173432E-2</v>
      </c>
      <c r="L1626">
        <v>8444.4151581665701</v>
      </c>
      <c r="M1626">
        <v>128.07897588758999</v>
      </c>
      <c r="N1626">
        <v>66.0023572939795</v>
      </c>
      <c r="O1626">
        <v>65.915243826975399</v>
      </c>
      <c r="P1626">
        <v>-0.454492543378477</v>
      </c>
      <c r="Q1626">
        <v>6.4390202489586795E-2</v>
      </c>
      <c r="R1626">
        <v>0.79241240704083904</v>
      </c>
      <c r="S1626" t="s">
        <v>7937</v>
      </c>
      <c r="T1626" t="s">
        <v>12620</v>
      </c>
      <c r="U1626" t="s">
        <v>12620</v>
      </c>
      <c r="V1626" t="s">
        <v>12620</v>
      </c>
      <c r="W1626" t="s">
        <v>14210</v>
      </c>
      <c r="X1626">
        <v>12</v>
      </c>
      <c r="Y1626" t="s">
        <v>20423</v>
      </c>
      <c r="Z1626" t="s">
        <v>26573</v>
      </c>
      <c r="AA1626">
        <v>0.87351187444806877</v>
      </c>
      <c r="AB1626" t="str">
        <f>HYPERLINK("Melting_Curves/meltCurve_P09972_ALDOC.pdf", "Melting_Curves/meltCurve_P09972_ALDOC.pdf")</f>
        <v>Melting_Curves/meltCurve_P09972_ALDOC.pdf</v>
      </c>
    </row>
    <row r="1627" spans="1:28" x14ac:dyDescent="0.25">
      <c r="A1627" t="s">
        <v>1631</v>
      </c>
      <c r="B1627">
        <v>0.99987803227770999</v>
      </c>
      <c r="C1627">
        <v>0.97166969640682399</v>
      </c>
      <c r="D1627">
        <v>0.93334630116456396</v>
      </c>
      <c r="E1627">
        <v>0.80673709877781596</v>
      </c>
      <c r="F1627">
        <v>0.77453311118783097</v>
      </c>
      <c r="G1627">
        <v>0.46118571859417901</v>
      </c>
      <c r="H1627">
        <v>0.44286960294933703</v>
      </c>
      <c r="I1627">
        <v>0.37688776207385499</v>
      </c>
      <c r="J1627">
        <v>0.39531848782038798</v>
      </c>
      <c r="K1627">
        <v>0.32508756225061702</v>
      </c>
      <c r="L1627">
        <v>809.05219882663903</v>
      </c>
      <c r="M1627">
        <v>15.042710616394899</v>
      </c>
      <c r="N1627">
        <v>57.863828834031999</v>
      </c>
      <c r="O1627">
        <v>52.8600309461875</v>
      </c>
      <c r="P1627">
        <v>-4.7892233085763798E-2</v>
      </c>
      <c r="Q1627">
        <v>0.32689470480472799</v>
      </c>
      <c r="R1627">
        <v>0.97979407606291302</v>
      </c>
      <c r="S1627" t="s">
        <v>7938</v>
      </c>
      <c r="T1627" t="s">
        <v>12620</v>
      </c>
      <c r="U1627" t="s">
        <v>12620</v>
      </c>
      <c r="V1627" t="s">
        <v>12620</v>
      </c>
      <c r="W1627" t="s">
        <v>14211</v>
      </c>
      <c r="X1627">
        <v>6</v>
      </c>
      <c r="Y1627" t="s">
        <v>20424</v>
      </c>
      <c r="Z1627" t="s">
        <v>26574</v>
      </c>
      <c r="AA1627">
        <v>0.65007414341674474</v>
      </c>
      <c r="AB1627" t="str">
        <f>HYPERLINK("Melting_Curves/meltCurve_P0C7T5_ATXN1L.pdf", "Melting_Curves/meltCurve_P0C7T5_ATXN1L.pdf")</f>
        <v>Melting_Curves/meltCurve_P0C7T5_ATXN1L.pdf</v>
      </c>
    </row>
    <row r="1628" spans="1:28" x14ac:dyDescent="0.25">
      <c r="A1628" t="s">
        <v>1632</v>
      </c>
      <c r="B1628">
        <v>0.99987803227770999</v>
      </c>
      <c r="C1628">
        <v>0.883423832589179</v>
      </c>
      <c r="D1628">
        <v>1.0004977331165701</v>
      </c>
      <c r="E1628">
        <v>1.10611800298546</v>
      </c>
      <c r="F1628">
        <v>1.4464814686256799</v>
      </c>
      <c r="G1628">
        <v>1.1402185716511399</v>
      </c>
      <c r="H1628">
        <v>1.03619033404702</v>
      </c>
      <c r="I1628">
        <v>0.94511858104787505</v>
      </c>
      <c r="J1628">
        <v>0.917992666718493</v>
      </c>
      <c r="K1628">
        <v>0.77006716155202604</v>
      </c>
      <c r="L1628">
        <v>2202.33864674498</v>
      </c>
      <c r="M1628">
        <v>31.456603195083801</v>
      </c>
      <c r="O1628">
        <v>69.730845299926798</v>
      </c>
      <c r="P1628">
        <v>-5.1799157920208297E-2</v>
      </c>
      <c r="Q1628">
        <v>0.54070317192283901</v>
      </c>
      <c r="R1628">
        <v>0.182319458112817</v>
      </c>
      <c r="S1628" t="s">
        <v>7939</v>
      </c>
      <c r="T1628" t="s">
        <v>12620</v>
      </c>
      <c r="U1628" t="s">
        <v>12620</v>
      </c>
      <c r="V1628" t="s">
        <v>12620</v>
      </c>
      <c r="W1628" t="s">
        <v>14212</v>
      </c>
      <c r="X1628">
        <v>10</v>
      </c>
      <c r="Y1628" t="s">
        <v>20425</v>
      </c>
      <c r="Z1628" t="s">
        <v>26575</v>
      </c>
      <c r="AA1628">
        <v>0.97808970104037485</v>
      </c>
      <c r="AB1628" t="str">
        <f>HYPERLINK("Melting_Curves/meltCurve_P0CAP2_POLR2M.pdf", "Melting_Curves/meltCurve_P0CAP2_POLR2M.pdf")</f>
        <v>Melting_Curves/meltCurve_P0CAP2_POLR2M.pdf</v>
      </c>
    </row>
    <row r="1629" spans="1:28" x14ac:dyDescent="0.25">
      <c r="A1629" t="s">
        <v>1633</v>
      </c>
      <c r="B1629">
        <v>0.99987803227770999</v>
      </c>
      <c r="C1629">
        <v>0.98232590947145104</v>
      </c>
      <c r="D1629">
        <v>1.1831811069673499</v>
      </c>
      <c r="E1629">
        <v>0.98936698946564505</v>
      </c>
      <c r="F1629">
        <v>1.1878675982095599</v>
      </c>
      <c r="G1629">
        <v>0.91101705983614201</v>
      </c>
      <c r="H1629">
        <v>0.96975873861407802</v>
      </c>
      <c r="I1629">
        <v>1.06070499684603</v>
      </c>
      <c r="J1629">
        <v>0.78652861137280095</v>
      </c>
      <c r="K1629">
        <v>0.74442014072045504</v>
      </c>
      <c r="L1629">
        <v>15000</v>
      </c>
      <c r="M1629">
        <v>225.500998858797</v>
      </c>
      <c r="O1629">
        <v>66.513312478659103</v>
      </c>
      <c r="P1629">
        <v>-0.21666329259810499</v>
      </c>
      <c r="Q1629">
        <v>0.74437372630580301</v>
      </c>
      <c r="R1629">
        <v>0.56781335678646305</v>
      </c>
      <c r="S1629" t="s">
        <v>7940</v>
      </c>
      <c r="T1629" t="s">
        <v>12620</v>
      </c>
      <c r="U1629" t="s">
        <v>12620</v>
      </c>
      <c r="V1629" t="s">
        <v>12620</v>
      </c>
      <c r="W1629" t="s">
        <v>14213</v>
      </c>
      <c r="X1629">
        <v>8</v>
      </c>
      <c r="Y1629" t="s">
        <v>20426</v>
      </c>
      <c r="Z1629" t="s">
        <v>26576</v>
      </c>
      <c r="AA1629">
        <v>0.97037165903146949</v>
      </c>
      <c r="AB1629" t="str">
        <f>HYPERLINK("Melting_Curves/meltCurve_P0CG12_CHTF8.pdf", "Melting_Curves/meltCurve_P0CG12_CHTF8.pdf")</f>
        <v>Melting_Curves/meltCurve_P0CG12_CHTF8.pdf</v>
      </c>
    </row>
    <row r="1630" spans="1:28" x14ac:dyDescent="0.25">
      <c r="A1630" t="s">
        <v>1634</v>
      </c>
      <c r="B1630">
        <v>0.99987803227770999</v>
      </c>
      <c r="C1630">
        <v>0.80698499650488598</v>
      </c>
      <c r="D1630">
        <v>1.0269682186669</v>
      </c>
      <c r="E1630">
        <v>0.85516409808939897</v>
      </c>
      <c r="F1630">
        <v>1.3127192380544399</v>
      </c>
      <c r="G1630">
        <v>1.2275568315326</v>
      </c>
      <c r="H1630">
        <v>1.2783324968654599</v>
      </c>
      <c r="I1630">
        <v>1.25828283312003</v>
      </c>
      <c r="J1630">
        <v>1.38383848250311</v>
      </c>
      <c r="K1630">
        <v>1.1070112283219999</v>
      </c>
      <c r="L1630">
        <v>12892.097396200001</v>
      </c>
      <c r="M1630">
        <v>250</v>
      </c>
      <c r="O1630">
        <v>51.565071655987403</v>
      </c>
      <c r="P1630">
        <v>0.31673739664057698</v>
      </c>
      <c r="Q1630">
        <v>1.2613214757312401</v>
      </c>
      <c r="R1630">
        <v>0.71172212922611799</v>
      </c>
      <c r="S1630" t="s">
        <v>7941</v>
      </c>
      <c r="T1630" t="s">
        <v>12620</v>
      </c>
      <c r="U1630" t="s">
        <v>12620</v>
      </c>
      <c r="V1630" t="s">
        <v>12620</v>
      </c>
      <c r="W1630" t="s">
        <v>14214</v>
      </c>
      <c r="X1630">
        <v>3</v>
      </c>
      <c r="Y1630" t="s">
        <v>20427</v>
      </c>
      <c r="Z1630" t="s">
        <v>26577</v>
      </c>
      <c r="AA1630">
        <v>1.1605288710834509</v>
      </c>
      <c r="AB1630" t="str">
        <f>HYPERLINK("Melting_Curves/meltCurve_P0CG35_TMSB15B.pdf", "Melting_Curves/meltCurve_P0CG35_TMSB15B.pdf")</f>
        <v>Melting_Curves/meltCurve_P0CG35_TMSB15B.pdf</v>
      </c>
    </row>
    <row r="1631" spans="1:28" x14ac:dyDescent="0.25">
      <c r="A1631" t="s">
        <v>1635</v>
      </c>
      <c r="B1631">
        <v>0.99987803227770999</v>
      </c>
      <c r="C1631">
        <v>1.2925502208013</v>
      </c>
      <c r="D1631">
        <v>1.0803704663264899</v>
      </c>
      <c r="E1631">
        <v>1.18801890133941</v>
      </c>
      <c r="F1631">
        <v>0.77123314497249595</v>
      </c>
      <c r="G1631">
        <v>0.70882984000576499</v>
      </c>
      <c r="H1631">
        <v>0.20403016541847699</v>
      </c>
      <c r="I1631">
        <v>0.12926712886641301</v>
      </c>
      <c r="J1631">
        <v>8.0058109597167498E-2</v>
      </c>
      <c r="K1631">
        <v>5.13114610621144E-2</v>
      </c>
      <c r="L1631">
        <v>1548.49187889528</v>
      </c>
      <c r="M1631">
        <v>26.640636103633199</v>
      </c>
      <c r="N1631">
        <v>58.311192852128201</v>
      </c>
      <c r="O1631">
        <v>57.800635684522497</v>
      </c>
      <c r="P1631">
        <v>-0.110533749710631</v>
      </c>
      <c r="Q1631">
        <v>4.0735490762288502E-2</v>
      </c>
      <c r="R1631">
        <v>0.92421908131674901</v>
      </c>
      <c r="S1631" t="s">
        <v>7942</v>
      </c>
      <c r="T1631" t="s">
        <v>12620</v>
      </c>
      <c r="U1631" t="s">
        <v>12620</v>
      </c>
      <c r="V1631" t="s">
        <v>12620</v>
      </c>
      <c r="W1631" t="s">
        <v>14215</v>
      </c>
      <c r="X1631">
        <v>6</v>
      </c>
      <c r="Y1631" t="s">
        <v>20428</v>
      </c>
      <c r="Z1631" t="s">
        <v>26578</v>
      </c>
      <c r="AA1631">
        <v>0.62787560711222623</v>
      </c>
      <c r="AB1631" t="str">
        <f>HYPERLINK("Melting_Curves/meltCurve_P0CW22_RPS17L.pdf", "Melting_Curves/meltCurve_P0CW22_RPS17L.pdf")</f>
        <v>Melting_Curves/meltCurve_P0CW22_RPS17L.pdf</v>
      </c>
    </row>
    <row r="1632" spans="1:28" x14ac:dyDescent="0.25">
      <c r="A1632" t="s">
        <v>1636</v>
      </c>
      <c r="B1632">
        <v>0.99987803227770999</v>
      </c>
      <c r="C1632">
        <v>1.01566123480062</v>
      </c>
      <c r="D1632">
        <v>0.907078073929381</v>
      </c>
      <c r="E1632">
        <v>1.04737988149544</v>
      </c>
      <c r="F1632">
        <v>0.33161891115658398</v>
      </c>
      <c r="G1632">
        <v>0.188306902518702</v>
      </c>
      <c r="H1632">
        <v>8.9739291751105399E-2</v>
      </c>
      <c r="I1632">
        <v>8.5944119872336897E-2</v>
      </c>
      <c r="J1632">
        <v>4.8779493628381E-2</v>
      </c>
      <c r="K1632">
        <v>3.8012129632505602E-2</v>
      </c>
      <c r="L1632">
        <v>13196.0384330533</v>
      </c>
      <c r="M1632">
        <v>250</v>
      </c>
      <c r="N1632">
        <v>52.826167635150597</v>
      </c>
      <c r="O1632">
        <v>52.7807964448752</v>
      </c>
      <c r="P1632">
        <v>-1.0773852135984601</v>
      </c>
      <c r="Q1632">
        <v>9.0156358703589706E-2</v>
      </c>
      <c r="R1632">
        <v>0.98642792201037199</v>
      </c>
      <c r="S1632" t="s">
        <v>7943</v>
      </c>
      <c r="T1632" t="s">
        <v>12620</v>
      </c>
      <c r="U1632" t="s">
        <v>12620</v>
      </c>
      <c r="V1632" t="s">
        <v>12620</v>
      </c>
      <c r="W1632" t="s">
        <v>14216</v>
      </c>
      <c r="X1632">
        <v>2</v>
      </c>
      <c r="Y1632" t="s">
        <v>20429</v>
      </c>
      <c r="Z1632" t="s">
        <v>26579</v>
      </c>
      <c r="AA1632">
        <v>0.47796000849139242</v>
      </c>
      <c r="AB1632" t="str">
        <f>HYPERLINK("Melting_Curves/meltCurve_P0DI82_TRAPPC2P1.pdf", "Melting_Curves/meltCurve_P0DI82_TRAPPC2P1.pdf")</f>
        <v>Melting_Curves/meltCurve_P0DI82_TRAPPC2P1.pdf</v>
      </c>
    </row>
    <row r="1633" spans="1:28" x14ac:dyDescent="0.25">
      <c r="A1633" t="s">
        <v>1637</v>
      </c>
      <c r="B1633">
        <v>0.99987803227770999</v>
      </c>
      <c r="C1633">
        <v>0.75432558226000601</v>
      </c>
      <c r="D1633">
        <v>1.0017131874190099</v>
      </c>
      <c r="E1633">
        <v>0.77055839248285596</v>
      </c>
      <c r="F1633">
        <v>1.00483404273467</v>
      </c>
      <c r="G1633">
        <v>0.91946313345300501</v>
      </c>
      <c r="H1633">
        <v>0.95784051143612903</v>
      </c>
      <c r="I1633">
        <v>0.91131157641118998</v>
      </c>
      <c r="J1633">
        <v>0.91460344621091605</v>
      </c>
      <c r="K1633">
        <v>0.80204207081075596</v>
      </c>
      <c r="L1633">
        <v>1.0000000000000001E-5</v>
      </c>
      <c r="M1633">
        <v>1.0000000000000001E-5</v>
      </c>
      <c r="Q1633">
        <v>0.80731493981442803</v>
      </c>
      <c r="R1633">
        <v>3.49222106788005E-9</v>
      </c>
      <c r="S1633" t="s">
        <v>7944</v>
      </c>
      <c r="T1633" t="s">
        <v>12620</v>
      </c>
      <c r="U1633" t="s">
        <v>12620</v>
      </c>
      <c r="V1633" t="s">
        <v>12620</v>
      </c>
      <c r="W1633" t="s">
        <v>14217</v>
      </c>
      <c r="X1633">
        <v>2</v>
      </c>
      <c r="Y1633" t="s">
        <v>20430</v>
      </c>
      <c r="Z1633" t="s">
        <v>26580</v>
      </c>
      <c r="AA1633">
        <v>0.90365699718036363</v>
      </c>
      <c r="AB1633" t="str">
        <f>HYPERLINK("Melting_Curves/meltCurve_P0DI83_RAB34.pdf", "Melting_Curves/meltCurve_P0DI83_RAB34.pdf")</f>
        <v>Melting_Curves/meltCurve_P0DI83_RAB34.pdf</v>
      </c>
    </row>
    <row r="1634" spans="1:28" x14ac:dyDescent="0.25">
      <c r="A1634" t="s">
        <v>1638</v>
      </c>
      <c r="B1634">
        <v>0.99987803227770999</v>
      </c>
      <c r="C1634">
        <v>0.95530000418746497</v>
      </c>
      <c r="D1634">
        <v>1.00856623560147</v>
      </c>
      <c r="E1634">
        <v>0.816456615285447</v>
      </c>
      <c r="F1634">
        <v>0.83653233868888099</v>
      </c>
      <c r="G1634">
        <v>0.72701387203423196</v>
      </c>
      <c r="H1634">
        <v>0.64119439566375602</v>
      </c>
      <c r="I1634">
        <v>0.64712715085533201</v>
      </c>
      <c r="J1634">
        <v>0.50400747618214903</v>
      </c>
      <c r="K1634">
        <v>0.43988386813832497</v>
      </c>
      <c r="L1634">
        <v>383.29041910839499</v>
      </c>
      <c r="M1634">
        <v>5.6495081057656504</v>
      </c>
      <c r="N1634">
        <v>67.844918872912501</v>
      </c>
      <c r="O1634">
        <v>60.777727924151201</v>
      </c>
      <c r="P1634">
        <v>-2.3331554579344001E-2</v>
      </c>
      <c r="Q1634">
        <v>0</v>
      </c>
      <c r="R1634">
        <v>0.95845945282159095</v>
      </c>
      <c r="S1634" t="s">
        <v>7945</v>
      </c>
      <c r="T1634" t="s">
        <v>12620</v>
      </c>
      <c r="U1634" t="s">
        <v>12620</v>
      </c>
      <c r="V1634" t="s">
        <v>12620</v>
      </c>
      <c r="W1634" t="s">
        <v>14218</v>
      </c>
      <c r="X1634">
        <v>7</v>
      </c>
      <c r="Y1634" t="s">
        <v>20431</v>
      </c>
      <c r="Z1634" t="s">
        <v>26581</v>
      </c>
      <c r="AA1634">
        <v>0.7634943499231881</v>
      </c>
      <c r="AB1634" t="str">
        <f>HYPERLINK("Melting_Curves/meltCurve_P10070_GLI2.pdf", "Melting_Curves/meltCurve_P10070_GLI2.pdf")</f>
        <v>Melting_Curves/meltCurve_P10070_GLI2.pdf</v>
      </c>
    </row>
    <row r="1635" spans="1:28" x14ac:dyDescent="0.25">
      <c r="A1635" t="s">
        <v>1639</v>
      </c>
      <c r="B1635">
        <v>0.99987803227770999</v>
      </c>
      <c r="C1635">
        <v>0.83557829387360005</v>
      </c>
      <c r="D1635">
        <v>0.97645240119981702</v>
      </c>
      <c r="E1635">
        <v>0.68468914329165098</v>
      </c>
      <c r="F1635">
        <v>0.884088999397315</v>
      </c>
      <c r="G1635">
        <v>0.78830111280623705</v>
      </c>
      <c r="H1635">
        <v>0.98082035576358495</v>
      </c>
      <c r="I1635">
        <v>0.85148438333661802</v>
      </c>
      <c r="J1635">
        <v>0.80954700270670799</v>
      </c>
      <c r="K1635">
        <v>0.66230109938731097</v>
      </c>
      <c r="L1635">
        <v>735.11831535371698</v>
      </c>
      <c r="M1635">
        <v>17.008599132401802</v>
      </c>
      <c r="O1635">
        <v>42.636205522770901</v>
      </c>
      <c r="P1635">
        <v>-1.8579054657952902E-2</v>
      </c>
      <c r="Q1635">
        <v>0.81371974327709895</v>
      </c>
      <c r="R1635">
        <v>0.21355258052023801</v>
      </c>
      <c r="S1635" t="s">
        <v>7946</v>
      </c>
      <c r="T1635" t="s">
        <v>12620</v>
      </c>
      <c r="U1635" t="s">
        <v>12620</v>
      </c>
      <c r="V1635" t="s">
        <v>12620</v>
      </c>
      <c r="W1635" t="s">
        <v>14219</v>
      </c>
      <c r="X1635">
        <v>1</v>
      </c>
      <c r="Y1635" t="s">
        <v>20432</v>
      </c>
      <c r="Z1635" t="s">
        <v>26582</v>
      </c>
      <c r="AA1635">
        <v>0.83961302860118181</v>
      </c>
      <c r="AB1635" t="str">
        <f>HYPERLINK("Melting_Curves/meltCurve_P10075_GLI4.pdf", "Melting_Curves/meltCurve_P10075_GLI4.pdf")</f>
        <v>Melting_Curves/meltCurve_P10075_GLI4.pdf</v>
      </c>
    </row>
    <row r="1636" spans="1:28" x14ac:dyDescent="0.25">
      <c r="A1636" t="s">
        <v>1640</v>
      </c>
      <c r="B1636">
        <v>0.99987803227770999</v>
      </c>
      <c r="C1636">
        <v>0.84844812915849799</v>
      </c>
      <c r="D1636">
        <v>1.0151375657345501</v>
      </c>
      <c r="E1636">
        <v>0.88740777585791297</v>
      </c>
      <c r="F1636">
        <v>1.0609439313467799</v>
      </c>
      <c r="G1636">
        <v>0.82668923178396403</v>
      </c>
      <c r="H1636">
        <v>0.93064877263297696</v>
      </c>
      <c r="I1636">
        <v>0.89709506478176304</v>
      </c>
      <c r="J1636">
        <v>0.92827679369398997</v>
      </c>
      <c r="K1636">
        <v>0.78042186720774498</v>
      </c>
      <c r="L1636">
        <v>189.22829345041501</v>
      </c>
      <c r="M1636">
        <v>0.94604640409074603</v>
      </c>
      <c r="O1636">
        <v>68.316326630287193</v>
      </c>
      <c r="P1636">
        <v>-4.8516223652583798E-3</v>
      </c>
      <c r="Q1636">
        <v>0</v>
      </c>
      <c r="R1636">
        <v>0.200627217929675</v>
      </c>
      <c r="S1636" t="s">
        <v>7947</v>
      </c>
      <c r="T1636" t="s">
        <v>12620</v>
      </c>
      <c r="U1636" t="s">
        <v>12620</v>
      </c>
      <c r="V1636" t="s">
        <v>12620</v>
      </c>
      <c r="W1636" t="s">
        <v>14220</v>
      </c>
      <c r="X1636">
        <v>7</v>
      </c>
      <c r="Y1636" t="s">
        <v>20433</v>
      </c>
      <c r="Z1636" t="s">
        <v>26583</v>
      </c>
      <c r="AA1636">
        <v>0.92096316191653815</v>
      </c>
      <c r="AB1636" t="str">
        <f>HYPERLINK("Melting_Curves/meltCurve_P10109_FDX1.pdf", "Melting_Curves/meltCurve_P10109_FDX1.pdf")</f>
        <v>Melting_Curves/meltCurve_P10109_FDX1.pdf</v>
      </c>
    </row>
    <row r="1637" spans="1:28" x14ac:dyDescent="0.25">
      <c r="A1637" t="s">
        <v>1641</v>
      </c>
      <c r="B1637">
        <v>0.99987803227770999</v>
      </c>
      <c r="C1637">
        <v>1.1453184678413699</v>
      </c>
      <c r="D1637">
        <v>0.86571937710860702</v>
      </c>
      <c r="E1637">
        <v>1.2021299495218301</v>
      </c>
      <c r="F1637">
        <v>0.94072488528208797</v>
      </c>
      <c r="G1637">
        <v>1.37856571044223</v>
      </c>
      <c r="H1637">
        <v>1.0881919725959399</v>
      </c>
      <c r="I1637">
        <v>0.68198694101713397</v>
      </c>
      <c r="J1637">
        <v>0.238079793344078</v>
      </c>
      <c r="K1637">
        <v>0.102944830921279</v>
      </c>
      <c r="L1637">
        <v>4169.3440628072103</v>
      </c>
      <c r="M1637">
        <v>64.470644628384704</v>
      </c>
      <c r="N1637">
        <v>64.949733935218106</v>
      </c>
      <c r="O1637">
        <v>64.608289795188497</v>
      </c>
      <c r="P1637">
        <v>-0.21926524253674701</v>
      </c>
      <c r="Q1637">
        <v>0.121066770779806</v>
      </c>
      <c r="R1637">
        <v>0.84364951625182905</v>
      </c>
      <c r="S1637" t="s">
        <v>7948</v>
      </c>
      <c r="T1637" t="s">
        <v>12620</v>
      </c>
      <c r="U1637" t="s">
        <v>12620</v>
      </c>
      <c r="V1637" t="s">
        <v>12620</v>
      </c>
      <c r="W1637" t="s">
        <v>14221</v>
      </c>
      <c r="X1637">
        <v>23</v>
      </c>
      <c r="Y1637" t="s">
        <v>20434</v>
      </c>
      <c r="Z1637" t="s">
        <v>26584</v>
      </c>
      <c r="AA1637">
        <v>0.84509778220297005</v>
      </c>
      <c r="AB1637" t="str">
        <f>HYPERLINK("Melting_Curves/meltCurve_P10155_TROVE2.pdf", "Melting_Curves/meltCurve_P10155_TROVE2.pdf")</f>
        <v>Melting_Curves/meltCurve_P10155_TROVE2.pdf</v>
      </c>
    </row>
    <row r="1638" spans="1:28" x14ac:dyDescent="0.25">
      <c r="A1638" t="s">
        <v>1642</v>
      </c>
      <c r="B1638">
        <v>0.99987803227770999</v>
      </c>
      <c r="C1638">
        <v>1.15465497336022</v>
      </c>
      <c r="D1638">
        <v>1.08259589625325</v>
      </c>
      <c r="E1638">
        <v>1.1555112858824299</v>
      </c>
      <c r="F1638">
        <v>0.97513759578204795</v>
      </c>
      <c r="G1638">
        <v>0.97231291145618903</v>
      </c>
      <c r="H1638">
        <v>0.77187017577289296</v>
      </c>
      <c r="I1638">
        <v>0.46119647770164501</v>
      </c>
      <c r="J1638">
        <v>0.22139117217496301</v>
      </c>
      <c r="K1638">
        <v>0.16790826608357201</v>
      </c>
      <c r="L1638">
        <v>2065.4336090373999</v>
      </c>
      <c r="M1638">
        <v>32.797713168387901</v>
      </c>
      <c r="N1638">
        <v>63.551119180426603</v>
      </c>
      <c r="O1638">
        <v>62.7422029310761</v>
      </c>
      <c r="P1638">
        <v>-0.113877130849877</v>
      </c>
      <c r="Q1638">
        <v>0.12861383900089801</v>
      </c>
      <c r="R1638">
        <v>0.95642977580141098</v>
      </c>
      <c r="S1638" t="s">
        <v>7949</v>
      </c>
      <c r="T1638" t="s">
        <v>12620</v>
      </c>
      <c r="U1638" t="s">
        <v>12620</v>
      </c>
      <c r="V1638" t="s">
        <v>12620</v>
      </c>
      <c r="W1638" t="s">
        <v>14222</v>
      </c>
      <c r="X1638">
        <v>22</v>
      </c>
      <c r="Y1638" t="s">
        <v>20435</v>
      </c>
      <c r="Z1638" t="s">
        <v>26585</v>
      </c>
      <c r="AA1638">
        <v>0.79890736566982767</v>
      </c>
      <c r="AB1638" t="str">
        <f>HYPERLINK("Melting_Curves/meltCurve_P10253_GAA.pdf", "Melting_Curves/meltCurve_P10253_GAA.pdf")</f>
        <v>Melting_Curves/meltCurve_P10253_GAA.pdf</v>
      </c>
    </row>
    <row r="1639" spans="1:28" x14ac:dyDescent="0.25">
      <c r="A1639" t="s">
        <v>1643</v>
      </c>
      <c r="B1639">
        <v>0.99987803227770999</v>
      </c>
      <c r="C1639">
        <v>0.86094072260896803</v>
      </c>
      <c r="D1639">
        <v>0.94124288963766201</v>
      </c>
      <c r="E1639">
        <v>0.82640624823341402</v>
      </c>
      <c r="F1639">
        <v>0.922174685294329</v>
      </c>
      <c r="G1639">
        <v>0.48934071103104398</v>
      </c>
      <c r="H1639">
        <v>0.32985934396580702</v>
      </c>
      <c r="I1639">
        <v>0.19486841011775499</v>
      </c>
      <c r="J1639">
        <v>0.20804603571984401</v>
      </c>
      <c r="K1639">
        <v>0.15505994015150801</v>
      </c>
      <c r="L1639">
        <v>1082.7902633321</v>
      </c>
      <c r="M1639">
        <v>19.147933475276201</v>
      </c>
      <c r="N1639">
        <v>57.530712961431497</v>
      </c>
      <c r="O1639">
        <v>55.942728780774303</v>
      </c>
      <c r="P1639">
        <v>-7.36433184454168E-2</v>
      </c>
      <c r="Q1639">
        <v>0.13940605035112899</v>
      </c>
      <c r="R1639">
        <v>0.955351551031691</v>
      </c>
      <c r="S1639" t="s">
        <v>7950</v>
      </c>
      <c r="T1639" t="s">
        <v>12620</v>
      </c>
      <c r="U1639" t="s">
        <v>12620</v>
      </c>
      <c r="V1639" t="s">
        <v>12620</v>
      </c>
      <c r="W1639" t="s">
        <v>14223</v>
      </c>
      <c r="X1639">
        <v>8</v>
      </c>
      <c r="Y1639" t="s">
        <v>20436</v>
      </c>
      <c r="Z1639" t="s">
        <v>26586</v>
      </c>
      <c r="AA1639">
        <v>0.62553281830185647</v>
      </c>
      <c r="AB1639" t="str">
        <f>HYPERLINK("Melting_Curves/meltCurve_P10301_RRAS.pdf", "Melting_Curves/meltCurve_P10301_RRAS.pdf")</f>
        <v>Melting_Curves/meltCurve_P10301_RRAS.pdf</v>
      </c>
    </row>
    <row r="1640" spans="1:28" x14ac:dyDescent="0.25">
      <c r="A1640" t="s">
        <v>1644</v>
      </c>
      <c r="B1640">
        <v>0.99987803227770999</v>
      </c>
      <c r="C1640">
        <v>0.77735033734386005</v>
      </c>
      <c r="D1640">
        <v>0.34153554108933698</v>
      </c>
      <c r="E1640">
        <v>0.46393609670118902</v>
      </c>
      <c r="F1640">
        <v>0.22186759025362399</v>
      </c>
      <c r="G1640">
        <v>0.13308838426099201</v>
      </c>
      <c r="H1640">
        <v>8.2562940798641293E-2</v>
      </c>
      <c r="I1640">
        <v>7.0053259657349695E-2</v>
      </c>
      <c r="J1640">
        <v>5.9545489369377397E-2</v>
      </c>
      <c r="K1640">
        <v>3.8590112921870298E-2</v>
      </c>
      <c r="L1640">
        <v>582.58379232304105</v>
      </c>
      <c r="M1640">
        <v>12.589471626566599</v>
      </c>
      <c r="N1640">
        <v>46.654978469802501</v>
      </c>
      <c r="O1640">
        <v>45.154443657667798</v>
      </c>
      <c r="P1640">
        <v>-6.6323232817288996E-2</v>
      </c>
      <c r="Q1640">
        <v>4.8668363249508503E-2</v>
      </c>
      <c r="R1640">
        <v>0.92260102799446297</v>
      </c>
      <c r="S1640" t="s">
        <v>7951</v>
      </c>
      <c r="T1640" t="s">
        <v>12620</v>
      </c>
      <c r="U1640" t="s">
        <v>12620</v>
      </c>
      <c r="V1640" t="s">
        <v>12620</v>
      </c>
      <c r="W1640" t="s">
        <v>14224</v>
      </c>
      <c r="X1640">
        <v>6</v>
      </c>
      <c r="Y1640" t="s">
        <v>20437</v>
      </c>
      <c r="Z1640" t="s">
        <v>26587</v>
      </c>
      <c r="AA1640">
        <v>0.28630476111534481</v>
      </c>
      <c r="AB1640" t="str">
        <f>HYPERLINK("Melting_Curves/meltCurve_P10398_ARAF.pdf", "Melting_Curves/meltCurve_P10398_ARAF.pdf")</f>
        <v>Melting_Curves/meltCurve_P10398_ARAF.pdf</v>
      </c>
    </row>
    <row r="1641" spans="1:28" x14ac:dyDescent="0.25">
      <c r="A1641" t="s">
        <v>1645</v>
      </c>
      <c r="B1641">
        <v>0.99987803227770999</v>
      </c>
      <c r="C1641">
        <v>0.88582254853879805</v>
      </c>
      <c r="D1641">
        <v>1.05096504944091</v>
      </c>
      <c r="E1641">
        <v>0.99544215391064494</v>
      </c>
      <c r="F1641">
        <v>1.4052591454180501</v>
      </c>
      <c r="G1641">
        <v>1.3611815632734401</v>
      </c>
      <c r="H1641">
        <v>1.26649204609803</v>
      </c>
      <c r="I1641">
        <v>1.1355715794190799</v>
      </c>
      <c r="J1641">
        <v>1.2036396523477699</v>
      </c>
      <c r="K1641">
        <v>0.980402295964801</v>
      </c>
      <c r="L1641">
        <v>12761.9434805201</v>
      </c>
      <c r="M1641">
        <v>249.68650548684599</v>
      </c>
      <c r="O1641">
        <v>51.108588569979098</v>
      </c>
      <c r="P1641">
        <v>0.27531748812190099</v>
      </c>
      <c r="Q1641">
        <v>1.2254200808745701</v>
      </c>
      <c r="R1641">
        <v>0.50565509760251404</v>
      </c>
      <c r="S1641" t="s">
        <v>7952</v>
      </c>
      <c r="T1641" t="s">
        <v>12620</v>
      </c>
      <c r="U1641" t="s">
        <v>12620</v>
      </c>
      <c r="V1641" t="s">
        <v>12620</v>
      </c>
      <c r="W1641" t="s">
        <v>14225</v>
      </c>
      <c r="X1641">
        <v>11</v>
      </c>
      <c r="Y1641" t="s">
        <v>20438</v>
      </c>
      <c r="Z1641" t="s">
        <v>26588</v>
      </c>
      <c r="AA1641">
        <v>1.1419052105481751</v>
      </c>
      <c r="AB1641" t="str">
        <f>HYPERLINK("Melting_Curves/meltCurve_P10412_HIST1H1E.pdf", "Melting_Curves/meltCurve_P10412_HIST1H1E.pdf")</f>
        <v>Melting_Curves/meltCurve_P10412_HIST1H1E.pdf</v>
      </c>
    </row>
    <row r="1642" spans="1:28" x14ac:dyDescent="0.25">
      <c r="A1642" t="s">
        <v>1646</v>
      </c>
      <c r="B1642">
        <v>0.99987803227770999</v>
      </c>
      <c r="C1642">
        <v>0.86925190601654101</v>
      </c>
      <c r="D1642">
        <v>1.4797376274282299</v>
      </c>
      <c r="E1642">
        <v>0.84004019499761895</v>
      </c>
      <c r="F1642">
        <v>0.96249016491423101</v>
      </c>
      <c r="G1642">
        <v>0.86652001888893904</v>
      </c>
      <c r="H1642">
        <v>0.84992493533333702</v>
      </c>
      <c r="I1642">
        <v>0.64104571884403805</v>
      </c>
      <c r="J1642">
        <v>0.78551865048236902</v>
      </c>
      <c r="K1642">
        <v>0.58837385042304502</v>
      </c>
      <c r="L1642">
        <v>829.842300175829</v>
      </c>
      <c r="M1642">
        <v>13.4665894234679</v>
      </c>
      <c r="O1642">
        <v>60.311049989960601</v>
      </c>
      <c r="P1642">
        <v>-2.4161713234898401E-2</v>
      </c>
      <c r="Q1642">
        <v>0.56722704248299105</v>
      </c>
      <c r="R1642">
        <v>0.443840546099316</v>
      </c>
      <c r="S1642" t="s">
        <v>7953</v>
      </c>
      <c r="T1642" t="s">
        <v>12620</v>
      </c>
      <c r="U1642" t="s">
        <v>12620</v>
      </c>
      <c r="V1642" t="s">
        <v>12620</v>
      </c>
      <c r="W1642" t="s">
        <v>14226</v>
      </c>
      <c r="X1642">
        <v>2</v>
      </c>
      <c r="Y1642" t="s">
        <v>20439</v>
      </c>
      <c r="Z1642" t="s">
        <v>26589</v>
      </c>
      <c r="AA1642">
        <v>0.87742165543342765</v>
      </c>
      <c r="AB1642" t="str">
        <f>HYPERLINK("Melting_Curves/meltCurve_P10451_5_SPP1.pdf", "Melting_Curves/meltCurve_P10451_5_SPP1.pdf")</f>
        <v>Melting_Curves/meltCurve_P10451_5_SPP1.pdf</v>
      </c>
    </row>
    <row r="1643" spans="1:28" x14ac:dyDescent="0.25">
      <c r="A1643" t="s">
        <v>1647</v>
      </c>
      <c r="B1643">
        <v>0.99987803227770999</v>
      </c>
      <c r="C1643">
        <v>1.2504437774929</v>
      </c>
      <c r="D1643">
        <v>1.0522611291450601</v>
      </c>
      <c r="E1643">
        <v>1.58768912527318</v>
      </c>
      <c r="F1643">
        <v>0.81911266058668797</v>
      </c>
      <c r="G1643">
        <v>1.1863535683037001</v>
      </c>
      <c r="H1643">
        <v>0.48107212591877802</v>
      </c>
      <c r="I1643">
        <v>0.26294036113375402</v>
      </c>
      <c r="J1643">
        <v>0.15424340358675501</v>
      </c>
      <c r="K1643">
        <v>0.115341949148228</v>
      </c>
      <c r="L1643">
        <v>5907.9164471395698</v>
      </c>
      <c r="M1643">
        <v>97.359463087391703</v>
      </c>
      <c r="N1643">
        <v>60.950964755094503</v>
      </c>
      <c r="O1643">
        <v>60.655894653868202</v>
      </c>
      <c r="P1643">
        <v>-0.33109696411234701</v>
      </c>
      <c r="Q1643">
        <v>0.174893534802191</v>
      </c>
      <c r="R1643">
        <v>0.79176594275967904</v>
      </c>
      <c r="S1643" t="s">
        <v>7954</v>
      </c>
      <c r="T1643" t="s">
        <v>12620</v>
      </c>
      <c r="U1643" t="s">
        <v>12620</v>
      </c>
      <c r="V1643" t="s">
        <v>12620</v>
      </c>
      <c r="W1643" t="s">
        <v>14227</v>
      </c>
      <c r="X1643">
        <v>7</v>
      </c>
      <c r="Y1643" t="s">
        <v>20440</v>
      </c>
      <c r="Z1643" t="s">
        <v>26590</v>
      </c>
      <c r="AA1643">
        <v>0.74428771178636111</v>
      </c>
      <c r="AB1643" t="str">
        <f>HYPERLINK("Melting_Curves/meltCurve_P10515_DLAT.pdf", "Melting_Curves/meltCurve_P10515_DLAT.pdf")</f>
        <v>Melting_Curves/meltCurve_P10515_DLAT.pdf</v>
      </c>
    </row>
    <row r="1644" spans="1:28" x14ac:dyDescent="0.25">
      <c r="A1644" t="s">
        <v>1648</v>
      </c>
      <c r="B1644">
        <v>0.99987803227770999</v>
      </c>
      <c r="C1644">
        <v>1.01601402801178</v>
      </c>
      <c r="D1644">
        <v>0.97900307191630898</v>
      </c>
      <c r="E1644">
        <v>0.75540107861704897</v>
      </c>
      <c r="F1644">
        <v>0.52313273697001705</v>
      </c>
      <c r="G1644">
        <v>0.36954342943113</v>
      </c>
      <c r="H1644">
        <v>0.24198008157025699</v>
      </c>
      <c r="I1644">
        <v>0.213745449582947</v>
      </c>
      <c r="J1644">
        <v>0.16364053410502299</v>
      </c>
      <c r="K1644">
        <v>0.13251553186672399</v>
      </c>
      <c r="L1644">
        <v>898.69429758153899</v>
      </c>
      <c r="M1644">
        <v>17.0319317669891</v>
      </c>
      <c r="N1644">
        <v>53.905950604904902</v>
      </c>
      <c r="O1644">
        <v>52.053971404815101</v>
      </c>
      <c r="P1644">
        <v>-6.9427195357384702E-2</v>
      </c>
      <c r="Q1644">
        <v>0.15130249302977</v>
      </c>
      <c r="R1644">
        <v>0.99418456655091303</v>
      </c>
      <c r="S1644" t="s">
        <v>7955</v>
      </c>
      <c r="T1644" t="s">
        <v>12620</v>
      </c>
      <c r="U1644" t="s">
        <v>12620</v>
      </c>
      <c r="V1644" t="s">
        <v>12620</v>
      </c>
      <c r="W1644" t="s">
        <v>14228</v>
      </c>
      <c r="X1644">
        <v>7</v>
      </c>
      <c r="Y1644" t="s">
        <v>20441</v>
      </c>
      <c r="Z1644" t="s">
        <v>26591</v>
      </c>
      <c r="AA1644">
        <v>0.52767573412962965</v>
      </c>
      <c r="AB1644" t="str">
        <f>HYPERLINK("Melting_Curves/meltCurve_P10586_2_PTPRF.pdf", "Melting_Curves/meltCurve_P10586_2_PTPRF.pdf")</f>
        <v>Melting_Curves/meltCurve_P10586_2_PTPRF.pdf</v>
      </c>
    </row>
    <row r="1645" spans="1:28" x14ac:dyDescent="0.25">
      <c r="A1645" t="s">
        <v>1649</v>
      </c>
      <c r="B1645">
        <v>0.99987803227770999</v>
      </c>
      <c r="C1645">
        <v>0.789305819600852</v>
      </c>
      <c r="D1645">
        <v>0.97903549055025596</v>
      </c>
      <c r="E1645">
        <v>0.77431594174825302</v>
      </c>
      <c r="F1645">
        <v>0.95957915299933405</v>
      </c>
      <c r="G1645">
        <v>1.0059843659891901</v>
      </c>
      <c r="H1645">
        <v>0.773728418040872</v>
      </c>
      <c r="I1645">
        <v>0.89321279766986506</v>
      </c>
      <c r="J1645">
        <v>0.74475490856844295</v>
      </c>
      <c r="K1645">
        <v>0.62748038458548305</v>
      </c>
      <c r="L1645">
        <v>248.05338836134101</v>
      </c>
      <c r="M1645">
        <v>2.57048823280289</v>
      </c>
      <c r="O1645">
        <v>66.020586524500601</v>
      </c>
      <c r="P1645">
        <v>-1.01960388504421E-2</v>
      </c>
      <c r="Q1645">
        <v>0</v>
      </c>
      <c r="R1645">
        <v>0.334983384647775</v>
      </c>
      <c r="S1645" t="s">
        <v>7956</v>
      </c>
      <c r="T1645" t="s">
        <v>12620</v>
      </c>
      <c r="U1645" t="s">
        <v>12620</v>
      </c>
      <c r="V1645" t="s">
        <v>12620</v>
      </c>
      <c r="W1645" t="s">
        <v>14229</v>
      </c>
      <c r="X1645">
        <v>6</v>
      </c>
      <c r="Y1645" t="s">
        <v>20442</v>
      </c>
      <c r="Z1645" t="s">
        <v>26592</v>
      </c>
      <c r="AA1645">
        <v>0.86604617168718379</v>
      </c>
      <c r="AB1645" t="str">
        <f>HYPERLINK("Melting_Curves/meltCurve_P10606_COX5B.pdf", "Melting_Curves/meltCurve_P10606_COX5B.pdf")</f>
        <v>Melting_Curves/meltCurve_P10606_COX5B.pdf</v>
      </c>
    </row>
    <row r="1646" spans="1:28" x14ac:dyDescent="0.25">
      <c r="A1646" t="s">
        <v>1650</v>
      </c>
      <c r="B1646">
        <v>0.99987803227770999</v>
      </c>
      <c r="C1646">
        <v>1.04088842241986</v>
      </c>
      <c r="D1646">
        <v>1.0657203775322901</v>
      </c>
      <c r="E1646">
        <v>0.95390609508321</v>
      </c>
      <c r="F1646">
        <v>0.30275501592975601</v>
      </c>
      <c r="G1646">
        <v>0.15209976566765401</v>
      </c>
      <c r="H1646">
        <v>7.4659334480731601E-2</v>
      </c>
      <c r="I1646">
        <v>5.2965417255350401E-2</v>
      </c>
      <c r="J1646">
        <v>3.9037342035089899E-2</v>
      </c>
      <c r="K1646">
        <v>2.6523573640109599E-2</v>
      </c>
      <c r="L1646">
        <v>3443.2828489552198</v>
      </c>
      <c r="M1646">
        <v>66.037576522969303</v>
      </c>
      <c r="N1646">
        <v>52.256767821761699</v>
      </c>
      <c r="O1646">
        <v>52.093511560502499</v>
      </c>
      <c r="P1646">
        <v>-0.29539734851849597</v>
      </c>
      <c r="Q1646">
        <v>6.7907558484400804E-2</v>
      </c>
      <c r="R1646">
        <v>0.99243782425585303</v>
      </c>
      <c r="S1646" t="s">
        <v>7957</v>
      </c>
      <c r="T1646" t="s">
        <v>12620</v>
      </c>
      <c r="U1646" t="s">
        <v>12620</v>
      </c>
      <c r="V1646" t="s">
        <v>12620</v>
      </c>
      <c r="W1646" t="s">
        <v>14230</v>
      </c>
      <c r="X1646">
        <v>7</v>
      </c>
      <c r="Y1646" t="s">
        <v>20443</v>
      </c>
      <c r="Z1646" t="s">
        <v>26593</v>
      </c>
      <c r="AA1646">
        <v>0.44635965957101159</v>
      </c>
      <c r="AB1646" t="str">
        <f>HYPERLINK("Melting_Curves/meltCurve_P10619_CTSA.pdf", "Melting_Curves/meltCurve_P10619_CTSA.pdf")</f>
        <v>Melting_Curves/meltCurve_P10619_CTSA.pdf</v>
      </c>
    </row>
    <row r="1647" spans="1:28" x14ac:dyDescent="0.25">
      <c r="A1647" t="s">
        <v>1651</v>
      </c>
      <c r="B1647">
        <v>0.99987803227770999</v>
      </c>
      <c r="C1647">
        <v>0.90734032244669305</v>
      </c>
      <c r="D1647">
        <v>0.68586202425182896</v>
      </c>
      <c r="E1647">
        <v>0.72060263543575398</v>
      </c>
      <c r="F1647">
        <v>0.46437086777487402</v>
      </c>
      <c r="G1647">
        <v>0.23960254131145201</v>
      </c>
      <c r="H1647">
        <v>0.16629014040645701</v>
      </c>
      <c r="I1647">
        <v>0.15706298478250399</v>
      </c>
      <c r="J1647">
        <v>0.127152689721516</v>
      </c>
      <c r="K1647">
        <v>9.7526736507737993E-2</v>
      </c>
      <c r="L1647">
        <v>553.66660478768097</v>
      </c>
      <c r="M1647">
        <v>10.6892222978021</v>
      </c>
      <c r="N1647">
        <v>52.117922030471597</v>
      </c>
      <c r="O1647">
        <v>50.082571139737396</v>
      </c>
      <c r="P1647">
        <v>-5.1676613520783898E-2</v>
      </c>
      <c r="Q1647">
        <v>3.1875898601912797E-2</v>
      </c>
      <c r="R1647">
        <v>0.97039215286073599</v>
      </c>
      <c r="S1647" t="s">
        <v>7958</v>
      </c>
      <c r="T1647" t="s">
        <v>12620</v>
      </c>
      <c r="U1647" t="s">
        <v>12620</v>
      </c>
      <c r="V1647" t="s">
        <v>12620</v>
      </c>
      <c r="W1647" t="s">
        <v>14231</v>
      </c>
      <c r="X1647">
        <v>20</v>
      </c>
      <c r="Y1647" t="s">
        <v>20444</v>
      </c>
      <c r="Z1647" t="s">
        <v>26594</v>
      </c>
      <c r="AA1647">
        <v>0.44727236714411861</v>
      </c>
      <c r="AB1647" t="str">
        <f>HYPERLINK("Melting_Curves/meltCurve_P10644_PRKAR1A.pdf", "Melting_Curves/meltCurve_P10644_PRKAR1A.pdf")</f>
        <v>Melting_Curves/meltCurve_P10644_PRKAR1A.pdf</v>
      </c>
    </row>
    <row r="1648" spans="1:28" x14ac:dyDescent="0.25">
      <c r="A1648" t="s">
        <v>1652</v>
      </c>
      <c r="B1648">
        <v>0.99987803227770999</v>
      </c>
      <c r="C1648">
        <v>0.79883966531199302</v>
      </c>
      <c r="D1648">
        <v>0.979227528265042</v>
      </c>
      <c r="E1648">
        <v>0.69335477350316799</v>
      </c>
      <c r="F1648">
        <v>0.321643665062879</v>
      </c>
      <c r="G1648">
        <v>0.13969567861244001</v>
      </c>
      <c r="H1648">
        <v>0.100057025041381</v>
      </c>
      <c r="I1648">
        <v>9.1500189153716896E-2</v>
      </c>
      <c r="J1648">
        <v>7.7144246487655097E-2</v>
      </c>
      <c r="K1648">
        <v>5.77026083635961E-2</v>
      </c>
      <c r="L1648">
        <v>1392.00903759631</v>
      </c>
      <c r="M1648">
        <v>27.2001441365774</v>
      </c>
      <c r="N1648">
        <v>51.494726340349402</v>
      </c>
      <c r="O1648">
        <v>50.902312840811099</v>
      </c>
      <c r="P1648">
        <v>-0.123257327737352</v>
      </c>
      <c r="Q1648">
        <v>7.7354497749501802E-2</v>
      </c>
      <c r="R1648">
        <v>0.97166659522485499</v>
      </c>
      <c r="S1648" t="s">
        <v>7959</v>
      </c>
      <c r="T1648" t="s">
        <v>12620</v>
      </c>
      <c r="U1648" t="s">
        <v>12620</v>
      </c>
      <c r="V1648" t="s">
        <v>12620</v>
      </c>
      <c r="W1648" t="s">
        <v>14232</v>
      </c>
      <c r="X1648">
        <v>8</v>
      </c>
      <c r="Y1648" t="s">
        <v>20445</v>
      </c>
      <c r="Z1648" t="s">
        <v>26595</v>
      </c>
      <c r="AA1648">
        <v>0.42815854536349462</v>
      </c>
      <c r="AB1648" t="str">
        <f>HYPERLINK("Melting_Curves/meltCurve_P10746_UROS.pdf", "Melting_Curves/meltCurve_P10746_UROS.pdf")</f>
        <v>Melting_Curves/meltCurve_P10746_UROS.pdf</v>
      </c>
    </row>
    <row r="1649" spans="1:28" x14ac:dyDescent="0.25">
      <c r="A1649" t="s">
        <v>1653</v>
      </c>
      <c r="B1649">
        <v>0.99987803227770999</v>
      </c>
      <c r="C1649">
        <v>0.93112738524233396</v>
      </c>
      <c r="D1649">
        <v>1.0259683501466399</v>
      </c>
      <c r="E1649">
        <v>1.0043564778143901</v>
      </c>
      <c r="F1649">
        <v>0.97875176399988995</v>
      </c>
      <c r="G1649">
        <v>0.54813726698206999</v>
      </c>
      <c r="H1649">
        <v>0.143995451949301</v>
      </c>
      <c r="I1649">
        <v>0.107262084800775</v>
      </c>
      <c r="J1649">
        <v>6.44064011953209E-2</v>
      </c>
      <c r="K1649">
        <v>4.8074519412728001E-2</v>
      </c>
      <c r="L1649">
        <v>2283.0539032440502</v>
      </c>
      <c r="M1649">
        <v>39.9688854188433</v>
      </c>
      <c r="N1649">
        <v>57.334801318398902</v>
      </c>
      <c r="O1649">
        <v>56.978349238001698</v>
      </c>
      <c r="P1649">
        <v>-0.16321594618021101</v>
      </c>
      <c r="Q1649">
        <v>6.9300452020069001E-2</v>
      </c>
      <c r="R1649">
        <v>0.996064792189438</v>
      </c>
      <c r="S1649" t="s">
        <v>7960</v>
      </c>
      <c r="T1649" t="s">
        <v>12620</v>
      </c>
      <c r="U1649" t="s">
        <v>12620</v>
      </c>
      <c r="V1649" t="s">
        <v>12620</v>
      </c>
      <c r="W1649" t="s">
        <v>14233</v>
      </c>
      <c r="X1649">
        <v>10</v>
      </c>
      <c r="Y1649" t="s">
        <v>20446</v>
      </c>
      <c r="Z1649" t="s">
        <v>26596</v>
      </c>
      <c r="AA1649">
        <v>0.60407992144340905</v>
      </c>
      <c r="AB1649" t="str">
        <f>HYPERLINK("Melting_Curves/meltCurve_P10768_ESD.pdf", "Melting_Curves/meltCurve_P10768_ESD.pdf")</f>
        <v>Melting_Curves/meltCurve_P10768_ESD.pdf</v>
      </c>
    </row>
    <row r="1650" spans="1:28" x14ac:dyDescent="0.25">
      <c r="A1650" t="s">
        <v>1654</v>
      </c>
      <c r="B1650">
        <v>0.99987803227770999</v>
      </c>
      <c r="C1650">
        <v>0.76525073592507398</v>
      </c>
      <c r="D1650">
        <v>0.87103882786297604</v>
      </c>
      <c r="E1650">
        <v>0.52828969601396503</v>
      </c>
      <c r="F1650">
        <v>0.27170435405125798</v>
      </c>
      <c r="G1650">
        <v>0.165612120191555</v>
      </c>
      <c r="H1650">
        <v>0.10430802429619</v>
      </c>
      <c r="I1650">
        <v>9.1100530811626196E-2</v>
      </c>
      <c r="J1650">
        <v>6.8247980385245599E-2</v>
      </c>
      <c r="K1650">
        <v>4.7814211642499403E-2</v>
      </c>
      <c r="L1650">
        <v>735.36345737769102</v>
      </c>
      <c r="M1650">
        <v>14.762098565432799</v>
      </c>
      <c r="N1650">
        <v>50.100493664622398</v>
      </c>
      <c r="O1650">
        <v>48.926951243487203</v>
      </c>
      <c r="P1650">
        <v>-7.2387006297237502E-2</v>
      </c>
      <c r="Q1650">
        <v>4.0435987554732301E-2</v>
      </c>
      <c r="R1650">
        <v>0.97108635577825397</v>
      </c>
      <c r="S1650" t="s">
        <v>7961</v>
      </c>
      <c r="T1650" t="s">
        <v>12620</v>
      </c>
      <c r="U1650" t="s">
        <v>12620</v>
      </c>
      <c r="V1650" t="s">
        <v>12620</v>
      </c>
      <c r="W1650" t="s">
        <v>14234</v>
      </c>
      <c r="X1650">
        <v>48</v>
      </c>
      <c r="Y1650" t="s">
        <v>20447</v>
      </c>
      <c r="Z1650" t="s">
        <v>26597</v>
      </c>
      <c r="AA1650">
        <v>0.37803806977093229</v>
      </c>
      <c r="AB1650" t="str">
        <f>HYPERLINK("Melting_Curves/meltCurve_P10809_HSPD1.pdf", "Melting_Curves/meltCurve_P10809_HSPD1.pdf")</f>
        <v>Melting_Curves/meltCurve_P10809_HSPD1.pdf</v>
      </c>
    </row>
    <row r="1651" spans="1:28" x14ac:dyDescent="0.25">
      <c r="A1651" t="s">
        <v>1655</v>
      </c>
      <c r="B1651">
        <v>0.99987803227770999</v>
      </c>
      <c r="C1651">
        <v>1.0969137646073499</v>
      </c>
      <c r="D1651">
        <v>0.92096559870277706</v>
      </c>
      <c r="E1651">
        <v>0.96732476573241499</v>
      </c>
      <c r="F1651">
        <v>0.59177948160609295</v>
      </c>
      <c r="G1651">
        <v>1.36392513444059</v>
      </c>
      <c r="H1651">
        <v>0.42768955388401197</v>
      </c>
      <c r="I1651">
        <v>0.54178005991307798</v>
      </c>
      <c r="J1651">
        <v>0.23292950165669399</v>
      </c>
      <c r="K1651">
        <v>0.18293947270102601</v>
      </c>
      <c r="L1651">
        <v>11044.8262468372</v>
      </c>
      <c r="M1651">
        <v>182.72434668989001</v>
      </c>
      <c r="N1651">
        <v>60.783637670353301</v>
      </c>
      <c r="O1651">
        <v>60.438050593853703</v>
      </c>
      <c r="P1651">
        <v>-0.51458927724058401</v>
      </c>
      <c r="Q1651">
        <v>0.31917616484764</v>
      </c>
      <c r="R1651">
        <v>0.71933339368145199</v>
      </c>
      <c r="S1651" t="s">
        <v>7962</v>
      </c>
      <c r="T1651" t="s">
        <v>12620</v>
      </c>
      <c r="U1651" t="s">
        <v>12620</v>
      </c>
      <c r="V1651" t="s">
        <v>12620</v>
      </c>
      <c r="W1651" t="s">
        <v>14235</v>
      </c>
      <c r="X1651">
        <v>5</v>
      </c>
      <c r="Y1651" t="s">
        <v>20448</v>
      </c>
      <c r="Z1651" t="s">
        <v>26598</v>
      </c>
      <c r="AA1651">
        <v>0.78329942501379157</v>
      </c>
      <c r="AB1651" t="str">
        <f>HYPERLINK("Melting_Curves/meltCurve_P10909_4_CLU.pdf", "Melting_Curves/meltCurve_P10909_4_CLU.pdf")</f>
        <v>Melting_Curves/meltCurve_P10909_4_CLU.pdf</v>
      </c>
    </row>
    <row r="1652" spans="1:28" x14ac:dyDescent="0.25">
      <c r="A1652" t="s">
        <v>1656</v>
      </c>
      <c r="B1652">
        <v>0.99987803227770999</v>
      </c>
      <c r="C1652">
        <v>0.97462760699241702</v>
      </c>
      <c r="D1652">
        <v>1.0163802485421201</v>
      </c>
      <c r="E1652">
        <v>1.0179395229938399</v>
      </c>
      <c r="F1652">
        <v>1.0410560686864201</v>
      </c>
      <c r="G1652">
        <v>0.72603126473105295</v>
      </c>
      <c r="H1652">
        <v>0.40644397394602499</v>
      </c>
      <c r="I1652">
        <v>0.20985238920639901</v>
      </c>
      <c r="J1652">
        <v>0.13092881514257801</v>
      </c>
      <c r="K1652">
        <v>8.7991631290185807E-2</v>
      </c>
      <c r="L1652">
        <v>1528.3060670207001</v>
      </c>
      <c r="M1652">
        <v>25.735390079111198</v>
      </c>
      <c r="N1652">
        <v>59.796775425289802</v>
      </c>
      <c r="O1652">
        <v>59.0303172401076</v>
      </c>
      <c r="P1652">
        <v>-0.100150640017692</v>
      </c>
      <c r="Q1652">
        <v>8.1132819261870895E-2</v>
      </c>
      <c r="R1652">
        <v>0.99320996481752599</v>
      </c>
      <c r="S1652" t="s">
        <v>7963</v>
      </c>
      <c r="T1652" t="s">
        <v>12620</v>
      </c>
      <c r="U1652" t="s">
        <v>12620</v>
      </c>
      <c r="V1652" t="s">
        <v>12620</v>
      </c>
      <c r="W1652" t="s">
        <v>14236</v>
      </c>
      <c r="X1652">
        <v>44</v>
      </c>
      <c r="Y1652" t="s">
        <v>20449</v>
      </c>
      <c r="Z1652" t="s">
        <v>26599</v>
      </c>
      <c r="AA1652">
        <v>0.68194450325306344</v>
      </c>
      <c r="AB1652" t="str">
        <f>HYPERLINK("Melting_Curves/meltCurve_P11021_HSPA5.pdf", "Melting_Curves/meltCurve_P11021_HSPA5.pdf")</f>
        <v>Melting_Curves/meltCurve_P11021_HSPA5.pdf</v>
      </c>
    </row>
    <row r="1653" spans="1:28" x14ac:dyDescent="0.25">
      <c r="A1653" t="s">
        <v>1657</v>
      </c>
      <c r="B1653">
        <v>0.99987803227770999</v>
      </c>
      <c r="C1653">
        <v>1.10354169522376</v>
      </c>
      <c r="D1653">
        <v>0.91211735772689595</v>
      </c>
      <c r="E1653">
        <v>0.76040079514204595</v>
      </c>
      <c r="F1653">
        <v>0.52355058004259003</v>
      </c>
      <c r="G1653">
        <v>0.49194323766717801</v>
      </c>
      <c r="H1653">
        <v>0.46277874252874102</v>
      </c>
      <c r="I1653">
        <v>0.39489938846087203</v>
      </c>
      <c r="J1653">
        <v>0.392247499405324</v>
      </c>
      <c r="K1653">
        <v>0.28759178865719298</v>
      </c>
      <c r="L1653">
        <v>1011.44813431817</v>
      </c>
      <c r="M1653">
        <v>19.858487739689501</v>
      </c>
      <c r="N1653">
        <v>54.808046380320697</v>
      </c>
      <c r="O1653">
        <v>50.424742332104003</v>
      </c>
      <c r="P1653">
        <v>-6.1319724970123703E-2</v>
      </c>
      <c r="Q1653">
        <v>0.37720781010179899</v>
      </c>
      <c r="R1653">
        <v>0.95689095013865899</v>
      </c>
      <c r="S1653" t="s">
        <v>7964</v>
      </c>
      <c r="T1653" t="s">
        <v>12620</v>
      </c>
      <c r="U1653" t="s">
        <v>12620</v>
      </c>
      <c r="V1653" t="s">
        <v>12620</v>
      </c>
      <c r="W1653" t="s">
        <v>14237</v>
      </c>
      <c r="X1653">
        <v>20</v>
      </c>
      <c r="Y1653" t="s">
        <v>20450</v>
      </c>
      <c r="Z1653" t="s">
        <v>26600</v>
      </c>
      <c r="AA1653">
        <v>0.61293227635760794</v>
      </c>
      <c r="AB1653" t="str">
        <f>HYPERLINK("Melting_Curves/meltCurve_P11047_LAMC1.pdf", "Melting_Curves/meltCurve_P11047_LAMC1.pdf")</f>
        <v>Melting_Curves/meltCurve_P11047_LAMC1.pdf</v>
      </c>
    </row>
    <row r="1654" spans="1:28" x14ac:dyDescent="0.25">
      <c r="A1654" t="s">
        <v>1658</v>
      </c>
      <c r="B1654">
        <v>0.99987803227770999</v>
      </c>
      <c r="C1654">
        <v>1.1819284352888599</v>
      </c>
      <c r="D1654">
        <v>0.979575733133495</v>
      </c>
      <c r="E1654">
        <v>1.14230911572476</v>
      </c>
      <c r="F1654">
        <v>0.93537664352712402</v>
      </c>
      <c r="G1654">
        <v>0.48009776570929302</v>
      </c>
      <c r="H1654">
        <v>0.21787826668957699</v>
      </c>
      <c r="I1654">
        <v>0.16241850759016199</v>
      </c>
      <c r="J1654">
        <v>9.1950578399392496E-2</v>
      </c>
      <c r="K1654">
        <v>6.9945654768096902E-2</v>
      </c>
      <c r="L1654">
        <v>2021.0220849526099</v>
      </c>
      <c r="M1654">
        <v>35.705284177891599</v>
      </c>
      <c r="N1654">
        <v>57.007232263601097</v>
      </c>
      <c r="O1654">
        <v>56.426215737247901</v>
      </c>
      <c r="P1654">
        <v>-0.14049907512567</v>
      </c>
      <c r="Q1654">
        <v>0.111862020129582</v>
      </c>
      <c r="R1654">
        <v>0.96786352701229506</v>
      </c>
      <c r="S1654" t="s">
        <v>7965</v>
      </c>
      <c r="T1654" t="s">
        <v>12620</v>
      </c>
      <c r="U1654" t="s">
        <v>12620</v>
      </c>
      <c r="V1654" t="s">
        <v>12620</v>
      </c>
      <c r="W1654" t="s">
        <v>14238</v>
      </c>
      <c r="X1654">
        <v>4</v>
      </c>
      <c r="Y1654" t="s">
        <v>20451</v>
      </c>
      <c r="Z1654" t="s">
        <v>26601</v>
      </c>
      <c r="AA1654">
        <v>0.60767283488897916</v>
      </c>
      <c r="AB1654" t="str">
        <f>HYPERLINK("Melting_Curves/meltCurve_P11117_ACP2.pdf", "Melting_Curves/meltCurve_P11117_ACP2.pdf")</f>
        <v>Melting_Curves/meltCurve_P11117_ACP2.pdf</v>
      </c>
    </row>
    <row r="1655" spans="1:28" x14ac:dyDescent="0.25">
      <c r="A1655" t="s">
        <v>1659</v>
      </c>
      <c r="B1655">
        <v>0.99987803227770999</v>
      </c>
      <c r="C1655">
        <v>1.1552099017998501</v>
      </c>
      <c r="D1655">
        <v>1.5036420994545101</v>
      </c>
      <c r="E1655">
        <v>1.3783991665519999</v>
      </c>
      <c r="F1655">
        <v>1.35625740392798</v>
      </c>
      <c r="G1655">
        <v>0.66823427129048496</v>
      </c>
      <c r="H1655">
        <v>0.36175457965243801</v>
      </c>
      <c r="I1655">
        <v>0.26918797240806602</v>
      </c>
      <c r="J1655">
        <v>0.21224970800263099</v>
      </c>
      <c r="K1655">
        <v>0.17292062810779099</v>
      </c>
      <c r="L1655">
        <v>5073.2678770415896</v>
      </c>
      <c r="M1655">
        <v>88.764151254008496</v>
      </c>
      <c r="N1655">
        <v>57.612152309759701</v>
      </c>
      <c r="O1655">
        <v>57.125477389868202</v>
      </c>
      <c r="P1655">
        <v>-0.290187073961862</v>
      </c>
      <c r="Q1655">
        <v>0.25298339978140999</v>
      </c>
      <c r="R1655">
        <v>0.77591490693569598</v>
      </c>
      <c r="S1655" t="s">
        <v>7966</v>
      </c>
      <c r="T1655" t="s">
        <v>12620</v>
      </c>
      <c r="U1655" t="s">
        <v>12620</v>
      </c>
      <c r="V1655" t="s">
        <v>12620</v>
      </c>
      <c r="W1655" t="s">
        <v>14239</v>
      </c>
      <c r="X1655">
        <v>4</v>
      </c>
      <c r="Y1655" t="s">
        <v>20452</v>
      </c>
      <c r="Z1655" t="s">
        <v>26602</v>
      </c>
      <c r="AA1655">
        <v>0.68073443995465122</v>
      </c>
      <c r="AB1655" t="str">
        <f>HYPERLINK("Melting_Curves/meltCurve_P11137_3_MAP2.pdf", "Melting_Curves/meltCurve_P11137_3_MAP2.pdf")</f>
        <v>Melting_Curves/meltCurve_P11137_3_MAP2.pdf</v>
      </c>
    </row>
    <row r="1656" spans="1:28" x14ac:dyDescent="0.25">
      <c r="A1656" t="s">
        <v>1660</v>
      </c>
      <c r="B1656">
        <v>0.99987803227770999</v>
      </c>
      <c r="C1656">
        <v>1.0117495692098699</v>
      </c>
      <c r="D1656">
        <v>0.97872618650686505</v>
      </c>
      <c r="E1656">
        <v>1.0378503164874899</v>
      </c>
      <c r="F1656">
        <v>0.94821452878443702</v>
      </c>
      <c r="G1656">
        <v>0.27666137205626701</v>
      </c>
      <c r="H1656">
        <v>0.137466384750009</v>
      </c>
      <c r="I1656">
        <v>0.102022917851134</v>
      </c>
      <c r="J1656">
        <v>8.3560009649753297E-2</v>
      </c>
      <c r="K1656">
        <v>5.5559243482883297E-2</v>
      </c>
      <c r="L1656">
        <v>3105.6472651407998</v>
      </c>
      <c r="M1656">
        <v>55.832361916888203</v>
      </c>
      <c r="N1656">
        <v>55.8284277850153</v>
      </c>
      <c r="O1656">
        <v>55.553276909932102</v>
      </c>
      <c r="P1656">
        <v>-0.22807892941859301</v>
      </c>
      <c r="Q1656">
        <v>9.2245103631240596E-2</v>
      </c>
      <c r="R1656">
        <v>0.99728313649104505</v>
      </c>
      <c r="S1656" t="s">
        <v>7967</v>
      </c>
      <c r="T1656" t="s">
        <v>12620</v>
      </c>
      <c r="U1656" t="s">
        <v>12620</v>
      </c>
      <c r="V1656" t="s">
        <v>12620</v>
      </c>
      <c r="W1656" t="s">
        <v>14240</v>
      </c>
      <c r="X1656">
        <v>63</v>
      </c>
      <c r="Y1656" t="s">
        <v>20453</v>
      </c>
      <c r="Z1656" t="s">
        <v>26603</v>
      </c>
      <c r="AA1656">
        <v>0.56680275414144077</v>
      </c>
      <c r="AB1656" t="str">
        <f>HYPERLINK("Melting_Curves/meltCurve_P11142_HSPA8.pdf", "Melting_Curves/meltCurve_P11142_HSPA8.pdf")</f>
        <v>Melting_Curves/meltCurve_P11142_HSPA8.pdf</v>
      </c>
    </row>
    <row r="1657" spans="1:28" x14ac:dyDescent="0.25">
      <c r="A1657" t="s">
        <v>1661</v>
      </c>
      <c r="B1657">
        <v>0.99987803227770999</v>
      </c>
      <c r="C1657">
        <v>0.85071958096502898</v>
      </c>
      <c r="D1657">
        <v>0.99021704461119298</v>
      </c>
      <c r="E1657">
        <v>0.86695817316036505</v>
      </c>
      <c r="F1657">
        <v>1.06418587623007</v>
      </c>
      <c r="G1657">
        <v>0.69667099575080105</v>
      </c>
      <c r="H1657">
        <v>0.82448084284159595</v>
      </c>
      <c r="I1657">
        <v>0.77787711453984998</v>
      </c>
      <c r="J1657">
        <v>0.98102915717706696</v>
      </c>
      <c r="K1657">
        <v>0.78426737017645198</v>
      </c>
      <c r="L1657">
        <v>337.28053915252502</v>
      </c>
      <c r="M1657">
        <v>6.6787126659196199</v>
      </c>
      <c r="O1657">
        <v>46.550464508948899</v>
      </c>
      <c r="P1657">
        <v>-7.2509739136038601E-3</v>
      </c>
      <c r="Q1657">
        <v>0.79828748928923599</v>
      </c>
      <c r="R1657">
        <v>0.181985245029196</v>
      </c>
      <c r="S1657" t="s">
        <v>7968</v>
      </c>
      <c r="T1657" t="s">
        <v>12620</v>
      </c>
      <c r="U1657" t="s">
        <v>12620</v>
      </c>
      <c r="V1657" t="s">
        <v>12620</v>
      </c>
      <c r="W1657" t="s">
        <v>14241</v>
      </c>
      <c r="X1657">
        <v>3</v>
      </c>
      <c r="Y1657" t="s">
        <v>20454</v>
      </c>
      <c r="Z1657" t="s">
        <v>26604</v>
      </c>
      <c r="AA1657">
        <v>0.88248323928300232</v>
      </c>
      <c r="AB1657" t="str">
        <f>HYPERLINK("Melting_Curves/meltCurve_P11171_3_EPB41.pdf", "Melting_Curves/meltCurve_P11171_3_EPB41.pdf")</f>
        <v>Melting_Curves/meltCurve_P11171_3_EPB41.pdf</v>
      </c>
    </row>
    <row r="1658" spans="1:28" x14ac:dyDescent="0.25">
      <c r="A1658" t="s">
        <v>1662</v>
      </c>
      <c r="B1658">
        <v>0.99987803227770999</v>
      </c>
      <c r="C1658">
        <v>1.01478446521299</v>
      </c>
      <c r="D1658">
        <v>0.96637381661330302</v>
      </c>
      <c r="E1658">
        <v>0.77472992205701197</v>
      </c>
      <c r="F1658">
        <v>0.42029376128117202</v>
      </c>
      <c r="G1658">
        <v>0.17055858018223399</v>
      </c>
      <c r="H1658">
        <v>9.3867856645566405E-2</v>
      </c>
      <c r="I1658">
        <v>7.8589159898314706E-2</v>
      </c>
      <c r="J1658">
        <v>5.64822438123554E-2</v>
      </c>
      <c r="K1658">
        <v>3.9270260031473297E-2</v>
      </c>
      <c r="L1658">
        <v>1322.82594852948</v>
      </c>
      <c r="M1658">
        <v>25.3646558398225</v>
      </c>
      <c r="N1658">
        <v>52.413287101559</v>
      </c>
      <c r="O1658">
        <v>51.831405300213198</v>
      </c>
      <c r="P1658">
        <v>-0.115086451579969</v>
      </c>
      <c r="Q1658">
        <v>5.93183168394395E-2</v>
      </c>
      <c r="R1658">
        <v>0.99900530900653195</v>
      </c>
      <c r="S1658" t="s">
        <v>7969</v>
      </c>
      <c r="T1658" t="s">
        <v>12620</v>
      </c>
      <c r="U1658" t="s">
        <v>12620</v>
      </c>
      <c r="V1658" t="s">
        <v>12620</v>
      </c>
      <c r="W1658" t="s">
        <v>14242</v>
      </c>
      <c r="X1658">
        <v>29</v>
      </c>
      <c r="Y1658" t="s">
        <v>20455</v>
      </c>
      <c r="Z1658" t="s">
        <v>26605</v>
      </c>
      <c r="AA1658">
        <v>0.44873161386104571</v>
      </c>
      <c r="AB1658" t="str">
        <f>HYPERLINK("Melting_Curves/meltCurve_P11172_UMPS.pdf", "Melting_Curves/meltCurve_P11172_UMPS.pdf")</f>
        <v>Melting_Curves/meltCurve_P11172_UMPS.pdf</v>
      </c>
    </row>
    <row r="1659" spans="1:28" x14ac:dyDescent="0.25">
      <c r="A1659" t="s">
        <v>1663</v>
      </c>
      <c r="B1659">
        <v>0.99987803227770999</v>
      </c>
      <c r="C1659">
        <v>0.84984519872092801</v>
      </c>
      <c r="D1659">
        <v>0.449785259528173</v>
      </c>
      <c r="E1659">
        <v>0.46788439890464101</v>
      </c>
      <c r="F1659">
        <v>0.22850722898310999</v>
      </c>
      <c r="G1659">
        <v>0.123308395602107</v>
      </c>
      <c r="H1659">
        <v>9.3117770678126502E-2</v>
      </c>
      <c r="I1659">
        <v>8.8994156734549107E-2</v>
      </c>
      <c r="J1659">
        <v>5.1250809710783399E-2</v>
      </c>
      <c r="K1659">
        <v>3.5167538436427601E-2</v>
      </c>
      <c r="L1659">
        <v>609.56909883761398</v>
      </c>
      <c r="M1659">
        <v>12.8903670145144</v>
      </c>
      <c r="N1659">
        <v>47.601706275336298</v>
      </c>
      <c r="O1659">
        <v>46.194013287109797</v>
      </c>
      <c r="P1659">
        <v>-6.69396668446222E-2</v>
      </c>
      <c r="Q1659">
        <v>4.0633252106878799E-2</v>
      </c>
      <c r="R1659">
        <v>0.95671314514716499</v>
      </c>
      <c r="S1659" t="s">
        <v>7970</v>
      </c>
      <c r="T1659" t="s">
        <v>12620</v>
      </c>
      <c r="U1659" t="s">
        <v>12620</v>
      </c>
      <c r="V1659" t="s">
        <v>12620</v>
      </c>
      <c r="W1659" t="s">
        <v>14243</v>
      </c>
      <c r="X1659">
        <v>8</v>
      </c>
      <c r="Y1659" t="s">
        <v>20456</v>
      </c>
      <c r="Z1659" t="s">
        <v>26606</v>
      </c>
      <c r="AA1659">
        <v>0.30824684788003698</v>
      </c>
      <c r="AB1659" t="str">
        <f>HYPERLINK("Melting_Curves/meltCurve_P11177_3_PDHB.pdf", "Melting_Curves/meltCurve_P11177_3_PDHB.pdf")</f>
        <v>Melting_Curves/meltCurve_P11177_3_PDHB.pdf</v>
      </c>
    </row>
    <row r="1660" spans="1:28" x14ac:dyDescent="0.25">
      <c r="A1660" t="s">
        <v>1664</v>
      </c>
      <c r="B1660">
        <v>0.99987803227770999</v>
      </c>
      <c r="C1660">
        <v>0.73797860706986396</v>
      </c>
      <c r="D1660">
        <v>0.82452407391210802</v>
      </c>
      <c r="E1660">
        <v>0.74511500778729101</v>
      </c>
      <c r="F1660">
        <v>0.61052336975765298</v>
      </c>
      <c r="G1660">
        <v>0.484910684962024</v>
      </c>
      <c r="H1660">
        <v>0.32561235438822</v>
      </c>
      <c r="I1660">
        <v>0.22800664868295301</v>
      </c>
      <c r="J1660">
        <v>0.25132402467510501</v>
      </c>
      <c r="K1660">
        <v>0.103139947173574</v>
      </c>
      <c r="L1660">
        <v>419.35834288488502</v>
      </c>
      <c r="M1660">
        <v>7.5624190843762902</v>
      </c>
      <c r="N1660">
        <v>55.4529361738905</v>
      </c>
      <c r="O1660">
        <v>51.9734385926496</v>
      </c>
      <c r="P1660">
        <v>-3.6427088984442801E-2</v>
      </c>
      <c r="Q1660">
        <v>0</v>
      </c>
      <c r="R1660">
        <v>0.94811479923477204</v>
      </c>
      <c r="S1660" t="s">
        <v>7971</v>
      </c>
      <c r="T1660" t="s">
        <v>12620</v>
      </c>
      <c r="U1660" t="s">
        <v>12620</v>
      </c>
      <c r="V1660" t="s">
        <v>12620</v>
      </c>
      <c r="W1660" t="s">
        <v>14244</v>
      </c>
      <c r="X1660">
        <v>2</v>
      </c>
      <c r="Y1660" t="s">
        <v>20457</v>
      </c>
      <c r="Z1660" t="s">
        <v>26607</v>
      </c>
      <c r="AA1660">
        <v>0.53868347026717844</v>
      </c>
      <c r="AB1660" t="str">
        <f>HYPERLINK("Melting_Curves/meltCurve_P11182_DBT.pdf", "Melting_Curves/meltCurve_P11182_DBT.pdf")</f>
        <v>Melting_Curves/meltCurve_P11182_DBT.pdf</v>
      </c>
    </row>
    <row r="1661" spans="1:28" x14ac:dyDescent="0.25">
      <c r="A1661" t="s">
        <v>1665</v>
      </c>
      <c r="B1661">
        <v>0.99987803227770999</v>
      </c>
      <c r="C1661">
        <v>1.1138213277500999</v>
      </c>
      <c r="D1661">
        <v>0.94717479039517405</v>
      </c>
      <c r="E1661">
        <v>1.21736963407828</v>
      </c>
      <c r="F1661">
        <v>0.69022947404984603</v>
      </c>
      <c r="G1661">
        <v>0.32575160540463499</v>
      </c>
      <c r="H1661">
        <v>0.15259842852612501</v>
      </c>
      <c r="I1661">
        <v>0.12662699213783299</v>
      </c>
      <c r="J1661">
        <v>9.2531102098247803E-2</v>
      </c>
      <c r="K1661">
        <v>6.5872363978690507E-2</v>
      </c>
      <c r="L1661">
        <v>1880.3595161370699</v>
      </c>
      <c r="M1661">
        <v>34.375189204486702</v>
      </c>
      <c r="N1661">
        <v>55.083238388831397</v>
      </c>
      <c r="O1661">
        <v>54.5169268115813</v>
      </c>
      <c r="P1661">
        <v>-0.14091139893628499</v>
      </c>
      <c r="Q1661">
        <v>0.106096124008956</v>
      </c>
      <c r="R1661">
        <v>0.95398222658049703</v>
      </c>
      <c r="S1661" t="s">
        <v>7972</v>
      </c>
      <c r="T1661" t="s">
        <v>12620</v>
      </c>
      <c r="U1661" t="s">
        <v>12620</v>
      </c>
      <c r="V1661" t="s">
        <v>12620</v>
      </c>
      <c r="W1661" t="s">
        <v>14245</v>
      </c>
      <c r="X1661">
        <v>59</v>
      </c>
      <c r="Y1661" t="s">
        <v>20458</v>
      </c>
      <c r="Z1661" t="s">
        <v>26608</v>
      </c>
      <c r="AA1661">
        <v>0.5486873536434218</v>
      </c>
      <c r="AB1661" t="str">
        <f>HYPERLINK("Melting_Curves/meltCurve_P11216_PYGB.pdf", "Melting_Curves/meltCurve_P11216_PYGB.pdf")</f>
        <v>Melting_Curves/meltCurve_P11216_PYGB.pdf</v>
      </c>
    </row>
    <row r="1662" spans="1:28" x14ac:dyDescent="0.25">
      <c r="A1662" t="s">
        <v>1666</v>
      </c>
      <c r="B1662">
        <v>0.99987803227770999</v>
      </c>
      <c r="C1662">
        <v>0.97948113391020597</v>
      </c>
      <c r="D1662">
        <v>0.973780059301533</v>
      </c>
      <c r="E1662">
        <v>0.86461332521831902</v>
      </c>
      <c r="F1662">
        <v>0.99284725889896697</v>
      </c>
      <c r="G1662">
        <v>0.48050988336612399</v>
      </c>
      <c r="H1662">
        <v>0.29851091539551999</v>
      </c>
      <c r="I1662">
        <v>0.16593301943272101</v>
      </c>
      <c r="J1662">
        <v>5.9083011599685598E-2</v>
      </c>
      <c r="K1662">
        <v>5.6560401324808003E-2</v>
      </c>
      <c r="L1662">
        <v>1281.42053344807</v>
      </c>
      <c r="M1662">
        <v>22.3353812907947</v>
      </c>
      <c r="N1662">
        <v>57.654521642743198</v>
      </c>
      <c r="O1662">
        <v>56.917817649667299</v>
      </c>
      <c r="P1662">
        <v>-9.3016470182005206E-2</v>
      </c>
      <c r="Q1662">
        <v>5.1875030676304001E-2</v>
      </c>
      <c r="R1662">
        <v>0.97626284073446301</v>
      </c>
      <c r="S1662" t="s">
        <v>7973</v>
      </c>
      <c r="T1662" t="s">
        <v>12620</v>
      </c>
      <c r="U1662" t="s">
        <v>12620</v>
      </c>
      <c r="V1662" t="s">
        <v>12620</v>
      </c>
      <c r="W1662" t="s">
        <v>14246</v>
      </c>
      <c r="X1662">
        <v>3</v>
      </c>
      <c r="Y1662" t="s">
        <v>20459</v>
      </c>
      <c r="Z1662" t="s">
        <v>26609</v>
      </c>
      <c r="AA1662">
        <v>0.6107953712181885</v>
      </c>
      <c r="AB1662" t="str">
        <f>HYPERLINK("Melting_Curves/meltCurve_P11233_RALA.pdf", "Melting_Curves/meltCurve_P11233_RALA.pdf")</f>
        <v>Melting_Curves/meltCurve_P11233_RALA.pdf</v>
      </c>
    </row>
    <row r="1663" spans="1:28" x14ac:dyDescent="0.25">
      <c r="A1663" t="s">
        <v>1667</v>
      </c>
      <c r="B1663">
        <v>0.99987803227770999</v>
      </c>
      <c r="C1663">
        <v>1.0299197238385001</v>
      </c>
      <c r="D1663">
        <v>0.911399353353326</v>
      </c>
      <c r="E1663">
        <v>0.74831109195158896</v>
      </c>
      <c r="F1663">
        <v>0.56290897712028298</v>
      </c>
      <c r="G1663">
        <v>0.420880076561779</v>
      </c>
      <c r="H1663">
        <v>0.36255408987697302</v>
      </c>
      <c r="I1663">
        <v>0.31602294597709601</v>
      </c>
      <c r="J1663">
        <v>0.29008745513844197</v>
      </c>
      <c r="K1663">
        <v>0.194808830509175</v>
      </c>
      <c r="L1663">
        <v>761.03899965818596</v>
      </c>
      <c r="M1663">
        <v>14.5155256684448</v>
      </c>
      <c r="N1663">
        <v>54.891876102663197</v>
      </c>
      <c r="O1663">
        <v>51.464348935534801</v>
      </c>
      <c r="P1663">
        <v>-5.3645772587254101E-2</v>
      </c>
      <c r="Q1663">
        <v>0.23928942681860199</v>
      </c>
      <c r="R1663">
        <v>0.98803698055427203</v>
      </c>
      <c r="S1663" t="s">
        <v>7974</v>
      </c>
      <c r="T1663" t="s">
        <v>12620</v>
      </c>
      <c r="U1663" t="s">
        <v>12620</v>
      </c>
      <c r="V1663" t="s">
        <v>12620</v>
      </c>
      <c r="W1663" t="s">
        <v>14247</v>
      </c>
      <c r="X1663">
        <v>12</v>
      </c>
      <c r="Y1663" t="s">
        <v>20460</v>
      </c>
      <c r="Z1663" t="s">
        <v>26610</v>
      </c>
      <c r="AA1663">
        <v>0.57202270735358707</v>
      </c>
      <c r="AB1663" t="str">
        <f>HYPERLINK("Melting_Curves/meltCurve_P11274_BCR.pdf", "Melting_Curves/meltCurve_P11274_BCR.pdf")</f>
        <v>Melting_Curves/meltCurve_P11274_BCR.pdf</v>
      </c>
    </row>
    <row r="1664" spans="1:28" x14ac:dyDescent="0.25">
      <c r="A1664" t="s">
        <v>1668</v>
      </c>
      <c r="B1664">
        <v>0.99987803227770999</v>
      </c>
      <c r="C1664">
        <v>0.94752593084649805</v>
      </c>
      <c r="D1664">
        <v>0.94600845945352596</v>
      </c>
      <c r="E1664">
        <v>0.95983258854437703</v>
      </c>
      <c r="F1664">
        <v>1.0793374863351799</v>
      </c>
      <c r="G1664">
        <v>1.0152525649144399</v>
      </c>
      <c r="H1664">
        <v>1.1408656605085301</v>
      </c>
      <c r="I1664">
        <v>1.13434948635405</v>
      </c>
      <c r="J1664">
        <v>0.97973459033314503</v>
      </c>
      <c r="K1664">
        <v>0.78532829646274904</v>
      </c>
      <c r="L1664">
        <v>15000</v>
      </c>
      <c r="M1664">
        <v>221.61859327456699</v>
      </c>
      <c r="O1664">
        <v>67.678340673317905</v>
      </c>
      <c r="P1664">
        <v>-0.175855189796082</v>
      </c>
      <c r="Q1664">
        <v>0.78518792761654199</v>
      </c>
      <c r="R1664">
        <v>0.473407278220287</v>
      </c>
      <c r="S1664" t="s">
        <v>7975</v>
      </c>
      <c r="T1664" t="s">
        <v>12620</v>
      </c>
      <c r="U1664" t="s">
        <v>12620</v>
      </c>
      <c r="V1664" t="s">
        <v>12620</v>
      </c>
      <c r="W1664" t="s">
        <v>14248</v>
      </c>
      <c r="X1664">
        <v>2</v>
      </c>
      <c r="Y1664" t="s">
        <v>20461</v>
      </c>
      <c r="Z1664" t="s">
        <v>26611</v>
      </c>
      <c r="AA1664">
        <v>0.98344637522820766</v>
      </c>
      <c r="AB1664" t="str">
        <f>HYPERLINK("Melting_Curves/meltCurve_P11279_LAMP1.pdf", "Melting_Curves/meltCurve_P11279_LAMP1.pdf")</f>
        <v>Melting_Curves/meltCurve_P11279_LAMP1.pdf</v>
      </c>
    </row>
    <row r="1665" spans="1:28" x14ac:dyDescent="0.25">
      <c r="A1665" t="s">
        <v>1669</v>
      </c>
      <c r="B1665">
        <v>0.99987803227770999</v>
      </c>
      <c r="C1665">
        <v>1.0410902870895999</v>
      </c>
      <c r="D1665">
        <v>0.77902616826494198</v>
      </c>
      <c r="E1665">
        <v>0.66671874462472402</v>
      </c>
      <c r="F1665">
        <v>0.35820799378214802</v>
      </c>
      <c r="G1665">
        <v>0.19352010336384901</v>
      </c>
      <c r="H1665">
        <v>0.192169569991398</v>
      </c>
      <c r="I1665">
        <v>0.179022020613818</v>
      </c>
      <c r="J1665">
        <v>0.11890164751054599</v>
      </c>
      <c r="K1665">
        <v>6.5551123231362599E-2</v>
      </c>
      <c r="L1665">
        <v>860.29817573036996</v>
      </c>
      <c r="M1665">
        <v>16.983748616239101</v>
      </c>
      <c r="N1665">
        <v>51.381132084389101</v>
      </c>
      <c r="O1665">
        <v>49.967574687957203</v>
      </c>
      <c r="P1665">
        <v>-7.5903565173529003E-2</v>
      </c>
      <c r="Q1665">
        <v>0.106797470907474</v>
      </c>
      <c r="R1665">
        <v>0.97951852000913398</v>
      </c>
      <c r="S1665" t="s">
        <v>7976</v>
      </c>
      <c r="T1665" t="s">
        <v>12620</v>
      </c>
      <c r="U1665" t="s">
        <v>12620</v>
      </c>
      <c r="V1665" t="s">
        <v>12620</v>
      </c>
      <c r="W1665" t="s">
        <v>14249</v>
      </c>
      <c r="X1665">
        <v>9</v>
      </c>
      <c r="Y1665" t="s">
        <v>20462</v>
      </c>
      <c r="Z1665" t="s">
        <v>26612</v>
      </c>
      <c r="AA1665">
        <v>0.44080263577184309</v>
      </c>
      <c r="AB1665" t="str">
        <f>HYPERLINK("Melting_Curves/meltCurve_P11310_ACADM.pdf", "Melting_Curves/meltCurve_P11310_ACADM.pdf")</f>
        <v>Melting_Curves/meltCurve_P11310_ACADM.pdf</v>
      </c>
    </row>
    <row r="1666" spans="1:28" x14ac:dyDescent="0.25">
      <c r="A1666" t="s">
        <v>1670</v>
      </c>
      <c r="B1666">
        <v>0.99987803227770999</v>
      </c>
      <c r="C1666">
        <v>0.91494205404266005</v>
      </c>
      <c r="D1666">
        <v>0.79529565960253701</v>
      </c>
      <c r="E1666">
        <v>0.61619912648672504</v>
      </c>
      <c r="F1666">
        <v>0.395906417510477</v>
      </c>
      <c r="G1666">
        <v>0.21324207261544401</v>
      </c>
      <c r="H1666">
        <v>0.14795629762363899</v>
      </c>
      <c r="I1666">
        <v>0.13850342010293801</v>
      </c>
      <c r="J1666">
        <v>0.10977961607355</v>
      </c>
      <c r="K1666">
        <v>8.3513289497079798E-2</v>
      </c>
      <c r="L1666">
        <v>699.23137459789598</v>
      </c>
      <c r="M1666">
        <v>13.782747947044401</v>
      </c>
      <c r="N1666">
        <v>51.293562444505604</v>
      </c>
      <c r="O1666">
        <v>49.700172674888996</v>
      </c>
      <c r="P1666">
        <v>-6.4486315435429903E-2</v>
      </c>
      <c r="Q1666">
        <v>6.9988452389665598E-2</v>
      </c>
      <c r="R1666">
        <v>0.99693396092586495</v>
      </c>
      <c r="S1666" t="s">
        <v>7977</v>
      </c>
      <c r="T1666" t="s">
        <v>12620</v>
      </c>
      <c r="U1666" t="s">
        <v>12620</v>
      </c>
      <c r="V1666" t="s">
        <v>12620</v>
      </c>
      <c r="W1666" t="s">
        <v>14250</v>
      </c>
      <c r="X1666">
        <v>10</v>
      </c>
      <c r="Y1666" t="s">
        <v>20463</v>
      </c>
      <c r="Z1666" t="s">
        <v>26613</v>
      </c>
      <c r="AA1666">
        <v>0.42760662735648791</v>
      </c>
      <c r="AB1666" t="str">
        <f>HYPERLINK("Melting_Curves/meltCurve_P11387_TOP1.pdf", "Melting_Curves/meltCurve_P11387_TOP1.pdf")</f>
        <v>Melting_Curves/meltCurve_P11387_TOP1.pdf</v>
      </c>
    </row>
    <row r="1667" spans="1:28" x14ac:dyDescent="0.25">
      <c r="A1667" t="s">
        <v>1671</v>
      </c>
      <c r="B1667">
        <v>0.99987803227770999</v>
      </c>
      <c r="C1667">
        <v>0.94612359011126601</v>
      </c>
      <c r="D1667">
        <v>1.04392369237192</v>
      </c>
      <c r="E1667">
        <v>0.88739254579192695</v>
      </c>
      <c r="F1667">
        <v>0.91714329853677901</v>
      </c>
      <c r="G1667">
        <v>0.82378913632408002</v>
      </c>
      <c r="H1667">
        <v>0.87666532260163699</v>
      </c>
      <c r="I1667">
        <v>0.73059309430159602</v>
      </c>
      <c r="J1667">
        <v>0.71948478389041204</v>
      </c>
      <c r="K1667">
        <v>0.55350954542534203</v>
      </c>
      <c r="L1667">
        <v>452.29853646059098</v>
      </c>
      <c r="M1667">
        <v>6.02580774904692</v>
      </c>
      <c r="O1667">
        <v>68.047406170820196</v>
      </c>
      <c r="P1667">
        <v>-2.2208877338881199E-2</v>
      </c>
      <c r="Q1667">
        <v>0</v>
      </c>
      <c r="R1667">
        <v>0.87893916454998799</v>
      </c>
      <c r="S1667" t="s">
        <v>7978</v>
      </c>
      <c r="T1667" t="s">
        <v>12620</v>
      </c>
      <c r="U1667" t="s">
        <v>12620</v>
      </c>
      <c r="V1667" t="s">
        <v>12620</v>
      </c>
      <c r="W1667" t="s">
        <v>14251</v>
      </c>
      <c r="X1667">
        <v>10</v>
      </c>
      <c r="Y1667" t="s">
        <v>20464</v>
      </c>
      <c r="Z1667" t="s">
        <v>26614</v>
      </c>
      <c r="AA1667">
        <v>0.86378429278086089</v>
      </c>
      <c r="AB1667" t="str">
        <f>HYPERLINK("Melting_Curves/meltCurve_P11388_TOP2A.pdf", "Melting_Curves/meltCurve_P11388_TOP2A.pdf")</f>
        <v>Melting_Curves/meltCurve_P11388_TOP2A.pdf</v>
      </c>
    </row>
    <row r="1668" spans="1:28" x14ac:dyDescent="0.25">
      <c r="A1668" t="s">
        <v>1672</v>
      </c>
      <c r="B1668">
        <v>0.99987803227770999</v>
      </c>
      <c r="C1668">
        <v>1.1801888281745401</v>
      </c>
      <c r="D1668">
        <v>0.85997841310171996</v>
      </c>
      <c r="E1668">
        <v>1.0348352101665299</v>
      </c>
      <c r="F1668">
        <v>0.37896568218267301</v>
      </c>
      <c r="G1668">
        <v>0.14933682707158699</v>
      </c>
      <c r="H1668">
        <v>0.10467745556912</v>
      </c>
      <c r="I1668">
        <v>8.8417358876688598E-2</v>
      </c>
      <c r="J1668">
        <v>6.6534025042978603E-2</v>
      </c>
      <c r="K1668">
        <v>4.7593693440104501E-2</v>
      </c>
      <c r="L1668">
        <v>13209.209717662699</v>
      </c>
      <c r="M1668">
        <v>250</v>
      </c>
      <c r="N1668">
        <v>52.879486421267401</v>
      </c>
      <c r="O1668">
        <v>52.833459342860898</v>
      </c>
      <c r="P1668">
        <v>-1.0749440121362199</v>
      </c>
      <c r="Q1668">
        <v>9.1311857758968704E-2</v>
      </c>
      <c r="R1668">
        <v>0.97006553465067302</v>
      </c>
      <c r="S1668" t="s">
        <v>7979</v>
      </c>
      <c r="T1668" t="s">
        <v>12620</v>
      </c>
      <c r="U1668" t="s">
        <v>12620</v>
      </c>
      <c r="V1668" t="s">
        <v>12620</v>
      </c>
      <c r="W1668" t="s">
        <v>14252</v>
      </c>
      <c r="X1668">
        <v>46</v>
      </c>
      <c r="Y1668" t="s">
        <v>19201</v>
      </c>
      <c r="Z1668" t="s">
        <v>26615</v>
      </c>
      <c r="AA1668">
        <v>0.48021889395908779</v>
      </c>
      <c r="AB1668" t="str">
        <f>HYPERLINK("Melting_Curves/meltCurve_P11413_G6PD.pdf", "Melting_Curves/meltCurve_P11413_G6PD.pdf")</f>
        <v>Melting_Curves/meltCurve_P11413_G6PD.pdf</v>
      </c>
    </row>
    <row r="1669" spans="1:28" x14ac:dyDescent="0.25">
      <c r="A1669" t="s">
        <v>1673</v>
      </c>
      <c r="B1669">
        <v>0.99987803227770999</v>
      </c>
      <c r="C1669">
        <v>0.98592240039121604</v>
      </c>
      <c r="D1669">
        <v>0.947046839014416</v>
      </c>
      <c r="E1669">
        <v>0.74015346486644396</v>
      </c>
      <c r="F1669">
        <v>0.89629060997278298</v>
      </c>
      <c r="G1669">
        <v>0.78623047824287595</v>
      </c>
      <c r="H1669">
        <v>0.63210816332817898</v>
      </c>
      <c r="I1669">
        <v>0.493529490051766</v>
      </c>
      <c r="J1669">
        <v>0.40342146625139902</v>
      </c>
      <c r="K1669">
        <v>0.29480601357692598</v>
      </c>
      <c r="L1669">
        <v>517.02899466880899</v>
      </c>
      <c r="M1669">
        <v>8.0782170623478908</v>
      </c>
      <c r="N1669">
        <v>64.002857829013294</v>
      </c>
      <c r="O1669">
        <v>60.4386322931461</v>
      </c>
      <c r="P1669">
        <v>-3.3451398261172903E-2</v>
      </c>
      <c r="Q1669">
        <v>0</v>
      </c>
      <c r="R1669">
        <v>0.93669338413589998</v>
      </c>
      <c r="S1669" t="s">
        <v>7980</v>
      </c>
      <c r="T1669" t="s">
        <v>12620</v>
      </c>
      <c r="U1669" t="s">
        <v>12620</v>
      </c>
      <c r="V1669" t="s">
        <v>12620</v>
      </c>
      <c r="W1669" t="s">
        <v>14253</v>
      </c>
      <c r="X1669">
        <v>7</v>
      </c>
      <c r="Y1669" t="s">
        <v>20465</v>
      </c>
      <c r="Z1669" t="s">
        <v>26616</v>
      </c>
      <c r="AA1669">
        <v>0.73926697527909202</v>
      </c>
      <c r="AB1669" t="str">
        <f>HYPERLINK("Melting_Curves/meltCurve_P11441_UBL4A.pdf", "Melting_Curves/meltCurve_P11441_UBL4A.pdf")</f>
        <v>Melting_Curves/meltCurve_P11441_UBL4A.pdf</v>
      </c>
    </row>
    <row r="1670" spans="1:28" x14ac:dyDescent="0.25">
      <c r="A1670" t="s">
        <v>1674</v>
      </c>
      <c r="B1670">
        <v>0.99987803227770999</v>
      </c>
      <c r="C1670">
        <v>0.88403189147790295</v>
      </c>
      <c r="D1670">
        <v>0.54364688083761903</v>
      </c>
      <c r="E1670">
        <v>0.37856757912558398</v>
      </c>
      <c r="F1670">
        <v>0.23511961274468701</v>
      </c>
      <c r="G1670">
        <v>0.150922106625344</v>
      </c>
      <c r="H1670">
        <v>0.12701280062036499</v>
      </c>
      <c r="I1670">
        <v>0.118009188098661</v>
      </c>
      <c r="J1670">
        <v>7.0868020962354297E-2</v>
      </c>
      <c r="K1670">
        <v>5.2927965723276099E-2</v>
      </c>
      <c r="L1670">
        <v>738.501881837616</v>
      </c>
      <c r="M1670">
        <v>15.692042909332301</v>
      </c>
      <c r="N1670">
        <v>47.628962795851699</v>
      </c>
      <c r="O1670">
        <v>46.317781957098703</v>
      </c>
      <c r="P1670">
        <v>-7.7490890211760005E-2</v>
      </c>
      <c r="Q1670">
        <v>8.5166569443374501E-2</v>
      </c>
      <c r="R1670">
        <v>0.98526092366419804</v>
      </c>
      <c r="S1670" t="s">
        <v>7981</v>
      </c>
      <c r="T1670" t="s">
        <v>12620</v>
      </c>
      <c r="U1670" t="s">
        <v>12620</v>
      </c>
      <c r="V1670" t="s">
        <v>12620</v>
      </c>
      <c r="W1670" t="s">
        <v>14254</v>
      </c>
      <c r="X1670">
        <v>23</v>
      </c>
      <c r="Y1670" t="s">
        <v>20466</v>
      </c>
      <c r="Z1670" t="s">
        <v>26617</v>
      </c>
      <c r="AA1670">
        <v>0.32307543206345091</v>
      </c>
      <c r="AB1670" t="str">
        <f>HYPERLINK("Melting_Curves/meltCurve_P11498_PC.pdf", "Melting_Curves/meltCurve_P11498_PC.pdf")</f>
        <v>Melting_Curves/meltCurve_P11498_PC.pdf</v>
      </c>
    </row>
    <row r="1671" spans="1:28" x14ac:dyDescent="0.25">
      <c r="A1671" t="s">
        <v>1675</v>
      </c>
      <c r="B1671">
        <v>0.99987803227770999</v>
      </c>
      <c r="C1671">
        <v>1.06623276242093</v>
      </c>
      <c r="D1671">
        <v>0.443188326793301</v>
      </c>
      <c r="E1671">
        <v>0.25180139629791998</v>
      </c>
      <c r="F1671">
        <v>0.133943440427745</v>
      </c>
      <c r="G1671">
        <v>8.2417974043518999E-2</v>
      </c>
      <c r="H1671">
        <v>6.0573072393338499E-2</v>
      </c>
      <c r="I1671">
        <v>4.9793940319145399E-2</v>
      </c>
      <c r="J1671">
        <v>3.8430214912585803E-2</v>
      </c>
      <c r="K1671">
        <v>3.2264753681309502E-2</v>
      </c>
      <c r="L1671">
        <v>11478.700526827501</v>
      </c>
      <c r="M1671">
        <v>250</v>
      </c>
      <c r="N1671">
        <v>45.952514715743099</v>
      </c>
      <c r="O1671">
        <v>45.911864396208003</v>
      </c>
      <c r="P1671">
        <v>-1.2350478812682399</v>
      </c>
      <c r="Q1671">
        <v>9.2746398006338202E-2</v>
      </c>
      <c r="R1671">
        <v>0.97138845868155499</v>
      </c>
      <c r="S1671" t="s">
        <v>7982</v>
      </c>
      <c r="T1671" t="s">
        <v>12620</v>
      </c>
      <c r="U1671" t="s">
        <v>12620</v>
      </c>
      <c r="V1671" t="s">
        <v>12620</v>
      </c>
      <c r="W1671" t="s">
        <v>14255</v>
      </c>
      <c r="X1671">
        <v>52</v>
      </c>
      <c r="Y1671" t="s">
        <v>20467</v>
      </c>
      <c r="Z1671" t="s">
        <v>26618</v>
      </c>
      <c r="AA1671">
        <v>0.27169368818455403</v>
      </c>
      <c r="AB1671" t="str">
        <f>HYPERLINK("Melting_Curves/meltCurve_P11586_MTHFD1.pdf", "Melting_Curves/meltCurve_P11586_MTHFD1.pdf")</f>
        <v>Melting_Curves/meltCurve_P11586_MTHFD1.pdf</v>
      </c>
    </row>
    <row r="1672" spans="1:28" x14ac:dyDescent="0.25">
      <c r="A1672" t="s">
        <v>1676</v>
      </c>
      <c r="B1672">
        <v>0.99987803227770999</v>
      </c>
      <c r="C1672">
        <v>0.91008186915749301</v>
      </c>
      <c r="D1672">
        <v>0.90930360609510796</v>
      </c>
      <c r="E1672">
        <v>0.84464984752599304</v>
      </c>
      <c r="F1672">
        <v>0.93942633819360399</v>
      </c>
      <c r="G1672">
        <v>0.73049217422449897</v>
      </c>
      <c r="H1672">
        <v>0.879612812410969</v>
      </c>
      <c r="I1672">
        <v>0.82173569636223198</v>
      </c>
      <c r="J1672">
        <v>0.95499507540937401</v>
      </c>
      <c r="K1672">
        <v>0.717567105948543</v>
      </c>
      <c r="L1672">
        <v>524.35965508845698</v>
      </c>
      <c r="M1672">
        <v>11.5795361837142</v>
      </c>
      <c r="O1672">
        <v>43.9959634862524</v>
      </c>
      <c r="P1672">
        <v>-1.14875653698269E-2</v>
      </c>
      <c r="Q1672">
        <v>0.82546219476099003</v>
      </c>
      <c r="R1672">
        <v>0.328666953494198</v>
      </c>
      <c r="S1672" t="s">
        <v>7983</v>
      </c>
      <c r="T1672" t="s">
        <v>12620</v>
      </c>
      <c r="U1672" t="s">
        <v>12620</v>
      </c>
      <c r="V1672" t="s">
        <v>12620</v>
      </c>
      <c r="W1672" t="s">
        <v>14256</v>
      </c>
      <c r="X1672">
        <v>6</v>
      </c>
      <c r="Y1672" t="s">
        <v>20468</v>
      </c>
      <c r="Z1672" t="s">
        <v>26619</v>
      </c>
      <c r="AA1672">
        <v>0.86525252154382193</v>
      </c>
      <c r="AB1672" t="str">
        <f>HYPERLINK("Melting_Curves/meltCurve_P11717_IGF2R.pdf", "Melting_Curves/meltCurve_P11717_IGF2R.pdf")</f>
        <v>Melting_Curves/meltCurve_P11717_IGF2R.pdf</v>
      </c>
    </row>
    <row r="1673" spans="1:28" x14ac:dyDescent="0.25">
      <c r="A1673" t="s">
        <v>1677</v>
      </c>
      <c r="B1673">
        <v>0.99987803227770999</v>
      </c>
      <c r="C1673">
        <v>1.0472747141680501</v>
      </c>
      <c r="D1673">
        <v>1.0769925670438301</v>
      </c>
      <c r="E1673">
        <v>1.08081497313404</v>
      </c>
      <c r="F1673">
        <v>1.00603088906119</v>
      </c>
      <c r="G1673">
        <v>0.77328488685037</v>
      </c>
      <c r="H1673">
        <v>0.40639265859879198</v>
      </c>
      <c r="I1673">
        <v>0.16097190597876199</v>
      </c>
      <c r="J1673">
        <v>9.4888425470601306E-2</v>
      </c>
      <c r="K1673">
        <v>6.4577828025627906E-2</v>
      </c>
      <c r="L1673">
        <v>1658.2742683178799</v>
      </c>
      <c r="M1673">
        <v>27.775541170178698</v>
      </c>
      <c r="N1673">
        <v>59.918859134377101</v>
      </c>
      <c r="O1673">
        <v>59.395780867554897</v>
      </c>
      <c r="P1673">
        <v>-0.111335966393209</v>
      </c>
      <c r="Q1673">
        <v>4.7676070068637499E-2</v>
      </c>
      <c r="R1673">
        <v>0.989730247703553</v>
      </c>
      <c r="S1673" t="s">
        <v>7984</v>
      </c>
      <c r="T1673" t="s">
        <v>12620</v>
      </c>
      <c r="U1673" t="s">
        <v>12620</v>
      </c>
      <c r="V1673" t="s">
        <v>12620</v>
      </c>
      <c r="W1673" t="s">
        <v>14257</v>
      </c>
      <c r="X1673">
        <v>16</v>
      </c>
      <c r="Y1673" t="s">
        <v>20469</v>
      </c>
      <c r="Z1673" t="s">
        <v>26620</v>
      </c>
      <c r="AA1673">
        <v>0.67963701973417734</v>
      </c>
      <c r="AB1673" t="str">
        <f>HYPERLINK("Melting_Curves/meltCurve_P11766_ADH5.pdf", "Melting_Curves/meltCurve_P11766_ADH5.pdf")</f>
        <v>Melting_Curves/meltCurve_P11766_ADH5.pdf</v>
      </c>
    </row>
    <row r="1674" spans="1:28" x14ac:dyDescent="0.25">
      <c r="A1674" t="s">
        <v>1678</v>
      </c>
      <c r="B1674">
        <v>0.99987803227770999</v>
      </c>
      <c r="C1674">
        <v>0.97488519423992903</v>
      </c>
      <c r="D1674">
        <v>0.84527397980911101</v>
      </c>
      <c r="E1674">
        <v>0.58546517393419495</v>
      </c>
      <c r="F1674">
        <v>0.392411348881257</v>
      </c>
      <c r="G1674">
        <v>0.244736995904418</v>
      </c>
      <c r="H1674">
        <v>0.185041286945307</v>
      </c>
      <c r="I1674">
        <v>0.15674007234068699</v>
      </c>
      <c r="J1674">
        <v>0.101989565109169</v>
      </c>
      <c r="K1674">
        <v>6.5929644785787306E-2</v>
      </c>
      <c r="L1674">
        <v>770.70902521200196</v>
      </c>
      <c r="M1674">
        <v>15.1875476481636</v>
      </c>
      <c r="N1674">
        <v>51.429466405842902</v>
      </c>
      <c r="O1674">
        <v>49.890720955492696</v>
      </c>
      <c r="P1674">
        <v>-6.9157049775472906E-2</v>
      </c>
      <c r="Q1674">
        <v>9.1370596719475103E-2</v>
      </c>
      <c r="R1674">
        <v>0.99624265393909095</v>
      </c>
      <c r="S1674" t="s">
        <v>7985</v>
      </c>
      <c r="T1674" t="s">
        <v>12620</v>
      </c>
      <c r="U1674" t="s">
        <v>12620</v>
      </c>
      <c r="V1674" t="s">
        <v>12620</v>
      </c>
      <c r="W1674" t="s">
        <v>14258</v>
      </c>
      <c r="X1674">
        <v>9</v>
      </c>
      <c r="Y1674" t="s">
        <v>20470</v>
      </c>
      <c r="Z1674" t="s">
        <v>26621</v>
      </c>
      <c r="AA1674">
        <v>0.43756752232888402</v>
      </c>
      <c r="AB1674" t="str">
        <f>HYPERLINK("Melting_Curves/meltCurve_P11802_CDK4.pdf", "Melting_Curves/meltCurve_P11802_CDK4.pdf")</f>
        <v>Melting_Curves/meltCurve_P11802_CDK4.pdf</v>
      </c>
    </row>
    <row r="1675" spans="1:28" x14ac:dyDescent="0.25">
      <c r="A1675" t="s">
        <v>1679</v>
      </c>
      <c r="B1675">
        <v>0.99987803227770999</v>
      </c>
      <c r="C1675">
        <v>0.99359995452093597</v>
      </c>
      <c r="D1675">
        <v>1.15093436102836</v>
      </c>
      <c r="E1675">
        <v>1.3982354316797101</v>
      </c>
      <c r="F1675">
        <v>1.2684764207271799</v>
      </c>
      <c r="G1675">
        <v>0.76272109647399799</v>
      </c>
      <c r="H1675">
        <v>0.27240908327513902</v>
      </c>
      <c r="I1675">
        <v>0.13742224162651201</v>
      </c>
      <c r="J1675">
        <v>9.4021586985209502E-2</v>
      </c>
      <c r="K1675">
        <v>6.2109830705507602E-2</v>
      </c>
      <c r="L1675">
        <v>2452.8409583582602</v>
      </c>
      <c r="M1675">
        <v>41.746332087095098</v>
      </c>
      <c r="N1675">
        <v>59.036237052945602</v>
      </c>
      <c r="O1675">
        <v>58.6215055251728</v>
      </c>
      <c r="P1675">
        <v>-0.16202350347698499</v>
      </c>
      <c r="Q1675">
        <v>8.9927786865683201E-2</v>
      </c>
      <c r="R1675">
        <v>0.89352475864438796</v>
      </c>
      <c r="S1675" t="s">
        <v>7986</v>
      </c>
      <c r="T1675" t="s">
        <v>12620</v>
      </c>
      <c r="U1675" t="s">
        <v>12620</v>
      </c>
      <c r="V1675" t="s">
        <v>12620</v>
      </c>
      <c r="W1675" t="s">
        <v>14259</v>
      </c>
      <c r="X1675">
        <v>15</v>
      </c>
      <c r="Y1675" t="s">
        <v>20471</v>
      </c>
      <c r="Z1675" t="s">
        <v>26622</v>
      </c>
      <c r="AA1675">
        <v>0.66221330522206323</v>
      </c>
      <c r="AB1675" t="str">
        <f>HYPERLINK("Melting_Curves/meltCurve_P11908_PRPS2.pdf", "Melting_Curves/meltCurve_P11908_PRPS2.pdf")</f>
        <v>Melting_Curves/meltCurve_P11908_PRPS2.pdf</v>
      </c>
    </row>
    <row r="1676" spans="1:28" x14ac:dyDescent="0.25">
      <c r="A1676" t="s">
        <v>1680</v>
      </c>
      <c r="B1676">
        <v>0.99987803227770999</v>
      </c>
      <c r="C1676">
        <v>1.13918237172924</v>
      </c>
      <c r="D1676">
        <v>1.03900135068633</v>
      </c>
      <c r="E1676">
        <v>1.1063733604760899</v>
      </c>
      <c r="F1676">
        <v>1.0185166362668201</v>
      </c>
      <c r="G1676">
        <v>1.33740535651573</v>
      </c>
      <c r="H1676">
        <v>1.31682279121743</v>
      </c>
      <c r="I1676">
        <v>1.20726379928746</v>
      </c>
      <c r="J1676">
        <v>0.92404992512940298</v>
      </c>
      <c r="K1676">
        <v>0.60080878550455297</v>
      </c>
      <c r="L1676">
        <v>15000</v>
      </c>
      <c r="M1676">
        <v>222.431773405884</v>
      </c>
      <c r="O1676">
        <v>67.430957778598795</v>
      </c>
      <c r="P1676">
        <v>-0.32929466973673799</v>
      </c>
      <c r="Q1676">
        <v>0.60069275211199402</v>
      </c>
      <c r="R1676">
        <v>0.28872234884361803</v>
      </c>
      <c r="S1676" t="s">
        <v>7987</v>
      </c>
      <c r="T1676" t="s">
        <v>12620</v>
      </c>
      <c r="U1676" t="s">
        <v>12620</v>
      </c>
      <c r="V1676" t="s">
        <v>12620</v>
      </c>
      <c r="W1676" t="s">
        <v>14260</v>
      </c>
      <c r="X1676">
        <v>2</v>
      </c>
      <c r="Y1676" t="s">
        <v>20472</v>
      </c>
      <c r="Z1676" t="s">
        <v>26623</v>
      </c>
      <c r="AA1676">
        <v>0.96593641123510798</v>
      </c>
      <c r="AB1676" t="str">
        <f>HYPERLINK("Melting_Curves/meltCurve_P11926_ODC1.pdf", "Melting_Curves/meltCurve_P11926_ODC1.pdf")</f>
        <v>Melting_Curves/meltCurve_P11926_ODC1.pdf</v>
      </c>
    </row>
    <row r="1677" spans="1:28" x14ac:dyDescent="0.25">
      <c r="A1677" t="s">
        <v>1681</v>
      </c>
      <c r="B1677">
        <v>0.99987803227770999</v>
      </c>
      <c r="C1677">
        <v>1.04934079778636</v>
      </c>
      <c r="D1677">
        <v>1.0519483494355899</v>
      </c>
      <c r="E1677">
        <v>0.984848981046478</v>
      </c>
      <c r="F1677">
        <v>0.54041472657699696</v>
      </c>
      <c r="G1677">
        <v>0.18759473190520301</v>
      </c>
      <c r="H1677">
        <v>0.15356105621315599</v>
      </c>
      <c r="I1677">
        <v>0.14182269251365701</v>
      </c>
      <c r="J1677">
        <v>9.9516218769456294E-2</v>
      </c>
      <c r="K1677">
        <v>7.7242519519062899E-2</v>
      </c>
      <c r="L1677">
        <v>2730.8059250851402</v>
      </c>
      <c r="M1677">
        <v>51.590694510983397</v>
      </c>
      <c r="N1677">
        <v>53.233405866689097</v>
      </c>
      <c r="O1677">
        <v>52.852790777835096</v>
      </c>
      <c r="P1677">
        <v>-0.21313516238146901</v>
      </c>
      <c r="Q1677">
        <v>0.12660376141378599</v>
      </c>
      <c r="R1677">
        <v>0.99348971065184299</v>
      </c>
      <c r="S1677" t="s">
        <v>7988</v>
      </c>
      <c r="T1677" t="s">
        <v>12620</v>
      </c>
      <c r="U1677" t="s">
        <v>12620</v>
      </c>
      <c r="V1677" t="s">
        <v>12620</v>
      </c>
      <c r="W1677" t="s">
        <v>14261</v>
      </c>
      <c r="X1677">
        <v>37</v>
      </c>
      <c r="Y1677" t="s">
        <v>20473</v>
      </c>
      <c r="Z1677" t="s">
        <v>26624</v>
      </c>
      <c r="AA1677">
        <v>0.50501447673576139</v>
      </c>
      <c r="AB1677" t="str">
        <f>HYPERLINK("Melting_Curves/meltCurve_P11940_PABPC1.pdf", "Melting_Curves/meltCurve_P11940_PABPC1.pdf")</f>
        <v>Melting_Curves/meltCurve_P11940_PABPC1.pdf</v>
      </c>
    </row>
    <row r="1678" spans="1:28" x14ac:dyDescent="0.25">
      <c r="A1678" t="s">
        <v>1682</v>
      </c>
      <c r="B1678">
        <v>0.99987803227770999</v>
      </c>
      <c r="C1678">
        <v>1.0514068292886001</v>
      </c>
      <c r="D1678">
        <v>1.04905150845229</v>
      </c>
      <c r="E1678">
        <v>1.00693924419831</v>
      </c>
      <c r="F1678">
        <v>0.83453428234079596</v>
      </c>
      <c r="G1678">
        <v>0.42611983997728903</v>
      </c>
      <c r="H1678">
        <v>0.20880194019710099</v>
      </c>
      <c r="I1678">
        <v>0.133444306620953</v>
      </c>
      <c r="J1678">
        <v>8.7680694463935199E-2</v>
      </c>
      <c r="K1678">
        <v>5.57708402438062E-2</v>
      </c>
      <c r="L1678">
        <v>1482.708961928</v>
      </c>
      <c r="M1678">
        <v>26.4332340493064</v>
      </c>
      <c r="N1678">
        <v>56.468848360284497</v>
      </c>
      <c r="O1678">
        <v>55.774517487951002</v>
      </c>
      <c r="P1678">
        <v>-0.108917307607293</v>
      </c>
      <c r="Q1678">
        <v>8.0741340844656395E-2</v>
      </c>
      <c r="R1678">
        <v>0.99444194168814304</v>
      </c>
      <c r="S1678" t="s">
        <v>7989</v>
      </c>
      <c r="T1678" t="s">
        <v>12620</v>
      </c>
      <c r="U1678" t="s">
        <v>12620</v>
      </c>
      <c r="V1678" t="s">
        <v>12620</v>
      </c>
      <c r="W1678" t="s">
        <v>14262</v>
      </c>
      <c r="X1678">
        <v>21</v>
      </c>
      <c r="Y1678" t="s">
        <v>20474</v>
      </c>
      <c r="Z1678" t="s">
        <v>26625</v>
      </c>
      <c r="AA1678">
        <v>0.58152365117358484</v>
      </c>
      <c r="AB1678" t="str">
        <f>HYPERLINK("Melting_Curves/meltCurve_P12004_PCNA.pdf", "Melting_Curves/meltCurve_P12004_PCNA.pdf")</f>
        <v>Melting_Curves/meltCurve_P12004_PCNA.pdf</v>
      </c>
    </row>
    <row r="1679" spans="1:28" x14ac:dyDescent="0.25">
      <c r="A1679" t="s">
        <v>1683</v>
      </c>
      <c r="B1679">
        <v>0.99987803227770999</v>
      </c>
      <c r="C1679">
        <v>1.18807878618239</v>
      </c>
      <c r="D1679">
        <v>0.98668104636228504</v>
      </c>
      <c r="E1679">
        <v>0.88693788617315505</v>
      </c>
      <c r="F1679">
        <v>0.73931774604760503</v>
      </c>
      <c r="G1679">
        <v>0.48089189466790899</v>
      </c>
      <c r="H1679">
        <v>0.372908089777721</v>
      </c>
      <c r="I1679">
        <v>0.307430876697731</v>
      </c>
      <c r="J1679">
        <v>0.27283864326482599</v>
      </c>
      <c r="K1679">
        <v>0.23501056057575501</v>
      </c>
      <c r="L1679">
        <v>1031.0588909432299</v>
      </c>
      <c r="M1679">
        <v>18.806095383250099</v>
      </c>
      <c r="N1679">
        <v>56.901292020604402</v>
      </c>
      <c r="O1679">
        <v>54.217144136566297</v>
      </c>
      <c r="P1679">
        <v>-6.5196409467103103E-2</v>
      </c>
      <c r="Q1679">
        <v>0.24819772368666099</v>
      </c>
      <c r="R1679">
        <v>0.96561117589776402</v>
      </c>
      <c r="S1679" t="s">
        <v>7990</v>
      </c>
      <c r="T1679" t="s">
        <v>12620</v>
      </c>
      <c r="U1679" t="s">
        <v>12620</v>
      </c>
      <c r="V1679" t="s">
        <v>12620</v>
      </c>
      <c r="W1679" t="s">
        <v>14263</v>
      </c>
      <c r="X1679">
        <v>2</v>
      </c>
      <c r="Y1679" t="s">
        <v>20475</v>
      </c>
      <c r="Z1679" t="s">
        <v>26626</v>
      </c>
      <c r="AA1679">
        <v>0.63074380424296284</v>
      </c>
      <c r="AB1679" t="str">
        <f>HYPERLINK("Melting_Curves/meltCurve_P12109_COL6A1.pdf", "Melting_Curves/meltCurve_P12109_COL6A1.pdf")</f>
        <v>Melting_Curves/meltCurve_P12109_COL6A1.pdf</v>
      </c>
    </row>
    <row r="1680" spans="1:28" x14ac:dyDescent="0.25">
      <c r="A1680" t="s">
        <v>1684</v>
      </c>
      <c r="B1680">
        <v>0.99987803227770999</v>
      </c>
      <c r="C1680">
        <v>1.2348758495015599</v>
      </c>
      <c r="D1680">
        <v>0.93112296443948195</v>
      </c>
      <c r="E1680">
        <v>1.1935842451451499</v>
      </c>
      <c r="F1680">
        <v>0.78400656004025704</v>
      </c>
      <c r="G1680">
        <v>0.96484321482709801</v>
      </c>
      <c r="H1680">
        <v>0.95846017091109703</v>
      </c>
      <c r="I1680">
        <v>0.66442328299395503</v>
      </c>
      <c r="J1680">
        <v>0.61801821784005595</v>
      </c>
      <c r="K1680">
        <v>0.36715852619510497</v>
      </c>
      <c r="L1680">
        <v>1160.3881740536399</v>
      </c>
      <c r="M1680">
        <v>17.0472183591258</v>
      </c>
      <c r="N1680">
        <v>68.069063249727506</v>
      </c>
      <c r="O1680">
        <v>67.153083090552101</v>
      </c>
      <c r="P1680">
        <v>-6.34678991479629E-2</v>
      </c>
      <c r="Q1680">
        <v>0</v>
      </c>
      <c r="R1680">
        <v>0.75410296043755898</v>
      </c>
      <c r="S1680" t="s">
        <v>7991</v>
      </c>
      <c r="T1680" t="s">
        <v>12620</v>
      </c>
      <c r="U1680" t="s">
        <v>12620</v>
      </c>
      <c r="V1680" t="s">
        <v>12620</v>
      </c>
      <c r="W1680" t="s">
        <v>14264</v>
      </c>
      <c r="X1680">
        <v>135</v>
      </c>
      <c r="Y1680" t="s">
        <v>20476</v>
      </c>
      <c r="Z1680" t="s">
        <v>26627</v>
      </c>
      <c r="AA1680">
        <v>0.88261639993867724</v>
      </c>
      <c r="AB1680" t="str">
        <f>HYPERLINK("Melting_Curves/meltCurve_P12270_TPR.pdf", "Melting_Curves/meltCurve_P12270_TPR.pdf")</f>
        <v>Melting_Curves/meltCurve_P12270_TPR.pdf</v>
      </c>
    </row>
    <row r="1681" spans="1:28" x14ac:dyDescent="0.25">
      <c r="A1681" t="s">
        <v>1685</v>
      </c>
      <c r="B1681">
        <v>0.99987803227770999</v>
      </c>
      <c r="C1681">
        <v>1.2505134578447801</v>
      </c>
      <c r="D1681">
        <v>1.02765204646367</v>
      </c>
      <c r="E1681">
        <v>1.1770962376179499</v>
      </c>
      <c r="F1681">
        <v>0.93241422056166001</v>
      </c>
      <c r="G1681">
        <v>0.93927150653788505</v>
      </c>
      <c r="H1681">
        <v>0.59231383060138598</v>
      </c>
      <c r="I1681">
        <v>0.16964981732186701</v>
      </c>
      <c r="J1681">
        <v>8.25162176709935E-2</v>
      </c>
      <c r="K1681">
        <v>6.0502507055615197E-2</v>
      </c>
      <c r="L1681">
        <v>2662.3470261964599</v>
      </c>
      <c r="M1681">
        <v>43.412164297226902</v>
      </c>
      <c r="N1681">
        <v>61.484793667010301</v>
      </c>
      <c r="O1681">
        <v>61.1975100280413</v>
      </c>
      <c r="P1681">
        <v>-0.168007574133411</v>
      </c>
      <c r="Q1681">
        <v>5.2649915534012E-2</v>
      </c>
      <c r="R1681">
        <v>0.94758167337464105</v>
      </c>
      <c r="S1681" t="s">
        <v>7992</v>
      </c>
      <c r="T1681" t="s">
        <v>12620</v>
      </c>
      <c r="U1681" t="s">
        <v>12620</v>
      </c>
      <c r="V1681" t="s">
        <v>12620</v>
      </c>
      <c r="W1681" t="s">
        <v>14265</v>
      </c>
      <c r="X1681">
        <v>6</v>
      </c>
      <c r="Y1681" t="s">
        <v>20477</v>
      </c>
      <c r="Z1681" t="s">
        <v>26628</v>
      </c>
      <c r="AA1681">
        <v>0.72925075973195996</v>
      </c>
      <c r="AB1681" t="str">
        <f>HYPERLINK("Melting_Curves/meltCurve_P12277_CKB.pdf", "Melting_Curves/meltCurve_P12277_CKB.pdf")</f>
        <v>Melting_Curves/meltCurve_P12277_CKB.pdf</v>
      </c>
    </row>
    <row r="1682" spans="1:28" x14ac:dyDescent="0.25">
      <c r="A1682" t="s">
        <v>1686</v>
      </c>
      <c r="B1682">
        <v>0.99987803227770999</v>
      </c>
      <c r="C1682">
        <v>0.63475136289707301</v>
      </c>
      <c r="D1682">
        <v>1.0835776318944801</v>
      </c>
      <c r="E1682">
        <v>0.78300609716728997</v>
      </c>
      <c r="F1682">
        <v>0.312575805638941</v>
      </c>
      <c r="G1682">
        <v>0.110336969659471</v>
      </c>
      <c r="H1682">
        <v>7.0840762708443597E-2</v>
      </c>
      <c r="I1682">
        <v>6.3667390274939298E-2</v>
      </c>
      <c r="J1682">
        <v>4.45854801669677E-2</v>
      </c>
      <c r="K1682">
        <v>3.09832556991462E-2</v>
      </c>
      <c r="L1682">
        <v>1944.12466368431</v>
      </c>
      <c r="M1682">
        <v>37.6509364865856</v>
      </c>
      <c r="N1682">
        <v>51.8028458337171</v>
      </c>
      <c r="O1682">
        <v>51.490456535828699</v>
      </c>
      <c r="P1682">
        <v>-0.17233700784586001</v>
      </c>
      <c r="Q1682">
        <v>5.7267426539423301E-2</v>
      </c>
      <c r="R1682">
        <v>0.91049265434993198</v>
      </c>
      <c r="S1682" t="s">
        <v>7993</v>
      </c>
      <c r="T1682" t="s">
        <v>12620</v>
      </c>
      <c r="U1682" t="s">
        <v>12620</v>
      </c>
      <c r="V1682" t="s">
        <v>12620</v>
      </c>
      <c r="W1682" t="s">
        <v>14266</v>
      </c>
      <c r="X1682">
        <v>30</v>
      </c>
      <c r="Y1682" t="s">
        <v>20478</v>
      </c>
      <c r="Z1682" t="s">
        <v>26629</v>
      </c>
      <c r="AA1682">
        <v>0.42670529394879309</v>
      </c>
      <c r="AB1682" t="str">
        <f>HYPERLINK("Melting_Curves/meltCurve_P12429_ANXA3.pdf", "Melting_Curves/meltCurve_P12429_ANXA3.pdf")</f>
        <v>Melting_Curves/meltCurve_P12429_ANXA3.pdf</v>
      </c>
    </row>
    <row r="1683" spans="1:28" x14ac:dyDescent="0.25">
      <c r="A1683" t="s">
        <v>1687</v>
      </c>
      <c r="B1683">
        <v>0.99987803227770999</v>
      </c>
      <c r="C1683">
        <v>1.1044249992959301</v>
      </c>
      <c r="D1683">
        <v>1.1476360546728801</v>
      </c>
      <c r="E1683">
        <v>1.3465059434201101</v>
      </c>
      <c r="F1683">
        <v>1.1504731584919301</v>
      </c>
      <c r="G1683">
        <v>1.46958259799411</v>
      </c>
      <c r="H1683">
        <v>0.62961214609444005</v>
      </c>
      <c r="I1683">
        <v>0.77145845098157795</v>
      </c>
      <c r="J1683">
        <v>0.50914435932434199</v>
      </c>
      <c r="K1683">
        <v>0.181743243601872</v>
      </c>
      <c r="L1683">
        <v>1614.9084904993999</v>
      </c>
      <c r="M1683">
        <v>24.287627625365001</v>
      </c>
      <c r="N1683">
        <v>66.490993333564305</v>
      </c>
      <c r="O1683">
        <v>66.045134079678704</v>
      </c>
      <c r="P1683">
        <v>-9.1937080449192299E-2</v>
      </c>
      <c r="Q1683">
        <v>0</v>
      </c>
      <c r="R1683">
        <v>0.65913046178756196</v>
      </c>
      <c r="S1683" t="s">
        <v>7994</v>
      </c>
      <c r="T1683" t="s">
        <v>12620</v>
      </c>
      <c r="U1683" t="s">
        <v>12620</v>
      </c>
      <c r="V1683" t="s">
        <v>12620</v>
      </c>
      <c r="W1683" t="s">
        <v>14267</v>
      </c>
      <c r="X1683">
        <v>3</v>
      </c>
      <c r="Y1683" t="s">
        <v>20479</v>
      </c>
      <c r="Z1683" t="s">
        <v>26630</v>
      </c>
      <c r="AA1683">
        <v>0.86665344889725437</v>
      </c>
      <c r="AB1683" t="str">
        <f>HYPERLINK("Melting_Curves/meltCurve_P12532_CKMT1A.pdf", "Melting_Curves/meltCurve_P12532_CKMT1A.pdf")</f>
        <v>Melting_Curves/meltCurve_P12532_CKMT1A.pdf</v>
      </c>
    </row>
    <row r="1684" spans="1:28" x14ac:dyDescent="0.25">
      <c r="A1684" t="s">
        <v>1688</v>
      </c>
      <c r="B1684">
        <v>0.99987803227770999</v>
      </c>
      <c r="C1684">
        <v>0.96460672860019803</v>
      </c>
      <c r="D1684">
        <v>0.72312429758642804</v>
      </c>
      <c r="E1684">
        <v>0.54233142147043201</v>
      </c>
      <c r="F1684">
        <v>0.31244690119529001</v>
      </c>
      <c r="G1684">
        <v>0.292525365891113</v>
      </c>
      <c r="H1684">
        <v>0.16001586105142401</v>
      </c>
      <c r="I1684">
        <v>0.16313461277364399</v>
      </c>
      <c r="J1684">
        <v>8.9134371229442497E-2</v>
      </c>
      <c r="K1684">
        <v>5.8883586860927803E-2</v>
      </c>
      <c r="L1684">
        <v>665.14010577666704</v>
      </c>
      <c r="M1684">
        <v>13.3623197115623</v>
      </c>
      <c r="N1684">
        <v>50.458630171335699</v>
      </c>
      <c r="O1684">
        <v>48.702081179061302</v>
      </c>
      <c r="P1684">
        <v>-6.2940233747723298E-2</v>
      </c>
      <c r="Q1684">
        <v>8.2544346220996406E-2</v>
      </c>
      <c r="R1684">
        <v>0.98405793496027805</v>
      </c>
      <c r="S1684" t="s">
        <v>7995</v>
      </c>
      <c r="T1684" t="s">
        <v>12620</v>
      </c>
      <c r="U1684" t="s">
        <v>12620</v>
      </c>
      <c r="V1684" t="s">
        <v>12620</v>
      </c>
      <c r="W1684" t="s">
        <v>14268</v>
      </c>
      <c r="X1684">
        <v>5</v>
      </c>
      <c r="Y1684" t="s">
        <v>20480</v>
      </c>
      <c r="Z1684" t="s">
        <v>26631</v>
      </c>
      <c r="AA1684">
        <v>0.40852153796622709</v>
      </c>
      <c r="AB1684" t="str">
        <f>HYPERLINK("Melting_Curves/meltCurve_P12694_BCKDHA.pdf", "Melting_Curves/meltCurve_P12694_BCKDHA.pdf")</f>
        <v>Melting_Curves/meltCurve_P12694_BCKDHA.pdf</v>
      </c>
    </row>
    <row r="1685" spans="1:28" x14ac:dyDescent="0.25">
      <c r="A1685" t="s">
        <v>1689</v>
      </c>
      <c r="B1685">
        <v>0.99987803227770999</v>
      </c>
      <c r="C1685">
        <v>1.02780055014473</v>
      </c>
      <c r="D1685">
        <v>0.93999973344451904</v>
      </c>
      <c r="E1685">
        <v>1.34774956484854</v>
      </c>
      <c r="F1685">
        <v>1.14421168418373</v>
      </c>
      <c r="G1685">
        <v>1.35461584811432</v>
      </c>
      <c r="H1685">
        <v>0.93017923936085201</v>
      </c>
      <c r="I1685">
        <v>0.167388068665178</v>
      </c>
      <c r="J1685">
        <v>8.5718717364571498E-2</v>
      </c>
      <c r="K1685">
        <v>6.3373287878478596E-2</v>
      </c>
      <c r="L1685">
        <v>6122.24425667374</v>
      </c>
      <c r="M1685">
        <v>97.847040199566294</v>
      </c>
      <c r="N1685">
        <v>62.671873190073498</v>
      </c>
      <c r="O1685">
        <v>62.543416306934802</v>
      </c>
      <c r="P1685">
        <v>-0.36223995138500098</v>
      </c>
      <c r="Q1685">
        <v>7.38310417022017E-2</v>
      </c>
      <c r="R1685">
        <v>0.88205413432629998</v>
      </c>
      <c r="S1685" t="s">
        <v>7996</v>
      </c>
      <c r="T1685" t="s">
        <v>12620</v>
      </c>
      <c r="U1685" t="s">
        <v>12620</v>
      </c>
      <c r="V1685" t="s">
        <v>12620</v>
      </c>
      <c r="W1685" t="s">
        <v>14269</v>
      </c>
      <c r="X1685">
        <v>52</v>
      </c>
      <c r="Y1685" t="s">
        <v>20481</v>
      </c>
      <c r="Z1685" t="s">
        <v>26632</v>
      </c>
      <c r="AA1685">
        <v>0.77126855462714661</v>
      </c>
      <c r="AB1685" t="str">
        <f>HYPERLINK("Melting_Curves/meltCurve_P12814_ACTN1.pdf", "Melting_Curves/meltCurve_P12814_ACTN1.pdf")</f>
        <v>Melting_Curves/meltCurve_P12814_ACTN1.pdf</v>
      </c>
    </row>
    <row r="1686" spans="1:28" x14ac:dyDescent="0.25">
      <c r="A1686" t="s">
        <v>1690</v>
      </c>
      <c r="B1686">
        <v>0.99987803227770999</v>
      </c>
      <c r="C1686">
        <v>0.91057248069451102</v>
      </c>
      <c r="D1686">
        <v>0.97856965613998304</v>
      </c>
      <c r="E1686">
        <v>0.92736216176769004</v>
      </c>
      <c r="F1686">
        <v>0.78100182047173194</v>
      </c>
      <c r="G1686">
        <v>0.36711771425291201</v>
      </c>
      <c r="H1686">
        <v>8.0703263314073695E-2</v>
      </c>
      <c r="I1686">
        <v>7.0628806970277305E-2</v>
      </c>
      <c r="J1686">
        <v>4.4001920541012103E-2</v>
      </c>
      <c r="K1686">
        <v>2.9613986648125298E-2</v>
      </c>
      <c r="L1686">
        <v>1418.8775796067901</v>
      </c>
      <c r="M1686">
        <v>25.5553729017014</v>
      </c>
      <c r="N1686">
        <v>55.629024274892103</v>
      </c>
      <c r="O1686">
        <v>55.185062364443297</v>
      </c>
      <c r="P1686">
        <v>-0.112987913041209</v>
      </c>
      <c r="Q1686">
        <v>2.40536555168233E-2</v>
      </c>
      <c r="R1686">
        <v>0.99417259150369897</v>
      </c>
      <c r="S1686" t="s">
        <v>7997</v>
      </c>
      <c r="T1686" t="s">
        <v>12620</v>
      </c>
      <c r="U1686" t="s">
        <v>12620</v>
      </c>
      <c r="V1686" t="s">
        <v>12620</v>
      </c>
      <c r="W1686" t="s">
        <v>14270</v>
      </c>
      <c r="X1686">
        <v>18</v>
      </c>
      <c r="Y1686" t="s">
        <v>20482</v>
      </c>
      <c r="Z1686" t="s">
        <v>26633</v>
      </c>
      <c r="AA1686">
        <v>0.53766740424591042</v>
      </c>
      <c r="AB1686" t="str">
        <f>HYPERLINK("Melting_Curves/meltCurve_P12931_SRC.pdf", "Melting_Curves/meltCurve_P12931_SRC.pdf")</f>
        <v>Melting_Curves/meltCurve_P12931_SRC.pdf</v>
      </c>
    </row>
    <row r="1687" spans="1:28" x14ac:dyDescent="0.25">
      <c r="A1687" t="s">
        <v>1691</v>
      </c>
      <c r="B1687">
        <v>0.99987803227770999</v>
      </c>
      <c r="C1687">
        <v>0.89835183667010998</v>
      </c>
      <c r="D1687">
        <v>1.42875244573723</v>
      </c>
      <c r="E1687">
        <v>1.34942776808722</v>
      </c>
      <c r="F1687">
        <v>0.69204757487403301</v>
      </c>
      <c r="G1687">
        <v>0.69087747286693602</v>
      </c>
      <c r="H1687">
        <v>0.40483525530830999</v>
      </c>
      <c r="I1687">
        <v>0.13468473406673501</v>
      </c>
      <c r="J1687">
        <v>6.18381285730632E-2</v>
      </c>
      <c r="K1687">
        <v>4.90563656928696E-2</v>
      </c>
      <c r="L1687">
        <v>1220.74980813302</v>
      </c>
      <c r="M1687">
        <v>20.642441469990601</v>
      </c>
      <c r="N1687">
        <v>59.137859734532</v>
      </c>
      <c r="O1687">
        <v>58.591248764903803</v>
      </c>
      <c r="P1687">
        <v>-8.8080704515758196E-2</v>
      </c>
      <c r="Q1687">
        <v>0</v>
      </c>
      <c r="R1687">
        <v>0.83119270947833501</v>
      </c>
      <c r="S1687" t="s">
        <v>7998</v>
      </c>
      <c r="T1687" t="s">
        <v>12620</v>
      </c>
      <c r="U1687" t="s">
        <v>12620</v>
      </c>
      <c r="V1687" t="s">
        <v>12620</v>
      </c>
      <c r="W1687" t="s">
        <v>14271</v>
      </c>
      <c r="X1687">
        <v>19</v>
      </c>
      <c r="Y1687" t="s">
        <v>19688</v>
      </c>
      <c r="Z1687" t="s">
        <v>26634</v>
      </c>
      <c r="AA1687">
        <v>0.64759718440233272</v>
      </c>
      <c r="AB1687" t="str">
        <f>HYPERLINK("Melting_Curves/meltCurve_P12955_PEPD.pdf", "Melting_Curves/meltCurve_P12955_PEPD.pdf")</f>
        <v>Melting_Curves/meltCurve_P12955_PEPD.pdf</v>
      </c>
    </row>
    <row r="1688" spans="1:28" x14ac:dyDescent="0.25">
      <c r="A1688" t="s">
        <v>1692</v>
      </c>
      <c r="B1688">
        <v>0.99987803227770999</v>
      </c>
      <c r="C1688">
        <v>1.08944451262122</v>
      </c>
      <c r="D1688">
        <v>1.0147074884601499</v>
      </c>
      <c r="E1688">
        <v>0.85218757043417204</v>
      </c>
      <c r="F1688">
        <v>0.413594549138185</v>
      </c>
      <c r="G1688">
        <v>0.18854832840427099</v>
      </c>
      <c r="H1688">
        <v>0.11760379597628599</v>
      </c>
      <c r="I1688">
        <v>9.9768911694141205E-2</v>
      </c>
      <c r="J1688">
        <v>7.6838794026689097E-2</v>
      </c>
      <c r="K1688">
        <v>5.6866400701494797E-2</v>
      </c>
      <c r="L1688">
        <v>1790.12137618882</v>
      </c>
      <c r="M1688">
        <v>34.282957697236398</v>
      </c>
      <c r="N1688">
        <v>52.5351452236238</v>
      </c>
      <c r="O1688">
        <v>52.0393590323974</v>
      </c>
      <c r="P1688">
        <v>-0.14921870651284899</v>
      </c>
      <c r="Q1688">
        <v>9.39851754953797E-2</v>
      </c>
      <c r="R1688">
        <v>0.99240483076744002</v>
      </c>
      <c r="S1688" t="s">
        <v>7999</v>
      </c>
      <c r="T1688" t="s">
        <v>12620</v>
      </c>
      <c r="U1688" t="s">
        <v>12620</v>
      </c>
      <c r="V1688" t="s">
        <v>12620</v>
      </c>
      <c r="W1688" t="s">
        <v>14272</v>
      </c>
      <c r="X1688">
        <v>33</v>
      </c>
      <c r="Y1688" t="s">
        <v>20483</v>
      </c>
      <c r="Z1688" t="s">
        <v>26635</v>
      </c>
      <c r="AA1688">
        <v>0.46736988201626922</v>
      </c>
      <c r="AB1688" t="str">
        <f>HYPERLINK("Melting_Curves/meltCurve_P12956_XRCC6.pdf", "Melting_Curves/meltCurve_P12956_XRCC6.pdf")</f>
        <v>Melting_Curves/meltCurve_P12956_XRCC6.pdf</v>
      </c>
    </row>
    <row r="1689" spans="1:28" x14ac:dyDescent="0.25">
      <c r="A1689" t="s">
        <v>1693</v>
      </c>
      <c r="B1689">
        <v>0.99987803227770999</v>
      </c>
      <c r="C1689">
        <v>1.1275157323394001</v>
      </c>
      <c r="D1689">
        <v>0.50240173033381996</v>
      </c>
      <c r="E1689">
        <v>0.40038906468323598</v>
      </c>
      <c r="F1689">
        <v>0.23761189757732501</v>
      </c>
      <c r="G1689">
        <v>0.16144271678908501</v>
      </c>
      <c r="H1689">
        <v>0.11630209604513</v>
      </c>
      <c r="I1689">
        <v>9.1814539242400905E-2</v>
      </c>
      <c r="J1689">
        <v>8.4543544653586197E-2</v>
      </c>
      <c r="K1689">
        <v>6.1060757330719397E-2</v>
      </c>
      <c r="L1689">
        <v>959.26343859511803</v>
      </c>
      <c r="M1689">
        <v>20.273495224586998</v>
      </c>
      <c r="N1689">
        <v>47.8688111309093</v>
      </c>
      <c r="O1689">
        <v>46.862985960121499</v>
      </c>
      <c r="P1689">
        <v>-9.6870574311349003E-2</v>
      </c>
      <c r="Q1689">
        <v>0.104346976294227</v>
      </c>
      <c r="R1689">
        <v>0.93197851732896597</v>
      </c>
      <c r="S1689" t="s">
        <v>8000</v>
      </c>
      <c r="T1689" t="s">
        <v>12620</v>
      </c>
      <c r="U1689" t="s">
        <v>12620</v>
      </c>
      <c r="V1689" t="s">
        <v>12620</v>
      </c>
      <c r="W1689" t="s">
        <v>14273</v>
      </c>
      <c r="X1689">
        <v>36</v>
      </c>
      <c r="Y1689" t="s">
        <v>20484</v>
      </c>
      <c r="Z1689" t="s">
        <v>26636</v>
      </c>
      <c r="AA1689">
        <v>0.33535335704049007</v>
      </c>
      <c r="AB1689" t="str">
        <f>HYPERLINK("Melting_Curves/meltCurve_P13010_XRCC5.pdf", "Melting_Curves/meltCurve_P13010_XRCC5.pdf")</f>
        <v>Melting_Curves/meltCurve_P13010_XRCC5.pdf</v>
      </c>
    </row>
    <row r="1690" spans="1:28" x14ac:dyDescent="0.25">
      <c r="A1690" t="s">
        <v>1694</v>
      </c>
      <c r="B1690">
        <v>0.99987803227770999</v>
      </c>
      <c r="C1690">
        <v>0.88471171237478996</v>
      </c>
      <c r="D1690">
        <v>0.98625524283323096</v>
      </c>
      <c r="E1690">
        <v>0.67658417476866495</v>
      </c>
      <c r="F1690">
        <v>0.265258639290953</v>
      </c>
      <c r="G1690">
        <v>0.15350653399127701</v>
      </c>
      <c r="H1690">
        <v>0.113926563181294</v>
      </c>
      <c r="I1690">
        <v>9.1419716128851303E-2</v>
      </c>
      <c r="J1690">
        <v>7.8227015288016594E-2</v>
      </c>
      <c r="K1690">
        <v>4.93123857941778E-2</v>
      </c>
      <c r="L1690">
        <v>1662.9212598650099</v>
      </c>
      <c r="M1690">
        <v>32.689762940434299</v>
      </c>
      <c r="N1690">
        <v>51.174960713618397</v>
      </c>
      <c r="O1690">
        <v>50.6805573933568</v>
      </c>
      <c r="P1690">
        <v>-0.146974506271075</v>
      </c>
      <c r="Q1690">
        <v>8.8556893175473106E-2</v>
      </c>
      <c r="R1690">
        <v>0.98862555235489002</v>
      </c>
      <c r="S1690" t="s">
        <v>8001</v>
      </c>
      <c r="T1690" t="s">
        <v>12620</v>
      </c>
      <c r="U1690" t="s">
        <v>12620</v>
      </c>
      <c r="V1690" t="s">
        <v>12620</v>
      </c>
      <c r="W1690" t="s">
        <v>14274</v>
      </c>
      <c r="X1690">
        <v>8</v>
      </c>
      <c r="Y1690" t="s">
        <v>20485</v>
      </c>
      <c r="Z1690" t="s">
        <v>26637</v>
      </c>
      <c r="AA1690">
        <v>0.42360895503454482</v>
      </c>
      <c r="AB1690" t="str">
        <f>HYPERLINK("Melting_Curves/meltCurve_P13051_UNG.pdf", "Melting_Curves/meltCurve_P13051_UNG.pdf")</f>
        <v>Melting_Curves/meltCurve_P13051_UNG.pdf</v>
      </c>
    </row>
    <row r="1691" spans="1:28" x14ac:dyDescent="0.25">
      <c r="A1691" t="s">
        <v>1695</v>
      </c>
      <c r="B1691">
        <v>0.99987803227770999</v>
      </c>
      <c r="C1691">
        <v>0.80845452624384295</v>
      </c>
      <c r="D1691">
        <v>0.84234446399394702</v>
      </c>
      <c r="E1691">
        <v>0.685161817435332</v>
      </c>
      <c r="F1691">
        <v>0.57907944887359697</v>
      </c>
      <c r="G1691">
        <v>0.329907501581579</v>
      </c>
      <c r="H1691">
        <v>0.220729846289375</v>
      </c>
      <c r="I1691">
        <v>0.19851886518433101</v>
      </c>
      <c r="J1691">
        <v>0.17347146133271901</v>
      </c>
      <c r="K1691">
        <v>0.138659598338747</v>
      </c>
      <c r="L1691">
        <v>506.98995103930298</v>
      </c>
      <c r="M1691">
        <v>9.5162615483459696</v>
      </c>
      <c r="N1691">
        <v>53.686293551005001</v>
      </c>
      <c r="O1691">
        <v>51.082716148587402</v>
      </c>
      <c r="P1691">
        <v>-4.4966406068756501E-2</v>
      </c>
      <c r="Q1691">
        <v>3.5059153211482202E-2</v>
      </c>
      <c r="R1691">
        <v>0.97951360752941996</v>
      </c>
      <c r="S1691" t="s">
        <v>8002</v>
      </c>
      <c r="T1691" t="s">
        <v>12620</v>
      </c>
      <c r="U1691" t="s">
        <v>12620</v>
      </c>
      <c r="V1691" t="s">
        <v>12620</v>
      </c>
      <c r="W1691" t="s">
        <v>14275</v>
      </c>
      <c r="X1691">
        <v>3</v>
      </c>
      <c r="Y1691" t="s">
        <v>20486</v>
      </c>
      <c r="Z1691" t="s">
        <v>26638</v>
      </c>
      <c r="AA1691">
        <v>0.49537381385190282</v>
      </c>
      <c r="AB1691" t="str">
        <f>HYPERLINK("Melting_Curves/meltCurve_P13056_NR2C1.pdf", "Melting_Curves/meltCurve_P13056_NR2C1.pdf")</f>
        <v>Melting_Curves/meltCurve_P13056_NR2C1.pdf</v>
      </c>
    </row>
    <row r="1692" spans="1:28" x14ac:dyDescent="0.25">
      <c r="A1692" t="s">
        <v>1696</v>
      </c>
      <c r="B1692">
        <v>0.99987803227770999</v>
      </c>
      <c r="C1692">
        <v>0.76036779824243905</v>
      </c>
      <c r="D1692">
        <v>1.0483469898767399</v>
      </c>
      <c r="E1692">
        <v>0.86524841042408696</v>
      </c>
      <c r="F1692">
        <v>1.0432710330942201</v>
      </c>
      <c r="G1692">
        <v>0.34288236710616599</v>
      </c>
      <c r="H1692">
        <v>0.111844616953665</v>
      </c>
      <c r="I1692">
        <v>8.1126149717497806E-2</v>
      </c>
      <c r="J1692">
        <v>5.0673833719127898E-2</v>
      </c>
      <c r="K1692">
        <v>3.5248021708094102E-2</v>
      </c>
      <c r="L1692">
        <v>10995.699206134999</v>
      </c>
      <c r="M1692">
        <v>193.784807914185</v>
      </c>
      <c r="N1692">
        <v>56.785820065613798</v>
      </c>
      <c r="O1692">
        <v>56.735756447228901</v>
      </c>
      <c r="P1692">
        <v>-0.79435614791964904</v>
      </c>
      <c r="Q1692">
        <v>6.9722763705572594E-2</v>
      </c>
      <c r="R1692">
        <v>0.95385708411004999</v>
      </c>
      <c r="S1692" t="s">
        <v>8003</v>
      </c>
      <c r="T1692" t="s">
        <v>12620</v>
      </c>
      <c r="U1692" t="s">
        <v>12620</v>
      </c>
      <c r="V1692" t="s">
        <v>12620</v>
      </c>
      <c r="W1692" t="s">
        <v>14276</v>
      </c>
      <c r="X1692">
        <v>28</v>
      </c>
      <c r="Y1692" t="s">
        <v>20487</v>
      </c>
      <c r="Z1692" t="s">
        <v>26639</v>
      </c>
      <c r="AA1692">
        <v>0.58902754412305158</v>
      </c>
      <c r="AB1692" t="str">
        <f>HYPERLINK("Melting_Curves/meltCurve_P13489_RNH1.pdf", "Melting_Curves/meltCurve_P13489_RNH1.pdf")</f>
        <v>Melting_Curves/meltCurve_P13489_RNH1.pdf</v>
      </c>
    </row>
    <row r="1693" spans="1:28" x14ac:dyDescent="0.25">
      <c r="A1693" t="s">
        <v>1697</v>
      </c>
      <c r="B1693">
        <v>0.99987803227770999</v>
      </c>
      <c r="C1693">
        <v>0.74531350804599805</v>
      </c>
      <c r="D1693">
        <v>0.88300518237436298</v>
      </c>
      <c r="E1693">
        <v>0.76522605071899397</v>
      </c>
      <c r="F1693">
        <v>1.1477266870062801</v>
      </c>
      <c r="G1693">
        <v>0.98841602987274002</v>
      </c>
      <c r="H1693">
        <v>1.03843157655346</v>
      </c>
      <c r="I1693">
        <v>0.85653860218057398</v>
      </c>
      <c r="J1693">
        <v>1.01414555591708</v>
      </c>
      <c r="K1693">
        <v>0.95027805689352696</v>
      </c>
      <c r="L1693">
        <v>6.66445716279034</v>
      </c>
      <c r="M1693">
        <v>14.4166497578021</v>
      </c>
      <c r="Q1693">
        <v>0.93889597818950499</v>
      </c>
      <c r="R1693">
        <v>-4.3899763824129001E-9</v>
      </c>
      <c r="S1693" t="s">
        <v>8004</v>
      </c>
      <c r="T1693" t="s">
        <v>12620</v>
      </c>
      <c r="U1693" t="s">
        <v>12620</v>
      </c>
      <c r="V1693" t="s">
        <v>12620</v>
      </c>
      <c r="W1693" t="s">
        <v>14277</v>
      </c>
      <c r="X1693">
        <v>1</v>
      </c>
      <c r="Y1693" t="s">
        <v>20488</v>
      </c>
      <c r="Z1693" t="s">
        <v>26640</v>
      </c>
      <c r="AA1693">
        <v>0.9388960161277623</v>
      </c>
      <c r="AB1693" t="str">
        <f>HYPERLINK("Melting_Curves/meltCurve_P13498_CYBA.pdf", "Melting_Curves/meltCurve_P13498_CYBA.pdf")</f>
        <v>Melting_Curves/meltCurve_P13498_CYBA.pdf</v>
      </c>
    </row>
    <row r="1694" spans="1:28" x14ac:dyDescent="0.25">
      <c r="A1694" t="s">
        <v>1698</v>
      </c>
      <c r="B1694">
        <v>0.99987803227770999</v>
      </c>
      <c r="C1694">
        <v>1.04767677573422</v>
      </c>
      <c r="D1694">
        <v>1.05923085959966</v>
      </c>
      <c r="E1694">
        <v>1.0703414204453401</v>
      </c>
      <c r="F1694">
        <v>1.0357801753917399</v>
      </c>
      <c r="G1694">
        <v>0.80304342501571901</v>
      </c>
      <c r="H1694">
        <v>0.26593193468324999</v>
      </c>
      <c r="I1694">
        <v>0.128101218266472</v>
      </c>
      <c r="J1694">
        <v>8.3847289140200801E-2</v>
      </c>
      <c r="K1694">
        <v>6.0344256143342101E-2</v>
      </c>
      <c r="L1694">
        <v>2328.35682916217</v>
      </c>
      <c r="M1694">
        <v>39.500184868837401</v>
      </c>
      <c r="N1694">
        <v>59.184214932768697</v>
      </c>
      <c r="O1694">
        <v>58.794992450161502</v>
      </c>
      <c r="P1694">
        <v>-0.15558675018863299</v>
      </c>
      <c r="Q1694">
        <v>7.3654775708306197E-2</v>
      </c>
      <c r="R1694">
        <v>0.99282398734543398</v>
      </c>
      <c r="S1694" t="s">
        <v>8005</v>
      </c>
      <c r="T1694" t="s">
        <v>12620</v>
      </c>
      <c r="U1694" t="s">
        <v>12620</v>
      </c>
      <c r="V1694" t="s">
        <v>12620</v>
      </c>
      <c r="W1694" t="s">
        <v>14278</v>
      </c>
      <c r="X1694">
        <v>71</v>
      </c>
      <c r="Y1694" t="s">
        <v>20489</v>
      </c>
      <c r="Z1694" t="s">
        <v>26641</v>
      </c>
      <c r="AA1694">
        <v>0.66239342529060175</v>
      </c>
      <c r="AB1694" t="str">
        <f>HYPERLINK("Melting_Curves/meltCurve_P13639_EEF2.pdf", "Melting_Curves/meltCurve_P13639_EEF2.pdf")</f>
        <v>Melting_Curves/meltCurve_P13639_EEF2.pdf</v>
      </c>
    </row>
    <row r="1695" spans="1:28" x14ac:dyDescent="0.25">
      <c r="A1695" t="s">
        <v>1699</v>
      </c>
      <c r="B1695">
        <v>0.99987803227770999</v>
      </c>
      <c r="C1695">
        <v>0.34278182987872602</v>
      </c>
      <c r="D1695">
        <v>1.15960512848968</v>
      </c>
      <c r="E1695">
        <v>0.38304348645770397</v>
      </c>
      <c r="F1695">
        <v>0.29529950838741797</v>
      </c>
      <c r="G1695">
        <v>0.49167001603937699</v>
      </c>
      <c r="H1695">
        <v>0.44887340383279201</v>
      </c>
      <c r="I1695">
        <v>1.50983830469794</v>
      </c>
      <c r="J1695">
        <v>0.220700491315136</v>
      </c>
      <c r="K1695">
        <v>0.29238024250123701</v>
      </c>
      <c r="L1695">
        <v>664.70176643810896</v>
      </c>
      <c r="M1695">
        <v>15.898339241465299</v>
      </c>
      <c r="O1695">
        <v>41.164798472342298</v>
      </c>
      <c r="P1695">
        <v>-4.35193072840264E-2</v>
      </c>
      <c r="Q1695">
        <v>0.54930658445888902</v>
      </c>
      <c r="R1695">
        <v>6.23402632585583E-2</v>
      </c>
      <c r="S1695" t="s">
        <v>8006</v>
      </c>
      <c r="T1695" t="s">
        <v>12620</v>
      </c>
      <c r="U1695" t="s">
        <v>12620</v>
      </c>
      <c r="V1695" t="s">
        <v>12620</v>
      </c>
      <c r="W1695" t="s">
        <v>14279</v>
      </c>
      <c r="X1695">
        <v>15</v>
      </c>
      <c r="Y1695" t="s">
        <v>20490</v>
      </c>
      <c r="Z1695" t="s">
        <v>26642</v>
      </c>
      <c r="AA1695">
        <v>0.59768100725310724</v>
      </c>
      <c r="AB1695" t="str">
        <f>HYPERLINK("Melting_Curves/meltCurve_P13647_KRT5.pdf", "Melting_Curves/meltCurve_P13647_KRT5.pdf")</f>
        <v>Melting_Curves/meltCurve_P13647_KRT5.pdf</v>
      </c>
    </row>
    <row r="1696" spans="1:28" x14ac:dyDescent="0.25">
      <c r="A1696" t="s">
        <v>1700</v>
      </c>
      <c r="B1696">
        <v>0.99987803227770999</v>
      </c>
      <c r="C1696">
        <v>0.933280556573995</v>
      </c>
      <c r="D1696">
        <v>1.0854306140532599</v>
      </c>
      <c r="E1696">
        <v>0.92100041018378898</v>
      </c>
      <c r="F1696">
        <v>0.68879319830923003</v>
      </c>
      <c r="G1696">
        <v>0.407894562823301</v>
      </c>
      <c r="H1696">
        <v>0.20401537287490401</v>
      </c>
      <c r="I1696">
        <v>0.15176636432402199</v>
      </c>
      <c r="J1696">
        <v>0.109048290653079</v>
      </c>
      <c r="K1696">
        <v>7.1659024861016302E-2</v>
      </c>
      <c r="L1696">
        <v>1119.66719833195</v>
      </c>
      <c r="M1696">
        <v>20.290126981610999</v>
      </c>
      <c r="N1696">
        <v>55.676728477593798</v>
      </c>
      <c r="O1696">
        <v>54.655221329887901</v>
      </c>
      <c r="P1696">
        <v>-8.5168797432762705E-2</v>
      </c>
      <c r="Q1696">
        <v>8.2356390546890298E-2</v>
      </c>
      <c r="R1696">
        <v>0.98888124700163205</v>
      </c>
      <c r="S1696" t="s">
        <v>8007</v>
      </c>
      <c r="T1696" t="s">
        <v>12620</v>
      </c>
      <c r="U1696" t="s">
        <v>12620</v>
      </c>
      <c r="V1696" t="s">
        <v>12620</v>
      </c>
      <c r="W1696" t="s">
        <v>14280</v>
      </c>
      <c r="X1696">
        <v>53</v>
      </c>
      <c r="Y1696" t="s">
        <v>20491</v>
      </c>
      <c r="Z1696" t="s">
        <v>26643</v>
      </c>
      <c r="AA1696">
        <v>0.55867183505742302</v>
      </c>
      <c r="AB1696" t="str">
        <f>HYPERLINK("Melting_Curves/meltCurve_P13667_PDIA4.pdf", "Melting_Curves/meltCurve_P13667_PDIA4.pdf")</f>
        <v>Melting_Curves/meltCurve_P13667_PDIA4.pdf</v>
      </c>
    </row>
    <row r="1697" spans="1:28" x14ac:dyDescent="0.25">
      <c r="A1697" t="s">
        <v>1701</v>
      </c>
      <c r="B1697">
        <v>0.99987803227770999</v>
      </c>
      <c r="C1697">
        <v>1.1154358444305199</v>
      </c>
      <c r="D1697">
        <v>0.76398398434835302</v>
      </c>
      <c r="E1697">
        <v>0.78135506088403095</v>
      </c>
      <c r="F1697">
        <v>0.46380769525465498</v>
      </c>
      <c r="G1697">
        <v>0.39483686956049402</v>
      </c>
      <c r="H1697">
        <v>0.15769767692483</v>
      </c>
      <c r="I1697">
        <v>9.0221169603165799E-2</v>
      </c>
      <c r="J1697">
        <v>7.0120874487699297E-2</v>
      </c>
      <c r="K1697">
        <v>4.4139053868910101E-2</v>
      </c>
      <c r="L1697">
        <v>684.59565698983295</v>
      </c>
      <c r="M1697">
        <v>12.7672960460953</v>
      </c>
      <c r="N1697">
        <v>53.621038749783899</v>
      </c>
      <c r="O1697">
        <v>52.356616714525501</v>
      </c>
      <c r="P1697">
        <v>-6.09746997407562E-2</v>
      </c>
      <c r="Q1697">
        <v>0</v>
      </c>
      <c r="R1697">
        <v>0.96121725932417901</v>
      </c>
      <c r="S1697" t="s">
        <v>8008</v>
      </c>
      <c r="T1697" t="s">
        <v>12620</v>
      </c>
      <c r="U1697" t="s">
        <v>12620</v>
      </c>
      <c r="V1697" t="s">
        <v>12620</v>
      </c>
      <c r="W1697" t="s">
        <v>14281</v>
      </c>
      <c r="X1697">
        <v>7</v>
      </c>
      <c r="Y1697" t="s">
        <v>20492</v>
      </c>
      <c r="Z1697" t="s">
        <v>26644</v>
      </c>
      <c r="AA1697">
        <v>0.47938503892934142</v>
      </c>
      <c r="AB1697" t="str">
        <f>HYPERLINK("Melting_Curves/meltCurve_P13674_2_P4HA1.pdf", "Melting_Curves/meltCurve_P13674_2_P4HA1.pdf")</f>
        <v>Melting_Curves/meltCurve_P13674_2_P4HA1.pdf</v>
      </c>
    </row>
    <row r="1698" spans="1:28" x14ac:dyDescent="0.25">
      <c r="A1698" t="s">
        <v>1702</v>
      </c>
      <c r="B1698">
        <v>0.99987803227770999</v>
      </c>
      <c r="C1698">
        <v>0.77959996575476498</v>
      </c>
      <c r="D1698">
        <v>1.1037778731905199</v>
      </c>
      <c r="E1698">
        <v>0.86491234396933603</v>
      </c>
      <c r="F1698">
        <v>0.79662246306458095</v>
      </c>
      <c r="G1698">
        <v>0.38542871778280602</v>
      </c>
      <c r="H1698">
        <v>0.33736809812657897</v>
      </c>
      <c r="I1698">
        <v>0.32273457740870498</v>
      </c>
      <c r="J1698">
        <v>0.33554689878504401</v>
      </c>
      <c r="K1698">
        <v>0.25479993494245201</v>
      </c>
      <c r="L1698">
        <v>1614.2550454192201</v>
      </c>
      <c r="M1698">
        <v>29.854388479746699</v>
      </c>
      <c r="N1698">
        <v>55.773067107444803</v>
      </c>
      <c r="O1698">
        <v>53.830080387965502</v>
      </c>
      <c r="P1698">
        <v>-9.7200389466492496E-2</v>
      </c>
      <c r="Q1698">
        <v>0.29896134594464402</v>
      </c>
      <c r="R1698">
        <v>0.92139921677183101</v>
      </c>
      <c r="S1698" t="s">
        <v>8009</v>
      </c>
      <c r="T1698" t="s">
        <v>12620</v>
      </c>
      <c r="U1698" t="s">
        <v>12620</v>
      </c>
      <c r="V1698" t="s">
        <v>12620</v>
      </c>
      <c r="W1698" t="s">
        <v>14282</v>
      </c>
      <c r="X1698">
        <v>12</v>
      </c>
      <c r="Y1698" t="s">
        <v>20493</v>
      </c>
      <c r="Z1698" t="s">
        <v>26645</v>
      </c>
      <c r="AA1698">
        <v>0.63242263398622001</v>
      </c>
      <c r="AB1698" t="str">
        <f>HYPERLINK("Melting_Curves/meltCurve_P13693_TPT1.pdf", "Melting_Curves/meltCurve_P13693_TPT1.pdf")</f>
        <v>Melting_Curves/meltCurve_P13693_TPT1.pdf</v>
      </c>
    </row>
    <row r="1699" spans="1:28" x14ac:dyDescent="0.25">
      <c r="A1699" t="s">
        <v>1703</v>
      </c>
      <c r="B1699">
        <v>0.99987803227770999</v>
      </c>
      <c r="C1699">
        <v>0.89178599913397505</v>
      </c>
      <c r="D1699">
        <v>1.1417601061768801</v>
      </c>
      <c r="E1699">
        <v>0.94056442724107603</v>
      </c>
      <c r="F1699">
        <v>1.2827230059375101</v>
      </c>
      <c r="G1699">
        <v>0.76824958397930099</v>
      </c>
      <c r="H1699">
        <v>0.15618455201279699</v>
      </c>
      <c r="I1699">
        <v>0.121239952426124</v>
      </c>
      <c r="J1699">
        <v>8.2452610191930106E-2</v>
      </c>
      <c r="K1699">
        <v>5.6134258612408797E-2</v>
      </c>
      <c r="L1699">
        <v>3479.86688675916</v>
      </c>
      <c r="M1699">
        <v>59.916614271675698</v>
      </c>
      <c r="N1699">
        <v>58.271915219935899</v>
      </c>
      <c r="O1699">
        <v>58.013911040025498</v>
      </c>
      <c r="P1699">
        <v>-0.23491759422275499</v>
      </c>
      <c r="Q1699">
        <v>9.0170124335035101E-2</v>
      </c>
      <c r="R1699">
        <v>0.94370781938487602</v>
      </c>
      <c r="S1699" t="s">
        <v>8010</v>
      </c>
      <c r="T1699" t="s">
        <v>12620</v>
      </c>
      <c r="U1699" t="s">
        <v>12620</v>
      </c>
      <c r="V1699" t="s">
        <v>12620</v>
      </c>
      <c r="W1699" t="s">
        <v>14283</v>
      </c>
      <c r="X1699">
        <v>47</v>
      </c>
      <c r="Y1699" t="s">
        <v>20494</v>
      </c>
      <c r="Z1699" t="s">
        <v>26646</v>
      </c>
      <c r="AA1699">
        <v>0.64006742062614874</v>
      </c>
      <c r="AB1699" t="str">
        <f>HYPERLINK("Melting_Curves/meltCurve_P13797_PLS3.pdf", "Melting_Curves/meltCurve_P13797_PLS3.pdf")</f>
        <v>Melting_Curves/meltCurve_P13797_PLS3.pdf</v>
      </c>
    </row>
    <row r="1700" spans="1:28" x14ac:dyDescent="0.25">
      <c r="A1700" t="s">
        <v>1704</v>
      </c>
      <c r="B1700">
        <v>0.99987803227770999</v>
      </c>
      <c r="C1700">
        <v>1.0934053746772801</v>
      </c>
      <c r="D1700">
        <v>0.90013985981920797</v>
      </c>
      <c r="E1700">
        <v>1.1897977072194299</v>
      </c>
      <c r="F1700">
        <v>0.88640043207185903</v>
      </c>
      <c r="G1700">
        <v>1.08673716282585</v>
      </c>
      <c r="H1700">
        <v>1.3635200121341799</v>
      </c>
      <c r="I1700">
        <v>1.2122690927622699</v>
      </c>
      <c r="J1700">
        <v>0.35803873528529001</v>
      </c>
      <c r="K1700">
        <v>0.109363330352078</v>
      </c>
      <c r="L1700">
        <v>15000</v>
      </c>
      <c r="M1700">
        <v>224.82830449949799</v>
      </c>
      <c r="N1700">
        <v>66.790861486821996</v>
      </c>
      <c r="O1700">
        <v>66.712300609484302</v>
      </c>
      <c r="P1700">
        <v>-0.75044038152280701</v>
      </c>
      <c r="Q1700">
        <v>0.10930070105739401</v>
      </c>
      <c r="R1700">
        <v>0.81890444889414704</v>
      </c>
      <c r="S1700" t="s">
        <v>8011</v>
      </c>
      <c r="T1700" t="s">
        <v>12620</v>
      </c>
      <c r="U1700" t="s">
        <v>12620</v>
      </c>
      <c r="V1700" t="s">
        <v>12620</v>
      </c>
      <c r="W1700" t="s">
        <v>14284</v>
      </c>
      <c r="X1700">
        <v>24</v>
      </c>
      <c r="Y1700" t="s">
        <v>20495</v>
      </c>
      <c r="Z1700" t="s">
        <v>26647</v>
      </c>
      <c r="AA1700">
        <v>0.90267367397454423</v>
      </c>
      <c r="AB1700" t="str">
        <f>HYPERLINK("Melting_Curves/meltCurve_P13798_APEH.pdf", "Melting_Curves/meltCurve_P13798_APEH.pdf")</f>
        <v>Melting_Curves/meltCurve_P13798_APEH.pdf</v>
      </c>
    </row>
    <row r="1701" spans="1:28" x14ac:dyDescent="0.25">
      <c r="A1701" t="s">
        <v>1705</v>
      </c>
      <c r="B1701">
        <v>0.99987803227770999</v>
      </c>
      <c r="C1701">
        <v>0.68294665257494003</v>
      </c>
      <c r="D1701">
        <v>0.44577255255965897</v>
      </c>
      <c r="E1701">
        <v>0.31810961579217201</v>
      </c>
      <c r="F1701">
        <v>0.231075342547999</v>
      </c>
      <c r="G1701">
        <v>0.14531378650442001</v>
      </c>
      <c r="H1701">
        <v>8.9741800332767102E-2</v>
      </c>
      <c r="I1701">
        <v>5.42629919869691E-2</v>
      </c>
      <c r="J1701">
        <v>3.7609278174837099E-2</v>
      </c>
      <c r="K1701">
        <v>2.6643282701953201E-2</v>
      </c>
      <c r="L1701">
        <v>601.59110877710702</v>
      </c>
      <c r="M1701">
        <v>13.111281851144099</v>
      </c>
      <c r="N1701">
        <v>46.221619729299498</v>
      </c>
      <c r="O1701">
        <v>44.855475975284897</v>
      </c>
      <c r="P1701">
        <v>-6.9745233854326003E-2</v>
      </c>
      <c r="Q1701">
        <v>4.5731626584389E-2</v>
      </c>
      <c r="R1701">
        <v>0.97119620450422595</v>
      </c>
      <c r="S1701" t="s">
        <v>8012</v>
      </c>
      <c r="T1701" t="s">
        <v>12620</v>
      </c>
      <c r="U1701" t="s">
        <v>12620</v>
      </c>
      <c r="V1701" t="s">
        <v>12620</v>
      </c>
      <c r="W1701" t="s">
        <v>14285</v>
      </c>
      <c r="X1701">
        <v>12</v>
      </c>
      <c r="Y1701" t="s">
        <v>20496</v>
      </c>
      <c r="Z1701" t="s">
        <v>26648</v>
      </c>
      <c r="AA1701">
        <v>0.26990397655145748</v>
      </c>
      <c r="AB1701" t="str">
        <f>HYPERLINK("Melting_Curves/meltCurve_P13804_ETFA.pdf", "Melting_Curves/meltCurve_P13804_ETFA.pdf")</f>
        <v>Melting_Curves/meltCurve_P13804_ETFA.pdf</v>
      </c>
    </row>
    <row r="1702" spans="1:28" x14ac:dyDescent="0.25">
      <c r="A1702" t="s">
        <v>1706</v>
      </c>
      <c r="B1702">
        <v>0.99987803227770999</v>
      </c>
      <c r="C1702">
        <v>0.83714768200731904</v>
      </c>
      <c r="D1702">
        <v>0.67769710709537401</v>
      </c>
      <c r="E1702">
        <v>1.0816043936194299</v>
      </c>
      <c r="F1702">
        <v>0.66785200571318404</v>
      </c>
      <c r="G1702">
        <v>0.41195766059702599</v>
      </c>
      <c r="H1702">
        <v>0.128842528294487</v>
      </c>
      <c r="I1702">
        <v>0.11130239297195101</v>
      </c>
      <c r="J1702">
        <v>7.4812663209765901E-2</v>
      </c>
      <c r="K1702">
        <v>4.8594008370968902E-2</v>
      </c>
      <c r="L1702">
        <v>1182.7961696483201</v>
      </c>
      <c r="M1702">
        <v>21.348274247071</v>
      </c>
      <c r="N1702">
        <v>55.641094413955202</v>
      </c>
      <c r="O1702">
        <v>54.925490897741398</v>
      </c>
      <c r="P1702">
        <v>-9.2960029578139203E-2</v>
      </c>
      <c r="Q1702">
        <v>4.3342508596608403E-2</v>
      </c>
      <c r="R1702">
        <v>0.890808670701429</v>
      </c>
      <c r="S1702" t="s">
        <v>8013</v>
      </c>
      <c r="T1702" t="s">
        <v>12620</v>
      </c>
      <c r="U1702" t="s">
        <v>12620</v>
      </c>
      <c r="V1702" t="s">
        <v>12620</v>
      </c>
      <c r="W1702" t="s">
        <v>14286</v>
      </c>
      <c r="X1702">
        <v>3</v>
      </c>
      <c r="Y1702" t="s">
        <v>20497</v>
      </c>
      <c r="Z1702" t="s">
        <v>26649</v>
      </c>
      <c r="AA1702">
        <v>0.5460029836677649</v>
      </c>
      <c r="AB1702" t="str">
        <f>HYPERLINK("Melting_Curves/meltCurve_P13807_2_GYS1.pdf", "Melting_Curves/meltCurve_P13807_2_GYS1.pdf")</f>
        <v>Melting_Curves/meltCurve_P13807_2_GYS1.pdf</v>
      </c>
    </row>
    <row r="1703" spans="1:28" x14ac:dyDescent="0.25">
      <c r="A1703" t="s">
        <v>1707</v>
      </c>
      <c r="B1703">
        <v>0.99987803227770999</v>
      </c>
      <c r="C1703">
        <v>1.0638698562845901</v>
      </c>
      <c r="D1703">
        <v>0.76862766175703801</v>
      </c>
      <c r="E1703">
        <v>0.69801730043661103</v>
      </c>
      <c r="F1703">
        <v>0.44852572606503199</v>
      </c>
      <c r="G1703">
        <v>0.24658984255469801</v>
      </c>
      <c r="H1703">
        <v>0.15011816285867999</v>
      </c>
      <c r="I1703">
        <v>0.12705166589671499</v>
      </c>
      <c r="J1703">
        <v>0.12054062815370301</v>
      </c>
      <c r="K1703">
        <v>8.7284600232747506E-2</v>
      </c>
      <c r="L1703">
        <v>774.41314475700096</v>
      </c>
      <c r="M1703">
        <v>14.984590550273699</v>
      </c>
      <c r="N1703">
        <v>52.2483546840215</v>
      </c>
      <c r="O1703">
        <v>50.786417619363498</v>
      </c>
      <c r="P1703">
        <v>-6.8228094171784201E-2</v>
      </c>
      <c r="Q1703">
        <v>7.5127615103227893E-2</v>
      </c>
      <c r="R1703">
        <v>0.98092344471009996</v>
      </c>
      <c r="S1703" t="s">
        <v>8014</v>
      </c>
      <c r="T1703" t="s">
        <v>12620</v>
      </c>
      <c r="U1703" t="s">
        <v>12620</v>
      </c>
      <c r="V1703" t="s">
        <v>12620</v>
      </c>
      <c r="W1703" t="s">
        <v>14287</v>
      </c>
      <c r="X1703">
        <v>19</v>
      </c>
      <c r="Y1703" t="s">
        <v>20498</v>
      </c>
      <c r="Z1703" t="s">
        <v>26650</v>
      </c>
      <c r="AA1703">
        <v>0.45616812104339138</v>
      </c>
      <c r="AB1703" t="str">
        <f>HYPERLINK("Melting_Curves/meltCurve_P13861_PRKAR2A.pdf", "Melting_Curves/meltCurve_P13861_PRKAR2A.pdf")</f>
        <v>Melting_Curves/meltCurve_P13861_PRKAR2A.pdf</v>
      </c>
    </row>
    <row r="1704" spans="1:28" x14ac:dyDescent="0.25">
      <c r="A1704" t="s">
        <v>1708</v>
      </c>
      <c r="B1704">
        <v>0.99987803227770999</v>
      </c>
      <c r="C1704">
        <v>0.55225779919285301</v>
      </c>
      <c r="D1704">
        <v>1.13663376815502</v>
      </c>
      <c r="E1704">
        <v>0.65405150416143898</v>
      </c>
      <c r="F1704">
        <v>0.154080827473628</v>
      </c>
      <c r="G1704">
        <v>9.3386301717252401E-2</v>
      </c>
      <c r="H1704">
        <v>6.6138646151774005E-2</v>
      </c>
      <c r="I1704">
        <v>6.3438325499367301E-2</v>
      </c>
      <c r="J1704">
        <v>4.6624452886255399E-2</v>
      </c>
      <c r="K1704">
        <v>3.3062269524765202E-2</v>
      </c>
      <c r="L1704">
        <v>2609.2714680198201</v>
      </c>
      <c r="M1704">
        <v>51.610476479760202</v>
      </c>
      <c r="N1704">
        <v>50.686658724789702</v>
      </c>
      <c r="O1704">
        <v>50.481282793057296</v>
      </c>
      <c r="P1704">
        <v>-0.23978796668466301</v>
      </c>
      <c r="Q1704">
        <v>6.1834328731214999E-2</v>
      </c>
      <c r="R1704">
        <v>0.86291125766296695</v>
      </c>
      <c r="S1704" t="s">
        <v>8015</v>
      </c>
      <c r="T1704" t="s">
        <v>12620</v>
      </c>
      <c r="U1704" t="s">
        <v>12620</v>
      </c>
      <c r="V1704" t="s">
        <v>12620</v>
      </c>
      <c r="W1704" t="s">
        <v>14288</v>
      </c>
      <c r="X1704">
        <v>23</v>
      </c>
      <c r="Y1704" t="s">
        <v>20499</v>
      </c>
      <c r="Z1704" t="s">
        <v>26651</v>
      </c>
      <c r="AA1704">
        <v>0.39393816491839267</v>
      </c>
      <c r="AB1704" t="str">
        <f>HYPERLINK("Melting_Curves/meltCurve_P13928_ANXA8.pdf", "Melting_Curves/meltCurve_P13928_ANXA8.pdf")</f>
        <v>Melting_Curves/meltCurve_P13928_ANXA8.pdf</v>
      </c>
    </row>
    <row r="1705" spans="1:28" x14ac:dyDescent="0.25">
      <c r="A1705" t="s">
        <v>1709</v>
      </c>
      <c r="B1705">
        <v>0.99987803227770999</v>
      </c>
      <c r="C1705">
        <v>1.11551908782289</v>
      </c>
      <c r="D1705">
        <v>1.10026778241252</v>
      </c>
      <c r="E1705">
        <v>1.0845655310814999</v>
      </c>
      <c r="F1705">
        <v>1.0333499957947301</v>
      </c>
      <c r="G1705">
        <v>0.85877471679704498</v>
      </c>
      <c r="H1705">
        <v>0.33676829938844199</v>
      </c>
      <c r="I1705">
        <v>0.12120764203791801</v>
      </c>
      <c r="J1705">
        <v>6.8244856384803099E-2</v>
      </c>
      <c r="K1705">
        <v>5.0289946152799997E-2</v>
      </c>
      <c r="L1705">
        <v>2293.1738859915199</v>
      </c>
      <c r="M1705">
        <v>38.441390354181401</v>
      </c>
      <c r="N1705">
        <v>59.826233737379503</v>
      </c>
      <c r="O1705">
        <v>59.4930297784556</v>
      </c>
      <c r="P1705">
        <v>-0.15306557330128201</v>
      </c>
      <c r="Q1705">
        <v>5.2447227998108102E-2</v>
      </c>
      <c r="R1705">
        <v>0.98371769575206502</v>
      </c>
      <c r="S1705" t="s">
        <v>8016</v>
      </c>
      <c r="T1705" t="s">
        <v>12620</v>
      </c>
      <c r="U1705" t="s">
        <v>12620</v>
      </c>
      <c r="V1705" t="s">
        <v>12620</v>
      </c>
      <c r="W1705" t="s">
        <v>14289</v>
      </c>
      <c r="X1705">
        <v>17</v>
      </c>
      <c r="Y1705" t="s">
        <v>20500</v>
      </c>
      <c r="Z1705" t="s">
        <v>26652</v>
      </c>
      <c r="AA1705">
        <v>0.67720308617647407</v>
      </c>
      <c r="AB1705" t="str">
        <f>HYPERLINK("Melting_Curves/meltCurve_P13929_ENO3.pdf", "Melting_Curves/meltCurve_P13929_ENO3.pdf")</f>
        <v>Melting_Curves/meltCurve_P13929_ENO3.pdf</v>
      </c>
    </row>
    <row r="1706" spans="1:28" x14ac:dyDescent="0.25">
      <c r="A1706" t="s">
        <v>1710</v>
      </c>
      <c r="B1706">
        <v>0.99987803227770999</v>
      </c>
      <c r="C1706">
        <v>0.97852676615394396</v>
      </c>
      <c r="D1706">
        <v>1.03707043806914</v>
      </c>
      <c r="E1706">
        <v>1.0400110399609499</v>
      </c>
      <c r="F1706">
        <v>0.93759839347732699</v>
      </c>
      <c r="G1706">
        <v>0.51156516397902396</v>
      </c>
      <c r="H1706">
        <v>0.28122600838856698</v>
      </c>
      <c r="I1706">
        <v>0.23809567871166601</v>
      </c>
      <c r="J1706">
        <v>0.22103217745443601</v>
      </c>
      <c r="K1706">
        <v>0.16687155358817601</v>
      </c>
      <c r="L1706">
        <v>2077.7600982490699</v>
      </c>
      <c r="M1706">
        <v>36.877429866159403</v>
      </c>
      <c r="N1706">
        <v>57.191285460178499</v>
      </c>
      <c r="O1706">
        <v>56.177413918228702</v>
      </c>
      <c r="P1706">
        <v>-0.12951993373604201</v>
      </c>
      <c r="Q1706">
        <v>0.21078297396512999</v>
      </c>
      <c r="R1706">
        <v>0.99461558994216404</v>
      </c>
      <c r="S1706" t="s">
        <v>8017</v>
      </c>
      <c r="T1706" t="s">
        <v>12620</v>
      </c>
      <c r="U1706" t="s">
        <v>12620</v>
      </c>
      <c r="V1706" t="s">
        <v>12620</v>
      </c>
      <c r="W1706" t="s">
        <v>14290</v>
      </c>
      <c r="X1706">
        <v>13</v>
      </c>
      <c r="Y1706" t="s">
        <v>20501</v>
      </c>
      <c r="Z1706" t="s">
        <v>26653</v>
      </c>
      <c r="AA1706">
        <v>0.64427723958704797</v>
      </c>
      <c r="AB1706" t="str">
        <f>HYPERLINK("Melting_Curves/meltCurve_P13984_GTF2F2.pdf", "Melting_Curves/meltCurve_P13984_GTF2F2.pdf")</f>
        <v>Melting_Curves/meltCurve_P13984_GTF2F2.pdf</v>
      </c>
    </row>
    <row r="1707" spans="1:28" x14ac:dyDescent="0.25">
      <c r="A1707" t="s">
        <v>1711</v>
      </c>
      <c r="B1707">
        <v>0.99987803227770999</v>
      </c>
      <c r="C1707">
        <v>0.76804982767181895</v>
      </c>
      <c r="D1707">
        <v>0.58184518238648997</v>
      </c>
      <c r="E1707">
        <v>0.27276513340971198</v>
      </c>
      <c r="F1707">
        <v>0.155592965107652</v>
      </c>
      <c r="G1707">
        <v>8.9295250190424294E-2</v>
      </c>
      <c r="H1707">
        <v>5.33935054204921E-2</v>
      </c>
      <c r="I1707">
        <v>4.7321525872190497E-2</v>
      </c>
      <c r="J1707">
        <v>3.2645188901099902E-2</v>
      </c>
      <c r="K1707">
        <v>2.49486045745753E-2</v>
      </c>
      <c r="L1707">
        <v>753.93987608177895</v>
      </c>
      <c r="M1707">
        <v>16.161916191010398</v>
      </c>
      <c r="N1707">
        <v>46.833686068746097</v>
      </c>
      <c r="O1707">
        <v>45.952518345564698</v>
      </c>
      <c r="P1707">
        <v>-8.5221484408567097E-2</v>
      </c>
      <c r="Q1707">
        <v>3.0846034057323501E-2</v>
      </c>
      <c r="R1707">
        <v>0.99469392967802595</v>
      </c>
      <c r="S1707" t="s">
        <v>8018</v>
      </c>
      <c r="T1707" t="s">
        <v>12620</v>
      </c>
      <c r="U1707" t="s">
        <v>12620</v>
      </c>
      <c r="V1707" t="s">
        <v>12620</v>
      </c>
      <c r="W1707" t="s">
        <v>14291</v>
      </c>
      <c r="X1707">
        <v>7</v>
      </c>
      <c r="Y1707" t="s">
        <v>20502</v>
      </c>
      <c r="Z1707" t="s">
        <v>26654</v>
      </c>
      <c r="AA1707">
        <v>0.26867009088662391</v>
      </c>
      <c r="AB1707" t="str">
        <f>HYPERLINK("Melting_Curves/meltCurve_P13995_MTHFD2.pdf", "Melting_Curves/meltCurve_P13995_MTHFD2.pdf")</f>
        <v>Melting_Curves/meltCurve_P13995_MTHFD2.pdf</v>
      </c>
    </row>
    <row r="1708" spans="1:28" x14ac:dyDescent="0.25">
      <c r="A1708" t="s">
        <v>1712</v>
      </c>
      <c r="B1708">
        <v>0.99987803227770999</v>
      </c>
      <c r="C1708">
        <v>1.0007848452730701</v>
      </c>
      <c r="D1708">
        <v>1.0290503854925399</v>
      </c>
      <c r="E1708">
        <v>0.95843112593263802</v>
      </c>
      <c r="F1708">
        <v>1.0858802866244801</v>
      </c>
      <c r="G1708">
        <v>0.84325370852458004</v>
      </c>
      <c r="H1708">
        <v>0.93438665325099801</v>
      </c>
      <c r="I1708">
        <v>0.98193301027348101</v>
      </c>
      <c r="J1708">
        <v>0.70189922398879101</v>
      </c>
      <c r="K1708">
        <v>0.45979769276134702</v>
      </c>
      <c r="L1708">
        <v>4732.7887386376997</v>
      </c>
      <c r="M1708">
        <v>70.751712709127204</v>
      </c>
      <c r="N1708">
        <v>68.899782617693901</v>
      </c>
      <c r="O1708">
        <v>66.839543491653998</v>
      </c>
      <c r="P1708">
        <v>-0.149167090411994</v>
      </c>
      <c r="Q1708">
        <v>0.43632417099396997</v>
      </c>
      <c r="R1708">
        <v>0.87845563309185604</v>
      </c>
      <c r="S1708" t="s">
        <v>8019</v>
      </c>
      <c r="T1708" t="s">
        <v>12620</v>
      </c>
      <c r="U1708" t="s">
        <v>12620</v>
      </c>
      <c r="V1708" t="s">
        <v>12620</v>
      </c>
      <c r="W1708" t="s">
        <v>14292</v>
      </c>
      <c r="X1708">
        <v>6</v>
      </c>
      <c r="Y1708" t="s">
        <v>20503</v>
      </c>
      <c r="Z1708" t="s">
        <v>26655</v>
      </c>
      <c r="AA1708">
        <v>0.94159910010188352</v>
      </c>
      <c r="AB1708" t="str">
        <f>HYPERLINK("Melting_Curves/meltCurve_P14174_MIF.pdf", "Melting_Curves/meltCurve_P14174_MIF.pdf")</f>
        <v>Melting_Curves/meltCurve_P14174_MIF.pdf</v>
      </c>
    </row>
    <row r="1709" spans="1:28" x14ac:dyDescent="0.25">
      <c r="A1709" t="s">
        <v>1713</v>
      </c>
      <c r="B1709">
        <v>0.99987803227770999</v>
      </c>
      <c r="C1709">
        <v>1.20974015907619</v>
      </c>
      <c r="D1709">
        <v>0.99959874378619795</v>
      </c>
      <c r="E1709">
        <v>1.29140885715248</v>
      </c>
      <c r="F1709">
        <v>1.3386503012616999</v>
      </c>
      <c r="G1709">
        <v>1.2151322722876301</v>
      </c>
      <c r="H1709">
        <v>1.1959165978109001</v>
      </c>
      <c r="I1709">
        <v>1.2484347052540099</v>
      </c>
      <c r="J1709">
        <v>1.10407091468563</v>
      </c>
      <c r="K1709">
        <v>0.89349397227500005</v>
      </c>
      <c r="L1709">
        <v>10254.254202687</v>
      </c>
      <c r="M1709">
        <v>250</v>
      </c>
      <c r="O1709">
        <v>41.014392009306697</v>
      </c>
      <c r="P1709">
        <v>0.25337446076180398</v>
      </c>
      <c r="Q1709">
        <v>1.16627199108327</v>
      </c>
      <c r="R1709">
        <v>0.13236202487192</v>
      </c>
      <c r="S1709" t="s">
        <v>8020</v>
      </c>
      <c r="T1709" t="s">
        <v>12620</v>
      </c>
      <c r="U1709" t="s">
        <v>12620</v>
      </c>
      <c r="V1709" t="s">
        <v>12620</v>
      </c>
      <c r="W1709" t="s">
        <v>14293</v>
      </c>
      <c r="X1709">
        <v>16</v>
      </c>
      <c r="Y1709" t="s">
        <v>20504</v>
      </c>
      <c r="Z1709" t="s">
        <v>26656</v>
      </c>
      <c r="AA1709">
        <v>1.1606218203137511</v>
      </c>
      <c r="AB1709" t="str">
        <f>HYPERLINK("Melting_Curves/meltCurve_P14314_2_PRKCSH.pdf", "Melting_Curves/meltCurve_P14314_2_PRKCSH.pdf")</f>
        <v>Melting_Curves/meltCurve_P14314_2_PRKCSH.pdf</v>
      </c>
    </row>
    <row r="1710" spans="1:28" x14ac:dyDescent="0.25">
      <c r="A1710" t="s">
        <v>1714</v>
      </c>
      <c r="B1710">
        <v>0.99987803227770999</v>
      </c>
      <c r="C1710">
        <v>0.90615348010716201</v>
      </c>
      <c r="D1710">
        <v>0.90903043068385903</v>
      </c>
      <c r="E1710">
        <v>0.33858872919861299</v>
      </c>
      <c r="F1710">
        <v>0.17067976938226101</v>
      </c>
      <c r="G1710">
        <v>0.119357150488167</v>
      </c>
      <c r="H1710">
        <v>9.2795368930309804E-2</v>
      </c>
      <c r="I1710">
        <v>8.69919698678287E-2</v>
      </c>
      <c r="J1710">
        <v>6.3647874366760102E-2</v>
      </c>
      <c r="K1710">
        <v>4.9300033307555703E-2</v>
      </c>
      <c r="L1710">
        <v>1570.4066992804301</v>
      </c>
      <c r="M1710">
        <v>32.251566332226602</v>
      </c>
      <c r="N1710">
        <v>48.967497951889101</v>
      </c>
      <c r="O1710">
        <v>48.506343836441403</v>
      </c>
      <c r="P1710">
        <v>-0.152451412758393</v>
      </c>
      <c r="Q1710">
        <v>8.2856724711902793E-2</v>
      </c>
      <c r="R1710">
        <v>0.99225379498557698</v>
      </c>
      <c r="S1710" t="s">
        <v>8021</v>
      </c>
      <c r="T1710" t="s">
        <v>12620</v>
      </c>
      <c r="U1710" t="s">
        <v>12620</v>
      </c>
      <c r="V1710" t="s">
        <v>12620</v>
      </c>
      <c r="W1710" t="s">
        <v>14294</v>
      </c>
      <c r="X1710">
        <v>11</v>
      </c>
      <c r="Y1710" t="s">
        <v>20505</v>
      </c>
      <c r="Z1710" t="s">
        <v>26657</v>
      </c>
      <c r="AA1710">
        <v>0.35339023234102279</v>
      </c>
      <c r="AB1710" t="str">
        <f>HYPERLINK("Melting_Curves/meltCurve_P14324_2_FDPS.pdf", "Melting_Curves/meltCurve_P14324_2_FDPS.pdf")</f>
        <v>Melting_Curves/meltCurve_P14324_2_FDPS.pdf</v>
      </c>
    </row>
    <row r="1711" spans="1:28" x14ac:dyDescent="0.25">
      <c r="A1711" t="s">
        <v>1715</v>
      </c>
      <c r="B1711">
        <v>0.99987803227770999</v>
      </c>
      <c r="C1711">
        <v>0.75426195991551703</v>
      </c>
      <c r="D1711">
        <v>0.96993141639713099</v>
      </c>
      <c r="E1711">
        <v>0.70679418991760701</v>
      </c>
      <c r="F1711">
        <v>0.32038332543732301</v>
      </c>
      <c r="G1711">
        <v>0.161639879679949</v>
      </c>
      <c r="H1711">
        <v>0.122391941515704</v>
      </c>
      <c r="I1711">
        <v>0.124858115733064</v>
      </c>
      <c r="J1711">
        <v>7.1797780248459397E-2</v>
      </c>
      <c r="K1711">
        <v>5.4410128065747701E-2</v>
      </c>
      <c r="L1711">
        <v>1336.52642429713</v>
      </c>
      <c r="M1711">
        <v>26.113951475321901</v>
      </c>
      <c r="N1711">
        <v>51.562219191765401</v>
      </c>
      <c r="O1711">
        <v>50.883247089681603</v>
      </c>
      <c r="P1711">
        <v>-0.117029089921977</v>
      </c>
      <c r="Q1711">
        <v>8.7881780793870795E-2</v>
      </c>
      <c r="R1711">
        <v>0.95318937166380602</v>
      </c>
      <c r="S1711" t="s">
        <v>8022</v>
      </c>
      <c r="T1711" t="s">
        <v>12620</v>
      </c>
      <c r="U1711" t="s">
        <v>12620</v>
      </c>
      <c r="V1711" t="s">
        <v>12620</v>
      </c>
      <c r="W1711" t="s">
        <v>14295</v>
      </c>
      <c r="X1711">
        <v>20</v>
      </c>
      <c r="Y1711" t="s">
        <v>20506</v>
      </c>
      <c r="Z1711" t="s">
        <v>26658</v>
      </c>
      <c r="AA1711">
        <v>0.43539254764831198</v>
      </c>
      <c r="AB1711" t="str">
        <f>HYPERLINK("Melting_Curves/meltCurve_P14550_AKR1A1.pdf", "Melting_Curves/meltCurve_P14550_AKR1A1.pdf")</f>
        <v>Melting_Curves/meltCurve_P14550_AKR1A1.pdf</v>
      </c>
    </row>
    <row r="1712" spans="1:28" x14ac:dyDescent="0.25">
      <c r="A1712" t="s">
        <v>1716</v>
      </c>
      <c r="B1712">
        <v>0.99987803227770999</v>
      </c>
      <c r="C1712">
        <v>1.2244632427951401</v>
      </c>
      <c r="D1712">
        <v>0.90844053088874199</v>
      </c>
      <c r="E1712">
        <v>1.1609144794955499</v>
      </c>
      <c r="F1712">
        <v>0.83366995376591801</v>
      </c>
      <c r="G1712">
        <v>0.86623716294394304</v>
      </c>
      <c r="H1712">
        <v>0.13410910131312501</v>
      </c>
      <c r="I1712">
        <v>0.123428290869183</v>
      </c>
      <c r="J1712">
        <v>6.96724424152423E-2</v>
      </c>
      <c r="K1712">
        <v>5.2121452008179602E-2</v>
      </c>
      <c r="L1712">
        <v>3771.4709171320401</v>
      </c>
      <c r="M1712">
        <v>64.428022484935497</v>
      </c>
      <c r="N1712">
        <v>58.692441546126901</v>
      </c>
      <c r="O1712">
        <v>58.4814241551557</v>
      </c>
      <c r="P1712">
        <v>-0.25391307898556797</v>
      </c>
      <c r="Q1712">
        <v>7.8090989907393105E-2</v>
      </c>
      <c r="R1712">
        <v>0.94538167038030496</v>
      </c>
      <c r="S1712" t="s">
        <v>8023</v>
      </c>
      <c r="T1712" t="s">
        <v>12620</v>
      </c>
      <c r="U1712" t="s">
        <v>12620</v>
      </c>
      <c r="V1712" t="s">
        <v>12620</v>
      </c>
      <c r="W1712" t="s">
        <v>14296</v>
      </c>
      <c r="X1712">
        <v>57</v>
      </c>
      <c r="Y1712" t="s">
        <v>19542</v>
      </c>
      <c r="Z1712" t="s">
        <v>26659</v>
      </c>
      <c r="AA1712">
        <v>0.64919075614923671</v>
      </c>
      <c r="AB1712" t="str">
        <f>HYPERLINK("Melting_Curves/meltCurve_P14618_PKM.pdf", "Melting_Curves/meltCurve_P14618_PKM.pdf")</f>
        <v>Melting_Curves/meltCurve_P14618_PKM.pdf</v>
      </c>
    </row>
    <row r="1713" spans="1:28" x14ac:dyDescent="0.25">
      <c r="A1713" t="s">
        <v>1717</v>
      </c>
      <c r="B1713">
        <v>0.99987803227770999</v>
      </c>
      <c r="C1713">
        <v>1.380969535492</v>
      </c>
      <c r="D1713">
        <v>0.967715000309332</v>
      </c>
      <c r="E1713">
        <v>1.46190778979652</v>
      </c>
      <c r="F1713">
        <v>1.00380562968692</v>
      </c>
      <c r="G1713">
        <v>1.2960393657007701</v>
      </c>
      <c r="H1713">
        <v>0.50679905661888502</v>
      </c>
      <c r="I1713">
        <v>0.20519680243753399</v>
      </c>
      <c r="J1713">
        <v>5.1222075537101501E-2</v>
      </c>
      <c r="K1713">
        <v>4.0420326838602701E-2</v>
      </c>
      <c r="L1713">
        <v>4784.9985943354004</v>
      </c>
      <c r="M1713">
        <v>78.549167461891599</v>
      </c>
      <c r="N1713">
        <v>61.070218082201102</v>
      </c>
      <c r="O1713">
        <v>60.8777918262087</v>
      </c>
      <c r="P1713">
        <v>-0.29376189848593898</v>
      </c>
      <c r="Q1713">
        <v>8.9305533464584794E-2</v>
      </c>
      <c r="R1713">
        <v>0.82907079480079204</v>
      </c>
      <c r="S1713" t="s">
        <v>8024</v>
      </c>
      <c r="T1713" t="s">
        <v>12620</v>
      </c>
      <c r="U1713" t="s">
        <v>12620</v>
      </c>
      <c r="V1713" t="s">
        <v>12620</v>
      </c>
      <c r="W1713" t="s">
        <v>14297</v>
      </c>
      <c r="X1713">
        <v>56</v>
      </c>
      <c r="Y1713" t="s">
        <v>19542</v>
      </c>
      <c r="Z1713" t="s">
        <v>26660</v>
      </c>
      <c r="AA1713">
        <v>0.72526644137181584</v>
      </c>
      <c r="AB1713" t="str">
        <f>HYPERLINK("Melting_Curves/meltCurve_P14618_2_PKM.pdf", "Melting_Curves/meltCurve_P14618_2_PKM.pdf")</f>
        <v>Melting_Curves/meltCurve_P14618_2_PKM.pdf</v>
      </c>
    </row>
    <row r="1714" spans="1:28" x14ac:dyDescent="0.25">
      <c r="A1714" t="s">
        <v>1718</v>
      </c>
      <c r="B1714">
        <v>0.99987803227770999</v>
      </c>
      <c r="C1714">
        <v>0.80744121259574897</v>
      </c>
      <c r="D1714">
        <v>0.92259348178068801</v>
      </c>
      <c r="E1714">
        <v>0.81249352633457195</v>
      </c>
      <c r="F1714">
        <v>0.958255203815221</v>
      </c>
      <c r="G1714">
        <v>0.77848458771737306</v>
      </c>
      <c r="H1714">
        <v>0.50696319793436995</v>
      </c>
      <c r="I1714">
        <v>0.33404211113454702</v>
      </c>
      <c r="J1714">
        <v>0.24006384022326799</v>
      </c>
      <c r="K1714">
        <v>0.19889725843385</v>
      </c>
      <c r="L1714">
        <v>782.01191143816095</v>
      </c>
      <c r="M1714">
        <v>12.747407573877</v>
      </c>
      <c r="N1714">
        <v>61.3467411053796</v>
      </c>
      <c r="O1714">
        <v>59.895803856991201</v>
      </c>
      <c r="P1714">
        <v>-5.32167448921518E-2</v>
      </c>
      <c r="Q1714">
        <v>0</v>
      </c>
      <c r="R1714">
        <v>0.919070879403736</v>
      </c>
      <c r="S1714" t="s">
        <v>8025</v>
      </c>
      <c r="T1714" t="s">
        <v>12620</v>
      </c>
      <c r="U1714" t="s">
        <v>12620</v>
      </c>
      <c r="V1714" t="s">
        <v>12620</v>
      </c>
      <c r="W1714" t="s">
        <v>14298</v>
      </c>
      <c r="X1714">
        <v>4</v>
      </c>
      <c r="Y1714" t="s">
        <v>20507</v>
      </c>
      <c r="Z1714" t="s">
        <v>26661</v>
      </c>
      <c r="AA1714">
        <v>0.7074303149315474</v>
      </c>
      <c r="AB1714" t="str">
        <f>HYPERLINK("Melting_Curves/meltCurve_P14621_ACYP2.pdf", "Melting_Curves/meltCurve_P14621_ACYP2.pdf")</f>
        <v>Melting_Curves/meltCurve_P14621_ACYP2.pdf</v>
      </c>
    </row>
    <row r="1715" spans="1:28" x14ac:dyDescent="0.25">
      <c r="A1715" t="s">
        <v>1719</v>
      </c>
      <c r="B1715">
        <v>0.99987803227770999</v>
      </c>
      <c r="C1715">
        <v>1.2561787199289101</v>
      </c>
      <c r="D1715">
        <v>0.79588618317300397</v>
      </c>
      <c r="E1715">
        <v>1.1819357508288699</v>
      </c>
      <c r="F1715">
        <v>0.53897627777267498</v>
      </c>
      <c r="G1715">
        <v>0.36759873992607001</v>
      </c>
      <c r="H1715">
        <v>0.20708820190535299</v>
      </c>
      <c r="I1715">
        <v>0.14368481371564501</v>
      </c>
      <c r="J1715">
        <v>0.141626291323003</v>
      </c>
      <c r="K1715">
        <v>8.4071488969942001E-2</v>
      </c>
      <c r="L1715">
        <v>13235.4223085589</v>
      </c>
      <c r="M1715">
        <v>250</v>
      </c>
      <c r="N1715">
        <v>53.042303368057503</v>
      </c>
      <c r="O1715">
        <v>52.938298830933903</v>
      </c>
      <c r="P1715">
        <v>-0.95770229153973296</v>
      </c>
      <c r="Q1715">
        <v>0.18881388121416201</v>
      </c>
      <c r="R1715">
        <v>0.89875420615078605</v>
      </c>
      <c r="S1715" t="s">
        <v>8026</v>
      </c>
      <c r="T1715" t="s">
        <v>12620</v>
      </c>
      <c r="U1715" t="s">
        <v>12620</v>
      </c>
      <c r="V1715" t="s">
        <v>12620</v>
      </c>
      <c r="W1715" t="s">
        <v>14299</v>
      </c>
      <c r="X1715">
        <v>54</v>
      </c>
      <c r="Y1715" t="s">
        <v>20508</v>
      </c>
      <c r="Z1715" t="s">
        <v>26662</v>
      </c>
      <c r="AA1715">
        <v>0.53882653869130537</v>
      </c>
      <c r="AB1715" t="str">
        <f>HYPERLINK("Melting_Curves/meltCurve_P14625_HSP90B1.pdf", "Melting_Curves/meltCurve_P14625_HSP90B1.pdf")</f>
        <v>Melting_Curves/meltCurve_P14625_HSP90B1.pdf</v>
      </c>
    </row>
    <row r="1716" spans="1:28" x14ac:dyDescent="0.25">
      <c r="A1716" t="s">
        <v>1720</v>
      </c>
      <c r="B1716">
        <v>0.99987803227770999</v>
      </c>
      <c r="C1716">
        <v>0.90004581092795899</v>
      </c>
      <c r="D1716">
        <v>0.85069327469073497</v>
      </c>
      <c r="E1716">
        <v>0.69982975042814299</v>
      </c>
      <c r="F1716">
        <v>0.50517871509798695</v>
      </c>
      <c r="G1716">
        <v>0.24079296154466601</v>
      </c>
      <c r="H1716">
        <v>0.179828526210358</v>
      </c>
      <c r="I1716">
        <v>0.119733346337665</v>
      </c>
      <c r="J1716">
        <v>0.12252198773376</v>
      </c>
      <c r="K1716">
        <v>8.7673880950586799E-2</v>
      </c>
      <c r="L1716">
        <v>704.71290067300197</v>
      </c>
      <c r="M1716">
        <v>13.480844332107001</v>
      </c>
      <c r="N1716">
        <v>52.732058285949698</v>
      </c>
      <c r="O1716">
        <v>51.165041238407703</v>
      </c>
      <c r="P1716">
        <v>-6.2247967917566503E-2</v>
      </c>
      <c r="Q1716">
        <v>5.5124024135083299E-2</v>
      </c>
      <c r="R1716">
        <v>0.99359957192133497</v>
      </c>
      <c r="S1716" t="s">
        <v>8027</v>
      </c>
      <c r="T1716" t="s">
        <v>12620</v>
      </c>
      <c r="U1716" t="s">
        <v>12620</v>
      </c>
      <c r="V1716" t="s">
        <v>12620</v>
      </c>
      <c r="W1716" t="s">
        <v>14300</v>
      </c>
      <c r="X1716">
        <v>7</v>
      </c>
      <c r="Y1716" t="s">
        <v>20509</v>
      </c>
      <c r="Z1716" t="s">
        <v>26663</v>
      </c>
      <c r="AA1716">
        <v>0.46611562895611708</v>
      </c>
      <c r="AB1716" t="str">
        <f>HYPERLINK("Melting_Curves/meltCurve_P14635_CCNB1.pdf", "Melting_Curves/meltCurve_P14635_CCNB1.pdf")</f>
        <v>Melting_Curves/meltCurve_P14635_CCNB1.pdf</v>
      </c>
    </row>
    <row r="1717" spans="1:28" x14ac:dyDescent="0.25">
      <c r="A1717" t="s">
        <v>1721</v>
      </c>
      <c r="B1717">
        <v>0.99987803227770999</v>
      </c>
      <c r="C1717">
        <v>0.97124624583064001</v>
      </c>
      <c r="D1717">
        <v>0.91909247892839396</v>
      </c>
      <c r="E1717">
        <v>1.0002963201620001</v>
      </c>
      <c r="F1717">
        <v>1.1430511215911801</v>
      </c>
      <c r="G1717">
        <v>1.5482868623188299</v>
      </c>
      <c r="H1717">
        <v>1.6556112444395199</v>
      </c>
      <c r="I1717">
        <v>1.5646552021473299</v>
      </c>
      <c r="J1717">
        <v>1.7438871979284101</v>
      </c>
      <c r="K1717">
        <v>1.52163374813746</v>
      </c>
      <c r="L1717">
        <v>13298.462690710699</v>
      </c>
      <c r="M1717">
        <v>250</v>
      </c>
      <c r="O1717">
        <v>53.190427545569399</v>
      </c>
      <c r="P1717">
        <v>0.58751151581802397</v>
      </c>
      <c r="Q1717">
        <v>1.5</v>
      </c>
      <c r="R1717">
        <v>0.898030179578584</v>
      </c>
      <c r="S1717" t="s">
        <v>8028</v>
      </c>
      <c r="T1717" t="s">
        <v>12620</v>
      </c>
      <c r="U1717" t="s">
        <v>12620</v>
      </c>
      <c r="V1717" t="s">
        <v>12620</v>
      </c>
      <c r="W1717" t="s">
        <v>14301</v>
      </c>
      <c r="X1717">
        <v>6</v>
      </c>
      <c r="Y1717" t="s">
        <v>20510</v>
      </c>
      <c r="Z1717" t="s">
        <v>26664</v>
      </c>
      <c r="AA1717">
        <v>1.280055810095849</v>
      </c>
      <c r="AB1717" t="str">
        <f>HYPERLINK("Melting_Curves/meltCurve_P14649_MYL6B.pdf", "Melting_Curves/meltCurve_P14649_MYL6B.pdf")</f>
        <v>Melting_Curves/meltCurve_P14649_MYL6B.pdf</v>
      </c>
    </row>
    <row r="1718" spans="1:28" x14ac:dyDescent="0.25">
      <c r="A1718" t="s">
        <v>1722</v>
      </c>
      <c r="B1718">
        <v>0.99987803227770999</v>
      </c>
      <c r="C1718">
        <v>0.94167262968739596</v>
      </c>
      <c r="D1718">
        <v>0.89445749325573398</v>
      </c>
      <c r="E1718">
        <v>1.2637803316064</v>
      </c>
      <c r="F1718">
        <v>1.2099952990821401</v>
      </c>
      <c r="G1718">
        <v>1.2363622501992899</v>
      </c>
      <c r="H1718">
        <v>1.2251044398611499</v>
      </c>
      <c r="I1718">
        <v>1.0912708589598199</v>
      </c>
      <c r="J1718">
        <v>0.770610901591394</v>
      </c>
      <c r="K1718">
        <v>0.39661558001582198</v>
      </c>
      <c r="L1718">
        <v>15000</v>
      </c>
      <c r="M1718">
        <v>223.39154551037899</v>
      </c>
      <c r="N1718">
        <v>67.623597725021298</v>
      </c>
      <c r="O1718">
        <v>67.141295586229901</v>
      </c>
      <c r="P1718">
        <v>-0.501949482217936</v>
      </c>
      <c r="Q1718">
        <v>0.396547643969271</v>
      </c>
      <c r="R1718">
        <v>0.63150898171702396</v>
      </c>
      <c r="S1718" t="s">
        <v>8029</v>
      </c>
      <c r="T1718" t="s">
        <v>12620</v>
      </c>
      <c r="U1718" t="s">
        <v>12620</v>
      </c>
      <c r="V1718" t="s">
        <v>12620</v>
      </c>
      <c r="W1718" t="s">
        <v>14302</v>
      </c>
      <c r="X1718">
        <v>10</v>
      </c>
      <c r="Y1718" t="s">
        <v>20511</v>
      </c>
      <c r="Z1718" t="s">
        <v>26665</v>
      </c>
      <c r="AA1718">
        <v>0.94269351777100374</v>
      </c>
      <c r="AB1718" t="str">
        <f>HYPERLINK("Melting_Curves/meltCurve_P14678_2_SNRPB.pdf", "Melting_Curves/meltCurve_P14678_2_SNRPB.pdf")</f>
        <v>Melting_Curves/meltCurve_P14678_2_SNRPB.pdf</v>
      </c>
    </row>
    <row r="1719" spans="1:28" x14ac:dyDescent="0.25">
      <c r="A1719" t="s">
        <v>1723</v>
      </c>
      <c r="B1719">
        <v>0.99987803227770999</v>
      </c>
      <c r="C1719">
        <v>1.1814492884539201</v>
      </c>
      <c r="D1719">
        <v>0.92952032914355298</v>
      </c>
      <c r="E1719">
        <v>0.98819741594676602</v>
      </c>
      <c r="F1719">
        <v>0.49616372824257299</v>
      </c>
      <c r="G1719">
        <v>0.31490425396542998</v>
      </c>
      <c r="H1719">
        <v>0.15050532707807901</v>
      </c>
      <c r="I1719">
        <v>0.12361329735505699</v>
      </c>
      <c r="J1719">
        <v>8.6790054542641396E-2</v>
      </c>
      <c r="K1719">
        <v>6.2868913567900905E-2</v>
      </c>
      <c r="L1719">
        <v>1469.8973766382101</v>
      </c>
      <c r="M1719">
        <v>27.569674602792698</v>
      </c>
      <c r="N1719">
        <v>53.780258825078299</v>
      </c>
      <c r="O1719">
        <v>53.037600629925798</v>
      </c>
      <c r="P1719">
        <v>-0.116186034133578</v>
      </c>
      <c r="Q1719">
        <v>0.10594937626770801</v>
      </c>
      <c r="R1719">
        <v>0.96225225716701801</v>
      </c>
      <c r="S1719" t="s">
        <v>8030</v>
      </c>
      <c r="T1719" t="s">
        <v>12620</v>
      </c>
      <c r="U1719" t="s">
        <v>12620</v>
      </c>
      <c r="V1719" t="s">
        <v>12620</v>
      </c>
      <c r="W1719" t="s">
        <v>14303</v>
      </c>
      <c r="X1719">
        <v>41</v>
      </c>
      <c r="Y1719" t="s">
        <v>20512</v>
      </c>
      <c r="Z1719" t="s">
        <v>26666</v>
      </c>
      <c r="AA1719">
        <v>0.50963699634356652</v>
      </c>
      <c r="AB1719" t="str">
        <f>HYPERLINK("Melting_Curves/meltCurve_P14735_IDE.pdf", "Melting_Curves/meltCurve_P14735_IDE.pdf")</f>
        <v>Melting_Curves/meltCurve_P14735_IDE.pdf</v>
      </c>
    </row>
    <row r="1720" spans="1:28" x14ac:dyDescent="0.25">
      <c r="A1720" t="s">
        <v>1724</v>
      </c>
      <c r="B1720">
        <v>0.99987803227770999</v>
      </c>
      <c r="C1720">
        <v>0.87558394215284896</v>
      </c>
      <c r="D1720">
        <v>0.90051290941412898</v>
      </c>
      <c r="E1720">
        <v>0.82029679200963102</v>
      </c>
      <c r="F1720">
        <v>0.83517502536323396</v>
      </c>
      <c r="G1720">
        <v>0.65736711264796799</v>
      </c>
      <c r="H1720">
        <v>0.65607418572334797</v>
      </c>
      <c r="I1720">
        <v>0.67048880225732199</v>
      </c>
      <c r="J1720">
        <v>0.59076360387043603</v>
      </c>
      <c r="K1720">
        <v>0.48307832751417001</v>
      </c>
      <c r="L1720">
        <v>267.10895189547199</v>
      </c>
      <c r="M1720">
        <v>3.71580970449111</v>
      </c>
      <c r="O1720">
        <v>57.585351285135701</v>
      </c>
      <c r="P1720">
        <v>-1.6393657052056001E-2</v>
      </c>
      <c r="Q1720">
        <v>0</v>
      </c>
      <c r="R1720">
        <v>0.92491954458023595</v>
      </c>
      <c r="S1720" t="s">
        <v>8031</v>
      </c>
      <c r="T1720" t="s">
        <v>12620</v>
      </c>
      <c r="U1720" t="s">
        <v>12620</v>
      </c>
      <c r="V1720" t="s">
        <v>12620</v>
      </c>
      <c r="W1720" t="s">
        <v>14304</v>
      </c>
      <c r="X1720">
        <v>8</v>
      </c>
      <c r="Y1720" t="s">
        <v>20513</v>
      </c>
      <c r="Z1720" t="s">
        <v>26667</v>
      </c>
      <c r="AA1720">
        <v>0.75151501700851664</v>
      </c>
      <c r="AB1720" t="str">
        <f>HYPERLINK("Melting_Curves/meltCurve_P14854_COX6B1.pdf", "Melting_Curves/meltCurve_P14854_COX6B1.pdf")</f>
        <v>Melting_Curves/meltCurve_P14854_COX6B1.pdf</v>
      </c>
    </row>
    <row r="1721" spans="1:28" x14ac:dyDescent="0.25">
      <c r="A1721" t="s">
        <v>1725</v>
      </c>
      <c r="B1721">
        <v>0.99987803227770999</v>
      </c>
      <c r="C1721">
        <v>0.82654595252812801</v>
      </c>
      <c r="D1721">
        <v>0.92010727376187196</v>
      </c>
      <c r="E1721">
        <v>0.46596434176216101</v>
      </c>
      <c r="F1721">
        <v>0.34336717879241102</v>
      </c>
      <c r="G1721">
        <v>0.19722382522675799</v>
      </c>
      <c r="H1721">
        <v>9.4711848514812694E-2</v>
      </c>
      <c r="I1721">
        <v>6.85676342331491E-2</v>
      </c>
      <c r="J1721">
        <v>6.3599562539358404E-2</v>
      </c>
      <c r="K1721">
        <v>4.9796877590980899E-2</v>
      </c>
      <c r="L1721">
        <v>787.52686770822697</v>
      </c>
      <c r="M1721">
        <v>15.716247332607599</v>
      </c>
      <c r="N1721">
        <v>50.411923364774701</v>
      </c>
      <c r="O1721">
        <v>49.318829231306601</v>
      </c>
      <c r="P1721">
        <v>-7.6084339105339904E-2</v>
      </c>
      <c r="Q1721">
        <v>4.5045168204829497E-2</v>
      </c>
      <c r="R1721">
        <v>0.97736898336530298</v>
      </c>
      <c r="S1721" t="s">
        <v>8032</v>
      </c>
      <c r="T1721" t="s">
        <v>12620</v>
      </c>
      <c r="U1721" t="s">
        <v>12620</v>
      </c>
      <c r="V1721" t="s">
        <v>12620</v>
      </c>
      <c r="W1721" t="s">
        <v>14305</v>
      </c>
      <c r="X1721">
        <v>12</v>
      </c>
      <c r="Y1721" t="s">
        <v>20514</v>
      </c>
      <c r="Z1721" t="s">
        <v>26668</v>
      </c>
      <c r="AA1721">
        <v>0.38772269899667672</v>
      </c>
      <c r="AB1721" t="str">
        <f>HYPERLINK("Melting_Curves/meltCurve_P14866_HNRNPL.pdf", "Melting_Curves/meltCurve_P14866_HNRNPL.pdf")</f>
        <v>Melting_Curves/meltCurve_P14866_HNRNPL.pdf</v>
      </c>
    </row>
    <row r="1722" spans="1:28" x14ac:dyDescent="0.25">
      <c r="A1722" t="s">
        <v>1726</v>
      </c>
      <c r="B1722">
        <v>0.99987803227770999</v>
      </c>
      <c r="C1722">
        <v>0.85699058894524605</v>
      </c>
      <c r="D1722">
        <v>0.82267775132446697</v>
      </c>
      <c r="E1722">
        <v>0.69448753023777798</v>
      </c>
      <c r="F1722">
        <v>0.48462132387542001</v>
      </c>
      <c r="G1722">
        <v>0.19949957364902801</v>
      </c>
      <c r="H1722">
        <v>0.124785202294509</v>
      </c>
      <c r="I1722">
        <v>0.108189324688048</v>
      </c>
      <c r="J1722">
        <v>8.4743122793770401E-2</v>
      </c>
      <c r="K1722">
        <v>6.0216768878553803E-2</v>
      </c>
      <c r="L1722">
        <v>664.19495677263899</v>
      </c>
      <c r="M1722">
        <v>12.7309294529661</v>
      </c>
      <c r="N1722">
        <v>52.264862618705898</v>
      </c>
      <c r="O1722">
        <v>50.934747017167503</v>
      </c>
      <c r="P1722">
        <v>-6.1797670409354397E-2</v>
      </c>
      <c r="Q1722">
        <v>1.12126146645571E-2</v>
      </c>
      <c r="R1722">
        <v>0.986342717226525</v>
      </c>
      <c r="S1722" t="s">
        <v>8033</v>
      </c>
      <c r="T1722" t="s">
        <v>12620</v>
      </c>
      <c r="U1722" t="s">
        <v>12620</v>
      </c>
      <c r="V1722" t="s">
        <v>12620</v>
      </c>
      <c r="W1722" t="s">
        <v>14306</v>
      </c>
      <c r="X1722">
        <v>27</v>
      </c>
      <c r="Y1722" t="s">
        <v>20515</v>
      </c>
      <c r="Z1722" t="s">
        <v>26669</v>
      </c>
      <c r="AA1722">
        <v>0.44010162980631701</v>
      </c>
      <c r="AB1722" t="str">
        <f>HYPERLINK("Melting_Curves/meltCurve_P14868_DARS.pdf", "Melting_Curves/meltCurve_P14868_DARS.pdf")</f>
        <v>Melting_Curves/meltCurve_P14868_DARS.pdf</v>
      </c>
    </row>
    <row r="1723" spans="1:28" x14ac:dyDescent="0.25">
      <c r="A1723" t="s">
        <v>1727</v>
      </c>
      <c r="B1723">
        <v>0.99987803227770999</v>
      </c>
      <c r="C1723">
        <v>1.0862040839454501</v>
      </c>
      <c r="D1723">
        <v>1.0689305033671701</v>
      </c>
      <c r="E1723">
        <v>1.00875241079815</v>
      </c>
      <c r="F1723">
        <v>0.85086271397076996</v>
      </c>
      <c r="G1723">
        <v>0.66906575118504097</v>
      </c>
      <c r="H1723">
        <v>0.33922060867042297</v>
      </c>
      <c r="I1723">
        <v>0.16733895279435501</v>
      </c>
      <c r="J1723">
        <v>0.11023642642617699</v>
      </c>
      <c r="K1723">
        <v>8.1247677898663301E-2</v>
      </c>
      <c r="L1723">
        <v>1196.59765321349</v>
      </c>
      <c r="M1723">
        <v>20.4322874044462</v>
      </c>
      <c r="N1723">
        <v>58.808378895593101</v>
      </c>
      <c r="O1723">
        <v>58.011759312344203</v>
      </c>
      <c r="P1723">
        <v>-8.44720541607063E-2</v>
      </c>
      <c r="Q1723">
        <v>4.0690119294996101E-2</v>
      </c>
      <c r="R1723">
        <v>0.989255855328387</v>
      </c>
      <c r="S1723" t="s">
        <v>8034</v>
      </c>
      <c r="T1723" t="s">
        <v>12620</v>
      </c>
      <c r="U1723" t="s">
        <v>12620</v>
      </c>
      <c r="V1723" t="s">
        <v>12620</v>
      </c>
      <c r="W1723" t="s">
        <v>13049</v>
      </c>
      <c r="X1723">
        <v>23</v>
      </c>
      <c r="Y1723" t="s">
        <v>19298</v>
      </c>
      <c r="Z1723" t="s">
        <v>26670</v>
      </c>
      <c r="AA1723">
        <v>0.64436897242721425</v>
      </c>
      <c r="AB1723" t="str">
        <f>HYPERLINK("Melting_Curves/meltCurve_P14923_JUP.pdf", "Melting_Curves/meltCurve_P14923_JUP.pdf")</f>
        <v>Melting_Curves/meltCurve_P14923_JUP.pdf</v>
      </c>
    </row>
    <row r="1724" spans="1:28" x14ac:dyDescent="0.25">
      <c r="A1724" t="s">
        <v>1728</v>
      </c>
      <c r="B1724">
        <v>0.99987803227770999</v>
      </c>
      <c r="C1724">
        <v>0.92775892186845099</v>
      </c>
      <c r="D1724">
        <v>1.00410931206109</v>
      </c>
      <c r="E1724">
        <v>0.87885018717229701</v>
      </c>
      <c r="F1724">
        <v>0.93289122188746498</v>
      </c>
      <c r="G1724">
        <v>0.59738704942629794</v>
      </c>
      <c r="H1724">
        <v>0.67089344432825004</v>
      </c>
      <c r="I1724">
        <v>0.63412248856383202</v>
      </c>
      <c r="J1724">
        <v>0.74843785442411404</v>
      </c>
      <c r="K1724">
        <v>0.61173189294629904</v>
      </c>
      <c r="L1724">
        <v>11610.1226762271</v>
      </c>
      <c r="M1724">
        <v>217.62911165126999</v>
      </c>
      <c r="O1724">
        <v>53.343702433519901</v>
      </c>
      <c r="P1724">
        <v>-0.35441372427819401</v>
      </c>
      <c r="Q1724">
        <v>0.65251450817510903</v>
      </c>
      <c r="R1724">
        <v>0.85929871494493004</v>
      </c>
      <c r="S1724" t="s">
        <v>8035</v>
      </c>
      <c r="T1724" t="s">
        <v>12620</v>
      </c>
      <c r="U1724" t="s">
        <v>12620</v>
      </c>
      <c r="V1724" t="s">
        <v>12620</v>
      </c>
      <c r="W1724" t="s">
        <v>14307</v>
      </c>
      <c r="X1724">
        <v>4</v>
      </c>
      <c r="Y1724" t="s">
        <v>20516</v>
      </c>
      <c r="Z1724" t="s">
        <v>26671</v>
      </c>
      <c r="AA1724">
        <v>0.80716770671643068</v>
      </c>
      <c r="AB1724" t="str">
        <f>HYPERLINK("Melting_Curves/meltCurve_P14927_UQCRB.pdf", "Melting_Curves/meltCurve_P14927_UQCRB.pdf")</f>
        <v>Melting_Curves/meltCurve_P14927_UQCRB.pdf</v>
      </c>
    </row>
    <row r="1725" spans="1:28" x14ac:dyDescent="0.25">
      <c r="A1725" t="s">
        <v>1729</v>
      </c>
      <c r="B1725">
        <v>0.99987803227770999</v>
      </c>
      <c r="C1725">
        <v>1.087678362406</v>
      </c>
      <c r="D1725">
        <v>0.89798576809027497</v>
      </c>
      <c r="E1725">
        <v>0.70933123162339295</v>
      </c>
      <c r="F1725">
        <v>0.47012826993965401</v>
      </c>
      <c r="G1725">
        <v>0.34278626127592499</v>
      </c>
      <c r="H1725">
        <v>0.29345599433087699</v>
      </c>
      <c r="I1725">
        <v>0.223634906973421</v>
      </c>
      <c r="J1725">
        <v>0.180970191934991</v>
      </c>
      <c r="K1725">
        <v>0.12897313293575199</v>
      </c>
      <c r="L1725">
        <v>869.22542434692502</v>
      </c>
      <c r="M1725">
        <v>16.786426547998399</v>
      </c>
      <c r="N1725">
        <v>53.145111296425497</v>
      </c>
      <c r="O1725">
        <v>51.0633236187386</v>
      </c>
      <c r="P1725">
        <v>-6.7807971145564999E-2</v>
      </c>
      <c r="Q1725">
        <v>0.17498212370466601</v>
      </c>
      <c r="R1725">
        <v>0.981400898223455</v>
      </c>
      <c r="S1725" t="s">
        <v>8036</v>
      </c>
      <c r="T1725" t="s">
        <v>12620</v>
      </c>
      <c r="U1725" t="s">
        <v>12620</v>
      </c>
      <c r="V1725" t="s">
        <v>12620</v>
      </c>
      <c r="W1725" t="s">
        <v>14308</v>
      </c>
      <c r="X1725">
        <v>4</v>
      </c>
      <c r="Y1725" t="s">
        <v>20517</v>
      </c>
      <c r="Z1725" t="s">
        <v>26672</v>
      </c>
      <c r="AA1725">
        <v>0.51447983088210247</v>
      </c>
      <c r="AB1725" t="str">
        <f>HYPERLINK("Melting_Curves/meltCurve_P15056_BRAF.pdf", "Melting_Curves/meltCurve_P15056_BRAF.pdf")</f>
        <v>Melting_Curves/meltCurve_P15056_BRAF.pdf</v>
      </c>
    </row>
    <row r="1726" spans="1:28" x14ac:dyDescent="0.25">
      <c r="A1726" t="s">
        <v>1730</v>
      </c>
      <c r="B1726">
        <v>0.99987803227770999</v>
      </c>
      <c r="C1726">
        <v>0.82077827136675097</v>
      </c>
      <c r="D1726">
        <v>1.1003849572059801</v>
      </c>
      <c r="E1726">
        <v>0.91074173922832202</v>
      </c>
      <c r="F1726">
        <v>0.95441561088168403</v>
      </c>
      <c r="G1726">
        <v>0.233857696359101</v>
      </c>
      <c r="H1726">
        <v>9.6589587391296403E-2</v>
      </c>
      <c r="I1726">
        <v>7.1552481808721299E-2</v>
      </c>
      <c r="J1726">
        <v>5.1273157326798997E-2</v>
      </c>
      <c r="K1726">
        <v>3.6089280316810898E-2</v>
      </c>
      <c r="L1726">
        <v>3241.40273491476</v>
      </c>
      <c r="M1726">
        <v>58.341391895398701</v>
      </c>
      <c r="N1726">
        <v>55.685461498054401</v>
      </c>
      <c r="O1726">
        <v>55.494063941795403</v>
      </c>
      <c r="P1726">
        <v>-0.246548164175351</v>
      </c>
      <c r="Q1726">
        <v>6.1938507060027397E-2</v>
      </c>
      <c r="R1726">
        <v>0.97298929806148604</v>
      </c>
      <c r="S1726" t="s">
        <v>8037</v>
      </c>
      <c r="T1726" t="s">
        <v>12620</v>
      </c>
      <c r="U1726" t="s">
        <v>12620</v>
      </c>
      <c r="V1726" t="s">
        <v>12620</v>
      </c>
      <c r="W1726" t="s">
        <v>14309</v>
      </c>
      <c r="X1726">
        <v>25</v>
      </c>
      <c r="Y1726" t="s">
        <v>20518</v>
      </c>
      <c r="Z1726" t="s">
        <v>26673</v>
      </c>
      <c r="AA1726">
        <v>0.55014136058124852</v>
      </c>
      <c r="AB1726" t="str">
        <f>HYPERLINK("Melting_Curves/meltCurve_P15121_AKR1B1.pdf", "Melting_Curves/meltCurve_P15121_AKR1B1.pdf")</f>
        <v>Melting_Curves/meltCurve_P15121_AKR1B1.pdf</v>
      </c>
    </row>
    <row r="1727" spans="1:28" x14ac:dyDescent="0.25">
      <c r="A1727" t="s">
        <v>1731</v>
      </c>
      <c r="B1727">
        <v>0.99987803227770999</v>
      </c>
      <c r="C1727">
        <v>1.1199129054779</v>
      </c>
      <c r="D1727">
        <v>0.96674394433991195</v>
      </c>
      <c r="E1727">
        <v>1.12138302803074</v>
      </c>
      <c r="F1727">
        <v>1.0364290417930899</v>
      </c>
      <c r="G1727">
        <v>0.72906553007878105</v>
      </c>
      <c r="H1727">
        <v>0.78182286767752895</v>
      </c>
      <c r="I1727">
        <v>0.73493123913306202</v>
      </c>
      <c r="J1727">
        <v>0.57967599988784002</v>
      </c>
      <c r="K1727">
        <v>0.45575402027857498</v>
      </c>
      <c r="L1727">
        <v>722.92351597133597</v>
      </c>
      <c r="M1727">
        <v>10.7722098629512</v>
      </c>
      <c r="N1727">
        <v>69.186349363573896</v>
      </c>
      <c r="O1727">
        <v>64.921395044245997</v>
      </c>
      <c r="P1727">
        <v>-3.5765628000994698E-2</v>
      </c>
      <c r="Q1727">
        <v>0.13811334820158</v>
      </c>
      <c r="R1727">
        <v>0.84992248896965195</v>
      </c>
      <c r="S1727" t="s">
        <v>8038</v>
      </c>
      <c r="T1727" t="s">
        <v>12620</v>
      </c>
      <c r="U1727" t="s">
        <v>12620</v>
      </c>
      <c r="V1727" t="s">
        <v>12620</v>
      </c>
      <c r="W1727" t="s">
        <v>14310</v>
      </c>
      <c r="X1727">
        <v>2</v>
      </c>
      <c r="Y1727" t="s">
        <v>20519</v>
      </c>
      <c r="Z1727" t="s">
        <v>26674</v>
      </c>
      <c r="AA1727">
        <v>0.85105349560094878</v>
      </c>
      <c r="AB1727" t="str">
        <f>HYPERLINK("Melting_Curves/meltCurve_P15151_3_PVR.pdf", "Melting_Curves/meltCurve_P15151_3_PVR.pdf")</f>
        <v>Melting_Curves/meltCurve_P15151_3_PVR.pdf</v>
      </c>
    </row>
    <row r="1728" spans="1:28" x14ac:dyDescent="0.25">
      <c r="A1728" t="s">
        <v>1732</v>
      </c>
      <c r="B1728">
        <v>0.99987803227770999</v>
      </c>
      <c r="C1728">
        <v>0.985655202787457</v>
      </c>
      <c r="D1728">
        <v>0.99862678110113601</v>
      </c>
      <c r="E1728">
        <v>0.99188478848210804</v>
      </c>
      <c r="F1728">
        <v>0.77446534217048102</v>
      </c>
      <c r="G1728">
        <v>0.34341711500344402</v>
      </c>
      <c r="H1728">
        <v>0.15888217784713299</v>
      </c>
      <c r="I1728">
        <v>0.114985540435203</v>
      </c>
      <c r="J1728">
        <v>9.7535110852636497E-2</v>
      </c>
      <c r="K1728">
        <v>6.3392409895264207E-2</v>
      </c>
      <c r="L1728">
        <v>1592.13285045579</v>
      </c>
      <c r="M1728">
        <v>28.858304981840501</v>
      </c>
      <c r="N1728">
        <v>55.5428725660041</v>
      </c>
      <c r="O1728">
        <v>54.907812172113701</v>
      </c>
      <c r="P1728">
        <v>-0.119843587421818</v>
      </c>
      <c r="Q1728">
        <v>8.79160536398189E-2</v>
      </c>
      <c r="R1728">
        <v>0.998362747619853</v>
      </c>
      <c r="S1728" t="s">
        <v>8039</v>
      </c>
      <c r="T1728" t="s">
        <v>12620</v>
      </c>
      <c r="U1728" t="s">
        <v>12620</v>
      </c>
      <c r="V1728" t="s">
        <v>12620</v>
      </c>
      <c r="W1728" t="s">
        <v>14311</v>
      </c>
      <c r="X1728">
        <v>38</v>
      </c>
      <c r="Y1728" t="s">
        <v>20520</v>
      </c>
      <c r="Z1728" t="s">
        <v>26675</v>
      </c>
      <c r="AA1728">
        <v>0.55566079305466576</v>
      </c>
      <c r="AB1728" t="str">
        <f>HYPERLINK("Melting_Curves/meltCurve_P15170_2_GSPT1.pdf", "Melting_Curves/meltCurve_P15170_2_GSPT1.pdf")</f>
        <v>Melting_Curves/meltCurve_P15170_2_GSPT1.pdf</v>
      </c>
    </row>
    <row r="1729" spans="1:28" x14ac:dyDescent="0.25">
      <c r="A1729" t="s">
        <v>1733</v>
      </c>
      <c r="B1729">
        <v>0.99987803227770999</v>
      </c>
      <c r="C1729">
        <v>0.74178931082785804</v>
      </c>
      <c r="D1729">
        <v>0.97862911052170798</v>
      </c>
      <c r="E1729">
        <v>0.84920019877380504</v>
      </c>
      <c r="F1729">
        <v>0.99473648263739001</v>
      </c>
      <c r="G1729">
        <v>0.70237859955352899</v>
      </c>
      <c r="H1729">
        <v>0.82824810323074305</v>
      </c>
      <c r="I1729">
        <v>0.65596911891605902</v>
      </c>
      <c r="J1729">
        <v>0.92674733630334805</v>
      </c>
      <c r="K1729">
        <v>0.71536042368414399</v>
      </c>
      <c r="L1729">
        <v>153.71217715313901</v>
      </c>
      <c r="M1729">
        <v>1.8309212633358201</v>
      </c>
      <c r="O1729">
        <v>47.151510607869703</v>
      </c>
      <c r="P1729">
        <v>-6.3816325893850598E-3</v>
      </c>
      <c r="Q1729">
        <v>0.40794833394483998</v>
      </c>
      <c r="R1729">
        <v>0.21312924513224499</v>
      </c>
      <c r="S1729" t="s">
        <v>8040</v>
      </c>
      <c r="T1729" t="s">
        <v>12620</v>
      </c>
      <c r="U1729" t="s">
        <v>12620</v>
      </c>
      <c r="V1729" t="s">
        <v>12620</v>
      </c>
      <c r="W1729" t="s">
        <v>14312</v>
      </c>
      <c r="X1729">
        <v>1</v>
      </c>
      <c r="Y1729" t="s">
        <v>20521</v>
      </c>
      <c r="Z1729" t="s">
        <v>26676</v>
      </c>
      <c r="AA1729">
        <v>0.83920490874868148</v>
      </c>
      <c r="AB1729" t="str">
        <f>HYPERLINK("Melting_Curves/meltCurve_P15248_IL9.pdf", "Melting_Curves/meltCurve_P15248_IL9.pdf")</f>
        <v>Melting_Curves/meltCurve_P15248_IL9.pdf</v>
      </c>
    </row>
    <row r="1730" spans="1:28" x14ac:dyDescent="0.25">
      <c r="A1730" t="s">
        <v>1734</v>
      </c>
      <c r="B1730">
        <v>0.99987803227770999</v>
      </c>
      <c r="C1730">
        <v>1.1083687875257699</v>
      </c>
      <c r="D1730">
        <v>0.97256476898365796</v>
      </c>
      <c r="E1730">
        <v>1.05415845037127</v>
      </c>
      <c r="F1730">
        <v>0.96569737785849596</v>
      </c>
      <c r="G1730">
        <v>0.91285242459219496</v>
      </c>
      <c r="H1730">
        <v>0.86863366680056397</v>
      </c>
      <c r="I1730">
        <v>0.807465050564666</v>
      </c>
      <c r="J1730">
        <v>0.61021467955141095</v>
      </c>
      <c r="K1730">
        <v>0.35032649174166602</v>
      </c>
      <c r="L1730">
        <v>1288.5529053657899</v>
      </c>
      <c r="M1730">
        <v>18.892343009520701</v>
      </c>
      <c r="N1730">
        <v>68.205029727604597</v>
      </c>
      <c r="O1730">
        <v>67.454637939056497</v>
      </c>
      <c r="P1730">
        <v>-7.0021548567446704E-2</v>
      </c>
      <c r="Q1730">
        <v>0</v>
      </c>
      <c r="R1730">
        <v>0.94840652842818296</v>
      </c>
      <c r="S1730" t="s">
        <v>8041</v>
      </c>
      <c r="T1730" t="s">
        <v>12620</v>
      </c>
      <c r="U1730" t="s">
        <v>12620</v>
      </c>
      <c r="V1730" t="s">
        <v>12620</v>
      </c>
      <c r="W1730" t="s">
        <v>14313</v>
      </c>
      <c r="X1730">
        <v>8</v>
      </c>
      <c r="Y1730" t="s">
        <v>20522</v>
      </c>
      <c r="Z1730" t="s">
        <v>26677</v>
      </c>
      <c r="AA1730">
        <v>0.89202722934546075</v>
      </c>
      <c r="AB1730" t="str">
        <f>HYPERLINK("Melting_Curves/meltCurve_P15289_ARSA.pdf", "Melting_Curves/meltCurve_P15289_ARSA.pdf")</f>
        <v>Melting_Curves/meltCurve_P15289_ARSA.pdf</v>
      </c>
    </row>
    <row r="1731" spans="1:28" x14ac:dyDescent="0.25">
      <c r="A1731" t="s">
        <v>1735</v>
      </c>
      <c r="B1731">
        <v>0.99987803227770999</v>
      </c>
      <c r="C1731">
        <v>0.84935737109781695</v>
      </c>
      <c r="D1731">
        <v>1.2203760964225501</v>
      </c>
      <c r="E1731">
        <v>1.1902786629944599</v>
      </c>
      <c r="F1731">
        <v>0.87109877169161398</v>
      </c>
      <c r="G1731">
        <v>0.24135471429517999</v>
      </c>
      <c r="H1731">
        <v>0.14077364954621599</v>
      </c>
      <c r="I1731">
        <v>0.105396801348156</v>
      </c>
      <c r="J1731">
        <v>9.0478274320451593E-2</v>
      </c>
      <c r="K1731">
        <v>6.7668626616829805E-2</v>
      </c>
      <c r="L1731">
        <v>2779.5824670768402</v>
      </c>
      <c r="M1731">
        <v>50.4791675633344</v>
      </c>
      <c r="N1731">
        <v>55.307821094716303</v>
      </c>
      <c r="O1731">
        <v>54.977753909016499</v>
      </c>
      <c r="P1731">
        <v>-0.206641422611964</v>
      </c>
      <c r="Q1731">
        <v>9.9773657296115495E-2</v>
      </c>
      <c r="R1731">
        <v>0.94781755006068902</v>
      </c>
      <c r="S1731" t="s">
        <v>8042</v>
      </c>
      <c r="T1731" t="s">
        <v>12620</v>
      </c>
      <c r="U1731" t="s">
        <v>12620</v>
      </c>
      <c r="V1731" t="s">
        <v>12620</v>
      </c>
      <c r="W1731" t="s">
        <v>14314</v>
      </c>
      <c r="X1731">
        <v>63</v>
      </c>
      <c r="Y1731" t="s">
        <v>20523</v>
      </c>
      <c r="Z1731" t="s">
        <v>26678</v>
      </c>
      <c r="AA1731">
        <v>0.55394971699204032</v>
      </c>
      <c r="AB1731" t="str">
        <f>HYPERLINK("Melting_Curves/meltCurve_P15311_EZR.pdf", "Melting_Curves/meltCurve_P15311_EZR.pdf")</f>
        <v>Melting_Curves/meltCurve_P15311_EZR.pdf</v>
      </c>
    </row>
    <row r="1732" spans="1:28" x14ac:dyDescent="0.25">
      <c r="A1732" t="s">
        <v>1736</v>
      </c>
      <c r="B1732">
        <v>0.99987803227770999</v>
      </c>
      <c r="C1732">
        <v>0.84789142797735095</v>
      </c>
      <c r="D1732">
        <v>1.0077716856952601</v>
      </c>
      <c r="E1732">
        <v>0.86699450470396799</v>
      </c>
      <c r="F1732">
        <v>0.95330689425149195</v>
      </c>
      <c r="G1732">
        <v>0.64399612825989005</v>
      </c>
      <c r="H1732">
        <v>0.31808549412980902</v>
      </c>
      <c r="I1732">
        <v>0.218648499781573</v>
      </c>
      <c r="J1732">
        <v>0.15008590915474701</v>
      </c>
      <c r="K1732">
        <v>0.10752082870438801</v>
      </c>
      <c r="L1732">
        <v>1254.52278348504</v>
      </c>
      <c r="M1732">
        <v>21.569244938100098</v>
      </c>
      <c r="N1732">
        <v>58.723148120681699</v>
      </c>
      <c r="O1732">
        <v>57.669536683079002</v>
      </c>
      <c r="P1732">
        <v>-8.4806035982893893E-2</v>
      </c>
      <c r="Q1732">
        <v>9.3040517649670001E-2</v>
      </c>
      <c r="R1732">
        <v>0.96973981636165296</v>
      </c>
      <c r="S1732" t="s">
        <v>8043</v>
      </c>
      <c r="T1732" t="s">
        <v>12620</v>
      </c>
      <c r="U1732" t="s">
        <v>12620</v>
      </c>
      <c r="V1732" t="s">
        <v>12620</v>
      </c>
      <c r="W1732" t="s">
        <v>14315</v>
      </c>
      <c r="X1732">
        <v>15</v>
      </c>
      <c r="Y1732" t="s">
        <v>20524</v>
      </c>
      <c r="Z1732" t="s">
        <v>26679</v>
      </c>
      <c r="AA1732">
        <v>0.65151097449817785</v>
      </c>
      <c r="AB1732" t="str">
        <f>HYPERLINK("Melting_Curves/meltCurve_P15374_UCHL3.pdf", "Melting_Curves/meltCurve_P15374_UCHL3.pdf")</f>
        <v>Melting_Curves/meltCurve_P15374_UCHL3.pdf</v>
      </c>
    </row>
    <row r="1733" spans="1:28" x14ac:dyDescent="0.25">
      <c r="A1733" t="s">
        <v>1737</v>
      </c>
      <c r="B1733">
        <v>0.99987803227770999</v>
      </c>
      <c r="C1733">
        <v>0.388310967654107</v>
      </c>
      <c r="D1733">
        <v>1.36398002151833</v>
      </c>
      <c r="E1733">
        <v>0.44396745444514701</v>
      </c>
      <c r="F1733">
        <v>0.145976384359989</v>
      </c>
      <c r="G1733">
        <v>9.5247151789450299E-2</v>
      </c>
      <c r="H1733">
        <v>5.8161737040194998E-2</v>
      </c>
      <c r="I1733">
        <v>4.5198650101945098E-2</v>
      </c>
      <c r="J1733">
        <v>3.1074285753252801E-2</v>
      </c>
      <c r="K1733">
        <v>2.04618608689747E-2</v>
      </c>
      <c r="L1733">
        <v>4505.5261133611102</v>
      </c>
      <c r="M1733">
        <v>90.484535945243493</v>
      </c>
      <c r="N1733">
        <v>49.870249522752097</v>
      </c>
      <c r="O1733">
        <v>49.769005976180999</v>
      </c>
      <c r="P1733">
        <v>-0.42491807118610098</v>
      </c>
      <c r="Q1733">
        <v>6.5132875267152696E-2</v>
      </c>
      <c r="R1733">
        <v>0.73529024591847703</v>
      </c>
      <c r="S1733" t="s">
        <v>8044</v>
      </c>
      <c r="T1733" t="s">
        <v>12620</v>
      </c>
      <c r="U1733" t="s">
        <v>12620</v>
      </c>
      <c r="V1733" t="s">
        <v>12620</v>
      </c>
      <c r="W1733" t="s">
        <v>14316</v>
      </c>
      <c r="X1733">
        <v>10</v>
      </c>
      <c r="Y1733" t="s">
        <v>20525</v>
      </c>
      <c r="Z1733" t="s">
        <v>26680</v>
      </c>
      <c r="AA1733">
        <v>0.37093941257146351</v>
      </c>
      <c r="AB1733" t="str">
        <f>HYPERLINK("Melting_Curves/meltCurve_P15428_HPGD.pdf", "Melting_Curves/meltCurve_P15428_HPGD.pdf")</f>
        <v>Melting_Curves/meltCurve_P15428_HPGD.pdf</v>
      </c>
    </row>
    <row r="1734" spans="1:28" x14ac:dyDescent="0.25">
      <c r="A1734" t="s">
        <v>1738</v>
      </c>
      <c r="B1734">
        <v>0.99987803227770999</v>
      </c>
      <c r="C1734">
        <v>0.93458277522292998</v>
      </c>
      <c r="D1734">
        <v>1.0083116597758399</v>
      </c>
      <c r="E1734">
        <v>0.86592219791245895</v>
      </c>
      <c r="F1734">
        <v>0.98426237949010198</v>
      </c>
      <c r="G1734">
        <v>0.92460122911382203</v>
      </c>
      <c r="H1734">
        <v>0.92407072266812096</v>
      </c>
      <c r="I1734">
        <v>0.82267066568398906</v>
      </c>
      <c r="J1734">
        <v>1.1192243772971699</v>
      </c>
      <c r="K1734">
        <v>0.77403773200167103</v>
      </c>
      <c r="L1734">
        <v>144.00077103361201</v>
      </c>
      <c r="M1734">
        <v>1.0000000000000001E-5</v>
      </c>
      <c r="O1734">
        <v>60.016323523702702</v>
      </c>
      <c r="P1734">
        <v>-2.84041160169841E-3</v>
      </c>
      <c r="Q1734">
        <v>6.8781432042599205E-2</v>
      </c>
      <c r="R1734">
        <v>8.1576919935276396E-2</v>
      </c>
      <c r="S1734" t="s">
        <v>8045</v>
      </c>
      <c r="T1734" t="s">
        <v>12620</v>
      </c>
      <c r="U1734" t="s">
        <v>12620</v>
      </c>
      <c r="V1734" t="s">
        <v>12620</v>
      </c>
      <c r="W1734" t="s">
        <v>14317</v>
      </c>
      <c r="X1734">
        <v>4</v>
      </c>
      <c r="Y1734" t="s">
        <v>20526</v>
      </c>
      <c r="Z1734" t="s">
        <v>26681</v>
      </c>
      <c r="AA1734">
        <v>0.93612633452013894</v>
      </c>
      <c r="AB1734" t="str">
        <f>HYPERLINK("Melting_Curves/meltCurve_P15529_15_CD46.pdf", "Melting_Curves/meltCurve_P15529_15_CD46.pdf")</f>
        <v>Melting_Curves/meltCurve_P15529_15_CD46.pdf</v>
      </c>
    </row>
    <row r="1735" spans="1:28" x14ac:dyDescent="0.25">
      <c r="A1735" t="s">
        <v>1739</v>
      </c>
      <c r="B1735">
        <v>0.99987803227770999</v>
      </c>
      <c r="C1735">
        <v>1.0309274282502401</v>
      </c>
      <c r="D1735">
        <v>1.0519653593923399</v>
      </c>
      <c r="E1735">
        <v>1.1234380344371899</v>
      </c>
      <c r="F1735">
        <v>1.1423680150818001</v>
      </c>
      <c r="G1735">
        <v>1.5146100656861601</v>
      </c>
      <c r="H1735">
        <v>1.2764426311347501</v>
      </c>
      <c r="I1735">
        <v>0.71302869513724598</v>
      </c>
      <c r="J1735">
        <v>0.249718301404665</v>
      </c>
      <c r="K1735">
        <v>0.18701838527645601</v>
      </c>
      <c r="L1735">
        <v>15000</v>
      </c>
      <c r="M1735">
        <v>233.83039537265299</v>
      </c>
      <c r="N1735">
        <v>64.306900066928407</v>
      </c>
      <c r="O1735">
        <v>64.144367387190201</v>
      </c>
      <c r="P1735">
        <v>-0.71235468511686695</v>
      </c>
      <c r="Q1735">
        <v>0.218347290808211</v>
      </c>
      <c r="R1735">
        <v>0.76629391379521605</v>
      </c>
      <c r="S1735" t="s">
        <v>8046</v>
      </c>
      <c r="T1735" t="s">
        <v>12620</v>
      </c>
      <c r="U1735" t="s">
        <v>12620</v>
      </c>
      <c r="V1735" t="s">
        <v>12620</v>
      </c>
      <c r="W1735" t="s">
        <v>14318</v>
      </c>
      <c r="X1735">
        <v>15</v>
      </c>
      <c r="Y1735" t="s">
        <v>20527</v>
      </c>
      <c r="Z1735" t="s">
        <v>26682</v>
      </c>
      <c r="AA1735">
        <v>0.84765381626412306</v>
      </c>
      <c r="AB1735" t="str">
        <f>HYPERLINK("Melting_Curves/meltCurve_P15531_NME1.pdf", "Melting_Curves/meltCurve_P15531_NME1.pdf")</f>
        <v>Melting_Curves/meltCurve_P15531_NME1.pdf</v>
      </c>
    </row>
    <row r="1736" spans="1:28" x14ac:dyDescent="0.25">
      <c r="A1736" t="s">
        <v>1740</v>
      </c>
      <c r="B1736">
        <v>0.99987803227770999</v>
      </c>
      <c r="C1736">
        <v>0.90468506308206398</v>
      </c>
      <c r="D1736">
        <v>0.88143866686608596</v>
      </c>
      <c r="E1736">
        <v>0.66262580919222702</v>
      </c>
      <c r="F1736">
        <v>0.44380503187037701</v>
      </c>
      <c r="G1736">
        <v>0.29737439564222201</v>
      </c>
      <c r="H1736">
        <v>0.220872062987086</v>
      </c>
      <c r="I1736">
        <v>0.23547212208386001</v>
      </c>
      <c r="J1736">
        <v>0.20094965688358199</v>
      </c>
      <c r="K1736">
        <v>0.15271796508030699</v>
      </c>
      <c r="L1736">
        <v>783.80777374070101</v>
      </c>
      <c r="M1736">
        <v>15.3902632076478</v>
      </c>
      <c r="N1736">
        <v>52.322697028143402</v>
      </c>
      <c r="O1736">
        <v>50.092178399627201</v>
      </c>
      <c r="P1736">
        <v>-6.38981778001253E-2</v>
      </c>
      <c r="Q1736">
        <v>0.16817343620490799</v>
      </c>
      <c r="R1736">
        <v>0.99407554535395104</v>
      </c>
      <c r="S1736" t="s">
        <v>8047</v>
      </c>
      <c r="T1736" t="s">
        <v>12620</v>
      </c>
      <c r="U1736" t="s">
        <v>12620</v>
      </c>
      <c r="V1736" t="s">
        <v>12620</v>
      </c>
      <c r="W1736" t="s">
        <v>14319</v>
      </c>
      <c r="X1736">
        <v>2</v>
      </c>
      <c r="Y1736" t="s">
        <v>20528</v>
      </c>
      <c r="Z1736" t="s">
        <v>26683</v>
      </c>
      <c r="AA1736">
        <v>0.48965438905895831</v>
      </c>
      <c r="AB1736" t="str">
        <f>HYPERLINK("Melting_Curves/meltCurve_P15735_2_PHKG2.pdf", "Melting_Curves/meltCurve_P15735_2_PHKG2.pdf")</f>
        <v>Melting_Curves/meltCurve_P15735_2_PHKG2.pdf</v>
      </c>
    </row>
    <row r="1737" spans="1:28" x14ac:dyDescent="0.25">
      <c r="A1737" t="s">
        <v>1741</v>
      </c>
      <c r="B1737">
        <v>0.99987803227770999</v>
      </c>
      <c r="C1737">
        <v>0.98866230733129201</v>
      </c>
      <c r="D1737">
        <v>0.95624758668431198</v>
      </c>
      <c r="E1737">
        <v>0.92920483598591797</v>
      </c>
      <c r="F1737">
        <v>0.69791003447605704</v>
      </c>
      <c r="G1737">
        <v>0.46430385153353398</v>
      </c>
      <c r="H1737">
        <v>0.43383103741775703</v>
      </c>
      <c r="I1737">
        <v>0.40201834624392002</v>
      </c>
      <c r="J1737">
        <v>0.469561662324741</v>
      </c>
      <c r="K1737">
        <v>0.35262763362709698</v>
      </c>
      <c r="L1737">
        <v>1665.6111631343599</v>
      </c>
      <c r="M1737">
        <v>31.4579291029067</v>
      </c>
      <c r="N1737">
        <v>56.009334468544601</v>
      </c>
      <c r="O1737">
        <v>52.734688526442902</v>
      </c>
      <c r="P1737">
        <v>-8.7921646004271506E-2</v>
      </c>
      <c r="Q1737">
        <v>0.41045139512005302</v>
      </c>
      <c r="R1737">
        <v>0.98686358098194304</v>
      </c>
      <c r="S1737" t="s">
        <v>8048</v>
      </c>
      <c r="T1737" t="s">
        <v>12620</v>
      </c>
      <c r="U1737" t="s">
        <v>12620</v>
      </c>
      <c r="V1737" t="s">
        <v>12620</v>
      </c>
      <c r="W1737" t="s">
        <v>14320</v>
      </c>
      <c r="X1737">
        <v>3</v>
      </c>
      <c r="Y1737" t="s">
        <v>20529</v>
      </c>
      <c r="Z1737" t="s">
        <v>26684</v>
      </c>
      <c r="AA1737">
        <v>0.66836593587974236</v>
      </c>
      <c r="AB1737" t="str">
        <f>HYPERLINK("Melting_Curves/meltCurve_P15822_HIVEP1.pdf", "Melting_Curves/meltCurve_P15822_HIVEP1.pdf")</f>
        <v>Melting_Curves/meltCurve_P15822_HIVEP1.pdf</v>
      </c>
    </row>
    <row r="1738" spans="1:28" x14ac:dyDescent="0.25">
      <c r="A1738" t="s">
        <v>1742</v>
      </c>
      <c r="B1738">
        <v>0.99987803227770999</v>
      </c>
      <c r="C1738">
        <v>1.0122154836730901</v>
      </c>
      <c r="D1738">
        <v>1.01533797240997</v>
      </c>
      <c r="E1738">
        <v>0.96232586304918999</v>
      </c>
      <c r="F1738">
        <v>1.00134539780912</v>
      </c>
      <c r="G1738">
        <v>0.76441416019022901</v>
      </c>
      <c r="H1738">
        <v>0.87169743337052996</v>
      </c>
      <c r="I1738">
        <v>0.69838670587878604</v>
      </c>
      <c r="J1738">
        <v>0.61470481540359201</v>
      </c>
      <c r="K1738">
        <v>0.26749200133555101</v>
      </c>
      <c r="L1738">
        <v>998.01575134179097</v>
      </c>
      <c r="M1738">
        <v>14.8106874912749</v>
      </c>
      <c r="N1738">
        <v>67.384841407300698</v>
      </c>
      <c r="O1738">
        <v>66.192152521025406</v>
      </c>
      <c r="P1738">
        <v>-5.5944174217740401E-2</v>
      </c>
      <c r="Q1738">
        <v>0</v>
      </c>
      <c r="R1738">
        <v>0.90133396699844603</v>
      </c>
      <c r="S1738" t="s">
        <v>8049</v>
      </c>
      <c r="T1738" t="s">
        <v>12620</v>
      </c>
      <c r="U1738" t="s">
        <v>12620</v>
      </c>
      <c r="V1738" t="s">
        <v>12620</v>
      </c>
      <c r="W1738" t="s">
        <v>14321</v>
      </c>
      <c r="X1738">
        <v>8</v>
      </c>
      <c r="Y1738" t="s">
        <v>20530</v>
      </c>
      <c r="Z1738" t="s">
        <v>26685</v>
      </c>
      <c r="AA1738">
        <v>0.85916678318991402</v>
      </c>
      <c r="AB1738" t="str">
        <f>HYPERLINK("Melting_Curves/meltCurve_P15848_ARSB.pdf", "Melting_Curves/meltCurve_P15848_ARSB.pdf")</f>
        <v>Melting_Curves/meltCurve_P15848_ARSB.pdf</v>
      </c>
    </row>
    <row r="1739" spans="1:28" x14ac:dyDescent="0.25">
      <c r="A1739" t="s">
        <v>1743</v>
      </c>
      <c r="B1739">
        <v>0.99987803227770999</v>
      </c>
      <c r="C1739">
        <v>1.1861273864883699</v>
      </c>
      <c r="D1739">
        <v>1.04244147700149</v>
      </c>
      <c r="E1739">
        <v>0.94848677212328003</v>
      </c>
      <c r="F1739">
        <v>0.44980819725562099</v>
      </c>
      <c r="G1739">
        <v>0.20871064416174401</v>
      </c>
      <c r="H1739">
        <v>0.117332063118099</v>
      </c>
      <c r="I1739">
        <v>0.107819057589722</v>
      </c>
      <c r="J1739">
        <v>8.02954737872726E-2</v>
      </c>
      <c r="K1739">
        <v>6.1911094978923498E-2</v>
      </c>
      <c r="L1739">
        <v>2407.96222434833</v>
      </c>
      <c r="M1739">
        <v>45.825163000877801</v>
      </c>
      <c r="N1739">
        <v>52.827110881356802</v>
      </c>
      <c r="O1739">
        <v>52.446949745035603</v>
      </c>
      <c r="P1739">
        <v>-0.19485555765922599</v>
      </c>
      <c r="Q1739">
        <v>0.107951469529966</v>
      </c>
      <c r="R1739">
        <v>0.97639492615438295</v>
      </c>
      <c r="S1739" t="s">
        <v>8050</v>
      </c>
      <c r="T1739" t="s">
        <v>12620</v>
      </c>
      <c r="U1739" t="s">
        <v>12620</v>
      </c>
      <c r="V1739" t="s">
        <v>12620</v>
      </c>
      <c r="W1739" t="s">
        <v>14322</v>
      </c>
      <c r="X1739">
        <v>10</v>
      </c>
      <c r="Y1739" t="s">
        <v>20531</v>
      </c>
      <c r="Z1739" t="s">
        <v>26686</v>
      </c>
      <c r="AA1739">
        <v>0.48349121679664481</v>
      </c>
      <c r="AB1739" t="str">
        <f>HYPERLINK("Melting_Curves/meltCurve_P15880_RPS2.pdf", "Melting_Curves/meltCurve_P15880_RPS2.pdf")</f>
        <v>Melting_Curves/meltCurve_P15880_RPS2.pdf</v>
      </c>
    </row>
    <row r="1740" spans="1:28" x14ac:dyDescent="0.25">
      <c r="A1740" t="s">
        <v>1744</v>
      </c>
      <c r="B1740">
        <v>0.99987803227770999</v>
      </c>
      <c r="C1740">
        <v>0.89742376095360199</v>
      </c>
      <c r="D1740">
        <v>1.01867150394448</v>
      </c>
      <c r="E1740">
        <v>0.82601390308470202</v>
      </c>
      <c r="F1740">
        <v>0.421171718276527</v>
      </c>
      <c r="G1740">
        <v>0.14824797376426899</v>
      </c>
      <c r="H1740">
        <v>9.3965262912960604E-2</v>
      </c>
      <c r="I1740">
        <v>6.7116638762360806E-2</v>
      </c>
      <c r="J1740">
        <v>5.0297438883300599E-2</v>
      </c>
      <c r="K1740">
        <v>4.59069834869551E-2</v>
      </c>
      <c r="L1740">
        <v>1633.7096752990301</v>
      </c>
      <c r="M1740">
        <v>31.2502029140751</v>
      </c>
      <c r="N1740">
        <v>52.506841721621598</v>
      </c>
      <c r="O1740">
        <v>52.065691995167498</v>
      </c>
      <c r="P1740">
        <v>-0.140513921726763</v>
      </c>
      <c r="Q1740">
        <v>6.3569097438618105E-2</v>
      </c>
      <c r="R1740">
        <v>0.99225362388313199</v>
      </c>
      <c r="S1740" t="s">
        <v>8051</v>
      </c>
      <c r="T1740" t="s">
        <v>12620</v>
      </c>
      <c r="U1740" t="s">
        <v>12620</v>
      </c>
      <c r="V1740" t="s">
        <v>12620</v>
      </c>
      <c r="W1740" t="s">
        <v>14323</v>
      </c>
      <c r="X1740">
        <v>9</v>
      </c>
      <c r="Y1740" t="s">
        <v>20532</v>
      </c>
      <c r="Z1740" t="s">
        <v>26687</v>
      </c>
      <c r="AA1740">
        <v>0.45237261306113807</v>
      </c>
      <c r="AB1740" t="str">
        <f>HYPERLINK("Melting_Curves/meltCurve_P15882_CHN1.pdf", "Melting_Curves/meltCurve_P15882_CHN1.pdf")</f>
        <v>Melting_Curves/meltCurve_P15882_CHN1.pdf</v>
      </c>
    </row>
    <row r="1741" spans="1:28" x14ac:dyDescent="0.25">
      <c r="A1741" t="s">
        <v>1745</v>
      </c>
      <c r="B1741">
        <v>0.99987803227770999</v>
      </c>
      <c r="C1741">
        <v>1.0742173207233101</v>
      </c>
      <c r="D1741">
        <v>0.89001587905124202</v>
      </c>
      <c r="E1741">
        <v>0.58286464694956797</v>
      </c>
      <c r="F1741">
        <v>0.36989938504778702</v>
      </c>
      <c r="G1741">
        <v>0.25798540594252001</v>
      </c>
      <c r="H1741">
        <v>0.21283601006032499</v>
      </c>
      <c r="I1741">
        <v>0.19712054715274599</v>
      </c>
      <c r="J1741">
        <v>0.162339280102206</v>
      </c>
      <c r="K1741">
        <v>0.13828286140309401</v>
      </c>
      <c r="L1741">
        <v>1099.88026858137</v>
      </c>
      <c r="M1741">
        <v>21.947491902087201</v>
      </c>
      <c r="N1741">
        <v>51.124447010063498</v>
      </c>
      <c r="O1741">
        <v>49.703685022326702</v>
      </c>
      <c r="P1741">
        <v>-9.0970364911099597E-2</v>
      </c>
      <c r="Q1741">
        <v>0.17594948765158899</v>
      </c>
      <c r="R1741">
        <v>0.98989753375253797</v>
      </c>
      <c r="S1741" t="s">
        <v>8052</v>
      </c>
      <c r="T1741" t="s">
        <v>12620</v>
      </c>
      <c r="U1741" t="s">
        <v>12620</v>
      </c>
      <c r="V1741" t="s">
        <v>12620</v>
      </c>
      <c r="W1741" t="s">
        <v>14324</v>
      </c>
      <c r="X1741">
        <v>77</v>
      </c>
      <c r="Y1741" t="s">
        <v>20533</v>
      </c>
      <c r="Z1741" t="s">
        <v>26688</v>
      </c>
      <c r="AA1741">
        <v>0.46332699842484032</v>
      </c>
      <c r="AB1741" t="str">
        <f>HYPERLINK("Melting_Curves/meltCurve_P15924_DSP.pdf", "Melting_Curves/meltCurve_P15924_DSP.pdf")</f>
        <v>Melting_Curves/meltCurve_P15924_DSP.pdf</v>
      </c>
    </row>
    <row r="1742" spans="1:28" x14ac:dyDescent="0.25">
      <c r="A1742" t="s">
        <v>1746</v>
      </c>
      <c r="B1742">
        <v>0.99987803227770999</v>
      </c>
      <c r="C1742">
        <v>1.00530427478649</v>
      </c>
      <c r="D1742">
        <v>1.0391600558232801</v>
      </c>
      <c r="E1742">
        <v>0.99955471777126303</v>
      </c>
      <c r="F1742">
        <v>0.91430858082816002</v>
      </c>
      <c r="G1742">
        <v>0.66075389573296295</v>
      </c>
      <c r="H1742">
        <v>0.22065070984399501</v>
      </c>
      <c r="I1742">
        <v>0.147687537149299</v>
      </c>
      <c r="J1742">
        <v>0.118931856718949</v>
      </c>
      <c r="K1742">
        <v>9.1851144640959601E-2</v>
      </c>
      <c r="L1742">
        <v>1798.5335059420299</v>
      </c>
      <c r="M1742">
        <v>31.124053713497201</v>
      </c>
      <c r="N1742">
        <v>58.181938028067201</v>
      </c>
      <c r="O1742">
        <v>57.548987185815797</v>
      </c>
      <c r="P1742">
        <v>-0.122302537715652</v>
      </c>
      <c r="Q1742">
        <v>9.54459492374094E-2</v>
      </c>
      <c r="R1742">
        <v>0.99759908131144404</v>
      </c>
      <c r="S1742" t="s">
        <v>8053</v>
      </c>
      <c r="T1742" t="s">
        <v>12620</v>
      </c>
      <c r="U1742" t="s">
        <v>12620</v>
      </c>
      <c r="V1742" t="s">
        <v>12620</v>
      </c>
      <c r="W1742" t="s">
        <v>14325</v>
      </c>
      <c r="X1742">
        <v>5</v>
      </c>
      <c r="Y1742" t="s">
        <v>20534</v>
      </c>
      <c r="Z1742" t="s">
        <v>26689</v>
      </c>
      <c r="AA1742">
        <v>0.63733856685289336</v>
      </c>
      <c r="AB1742" t="str">
        <f>HYPERLINK("Melting_Curves/meltCurve_P15927_RPA2.pdf", "Melting_Curves/meltCurve_P15927_RPA2.pdf")</f>
        <v>Melting_Curves/meltCurve_P15927_RPA2.pdf</v>
      </c>
    </row>
    <row r="1743" spans="1:28" x14ac:dyDescent="0.25">
      <c r="A1743" t="s">
        <v>1747</v>
      </c>
      <c r="B1743">
        <v>0.99987803227770999</v>
      </c>
      <c r="C1743">
        <v>1.0451415420505099</v>
      </c>
      <c r="D1743">
        <v>1.04424320915169</v>
      </c>
      <c r="E1743">
        <v>1.0420545852022201</v>
      </c>
      <c r="F1743">
        <v>0.99269112196324505</v>
      </c>
      <c r="G1743">
        <v>0.75895169262320406</v>
      </c>
      <c r="H1743">
        <v>0.96722269300553299</v>
      </c>
      <c r="I1743">
        <v>0.99754356673068001</v>
      </c>
      <c r="J1743">
        <v>1.00006128377498</v>
      </c>
      <c r="K1743">
        <v>0.73269874933854096</v>
      </c>
      <c r="L1743">
        <v>13389.382647230599</v>
      </c>
      <c r="M1743">
        <v>250</v>
      </c>
      <c r="O1743">
        <v>53.554117114505402</v>
      </c>
      <c r="P1743">
        <v>-0.12686282134024801</v>
      </c>
      <c r="Q1743">
        <v>0.89129560586689005</v>
      </c>
      <c r="R1743">
        <v>0.34948706742783597</v>
      </c>
      <c r="S1743" t="s">
        <v>8054</v>
      </c>
      <c r="T1743" t="s">
        <v>12620</v>
      </c>
      <c r="U1743" t="s">
        <v>12620</v>
      </c>
      <c r="V1743" t="s">
        <v>12620</v>
      </c>
      <c r="W1743" t="s">
        <v>14326</v>
      </c>
      <c r="X1743">
        <v>7</v>
      </c>
      <c r="Y1743" t="s">
        <v>20535</v>
      </c>
      <c r="Z1743" t="s">
        <v>26690</v>
      </c>
      <c r="AA1743">
        <v>0.9404312615660706</v>
      </c>
      <c r="AB1743" t="str">
        <f>HYPERLINK("Melting_Curves/meltCurve_P16070_18_CD44.pdf", "Melting_Curves/meltCurve_P16070_18_CD44.pdf")</f>
        <v>Melting_Curves/meltCurve_P16070_18_CD44.pdf</v>
      </c>
    </row>
    <row r="1744" spans="1:28" x14ac:dyDescent="0.25">
      <c r="A1744" t="s">
        <v>1748</v>
      </c>
      <c r="B1744">
        <v>0.99987803227770999</v>
      </c>
      <c r="C1744">
        <v>0.96548950216331597</v>
      </c>
      <c r="D1744">
        <v>1.1258319645835</v>
      </c>
      <c r="E1744">
        <v>0.94242759305684498</v>
      </c>
      <c r="F1744">
        <v>1.05014614482446</v>
      </c>
      <c r="G1744">
        <v>0.72218396007998997</v>
      </c>
      <c r="H1744">
        <v>0.62996961896276604</v>
      </c>
      <c r="I1744">
        <v>0.51257186667491805</v>
      </c>
      <c r="J1744">
        <v>0.388213779198397</v>
      </c>
      <c r="K1744">
        <v>0.30711314317562599</v>
      </c>
      <c r="L1744">
        <v>978.87538530667405</v>
      </c>
      <c r="M1744">
        <v>16.066274017871599</v>
      </c>
      <c r="N1744">
        <v>63.542987184521998</v>
      </c>
      <c r="O1744">
        <v>60.006897360617899</v>
      </c>
      <c r="P1744">
        <v>-5.0746045892110798E-2</v>
      </c>
      <c r="Q1744">
        <v>0.24192092458893499</v>
      </c>
      <c r="R1744">
        <v>0.94631123080640001</v>
      </c>
      <c r="S1744" t="s">
        <v>8055</v>
      </c>
      <c r="T1744" t="s">
        <v>12620</v>
      </c>
      <c r="U1744" t="s">
        <v>12620</v>
      </c>
      <c r="V1744" t="s">
        <v>12620</v>
      </c>
      <c r="W1744" t="s">
        <v>14327</v>
      </c>
      <c r="X1744">
        <v>10</v>
      </c>
      <c r="Y1744" t="s">
        <v>20536</v>
      </c>
      <c r="Z1744" t="s">
        <v>26691</v>
      </c>
      <c r="AA1744">
        <v>0.77383623774204036</v>
      </c>
      <c r="AB1744" t="str">
        <f>HYPERLINK("Melting_Curves/meltCurve_P16144_4_ITGB4.pdf", "Melting_Curves/meltCurve_P16144_4_ITGB4.pdf")</f>
        <v>Melting_Curves/meltCurve_P16144_4_ITGB4.pdf</v>
      </c>
    </row>
    <row r="1745" spans="1:28" x14ac:dyDescent="0.25">
      <c r="A1745" t="s">
        <v>1749</v>
      </c>
      <c r="B1745">
        <v>0.99987803227770999</v>
      </c>
      <c r="C1745">
        <v>0.65843007197843295</v>
      </c>
      <c r="D1745">
        <v>1.07803382071168</v>
      </c>
      <c r="E1745">
        <v>0.81590062615332803</v>
      </c>
      <c r="F1745">
        <v>0.76881073718627302</v>
      </c>
      <c r="G1745">
        <v>0.24555539576811</v>
      </c>
      <c r="H1745">
        <v>9.5499858886588601E-2</v>
      </c>
      <c r="I1745">
        <v>7.6535689447044697E-2</v>
      </c>
      <c r="J1745">
        <v>5.01007390684753E-2</v>
      </c>
      <c r="K1745">
        <v>3.5432694408859197E-2</v>
      </c>
      <c r="L1745">
        <v>1413.76631393653</v>
      </c>
      <c r="M1745">
        <v>25.8742823818299</v>
      </c>
      <c r="N1745">
        <v>54.803334495031301</v>
      </c>
      <c r="O1745">
        <v>54.316590256948203</v>
      </c>
      <c r="P1745">
        <v>-0.11466777468032199</v>
      </c>
      <c r="Q1745">
        <v>3.7146137055110801E-2</v>
      </c>
      <c r="R1745">
        <v>0.91238269678806705</v>
      </c>
      <c r="S1745" t="s">
        <v>8056</v>
      </c>
      <c r="T1745" t="s">
        <v>12620</v>
      </c>
      <c r="U1745" t="s">
        <v>12620</v>
      </c>
      <c r="V1745" t="s">
        <v>12620</v>
      </c>
      <c r="W1745" t="s">
        <v>14328</v>
      </c>
      <c r="X1745">
        <v>25</v>
      </c>
      <c r="Y1745" t="s">
        <v>20537</v>
      </c>
      <c r="Z1745" t="s">
        <v>26692</v>
      </c>
      <c r="AA1745">
        <v>0.51539583621343799</v>
      </c>
      <c r="AB1745" t="str">
        <f>HYPERLINK("Melting_Curves/meltCurve_P16152_CBR1.pdf", "Melting_Curves/meltCurve_P16152_CBR1.pdf")</f>
        <v>Melting_Curves/meltCurve_P16152_CBR1.pdf</v>
      </c>
    </row>
    <row r="1746" spans="1:28" x14ac:dyDescent="0.25">
      <c r="A1746" t="s">
        <v>1750</v>
      </c>
      <c r="B1746">
        <v>0.99987803227770999</v>
      </c>
      <c r="C1746">
        <v>0.89387846768676504</v>
      </c>
      <c r="D1746">
        <v>0.83385017047989396</v>
      </c>
      <c r="E1746">
        <v>0.83275296943923005</v>
      </c>
      <c r="F1746">
        <v>0.72420172870330402</v>
      </c>
      <c r="G1746">
        <v>0.577730739798758</v>
      </c>
      <c r="H1746">
        <v>0.52737044834810698</v>
      </c>
      <c r="I1746">
        <v>0.56095024811438698</v>
      </c>
      <c r="J1746">
        <v>0.60108495856688304</v>
      </c>
      <c r="K1746">
        <v>0.49611934404508201</v>
      </c>
      <c r="L1746">
        <v>497.35732278642001</v>
      </c>
      <c r="M1746">
        <v>9.7207515849096104</v>
      </c>
      <c r="O1746">
        <v>49.1400215113879</v>
      </c>
      <c r="P1746">
        <v>-2.5393555967333701E-2</v>
      </c>
      <c r="Q1746">
        <v>0.48680352808952998</v>
      </c>
      <c r="R1746">
        <v>0.93581067199961998</v>
      </c>
      <c r="S1746" t="s">
        <v>8057</v>
      </c>
      <c r="T1746" t="s">
        <v>12620</v>
      </c>
      <c r="U1746" t="s">
        <v>12620</v>
      </c>
      <c r="V1746" t="s">
        <v>12620</v>
      </c>
      <c r="W1746" t="s">
        <v>14329</v>
      </c>
      <c r="X1746">
        <v>5</v>
      </c>
      <c r="Y1746" t="s">
        <v>20538</v>
      </c>
      <c r="Z1746" t="s">
        <v>26693</v>
      </c>
      <c r="AA1746">
        <v>0.69955587061445823</v>
      </c>
      <c r="AB1746" t="str">
        <f>HYPERLINK("Melting_Curves/meltCurve_P16157_11_ANK1.pdf", "Melting_Curves/meltCurve_P16157_11_ANK1.pdf")</f>
        <v>Melting_Curves/meltCurve_P16157_11_ANK1.pdf</v>
      </c>
    </row>
    <row r="1747" spans="1:28" x14ac:dyDescent="0.25">
      <c r="A1747" t="s">
        <v>1751</v>
      </c>
      <c r="B1747">
        <v>0.99987803227770999</v>
      </c>
      <c r="C1747">
        <v>0.89399794255649601</v>
      </c>
      <c r="D1747">
        <v>1.0290062540352201</v>
      </c>
      <c r="E1747">
        <v>0.93568338250438898</v>
      </c>
      <c r="F1747">
        <v>1.07347816009201</v>
      </c>
      <c r="G1747">
        <v>1.2063325849525799</v>
      </c>
      <c r="H1747">
        <v>1.04439137320869</v>
      </c>
      <c r="I1747">
        <v>0.72575229057298096</v>
      </c>
      <c r="J1747">
        <v>0.87234446641874996</v>
      </c>
      <c r="K1747">
        <v>0.69056986318011504</v>
      </c>
      <c r="L1747">
        <v>8534.4780715011093</v>
      </c>
      <c r="M1747">
        <v>136.536922440767</v>
      </c>
      <c r="O1747">
        <v>62.493334279775503</v>
      </c>
      <c r="P1747">
        <v>-0.13061939224111799</v>
      </c>
      <c r="Q1747">
        <v>0.76086054794180302</v>
      </c>
      <c r="R1747">
        <v>0.61734906859705296</v>
      </c>
      <c r="S1747" t="s">
        <v>8058</v>
      </c>
      <c r="T1747" t="s">
        <v>12620</v>
      </c>
      <c r="U1747" t="s">
        <v>12620</v>
      </c>
      <c r="V1747" t="s">
        <v>12620</v>
      </c>
      <c r="W1747" t="s">
        <v>14330</v>
      </c>
      <c r="X1747">
        <v>4</v>
      </c>
      <c r="Y1747" t="s">
        <v>20539</v>
      </c>
      <c r="Z1747" t="s">
        <v>26694</v>
      </c>
      <c r="AA1747">
        <v>0.94035686578836275</v>
      </c>
      <c r="AB1747" t="str">
        <f>HYPERLINK("Melting_Curves/meltCurve_P16220_2_CREB1.pdf", "Melting_Curves/meltCurve_P16220_2_CREB1.pdf")</f>
        <v>Melting_Curves/meltCurve_P16220_2_CREB1.pdf</v>
      </c>
    </row>
    <row r="1748" spans="1:28" x14ac:dyDescent="0.25">
      <c r="A1748" t="s">
        <v>1752</v>
      </c>
      <c r="B1748">
        <v>0.99987803227770999</v>
      </c>
      <c r="C1748">
        <v>1.03419583906408</v>
      </c>
      <c r="D1748">
        <v>0.92326513564734702</v>
      </c>
      <c r="E1748">
        <v>0.62922609676524299</v>
      </c>
      <c r="F1748">
        <v>0.34030468273671199</v>
      </c>
      <c r="G1748">
        <v>0.3002184955694</v>
      </c>
      <c r="H1748">
        <v>0.19680633611560699</v>
      </c>
      <c r="I1748">
        <v>0.15083181281876101</v>
      </c>
      <c r="J1748">
        <v>9.5127437554674593E-2</v>
      </c>
      <c r="K1748">
        <v>5.9603900833641199E-2</v>
      </c>
      <c r="L1748">
        <v>971.284235442718</v>
      </c>
      <c r="M1748">
        <v>19.0822494989078</v>
      </c>
      <c r="N1748">
        <v>51.6223901087833</v>
      </c>
      <c r="O1748">
        <v>50.3507775904718</v>
      </c>
      <c r="P1748">
        <v>-8.3646299152617398E-2</v>
      </c>
      <c r="Q1748">
        <v>0.11719200637917999</v>
      </c>
      <c r="R1748">
        <v>0.98435324643373501</v>
      </c>
      <c r="S1748" t="s">
        <v>8059</v>
      </c>
      <c r="T1748" t="s">
        <v>12620</v>
      </c>
      <c r="U1748" t="s">
        <v>12620</v>
      </c>
      <c r="V1748" t="s">
        <v>12620</v>
      </c>
      <c r="W1748" t="s">
        <v>14331</v>
      </c>
      <c r="X1748">
        <v>13</v>
      </c>
      <c r="Y1748" t="s">
        <v>20540</v>
      </c>
      <c r="Z1748" t="s">
        <v>26695</v>
      </c>
      <c r="AA1748">
        <v>0.45132278143808169</v>
      </c>
      <c r="AB1748" t="str">
        <f>HYPERLINK("Melting_Curves/meltCurve_P16278_3_GLB1.pdf", "Melting_Curves/meltCurve_P16278_3_GLB1.pdf")</f>
        <v>Melting_Curves/meltCurve_P16278_3_GLB1.pdf</v>
      </c>
    </row>
    <row r="1749" spans="1:28" x14ac:dyDescent="0.25">
      <c r="A1749" t="s">
        <v>1753</v>
      </c>
      <c r="B1749">
        <v>0.99987803227770999</v>
      </c>
      <c r="C1749">
        <v>1.0794911903645701</v>
      </c>
      <c r="D1749">
        <v>0.97932886064837099</v>
      </c>
      <c r="E1749">
        <v>0.96650213867063905</v>
      </c>
      <c r="F1749">
        <v>0.90776402527136602</v>
      </c>
      <c r="G1749">
        <v>0.80857452740269198</v>
      </c>
      <c r="H1749">
        <v>0.46853849820979199</v>
      </c>
      <c r="I1749">
        <v>0.33816509893180202</v>
      </c>
      <c r="J1749">
        <v>0.19514189690013201</v>
      </c>
      <c r="K1749">
        <v>0.15100176728350001</v>
      </c>
      <c r="L1749">
        <v>1136.77845304737</v>
      </c>
      <c r="M1749">
        <v>18.827480740662999</v>
      </c>
      <c r="N1749">
        <v>60.963645025627201</v>
      </c>
      <c r="O1749">
        <v>59.709891381173797</v>
      </c>
      <c r="P1749">
        <v>-7.2317761828459504E-2</v>
      </c>
      <c r="Q1749">
        <v>8.2637279562324098E-2</v>
      </c>
      <c r="R1749">
        <v>0.99110891411037805</v>
      </c>
      <c r="S1749" t="s">
        <v>8060</v>
      </c>
      <c r="T1749" t="s">
        <v>12620</v>
      </c>
      <c r="U1749" t="s">
        <v>12620</v>
      </c>
      <c r="V1749" t="s">
        <v>12620</v>
      </c>
      <c r="W1749" t="s">
        <v>14332</v>
      </c>
      <c r="X1749">
        <v>14</v>
      </c>
      <c r="Y1749" t="s">
        <v>20541</v>
      </c>
      <c r="Z1749" t="s">
        <v>26696</v>
      </c>
      <c r="AA1749">
        <v>0.71260884669549518</v>
      </c>
      <c r="AB1749" t="str">
        <f>HYPERLINK("Melting_Curves/meltCurve_P16298_PPP3CB.pdf", "Melting_Curves/meltCurve_P16298_PPP3CB.pdf")</f>
        <v>Melting_Curves/meltCurve_P16298_PPP3CB.pdf</v>
      </c>
    </row>
    <row r="1750" spans="1:28" x14ac:dyDescent="0.25">
      <c r="A1750" t="s">
        <v>1754</v>
      </c>
      <c r="B1750">
        <v>0.99987803227770999</v>
      </c>
      <c r="C1750">
        <v>0.89269274058703796</v>
      </c>
      <c r="D1750">
        <v>1.0372468626420499</v>
      </c>
      <c r="E1750">
        <v>0.718655548514887</v>
      </c>
      <c r="F1750">
        <v>0.29876435203732399</v>
      </c>
      <c r="G1750">
        <v>0.21379082422714801</v>
      </c>
      <c r="H1750">
        <v>0.179413112375261</v>
      </c>
      <c r="I1750">
        <v>0.16922546808693301</v>
      </c>
      <c r="J1750">
        <v>0.123380779464291</v>
      </c>
      <c r="K1750">
        <v>8.9453755238308605E-2</v>
      </c>
      <c r="L1750">
        <v>1966.5103210009299</v>
      </c>
      <c r="M1750">
        <v>38.611905741062898</v>
      </c>
      <c r="N1750">
        <v>51.407894744268603</v>
      </c>
      <c r="O1750">
        <v>50.794124111519302</v>
      </c>
      <c r="P1750">
        <v>-0.161392400517407</v>
      </c>
      <c r="Q1750">
        <v>0.15075261030131601</v>
      </c>
      <c r="R1750">
        <v>0.984029167032481</v>
      </c>
      <c r="S1750" t="s">
        <v>8061</v>
      </c>
      <c r="T1750" t="s">
        <v>12620</v>
      </c>
      <c r="U1750" t="s">
        <v>12620</v>
      </c>
      <c r="V1750" t="s">
        <v>12620</v>
      </c>
      <c r="W1750" t="s">
        <v>14333</v>
      </c>
      <c r="X1750">
        <v>8</v>
      </c>
      <c r="Y1750" t="s">
        <v>20542</v>
      </c>
      <c r="Z1750" t="s">
        <v>26697</v>
      </c>
      <c r="AA1750">
        <v>0.46337620410497088</v>
      </c>
      <c r="AB1750" t="str">
        <f>HYPERLINK("Melting_Curves/meltCurve_P16333_NCK1.pdf", "Melting_Curves/meltCurve_P16333_NCK1.pdf")</f>
        <v>Melting_Curves/meltCurve_P16333_NCK1.pdf</v>
      </c>
    </row>
    <row r="1751" spans="1:28" x14ac:dyDescent="0.25">
      <c r="A1751" t="s">
        <v>1755</v>
      </c>
      <c r="B1751">
        <v>0.99987803227770999</v>
      </c>
      <c r="C1751">
        <v>1.0103331575510299</v>
      </c>
      <c r="D1751">
        <v>0.993491575983523</v>
      </c>
      <c r="E1751">
        <v>0.64002966832672303</v>
      </c>
      <c r="F1751">
        <v>0.57391785289027097</v>
      </c>
      <c r="G1751">
        <v>0.42255463497617801</v>
      </c>
      <c r="H1751">
        <v>0.429101493295033</v>
      </c>
      <c r="I1751">
        <v>0.37084834666792998</v>
      </c>
      <c r="J1751">
        <v>0.48613737126359902</v>
      </c>
      <c r="K1751">
        <v>0.30948849632322301</v>
      </c>
      <c r="L1751">
        <v>1245.5625656623399</v>
      </c>
      <c r="M1751">
        <v>24.9284621026415</v>
      </c>
      <c r="N1751">
        <v>53.433614576464997</v>
      </c>
      <c r="O1751">
        <v>49.6472738857167</v>
      </c>
      <c r="P1751">
        <v>-7.5210847632186495E-2</v>
      </c>
      <c r="Q1751">
        <v>0.40085152142088099</v>
      </c>
      <c r="R1751">
        <v>0.96055600512190198</v>
      </c>
      <c r="S1751" t="s">
        <v>8062</v>
      </c>
      <c r="T1751" t="s">
        <v>12620</v>
      </c>
      <c r="U1751" t="s">
        <v>12620</v>
      </c>
      <c r="V1751" t="s">
        <v>12620</v>
      </c>
      <c r="W1751" t="s">
        <v>14334</v>
      </c>
      <c r="X1751">
        <v>9</v>
      </c>
      <c r="Y1751" t="s">
        <v>20543</v>
      </c>
      <c r="Z1751" t="s">
        <v>26698</v>
      </c>
      <c r="AA1751">
        <v>0.60526238084319839</v>
      </c>
      <c r="AB1751" t="str">
        <f>HYPERLINK("Melting_Curves/meltCurve_P16383_GCFC2.pdf", "Melting_Curves/meltCurve_P16383_GCFC2.pdf")</f>
        <v>Melting_Curves/meltCurve_P16383_GCFC2.pdf</v>
      </c>
    </row>
    <row r="1752" spans="1:28" x14ac:dyDescent="0.25">
      <c r="A1752" t="s">
        <v>1756</v>
      </c>
      <c r="B1752">
        <v>0.99987803227770999</v>
      </c>
      <c r="C1752">
        <v>1.1803543615387699</v>
      </c>
      <c r="D1752">
        <v>1.23772043534972</v>
      </c>
      <c r="E1752">
        <v>1.3871340101826399</v>
      </c>
      <c r="F1752">
        <v>1.1418271636394</v>
      </c>
      <c r="G1752">
        <v>0.96074656978580797</v>
      </c>
      <c r="H1752">
        <v>0.92961653508743303</v>
      </c>
      <c r="I1752">
        <v>0.61261878847117701</v>
      </c>
      <c r="J1752">
        <v>0.61337674498250405</v>
      </c>
      <c r="K1752">
        <v>0.47353836762224799</v>
      </c>
      <c r="L1752">
        <v>3943.7249729902501</v>
      </c>
      <c r="M1752">
        <v>63.0455333001401</v>
      </c>
      <c r="O1752">
        <v>62.490758747939502</v>
      </c>
      <c r="P1752">
        <v>-0.11733855536471501</v>
      </c>
      <c r="Q1752">
        <v>0.53477610301659895</v>
      </c>
      <c r="R1752">
        <v>0.67146930523288795</v>
      </c>
      <c r="S1752" t="s">
        <v>8063</v>
      </c>
      <c r="T1752" t="s">
        <v>12620</v>
      </c>
      <c r="U1752" t="s">
        <v>12620</v>
      </c>
      <c r="V1752" t="s">
        <v>12620</v>
      </c>
      <c r="W1752" t="s">
        <v>14335</v>
      </c>
      <c r="X1752">
        <v>10</v>
      </c>
      <c r="Y1752" t="s">
        <v>20544</v>
      </c>
      <c r="Z1752" t="s">
        <v>26699</v>
      </c>
      <c r="AA1752">
        <v>0.88530648705152803</v>
      </c>
      <c r="AB1752" t="str">
        <f>HYPERLINK("Melting_Curves/meltCurve_P16401_HIST1H1B.pdf", "Melting_Curves/meltCurve_P16401_HIST1H1B.pdf")</f>
        <v>Melting_Curves/meltCurve_P16401_HIST1H1B.pdf</v>
      </c>
    </row>
    <row r="1753" spans="1:28" x14ac:dyDescent="0.25">
      <c r="A1753" t="s">
        <v>1757</v>
      </c>
      <c r="B1753">
        <v>0.99987803227770999</v>
      </c>
      <c r="C1753">
        <v>1.18382996354556</v>
      </c>
      <c r="D1753">
        <v>1.2312741886549301</v>
      </c>
      <c r="E1753">
        <v>1.35208290078183</v>
      </c>
      <c r="F1753">
        <v>1.1363335755845201</v>
      </c>
      <c r="G1753">
        <v>0.82620634613690602</v>
      </c>
      <c r="H1753">
        <v>0.77197132289375103</v>
      </c>
      <c r="I1753">
        <v>0.56288831588674204</v>
      </c>
      <c r="J1753">
        <v>0.51193038941010405</v>
      </c>
      <c r="K1753">
        <v>0.34019467757051303</v>
      </c>
      <c r="L1753">
        <v>1314.99330536143</v>
      </c>
      <c r="M1753">
        <v>20.941730357073101</v>
      </c>
      <c r="N1753">
        <v>65.756217803683199</v>
      </c>
      <c r="O1753">
        <v>62.228787862471002</v>
      </c>
      <c r="P1753">
        <v>-5.8438703949652303E-2</v>
      </c>
      <c r="Q1753">
        <v>0.30541146254129697</v>
      </c>
      <c r="R1753">
        <v>0.76208054714389895</v>
      </c>
      <c r="S1753" t="s">
        <v>8064</v>
      </c>
      <c r="T1753" t="s">
        <v>12620</v>
      </c>
      <c r="U1753" t="s">
        <v>12620</v>
      </c>
      <c r="V1753" t="s">
        <v>12620</v>
      </c>
      <c r="W1753" t="s">
        <v>14336</v>
      </c>
      <c r="X1753">
        <v>11</v>
      </c>
      <c r="Y1753" t="s">
        <v>20545</v>
      </c>
      <c r="Z1753" t="s">
        <v>26700</v>
      </c>
      <c r="AA1753">
        <v>0.83371086955817708</v>
      </c>
      <c r="AB1753" t="str">
        <f>HYPERLINK("Melting_Curves/meltCurve_P16403_HIST1H1C.pdf", "Melting_Curves/meltCurve_P16403_HIST1H1C.pdf")</f>
        <v>Melting_Curves/meltCurve_P16403_HIST1H1C.pdf</v>
      </c>
    </row>
    <row r="1754" spans="1:28" x14ac:dyDescent="0.25">
      <c r="A1754" t="s">
        <v>1758</v>
      </c>
      <c r="B1754">
        <v>0.99987803227770999</v>
      </c>
      <c r="C1754">
        <v>0.74291721993044901</v>
      </c>
      <c r="D1754">
        <v>0.86463737297167698</v>
      </c>
      <c r="E1754">
        <v>0.66705487154325904</v>
      </c>
      <c r="F1754">
        <v>0.43603542513014099</v>
      </c>
      <c r="G1754">
        <v>0.19997547664875601</v>
      </c>
      <c r="H1754">
        <v>0.15581320529980899</v>
      </c>
      <c r="I1754">
        <v>0.120782068283254</v>
      </c>
      <c r="J1754">
        <v>7.0211204644821501E-2</v>
      </c>
      <c r="K1754">
        <v>4.7102748878085E-2</v>
      </c>
      <c r="L1754">
        <v>589.47867383207301</v>
      </c>
      <c r="M1754">
        <v>11.3687098182785</v>
      </c>
      <c r="N1754">
        <v>51.850960632668297</v>
      </c>
      <c r="O1754">
        <v>50.324423046502197</v>
      </c>
      <c r="P1754">
        <v>-5.6493885564277702E-2</v>
      </c>
      <c r="Q1754">
        <v>0</v>
      </c>
      <c r="R1754">
        <v>0.96399364996131498</v>
      </c>
      <c r="S1754" t="s">
        <v>8065</v>
      </c>
      <c r="T1754" t="s">
        <v>12620</v>
      </c>
      <c r="U1754" t="s">
        <v>12620</v>
      </c>
      <c r="V1754" t="s">
        <v>12620</v>
      </c>
      <c r="W1754" t="s">
        <v>14337</v>
      </c>
      <c r="X1754">
        <v>5</v>
      </c>
      <c r="Y1754" t="s">
        <v>20546</v>
      </c>
      <c r="Z1754" t="s">
        <v>26701</v>
      </c>
      <c r="AA1754">
        <v>0.42814877858890799</v>
      </c>
      <c r="AB1754" t="str">
        <f>HYPERLINK("Melting_Curves/meltCurve_P16455_MGMT.pdf", "Melting_Curves/meltCurve_P16455_MGMT.pdf")</f>
        <v>Melting_Curves/meltCurve_P16455_MGMT.pdf</v>
      </c>
    </row>
    <row r="1755" spans="1:28" x14ac:dyDescent="0.25">
      <c r="A1755" t="s">
        <v>1759</v>
      </c>
      <c r="B1755">
        <v>0.99987803227770999</v>
      </c>
      <c r="C1755">
        <v>1.32128299107569</v>
      </c>
      <c r="D1755">
        <v>0.81641232564663002</v>
      </c>
      <c r="E1755">
        <v>1.20235892647151</v>
      </c>
      <c r="F1755">
        <v>0.79591443112892901</v>
      </c>
      <c r="G1755">
        <v>1.11416611392759</v>
      </c>
      <c r="H1755">
        <v>1.26115685634634</v>
      </c>
      <c r="I1755">
        <v>1.04552088523551</v>
      </c>
      <c r="J1755">
        <v>0.70809432762130398</v>
      </c>
      <c r="K1755">
        <v>0.24254948386127501</v>
      </c>
      <c r="L1755">
        <v>15000</v>
      </c>
      <c r="M1755">
        <v>223.41362296232899</v>
      </c>
      <c r="N1755">
        <v>67.340017934233003</v>
      </c>
      <c r="O1755">
        <v>67.134661631150294</v>
      </c>
      <c r="P1755">
        <v>-0.63023796761087703</v>
      </c>
      <c r="Q1755">
        <v>0.242466733371688</v>
      </c>
      <c r="R1755">
        <v>0.676974966299005</v>
      </c>
      <c r="S1755" t="s">
        <v>8066</v>
      </c>
      <c r="T1755" t="s">
        <v>12620</v>
      </c>
      <c r="U1755" t="s">
        <v>12620</v>
      </c>
      <c r="V1755" t="s">
        <v>12620</v>
      </c>
      <c r="W1755" t="s">
        <v>14338</v>
      </c>
      <c r="X1755">
        <v>4</v>
      </c>
      <c r="Y1755" t="s">
        <v>20547</v>
      </c>
      <c r="Z1755" t="s">
        <v>26702</v>
      </c>
      <c r="AA1755">
        <v>0.92789375585698874</v>
      </c>
      <c r="AB1755" t="str">
        <f>HYPERLINK("Melting_Curves/meltCurve_P16885_PLCG2.pdf", "Melting_Curves/meltCurve_P16885_PLCG2.pdf")</f>
        <v>Melting_Curves/meltCurve_P16885_PLCG2.pdf</v>
      </c>
    </row>
    <row r="1756" spans="1:28" x14ac:dyDescent="0.25">
      <c r="A1756" t="s">
        <v>1760</v>
      </c>
      <c r="B1756">
        <v>0.99987803227770999</v>
      </c>
      <c r="C1756">
        <v>1.07607046089443</v>
      </c>
      <c r="D1756">
        <v>1.04337317256856</v>
      </c>
      <c r="E1756">
        <v>1.0660268133008901</v>
      </c>
      <c r="F1756">
        <v>1.01002727240935</v>
      </c>
      <c r="G1756">
        <v>1.0529158216558701</v>
      </c>
      <c r="H1756">
        <v>1.2210608009983599</v>
      </c>
      <c r="I1756">
        <v>1.1035957196519799</v>
      </c>
      <c r="J1756">
        <v>0.85028625294668703</v>
      </c>
      <c r="K1756">
        <v>0.31457399288150201</v>
      </c>
      <c r="L1756">
        <v>15000</v>
      </c>
      <c r="M1756">
        <v>222.60537266264899</v>
      </c>
      <c r="N1756">
        <v>67.685138907340104</v>
      </c>
      <c r="O1756">
        <v>67.378388450429298</v>
      </c>
      <c r="P1756">
        <v>-0.56626748483995704</v>
      </c>
      <c r="Q1756">
        <v>0.31440674368339799</v>
      </c>
      <c r="R1756">
        <v>0.866882854028306</v>
      </c>
      <c r="S1756" t="s">
        <v>8067</v>
      </c>
      <c r="T1756" t="s">
        <v>12620</v>
      </c>
      <c r="U1756" t="s">
        <v>12620</v>
      </c>
      <c r="V1756" t="s">
        <v>12620</v>
      </c>
      <c r="W1756" t="s">
        <v>14339</v>
      </c>
      <c r="X1756">
        <v>13</v>
      </c>
      <c r="Y1756" t="s">
        <v>20548</v>
      </c>
      <c r="Z1756" t="s">
        <v>26703</v>
      </c>
      <c r="AA1756">
        <v>0.94031254665147856</v>
      </c>
      <c r="AB1756" t="str">
        <f>HYPERLINK("Melting_Curves/meltCurve_P16930_FAH.pdf", "Melting_Curves/meltCurve_P16930_FAH.pdf")</f>
        <v>Melting_Curves/meltCurve_P16930_FAH.pdf</v>
      </c>
    </row>
    <row r="1757" spans="1:28" x14ac:dyDescent="0.25">
      <c r="A1757" t="s">
        <v>1761</v>
      </c>
      <c r="B1757">
        <v>0.99987803227770999</v>
      </c>
      <c r="C1757">
        <v>0.98952410588360795</v>
      </c>
      <c r="D1757">
        <v>1.06506634946459</v>
      </c>
      <c r="E1757">
        <v>1.0132694469449499</v>
      </c>
      <c r="F1757">
        <v>1.04421826464028</v>
      </c>
      <c r="G1757">
        <v>0.81591176372584395</v>
      </c>
      <c r="H1757">
        <v>0.82750624112512805</v>
      </c>
      <c r="I1757">
        <v>0.85415546509599605</v>
      </c>
      <c r="J1757">
        <v>0.88185339877655999</v>
      </c>
      <c r="K1757">
        <v>0.71722720824011099</v>
      </c>
      <c r="L1757">
        <v>13803.6263565235</v>
      </c>
      <c r="M1757">
        <v>250</v>
      </c>
      <c r="O1757">
        <v>55.210982843600597</v>
      </c>
      <c r="P1757">
        <v>-0.20453701489600601</v>
      </c>
      <c r="Q1757">
        <v>0.81931700145680297</v>
      </c>
      <c r="R1757">
        <v>0.81984280577500002</v>
      </c>
      <c r="S1757" t="s">
        <v>8068</v>
      </c>
      <c r="T1757" t="s">
        <v>12620</v>
      </c>
      <c r="U1757" t="s">
        <v>12620</v>
      </c>
      <c r="V1757" t="s">
        <v>12620</v>
      </c>
      <c r="W1757" t="s">
        <v>12783</v>
      </c>
      <c r="X1757">
        <v>22</v>
      </c>
      <c r="Y1757" t="s">
        <v>20549</v>
      </c>
      <c r="Z1757" t="s">
        <v>26704</v>
      </c>
      <c r="AA1757">
        <v>0.91096792513863534</v>
      </c>
      <c r="AB1757" t="str">
        <f>HYPERLINK("Melting_Curves/meltCurve_P16949_STMN1.pdf", "Melting_Curves/meltCurve_P16949_STMN1.pdf")</f>
        <v>Melting_Curves/meltCurve_P16949_STMN1.pdf</v>
      </c>
    </row>
    <row r="1758" spans="1:28" x14ac:dyDescent="0.25">
      <c r="A1758" t="s">
        <v>1762</v>
      </c>
      <c r="B1758">
        <v>0.99987803227770999</v>
      </c>
      <c r="C1758">
        <v>1.1029109603501901</v>
      </c>
      <c r="D1758">
        <v>1.0630695994456001</v>
      </c>
      <c r="E1758">
        <v>1.20650720303019</v>
      </c>
      <c r="F1758">
        <v>1.14802711724368</v>
      </c>
      <c r="G1758">
        <v>1.3693513935630499</v>
      </c>
      <c r="H1758">
        <v>1.66930591371102</v>
      </c>
      <c r="I1758">
        <v>1.6758747642685401</v>
      </c>
      <c r="J1758">
        <v>1.5487215455590599</v>
      </c>
      <c r="K1758">
        <v>1.12379975023269</v>
      </c>
      <c r="L1758">
        <v>1137.0913895021699</v>
      </c>
      <c r="M1758">
        <v>21.486799085761302</v>
      </c>
      <c r="O1758">
        <v>52.468473047874497</v>
      </c>
      <c r="P1758">
        <v>5.0886037758599303E-2</v>
      </c>
      <c r="Q1758">
        <v>1.4970209676961299</v>
      </c>
      <c r="R1758">
        <v>0.57658279552550595</v>
      </c>
      <c r="S1758" t="s">
        <v>8069</v>
      </c>
      <c r="T1758" t="s">
        <v>12620</v>
      </c>
      <c r="U1758" t="s">
        <v>12620</v>
      </c>
      <c r="V1758" t="s">
        <v>12620</v>
      </c>
      <c r="W1758" t="s">
        <v>14340</v>
      </c>
      <c r="X1758">
        <v>12</v>
      </c>
      <c r="Y1758" t="s">
        <v>20550</v>
      </c>
      <c r="Z1758" t="s">
        <v>26705</v>
      </c>
      <c r="AA1758">
        <v>1.276927207929212</v>
      </c>
      <c r="AB1758" t="str">
        <f>HYPERLINK("Melting_Curves/meltCurve_P16989_YBX3.pdf", "Melting_Curves/meltCurve_P16989_YBX3.pdf")</f>
        <v>Melting_Curves/meltCurve_P16989_YBX3.pdf</v>
      </c>
    </row>
    <row r="1759" spans="1:28" x14ac:dyDescent="0.25">
      <c r="A1759" t="s">
        <v>1763</v>
      </c>
      <c r="B1759">
        <v>0.99987803227770999</v>
      </c>
      <c r="C1759">
        <v>1.1004611534844</v>
      </c>
      <c r="D1759">
        <v>1.04168682631127</v>
      </c>
      <c r="E1759">
        <v>1.00816602862534</v>
      </c>
      <c r="F1759">
        <v>0.97514102313138895</v>
      </c>
      <c r="G1759">
        <v>0.92432048072608097</v>
      </c>
      <c r="H1759">
        <v>1.10061135851327</v>
      </c>
      <c r="I1759">
        <v>0.878286356739301</v>
      </c>
      <c r="J1759">
        <v>0.73983138855402097</v>
      </c>
      <c r="K1759">
        <v>0.54167484239170705</v>
      </c>
      <c r="L1759">
        <v>2585.2647813887702</v>
      </c>
      <c r="M1759">
        <v>38.6231559651048</v>
      </c>
      <c r="O1759">
        <v>66.756935497603195</v>
      </c>
      <c r="P1759">
        <v>-7.7852614214926896E-2</v>
      </c>
      <c r="Q1759">
        <v>0.46175404563601402</v>
      </c>
      <c r="R1759">
        <v>0.879313413702971</v>
      </c>
      <c r="S1759" t="s">
        <v>8070</v>
      </c>
      <c r="T1759" t="s">
        <v>12620</v>
      </c>
      <c r="U1759" t="s">
        <v>12620</v>
      </c>
      <c r="V1759" t="s">
        <v>12620</v>
      </c>
      <c r="W1759" t="s">
        <v>14341</v>
      </c>
      <c r="X1759">
        <v>10</v>
      </c>
      <c r="Y1759" t="s">
        <v>20550</v>
      </c>
      <c r="Z1759" t="s">
        <v>26706</v>
      </c>
      <c r="AA1759">
        <v>0.9415842248898032</v>
      </c>
      <c r="AB1759" t="str">
        <f>HYPERLINK("Melting_Curves/meltCurve_P16989_2_YBX3.pdf", "Melting_Curves/meltCurve_P16989_2_YBX3.pdf")</f>
        <v>Melting_Curves/meltCurve_P16989_2_YBX3.pdf</v>
      </c>
    </row>
    <row r="1760" spans="1:28" x14ac:dyDescent="0.25">
      <c r="A1760" t="s">
        <v>1764</v>
      </c>
      <c r="B1760">
        <v>0.99987803227770999</v>
      </c>
      <c r="C1760">
        <v>1.0026572537472001</v>
      </c>
      <c r="D1760">
        <v>1.0354477625828999</v>
      </c>
      <c r="E1760">
        <v>0.94309197675225798</v>
      </c>
      <c r="F1760">
        <v>1.0059503219714001</v>
      </c>
      <c r="G1760">
        <v>0.74306491422300303</v>
      </c>
      <c r="H1760">
        <v>0.48270259438287999</v>
      </c>
      <c r="I1760">
        <v>0.434682903778501</v>
      </c>
      <c r="J1760">
        <v>0.43003757151157701</v>
      </c>
      <c r="K1760">
        <v>0.34888542719499699</v>
      </c>
      <c r="L1760">
        <v>1865.09973979543</v>
      </c>
      <c r="M1760">
        <v>32.336778493391201</v>
      </c>
      <c r="N1760">
        <v>60.560261530518702</v>
      </c>
      <c r="O1760">
        <v>57.458117260632598</v>
      </c>
      <c r="P1760">
        <v>-8.5440074836033303E-2</v>
      </c>
      <c r="Q1760">
        <v>0.39274076373674399</v>
      </c>
      <c r="R1760">
        <v>0.98781709716968802</v>
      </c>
      <c r="S1760" t="s">
        <v>8071</v>
      </c>
      <c r="T1760" t="s">
        <v>12620</v>
      </c>
      <c r="U1760" t="s">
        <v>12620</v>
      </c>
      <c r="V1760" t="s">
        <v>12620</v>
      </c>
      <c r="W1760" t="s">
        <v>14342</v>
      </c>
      <c r="X1760">
        <v>5</v>
      </c>
      <c r="Y1760" t="s">
        <v>20551</v>
      </c>
      <c r="Z1760" t="s">
        <v>26707</v>
      </c>
      <c r="AA1760">
        <v>0.75409431402584093</v>
      </c>
      <c r="AB1760" t="str">
        <f>HYPERLINK("Melting_Curves/meltCurve_P17028_ZNF24.pdf", "Melting_Curves/meltCurve_P17028_ZNF24.pdf")</f>
        <v>Melting_Curves/meltCurve_P17028_ZNF24.pdf</v>
      </c>
    </row>
    <row r="1761" spans="1:28" x14ac:dyDescent="0.25">
      <c r="A1761" t="s">
        <v>1765</v>
      </c>
      <c r="B1761">
        <v>0.99987803227770999</v>
      </c>
      <c r="C1761">
        <v>0.74625660656213</v>
      </c>
      <c r="D1761">
        <v>0.94461190343498103</v>
      </c>
      <c r="E1761">
        <v>0.70776635788776898</v>
      </c>
      <c r="F1761">
        <v>1.1803925360273899</v>
      </c>
      <c r="G1761">
        <v>0.79259148743597296</v>
      </c>
      <c r="H1761">
        <v>0.95203580778498997</v>
      </c>
      <c r="I1761">
        <v>0.69959345819681895</v>
      </c>
      <c r="J1761">
        <v>1.17576642255879</v>
      </c>
      <c r="K1761">
        <v>1.01608435319489</v>
      </c>
      <c r="L1761">
        <v>10217.186592367199</v>
      </c>
      <c r="M1761">
        <v>250</v>
      </c>
      <c r="O1761">
        <v>40.866131057067598</v>
      </c>
      <c r="P1761">
        <v>-0.13337915505987699</v>
      </c>
      <c r="Q1761">
        <v>0.91278895964166096</v>
      </c>
      <c r="R1761">
        <v>2.34979804139205E-2</v>
      </c>
      <c r="S1761" t="s">
        <v>8072</v>
      </c>
      <c r="T1761" t="s">
        <v>12620</v>
      </c>
      <c r="U1761" t="s">
        <v>12620</v>
      </c>
      <c r="V1761" t="s">
        <v>12620</v>
      </c>
      <c r="W1761" t="s">
        <v>14343</v>
      </c>
      <c r="X1761">
        <v>3</v>
      </c>
      <c r="Y1761" t="s">
        <v>20552</v>
      </c>
      <c r="Z1761" t="s">
        <v>26708</v>
      </c>
      <c r="AA1761">
        <v>0.91532266681876029</v>
      </c>
      <c r="AB1761" t="str">
        <f>HYPERLINK("Melting_Curves/meltCurve_P17029_ZKSCAN1.pdf", "Melting_Curves/meltCurve_P17029_ZKSCAN1.pdf")</f>
        <v>Melting_Curves/meltCurve_P17029_ZKSCAN1.pdf</v>
      </c>
    </row>
    <row r="1762" spans="1:28" x14ac:dyDescent="0.25">
      <c r="A1762" t="s">
        <v>1766</v>
      </c>
      <c r="B1762">
        <v>0.99987803227770999</v>
      </c>
      <c r="C1762">
        <v>0.85261105586268804</v>
      </c>
      <c r="D1762">
        <v>1.1383007679116299</v>
      </c>
      <c r="E1762">
        <v>0.86787143628096297</v>
      </c>
      <c r="F1762">
        <v>1.02854709787912</v>
      </c>
      <c r="G1762">
        <v>0.59383794018750902</v>
      </c>
      <c r="H1762">
        <v>0.975624489814503</v>
      </c>
      <c r="I1762">
        <v>0.71407431583747505</v>
      </c>
      <c r="J1762">
        <v>1.38275600603182</v>
      </c>
      <c r="K1762">
        <v>1.3284365418602899</v>
      </c>
      <c r="L1762">
        <v>10741.5406472134</v>
      </c>
      <c r="M1762">
        <v>163.02128822663499</v>
      </c>
      <c r="O1762">
        <v>65.880513242064794</v>
      </c>
      <c r="P1762">
        <v>0.22612036579433301</v>
      </c>
      <c r="Q1762">
        <v>1.3655209276183899</v>
      </c>
      <c r="R1762">
        <v>0.44384661624969102</v>
      </c>
      <c r="S1762" t="s">
        <v>8073</v>
      </c>
      <c r="T1762" t="s">
        <v>12620</v>
      </c>
      <c r="U1762" t="s">
        <v>12620</v>
      </c>
      <c r="V1762" t="s">
        <v>12620</v>
      </c>
      <c r="W1762" t="s">
        <v>14344</v>
      </c>
      <c r="X1762">
        <v>2</v>
      </c>
      <c r="Y1762" t="s">
        <v>20553</v>
      </c>
      <c r="Z1762" t="s">
        <v>26709</v>
      </c>
      <c r="AA1762">
        <v>1.0499722474802169</v>
      </c>
      <c r="AB1762" t="str">
        <f>HYPERLINK("Melting_Curves/meltCurve_P17039_ZNF30.pdf", "Melting_Curves/meltCurve_P17039_ZNF30.pdf")</f>
        <v>Melting_Curves/meltCurve_P17039_ZNF30.pdf</v>
      </c>
    </row>
    <row r="1763" spans="1:28" x14ac:dyDescent="0.25">
      <c r="A1763" t="s">
        <v>1767</v>
      </c>
      <c r="B1763">
        <v>0.99987803227770999</v>
      </c>
      <c r="C1763">
        <v>0.77544934814115696</v>
      </c>
      <c r="D1763">
        <v>1.04336931665808</v>
      </c>
      <c r="E1763">
        <v>0.86071441622077005</v>
      </c>
      <c r="F1763">
        <v>0.99129742195120396</v>
      </c>
      <c r="G1763">
        <v>1.06588281042053</v>
      </c>
      <c r="H1763">
        <v>0.56202687487021596</v>
      </c>
      <c r="I1763">
        <v>0.13999610046064301</v>
      </c>
      <c r="J1763">
        <v>0.12515514088710999</v>
      </c>
      <c r="K1763">
        <v>0</v>
      </c>
      <c r="L1763">
        <v>3709.4554653041901</v>
      </c>
      <c r="M1763">
        <v>60.649980231969103</v>
      </c>
      <c r="N1763">
        <v>61.303627330186998</v>
      </c>
      <c r="O1763">
        <v>61.095306179501897</v>
      </c>
      <c r="P1763">
        <v>-0.23192126999176499</v>
      </c>
      <c r="Q1763">
        <v>6.5503731872404505E-2</v>
      </c>
      <c r="R1763">
        <v>0.94638984568525997</v>
      </c>
      <c r="S1763" t="s">
        <v>8074</v>
      </c>
      <c r="T1763" t="s">
        <v>12620</v>
      </c>
      <c r="U1763" t="s">
        <v>12620</v>
      </c>
      <c r="V1763" t="s">
        <v>12620</v>
      </c>
      <c r="W1763" t="s">
        <v>14345</v>
      </c>
      <c r="X1763">
        <v>1</v>
      </c>
      <c r="Y1763" t="s">
        <v>20554</v>
      </c>
      <c r="Z1763" t="s">
        <v>26710</v>
      </c>
      <c r="AA1763">
        <v>0.72637801339530139</v>
      </c>
      <c r="AB1763" t="str">
        <f>HYPERLINK("Melting_Curves/meltCurve_P17050_NAGA.pdf", "Melting_Curves/meltCurve_P17050_NAGA.pdf")</f>
        <v>Melting_Curves/meltCurve_P17050_NAGA.pdf</v>
      </c>
    </row>
    <row r="1764" spans="1:28" x14ac:dyDescent="0.25">
      <c r="A1764" t="s">
        <v>1768</v>
      </c>
      <c r="B1764">
        <v>0.99987803227770999</v>
      </c>
      <c r="C1764">
        <v>0.99853180937366903</v>
      </c>
      <c r="D1764">
        <v>0.97101012256332897</v>
      </c>
      <c r="E1764">
        <v>1.0036334558280799</v>
      </c>
      <c r="F1764">
        <v>1.00162233426325</v>
      </c>
      <c r="G1764">
        <v>0.30414207817237798</v>
      </c>
      <c r="H1764">
        <v>0.133475726982309</v>
      </c>
      <c r="I1764">
        <v>9.7815433956775402E-2</v>
      </c>
      <c r="J1764">
        <v>7.6343429778070501E-2</v>
      </c>
      <c r="K1764">
        <v>4.9866199269337497E-2</v>
      </c>
      <c r="L1764">
        <v>4603.5361925281604</v>
      </c>
      <c r="M1764">
        <v>81.932825596635197</v>
      </c>
      <c r="N1764">
        <v>56.321247781147299</v>
      </c>
      <c r="O1764">
        <v>56.1532722368881</v>
      </c>
      <c r="P1764">
        <v>-0.33235390223194</v>
      </c>
      <c r="Q1764">
        <v>8.8875300086872194E-2</v>
      </c>
      <c r="R1764">
        <v>0.99760919800299297</v>
      </c>
      <c r="S1764" t="s">
        <v>8075</v>
      </c>
      <c r="T1764" t="s">
        <v>12620</v>
      </c>
      <c r="U1764" t="s">
        <v>12620</v>
      </c>
      <c r="V1764" t="s">
        <v>12620</v>
      </c>
      <c r="W1764" t="s">
        <v>14346</v>
      </c>
      <c r="X1764">
        <v>15</v>
      </c>
      <c r="Y1764" t="s">
        <v>20555</v>
      </c>
      <c r="Z1764" t="s">
        <v>26711</v>
      </c>
      <c r="AA1764">
        <v>0.58131712242146272</v>
      </c>
      <c r="AB1764" t="str">
        <f>HYPERLINK("Melting_Curves/meltCurve_P17066_HSPA6.pdf", "Melting_Curves/meltCurve_P17066_HSPA6.pdf")</f>
        <v>Melting_Curves/meltCurve_P17066_HSPA6.pdf</v>
      </c>
    </row>
    <row r="1765" spans="1:28" x14ac:dyDescent="0.25">
      <c r="A1765" t="s">
        <v>1769</v>
      </c>
      <c r="B1765">
        <v>0.99987803227770999</v>
      </c>
      <c r="C1765">
        <v>0.72730680253031998</v>
      </c>
      <c r="D1765">
        <v>0.878373092451049</v>
      </c>
      <c r="E1765">
        <v>0.78176668550274997</v>
      </c>
      <c r="F1765">
        <v>1.3521010668023401</v>
      </c>
      <c r="G1765">
        <v>1.0810313520035999</v>
      </c>
      <c r="H1765">
        <v>1.17124882601892</v>
      </c>
      <c r="I1765">
        <v>0.99196192166632502</v>
      </c>
      <c r="J1765">
        <v>1.3947372396659401</v>
      </c>
      <c r="K1765">
        <v>1.07642664109458</v>
      </c>
      <c r="L1765">
        <v>3706.8962986814599</v>
      </c>
      <c r="M1765">
        <v>71.905779770764298</v>
      </c>
      <c r="O1765">
        <v>51.5123027576577</v>
      </c>
      <c r="P1765">
        <v>6.0574525149898702E-2</v>
      </c>
      <c r="Q1765">
        <v>1.1735789590853201</v>
      </c>
      <c r="R1765">
        <v>0.35059906855785</v>
      </c>
      <c r="S1765" t="s">
        <v>8076</v>
      </c>
      <c r="T1765" t="s">
        <v>12620</v>
      </c>
      <c r="U1765" t="s">
        <v>12620</v>
      </c>
      <c r="V1765" t="s">
        <v>12620</v>
      </c>
      <c r="W1765" t="s">
        <v>14347</v>
      </c>
      <c r="X1765">
        <v>2</v>
      </c>
      <c r="Y1765" t="s">
        <v>20556</v>
      </c>
      <c r="Z1765" t="s">
        <v>26712</v>
      </c>
      <c r="AA1765">
        <v>1.106548420010107</v>
      </c>
      <c r="AB1765" t="str">
        <f>HYPERLINK("Melting_Curves/meltCurve_P17096_HMGA1.pdf", "Melting_Curves/meltCurve_P17096_HMGA1.pdf")</f>
        <v>Melting_Curves/meltCurve_P17096_HMGA1.pdf</v>
      </c>
    </row>
    <row r="1766" spans="1:28" x14ac:dyDescent="0.25">
      <c r="A1766" t="s">
        <v>1770</v>
      </c>
      <c r="B1766">
        <v>0.99987803227770999</v>
      </c>
      <c r="C1766">
        <v>1.13578394628849</v>
      </c>
      <c r="D1766">
        <v>1.03071586038917</v>
      </c>
      <c r="E1766">
        <v>1.00232674247242</v>
      </c>
      <c r="F1766">
        <v>1.0686527671139801</v>
      </c>
      <c r="G1766">
        <v>0.86741880156850004</v>
      </c>
      <c r="H1766">
        <v>0.849390923791846</v>
      </c>
      <c r="I1766">
        <v>0.86095430188754896</v>
      </c>
      <c r="J1766">
        <v>0.79152963110823005</v>
      </c>
      <c r="K1766">
        <v>0.61055680911573196</v>
      </c>
      <c r="L1766">
        <v>732.34315802664798</v>
      </c>
      <c r="M1766">
        <v>9.8690565275709492</v>
      </c>
      <c r="Q1766">
        <v>0</v>
      </c>
      <c r="R1766">
        <v>0.81072110648293705</v>
      </c>
      <c r="S1766" t="s">
        <v>8077</v>
      </c>
      <c r="T1766" t="s">
        <v>12620</v>
      </c>
      <c r="U1766" t="s">
        <v>12620</v>
      </c>
      <c r="V1766" t="s">
        <v>12620</v>
      </c>
      <c r="W1766" t="s">
        <v>14348</v>
      </c>
      <c r="X1766">
        <v>5</v>
      </c>
      <c r="Y1766" t="s">
        <v>20557</v>
      </c>
      <c r="Z1766" t="s">
        <v>26713</v>
      </c>
      <c r="AA1766">
        <v>0.91817385125936446</v>
      </c>
      <c r="AB1766" t="str">
        <f>HYPERLINK("Melting_Curves/meltCurve_P17098_ZNF8.pdf", "Melting_Curves/meltCurve_P17098_ZNF8.pdf")</f>
        <v>Melting_Curves/meltCurve_P17098_ZNF8.pdf</v>
      </c>
    </row>
    <row r="1767" spans="1:28" x14ac:dyDescent="0.25">
      <c r="A1767" t="s">
        <v>1771</v>
      </c>
      <c r="B1767">
        <v>0.99987803227770999</v>
      </c>
      <c r="C1767">
        <v>1.1144411116538</v>
      </c>
      <c r="D1767">
        <v>1.0304942964949799</v>
      </c>
      <c r="E1767">
        <v>1.0812629339186901</v>
      </c>
      <c r="F1767">
        <v>0.97753101672734299</v>
      </c>
      <c r="G1767">
        <v>0.91947542321741704</v>
      </c>
      <c r="H1767">
        <v>1.0906168176150599</v>
      </c>
      <c r="I1767">
        <v>0.97510943521277904</v>
      </c>
      <c r="J1767">
        <v>0.83510725314256196</v>
      </c>
      <c r="K1767">
        <v>0.47337703546798998</v>
      </c>
      <c r="L1767">
        <v>3869.3007814616499</v>
      </c>
      <c r="M1767">
        <v>56.6599696217312</v>
      </c>
      <c r="N1767">
        <v>69.703413989689295</v>
      </c>
      <c r="O1767">
        <v>68.204938394923502</v>
      </c>
      <c r="P1767">
        <v>-0.13675345867675001</v>
      </c>
      <c r="Q1767">
        <v>0.34152760909447699</v>
      </c>
      <c r="R1767">
        <v>0.88572599134382002</v>
      </c>
      <c r="S1767" t="s">
        <v>8078</v>
      </c>
      <c r="T1767" t="s">
        <v>12620</v>
      </c>
      <c r="U1767" t="s">
        <v>12620</v>
      </c>
      <c r="V1767" t="s">
        <v>12620</v>
      </c>
      <c r="W1767" t="s">
        <v>14349</v>
      </c>
      <c r="X1767">
        <v>28</v>
      </c>
      <c r="Y1767" t="s">
        <v>20558</v>
      </c>
      <c r="Z1767" t="s">
        <v>26714</v>
      </c>
      <c r="AA1767">
        <v>0.95754053641337644</v>
      </c>
      <c r="AB1767" t="str">
        <f>HYPERLINK("Melting_Curves/meltCurve_P17174_GOT1.pdf", "Melting_Curves/meltCurve_P17174_GOT1.pdf")</f>
        <v>Melting_Curves/meltCurve_P17174_GOT1.pdf</v>
      </c>
    </row>
    <row r="1768" spans="1:28" x14ac:dyDescent="0.25">
      <c r="A1768" t="s">
        <v>1772</v>
      </c>
      <c r="B1768">
        <v>0.99987803227770999</v>
      </c>
      <c r="C1768">
        <v>0.93352931616991297</v>
      </c>
      <c r="D1768">
        <v>0.94103247308589599</v>
      </c>
      <c r="E1768">
        <v>0.50198683433972202</v>
      </c>
      <c r="F1768">
        <v>0.192053994547499</v>
      </c>
      <c r="G1768">
        <v>0.134068114660604</v>
      </c>
      <c r="H1768">
        <v>9.2850486852761899E-2</v>
      </c>
      <c r="I1768">
        <v>7.6047111146408095E-2</v>
      </c>
      <c r="J1768">
        <v>6.0752248515808203E-2</v>
      </c>
      <c r="K1768">
        <v>4.5981698250247699E-2</v>
      </c>
      <c r="L1768">
        <v>1470.0229283947399</v>
      </c>
      <c r="M1768">
        <v>29.548510501684198</v>
      </c>
      <c r="N1768">
        <v>50.021971780153102</v>
      </c>
      <c r="O1768">
        <v>49.523284301234398</v>
      </c>
      <c r="P1768">
        <v>-0.13807717641970499</v>
      </c>
      <c r="Q1768">
        <v>7.4337376178958206E-2</v>
      </c>
      <c r="R1768">
        <v>0.99562602380868104</v>
      </c>
      <c r="S1768" t="s">
        <v>8079</v>
      </c>
      <c r="T1768" t="s">
        <v>12620</v>
      </c>
      <c r="U1768" t="s">
        <v>12620</v>
      </c>
      <c r="V1768" t="s">
        <v>12620</v>
      </c>
      <c r="W1768" t="s">
        <v>14350</v>
      </c>
      <c r="X1768">
        <v>23</v>
      </c>
      <c r="Y1768" t="s">
        <v>20559</v>
      </c>
      <c r="Z1768" t="s">
        <v>26715</v>
      </c>
      <c r="AA1768">
        <v>0.38104217901682408</v>
      </c>
      <c r="AB1768" t="str">
        <f>HYPERLINK("Melting_Curves/meltCurve_P17252_PRKCA.pdf", "Melting_Curves/meltCurve_P17252_PRKCA.pdf")</f>
        <v>Melting_Curves/meltCurve_P17252_PRKCA.pdf</v>
      </c>
    </row>
    <row r="1769" spans="1:28" x14ac:dyDescent="0.25">
      <c r="A1769" t="s">
        <v>1773</v>
      </c>
      <c r="B1769">
        <v>0.99987803227770999</v>
      </c>
      <c r="C1769">
        <v>0.90688633871706703</v>
      </c>
      <c r="D1769">
        <v>1.04846251717406</v>
      </c>
      <c r="E1769">
        <v>0.96160106393492295</v>
      </c>
      <c r="F1769">
        <v>0.99568588034250105</v>
      </c>
      <c r="G1769">
        <v>0.91562580971607599</v>
      </c>
      <c r="H1769">
        <v>0.83669530702495098</v>
      </c>
      <c r="I1769">
        <v>0.71579775560916503</v>
      </c>
      <c r="J1769">
        <v>0.74194965297738003</v>
      </c>
      <c r="K1769">
        <v>0.57391340241588795</v>
      </c>
      <c r="L1769">
        <v>662.88669005586905</v>
      </c>
      <c r="M1769">
        <v>9.4816879453189902</v>
      </c>
      <c r="O1769">
        <v>67.014322033897898</v>
      </c>
      <c r="P1769">
        <v>-2.8420794337017701E-2</v>
      </c>
      <c r="Q1769">
        <v>0.19699269994317301</v>
      </c>
      <c r="R1769">
        <v>0.90564455580302206</v>
      </c>
      <c r="S1769" t="s">
        <v>8080</v>
      </c>
      <c r="T1769" t="s">
        <v>12620</v>
      </c>
      <c r="U1769" t="s">
        <v>12620</v>
      </c>
      <c r="V1769" t="s">
        <v>12620</v>
      </c>
      <c r="W1769" t="s">
        <v>14351</v>
      </c>
      <c r="X1769">
        <v>3</v>
      </c>
      <c r="Y1769" t="s">
        <v>20560</v>
      </c>
      <c r="Z1769" t="s">
        <v>26716</v>
      </c>
      <c r="AA1769">
        <v>0.887921329670603</v>
      </c>
      <c r="AB1769" t="str">
        <f>HYPERLINK("Melting_Curves/meltCurve_P17275_JUNB.pdf", "Melting_Curves/meltCurve_P17275_JUNB.pdf")</f>
        <v>Melting_Curves/meltCurve_P17275_JUNB.pdf</v>
      </c>
    </row>
    <row r="1770" spans="1:28" x14ac:dyDescent="0.25">
      <c r="A1770" t="s">
        <v>1774</v>
      </c>
      <c r="B1770">
        <v>0.99987803227770999</v>
      </c>
      <c r="C1770">
        <v>0.99477560274166998</v>
      </c>
      <c r="D1770">
        <v>0.80699324712159404</v>
      </c>
      <c r="E1770">
        <v>0.615365362476607</v>
      </c>
      <c r="F1770">
        <v>0.83842136574903403</v>
      </c>
      <c r="G1770">
        <v>0.47797779487969799</v>
      </c>
      <c r="H1770">
        <v>0</v>
      </c>
      <c r="I1770">
        <v>0.57240660001157095</v>
      </c>
      <c r="J1770">
        <v>0.32950959171679001</v>
      </c>
      <c r="K1770">
        <v>0.33168480909075998</v>
      </c>
      <c r="L1770">
        <v>630.09381112524102</v>
      </c>
      <c r="M1770">
        <v>12.070946825854501</v>
      </c>
      <c r="N1770">
        <v>55.858752598995601</v>
      </c>
      <c r="O1770">
        <v>50.828512548100598</v>
      </c>
      <c r="P1770">
        <v>-4.31571908772257E-2</v>
      </c>
      <c r="Q1770">
        <v>0.27326361335437099</v>
      </c>
      <c r="R1770">
        <v>0.70646699795210599</v>
      </c>
      <c r="S1770" t="s">
        <v>8081</v>
      </c>
      <c r="T1770" t="s">
        <v>12620</v>
      </c>
      <c r="U1770" t="s">
        <v>12620</v>
      </c>
      <c r="V1770" t="s">
        <v>12620</v>
      </c>
      <c r="W1770" t="s">
        <v>14352</v>
      </c>
      <c r="X1770">
        <v>1</v>
      </c>
      <c r="Y1770" t="s">
        <v>20561</v>
      </c>
      <c r="Z1770" t="s">
        <v>26717</v>
      </c>
      <c r="AA1770">
        <v>0.5905633508529422</v>
      </c>
      <c r="AB1770" t="str">
        <f>HYPERLINK("Melting_Curves/meltCurve_P17302_GJA1.pdf", "Melting_Curves/meltCurve_P17302_GJA1.pdf")</f>
        <v>Melting_Curves/meltCurve_P17302_GJA1.pdf</v>
      </c>
    </row>
    <row r="1771" spans="1:28" x14ac:dyDescent="0.25">
      <c r="A1771" t="s">
        <v>1775</v>
      </c>
      <c r="B1771">
        <v>0.99987803227770999</v>
      </c>
      <c r="C1771">
        <v>1.0769737388246501</v>
      </c>
      <c r="D1771">
        <v>0.920362279337964</v>
      </c>
      <c r="E1771">
        <v>0.78754840323779596</v>
      </c>
      <c r="F1771">
        <v>0.62996737099360001</v>
      </c>
      <c r="G1771">
        <v>0.40864091817937997</v>
      </c>
      <c r="H1771">
        <v>0.34863467257313002</v>
      </c>
      <c r="I1771">
        <v>0.26422577520326401</v>
      </c>
      <c r="J1771">
        <v>0.24889550375755601</v>
      </c>
      <c r="K1771">
        <v>0.16858544824659</v>
      </c>
      <c r="L1771">
        <v>785.01420076640898</v>
      </c>
      <c r="M1771">
        <v>14.6177383613761</v>
      </c>
      <c r="N1771">
        <v>55.477265181129503</v>
      </c>
      <c r="O1771">
        <v>52.7278257617848</v>
      </c>
      <c r="P1771">
        <v>-5.6372093245849797E-2</v>
      </c>
      <c r="Q1771">
        <v>0.18672899028508499</v>
      </c>
      <c r="R1771">
        <v>0.98631051965973404</v>
      </c>
      <c r="S1771" t="s">
        <v>8082</v>
      </c>
      <c r="T1771" t="s">
        <v>12620</v>
      </c>
      <c r="U1771" t="s">
        <v>12620</v>
      </c>
      <c r="V1771" t="s">
        <v>12620</v>
      </c>
      <c r="W1771" t="s">
        <v>14353</v>
      </c>
      <c r="X1771">
        <v>6</v>
      </c>
      <c r="Y1771" t="s">
        <v>20562</v>
      </c>
      <c r="Z1771" t="s">
        <v>26718</v>
      </c>
      <c r="AA1771">
        <v>0.57571010671431255</v>
      </c>
      <c r="AB1771" t="str">
        <f>HYPERLINK("Melting_Curves/meltCurve_P17480_2_UBTF.pdf", "Melting_Curves/meltCurve_P17480_2_UBTF.pdf")</f>
        <v>Melting_Curves/meltCurve_P17480_2_UBTF.pdf</v>
      </c>
    </row>
    <row r="1772" spans="1:28" x14ac:dyDescent="0.25">
      <c r="A1772" t="s">
        <v>1776</v>
      </c>
      <c r="B1772">
        <v>0.99987803227770999</v>
      </c>
      <c r="C1772">
        <v>1.0407810219556901</v>
      </c>
      <c r="D1772">
        <v>0.89646614621880305</v>
      </c>
      <c r="E1772">
        <v>0.78336068660286795</v>
      </c>
      <c r="F1772">
        <v>0.41715753754583101</v>
      </c>
      <c r="G1772">
        <v>0.32208118863452001</v>
      </c>
      <c r="H1772">
        <v>0.23893947346878</v>
      </c>
      <c r="I1772">
        <v>0.2250593589091</v>
      </c>
      <c r="J1772">
        <v>0.215692060161008</v>
      </c>
      <c r="K1772">
        <v>0.161916695021462</v>
      </c>
      <c r="L1772">
        <v>1204.7513488888801</v>
      </c>
      <c r="M1772">
        <v>23.412742212966702</v>
      </c>
      <c r="N1772">
        <v>52.650608336382703</v>
      </c>
      <c r="O1772">
        <v>51.086111942352403</v>
      </c>
      <c r="P1772">
        <v>-9.0983676846777203E-2</v>
      </c>
      <c r="Q1772">
        <v>0.20591627470144</v>
      </c>
      <c r="R1772">
        <v>0.98662711598328601</v>
      </c>
      <c r="S1772" t="s">
        <v>8083</v>
      </c>
      <c r="T1772" t="s">
        <v>12620</v>
      </c>
      <c r="U1772" t="s">
        <v>12620</v>
      </c>
      <c r="V1772" t="s">
        <v>12620</v>
      </c>
      <c r="W1772" t="s">
        <v>14354</v>
      </c>
      <c r="X1772">
        <v>12</v>
      </c>
      <c r="Y1772" t="s">
        <v>20563</v>
      </c>
      <c r="Z1772" t="s">
        <v>26719</v>
      </c>
      <c r="AA1772">
        <v>0.51736410125821208</v>
      </c>
      <c r="AB1772" t="str">
        <f>HYPERLINK("Melting_Curves/meltCurve_P17516_AKR1C4.pdf", "Melting_Curves/meltCurve_P17516_AKR1C4.pdf")</f>
        <v>Melting_Curves/meltCurve_P17516_AKR1C4.pdf</v>
      </c>
    </row>
    <row r="1773" spans="1:28" x14ac:dyDescent="0.25">
      <c r="A1773" t="s">
        <v>1777</v>
      </c>
      <c r="B1773">
        <v>0.99987803227770999</v>
      </c>
      <c r="C1773">
        <v>1.0934399036928799</v>
      </c>
      <c r="D1773">
        <v>0.98665807560791696</v>
      </c>
      <c r="E1773">
        <v>0.90300643663324998</v>
      </c>
      <c r="F1773">
        <v>0.84089878977735699</v>
      </c>
      <c r="G1773">
        <v>0.77919088339474396</v>
      </c>
      <c r="H1773">
        <v>0.81484130800177201</v>
      </c>
      <c r="I1773">
        <v>0.81820672457792398</v>
      </c>
      <c r="J1773">
        <v>0.59380274065335403</v>
      </c>
      <c r="K1773">
        <v>0.49213421926177298</v>
      </c>
      <c r="L1773">
        <v>457.14647618157102</v>
      </c>
      <c r="M1773">
        <v>6.3255334715473497</v>
      </c>
      <c r="O1773">
        <v>66.057063445421207</v>
      </c>
      <c r="P1773">
        <v>-2.40037982676145E-2</v>
      </c>
      <c r="Q1773">
        <v>0</v>
      </c>
      <c r="R1773">
        <v>0.85195390199364196</v>
      </c>
      <c r="S1773" t="s">
        <v>8084</v>
      </c>
      <c r="T1773" t="s">
        <v>12620</v>
      </c>
      <c r="U1773" t="s">
        <v>12620</v>
      </c>
      <c r="V1773" t="s">
        <v>12620</v>
      </c>
      <c r="W1773" t="s">
        <v>14355</v>
      </c>
      <c r="X1773">
        <v>2</v>
      </c>
      <c r="Y1773" t="s">
        <v>20564</v>
      </c>
      <c r="Z1773" t="s">
        <v>26720</v>
      </c>
      <c r="AA1773">
        <v>0.83963821778365211</v>
      </c>
      <c r="AB1773" t="str">
        <f>HYPERLINK("Melting_Curves/meltCurve_P17535_JUND.pdf", "Melting_Curves/meltCurve_P17535_JUND.pdf")</f>
        <v>Melting_Curves/meltCurve_P17535_JUND.pdf</v>
      </c>
    </row>
    <row r="1774" spans="1:28" x14ac:dyDescent="0.25">
      <c r="A1774" t="s">
        <v>1778</v>
      </c>
      <c r="B1774">
        <v>0.99987803227770999</v>
      </c>
      <c r="C1774">
        <v>0.88399857530319703</v>
      </c>
      <c r="D1774">
        <v>0.96904158442746502</v>
      </c>
      <c r="E1774">
        <v>0.90987404158128804</v>
      </c>
      <c r="F1774">
        <v>1.1318363959798301</v>
      </c>
      <c r="G1774">
        <v>0.97148956258557795</v>
      </c>
      <c r="H1774">
        <v>1.0484291236972501</v>
      </c>
      <c r="I1774">
        <v>1.0748617078096501</v>
      </c>
      <c r="J1774">
        <v>0.93180010736642804</v>
      </c>
      <c r="K1774">
        <v>0.808403168264895</v>
      </c>
      <c r="L1774">
        <v>15000</v>
      </c>
      <c r="M1774">
        <v>223.287323520396</v>
      </c>
      <c r="O1774">
        <v>67.172630303622697</v>
      </c>
      <c r="P1774">
        <v>-0.159241034814499</v>
      </c>
      <c r="Q1774">
        <v>0.80837892826322999</v>
      </c>
      <c r="R1774">
        <v>0.411567887196223</v>
      </c>
      <c r="S1774" t="s">
        <v>8085</v>
      </c>
      <c r="T1774" t="s">
        <v>12620</v>
      </c>
      <c r="U1774" t="s">
        <v>12620</v>
      </c>
      <c r="V1774" t="s">
        <v>12620</v>
      </c>
      <c r="W1774" t="s">
        <v>14356</v>
      </c>
      <c r="X1774">
        <v>5</v>
      </c>
      <c r="Y1774" t="s">
        <v>20565</v>
      </c>
      <c r="Z1774" t="s">
        <v>26721</v>
      </c>
      <c r="AA1774">
        <v>0.98200302634711112</v>
      </c>
      <c r="AB1774" t="str">
        <f>HYPERLINK("Melting_Curves/meltCurve_P17544_4_ATF7.pdf", "Melting_Curves/meltCurve_P17544_4_ATF7.pdf")</f>
        <v>Melting_Curves/meltCurve_P17544_4_ATF7.pdf</v>
      </c>
    </row>
    <row r="1775" spans="1:28" x14ac:dyDescent="0.25">
      <c r="A1775" t="s">
        <v>1779</v>
      </c>
      <c r="B1775">
        <v>0.99987803227770999</v>
      </c>
      <c r="C1775">
        <v>1.28980463698419</v>
      </c>
      <c r="D1775">
        <v>0.98634174179372802</v>
      </c>
      <c r="E1775">
        <v>1.1426295585370001</v>
      </c>
      <c r="F1775">
        <v>0.64308903986380295</v>
      </c>
      <c r="G1775">
        <v>0.26209845075482602</v>
      </c>
      <c r="H1775">
        <v>0.10852780702853899</v>
      </c>
      <c r="I1775">
        <v>8.5949295515478003E-2</v>
      </c>
      <c r="J1775">
        <v>6.3328223027817501E-2</v>
      </c>
      <c r="K1775">
        <v>4.86114814824899E-2</v>
      </c>
      <c r="L1775">
        <v>1987.54603528594</v>
      </c>
      <c r="M1775">
        <v>36.714800121572402</v>
      </c>
      <c r="N1775">
        <v>54.395428087741998</v>
      </c>
      <c r="O1775">
        <v>53.974890284588398</v>
      </c>
      <c r="P1775">
        <v>-0.15633626837298401</v>
      </c>
      <c r="Q1775">
        <v>8.0675069524191997E-2</v>
      </c>
      <c r="R1775">
        <v>0.94394655099154301</v>
      </c>
      <c r="S1775" t="s">
        <v>8086</v>
      </c>
      <c r="T1775" t="s">
        <v>12620</v>
      </c>
      <c r="U1775" t="s">
        <v>12620</v>
      </c>
      <c r="V1775" t="s">
        <v>12620</v>
      </c>
      <c r="W1775" t="s">
        <v>14357</v>
      </c>
      <c r="X1775">
        <v>8</v>
      </c>
      <c r="Y1775" t="s">
        <v>20566</v>
      </c>
      <c r="Z1775" t="s">
        <v>26722</v>
      </c>
      <c r="AA1775">
        <v>0.51789373166195207</v>
      </c>
      <c r="AB1775" t="str">
        <f>HYPERLINK("Melting_Curves/meltCurve_P17612_PRKACA.pdf", "Melting_Curves/meltCurve_P17612_PRKACA.pdf")</f>
        <v>Melting_Curves/meltCurve_P17612_PRKACA.pdf</v>
      </c>
    </row>
    <row r="1776" spans="1:28" x14ac:dyDescent="0.25">
      <c r="A1776" t="s">
        <v>1780</v>
      </c>
      <c r="B1776">
        <v>0.99987803227770999</v>
      </c>
      <c r="C1776">
        <v>1.1334589041391501</v>
      </c>
      <c r="D1776">
        <v>1.08332965750003</v>
      </c>
      <c r="E1776">
        <v>1.1940488633428601</v>
      </c>
      <c r="F1776">
        <v>0.99731033895884202</v>
      </c>
      <c r="G1776">
        <v>0.61600797029324095</v>
      </c>
      <c r="H1776">
        <v>0.14744001741030599</v>
      </c>
      <c r="I1776">
        <v>0.123879160439842</v>
      </c>
      <c r="J1776">
        <v>8.6813365593797501E-2</v>
      </c>
      <c r="K1776">
        <v>6.33692924163963E-2</v>
      </c>
      <c r="L1776">
        <v>2755.0882261360898</v>
      </c>
      <c r="M1776">
        <v>48.003720362988602</v>
      </c>
      <c r="N1776">
        <v>57.632963827492397</v>
      </c>
      <c r="O1776">
        <v>57.293884781089901</v>
      </c>
      <c r="P1776">
        <v>-0.19050531752819</v>
      </c>
      <c r="Q1776">
        <v>9.0505594869563305E-2</v>
      </c>
      <c r="R1776">
        <v>0.970050012372762</v>
      </c>
      <c r="S1776" t="s">
        <v>8087</v>
      </c>
      <c r="T1776" t="s">
        <v>12620</v>
      </c>
      <c r="U1776" t="s">
        <v>12620</v>
      </c>
      <c r="V1776" t="s">
        <v>12620</v>
      </c>
      <c r="W1776" t="s">
        <v>14358</v>
      </c>
      <c r="X1776">
        <v>32</v>
      </c>
      <c r="Y1776" t="s">
        <v>20567</v>
      </c>
      <c r="Z1776" t="s">
        <v>26723</v>
      </c>
      <c r="AA1776">
        <v>0.62029608144621939</v>
      </c>
      <c r="AB1776" t="str">
        <f>HYPERLINK("Melting_Curves/meltCurve_P17655_CAPN2.pdf", "Melting_Curves/meltCurve_P17655_CAPN2.pdf")</f>
        <v>Melting_Curves/meltCurve_P17655_CAPN2.pdf</v>
      </c>
    </row>
    <row r="1777" spans="1:28" x14ac:dyDescent="0.25">
      <c r="A1777" t="s">
        <v>1781</v>
      </c>
      <c r="B1777">
        <v>0.99987803227770999</v>
      </c>
      <c r="C1777">
        <v>0.83945388072983596</v>
      </c>
      <c r="D1777">
        <v>0.94210760505122104</v>
      </c>
      <c r="E1777">
        <v>0.63056149760680102</v>
      </c>
      <c r="F1777">
        <v>0.30068656781141401</v>
      </c>
      <c r="G1777">
        <v>0.193192976992721</v>
      </c>
      <c r="H1777">
        <v>0.15831450708828201</v>
      </c>
      <c r="I1777">
        <v>0.146149994308958</v>
      </c>
      <c r="J1777">
        <v>0.123412133026385</v>
      </c>
      <c r="K1777">
        <v>0.10857341349373301</v>
      </c>
      <c r="L1777">
        <v>1210.90225781821</v>
      </c>
      <c r="M1777">
        <v>24.013909752209202</v>
      </c>
      <c r="N1777">
        <v>51.052254720665999</v>
      </c>
      <c r="O1777">
        <v>50.079261087469803</v>
      </c>
      <c r="P1777">
        <v>-0.104566641981216</v>
      </c>
      <c r="Q1777">
        <v>0.12774932872274999</v>
      </c>
      <c r="R1777">
        <v>0.97940620272220402</v>
      </c>
      <c r="S1777" t="s">
        <v>8088</v>
      </c>
      <c r="T1777" t="s">
        <v>12620</v>
      </c>
      <c r="U1777" t="s">
        <v>12620</v>
      </c>
      <c r="V1777" t="s">
        <v>12620</v>
      </c>
      <c r="W1777" t="s">
        <v>14359</v>
      </c>
      <c r="X1777">
        <v>6</v>
      </c>
      <c r="Y1777" t="s">
        <v>20568</v>
      </c>
      <c r="Z1777" t="s">
        <v>26724</v>
      </c>
      <c r="AA1777">
        <v>0.43934029710133582</v>
      </c>
      <c r="AB1777" t="str">
        <f>HYPERLINK("Melting_Curves/meltCurve_P17706_2_PTPN2.pdf", "Melting_Curves/meltCurve_P17706_2_PTPN2.pdf")</f>
        <v>Melting_Curves/meltCurve_P17706_2_PTPN2.pdf</v>
      </c>
    </row>
    <row r="1778" spans="1:28" x14ac:dyDescent="0.25">
      <c r="A1778" t="s">
        <v>1782</v>
      </c>
      <c r="B1778">
        <v>0.99987803227770999</v>
      </c>
      <c r="C1778">
        <v>1.0553620396616401</v>
      </c>
      <c r="D1778">
        <v>1.0171557911421201</v>
      </c>
      <c r="E1778">
        <v>0.84240672046607201</v>
      </c>
      <c r="F1778">
        <v>0.60317284044817299</v>
      </c>
      <c r="G1778">
        <v>0.43236761926141598</v>
      </c>
      <c r="H1778">
        <v>0.32495577917807</v>
      </c>
      <c r="I1778">
        <v>0.34355764837162101</v>
      </c>
      <c r="J1778">
        <v>0.248005900298676</v>
      </c>
      <c r="K1778">
        <v>0.21072886639685701</v>
      </c>
      <c r="L1778">
        <v>1053.86028457882</v>
      </c>
      <c r="M1778">
        <v>19.822256437708699</v>
      </c>
      <c r="N1778">
        <v>55.179046517748503</v>
      </c>
      <c r="O1778">
        <v>52.633283539631201</v>
      </c>
      <c r="P1778">
        <v>-6.9916920325292703E-2</v>
      </c>
      <c r="Q1778">
        <v>0.25743412725533199</v>
      </c>
      <c r="R1778">
        <v>0.98536566878662002</v>
      </c>
      <c r="S1778" t="s">
        <v>8089</v>
      </c>
      <c r="T1778" t="s">
        <v>12620</v>
      </c>
      <c r="U1778" t="s">
        <v>12620</v>
      </c>
      <c r="V1778" t="s">
        <v>12620</v>
      </c>
      <c r="W1778" t="s">
        <v>14360</v>
      </c>
      <c r="X1778">
        <v>4</v>
      </c>
      <c r="Y1778" t="s">
        <v>20569</v>
      </c>
      <c r="Z1778" t="s">
        <v>26725</v>
      </c>
      <c r="AA1778">
        <v>0.5936619033142273</v>
      </c>
      <c r="AB1778" t="str">
        <f>HYPERLINK("Melting_Curves/meltCurve_P17707_AMD1.pdf", "Melting_Curves/meltCurve_P17707_AMD1.pdf")</f>
        <v>Melting_Curves/meltCurve_P17707_AMD1.pdf</v>
      </c>
    </row>
    <row r="1779" spans="1:28" x14ac:dyDescent="0.25">
      <c r="A1779" t="s">
        <v>1783</v>
      </c>
      <c r="B1779">
        <v>0.99987803227770999</v>
      </c>
      <c r="C1779">
        <v>0.97401024904413103</v>
      </c>
      <c r="D1779">
        <v>0.76741631180918601</v>
      </c>
      <c r="E1779">
        <v>0.56534611462823703</v>
      </c>
      <c r="F1779">
        <v>0.24454944369908599</v>
      </c>
      <c r="G1779">
        <v>0.14920069592401899</v>
      </c>
      <c r="H1779">
        <v>8.4896735524084804E-2</v>
      </c>
      <c r="I1779">
        <v>6.7894396850819203E-2</v>
      </c>
      <c r="J1779">
        <v>5.2891767925952703E-2</v>
      </c>
      <c r="K1779">
        <v>3.8107812515396501E-2</v>
      </c>
      <c r="L1779">
        <v>860.96566793652505</v>
      </c>
      <c r="M1779">
        <v>17.267929578119301</v>
      </c>
      <c r="N1779">
        <v>50.100977219937398</v>
      </c>
      <c r="O1779">
        <v>49.204964454359498</v>
      </c>
      <c r="P1779">
        <v>-8.4232633560366102E-2</v>
      </c>
      <c r="Q1779">
        <v>3.9972246711128701E-2</v>
      </c>
      <c r="R1779">
        <v>0.99324365261237202</v>
      </c>
      <c r="S1779" t="s">
        <v>8090</v>
      </c>
      <c r="T1779" t="s">
        <v>12620</v>
      </c>
      <c r="U1779" t="s">
        <v>12620</v>
      </c>
      <c r="V1779" t="s">
        <v>12620</v>
      </c>
      <c r="W1779" t="s">
        <v>14361</v>
      </c>
      <c r="X1779">
        <v>33</v>
      </c>
      <c r="Y1779" t="s">
        <v>20570</v>
      </c>
      <c r="Z1779" t="s">
        <v>26726</v>
      </c>
      <c r="AA1779">
        <v>0.37322596988991169</v>
      </c>
      <c r="AB1779" t="str">
        <f>HYPERLINK("Melting_Curves/meltCurve_P17812_CTPS1.pdf", "Melting_Curves/meltCurve_P17812_CTPS1.pdf")</f>
        <v>Melting_Curves/meltCurve_P17812_CTPS1.pdf</v>
      </c>
    </row>
    <row r="1780" spans="1:28" x14ac:dyDescent="0.25">
      <c r="A1780" t="s">
        <v>1784</v>
      </c>
      <c r="B1780">
        <v>0.99987803227770999</v>
      </c>
      <c r="C1780">
        <v>0.73602493710096495</v>
      </c>
      <c r="D1780">
        <v>0.63469943987871302</v>
      </c>
      <c r="E1780">
        <v>0.76334017591610703</v>
      </c>
      <c r="F1780">
        <v>0.45410225494897699</v>
      </c>
      <c r="G1780">
        <v>0.275350243088957</v>
      </c>
      <c r="H1780">
        <v>0.13518718145816</v>
      </c>
      <c r="I1780">
        <v>8.3276657381035901E-2</v>
      </c>
      <c r="J1780">
        <v>5.8978289768323103E-2</v>
      </c>
      <c r="K1780">
        <v>4.90260761108849E-2</v>
      </c>
      <c r="L1780">
        <v>494.37503285035098</v>
      </c>
      <c r="M1780">
        <v>9.6073275177821102</v>
      </c>
      <c r="N1780">
        <v>51.458110241916003</v>
      </c>
      <c r="O1780">
        <v>49.3768629843523</v>
      </c>
      <c r="P1780">
        <v>-4.8670430043787197E-2</v>
      </c>
      <c r="Q1780">
        <v>0</v>
      </c>
      <c r="R1780">
        <v>0.92452405986792896</v>
      </c>
      <c r="S1780" t="s">
        <v>8091</v>
      </c>
      <c r="T1780" t="s">
        <v>12620</v>
      </c>
      <c r="U1780" t="s">
        <v>12620</v>
      </c>
      <c r="V1780" t="s">
        <v>12620</v>
      </c>
      <c r="W1780" t="s">
        <v>14362</v>
      </c>
      <c r="X1780">
        <v>15</v>
      </c>
      <c r="Y1780" t="s">
        <v>20571</v>
      </c>
      <c r="Z1780" t="s">
        <v>26727</v>
      </c>
      <c r="AA1780">
        <v>0.42375609781266821</v>
      </c>
      <c r="AB1780" t="str">
        <f>HYPERLINK("Melting_Curves/meltCurve_P17858_PFKL.pdf", "Melting_Curves/meltCurve_P17858_PFKL.pdf")</f>
        <v>Melting_Curves/meltCurve_P17858_PFKL.pdf</v>
      </c>
    </row>
    <row r="1781" spans="1:28" x14ac:dyDescent="0.25">
      <c r="A1781" t="s">
        <v>1785</v>
      </c>
      <c r="B1781">
        <v>0.99987803227770999</v>
      </c>
      <c r="C1781">
        <v>1.1324739035254801</v>
      </c>
      <c r="D1781">
        <v>0.93226701266765399</v>
      </c>
      <c r="E1781">
        <v>1.1154535145797799</v>
      </c>
      <c r="F1781">
        <v>0.96571616911417302</v>
      </c>
      <c r="G1781">
        <v>1.1454117823543799</v>
      </c>
      <c r="H1781">
        <v>1.2788980086067201</v>
      </c>
      <c r="I1781">
        <v>1.08710764026463</v>
      </c>
      <c r="J1781">
        <v>0.99959221450348201</v>
      </c>
      <c r="K1781">
        <v>0.45779931371053101</v>
      </c>
      <c r="L1781">
        <v>12579.356878029301</v>
      </c>
      <c r="M1781">
        <v>179.87804436870499</v>
      </c>
      <c r="N1781">
        <v>69.934031526378703</v>
      </c>
      <c r="O1781">
        <v>69.924031736628294</v>
      </c>
      <c r="P1781">
        <v>-0.64201818893983198</v>
      </c>
      <c r="Q1781">
        <v>1.71219968159756E-3</v>
      </c>
      <c r="R1781">
        <v>0.67152455754537299</v>
      </c>
      <c r="S1781" t="s">
        <v>8092</v>
      </c>
      <c r="T1781" t="s">
        <v>12620</v>
      </c>
      <c r="U1781" t="s">
        <v>12620</v>
      </c>
      <c r="V1781" t="s">
        <v>12620</v>
      </c>
      <c r="W1781" t="s">
        <v>14363</v>
      </c>
      <c r="X1781">
        <v>4</v>
      </c>
      <c r="Y1781" t="s">
        <v>20572</v>
      </c>
      <c r="Z1781" t="s">
        <v>26728</v>
      </c>
      <c r="AA1781">
        <v>0.98998072685738536</v>
      </c>
      <c r="AB1781" t="str">
        <f>HYPERLINK("Melting_Curves/meltCurve_P17900_GM2A.pdf", "Melting_Curves/meltCurve_P17900_GM2A.pdf")</f>
        <v>Melting_Curves/meltCurve_P17900_GM2A.pdf</v>
      </c>
    </row>
    <row r="1782" spans="1:28" x14ac:dyDescent="0.25">
      <c r="A1782" t="s">
        <v>1786</v>
      </c>
      <c r="B1782">
        <v>0.99987803227770999</v>
      </c>
      <c r="C1782">
        <v>0.87597858104246396</v>
      </c>
      <c r="D1782">
        <v>0.99777402876260401</v>
      </c>
      <c r="E1782">
        <v>0.88387527673122301</v>
      </c>
      <c r="F1782">
        <v>1.0292213229780001</v>
      </c>
      <c r="G1782">
        <v>0.86217412058783305</v>
      </c>
      <c r="H1782">
        <v>0.42993139161550198</v>
      </c>
      <c r="I1782">
        <v>0.21223256797609799</v>
      </c>
      <c r="J1782">
        <v>0.16238937285529401</v>
      </c>
      <c r="K1782">
        <v>0.114836330404516</v>
      </c>
      <c r="L1782">
        <v>2009.80759985894</v>
      </c>
      <c r="M1782">
        <v>33.557988855413498</v>
      </c>
      <c r="N1782">
        <v>60.394252594825097</v>
      </c>
      <c r="O1782">
        <v>59.679107560636297</v>
      </c>
      <c r="P1782">
        <v>-0.123419382897597</v>
      </c>
      <c r="Q1782">
        <v>0.12205371882299799</v>
      </c>
      <c r="R1782">
        <v>0.976422547364861</v>
      </c>
      <c r="S1782" t="s">
        <v>8093</v>
      </c>
      <c r="T1782" t="s">
        <v>12620</v>
      </c>
      <c r="U1782" t="s">
        <v>12620</v>
      </c>
      <c r="V1782" t="s">
        <v>12620</v>
      </c>
      <c r="W1782" t="s">
        <v>14364</v>
      </c>
      <c r="X1782">
        <v>8</v>
      </c>
      <c r="Y1782" t="s">
        <v>20573</v>
      </c>
      <c r="Z1782" t="s">
        <v>26729</v>
      </c>
      <c r="AA1782">
        <v>0.70873207583067233</v>
      </c>
      <c r="AB1782" t="str">
        <f>HYPERLINK("Melting_Curves/meltCurve_P17931_LGALS3.pdf", "Melting_Curves/meltCurve_P17931_LGALS3.pdf")</f>
        <v>Melting_Curves/meltCurve_P17931_LGALS3.pdf</v>
      </c>
    </row>
    <row r="1783" spans="1:28" x14ac:dyDescent="0.25">
      <c r="A1783" t="s">
        <v>1787</v>
      </c>
      <c r="B1783">
        <v>0.99987803227770999</v>
      </c>
      <c r="C1783">
        <v>0.72866117123835705</v>
      </c>
      <c r="D1783">
        <v>0.70764852525776301</v>
      </c>
      <c r="E1783">
        <v>1.6040456919454</v>
      </c>
      <c r="F1783">
        <v>1.5040334710577601</v>
      </c>
      <c r="G1783">
        <v>0.91332100819734097</v>
      </c>
      <c r="H1783">
        <v>0.21467609936322499</v>
      </c>
      <c r="I1783">
        <v>0.17995757796026501</v>
      </c>
      <c r="J1783">
        <v>0.12878417967682801</v>
      </c>
      <c r="K1783">
        <v>8.8437588667103606E-2</v>
      </c>
      <c r="L1783">
        <v>3912.9994662145</v>
      </c>
      <c r="M1783">
        <v>66.3727533138441</v>
      </c>
      <c r="N1783">
        <v>59.2246012487306</v>
      </c>
      <c r="O1783">
        <v>58.901432825120402</v>
      </c>
      <c r="P1783">
        <v>-0.24496912412362301</v>
      </c>
      <c r="Q1783">
        <v>0.13042423847347001</v>
      </c>
      <c r="R1783">
        <v>0.72117569524005998</v>
      </c>
      <c r="S1783" t="s">
        <v>8094</v>
      </c>
      <c r="T1783" t="s">
        <v>12620</v>
      </c>
      <c r="U1783" t="s">
        <v>12620</v>
      </c>
      <c r="V1783" t="s">
        <v>12620</v>
      </c>
      <c r="W1783" t="s">
        <v>14365</v>
      </c>
      <c r="X1783">
        <v>31</v>
      </c>
      <c r="Y1783" t="s">
        <v>20574</v>
      </c>
      <c r="Z1783" t="s">
        <v>26730</v>
      </c>
      <c r="AA1783">
        <v>0.68112760544313455</v>
      </c>
      <c r="AB1783" t="str">
        <f>HYPERLINK("Melting_Curves/meltCurve_P17987_TCP1.pdf", "Melting_Curves/meltCurve_P17987_TCP1.pdf")</f>
        <v>Melting_Curves/meltCurve_P17987_TCP1.pdf</v>
      </c>
    </row>
    <row r="1784" spans="1:28" x14ac:dyDescent="0.25">
      <c r="A1784" t="s">
        <v>1788</v>
      </c>
      <c r="B1784">
        <v>0.99987803227770999</v>
      </c>
      <c r="C1784">
        <v>0.86076595482108098</v>
      </c>
      <c r="D1784">
        <v>0.95783145665658198</v>
      </c>
      <c r="E1784">
        <v>0.67322460805904105</v>
      </c>
      <c r="F1784">
        <v>0.25796292238424801</v>
      </c>
      <c r="G1784">
        <v>0.176197218207304</v>
      </c>
      <c r="H1784">
        <v>0.12155629388417299</v>
      </c>
      <c r="I1784">
        <v>0.119409192587558</v>
      </c>
      <c r="J1784">
        <v>8.6643601649458696E-2</v>
      </c>
      <c r="K1784">
        <v>5.9302343122405302E-2</v>
      </c>
      <c r="L1784">
        <v>1602.46372027795</v>
      </c>
      <c r="M1784">
        <v>31.576252711205601</v>
      </c>
      <c r="N1784">
        <v>51.1185179046645</v>
      </c>
      <c r="O1784">
        <v>50.546771056190302</v>
      </c>
      <c r="P1784">
        <v>-0.14023912387260601</v>
      </c>
      <c r="Q1784">
        <v>0.10203439287011799</v>
      </c>
      <c r="R1784">
        <v>0.98220868162469399</v>
      </c>
      <c r="S1784" t="s">
        <v>8095</v>
      </c>
      <c r="T1784" t="s">
        <v>12620</v>
      </c>
      <c r="U1784" t="s">
        <v>12620</v>
      </c>
      <c r="V1784" t="s">
        <v>12620</v>
      </c>
      <c r="W1784" t="s">
        <v>14366</v>
      </c>
      <c r="X1784">
        <v>7</v>
      </c>
      <c r="Y1784" t="s">
        <v>20575</v>
      </c>
      <c r="Z1784" t="s">
        <v>26731</v>
      </c>
      <c r="AA1784">
        <v>0.42884864826316871</v>
      </c>
      <c r="AB1784" t="str">
        <f>HYPERLINK("Melting_Curves/meltCurve_P18031_PTPN1.pdf", "Melting_Curves/meltCurve_P18031_PTPN1.pdf")</f>
        <v>Melting_Curves/meltCurve_P18031_PTPN1.pdf</v>
      </c>
    </row>
    <row r="1785" spans="1:28" x14ac:dyDescent="0.25">
      <c r="A1785" t="s">
        <v>1789</v>
      </c>
      <c r="B1785">
        <v>0.99987803227770999</v>
      </c>
      <c r="C1785">
        <v>0.80572313876008195</v>
      </c>
      <c r="D1785">
        <v>1.02656011711066</v>
      </c>
      <c r="E1785">
        <v>0.82984179240361799</v>
      </c>
      <c r="F1785">
        <v>1.01789696598105</v>
      </c>
      <c r="G1785">
        <v>0.86865828364953701</v>
      </c>
      <c r="H1785">
        <v>0.83894175492344403</v>
      </c>
      <c r="I1785">
        <v>0.716554758414223</v>
      </c>
      <c r="J1785">
        <v>0.86100257353647602</v>
      </c>
      <c r="K1785">
        <v>0.76273718857177297</v>
      </c>
      <c r="L1785">
        <v>192.57487641706899</v>
      </c>
      <c r="M1785">
        <v>1.5193079017783</v>
      </c>
      <c r="O1785">
        <v>62.6693003212619</v>
      </c>
      <c r="P1785">
        <v>-7.0655063055818403E-3</v>
      </c>
      <c r="Q1785">
        <v>0</v>
      </c>
      <c r="R1785">
        <v>0.35577676534437402</v>
      </c>
      <c r="S1785" t="s">
        <v>8096</v>
      </c>
      <c r="T1785" t="s">
        <v>12620</v>
      </c>
      <c r="U1785" t="s">
        <v>12620</v>
      </c>
      <c r="V1785" t="s">
        <v>12620</v>
      </c>
      <c r="W1785" t="s">
        <v>14367</v>
      </c>
      <c r="X1785">
        <v>6</v>
      </c>
      <c r="Y1785" t="s">
        <v>20576</v>
      </c>
      <c r="Z1785" t="s">
        <v>26732</v>
      </c>
      <c r="AA1785">
        <v>0.87574279592475435</v>
      </c>
      <c r="AB1785" t="str">
        <f>HYPERLINK("Melting_Curves/meltCurve_P18065_IGFBP2.pdf", "Melting_Curves/meltCurve_P18065_IGFBP2.pdf")</f>
        <v>Melting_Curves/meltCurve_P18065_IGFBP2.pdf</v>
      </c>
    </row>
    <row r="1786" spans="1:28" x14ac:dyDescent="0.25">
      <c r="A1786" t="s">
        <v>1790</v>
      </c>
      <c r="B1786">
        <v>0.99987803227770999</v>
      </c>
      <c r="C1786">
        <v>1.4869415818125</v>
      </c>
      <c r="D1786">
        <v>1.32190885576315</v>
      </c>
      <c r="E1786">
        <v>1.1053858448676701</v>
      </c>
      <c r="F1786">
        <v>0.56962182662144101</v>
      </c>
      <c r="G1786">
        <v>0.273277750555254</v>
      </c>
      <c r="H1786">
        <v>0.13804418508772201</v>
      </c>
      <c r="I1786">
        <v>8.1718305966116803E-2</v>
      </c>
      <c r="J1786">
        <v>6.8388071492841707E-2</v>
      </c>
      <c r="K1786">
        <v>4.2429875922705897E-2</v>
      </c>
      <c r="L1786">
        <v>2251.3403748119499</v>
      </c>
      <c r="M1786">
        <v>42.118106485849403</v>
      </c>
      <c r="N1786">
        <v>53.745687128832103</v>
      </c>
      <c r="O1786">
        <v>53.3329360118586</v>
      </c>
      <c r="P1786">
        <v>-0.177198484942754</v>
      </c>
      <c r="Q1786">
        <v>0.102476074554381</v>
      </c>
      <c r="R1786">
        <v>0.86697559920154799</v>
      </c>
      <c r="S1786" t="s">
        <v>8097</v>
      </c>
      <c r="T1786" t="s">
        <v>12620</v>
      </c>
      <c r="U1786" t="s">
        <v>12620</v>
      </c>
      <c r="V1786" t="s">
        <v>12620</v>
      </c>
      <c r="W1786" t="s">
        <v>14368</v>
      </c>
      <c r="X1786">
        <v>3</v>
      </c>
      <c r="Y1786" t="s">
        <v>20577</v>
      </c>
      <c r="Z1786" t="s">
        <v>26733</v>
      </c>
      <c r="AA1786">
        <v>0.50794260023555471</v>
      </c>
      <c r="AB1786" t="str">
        <f>HYPERLINK("Melting_Curves/meltCurve_P18077_RPL35A.pdf", "Melting_Curves/meltCurve_P18077_RPL35A.pdf")</f>
        <v>Melting_Curves/meltCurve_P18077_RPL35A.pdf</v>
      </c>
    </row>
    <row r="1787" spans="1:28" x14ac:dyDescent="0.25">
      <c r="A1787" t="s">
        <v>1791</v>
      </c>
      <c r="B1787">
        <v>0.99987803227770999</v>
      </c>
      <c r="C1787">
        <v>0.99064026247662396</v>
      </c>
      <c r="D1787">
        <v>1.0078034845478101</v>
      </c>
      <c r="E1787">
        <v>0.86333071084119195</v>
      </c>
      <c r="F1787">
        <v>0.88966810667740504</v>
      </c>
      <c r="G1787">
        <v>0.62899676335603405</v>
      </c>
      <c r="H1787">
        <v>0.63500467133542504</v>
      </c>
      <c r="I1787">
        <v>0.59998246517651499</v>
      </c>
      <c r="J1787">
        <v>0.51004376800129503</v>
      </c>
      <c r="K1787">
        <v>0.35770054923762801</v>
      </c>
      <c r="L1787">
        <v>469.84264209678003</v>
      </c>
      <c r="M1787">
        <v>7.3497361672420896</v>
      </c>
      <c r="N1787">
        <v>65.780680434351396</v>
      </c>
      <c r="O1787">
        <v>59.704852172012799</v>
      </c>
      <c r="P1787">
        <v>-2.7939157851333499E-2</v>
      </c>
      <c r="Q1787">
        <v>9.3560639214376295E-2</v>
      </c>
      <c r="R1787">
        <v>0.94570154312377797</v>
      </c>
      <c r="S1787" t="s">
        <v>8098</v>
      </c>
      <c r="T1787" t="s">
        <v>12620</v>
      </c>
      <c r="U1787" t="s">
        <v>12620</v>
      </c>
      <c r="V1787" t="s">
        <v>12620</v>
      </c>
      <c r="W1787" t="s">
        <v>14369</v>
      </c>
      <c r="X1787">
        <v>4</v>
      </c>
      <c r="Y1787" t="s">
        <v>20578</v>
      </c>
      <c r="Z1787" t="s">
        <v>26734</v>
      </c>
      <c r="AA1787">
        <v>0.75397597159325425</v>
      </c>
      <c r="AB1787" t="str">
        <f>HYPERLINK("Melting_Curves/meltCurve_P18084_ITGB5.pdf", "Melting_Curves/meltCurve_P18084_ITGB5.pdf")</f>
        <v>Melting_Curves/meltCurve_P18084_ITGB5.pdf</v>
      </c>
    </row>
    <row r="1788" spans="1:28" x14ac:dyDescent="0.25">
      <c r="A1788" t="s">
        <v>1792</v>
      </c>
      <c r="B1788">
        <v>0.99987803227770999</v>
      </c>
      <c r="C1788">
        <v>0.84892762670638999</v>
      </c>
      <c r="D1788">
        <v>1.0450471076319601</v>
      </c>
      <c r="E1788">
        <v>0.73492720676923695</v>
      </c>
      <c r="F1788">
        <v>0.36260851381588899</v>
      </c>
      <c r="G1788">
        <v>0.15882908314879099</v>
      </c>
      <c r="H1788">
        <v>0.10865457831622399</v>
      </c>
      <c r="I1788">
        <v>0.10343389117199001</v>
      </c>
      <c r="J1788">
        <v>7.8512723706519794E-2</v>
      </c>
      <c r="K1788">
        <v>4.7555539989709197E-2</v>
      </c>
      <c r="L1788">
        <v>1529.9603390319901</v>
      </c>
      <c r="M1788">
        <v>29.665576540774499</v>
      </c>
      <c r="N1788">
        <v>51.900319030841104</v>
      </c>
      <c r="O1788">
        <v>51.340915472558699</v>
      </c>
      <c r="P1788">
        <v>-0.13215074646644601</v>
      </c>
      <c r="Q1788">
        <v>8.5175745575092304E-2</v>
      </c>
      <c r="R1788">
        <v>0.98066051616260996</v>
      </c>
      <c r="S1788" t="s">
        <v>8099</v>
      </c>
      <c r="T1788" t="s">
        <v>12620</v>
      </c>
      <c r="U1788" t="s">
        <v>12620</v>
      </c>
      <c r="V1788" t="s">
        <v>12620</v>
      </c>
      <c r="W1788" t="s">
        <v>14370</v>
      </c>
      <c r="X1788">
        <v>7</v>
      </c>
      <c r="Y1788" t="s">
        <v>20579</v>
      </c>
      <c r="Z1788" t="s">
        <v>26735</v>
      </c>
      <c r="AA1788">
        <v>0.44403927942222138</v>
      </c>
      <c r="AB1788" t="str">
        <f>HYPERLINK("Melting_Curves/meltCurve_P18085_ARF4.pdf", "Melting_Curves/meltCurve_P18085_ARF4.pdf")</f>
        <v>Melting_Curves/meltCurve_P18085_ARF4.pdf</v>
      </c>
    </row>
    <row r="1789" spans="1:28" x14ac:dyDescent="0.25">
      <c r="A1789" t="s">
        <v>1793</v>
      </c>
      <c r="B1789">
        <v>0.99987803227770999</v>
      </c>
      <c r="C1789">
        <v>1.3720841017848899</v>
      </c>
      <c r="D1789">
        <v>1.38438273951327</v>
      </c>
      <c r="E1789">
        <v>1.22033452979926</v>
      </c>
      <c r="F1789">
        <v>0.85130380027545005</v>
      </c>
      <c r="G1789">
        <v>0.488532595163156</v>
      </c>
      <c r="H1789">
        <v>0.36370410909426998</v>
      </c>
      <c r="I1789">
        <v>0.30958195384315501</v>
      </c>
      <c r="J1789">
        <v>0.33644752360888802</v>
      </c>
      <c r="K1789">
        <v>0.27134285350233101</v>
      </c>
      <c r="L1789">
        <v>2192.7390083456798</v>
      </c>
      <c r="M1789">
        <v>39.6333497520516</v>
      </c>
      <c r="N1789">
        <v>56.756527139372203</v>
      </c>
      <c r="O1789">
        <v>55.185314537633197</v>
      </c>
      <c r="P1789">
        <v>-0.122825523179265</v>
      </c>
      <c r="Q1789">
        <v>0.31591444705397498</v>
      </c>
      <c r="R1789">
        <v>0.817808665073677</v>
      </c>
      <c r="S1789" t="s">
        <v>8100</v>
      </c>
      <c r="T1789" t="s">
        <v>12620</v>
      </c>
      <c r="U1789" t="s">
        <v>12620</v>
      </c>
      <c r="V1789" t="s">
        <v>12620</v>
      </c>
      <c r="W1789" t="s">
        <v>14371</v>
      </c>
      <c r="X1789">
        <v>7</v>
      </c>
      <c r="Y1789" t="s">
        <v>20580</v>
      </c>
      <c r="Z1789" t="s">
        <v>26736</v>
      </c>
      <c r="AA1789">
        <v>0.66803444136637902</v>
      </c>
      <c r="AB1789" t="str">
        <f>HYPERLINK("Melting_Curves/meltCurve_P18124_RPL7.pdf", "Melting_Curves/meltCurve_P18124_RPL7.pdf")</f>
        <v>Melting_Curves/meltCurve_P18124_RPL7.pdf</v>
      </c>
    </row>
    <row r="1790" spans="1:28" x14ac:dyDescent="0.25">
      <c r="A1790" t="s">
        <v>1794</v>
      </c>
      <c r="B1790">
        <v>0.99987803227770999</v>
      </c>
      <c r="C1790">
        <v>1.08057637079196</v>
      </c>
      <c r="D1790">
        <v>1.0233704481272801</v>
      </c>
      <c r="E1790">
        <v>1.1345688330588799</v>
      </c>
      <c r="F1790">
        <v>1.05289430870719</v>
      </c>
      <c r="G1790">
        <v>1.2363424212710299</v>
      </c>
      <c r="H1790">
        <v>1.42646241492231</v>
      </c>
      <c r="I1790">
        <v>1.16066020599584</v>
      </c>
      <c r="J1790">
        <v>0.62865225909293299</v>
      </c>
      <c r="K1790">
        <v>0.112849634628981</v>
      </c>
      <c r="L1790">
        <v>15000</v>
      </c>
      <c r="M1790">
        <v>223.551783714804</v>
      </c>
      <c r="N1790">
        <v>67.175344117408201</v>
      </c>
      <c r="O1790">
        <v>67.093174543479805</v>
      </c>
      <c r="P1790">
        <v>-0.73905918323809305</v>
      </c>
      <c r="Q1790">
        <v>0.112763436767554</v>
      </c>
      <c r="R1790">
        <v>0.75996230653377295</v>
      </c>
      <c r="S1790" t="s">
        <v>8101</v>
      </c>
      <c r="T1790" t="s">
        <v>12620</v>
      </c>
      <c r="U1790" t="s">
        <v>12620</v>
      </c>
      <c r="V1790" t="s">
        <v>12620</v>
      </c>
      <c r="W1790" t="s">
        <v>14372</v>
      </c>
      <c r="X1790">
        <v>117</v>
      </c>
      <c r="Y1790" t="s">
        <v>20581</v>
      </c>
      <c r="Z1790" t="s">
        <v>26737</v>
      </c>
      <c r="AA1790">
        <v>0.91432059170369995</v>
      </c>
      <c r="AB1790" t="str">
        <f>HYPERLINK("Melting_Curves/meltCurve_P18206_2_VCL.pdf", "Melting_Curves/meltCurve_P18206_2_VCL.pdf")</f>
        <v>Melting_Curves/meltCurve_P18206_2_VCL.pdf</v>
      </c>
    </row>
    <row r="1791" spans="1:28" x14ac:dyDescent="0.25">
      <c r="A1791" t="s">
        <v>1795</v>
      </c>
      <c r="B1791">
        <v>0.99987803227770999</v>
      </c>
      <c r="C1791">
        <v>1.0936244274656199</v>
      </c>
      <c r="D1791">
        <v>1.0682634827217199</v>
      </c>
      <c r="E1791">
        <v>1.09069241561916</v>
      </c>
      <c r="F1791">
        <v>0.968119134742633</v>
      </c>
      <c r="G1791">
        <v>0.60574040363472204</v>
      </c>
      <c r="H1791">
        <v>0.29573200189969201</v>
      </c>
      <c r="I1791">
        <v>0.19154072078569201</v>
      </c>
      <c r="J1791">
        <v>0.11415848626752099</v>
      </c>
      <c r="K1791">
        <v>6.4064952802686995E-2</v>
      </c>
      <c r="L1791">
        <v>1573.2703645214899</v>
      </c>
      <c r="M1791">
        <v>27.166339128981999</v>
      </c>
      <c r="N1791">
        <v>58.353874984471901</v>
      </c>
      <c r="O1791">
        <v>57.601413385880903</v>
      </c>
      <c r="P1791">
        <v>-0.10695770851451</v>
      </c>
      <c r="Q1791">
        <v>9.2869230743526501E-2</v>
      </c>
      <c r="R1791">
        <v>0.98303051002302599</v>
      </c>
      <c r="S1791" t="s">
        <v>8102</v>
      </c>
      <c r="T1791" t="s">
        <v>12620</v>
      </c>
      <c r="U1791" t="s">
        <v>12620</v>
      </c>
      <c r="V1791" t="s">
        <v>12620</v>
      </c>
      <c r="W1791" t="s">
        <v>14373</v>
      </c>
      <c r="X1791">
        <v>5</v>
      </c>
      <c r="Y1791" t="s">
        <v>20582</v>
      </c>
      <c r="Z1791" t="s">
        <v>26738</v>
      </c>
      <c r="AA1791">
        <v>0.64151110179502169</v>
      </c>
      <c r="AB1791" t="str">
        <f>HYPERLINK("Melting_Curves/meltCurve_P18283_GPX2.pdf", "Melting_Curves/meltCurve_P18283_GPX2.pdf")</f>
        <v>Melting_Curves/meltCurve_P18283_GPX2.pdf</v>
      </c>
    </row>
    <row r="1792" spans="1:28" x14ac:dyDescent="0.25">
      <c r="A1792" t="s">
        <v>1796</v>
      </c>
      <c r="B1792">
        <v>0.99987803227770999</v>
      </c>
      <c r="C1792">
        <v>0.86878949657247595</v>
      </c>
      <c r="D1792">
        <v>0.647168242288232</v>
      </c>
      <c r="E1792">
        <v>0.27397707919819397</v>
      </c>
      <c r="F1792">
        <v>0.183848755517065</v>
      </c>
      <c r="G1792">
        <v>0.13305368895318401</v>
      </c>
      <c r="H1792">
        <v>0.101885818907804</v>
      </c>
      <c r="I1792">
        <v>0.14443933830286601</v>
      </c>
      <c r="J1792">
        <v>4.2136421016101502E-2</v>
      </c>
      <c r="K1792">
        <v>4.97022117304773E-2</v>
      </c>
      <c r="L1792">
        <v>941.29289321495196</v>
      </c>
      <c r="M1792">
        <v>20.042017747351199</v>
      </c>
      <c r="N1792">
        <v>47.4090829102322</v>
      </c>
      <c r="O1792">
        <v>46.505898650477299</v>
      </c>
      <c r="P1792">
        <v>-9.8540098985674396E-2</v>
      </c>
      <c r="Q1792">
        <v>8.5411861583499796E-2</v>
      </c>
      <c r="R1792">
        <v>0.99258113874755005</v>
      </c>
      <c r="S1792" t="s">
        <v>8103</v>
      </c>
      <c r="T1792" t="s">
        <v>12620</v>
      </c>
      <c r="U1792" t="s">
        <v>12620</v>
      </c>
      <c r="V1792" t="s">
        <v>12620</v>
      </c>
      <c r="W1792" t="s">
        <v>14374</v>
      </c>
      <c r="X1792">
        <v>4</v>
      </c>
      <c r="Y1792" t="s">
        <v>20583</v>
      </c>
      <c r="Z1792" t="s">
        <v>26739</v>
      </c>
      <c r="AA1792">
        <v>0.31112388603859109</v>
      </c>
      <c r="AB1792" t="str">
        <f>HYPERLINK("Melting_Curves/meltCurve_P18440_NAT1.pdf", "Melting_Curves/meltCurve_P18440_NAT1.pdf")</f>
        <v>Melting_Curves/meltCurve_P18440_NAT1.pdf</v>
      </c>
    </row>
    <row r="1793" spans="1:28" x14ac:dyDescent="0.25">
      <c r="A1793" t="s">
        <v>1797</v>
      </c>
      <c r="B1793">
        <v>0.99987803227770999</v>
      </c>
      <c r="C1793">
        <v>0.98376501397252403</v>
      </c>
      <c r="D1793">
        <v>0.99445023422003498</v>
      </c>
      <c r="E1793">
        <v>0.92489506823224998</v>
      </c>
      <c r="F1793">
        <v>0.93685883454261398</v>
      </c>
      <c r="G1793">
        <v>0.94293776190225698</v>
      </c>
      <c r="H1793">
        <v>0.87517332271604897</v>
      </c>
      <c r="I1793">
        <v>0.86656686410384198</v>
      </c>
      <c r="J1793">
        <v>0.82327608225636895</v>
      </c>
      <c r="K1793">
        <v>0.61729917520956101</v>
      </c>
      <c r="L1793">
        <v>684.23147248753901</v>
      </c>
      <c r="M1793">
        <v>9.0605941485263504</v>
      </c>
      <c r="Q1793">
        <v>0</v>
      </c>
      <c r="R1793">
        <v>0.874887207075008</v>
      </c>
      <c r="S1793" t="s">
        <v>8104</v>
      </c>
      <c r="T1793" t="s">
        <v>12620</v>
      </c>
      <c r="U1793" t="s">
        <v>12620</v>
      </c>
      <c r="V1793" t="s">
        <v>12620</v>
      </c>
      <c r="W1793" t="s">
        <v>14375</v>
      </c>
      <c r="X1793">
        <v>11</v>
      </c>
      <c r="Y1793" t="s">
        <v>20584</v>
      </c>
      <c r="Z1793" t="s">
        <v>26740</v>
      </c>
      <c r="AA1793">
        <v>0.9213998171347012</v>
      </c>
      <c r="AB1793" t="str">
        <f>HYPERLINK("Melting_Curves/meltCurve_P18583_10_SON.pdf", "Melting_Curves/meltCurve_P18583_10_SON.pdf")</f>
        <v>Melting_Curves/meltCurve_P18583_10_SON.pdf</v>
      </c>
    </row>
    <row r="1794" spans="1:28" x14ac:dyDescent="0.25">
      <c r="A1794" t="s">
        <v>1798</v>
      </c>
      <c r="B1794">
        <v>0.99987803227770999</v>
      </c>
      <c r="C1794">
        <v>1.02383619218313</v>
      </c>
      <c r="D1794">
        <v>1.0934320719044299</v>
      </c>
      <c r="E1794">
        <v>1.07537775554774</v>
      </c>
      <c r="F1794">
        <v>1.1167987490487199</v>
      </c>
      <c r="G1794">
        <v>0.93095283601710999</v>
      </c>
      <c r="H1794">
        <v>0.91487251790118196</v>
      </c>
      <c r="I1794">
        <v>0.88000890227556205</v>
      </c>
      <c r="J1794">
        <v>0.838277370187134</v>
      </c>
      <c r="K1794">
        <v>0.73871737958531603</v>
      </c>
      <c r="L1794">
        <v>1046.4575225308099</v>
      </c>
      <c r="M1794">
        <v>15.5329027795737</v>
      </c>
      <c r="O1794">
        <v>66.283369158537397</v>
      </c>
      <c r="P1794">
        <v>-2.27851794441922E-2</v>
      </c>
      <c r="Q1794">
        <v>0.61111059774357301</v>
      </c>
      <c r="R1794">
        <v>0.74918327987373601</v>
      </c>
      <c r="S1794" t="s">
        <v>8105</v>
      </c>
      <c r="T1794" t="s">
        <v>12620</v>
      </c>
      <c r="U1794" t="s">
        <v>12620</v>
      </c>
      <c r="V1794" t="s">
        <v>12620</v>
      </c>
      <c r="W1794" t="s">
        <v>14376</v>
      </c>
      <c r="X1794">
        <v>17</v>
      </c>
      <c r="Y1794" t="s">
        <v>20585</v>
      </c>
      <c r="Z1794" t="s">
        <v>26741</v>
      </c>
      <c r="AA1794">
        <v>0.94645499361919905</v>
      </c>
      <c r="AB1794" t="str">
        <f>HYPERLINK("Melting_Curves/meltCurve_P18615_NELFE.pdf", "Melting_Curves/meltCurve_P18615_NELFE.pdf")</f>
        <v>Melting_Curves/meltCurve_P18615_NELFE.pdf</v>
      </c>
    </row>
    <row r="1795" spans="1:28" x14ac:dyDescent="0.25">
      <c r="A1795" t="s">
        <v>1799</v>
      </c>
      <c r="B1795">
        <v>0.99987803227770999</v>
      </c>
      <c r="C1795">
        <v>0.92234993306333601</v>
      </c>
      <c r="D1795">
        <v>1.0812440435824</v>
      </c>
      <c r="E1795">
        <v>0.97637882527302</v>
      </c>
      <c r="F1795">
        <v>1.00805522576739</v>
      </c>
      <c r="G1795">
        <v>0.68940300553344802</v>
      </c>
      <c r="H1795">
        <v>0.18255400222368801</v>
      </c>
      <c r="I1795">
        <v>0.11448956778811099</v>
      </c>
      <c r="J1795">
        <v>7.4313198218267804E-2</v>
      </c>
      <c r="K1795">
        <v>5.6587279422330099E-2</v>
      </c>
      <c r="L1795">
        <v>2351.9866360477399</v>
      </c>
      <c r="M1795">
        <v>40.557411715353197</v>
      </c>
      <c r="N1795">
        <v>58.2175340774685</v>
      </c>
      <c r="O1795">
        <v>57.851085520214397</v>
      </c>
      <c r="P1795">
        <v>-0.16250094647109101</v>
      </c>
      <c r="Q1795">
        <v>7.2836536077662495E-2</v>
      </c>
      <c r="R1795">
        <v>0.99180381190149203</v>
      </c>
      <c r="S1795" t="s">
        <v>8106</v>
      </c>
      <c r="T1795" t="s">
        <v>12620</v>
      </c>
      <c r="U1795" t="s">
        <v>12620</v>
      </c>
      <c r="V1795" t="s">
        <v>12620</v>
      </c>
      <c r="W1795" t="s">
        <v>14377</v>
      </c>
      <c r="X1795">
        <v>19</v>
      </c>
      <c r="Y1795" t="s">
        <v>20586</v>
      </c>
      <c r="Z1795" t="s">
        <v>26742</v>
      </c>
      <c r="AA1795">
        <v>0.63242309235334349</v>
      </c>
      <c r="AB1795" t="str">
        <f>HYPERLINK("Melting_Curves/meltCurve_P18669_PGAM1.pdf", "Melting_Curves/meltCurve_P18669_PGAM1.pdf")</f>
        <v>Melting_Curves/meltCurve_P18669_PGAM1.pdf</v>
      </c>
    </row>
    <row r="1796" spans="1:28" x14ac:dyDescent="0.25">
      <c r="A1796" t="s">
        <v>1800</v>
      </c>
      <c r="B1796">
        <v>0.99987803227770999</v>
      </c>
      <c r="C1796">
        <v>0.96510604026607205</v>
      </c>
      <c r="D1796">
        <v>1.1176024463374199</v>
      </c>
      <c r="E1796">
        <v>1.1005904897602801</v>
      </c>
      <c r="F1796">
        <v>1.6060966311196301</v>
      </c>
      <c r="G1796">
        <v>1.1262999400354201</v>
      </c>
      <c r="H1796">
        <v>1.07361175850589</v>
      </c>
      <c r="I1796">
        <v>0.87989424539563399</v>
      </c>
      <c r="J1796">
        <v>1.0057230957722501</v>
      </c>
      <c r="K1796">
        <v>0.86959117491015103</v>
      </c>
      <c r="L1796">
        <v>2161.4307241625202</v>
      </c>
      <c r="M1796">
        <v>28.9305257405817</v>
      </c>
      <c r="Q1796">
        <v>0</v>
      </c>
      <c r="R1796">
        <v>-9.8656257588469506E-2</v>
      </c>
      <c r="S1796" t="s">
        <v>8107</v>
      </c>
      <c r="T1796" t="s">
        <v>12620</v>
      </c>
      <c r="U1796" t="s">
        <v>12620</v>
      </c>
      <c r="V1796" t="s">
        <v>12620</v>
      </c>
      <c r="W1796" t="s">
        <v>14378</v>
      </c>
      <c r="X1796">
        <v>2</v>
      </c>
      <c r="Y1796" t="s">
        <v>20587</v>
      </c>
      <c r="Z1796" t="s">
        <v>26743</v>
      </c>
      <c r="AA1796">
        <v>0.99053602894594373</v>
      </c>
      <c r="AB1796" t="str">
        <f>HYPERLINK("Melting_Curves/meltCurve_P18827_SDC1.pdf", "Melting_Curves/meltCurve_P18827_SDC1.pdf")</f>
        <v>Melting_Curves/meltCurve_P18827_SDC1.pdf</v>
      </c>
    </row>
    <row r="1797" spans="1:28" x14ac:dyDescent="0.25">
      <c r="A1797" t="s">
        <v>1801</v>
      </c>
      <c r="B1797">
        <v>0.99987803227770999</v>
      </c>
      <c r="C1797">
        <v>0.85677753891626796</v>
      </c>
      <c r="D1797">
        <v>0.95696988775221803</v>
      </c>
      <c r="E1797">
        <v>0.83432812704724602</v>
      </c>
      <c r="F1797">
        <v>1.0230181244405401</v>
      </c>
      <c r="G1797">
        <v>0.703077862715346</v>
      </c>
      <c r="H1797">
        <v>1.1554228332982901</v>
      </c>
      <c r="I1797">
        <v>0.85896020780356497</v>
      </c>
      <c r="J1797">
        <v>1.1049618952374201</v>
      </c>
      <c r="K1797">
        <v>0.85874878852723002</v>
      </c>
      <c r="L1797">
        <v>10223.248937627501</v>
      </c>
      <c r="M1797">
        <v>250</v>
      </c>
      <c r="O1797">
        <v>40.890378881211902</v>
      </c>
      <c r="P1797">
        <v>-0.110005194019947</v>
      </c>
      <c r="Q1797">
        <v>0.92802953510603003</v>
      </c>
      <c r="R1797">
        <v>2.7081885623136698E-2</v>
      </c>
      <c r="S1797" t="s">
        <v>8108</v>
      </c>
      <c r="T1797" t="s">
        <v>12620</v>
      </c>
      <c r="U1797" t="s">
        <v>12620</v>
      </c>
      <c r="V1797" t="s">
        <v>12620</v>
      </c>
      <c r="W1797" t="s">
        <v>14379</v>
      </c>
      <c r="X1797">
        <v>4</v>
      </c>
      <c r="Y1797" t="s">
        <v>20588</v>
      </c>
      <c r="Z1797" t="s">
        <v>26744</v>
      </c>
      <c r="AA1797">
        <v>0.93017841194931761</v>
      </c>
      <c r="AB1797" t="str">
        <f>HYPERLINK("Melting_Curves/meltCurve_P18846_ATF1.pdf", "Melting_Curves/meltCurve_P18846_ATF1.pdf")</f>
        <v>Melting_Curves/meltCurve_P18846_ATF1.pdf</v>
      </c>
    </row>
    <row r="1798" spans="1:28" x14ac:dyDescent="0.25">
      <c r="A1798" t="s">
        <v>1802</v>
      </c>
      <c r="B1798">
        <v>0.99987803227770999</v>
      </c>
      <c r="C1798">
        <v>0.97282527253836804</v>
      </c>
      <c r="D1798">
        <v>0.92848371064861002</v>
      </c>
      <c r="E1798">
        <v>0.61401371225192503</v>
      </c>
      <c r="F1798">
        <v>0.26854356405697899</v>
      </c>
      <c r="G1798">
        <v>0.187512100490179</v>
      </c>
      <c r="H1798">
        <v>0.12574901116395801</v>
      </c>
      <c r="I1798">
        <v>0.110131147753119</v>
      </c>
      <c r="J1798">
        <v>9.6652281531779696E-2</v>
      </c>
      <c r="K1798">
        <v>6.8768343176031504E-2</v>
      </c>
      <c r="L1798">
        <v>1305.5804680386</v>
      </c>
      <c r="M1798">
        <v>25.896438185634</v>
      </c>
      <c r="N1798">
        <v>50.8633597055601</v>
      </c>
      <c r="O1798">
        <v>50.117697639941298</v>
      </c>
      <c r="P1798">
        <v>-0.116008995822368</v>
      </c>
      <c r="Q1798">
        <v>0.101955977179416</v>
      </c>
      <c r="R1798">
        <v>0.99666272494048203</v>
      </c>
      <c r="S1798" t="s">
        <v>8109</v>
      </c>
      <c r="T1798" t="s">
        <v>12620</v>
      </c>
      <c r="U1798" t="s">
        <v>12620</v>
      </c>
      <c r="V1798" t="s">
        <v>12620</v>
      </c>
      <c r="W1798" t="s">
        <v>14380</v>
      </c>
      <c r="X1798">
        <v>37</v>
      </c>
      <c r="Y1798" t="s">
        <v>18996</v>
      </c>
      <c r="Z1798" t="s">
        <v>26745</v>
      </c>
      <c r="AA1798">
        <v>0.42125439346416271</v>
      </c>
      <c r="AB1798" t="str">
        <f>HYPERLINK("Melting_Curves/meltCurve_P18858_LIG1.pdf", "Melting_Curves/meltCurve_P18858_LIG1.pdf")</f>
        <v>Melting_Curves/meltCurve_P18858_LIG1.pdf</v>
      </c>
    </row>
    <row r="1799" spans="1:28" x14ac:dyDescent="0.25">
      <c r="A1799" t="s">
        <v>1803</v>
      </c>
      <c r="B1799">
        <v>0.99987803227770999</v>
      </c>
      <c r="C1799">
        <v>0.88614643604473398</v>
      </c>
      <c r="D1799">
        <v>0.893346905123374</v>
      </c>
      <c r="E1799">
        <v>0.55512070670592395</v>
      </c>
      <c r="F1799">
        <v>0.33373037201969602</v>
      </c>
      <c r="G1799">
        <v>0.15736285597265101</v>
      </c>
      <c r="H1799">
        <v>0.136317002981964</v>
      </c>
      <c r="I1799">
        <v>0.13094696481326601</v>
      </c>
      <c r="J1799">
        <v>0.104925737885651</v>
      </c>
      <c r="K1799">
        <v>8.2730813039616796E-2</v>
      </c>
      <c r="L1799">
        <v>948.28469256124094</v>
      </c>
      <c r="M1799">
        <v>18.922553711784001</v>
      </c>
      <c r="N1799">
        <v>50.678868104167101</v>
      </c>
      <c r="O1799">
        <v>49.564354718620898</v>
      </c>
      <c r="P1799">
        <v>-8.6373184227128696E-2</v>
      </c>
      <c r="Q1799">
        <v>9.5078095240783506E-2</v>
      </c>
      <c r="R1799">
        <v>0.99313161291912899</v>
      </c>
      <c r="S1799" t="s">
        <v>8110</v>
      </c>
      <c r="T1799" t="s">
        <v>12620</v>
      </c>
      <c r="U1799" t="s">
        <v>12620</v>
      </c>
      <c r="V1799" t="s">
        <v>12620</v>
      </c>
      <c r="W1799" t="s">
        <v>14381</v>
      </c>
      <c r="X1799">
        <v>17</v>
      </c>
      <c r="Y1799" t="s">
        <v>20589</v>
      </c>
      <c r="Z1799" t="s">
        <v>26746</v>
      </c>
      <c r="AA1799">
        <v>0.41416917295419359</v>
      </c>
      <c r="AB1799" t="str">
        <f>HYPERLINK("Melting_Curves/meltCurve_P18887_XRCC1.pdf", "Melting_Curves/meltCurve_P18887_XRCC1.pdf")</f>
        <v>Melting_Curves/meltCurve_P18887_XRCC1.pdf</v>
      </c>
    </row>
    <row r="1800" spans="1:28" x14ac:dyDescent="0.25">
      <c r="A1800" t="s">
        <v>1804</v>
      </c>
      <c r="B1800">
        <v>0.99987803227770999</v>
      </c>
      <c r="C1800">
        <v>1.13225153949121</v>
      </c>
      <c r="D1800">
        <v>0.82515915602309697</v>
      </c>
      <c r="E1800">
        <v>1.1614172916835499</v>
      </c>
      <c r="F1800">
        <v>0.79361699300016597</v>
      </c>
      <c r="G1800">
        <v>0.84932700441972497</v>
      </c>
      <c r="H1800">
        <v>0.65283654045972295</v>
      </c>
      <c r="I1800">
        <v>0.78957733152417198</v>
      </c>
      <c r="J1800">
        <v>0.52251351241775501</v>
      </c>
      <c r="K1800">
        <v>0.45957470171349402</v>
      </c>
      <c r="L1800">
        <v>550.47203987147304</v>
      </c>
      <c r="M1800">
        <v>7.9712909844617803</v>
      </c>
      <c r="N1800">
        <v>69.056824163235603</v>
      </c>
      <c r="O1800">
        <v>65.116892432643397</v>
      </c>
      <c r="P1800">
        <v>-3.0638859326932701E-2</v>
      </c>
      <c r="Q1800">
        <v>0</v>
      </c>
      <c r="R1800">
        <v>0.73576828680871298</v>
      </c>
      <c r="S1800" t="s">
        <v>8111</v>
      </c>
      <c r="T1800" t="s">
        <v>12620</v>
      </c>
      <c r="U1800" t="s">
        <v>12620</v>
      </c>
      <c r="V1800" t="s">
        <v>12620</v>
      </c>
      <c r="W1800" t="s">
        <v>14382</v>
      </c>
      <c r="X1800">
        <v>12</v>
      </c>
      <c r="Y1800" t="s">
        <v>20590</v>
      </c>
      <c r="Z1800" t="s">
        <v>26747</v>
      </c>
      <c r="AA1800">
        <v>0.82705421883246699</v>
      </c>
      <c r="AB1800" t="str">
        <f>HYPERLINK("Melting_Curves/meltCurve_P19105_MYL12A.pdf", "Melting_Curves/meltCurve_P19105_MYL12A.pdf")</f>
        <v>Melting_Curves/meltCurve_P19105_MYL12A.pdf</v>
      </c>
    </row>
    <row r="1801" spans="1:28" x14ac:dyDescent="0.25">
      <c r="A1801" t="s">
        <v>1805</v>
      </c>
      <c r="B1801">
        <v>0.99987803227770999</v>
      </c>
      <c r="C1801">
        <v>1.13128537534648</v>
      </c>
      <c r="D1801">
        <v>0.99154166559106405</v>
      </c>
      <c r="E1801">
        <v>0.87911929293325097</v>
      </c>
      <c r="F1801">
        <v>0.27231488901985301</v>
      </c>
      <c r="G1801">
        <v>0.17937669449604399</v>
      </c>
      <c r="H1801">
        <v>0.13028196571103501</v>
      </c>
      <c r="I1801">
        <v>0.12693001732725401</v>
      </c>
      <c r="J1801">
        <v>8.3595482824504297E-2</v>
      </c>
      <c r="K1801">
        <v>6.1438667487634699E-2</v>
      </c>
      <c r="L1801">
        <v>2929.1144951546798</v>
      </c>
      <c r="M1801">
        <v>56.765235434838601</v>
      </c>
      <c r="N1801">
        <v>51.838759073463699</v>
      </c>
      <c r="O1801">
        <v>51.536581048092501</v>
      </c>
      <c r="P1801">
        <v>-0.24374506240873101</v>
      </c>
      <c r="Q1801">
        <v>0.11482584795292999</v>
      </c>
      <c r="R1801">
        <v>0.98622191940038395</v>
      </c>
      <c r="S1801" t="s">
        <v>8112</v>
      </c>
      <c r="T1801" t="s">
        <v>12620</v>
      </c>
      <c r="U1801" t="s">
        <v>12620</v>
      </c>
      <c r="V1801" t="s">
        <v>12620</v>
      </c>
      <c r="W1801" t="s">
        <v>14383</v>
      </c>
      <c r="X1801">
        <v>20</v>
      </c>
      <c r="Y1801" t="s">
        <v>20591</v>
      </c>
      <c r="Z1801" t="s">
        <v>26748</v>
      </c>
      <c r="AA1801">
        <v>0.45866907986769689</v>
      </c>
      <c r="AB1801" t="str">
        <f>HYPERLINK("Melting_Curves/meltCurve_P19174_2_PLCG1.pdf", "Melting_Curves/meltCurve_P19174_2_PLCG1.pdf")</f>
        <v>Melting_Curves/meltCurve_P19174_2_PLCG1.pdf</v>
      </c>
    </row>
    <row r="1802" spans="1:28" x14ac:dyDescent="0.25">
      <c r="A1802" t="s">
        <v>1806</v>
      </c>
      <c r="B1802">
        <v>0.99987803227770999</v>
      </c>
      <c r="C1802">
        <v>1.0786636338336999</v>
      </c>
      <c r="D1802">
        <v>1.1467285150148601</v>
      </c>
      <c r="E1802">
        <v>1.3927682548103</v>
      </c>
      <c r="F1802">
        <v>1.4062756108427199</v>
      </c>
      <c r="G1802">
        <v>1.2577098259297099</v>
      </c>
      <c r="H1802">
        <v>1.65603099077542</v>
      </c>
      <c r="I1802">
        <v>1.3984083009121999</v>
      </c>
      <c r="J1802">
        <v>1.3927287675674</v>
      </c>
      <c r="K1802">
        <v>1.05428465213333</v>
      </c>
      <c r="L1802">
        <v>1774.25226442699</v>
      </c>
      <c r="M1802">
        <v>38.398954138827698</v>
      </c>
      <c r="O1802">
        <v>46.080960545585697</v>
      </c>
      <c r="P1802">
        <v>7.6509336132937894E-2</v>
      </c>
      <c r="Q1802">
        <v>1.3672615751008099</v>
      </c>
      <c r="R1802">
        <v>0.47333810955496602</v>
      </c>
      <c r="S1802" t="s">
        <v>8113</v>
      </c>
      <c r="T1802" t="s">
        <v>12620</v>
      </c>
      <c r="U1802" t="s">
        <v>12620</v>
      </c>
      <c r="V1802" t="s">
        <v>12620</v>
      </c>
      <c r="W1802" t="s">
        <v>14384</v>
      </c>
      <c r="X1802">
        <v>42</v>
      </c>
      <c r="Y1802" t="s">
        <v>20592</v>
      </c>
      <c r="Z1802" t="s">
        <v>26749</v>
      </c>
      <c r="AA1802">
        <v>1.2899891140361011</v>
      </c>
      <c r="AB1802" t="str">
        <f>HYPERLINK("Melting_Curves/meltCurve_P19338_NCL.pdf", "Melting_Curves/meltCurve_P19338_NCL.pdf")</f>
        <v>Melting_Curves/meltCurve_P19338_NCL.pdf</v>
      </c>
    </row>
    <row r="1803" spans="1:28" x14ac:dyDescent="0.25">
      <c r="A1803" t="s">
        <v>1807</v>
      </c>
      <c r="B1803">
        <v>0.99987803227770999</v>
      </c>
      <c r="C1803">
        <v>1.0463380129828801</v>
      </c>
      <c r="D1803">
        <v>0.85453112831942701</v>
      </c>
      <c r="E1803">
        <v>0.65212915065485599</v>
      </c>
      <c r="F1803">
        <v>0.21848323703619399</v>
      </c>
      <c r="G1803">
        <v>0.15138432956544501</v>
      </c>
      <c r="H1803">
        <v>0.101833740463043</v>
      </c>
      <c r="I1803">
        <v>8.2131771316988803E-2</v>
      </c>
      <c r="J1803">
        <v>6.6085294517670701E-2</v>
      </c>
      <c r="K1803">
        <v>4.7787835963434402E-2</v>
      </c>
      <c r="L1803">
        <v>1329.0002242067401</v>
      </c>
      <c r="M1803">
        <v>26.3164355154872</v>
      </c>
      <c r="N1803">
        <v>50.800054315009199</v>
      </c>
      <c r="O1803">
        <v>50.211867792230798</v>
      </c>
      <c r="P1803">
        <v>-0.121619219582947</v>
      </c>
      <c r="Q1803">
        <v>7.1810287712756604E-2</v>
      </c>
      <c r="R1803">
        <v>0.98808943311937403</v>
      </c>
      <c r="S1803" t="s">
        <v>8114</v>
      </c>
      <c r="T1803" t="s">
        <v>12620</v>
      </c>
      <c r="U1803" t="s">
        <v>12620</v>
      </c>
      <c r="V1803" t="s">
        <v>12620</v>
      </c>
      <c r="W1803" t="s">
        <v>14385</v>
      </c>
      <c r="X1803">
        <v>38</v>
      </c>
      <c r="Y1803" t="s">
        <v>20593</v>
      </c>
      <c r="Z1803" t="s">
        <v>26750</v>
      </c>
      <c r="AA1803">
        <v>0.40422910974981757</v>
      </c>
      <c r="AB1803" t="str">
        <f>HYPERLINK("Melting_Curves/meltCurve_P19367_4_HK1.pdf", "Melting_Curves/meltCurve_P19367_4_HK1.pdf")</f>
        <v>Melting_Curves/meltCurve_P19367_4_HK1.pdf</v>
      </c>
    </row>
    <row r="1804" spans="1:28" x14ac:dyDescent="0.25">
      <c r="A1804" t="s">
        <v>1808</v>
      </c>
      <c r="B1804">
        <v>0.99987803227770999</v>
      </c>
      <c r="C1804">
        <v>0.76492613125646503</v>
      </c>
      <c r="D1804">
        <v>0.58906400120622404</v>
      </c>
      <c r="E1804">
        <v>0.47268202567522299</v>
      </c>
      <c r="F1804">
        <v>0.30489938758780399</v>
      </c>
      <c r="G1804">
        <v>0.22318116369555799</v>
      </c>
      <c r="H1804">
        <v>0.13977684870818299</v>
      </c>
      <c r="I1804">
        <v>0.14123063125513999</v>
      </c>
      <c r="J1804">
        <v>0.112779442346018</v>
      </c>
      <c r="K1804">
        <v>7.0026928971173005E-2</v>
      </c>
      <c r="L1804">
        <v>526.71222101557498</v>
      </c>
      <c r="M1804">
        <v>10.979666877560399</v>
      </c>
      <c r="N1804">
        <v>48.623113340208</v>
      </c>
      <c r="O1804">
        <v>46.462658234200902</v>
      </c>
      <c r="P1804">
        <v>-5.50553429161319E-2</v>
      </c>
      <c r="Q1804">
        <v>6.8405740400124398E-2</v>
      </c>
      <c r="R1804">
        <v>0.98229238026486598</v>
      </c>
      <c r="S1804" t="s">
        <v>8115</v>
      </c>
      <c r="T1804" t="s">
        <v>12620</v>
      </c>
      <c r="U1804" t="s">
        <v>12620</v>
      </c>
      <c r="V1804" t="s">
        <v>12620</v>
      </c>
      <c r="W1804" t="s">
        <v>14386</v>
      </c>
      <c r="X1804">
        <v>4</v>
      </c>
      <c r="Y1804" t="s">
        <v>20594</v>
      </c>
      <c r="Z1804" t="s">
        <v>26751</v>
      </c>
      <c r="AA1804">
        <v>0.35849579129086367</v>
      </c>
      <c r="AB1804" t="str">
        <f>HYPERLINK("Melting_Curves/meltCurve_P19387_POLR2C.pdf", "Melting_Curves/meltCurve_P19387_POLR2C.pdf")</f>
        <v>Melting_Curves/meltCurve_P19387_POLR2C.pdf</v>
      </c>
    </row>
    <row r="1805" spans="1:28" x14ac:dyDescent="0.25">
      <c r="A1805" t="s">
        <v>1809</v>
      </c>
      <c r="B1805">
        <v>0.99987803227770999</v>
      </c>
      <c r="C1805">
        <v>0.88425070826339303</v>
      </c>
      <c r="D1805">
        <v>1.0959677853218801</v>
      </c>
      <c r="E1805">
        <v>0.65560985798081695</v>
      </c>
      <c r="F1805">
        <v>0.42512843655819199</v>
      </c>
      <c r="G1805">
        <v>0.24598978708299701</v>
      </c>
      <c r="H1805">
        <v>0.176971827800806</v>
      </c>
      <c r="I1805">
        <v>0.15882073727552201</v>
      </c>
      <c r="J1805">
        <v>0.156759790323864</v>
      </c>
      <c r="K1805">
        <v>0.112914605678549</v>
      </c>
      <c r="L1805">
        <v>1303.4353134826999</v>
      </c>
      <c r="M1805">
        <v>25.4289635859217</v>
      </c>
      <c r="N1805">
        <v>52.0052559192941</v>
      </c>
      <c r="O1805">
        <v>50.9440563222363</v>
      </c>
      <c r="P1805">
        <v>-0.105690778085195</v>
      </c>
      <c r="Q1805">
        <v>0.15305250298929801</v>
      </c>
      <c r="R1805">
        <v>0.97198167615989906</v>
      </c>
      <c r="S1805" t="s">
        <v>8116</v>
      </c>
      <c r="T1805" t="s">
        <v>12620</v>
      </c>
      <c r="U1805" t="s">
        <v>12620</v>
      </c>
      <c r="V1805" t="s">
        <v>12620</v>
      </c>
      <c r="W1805" t="s">
        <v>14387</v>
      </c>
      <c r="X1805">
        <v>7</v>
      </c>
      <c r="Y1805" t="s">
        <v>20595</v>
      </c>
      <c r="Z1805" t="s">
        <v>26752</v>
      </c>
      <c r="AA1805">
        <v>0.47830205795882957</v>
      </c>
      <c r="AB1805" t="str">
        <f>HYPERLINK("Melting_Curves/meltCurve_P19388_POLR2E.pdf", "Melting_Curves/meltCurve_P19388_POLR2E.pdf")</f>
        <v>Melting_Curves/meltCurve_P19388_POLR2E.pdf</v>
      </c>
    </row>
    <row r="1806" spans="1:28" x14ac:dyDescent="0.25">
      <c r="A1806" t="s">
        <v>1810</v>
      </c>
      <c r="B1806">
        <v>0.99987803227770999</v>
      </c>
      <c r="C1806">
        <v>0.92323010782183501</v>
      </c>
      <c r="D1806">
        <v>1.0219301139229899</v>
      </c>
      <c r="E1806">
        <v>0.90096764155422704</v>
      </c>
      <c r="F1806">
        <v>1.01920409923077</v>
      </c>
      <c r="G1806">
        <v>0.81736601887605298</v>
      </c>
      <c r="H1806">
        <v>0.71308098153719102</v>
      </c>
      <c r="I1806">
        <v>0.59314596195438196</v>
      </c>
      <c r="J1806">
        <v>0.41295122176584398</v>
      </c>
      <c r="K1806">
        <v>0.23190335583018801</v>
      </c>
      <c r="L1806">
        <v>890.45808646895398</v>
      </c>
      <c r="M1806">
        <v>13.696549077153801</v>
      </c>
      <c r="N1806">
        <v>65.013317030073296</v>
      </c>
      <c r="O1806">
        <v>63.674403214409502</v>
      </c>
      <c r="P1806">
        <v>-5.37834779717659E-2</v>
      </c>
      <c r="Q1806">
        <v>0</v>
      </c>
      <c r="R1806">
        <v>0.96479714055756605</v>
      </c>
      <c r="S1806" t="s">
        <v>8117</v>
      </c>
      <c r="T1806" t="s">
        <v>12620</v>
      </c>
      <c r="U1806" t="s">
        <v>12620</v>
      </c>
      <c r="V1806" t="s">
        <v>12620</v>
      </c>
      <c r="W1806" t="s">
        <v>14388</v>
      </c>
      <c r="X1806">
        <v>6</v>
      </c>
      <c r="Y1806" t="s">
        <v>20596</v>
      </c>
      <c r="Z1806" t="s">
        <v>26753</v>
      </c>
      <c r="AA1806">
        <v>0.80271599680206085</v>
      </c>
      <c r="AB1806" t="str">
        <f>HYPERLINK("Melting_Curves/meltCurve_P19404_NDUFV2.pdf", "Melting_Curves/meltCurve_P19404_NDUFV2.pdf")</f>
        <v>Melting_Curves/meltCurve_P19404_NDUFV2.pdf</v>
      </c>
    </row>
    <row r="1807" spans="1:28" x14ac:dyDescent="0.25">
      <c r="A1807" t="s">
        <v>1811</v>
      </c>
      <c r="B1807">
        <v>0.99987803227770999</v>
      </c>
      <c r="C1807">
        <v>1.00089222452149</v>
      </c>
      <c r="D1807">
        <v>0.98207591291349094</v>
      </c>
      <c r="E1807">
        <v>1.0113847613540099</v>
      </c>
      <c r="F1807">
        <v>0.91586787821576399</v>
      </c>
      <c r="G1807">
        <v>1.10232153598307</v>
      </c>
      <c r="H1807">
        <v>0.88893517224664598</v>
      </c>
      <c r="I1807">
        <v>1.6908838481373201</v>
      </c>
      <c r="J1807">
        <v>0.31175068833739999</v>
      </c>
      <c r="K1807">
        <v>0.33156287782155702</v>
      </c>
      <c r="L1807">
        <v>15000</v>
      </c>
      <c r="M1807">
        <v>227.349093121935</v>
      </c>
      <c r="N1807">
        <v>66.262738843461705</v>
      </c>
      <c r="O1807">
        <v>65.972739082359098</v>
      </c>
      <c r="P1807">
        <v>-0.592832457426129</v>
      </c>
      <c r="Q1807">
        <v>0.31188161024224997</v>
      </c>
      <c r="R1807">
        <v>0.62815182912446299</v>
      </c>
      <c r="S1807" t="s">
        <v>8118</v>
      </c>
      <c r="T1807" t="s">
        <v>12620</v>
      </c>
      <c r="U1807" t="s">
        <v>12620</v>
      </c>
      <c r="V1807" t="s">
        <v>12620</v>
      </c>
      <c r="W1807" t="s">
        <v>14389</v>
      </c>
      <c r="X1807">
        <v>2</v>
      </c>
      <c r="Y1807" t="s">
        <v>20597</v>
      </c>
      <c r="Z1807" t="s">
        <v>26754</v>
      </c>
      <c r="AA1807">
        <v>0.90783871353142542</v>
      </c>
      <c r="AB1807" t="str">
        <f>HYPERLINK("Melting_Curves/meltCurve_P19419_ELK1.pdf", "Melting_Curves/meltCurve_P19419_ELK1.pdf")</f>
        <v>Melting_Curves/meltCurve_P19419_ELK1.pdf</v>
      </c>
    </row>
    <row r="1808" spans="1:28" x14ac:dyDescent="0.25">
      <c r="A1808" t="s">
        <v>1812</v>
      </c>
      <c r="B1808">
        <v>0.99987803227770999</v>
      </c>
      <c r="C1808">
        <v>1.0639451519710299</v>
      </c>
      <c r="D1808">
        <v>0.984003290746434</v>
      </c>
      <c r="E1808">
        <v>1.0027869854479801</v>
      </c>
      <c r="F1808">
        <v>0.72371806622219004</v>
      </c>
      <c r="G1808">
        <v>0.82155171115516401</v>
      </c>
      <c r="H1808">
        <v>0.58540975542677498</v>
      </c>
      <c r="I1808">
        <v>0.54261175048559296</v>
      </c>
      <c r="J1808">
        <v>0.41661504705931501</v>
      </c>
      <c r="K1808">
        <v>0.28885246546253701</v>
      </c>
      <c r="L1808">
        <v>582.15999484669896</v>
      </c>
      <c r="M1808">
        <v>9.0753478849021292</v>
      </c>
      <c r="N1808">
        <v>64.147395186118899</v>
      </c>
      <c r="O1808">
        <v>61.2627931471377</v>
      </c>
      <c r="P1808">
        <v>-3.7060560483686299E-2</v>
      </c>
      <c r="Q1808">
        <v>0</v>
      </c>
      <c r="R1808">
        <v>0.94056694196361801</v>
      </c>
      <c r="S1808" t="s">
        <v>8119</v>
      </c>
      <c r="T1808" t="s">
        <v>12620</v>
      </c>
      <c r="U1808" t="s">
        <v>12620</v>
      </c>
      <c r="V1808" t="s">
        <v>12620</v>
      </c>
      <c r="W1808" t="s">
        <v>14390</v>
      </c>
      <c r="X1808">
        <v>3</v>
      </c>
      <c r="Y1808" t="s">
        <v>20598</v>
      </c>
      <c r="Z1808" t="s">
        <v>26755</v>
      </c>
      <c r="AA1808">
        <v>0.75280094382317508</v>
      </c>
      <c r="AB1808" t="str">
        <f>HYPERLINK("Melting_Curves/meltCurve_P19440_GGT1.pdf", "Melting_Curves/meltCurve_P19440_GGT1.pdf")</f>
        <v>Melting_Curves/meltCurve_P19440_GGT1.pdf</v>
      </c>
    </row>
    <row r="1809" spans="1:28" x14ac:dyDescent="0.25">
      <c r="A1809" t="s">
        <v>1813</v>
      </c>
      <c r="B1809">
        <v>0.99987803227770999</v>
      </c>
      <c r="C1809">
        <v>1.0634207572518699</v>
      </c>
      <c r="D1809">
        <v>0.68641568104887496</v>
      </c>
      <c r="E1809">
        <v>0.53879699227682798</v>
      </c>
      <c r="F1809">
        <v>0.24223208971785801</v>
      </c>
      <c r="G1809">
        <v>0.11270602720792899</v>
      </c>
      <c r="H1809">
        <v>8.6162439130441498E-2</v>
      </c>
      <c r="I1809">
        <v>7.5788031419378205E-2</v>
      </c>
      <c r="J1809">
        <v>6.5305579686545101E-2</v>
      </c>
      <c r="K1809">
        <v>5.5342804647347699E-2</v>
      </c>
      <c r="L1809">
        <v>882.94922772350697</v>
      </c>
      <c r="M1809">
        <v>17.8897076616826</v>
      </c>
      <c r="N1809">
        <v>49.661890964298401</v>
      </c>
      <c r="O1809">
        <v>48.750841082161202</v>
      </c>
      <c r="P1809">
        <v>-8.69463782750165E-2</v>
      </c>
      <c r="Q1809">
        <v>5.2305406303158698E-2</v>
      </c>
      <c r="R1809">
        <v>0.97684199306087904</v>
      </c>
      <c r="S1809" t="s">
        <v>8120</v>
      </c>
      <c r="T1809" t="s">
        <v>12620</v>
      </c>
      <c r="U1809" t="s">
        <v>12620</v>
      </c>
      <c r="V1809" t="s">
        <v>12620</v>
      </c>
      <c r="W1809" t="s">
        <v>14391</v>
      </c>
      <c r="X1809">
        <v>2</v>
      </c>
      <c r="Y1809" t="s">
        <v>20599</v>
      </c>
      <c r="Z1809" t="s">
        <v>26756</v>
      </c>
      <c r="AA1809">
        <v>0.36434373297028311</v>
      </c>
      <c r="AB1809" t="str">
        <f>HYPERLINK("Melting_Curves/meltCurve_P19447_ERCC3.pdf", "Melting_Curves/meltCurve_P19447_ERCC3.pdf")</f>
        <v>Melting_Curves/meltCurve_P19447_ERCC3.pdf</v>
      </c>
    </row>
    <row r="1810" spans="1:28" x14ac:dyDescent="0.25">
      <c r="A1810" t="s">
        <v>1814</v>
      </c>
      <c r="B1810">
        <v>0.99987803227770999</v>
      </c>
      <c r="C1810">
        <v>0.60770955297166596</v>
      </c>
      <c r="D1810">
        <v>0.44393677021080302</v>
      </c>
      <c r="E1810">
        <v>0.35935047886826699</v>
      </c>
      <c r="F1810">
        <v>0.25988618205778202</v>
      </c>
      <c r="G1810">
        <v>0.15023422507040399</v>
      </c>
      <c r="H1810">
        <v>0.111461017538648</v>
      </c>
      <c r="I1810">
        <v>9.7292803736605205E-2</v>
      </c>
      <c r="J1810">
        <v>8.9386046742130604E-2</v>
      </c>
      <c r="K1810">
        <v>7.0785198191379406E-2</v>
      </c>
      <c r="L1810">
        <v>571.63161942752697</v>
      </c>
      <c r="M1810">
        <v>12.605410159883199</v>
      </c>
      <c r="N1810">
        <v>46.018547634584003</v>
      </c>
      <c r="O1810">
        <v>44.2522183108264</v>
      </c>
      <c r="P1810">
        <v>-6.5252726264715399E-2</v>
      </c>
      <c r="Q1810">
        <v>8.38841596933807E-2</v>
      </c>
      <c r="R1810">
        <v>0.95157449891155199</v>
      </c>
      <c r="S1810" t="s">
        <v>8121</v>
      </c>
      <c r="T1810" t="s">
        <v>12620</v>
      </c>
      <c r="U1810" t="s">
        <v>12620</v>
      </c>
      <c r="V1810" t="s">
        <v>12620</v>
      </c>
      <c r="W1810" t="s">
        <v>14392</v>
      </c>
      <c r="X1810">
        <v>9</v>
      </c>
      <c r="Y1810" t="s">
        <v>20600</v>
      </c>
      <c r="Z1810" t="s">
        <v>26757</v>
      </c>
      <c r="AA1810">
        <v>0.28750416256682709</v>
      </c>
      <c r="AB1810" t="str">
        <f>HYPERLINK("Melting_Curves/meltCurve_P19525_EIF2AK2.pdf", "Melting_Curves/meltCurve_P19525_EIF2AK2.pdf")</f>
        <v>Melting_Curves/meltCurve_P19525_EIF2AK2.pdf</v>
      </c>
    </row>
    <row r="1811" spans="1:28" x14ac:dyDescent="0.25">
      <c r="A1811" t="s">
        <v>1815</v>
      </c>
      <c r="B1811">
        <v>0.99987803227770999</v>
      </c>
      <c r="C1811">
        <v>1.06419602330537</v>
      </c>
      <c r="D1811">
        <v>1.21645710855169</v>
      </c>
      <c r="E1811">
        <v>0.98457757823185599</v>
      </c>
      <c r="F1811">
        <v>0.927792113128453</v>
      </c>
      <c r="G1811">
        <v>0.70766795654207104</v>
      </c>
      <c r="H1811">
        <v>0.68226573773655397</v>
      </c>
      <c r="I1811">
        <v>0.79237185558409595</v>
      </c>
      <c r="J1811">
        <v>0.60259362402358196</v>
      </c>
      <c r="K1811">
        <v>0.43420541716991301</v>
      </c>
      <c r="L1811">
        <v>590.19696503510397</v>
      </c>
      <c r="M1811">
        <v>8.8572158421198797</v>
      </c>
      <c r="N1811">
        <v>69.684388169901794</v>
      </c>
      <c r="O1811">
        <v>63.5001721014483</v>
      </c>
      <c r="P1811">
        <v>-2.9290622934249999E-2</v>
      </c>
      <c r="Q1811">
        <v>0.160672713340347</v>
      </c>
      <c r="R1811">
        <v>0.79389317061826903</v>
      </c>
      <c r="S1811" t="s">
        <v>8122</v>
      </c>
      <c r="T1811" t="s">
        <v>12620</v>
      </c>
      <c r="U1811" t="s">
        <v>12620</v>
      </c>
      <c r="V1811" t="s">
        <v>12620</v>
      </c>
      <c r="W1811" t="s">
        <v>14393</v>
      </c>
      <c r="X1811">
        <v>7</v>
      </c>
      <c r="Y1811" t="s">
        <v>20601</v>
      </c>
      <c r="Z1811" t="s">
        <v>26758</v>
      </c>
      <c r="AA1811">
        <v>0.83119413636225403</v>
      </c>
      <c r="AB1811" t="str">
        <f>HYPERLINK("Melting_Curves/meltCurve_P19532_TFE3.pdf", "Melting_Curves/meltCurve_P19532_TFE3.pdf")</f>
        <v>Melting_Curves/meltCurve_P19532_TFE3.pdf</v>
      </c>
    </row>
    <row r="1812" spans="1:28" x14ac:dyDescent="0.25">
      <c r="A1812" t="s">
        <v>1816</v>
      </c>
      <c r="B1812">
        <v>0.99987803227770999</v>
      </c>
      <c r="C1812">
        <v>0.95798271606343499</v>
      </c>
      <c r="D1812">
        <v>1.00027039710995</v>
      </c>
      <c r="E1812">
        <v>0.84636840212500697</v>
      </c>
      <c r="F1812">
        <v>0.23909467819881899</v>
      </c>
      <c r="G1812">
        <v>0.14675104560756799</v>
      </c>
      <c r="H1812">
        <v>0.109104910573754</v>
      </c>
      <c r="I1812">
        <v>0.109538223063495</v>
      </c>
      <c r="J1812">
        <v>6.9652698984979097E-2</v>
      </c>
      <c r="K1812">
        <v>4.9407956294939298E-2</v>
      </c>
      <c r="L1812">
        <v>2837.50920803703</v>
      </c>
      <c r="M1812">
        <v>55.177216391931701</v>
      </c>
      <c r="N1812">
        <v>51.6236445283904</v>
      </c>
      <c r="O1812">
        <v>51.3579781923263</v>
      </c>
      <c r="P1812">
        <v>-0.24294557643758299</v>
      </c>
      <c r="Q1812">
        <v>9.5483017460194594E-2</v>
      </c>
      <c r="R1812">
        <v>0.99576326172663798</v>
      </c>
      <c r="S1812" t="s">
        <v>8123</v>
      </c>
      <c r="T1812" t="s">
        <v>12620</v>
      </c>
      <c r="U1812" t="s">
        <v>12620</v>
      </c>
      <c r="V1812" t="s">
        <v>12620</v>
      </c>
      <c r="W1812" t="s">
        <v>14394</v>
      </c>
      <c r="X1812">
        <v>12</v>
      </c>
      <c r="Y1812" t="s">
        <v>20602</v>
      </c>
      <c r="Z1812" t="s">
        <v>26759</v>
      </c>
      <c r="AA1812">
        <v>0.44164774420610459</v>
      </c>
      <c r="AB1812" t="str">
        <f>HYPERLINK("Melting_Curves/meltCurve_P19623_SRM.pdf", "Melting_Curves/meltCurve_P19623_SRM.pdf")</f>
        <v>Melting_Curves/meltCurve_P19623_SRM.pdf</v>
      </c>
    </row>
    <row r="1813" spans="1:28" x14ac:dyDescent="0.25">
      <c r="A1813" t="s">
        <v>1817</v>
      </c>
      <c r="B1813">
        <v>0.99987803227770999</v>
      </c>
      <c r="C1813">
        <v>0.99332153022162595</v>
      </c>
      <c r="D1813">
        <v>0.91714350536079803</v>
      </c>
      <c r="E1813">
        <v>0.91521961936325402</v>
      </c>
      <c r="F1813">
        <v>0.56519174408190997</v>
      </c>
      <c r="G1813">
        <v>0.36540008055477502</v>
      </c>
      <c r="H1813">
        <v>0.29087376104831703</v>
      </c>
      <c r="I1813">
        <v>0.23399805973507701</v>
      </c>
      <c r="J1813">
        <v>0.205228622798523</v>
      </c>
      <c r="K1813">
        <v>0.15444160812889601</v>
      </c>
      <c r="L1813">
        <v>1137.01301065349</v>
      </c>
      <c r="M1813">
        <v>21.3395309587988</v>
      </c>
      <c r="N1813">
        <v>54.561658902416497</v>
      </c>
      <c r="O1813">
        <v>52.820718550287602</v>
      </c>
      <c r="P1813">
        <v>-8.1116894144904098E-2</v>
      </c>
      <c r="Q1813">
        <v>0.19688120318126201</v>
      </c>
      <c r="R1813">
        <v>0.98578656021281996</v>
      </c>
      <c r="S1813" t="s">
        <v>8124</v>
      </c>
      <c r="T1813" t="s">
        <v>12620</v>
      </c>
      <c r="U1813" t="s">
        <v>12620</v>
      </c>
      <c r="V1813" t="s">
        <v>12620</v>
      </c>
      <c r="W1813" t="s">
        <v>12952</v>
      </c>
      <c r="X1813">
        <v>14</v>
      </c>
      <c r="Y1813" t="s">
        <v>20603</v>
      </c>
      <c r="Z1813" t="s">
        <v>26760</v>
      </c>
      <c r="AA1813">
        <v>0.56230833221340959</v>
      </c>
      <c r="AB1813" t="str">
        <f>HYPERLINK("Melting_Curves/meltCurve_P19784_CSNK2A2.pdf", "Melting_Curves/meltCurve_P19784_CSNK2A2.pdf")</f>
        <v>Melting_Curves/meltCurve_P19784_CSNK2A2.pdf</v>
      </c>
    </row>
    <row r="1814" spans="1:28" x14ac:dyDescent="0.25">
      <c r="A1814" t="s">
        <v>1818</v>
      </c>
      <c r="B1814">
        <v>0.99987803227770999</v>
      </c>
      <c r="C1814">
        <v>0.961195260590883</v>
      </c>
      <c r="D1814">
        <v>1.0319871490106101</v>
      </c>
      <c r="E1814">
        <v>1.17442168757916</v>
      </c>
      <c r="F1814">
        <v>0.63013378268914</v>
      </c>
      <c r="G1814">
        <v>8.4094920030519997</v>
      </c>
      <c r="H1814">
        <v>0.39442253870229699</v>
      </c>
      <c r="I1814">
        <v>3.92779228411902</v>
      </c>
      <c r="J1814">
        <v>0.46877928974774602</v>
      </c>
      <c r="K1814">
        <v>0.389756074838011</v>
      </c>
      <c r="L1814">
        <v>4279.0677987671997</v>
      </c>
      <c r="M1814">
        <v>79.472285718167697</v>
      </c>
      <c r="O1814">
        <v>53.809457812768599</v>
      </c>
      <c r="P1814">
        <v>0.18461507420187501</v>
      </c>
      <c r="Q1814">
        <v>1.5</v>
      </c>
      <c r="R1814">
        <v>2.2177069005332498E-3</v>
      </c>
      <c r="S1814" t="s">
        <v>8125</v>
      </c>
      <c r="T1814" t="s">
        <v>12620</v>
      </c>
      <c r="U1814" t="s">
        <v>12620</v>
      </c>
      <c r="V1814" t="s">
        <v>12620</v>
      </c>
      <c r="W1814" t="s">
        <v>14395</v>
      </c>
      <c r="X1814">
        <v>15</v>
      </c>
      <c r="Y1814" t="s">
        <v>20604</v>
      </c>
      <c r="Z1814" t="s">
        <v>26761</v>
      </c>
      <c r="AA1814">
        <v>1.2688061549195839</v>
      </c>
      <c r="AB1814" t="str">
        <f>HYPERLINK("Melting_Curves/meltCurve_P19835_CEL.pdf", "Melting_Curves/meltCurve_P19835_CEL.pdf")</f>
        <v>Melting_Curves/meltCurve_P19835_CEL.pdf</v>
      </c>
    </row>
    <row r="1815" spans="1:28" x14ac:dyDescent="0.25">
      <c r="A1815" t="s">
        <v>1819</v>
      </c>
      <c r="B1815">
        <v>0.99987803227770999</v>
      </c>
      <c r="C1815">
        <v>1.1085681231564</v>
      </c>
      <c r="D1815">
        <v>0.98879802725062604</v>
      </c>
      <c r="E1815">
        <v>0.82013340972178095</v>
      </c>
      <c r="F1815">
        <v>0.42746243999747602</v>
      </c>
      <c r="G1815">
        <v>0.247549256654645</v>
      </c>
      <c r="H1815">
        <v>0.17460650520766099</v>
      </c>
      <c r="I1815">
        <v>0.140048952365669</v>
      </c>
      <c r="J1815">
        <v>0.11276127932581299</v>
      </c>
      <c r="K1815">
        <v>8.1017094937984993E-2</v>
      </c>
      <c r="L1815">
        <v>1488.2983443246801</v>
      </c>
      <c r="M1815">
        <v>28.561471266971999</v>
      </c>
      <c r="N1815">
        <v>52.660436710766596</v>
      </c>
      <c r="O1815">
        <v>51.8551610341827</v>
      </c>
      <c r="P1815">
        <v>-0.11989058379565699</v>
      </c>
      <c r="Q1815">
        <v>0.12933109384869201</v>
      </c>
      <c r="R1815">
        <v>0.98736645280750901</v>
      </c>
      <c r="S1815" t="s">
        <v>8126</v>
      </c>
      <c r="T1815" t="s">
        <v>12620</v>
      </c>
      <c r="U1815" t="s">
        <v>12620</v>
      </c>
      <c r="V1815" t="s">
        <v>12620</v>
      </c>
      <c r="W1815" t="s">
        <v>14396</v>
      </c>
      <c r="X1815">
        <v>11</v>
      </c>
      <c r="Y1815" t="s">
        <v>20605</v>
      </c>
      <c r="Z1815" t="s">
        <v>26762</v>
      </c>
      <c r="AA1815">
        <v>0.4868906575602619</v>
      </c>
      <c r="AB1815" t="str">
        <f>HYPERLINK("Melting_Curves/meltCurve_P19838_NFKB1.pdf", "Melting_Curves/meltCurve_P19838_NFKB1.pdf")</f>
        <v>Melting_Curves/meltCurve_P19838_NFKB1.pdf</v>
      </c>
    </row>
    <row r="1816" spans="1:28" x14ac:dyDescent="0.25">
      <c r="A1816" t="s">
        <v>1820</v>
      </c>
      <c r="B1816">
        <v>0.99987803227770999</v>
      </c>
      <c r="C1816">
        <v>1.0350070734583099</v>
      </c>
      <c r="D1816">
        <v>0.98976473090183803</v>
      </c>
      <c r="E1816">
        <v>1.04093163866478</v>
      </c>
      <c r="F1816">
        <v>0.95960595072523103</v>
      </c>
      <c r="G1816">
        <v>0.87731472063262095</v>
      </c>
      <c r="H1816">
        <v>0.860959750392009</v>
      </c>
      <c r="I1816">
        <v>0.59441926127518696</v>
      </c>
      <c r="J1816">
        <v>0.293682718447769</v>
      </c>
      <c r="K1816">
        <v>0.110612354748679</v>
      </c>
      <c r="L1816">
        <v>1711.17823576049</v>
      </c>
      <c r="M1816">
        <v>26.393846412333101</v>
      </c>
      <c r="N1816">
        <v>64.832467769411195</v>
      </c>
      <c r="O1816">
        <v>64.463732627548396</v>
      </c>
      <c r="P1816">
        <v>-0.102360395639317</v>
      </c>
      <c r="Q1816">
        <v>0</v>
      </c>
      <c r="R1816">
        <v>0.98532011560843502</v>
      </c>
      <c r="S1816" t="s">
        <v>8127</v>
      </c>
      <c r="T1816" t="s">
        <v>12620</v>
      </c>
      <c r="U1816" t="s">
        <v>12620</v>
      </c>
      <c r="V1816" t="s">
        <v>12620</v>
      </c>
      <c r="W1816" t="s">
        <v>14397</v>
      </c>
      <c r="X1816">
        <v>16</v>
      </c>
      <c r="Y1816" t="s">
        <v>20606</v>
      </c>
      <c r="Z1816" t="s">
        <v>26763</v>
      </c>
      <c r="AA1816">
        <v>0.82421355668453655</v>
      </c>
      <c r="AB1816" t="str">
        <f>HYPERLINK("Melting_Curves/meltCurve_P19971_TYMP.pdf", "Melting_Curves/meltCurve_P19971_TYMP.pdf")</f>
        <v>Melting_Curves/meltCurve_P19971_TYMP.pdf</v>
      </c>
    </row>
    <row r="1817" spans="1:28" x14ac:dyDescent="0.25">
      <c r="A1817" t="s">
        <v>1821</v>
      </c>
      <c r="B1817">
        <v>0.99987803227770999</v>
      </c>
      <c r="C1817">
        <v>1.1153744635587799</v>
      </c>
      <c r="D1817">
        <v>0.95277057321400205</v>
      </c>
      <c r="E1817">
        <v>1.2462152351014899</v>
      </c>
      <c r="F1817">
        <v>0.93796353205485805</v>
      </c>
      <c r="G1817">
        <v>0.46530304917799797</v>
      </c>
      <c r="H1817">
        <v>0.24326521163279199</v>
      </c>
      <c r="I1817">
        <v>0.196578849849051</v>
      </c>
      <c r="J1817">
        <v>0.14912262026991499</v>
      </c>
      <c r="K1817">
        <v>0.10181554289827199</v>
      </c>
      <c r="L1817">
        <v>2377.72985561529</v>
      </c>
      <c r="M1817">
        <v>42.217464273867101</v>
      </c>
      <c r="N1817">
        <v>56.844161982931702</v>
      </c>
      <c r="O1817">
        <v>56.195089234029297</v>
      </c>
      <c r="P1817">
        <v>-0.15758176195849999</v>
      </c>
      <c r="Q1817">
        <v>0.160981943079127</v>
      </c>
      <c r="R1817">
        <v>0.95313959241754698</v>
      </c>
      <c r="S1817" t="s">
        <v>8128</v>
      </c>
      <c r="T1817" t="s">
        <v>12620</v>
      </c>
      <c r="U1817" t="s">
        <v>12620</v>
      </c>
      <c r="V1817" t="s">
        <v>12620</v>
      </c>
      <c r="W1817" t="s">
        <v>14398</v>
      </c>
      <c r="X1817">
        <v>17</v>
      </c>
      <c r="Y1817" t="s">
        <v>20607</v>
      </c>
      <c r="Z1817" t="s">
        <v>26764</v>
      </c>
      <c r="AA1817">
        <v>0.62035014834451296</v>
      </c>
      <c r="AB1817" t="str">
        <f>HYPERLINK("Melting_Curves/meltCurve_P20042_EIF2S2.pdf", "Melting_Curves/meltCurve_P20042_EIF2S2.pdf")</f>
        <v>Melting_Curves/meltCurve_P20042_EIF2S2.pdf</v>
      </c>
    </row>
    <row r="1818" spans="1:28" x14ac:dyDescent="0.25">
      <c r="A1818" t="s">
        <v>1822</v>
      </c>
      <c r="B1818">
        <v>0.99987803227770999</v>
      </c>
      <c r="C1818">
        <v>1.09682271135863</v>
      </c>
      <c r="D1818">
        <v>1.03272546620616</v>
      </c>
      <c r="E1818">
        <v>1.15203251167535</v>
      </c>
      <c r="F1818">
        <v>0.89097859039044303</v>
      </c>
      <c r="G1818">
        <v>1.0061589433807601</v>
      </c>
      <c r="H1818">
        <v>0.73979489307405399</v>
      </c>
      <c r="I1818">
        <v>0.60275076713952402</v>
      </c>
      <c r="J1818">
        <v>0.207649653420695</v>
      </c>
      <c r="K1818">
        <v>9.70955428120438E-2</v>
      </c>
      <c r="L1818">
        <v>1711.4352584892899</v>
      </c>
      <c r="M1818">
        <v>26.627008988639499</v>
      </c>
      <c r="N1818">
        <v>64.274408082935096</v>
      </c>
      <c r="O1818">
        <v>63.915160839282301</v>
      </c>
      <c r="P1818">
        <v>-0.10415090671488</v>
      </c>
      <c r="Q1818">
        <v>0</v>
      </c>
      <c r="R1818">
        <v>0.95294693726838398</v>
      </c>
      <c r="S1818" t="s">
        <v>8129</v>
      </c>
      <c r="T1818" t="s">
        <v>12620</v>
      </c>
      <c r="U1818" t="s">
        <v>12620</v>
      </c>
      <c r="V1818" t="s">
        <v>12620</v>
      </c>
      <c r="W1818" t="s">
        <v>14399</v>
      </c>
      <c r="X1818">
        <v>2</v>
      </c>
      <c r="Y1818" t="s">
        <v>20608</v>
      </c>
      <c r="Z1818" t="s">
        <v>26765</v>
      </c>
      <c r="AA1818">
        <v>0.80806051774608467</v>
      </c>
      <c r="AB1818" t="str">
        <f>HYPERLINK("Melting_Curves/meltCurve_P20248_CCNA2.pdf", "Melting_Curves/meltCurve_P20248_CCNA2.pdf")</f>
        <v>Melting_Curves/meltCurve_P20248_CCNA2.pdf</v>
      </c>
    </row>
    <row r="1819" spans="1:28" x14ac:dyDescent="0.25">
      <c r="A1819" t="s">
        <v>1823</v>
      </c>
      <c r="B1819">
        <v>0.99987803227770999</v>
      </c>
      <c r="C1819">
        <v>0.85604059032502999</v>
      </c>
      <c r="D1819">
        <v>0.96744244028410598</v>
      </c>
      <c r="E1819">
        <v>0.90547062748618701</v>
      </c>
      <c r="F1819">
        <v>1.07562977037692</v>
      </c>
      <c r="G1819">
        <v>0.86706853710790299</v>
      </c>
      <c r="H1819">
        <v>0.98434235684293203</v>
      </c>
      <c r="I1819">
        <v>0.84058395189725899</v>
      </c>
      <c r="J1819">
        <v>1.01157613390863</v>
      </c>
      <c r="K1819">
        <v>0.79748382137775597</v>
      </c>
      <c r="L1819">
        <v>138.52885116429101</v>
      </c>
      <c r="M1819">
        <v>1.0000000000000001E-5</v>
      </c>
      <c r="O1819">
        <v>57.735752947778501</v>
      </c>
      <c r="P1819">
        <v>-2.85281933511136E-3</v>
      </c>
      <c r="Q1819">
        <v>0.100253774343632</v>
      </c>
      <c r="R1819">
        <v>7.11003226246711E-2</v>
      </c>
      <c r="S1819" t="s">
        <v>8130</v>
      </c>
      <c r="T1819" t="s">
        <v>12620</v>
      </c>
      <c r="U1819" t="s">
        <v>12620</v>
      </c>
      <c r="V1819" t="s">
        <v>12620</v>
      </c>
      <c r="W1819" t="s">
        <v>14400</v>
      </c>
      <c r="X1819">
        <v>10</v>
      </c>
      <c r="Y1819" t="s">
        <v>20609</v>
      </c>
      <c r="Z1819" t="s">
        <v>26766</v>
      </c>
      <c r="AA1819">
        <v>0.93256298762736456</v>
      </c>
      <c r="AB1819" t="str">
        <f>HYPERLINK("Melting_Curves/meltCurve_P20290_BTF3.pdf", "Melting_Curves/meltCurve_P20290_BTF3.pdf")</f>
        <v>Melting_Curves/meltCurve_P20290_BTF3.pdf</v>
      </c>
    </row>
    <row r="1820" spans="1:28" x14ac:dyDescent="0.25">
      <c r="A1820" t="s">
        <v>1824</v>
      </c>
      <c r="B1820">
        <v>0.99987803227770999</v>
      </c>
      <c r="C1820">
        <v>0.85124222681440798</v>
      </c>
      <c r="D1820">
        <v>1.01417222213507</v>
      </c>
      <c r="E1820">
        <v>0.87321487653921304</v>
      </c>
      <c r="F1820">
        <v>1.1341341532246501</v>
      </c>
      <c r="G1820">
        <v>0.77682318108028003</v>
      </c>
      <c r="H1820">
        <v>1.09301824152732</v>
      </c>
      <c r="I1820">
        <v>0.92815686880702097</v>
      </c>
      <c r="J1820">
        <v>1.2446051438960799</v>
      </c>
      <c r="K1820">
        <v>1.0431589873601499</v>
      </c>
      <c r="L1820">
        <v>12322.1667078883</v>
      </c>
      <c r="M1820">
        <v>188.41887571635399</v>
      </c>
      <c r="O1820">
        <v>65.390364662161105</v>
      </c>
      <c r="P1820">
        <v>0.10269794549917</v>
      </c>
      <c r="Q1820">
        <v>1.1425643975395301</v>
      </c>
      <c r="R1820">
        <v>0.22349563029609301</v>
      </c>
      <c r="S1820" t="s">
        <v>8131</v>
      </c>
      <c r="T1820" t="s">
        <v>12620</v>
      </c>
      <c r="U1820" t="s">
        <v>12620</v>
      </c>
      <c r="V1820" t="s">
        <v>12620</v>
      </c>
      <c r="W1820" t="s">
        <v>14401</v>
      </c>
      <c r="X1820">
        <v>7</v>
      </c>
      <c r="Y1820" t="s">
        <v>20609</v>
      </c>
      <c r="Z1820" t="s">
        <v>26767</v>
      </c>
      <c r="AA1820">
        <v>1.021841860435492</v>
      </c>
      <c r="AB1820" t="str">
        <f>HYPERLINK("Melting_Curves/meltCurve_P20290_2_BTF3.pdf", "Melting_Curves/meltCurve_P20290_2_BTF3.pdf")</f>
        <v>Melting_Curves/meltCurve_P20290_2_BTF3.pdf</v>
      </c>
    </row>
    <row r="1821" spans="1:28" x14ac:dyDescent="0.25">
      <c r="A1821" t="s">
        <v>1825</v>
      </c>
      <c r="B1821">
        <v>0.99987803227770999</v>
      </c>
      <c r="C1821">
        <v>0.85061807305745696</v>
      </c>
      <c r="D1821">
        <v>0.91097984360942597</v>
      </c>
      <c r="E1821">
        <v>0.671116968098593</v>
      </c>
      <c r="F1821">
        <v>0.52888856673916995</v>
      </c>
      <c r="G1821">
        <v>0.26801907124825602</v>
      </c>
      <c r="H1821">
        <v>0.110371158049706</v>
      </c>
      <c r="I1821">
        <v>6.9056850335776299E-2</v>
      </c>
      <c r="J1821">
        <v>5.5617649363510303E-2</v>
      </c>
      <c r="K1821">
        <v>3.5338935799650799E-2</v>
      </c>
      <c r="L1821">
        <v>718.90271567272498</v>
      </c>
      <c r="M1821">
        <v>13.6016811550809</v>
      </c>
      <c r="N1821">
        <v>52.853969912448399</v>
      </c>
      <c r="O1821">
        <v>51.750749543869702</v>
      </c>
      <c r="P1821">
        <v>-6.5717385192766806E-2</v>
      </c>
      <c r="Q1821">
        <v>0</v>
      </c>
      <c r="R1821">
        <v>0.98853711433500502</v>
      </c>
      <c r="S1821" t="s">
        <v>8132</v>
      </c>
      <c r="T1821" t="s">
        <v>12620</v>
      </c>
      <c r="U1821" t="s">
        <v>12620</v>
      </c>
      <c r="V1821" t="s">
        <v>12620</v>
      </c>
      <c r="W1821" t="s">
        <v>14402</v>
      </c>
      <c r="X1821">
        <v>3</v>
      </c>
      <c r="Y1821" t="s">
        <v>20610</v>
      </c>
      <c r="Z1821" t="s">
        <v>26768</v>
      </c>
      <c r="AA1821">
        <v>0.45318213127377599</v>
      </c>
      <c r="AB1821" t="str">
        <f>HYPERLINK("Melting_Curves/meltCurve_P20337_RAB3B.pdf", "Melting_Curves/meltCurve_P20337_RAB3B.pdf")</f>
        <v>Melting_Curves/meltCurve_P20337_RAB3B.pdf</v>
      </c>
    </row>
    <row r="1822" spans="1:28" x14ac:dyDescent="0.25">
      <c r="A1822" t="s">
        <v>1826</v>
      </c>
      <c r="B1822">
        <v>0.99987803227770999</v>
      </c>
      <c r="C1822">
        <v>0.932039405408014</v>
      </c>
      <c r="D1822">
        <v>0.97904637074905798</v>
      </c>
      <c r="E1822">
        <v>0.87067909586080705</v>
      </c>
      <c r="F1822">
        <v>0.96302426220496795</v>
      </c>
      <c r="G1822">
        <v>0.72709792835171005</v>
      </c>
      <c r="H1822">
        <v>0.489652517801348</v>
      </c>
      <c r="I1822">
        <v>0.34010451416102899</v>
      </c>
      <c r="J1822">
        <v>0.23100728173778301</v>
      </c>
      <c r="K1822">
        <v>0.19036952827290299</v>
      </c>
      <c r="L1822">
        <v>952.93425749640096</v>
      </c>
      <c r="M1822">
        <v>15.8629988571419</v>
      </c>
      <c r="N1822">
        <v>60.867755688731599</v>
      </c>
      <c r="O1822">
        <v>59.1423985514297</v>
      </c>
      <c r="P1822">
        <v>-6.0785253485119602E-2</v>
      </c>
      <c r="Q1822">
        <v>9.35650533745815E-2</v>
      </c>
      <c r="R1822">
        <v>0.98215292565556001</v>
      </c>
      <c r="S1822" t="s">
        <v>8133</v>
      </c>
      <c r="T1822" t="s">
        <v>12620</v>
      </c>
      <c r="U1822" t="s">
        <v>12620</v>
      </c>
      <c r="V1822" t="s">
        <v>12620</v>
      </c>
      <c r="W1822" t="s">
        <v>14403</v>
      </c>
      <c r="X1822">
        <v>5</v>
      </c>
      <c r="Y1822" t="s">
        <v>20611</v>
      </c>
      <c r="Z1822" t="s">
        <v>26769</v>
      </c>
      <c r="AA1822">
        <v>0.70661040303745282</v>
      </c>
      <c r="AB1822" t="str">
        <f>HYPERLINK("Melting_Curves/meltCurve_P20338_RAB4A.pdf", "Melting_Curves/meltCurve_P20338_RAB4A.pdf")</f>
        <v>Melting_Curves/meltCurve_P20338_RAB4A.pdf</v>
      </c>
    </row>
    <row r="1823" spans="1:28" x14ac:dyDescent="0.25">
      <c r="A1823" t="s">
        <v>1827</v>
      </c>
      <c r="B1823">
        <v>0.99987803227770999</v>
      </c>
      <c r="C1823">
        <v>1.04863757182787</v>
      </c>
      <c r="D1823">
        <v>1.0107579790226999</v>
      </c>
      <c r="E1823">
        <v>0.99588232936940702</v>
      </c>
      <c r="F1823">
        <v>0.92172525914806602</v>
      </c>
      <c r="G1823">
        <v>0.69044862578049404</v>
      </c>
      <c r="H1823">
        <v>0.37189129275940602</v>
      </c>
      <c r="I1823">
        <v>0.26670742942501402</v>
      </c>
      <c r="J1823">
        <v>0.18546652336168201</v>
      </c>
      <c r="K1823">
        <v>0.121579570896914</v>
      </c>
      <c r="L1823">
        <v>1252.65914441059</v>
      </c>
      <c r="M1823">
        <v>21.347719534776999</v>
      </c>
      <c r="N1823">
        <v>59.408677620853901</v>
      </c>
      <c r="O1823">
        <v>58.1712060819968</v>
      </c>
      <c r="P1823">
        <v>-8.1164636578043903E-2</v>
      </c>
      <c r="Q1823">
        <v>0.11534802793631201</v>
      </c>
      <c r="R1823">
        <v>0.99680595996578303</v>
      </c>
      <c r="S1823" t="s">
        <v>8134</v>
      </c>
      <c r="T1823" t="s">
        <v>12620</v>
      </c>
      <c r="U1823" t="s">
        <v>12620</v>
      </c>
      <c r="V1823" t="s">
        <v>12620</v>
      </c>
      <c r="W1823" t="s">
        <v>14404</v>
      </c>
      <c r="X1823">
        <v>11</v>
      </c>
      <c r="Y1823" t="s">
        <v>20612</v>
      </c>
      <c r="Z1823" t="s">
        <v>26770</v>
      </c>
      <c r="AA1823">
        <v>0.67496756844796624</v>
      </c>
      <c r="AB1823" t="str">
        <f>HYPERLINK("Melting_Curves/meltCurve_P20340_2_RAB6A.pdf", "Melting_Curves/meltCurve_P20340_2_RAB6A.pdf")</f>
        <v>Melting_Curves/meltCurve_P20340_2_RAB6A.pdf</v>
      </c>
    </row>
    <row r="1824" spans="1:28" x14ac:dyDescent="0.25">
      <c r="A1824" t="s">
        <v>1828</v>
      </c>
      <c r="B1824">
        <v>0.99987803227770999</v>
      </c>
      <c r="C1824">
        <v>1.06159569932441</v>
      </c>
      <c r="D1824">
        <v>0.89683202988629096</v>
      </c>
      <c r="E1824">
        <v>0.86945352521646502</v>
      </c>
      <c r="F1824">
        <v>0.44605016597257902</v>
      </c>
      <c r="G1824">
        <v>0.32471665920776599</v>
      </c>
      <c r="H1824">
        <v>0.32710499857138697</v>
      </c>
      <c r="I1824">
        <v>0.292999549647604</v>
      </c>
      <c r="J1824">
        <v>0.29540368823699598</v>
      </c>
      <c r="K1824">
        <v>0.25217830726085899</v>
      </c>
      <c r="L1824">
        <v>2333.8800891680999</v>
      </c>
      <c r="M1824">
        <v>45.278031003253801</v>
      </c>
      <c r="N1824">
        <v>52.5842951664442</v>
      </c>
      <c r="O1824">
        <v>51.445271494474802</v>
      </c>
      <c r="P1824">
        <v>-0.15499440783975801</v>
      </c>
      <c r="Q1824">
        <v>0.29557703451575701</v>
      </c>
      <c r="R1824">
        <v>0.98295619050179905</v>
      </c>
      <c r="S1824" t="s">
        <v>8135</v>
      </c>
      <c r="T1824" t="s">
        <v>12620</v>
      </c>
      <c r="U1824" t="s">
        <v>12620</v>
      </c>
      <c r="V1824" t="s">
        <v>12620</v>
      </c>
      <c r="W1824" t="s">
        <v>14405</v>
      </c>
      <c r="X1824">
        <v>27</v>
      </c>
      <c r="Y1824" t="s">
        <v>20613</v>
      </c>
      <c r="Z1824" t="s">
        <v>26771</v>
      </c>
      <c r="AA1824">
        <v>0.56863015031704789</v>
      </c>
      <c r="AB1824" t="str">
        <f>HYPERLINK("Melting_Curves/meltCurve_P20585_MSH3.pdf", "Melting_Curves/meltCurve_P20585_MSH3.pdf")</f>
        <v>Melting_Curves/meltCurve_P20585_MSH3.pdf</v>
      </c>
    </row>
    <row r="1825" spans="1:28" x14ac:dyDescent="0.25">
      <c r="A1825" t="s">
        <v>1829</v>
      </c>
      <c r="B1825">
        <v>0.99987803227770999</v>
      </c>
      <c r="C1825">
        <v>0.90212015980262805</v>
      </c>
      <c r="D1825">
        <v>0.86116395813647495</v>
      </c>
      <c r="E1825">
        <v>1.2028985884556</v>
      </c>
      <c r="F1825">
        <v>1.07220158574331</v>
      </c>
      <c r="G1825">
        <v>1.21100251130006</v>
      </c>
      <c r="H1825">
        <v>1.2036789317087899</v>
      </c>
      <c r="I1825">
        <v>1.34150175676056</v>
      </c>
      <c r="J1825">
        <v>1.53271864741673</v>
      </c>
      <c r="K1825">
        <v>1.0053432251411001</v>
      </c>
      <c r="L1825">
        <v>1037.7196976579301</v>
      </c>
      <c r="M1825">
        <v>19.577556502986099</v>
      </c>
      <c r="O1825">
        <v>52.461833185598003</v>
      </c>
      <c r="P1825">
        <v>2.5717885660923499E-2</v>
      </c>
      <c r="Q1825">
        <v>1.2756543494649999</v>
      </c>
      <c r="R1825">
        <v>0.46561809966392198</v>
      </c>
      <c r="S1825" t="s">
        <v>8136</v>
      </c>
      <c r="T1825" t="s">
        <v>12620</v>
      </c>
      <c r="U1825" t="s">
        <v>12620</v>
      </c>
      <c r="V1825" t="s">
        <v>12620</v>
      </c>
      <c r="W1825" t="s">
        <v>14406</v>
      </c>
      <c r="X1825">
        <v>17</v>
      </c>
      <c r="Y1825" t="s">
        <v>20614</v>
      </c>
      <c r="Z1825" t="s">
        <v>26772</v>
      </c>
      <c r="AA1825">
        <v>1.1522219696639411</v>
      </c>
      <c r="AB1825" t="str">
        <f>HYPERLINK("Melting_Curves/meltCurve_P20618_PSMB1.pdf", "Melting_Curves/meltCurve_P20618_PSMB1.pdf")</f>
        <v>Melting_Curves/meltCurve_P20618_PSMB1.pdf</v>
      </c>
    </row>
    <row r="1826" spans="1:28" x14ac:dyDescent="0.25">
      <c r="A1826" t="s">
        <v>1830</v>
      </c>
      <c r="B1826">
        <v>0.99987803227770999</v>
      </c>
      <c r="C1826">
        <v>0.96426550498129304</v>
      </c>
      <c r="D1826">
        <v>1.0091558163607199</v>
      </c>
      <c r="E1826">
        <v>0.93863912357188195</v>
      </c>
      <c r="F1826">
        <v>1.02459017342252</v>
      </c>
      <c r="G1826">
        <v>0.72248648249171499</v>
      </c>
      <c r="H1826">
        <v>0.74196146409870001</v>
      </c>
      <c r="I1826">
        <v>0.81015329375657197</v>
      </c>
      <c r="J1826">
        <v>0.765152473180575</v>
      </c>
      <c r="K1826">
        <v>0.60155199006885596</v>
      </c>
      <c r="L1826">
        <v>13773.358525166401</v>
      </c>
      <c r="M1826">
        <v>250</v>
      </c>
      <c r="O1826">
        <v>55.089926755208602</v>
      </c>
      <c r="P1826">
        <v>-0.30830399752530002</v>
      </c>
      <c r="Q1826">
        <v>0.728248975697945</v>
      </c>
      <c r="R1826">
        <v>0.84735419668336198</v>
      </c>
      <c r="S1826" t="s">
        <v>8137</v>
      </c>
      <c r="T1826" t="s">
        <v>12620</v>
      </c>
      <c r="U1826" t="s">
        <v>12620</v>
      </c>
      <c r="V1826" t="s">
        <v>12620</v>
      </c>
      <c r="W1826" t="s">
        <v>14407</v>
      </c>
      <c r="X1826">
        <v>5</v>
      </c>
      <c r="Y1826" t="s">
        <v>20615</v>
      </c>
      <c r="Z1826" t="s">
        <v>26773</v>
      </c>
      <c r="AA1826">
        <v>0.8649971233631456</v>
      </c>
      <c r="AB1826" t="str">
        <f>HYPERLINK("Melting_Curves/meltCurve_P20674_COX5A.pdf", "Melting_Curves/meltCurve_P20674_COX5A.pdf")</f>
        <v>Melting_Curves/meltCurve_P20674_COX5A.pdf</v>
      </c>
    </row>
    <row r="1827" spans="1:28" x14ac:dyDescent="0.25">
      <c r="A1827" t="s">
        <v>1831</v>
      </c>
      <c r="B1827">
        <v>0.99987803227770999</v>
      </c>
      <c r="C1827">
        <v>0.96192555934039703</v>
      </c>
      <c r="D1827">
        <v>1.0244468673653</v>
      </c>
      <c r="E1827">
        <v>0.964812954604092</v>
      </c>
      <c r="F1827">
        <v>0.95852310515874395</v>
      </c>
      <c r="G1827">
        <v>0.71795314804892796</v>
      </c>
      <c r="H1827">
        <v>0.657312389783129</v>
      </c>
      <c r="I1827">
        <v>0.57959706431379499</v>
      </c>
      <c r="J1827">
        <v>0.57698602824619705</v>
      </c>
      <c r="K1827">
        <v>0.45835543919462102</v>
      </c>
      <c r="L1827">
        <v>986.393362668897</v>
      </c>
      <c r="M1827">
        <v>17.047435359600399</v>
      </c>
      <c r="O1827">
        <v>57.083088132390401</v>
      </c>
      <c r="P1827">
        <v>-3.8464946796819603E-2</v>
      </c>
      <c r="Q1827">
        <v>0.48483428483124202</v>
      </c>
      <c r="R1827">
        <v>0.967613160505996</v>
      </c>
      <c r="S1827" t="s">
        <v>8138</v>
      </c>
      <c r="T1827" t="s">
        <v>12620</v>
      </c>
      <c r="U1827" t="s">
        <v>12620</v>
      </c>
      <c r="V1827" t="s">
        <v>12620</v>
      </c>
      <c r="W1827" t="s">
        <v>14408</v>
      </c>
      <c r="X1827">
        <v>23</v>
      </c>
      <c r="Y1827" t="s">
        <v>20616</v>
      </c>
      <c r="Z1827" t="s">
        <v>26774</v>
      </c>
      <c r="AA1827">
        <v>0.79828339886933219</v>
      </c>
      <c r="AB1827" t="str">
        <f>HYPERLINK("Melting_Curves/meltCurve_P20700_LMNB1.pdf", "Melting_Curves/meltCurve_P20700_LMNB1.pdf")</f>
        <v>Melting_Curves/meltCurve_P20700_LMNB1.pdf</v>
      </c>
    </row>
    <row r="1828" spans="1:28" x14ac:dyDescent="0.25">
      <c r="A1828" t="s">
        <v>1832</v>
      </c>
      <c r="B1828">
        <v>0.99987803227770999</v>
      </c>
      <c r="C1828">
        <v>1.02975140005097</v>
      </c>
      <c r="D1828">
        <v>0.93707036612985695</v>
      </c>
      <c r="E1828">
        <v>0.741522375727938</v>
      </c>
      <c r="F1828">
        <v>0.70837236021413597</v>
      </c>
      <c r="G1828">
        <v>0.42761845903372597</v>
      </c>
      <c r="H1828">
        <v>0.30010776641162801</v>
      </c>
      <c r="I1828">
        <v>0.26143707968088298</v>
      </c>
      <c r="J1828">
        <v>0.22840991804670599</v>
      </c>
      <c r="K1828">
        <v>0.170527561935751</v>
      </c>
      <c r="L1828">
        <v>729.23260984447302</v>
      </c>
      <c r="M1828">
        <v>13.3899786319482</v>
      </c>
      <c r="N1828">
        <v>55.906608050195501</v>
      </c>
      <c r="O1828">
        <v>53.289382721533798</v>
      </c>
      <c r="P1828">
        <v>-5.3634341924754698E-2</v>
      </c>
      <c r="Q1828">
        <v>0.146319620793428</v>
      </c>
      <c r="R1828">
        <v>0.98940196876253805</v>
      </c>
      <c r="S1828" t="s">
        <v>8139</v>
      </c>
      <c r="T1828" t="s">
        <v>12620</v>
      </c>
      <c r="U1828" t="s">
        <v>12620</v>
      </c>
      <c r="V1828" t="s">
        <v>12620</v>
      </c>
      <c r="W1828" t="s">
        <v>14409</v>
      </c>
      <c r="X1828">
        <v>2</v>
      </c>
      <c r="Y1828" t="s">
        <v>20617</v>
      </c>
      <c r="Z1828" t="s">
        <v>26775</v>
      </c>
      <c r="AA1828">
        <v>0.57709791831668988</v>
      </c>
      <c r="AB1828" t="str">
        <f>HYPERLINK("Melting_Curves/meltCurve_P20742_PZP.pdf", "Melting_Curves/meltCurve_P20742_PZP.pdf")</f>
        <v>Melting_Curves/meltCurve_P20742_PZP.pdf</v>
      </c>
    </row>
    <row r="1829" spans="1:28" x14ac:dyDescent="0.25">
      <c r="A1829" t="s">
        <v>1833</v>
      </c>
      <c r="B1829">
        <v>0.99987803227770999</v>
      </c>
      <c r="C1829">
        <v>0.86608954559236995</v>
      </c>
      <c r="D1829">
        <v>0.766857460345576</v>
      </c>
      <c r="E1829">
        <v>0.498921166841441</v>
      </c>
      <c r="F1829">
        <v>0.445508624558485</v>
      </c>
      <c r="G1829">
        <v>0.23498251698653799</v>
      </c>
      <c r="H1829">
        <v>0.30123146828841901</v>
      </c>
      <c r="I1829">
        <v>0.33891297746180998</v>
      </c>
      <c r="J1829">
        <v>0.25595933898738299</v>
      </c>
      <c r="K1829">
        <v>0.21357293914349701</v>
      </c>
      <c r="L1829">
        <v>732.70194803455502</v>
      </c>
      <c r="M1829">
        <v>15.2342742039479</v>
      </c>
      <c r="N1829">
        <v>50.394167591064303</v>
      </c>
      <c r="O1829">
        <v>47.289732199456303</v>
      </c>
      <c r="P1829">
        <v>-6.0374061169251002E-2</v>
      </c>
      <c r="Q1829">
        <v>0.25042648468778</v>
      </c>
      <c r="R1829">
        <v>0.97436788092416404</v>
      </c>
      <c r="S1829" t="s">
        <v>8140</v>
      </c>
      <c r="T1829" t="s">
        <v>12620</v>
      </c>
      <c r="U1829" t="s">
        <v>12620</v>
      </c>
      <c r="V1829" t="s">
        <v>12620</v>
      </c>
      <c r="W1829" t="s">
        <v>14410</v>
      </c>
      <c r="X1829">
        <v>4</v>
      </c>
      <c r="Y1829" t="s">
        <v>20618</v>
      </c>
      <c r="Z1829" t="s">
        <v>26776</v>
      </c>
      <c r="AA1829">
        <v>0.47132617850927322</v>
      </c>
      <c r="AB1829" t="str">
        <f>HYPERLINK("Melting_Curves/meltCurve_P20749_BCL3.pdf", "Melting_Curves/meltCurve_P20749_BCL3.pdf")</f>
        <v>Melting_Curves/meltCurve_P20749_BCL3.pdf</v>
      </c>
    </row>
    <row r="1830" spans="1:28" x14ac:dyDescent="0.25">
      <c r="A1830" t="s">
        <v>1834</v>
      </c>
      <c r="B1830">
        <v>0.99987803227770999</v>
      </c>
      <c r="C1830">
        <v>0.88757601736536496</v>
      </c>
      <c r="D1830">
        <v>0.98935191364845498</v>
      </c>
      <c r="E1830">
        <v>0.93846931578021398</v>
      </c>
      <c r="F1830">
        <v>1.0759613787753399</v>
      </c>
      <c r="G1830">
        <v>0.95995571039430805</v>
      </c>
      <c r="H1830">
        <v>1.16094854600028</v>
      </c>
      <c r="I1830">
        <v>1.0946637893978299</v>
      </c>
      <c r="J1830">
        <v>1.2788129890287401</v>
      </c>
      <c r="K1830">
        <v>1.0640492281866001</v>
      </c>
      <c r="L1830">
        <v>7371.4454074577998</v>
      </c>
      <c r="M1830">
        <v>124.509856428467</v>
      </c>
      <c r="O1830">
        <v>59.188449810279998</v>
      </c>
      <c r="P1830">
        <v>7.90908852382224E-2</v>
      </c>
      <c r="Q1830">
        <v>1.1503902164297</v>
      </c>
      <c r="R1830">
        <v>0.57418716093104805</v>
      </c>
      <c r="S1830" t="s">
        <v>8141</v>
      </c>
      <c r="T1830" t="s">
        <v>12620</v>
      </c>
      <c r="U1830" t="s">
        <v>12620</v>
      </c>
      <c r="V1830" t="s">
        <v>12620</v>
      </c>
      <c r="W1830" t="s">
        <v>14411</v>
      </c>
      <c r="X1830">
        <v>42</v>
      </c>
      <c r="Y1830" t="s">
        <v>20619</v>
      </c>
      <c r="Z1830" t="s">
        <v>26777</v>
      </c>
      <c r="AA1830">
        <v>1.054058842152545</v>
      </c>
      <c r="AB1830" t="str">
        <f>HYPERLINK("Melting_Curves/meltCurve_P20810_5_CAST.pdf", "Melting_Curves/meltCurve_P20810_5_CAST.pdf")</f>
        <v>Melting_Curves/meltCurve_P20810_5_CAST.pdf</v>
      </c>
    </row>
    <row r="1831" spans="1:28" x14ac:dyDescent="0.25">
      <c r="A1831" t="s">
        <v>1835</v>
      </c>
      <c r="B1831">
        <v>0.99987803227770999</v>
      </c>
      <c r="C1831">
        <v>0.98114720564814695</v>
      </c>
      <c r="D1831">
        <v>1.08525545991323</v>
      </c>
      <c r="E1831">
        <v>0.96240563094415899</v>
      </c>
      <c r="F1831">
        <v>1.1639580918985399</v>
      </c>
      <c r="G1831">
        <v>1.07083033465623</v>
      </c>
      <c r="H1831">
        <v>1.0598428141951199</v>
      </c>
      <c r="I1831">
        <v>1.0145920200199601</v>
      </c>
      <c r="J1831">
        <v>1.0413740390139501</v>
      </c>
      <c r="K1831">
        <v>0.874184216868372</v>
      </c>
      <c r="L1831">
        <v>15000</v>
      </c>
      <c r="M1831">
        <v>212.34720843834</v>
      </c>
      <c r="Q1831">
        <v>0</v>
      </c>
      <c r="R1831">
        <v>0.16839116285026501</v>
      </c>
      <c r="S1831" t="s">
        <v>8142</v>
      </c>
      <c r="T1831" t="s">
        <v>12620</v>
      </c>
      <c r="U1831" t="s">
        <v>12620</v>
      </c>
      <c r="V1831" t="s">
        <v>12620</v>
      </c>
      <c r="W1831" t="s">
        <v>14412</v>
      </c>
      <c r="X1831">
        <v>42</v>
      </c>
      <c r="Y1831" t="s">
        <v>20619</v>
      </c>
      <c r="Z1831" t="s">
        <v>26778</v>
      </c>
      <c r="AA1831">
        <v>0.99854981451376934</v>
      </c>
      <c r="AB1831" t="str">
        <f>HYPERLINK("Melting_Curves/meltCurve_P20810_6_CAST.pdf", "Melting_Curves/meltCurve_P20810_6_CAST.pdf")</f>
        <v>Melting_Curves/meltCurve_P20810_6_CAST.pdf</v>
      </c>
    </row>
    <row r="1832" spans="1:28" x14ac:dyDescent="0.25">
      <c r="A1832" t="s">
        <v>1836</v>
      </c>
      <c r="B1832">
        <v>0.99987803227770999</v>
      </c>
      <c r="C1832">
        <v>0.78499398323234504</v>
      </c>
      <c r="D1832">
        <v>0.89474495449975</v>
      </c>
      <c r="E1832">
        <v>1.6401626502529101</v>
      </c>
      <c r="F1832">
        <v>0.92361013856733598</v>
      </c>
      <c r="G1832">
        <v>1.1006533649432799</v>
      </c>
      <c r="H1832">
        <v>0.26074633623774401</v>
      </c>
      <c r="I1832">
        <v>0.48511920209565901</v>
      </c>
      <c r="J1832">
        <v>0.134917727377382</v>
      </c>
      <c r="K1832">
        <v>0.107052881507366</v>
      </c>
      <c r="L1832">
        <v>15000</v>
      </c>
      <c r="M1832">
        <v>249.59526205111999</v>
      </c>
      <c r="N1832">
        <v>60.257362722747203</v>
      </c>
      <c r="O1832">
        <v>60.093436332080699</v>
      </c>
      <c r="P1832">
        <v>-0.78670487111555298</v>
      </c>
      <c r="Q1832">
        <v>0.242360634163924</v>
      </c>
      <c r="R1832">
        <v>0.73133139581863404</v>
      </c>
      <c r="S1832" t="s">
        <v>8143</v>
      </c>
      <c r="T1832" t="s">
        <v>12620</v>
      </c>
      <c r="U1832" t="s">
        <v>12620</v>
      </c>
      <c r="V1832" t="s">
        <v>12620</v>
      </c>
      <c r="W1832" t="s">
        <v>14413</v>
      </c>
      <c r="X1832">
        <v>6</v>
      </c>
      <c r="Y1832" t="s">
        <v>20620</v>
      </c>
      <c r="Z1832" t="s">
        <v>26779</v>
      </c>
      <c r="AA1832">
        <v>0.74999085344484118</v>
      </c>
      <c r="AB1832" t="str">
        <f>HYPERLINK("Melting_Curves/meltCurve_P20839_2_IMPDH1.pdf", "Melting_Curves/meltCurve_P20839_2_IMPDH1.pdf")</f>
        <v>Melting_Curves/meltCurve_P20839_2_IMPDH1.pdf</v>
      </c>
    </row>
    <row r="1833" spans="1:28" x14ac:dyDescent="0.25">
      <c r="A1833" t="s">
        <v>1837</v>
      </c>
      <c r="B1833">
        <v>0.99987803227770999</v>
      </c>
      <c r="C1833">
        <v>0.97453784780160502</v>
      </c>
      <c r="D1833">
        <v>0.98230040423087595</v>
      </c>
      <c r="E1833">
        <v>0.98998310779135101</v>
      </c>
      <c r="F1833">
        <v>0.92928040144436197</v>
      </c>
      <c r="G1833">
        <v>0.92740238591080804</v>
      </c>
      <c r="H1833">
        <v>0.84067405974821297</v>
      </c>
      <c r="I1833">
        <v>0.64094685302209797</v>
      </c>
      <c r="J1833">
        <v>0.541515739038685</v>
      </c>
      <c r="K1833">
        <v>0.385805499963222</v>
      </c>
      <c r="L1833">
        <v>887.39871790875702</v>
      </c>
      <c r="M1833">
        <v>13.1308629691551</v>
      </c>
      <c r="N1833">
        <v>67.581145214985597</v>
      </c>
      <c r="O1833">
        <v>66.071360113541601</v>
      </c>
      <c r="P1833">
        <v>-4.9692843418288501E-2</v>
      </c>
      <c r="Q1833">
        <v>0</v>
      </c>
      <c r="R1833">
        <v>0.98712239103731803</v>
      </c>
      <c r="S1833" t="s">
        <v>8144</v>
      </c>
      <c r="T1833" t="s">
        <v>12620</v>
      </c>
      <c r="U1833" t="s">
        <v>12620</v>
      </c>
      <c r="V1833" t="s">
        <v>12620</v>
      </c>
      <c r="W1833" t="s">
        <v>14414</v>
      </c>
      <c r="X1833">
        <v>4</v>
      </c>
      <c r="Y1833" t="s">
        <v>20621</v>
      </c>
      <c r="Z1833" t="s">
        <v>26780</v>
      </c>
      <c r="AA1833">
        <v>0.85355463685140065</v>
      </c>
      <c r="AB1833" t="str">
        <f>HYPERLINK("Melting_Curves/meltCurve_P20908_COL5A1.pdf", "Melting_Curves/meltCurve_P20908_COL5A1.pdf")</f>
        <v>Melting_Curves/meltCurve_P20908_COL5A1.pdf</v>
      </c>
    </row>
    <row r="1834" spans="1:28" x14ac:dyDescent="0.25">
      <c r="A1834" t="s">
        <v>1838</v>
      </c>
      <c r="B1834">
        <v>0.99987803227770999</v>
      </c>
      <c r="C1834">
        <v>1.0838779236556699</v>
      </c>
      <c r="D1834">
        <v>0.97734187639325398</v>
      </c>
      <c r="E1834">
        <v>0.87236184287239404</v>
      </c>
      <c r="F1834">
        <v>0.35062602275349097</v>
      </c>
      <c r="G1834">
        <v>0.263763465728376</v>
      </c>
      <c r="H1834">
        <v>0.14584273050704499</v>
      </c>
      <c r="I1834">
        <v>0.13782253589284199</v>
      </c>
      <c r="J1834">
        <v>9.5226802954597303E-2</v>
      </c>
      <c r="K1834">
        <v>7.5573081324308997E-2</v>
      </c>
      <c r="L1834">
        <v>2275.9977339178799</v>
      </c>
      <c r="M1834">
        <v>43.922905730250598</v>
      </c>
      <c r="N1834">
        <v>52.199229127380697</v>
      </c>
      <c r="O1834">
        <v>51.710945504158801</v>
      </c>
      <c r="P1834">
        <v>-0.18321366869900299</v>
      </c>
      <c r="Q1834">
        <v>0.137202937737921</v>
      </c>
      <c r="R1834">
        <v>0.98401392637353002</v>
      </c>
      <c r="S1834" t="s">
        <v>8145</v>
      </c>
      <c r="T1834" t="s">
        <v>12620</v>
      </c>
      <c r="U1834" t="s">
        <v>12620</v>
      </c>
      <c r="V1834" t="s">
        <v>12620</v>
      </c>
      <c r="W1834" t="s">
        <v>14415</v>
      </c>
      <c r="X1834">
        <v>13</v>
      </c>
      <c r="Y1834" t="s">
        <v>20622</v>
      </c>
      <c r="Z1834" t="s">
        <v>26781</v>
      </c>
      <c r="AA1834">
        <v>0.47964702324367331</v>
      </c>
      <c r="AB1834" t="str">
        <f>HYPERLINK("Melting_Curves/meltCurve_P20936_2_RASA1.pdf", "Melting_Curves/meltCurve_P20936_2_RASA1.pdf")</f>
        <v>Melting_Curves/meltCurve_P20936_2_RASA1.pdf</v>
      </c>
    </row>
    <row r="1835" spans="1:28" x14ac:dyDescent="0.25">
      <c r="A1835" t="s">
        <v>1839</v>
      </c>
      <c r="B1835">
        <v>0.99987803227770999</v>
      </c>
      <c r="C1835">
        <v>0.78996199944756995</v>
      </c>
      <c r="D1835">
        <v>0.82797063111584601</v>
      </c>
      <c r="E1835">
        <v>0.80644647136319603</v>
      </c>
      <c r="F1835">
        <v>0.92206822402847499</v>
      </c>
      <c r="G1835">
        <v>0.67134397383100197</v>
      </c>
      <c r="H1835">
        <v>0.805759104739595</v>
      </c>
      <c r="I1835">
        <v>0.81406623345474705</v>
      </c>
      <c r="J1835">
        <v>0.85114855834569203</v>
      </c>
      <c r="K1835">
        <v>0.68050680618909698</v>
      </c>
      <c r="L1835">
        <v>10268.7585143414</v>
      </c>
      <c r="M1835">
        <v>250</v>
      </c>
      <c r="O1835">
        <v>41.072406394480602</v>
      </c>
      <c r="P1835">
        <v>-0.30953679402051498</v>
      </c>
      <c r="Q1835">
        <v>0.79658526856130796</v>
      </c>
      <c r="R1835">
        <v>0.429534006307978</v>
      </c>
      <c r="S1835" t="s">
        <v>8146</v>
      </c>
      <c r="T1835" t="s">
        <v>12620</v>
      </c>
      <c r="U1835" t="s">
        <v>12620</v>
      </c>
      <c r="V1835" t="s">
        <v>12620</v>
      </c>
      <c r="W1835" t="s">
        <v>14416</v>
      </c>
      <c r="X1835">
        <v>4</v>
      </c>
      <c r="Y1835" t="s">
        <v>20623</v>
      </c>
      <c r="Z1835" t="s">
        <v>26782</v>
      </c>
      <c r="AA1835">
        <v>0.80389045614541799</v>
      </c>
      <c r="AB1835" t="str">
        <f>HYPERLINK("Melting_Curves/meltCurve_P20962_PTMS.pdf", "Melting_Curves/meltCurve_P20962_PTMS.pdf")</f>
        <v>Melting_Curves/meltCurve_P20962_PTMS.pdf</v>
      </c>
    </row>
    <row r="1836" spans="1:28" x14ac:dyDescent="0.25">
      <c r="A1836" t="s">
        <v>1840</v>
      </c>
      <c r="B1836">
        <v>0.99987803227770999</v>
      </c>
      <c r="C1836">
        <v>0.81505093140704798</v>
      </c>
      <c r="D1836">
        <v>0.51183878876819799</v>
      </c>
      <c r="E1836">
        <v>0.42566857469824698</v>
      </c>
      <c r="F1836">
        <v>0.241129977935125</v>
      </c>
      <c r="G1836">
        <v>0.16152818056433399</v>
      </c>
      <c r="H1836">
        <v>0.117782277126598</v>
      </c>
      <c r="I1836">
        <v>0.101813694281965</v>
      </c>
      <c r="J1836">
        <v>9.7027021643259007E-2</v>
      </c>
      <c r="K1836">
        <v>9.5888057914765096E-2</v>
      </c>
      <c r="L1836">
        <v>651.80532659092705</v>
      </c>
      <c r="M1836">
        <v>13.9130714348934</v>
      </c>
      <c r="N1836">
        <v>47.517006177524799</v>
      </c>
      <c r="O1836">
        <v>45.912421627622201</v>
      </c>
      <c r="P1836">
        <v>-6.9033387523088505E-2</v>
      </c>
      <c r="Q1836">
        <v>8.8897215220162099E-2</v>
      </c>
      <c r="R1836">
        <v>0.97998844298157195</v>
      </c>
      <c r="S1836" t="s">
        <v>8147</v>
      </c>
      <c r="T1836" t="s">
        <v>12620</v>
      </c>
      <c r="U1836" t="s">
        <v>12620</v>
      </c>
      <c r="V1836" t="s">
        <v>12620</v>
      </c>
      <c r="W1836" t="s">
        <v>14417</v>
      </c>
      <c r="X1836">
        <v>11</v>
      </c>
      <c r="Y1836" t="s">
        <v>20624</v>
      </c>
      <c r="Z1836" t="s">
        <v>26783</v>
      </c>
      <c r="AA1836">
        <v>0.32600969385564388</v>
      </c>
      <c r="AB1836" t="str">
        <f>HYPERLINK("Melting_Curves/meltCurve_P21127_8_CDK11B.pdf", "Melting_Curves/meltCurve_P21127_8_CDK11B.pdf")</f>
        <v>Melting_Curves/meltCurve_P21127_8_CDK11B.pdf</v>
      </c>
    </row>
    <row r="1837" spans="1:28" x14ac:dyDescent="0.25">
      <c r="A1837" t="s">
        <v>1841</v>
      </c>
      <c r="B1837">
        <v>0.99987803227770999</v>
      </c>
      <c r="C1837">
        <v>0.83143881273010201</v>
      </c>
      <c r="D1837">
        <v>0.84879038442090204</v>
      </c>
      <c r="E1837">
        <v>0.31982777971621201</v>
      </c>
      <c r="F1837">
        <v>0.16633354402985401</v>
      </c>
      <c r="G1837">
        <v>0.113333611907282</v>
      </c>
      <c r="H1837">
        <v>8.0329415242317806E-2</v>
      </c>
      <c r="I1837">
        <v>7.0865152857038399E-2</v>
      </c>
      <c r="J1837">
        <v>5.6350486623466402E-2</v>
      </c>
      <c r="K1837">
        <v>3.7299243968021097E-2</v>
      </c>
      <c r="L1837">
        <v>1148.8480772893299</v>
      </c>
      <c r="M1837">
        <v>23.775136452578899</v>
      </c>
      <c r="N1837">
        <v>48.5918490616423</v>
      </c>
      <c r="O1837">
        <v>47.983419759390898</v>
      </c>
      <c r="P1837">
        <v>-0.116197084040832</v>
      </c>
      <c r="Q1837">
        <v>6.1970505031524001E-2</v>
      </c>
      <c r="R1837">
        <v>0.98303582219432295</v>
      </c>
      <c r="S1837" t="s">
        <v>8148</v>
      </c>
      <c r="T1837" t="s">
        <v>12620</v>
      </c>
      <c r="U1837" t="s">
        <v>12620</v>
      </c>
      <c r="V1837" t="s">
        <v>12620</v>
      </c>
      <c r="W1837" t="s">
        <v>14418</v>
      </c>
      <c r="X1837">
        <v>9</v>
      </c>
      <c r="Y1837" t="s">
        <v>20625</v>
      </c>
      <c r="Z1837" t="s">
        <v>26784</v>
      </c>
      <c r="AA1837">
        <v>0.33137486015507472</v>
      </c>
      <c r="AB1837" t="str">
        <f>HYPERLINK("Melting_Curves/meltCurve_P21266_GSTM3.pdf", "Melting_Curves/meltCurve_P21266_GSTM3.pdf")</f>
        <v>Melting_Curves/meltCurve_P21266_GSTM3.pdf</v>
      </c>
    </row>
    <row r="1838" spans="1:28" x14ac:dyDescent="0.25">
      <c r="A1838" t="s">
        <v>1842</v>
      </c>
      <c r="B1838">
        <v>0.99987803227770999</v>
      </c>
      <c r="C1838">
        <v>1.0989924144927199</v>
      </c>
      <c r="D1838">
        <v>1.0085358933421</v>
      </c>
      <c r="E1838">
        <v>1.2200011289660799</v>
      </c>
      <c r="F1838">
        <v>0.84440853126182802</v>
      </c>
      <c r="G1838">
        <v>0.53474309849105295</v>
      </c>
      <c r="H1838">
        <v>0.44095969871373097</v>
      </c>
      <c r="I1838">
        <v>0.19020102325829799</v>
      </c>
      <c r="J1838">
        <v>8.9475911421715196E-2</v>
      </c>
      <c r="K1838">
        <v>6.6083641829892695E-2</v>
      </c>
      <c r="L1838">
        <v>1115.0449179644199</v>
      </c>
      <c r="M1838">
        <v>19.050834268791</v>
      </c>
      <c r="N1838">
        <v>58.754216568666102</v>
      </c>
      <c r="O1838">
        <v>57.896491535406497</v>
      </c>
      <c r="P1838">
        <v>-7.9381192541020495E-2</v>
      </c>
      <c r="Q1838">
        <v>3.5063253032411798E-2</v>
      </c>
      <c r="R1838">
        <v>0.94312726630148702</v>
      </c>
      <c r="S1838" t="s">
        <v>8149</v>
      </c>
      <c r="T1838" t="s">
        <v>12620</v>
      </c>
      <c r="U1838" t="s">
        <v>12620</v>
      </c>
      <c r="V1838" t="s">
        <v>12620</v>
      </c>
      <c r="W1838" t="s">
        <v>14419</v>
      </c>
      <c r="X1838">
        <v>18</v>
      </c>
      <c r="Y1838" t="s">
        <v>20626</v>
      </c>
      <c r="Z1838" t="s">
        <v>26785</v>
      </c>
      <c r="AA1838">
        <v>0.64178549895201276</v>
      </c>
      <c r="AB1838" t="str">
        <f>HYPERLINK("Melting_Curves/meltCurve_P21281_ATP6V1B2.pdf", "Melting_Curves/meltCurve_P21281_ATP6V1B2.pdf")</f>
        <v>Melting_Curves/meltCurve_P21281_ATP6V1B2.pdf</v>
      </c>
    </row>
    <row r="1839" spans="1:28" x14ac:dyDescent="0.25">
      <c r="A1839" t="s">
        <v>1843</v>
      </c>
      <c r="B1839">
        <v>0.99987803227770999</v>
      </c>
      <c r="C1839">
        <v>0.98634576874543101</v>
      </c>
      <c r="D1839">
        <v>0.95432361874729699</v>
      </c>
      <c r="E1839">
        <v>1.02176768468483</v>
      </c>
      <c r="F1839">
        <v>0.70746381535355396</v>
      </c>
      <c r="G1839">
        <v>0.23738180400183601</v>
      </c>
      <c r="H1839">
        <v>0.12087666900636999</v>
      </c>
      <c r="I1839">
        <v>9.4644867890049098E-2</v>
      </c>
      <c r="J1839">
        <v>6.5948016246657304E-2</v>
      </c>
      <c r="K1839">
        <v>4.5238747891988798E-2</v>
      </c>
      <c r="L1839">
        <v>1887.8526868469201</v>
      </c>
      <c r="M1839">
        <v>34.7372622715353</v>
      </c>
      <c r="N1839">
        <v>54.604640604215703</v>
      </c>
      <c r="O1839">
        <v>54.167455837764003</v>
      </c>
      <c r="P1839">
        <v>-0.14818898913658701</v>
      </c>
      <c r="Q1839">
        <v>7.5691011098781402E-2</v>
      </c>
      <c r="R1839">
        <v>0.99506445782031105</v>
      </c>
      <c r="S1839" t="s">
        <v>8150</v>
      </c>
      <c r="T1839" t="s">
        <v>12620</v>
      </c>
      <c r="U1839" t="s">
        <v>12620</v>
      </c>
      <c r="V1839" t="s">
        <v>12620</v>
      </c>
      <c r="W1839" t="s">
        <v>14420</v>
      </c>
      <c r="X1839">
        <v>21</v>
      </c>
      <c r="Y1839" t="s">
        <v>20627</v>
      </c>
      <c r="Z1839" t="s">
        <v>26786</v>
      </c>
      <c r="AA1839">
        <v>0.52229686307342171</v>
      </c>
      <c r="AB1839" t="str">
        <f>HYPERLINK("Melting_Curves/meltCurve_P21283_ATP6V1C1.pdf", "Melting_Curves/meltCurve_P21283_ATP6V1C1.pdf")</f>
        <v>Melting_Curves/meltCurve_P21283_ATP6V1C1.pdf</v>
      </c>
    </row>
    <row r="1840" spans="1:28" x14ac:dyDescent="0.25">
      <c r="A1840" t="s">
        <v>1844</v>
      </c>
      <c r="B1840">
        <v>0.99987803227770999</v>
      </c>
      <c r="C1840">
        <v>0.75930080575678005</v>
      </c>
      <c r="D1840">
        <v>0.99747514868012799</v>
      </c>
      <c r="E1840">
        <v>0.81467897578788795</v>
      </c>
      <c r="F1840">
        <v>1.1130022472752199</v>
      </c>
      <c r="G1840">
        <v>0.85793865350606302</v>
      </c>
      <c r="H1840">
        <v>0.97211236030568504</v>
      </c>
      <c r="I1840">
        <v>0.96742838957542099</v>
      </c>
      <c r="J1840">
        <v>1.11313203284096</v>
      </c>
      <c r="K1840">
        <v>0.91328085196580799</v>
      </c>
      <c r="L1840">
        <v>1.16175678389936E-5</v>
      </c>
      <c r="M1840">
        <v>17.503658286274899</v>
      </c>
      <c r="Q1840">
        <v>0.950822749764348</v>
      </c>
      <c r="R1840">
        <v>-2.2204460492503101E-16</v>
      </c>
      <c r="S1840" t="s">
        <v>8151</v>
      </c>
      <c r="T1840" t="s">
        <v>12620</v>
      </c>
      <c r="U1840" t="s">
        <v>12620</v>
      </c>
      <c r="V1840" t="s">
        <v>12620</v>
      </c>
      <c r="W1840" t="s">
        <v>14421</v>
      </c>
      <c r="X1840">
        <v>16</v>
      </c>
      <c r="Y1840" t="s">
        <v>20628</v>
      </c>
      <c r="Z1840" t="s">
        <v>26787</v>
      </c>
      <c r="AA1840">
        <v>0.95082275099467928</v>
      </c>
      <c r="AB1840" t="str">
        <f>HYPERLINK("Melting_Curves/meltCurve_P21291_CSRP1.pdf", "Melting_Curves/meltCurve_P21291_CSRP1.pdf")</f>
        <v>Melting_Curves/meltCurve_P21291_CSRP1.pdf</v>
      </c>
    </row>
    <row r="1841" spans="1:28" x14ac:dyDescent="0.25">
      <c r="A1841" t="s">
        <v>1845</v>
      </c>
      <c r="B1841">
        <v>0.99987803227770999</v>
      </c>
      <c r="C1841">
        <v>1.1961295802049801</v>
      </c>
      <c r="D1841">
        <v>0.75154899724911794</v>
      </c>
      <c r="E1841">
        <v>1.2817952948434901</v>
      </c>
      <c r="F1841">
        <v>0.48446797960465199</v>
      </c>
      <c r="G1841">
        <v>0.31676968743704098</v>
      </c>
      <c r="H1841">
        <v>0.16284604384120999</v>
      </c>
      <c r="I1841">
        <v>0.118723951153876</v>
      </c>
      <c r="J1841">
        <v>0.110049585450579</v>
      </c>
      <c r="K1841">
        <v>6.6341305667861006E-2</v>
      </c>
      <c r="L1841">
        <v>13226.279668359</v>
      </c>
      <c r="M1841">
        <v>250</v>
      </c>
      <c r="N1841">
        <v>52.983727016536399</v>
      </c>
      <c r="O1841">
        <v>52.901737578795903</v>
      </c>
      <c r="P1841">
        <v>-0.99837695433920604</v>
      </c>
      <c r="Q1841">
        <v>0.15494606220173199</v>
      </c>
      <c r="R1841">
        <v>0.89245581415158504</v>
      </c>
      <c r="S1841" t="s">
        <v>8152</v>
      </c>
      <c r="T1841" t="s">
        <v>12620</v>
      </c>
      <c r="U1841" t="s">
        <v>12620</v>
      </c>
      <c r="V1841" t="s">
        <v>12620</v>
      </c>
      <c r="W1841" t="s">
        <v>14422</v>
      </c>
      <c r="X1841">
        <v>181</v>
      </c>
      <c r="Y1841" t="s">
        <v>20629</v>
      </c>
      <c r="Z1841" t="s">
        <v>26788</v>
      </c>
      <c r="AA1841">
        <v>0.51854190190703731</v>
      </c>
      <c r="AB1841" t="str">
        <f>HYPERLINK("Melting_Curves/meltCurve_P21333_2_FLNA.pdf", "Melting_Curves/meltCurve_P21333_2_FLNA.pdf")</f>
        <v>Melting_Curves/meltCurve_P21333_2_FLNA.pdf</v>
      </c>
    </row>
    <row r="1842" spans="1:28" x14ac:dyDescent="0.25">
      <c r="A1842" t="s">
        <v>1846</v>
      </c>
      <c r="B1842">
        <v>0.99987803227770999</v>
      </c>
      <c r="C1842">
        <v>0.96075470258586804</v>
      </c>
      <c r="D1842">
        <v>0.82107629944643701</v>
      </c>
      <c r="E1842">
        <v>1.05625953210346</v>
      </c>
      <c r="F1842">
        <v>0.413541804609102</v>
      </c>
      <c r="G1842">
        <v>0.27492580888829898</v>
      </c>
      <c r="H1842">
        <v>0.174514505842428</v>
      </c>
      <c r="I1842">
        <v>0.16828412340787499</v>
      </c>
      <c r="J1842">
        <v>7.3053773119683502E-2</v>
      </c>
      <c r="K1842">
        <v>6.2432979529567501E-2</v>
      </c>
      <c r="L1842">
        <v>13207.4766115973</v>
      </c>
      <c r="M1842">
        <v>250</v>
      </c>
      <c r="N1842">
        <v>52.905794462191501</v>
      </c>
      <c r="O1842">
        <v>52.82653574986</v>
      </c>
      <c r="P1842">
        <v>-1.0048902685183101</v>
      </c>
      <c r="Q1842">
        <v>0.15064221526222299</v>
      </c>
      <c r="R1842">
        <v>0.95609485529001004</v>
      </c>
      <c r="S1842" t="s">
        <v>8153</v>
      </c>
      <c r="T1842" t="s">
        <v>12620</v>
      </c>
      <c r="U1842" t="s">
        <v>12620</v>
      </c>
      <c r="V1842" t="s">
        <v>12620</v>
      </c>
      <c r="W1842" t="s">
        <v>14423</v>
      </c>
      <c r="X1842">
        <v>5</v>
      </c>
      <c r="Y1842" t="s">
        <v>20630</v>
      </c>
      <c r="Z1842" t="s">
        <v>26789</v>
      </c>
      <c r="AA1842">
        <v>0.51396032795613589</v>
      </c>
      <c r="AB1842" t="str">
        <f>HYPERLINK("Melting_Curves/meltCurve_P21359_2_NF1.pdf", "Melting_Curves/meltCurve_P21359_2_NF1.pdf")</f>
        <v>Melting_Curves/meltCurve_P21359_2_NF1.pdf</v>
      </c>
    </row>
    <row r="1843" spans="1:28" x14ac:dyDescent="0.25">
      <c r="A1843" t="s">
        <v>1847</v>
      </c>
      <c r="B1843">
        <v>0.99987803227770999</v>
      </c>
      <c r="C1843">
        <v>1.08774888527679</v>
      </c>
      <c r="D1843">
        <v>0.69235768998882696</v>
      </c>
      <c r="E1843">
        <v>0.46914260755245801</v>
      </c>
      <c r="F1843">
        <v>0.21955756978785901</v>
      </c>
      <c r="G1843">
        <v>9.7116373118631902E-2</v>
      </c>
      <c r="H1843">
        <v>6.08188381487118E-2</v>
      </c>
      <c r="I1843">
        <v>5.3291472949850802E-2</v>
      </c>
      <c r="J1843">
        <v>3.9843053027711302E-2</v>
      </c>
      <c r="K1843">
        <v>2.8802122512997599E-2</v>
      </c>
      <c r="L1843">
        <v>938.82544108654702</v>
      </c>
      <c r="M1843">
        <v>19.1351155197477</v>
      </c>
      <c r="N1843">
        <v>49.256496050747103</v>
      </c>
      <c r="O1843">
        <v>48.536537510870303</v>
      </c>
      <c r="P1843">
        <v>-9.4994824533239597E-2</v>
      </c>
      <c r="Q1843">
        <v>3.6213590777724E-2</v>
      </c>
      <c r="R1843">
        <v>0.979072342293835</v>
      </c>
      <c r="S1843" t="s">
        <v>8154</v>
      </c>
      <c r="T1843" t="s">
        <v>12620</v>
      </c>
      <c r="U1843" t="s">
        <v>12620</v>
      </c>
      <c r="V1843" t="s">
        <v>12620</v>
      </c>
      <c r="W1843" t="s">
        <v>14424</v>
      </c>
      <c r="X1843">
        <v>30</v>
      </c>
      <c r="Y1843" t="s">
        <v>20631</v>
      </c>
      <c r="Z1843" t="s">
        <v>26790</v>
      </c>
      <c r="AA1843">
        <v>0.34212569144784288</v>
      </c>
      <c r="AB1843" t="str">
        <f>HYPERLINK("Melting_Curves/meltCurve_P21399_ACO1.pdf", "Melting_Curves/meltCurve_P21399_ACO1.pdf")</f>
        <v>Melting_Curves/meltCurve_P21399_ACO1.pdf</v>
      </c>
    </row>
    <row r="1844" spans="1:28" x14ac:dyDescent="0.25">
      <c r="A1844" t="s">
        <v>1848</v>
      </c>
      <c r="B1844">
        <v>0.99987803227770999</v>
      </c>
      <c r="C1844">
        <v>1.1557700839356</v>
      </c>
      <c r="D1844">
        <v>1.16471748312672</v>
      </c>
      <c r="E1844">
        <v>0.87665878757416504</v>
      </c>
      <c r="F1844">
        <v>0.79432854784398299</v>
      </c>
      <c r="G1844">
        <v>0.63703192673095699</v>
      </c>
      <c r="H1844">
        <v>0.40434624096420702</v>
      </c>
      <c r="I1844">
        <v>0.46849672875585602</v>
      </c>
      <c r="J1844">
        <v>0.136946449011351</v>
      </c>
      <c r="K1844">
        <v>6.5388589869180294E-2</v>
      </c>
      <c r="L1844">
        <v>769.35829138531506</v>
      </c>
      <c r="M1844">
        <v>12.860900634861901</v>
      </c>
      <c r="N1844">
        <v>59.821494195571603</v>
      </c>
      <c r="O1844">
        <v>58.430537800801801</v>
      </c>
      <c r="P1844">
        <v>-5.5036588760830597E-2</v>
      </c>
      <c r="Q1844">
        <v>0</v>
      </c>
      <c r="R1844">
        <v>0.92684338697558</v>
      </c>
      <c r="S1844" t="s">
        <v>8155</v>
      </c>
      <c r="T1844" t="s">
        <v>12620</v>
      </c>
      <c r="U1844" t="s">
        <v>12620</v>
      </c>
      <c r="V1844" t="s">
        <v>12620</v>
      </c>
      <c r="W1844" t="s">
        <v>14425</v>
      </c>
      <c r="X1844">
        <v>1</v>
      </c>
      <c r="Y1844" t="s">
        <v>20632</v>
      </c>
      <c r="Z1844" t="s">
        <v>26791</v>
      </c>
      <c r="AA1844">
        <v>0.66578953008798736</v>
      </c>
      <c r="AB1844" t="str">
        <f>HYPERLINK("Melting_Curves/meltCurve_P21549_AGXT.pdf", "Melting_Curves/meltCurve_P21549_AGXT.pdf")</f>
        <v>Melting_Curves/meltCurve_P21549_AGXT.pdf</v>
      </c>
    </row>
    <row r="1845" spans="1:28" x14ac:dyDescent="0.25">
      <c r="A1845" t="s">
        <v>1849</v>
      </c>
      <c r="B1845">
        <v>0.99987803227770999</v>
      </c>
      <c r="C1845">
        <v>0.74182554104885701</v>
      </c>
      <c r="D1845">
        <v>1.4619344301256301</v>
      </c>
      <c r="E1845">
        <v>0.74033523850634997</v>
      </c>
      <c r="F1845">
        <v>0.62351315124171303</v>
      </c>
      <c r="G1845">
        <v>0.43865679397652002</v>
      </c>
      <c r="H1845">
        <v>0.41977177847818797</v>
      </c>
      <c r="I1845">
        <v>0.51079068839956698</v>
      </c>
      <c r="J1845">
        <v>0.35547650071886799</v>
      </c>
      <c r="K1845">
        <v>0.31404538641372298</v>
      </c>
      <c r="L1845">
        <v>1725.6449359657699</v>
      </c>
      <c r="M1845">
        <v>33.529878461653297</v>
      </c>
      <c r="N1845">
        <v>54.175218907664899</v>
      </c>
      <c r="O1845">
        <v>51.283873581820998</v>
      </c>
      <c r="P1845">
        <v>-9.7006354529325198E-2</v>
      </c>
      <c r="Q1845">
        <v>0.406518706479363</v>
      </c>
      <c r="R1845">
        <v>0.708904718133895</v>
      </c>
      <c r="S1845" t="s">
        <v>8156</v>
      </c>
      <c r="T1845" t="s">
        <v>12620</v>
      </c>
      <c r="U1845" t="s">
        <v>12620</v>
      </c>
      <c r="V1845" t="s">
        <v>12620</v>
      </c>
      <c r="W1845" t="s">
        <v>14426</v>
      </c>
      <c r="X1845">
        <v>2</v>
      </c>
      <c r="Y1845" t="s">
        <v>20633</v>
      </c>
      <c r="Z1845" t="s">
        <v>26792</v>
      </c>
      <c r="AA1845">
        <v>0.63635466261787366</v>
      </c>
      <c r="AB1845" t="str">
        <f>HYPERLINK("Melting_Curves/meltCurve_P21580_TNFAIP3.pdf", "Melting_Curves/meltCurve_P21580_TNFAIP3.pdf")</f>
        <v>Melting_Curves/meltCurve_P21580_TNFAIP3.pdf</v>
      </c>
    </row>
    <row r="1846" spans="1:28" x14ac:dyDescent="0.25">
      <c r="A1846" t="s">
        <v>1850</v>
      </c>
      <c r="B1846">
        <v>0.99987803227770999</v>
      </c>
      <c r="C1846">
        <v>0.99982522648040495</v>
      </c>
      <c r="D1846">
        <v>0.69572114122663098</v>
      </c>
      <c r="E1846">
        <v>0.63323749835685395</v>
      </c>
      <c r="F1846">
        <v>0.42772883628016101</v>
      </c>
      <c r="G1846">
        <v>0.27367282553351502</v>
      </c>
      <c r="H1846">
        <v>0.152328955042032</v>
      </c>
      <c r="I1846">
        <v>0.115715799871246</v>
      </c>
      <c r="J1846">
        <v>8.1395139765608304E-2</v>
      </c>
      <c r="K1846">
        <v>4.6434845005248103E-2</v>
      </c>
      <c r="L1846">
        <v>583.40384425972695</v>
      </c>
      <c r="M1846">
        <v>11.2893966547728</v>
      </c>
      <c r="N1846">
        <v>51.751271726894899</v>
      </c>
      <c r="O1846">
        <v>50.135285902806899</v>
      </c>
      <c r="P1846">
        <v>-5.5860218229342201E-2</v>
      </c>
      <c r="Q1846">
        <v>8.0197120908884097E-3</v>
      </c>
      <c r="R1846">
        <v>0.981810671190124</v>
      </c>
      <c r="S1846" t="s">
        <v>8157</v>
      </c>
      <c r="T1846" t="s">
        <v>12620</v>
      </c>
      <c r="U1846" t="s">
        <v>12620</v>
      </c>
      <c r="V1846" t="s">
        <v>12620</v>
      </c>
      <c r="W1846" t="s">
        <v>14427</v>
      </c>
      <c r="X1846">
        <v>1</v>
      </c>
      <c r="Y1846" t="s">
        <v>20634</v>
      </c>
      <c r="Z1846" t="s">
        <v>26793</v>
      </c>
      <c r="AA1846">
        <v>0.42770718736815733</v>
      </c>
      <c r="AB1846" t="str">
        <f>HYPERLINK("Melting_Curves/meltCurve_P21953_BCKDHB.pdf", "Melting_Curves/meltCurve_P21953_BCKDHB.pdf")</f>
        <v>Melting_Curves/meltCurve_P21953_BCKDHB.pdf</v>
      </c>
    </row>
    <row r="1847" spans="1:28" x14ac:dyDescent="0.25">
      <c r="A1847" t="s">
        <v>1851</v>
      </c>
      <c r="B1847">
        <v>0.99987803227770999</v>
      </c>
      <c r="C1847">
        <v>0.76863854300656098</v>
      </c>
      <c r="D1847">
        <v>0.86359968767537298</v>
      </c>
      <c r="E1847">
        <v>0.57498550638583401</v>
      </c>
      <c r="F1847">
        <v>0.44528262600568802</v>
      </c>
      <c r="G1847">
        <v>0.27684399466014598</v>
      </c>
      <c r="H1847">
        <v>0.17392788425368899</v>
      </c>
      <c r="I1847">
        <v>0.13285099899177299</v>
      </c>
      <c r="J1847">
        <v>0.122007422472814</v>
      </c>
      <c r="K1847">
        <v>8.8564089155007006E-2</v>
      </c>
      <c r="L1847">
        <v>537.40923269581401</v>
      </c>
      <c r="M1847">
        <v>10.4462678119113</v>
      </c>
      <c r="N1847">
        <v>51.728676014044098</v>
      </c>
      <c r="O1847">
        <v>49.667018301535798</v>
      </c>
      <c r="P1847">
        <v>-5.1139243357525503E-2</v>
      </c>
      <c r="Q1847">
        <v>2.7829269602131199E-2</v>
      </c>
      <c r="R1847">
        <v>0.97598244892215003</v>
      </c>
      <c r="S1847" t="s">
        <v>8158</v>
      </c>
      <c r="T1847" t="s">
        <v>12620</v>
      </c>
      <c r="U1847" t="s">
        <v>12620</v>
      </c>
      <c r="V1847" t="s">
        <v>12620</v>
      </c>
      <c r="W1847" t="s">
        <v>14428</v>
      </c>
      <c r="X1847">
        <v>6</v>
      </c>
      <c r="Y1847" t="s">
        <v>20635</v>
      </c>
      <c r="Z1847" t="s">
        <v>26794</v>
      </c>
      <c r="AA1847">
        <v>0.43561463796203381</v>
      </c>
      <c r="AB1847" t="str">
        <f>HYPERLINK("Melting_Curves/meltCurve_P21964_2_COMT.pdf", "Melting_Curves/meltCurve_P21964_2_COMT.pdf")</f>
        <v>Melting_Curves/meltCurve_P21964_2_COMT.pdf</v>
      </c>
    </row>
    <row r="1848" spans="1:28" x14ac:dyDescent="0.25">
      <c r="A1848" t="s">
        <v>1852</v>
      </c>
      <c r="B1848">
        <v>0.99987803227770999</v>
      </c>
      <c r="C1848">
        <v>0.92326955059468896</v>
      </c>
      <c r="D1848">
        <v>1.0753322651481301</v>
      </c>
      <c r="E1848">
        <v>0.94802841277827099</v>
      </c>
      <c r="F1848">
        <v>0.55567882085596099</v>
      </c>
      <c r="G1848">
        <v>0.23168062319122401</v>
      </c>
      <c r="H1848">
        <v>0.11986841544216301</v>
      </c>
      <c r="I1848">
        <v>8.9607315147528302E-2</v>
      </c>
      <c r="J1848">
        <v>6.5252352169613795E-2</v>
      </c>
      <c r="K1848">
        <v>4.2805392504808998E-2</v>
      </c>
      <c r="L1848">
        <v>1649.9360759435301</v>
      </c>
      <c r="M1848">
        <v>30.885900448110199</v>
      </c>
      <c r="N1848">
        <v>53.714523030082702</v>
      </c>
      <c r="O1848">
        <v>53.1978988425072</v>
      </c>
      <c r="P1848">
        <v>-0.13385381005272801</v>
      </c>
      <c r="Q1848">
        <v>7.78053799820973E-2</v>
      </c>
      <c r="R1848">
        <v>0.98869157380666495</v>
      </c>
      <c r="S1848" t="s">
        <v>8159</v>
      </c>
      <c r="T1848" t="s">
        <v>12620</v>
      </c>
      <c r="U1848" t="s">
        <v>12620</v>
      </c>
      <c r="V1848" t="s">
        <v>12620</v>
      </c>
      <c r="W1848" t="s">
        <v>14429</v>
      </c>
      <c r="X1848">
        <v>40</v>
      </c>
      <c r="Y1848" t="s">
        <v>20636</v>
      </c>
      <c r="Z1848" t="s">
        <v>26795</v>
      </c>
      <c r="AA1848">
        <v>0.49602737938532832</v>
      </c>
      <c r="AB1848" t="str">
        <f>HYPERLINK("Melting_Curves/meltCurve_P21980_TGM2.pdf", "Melting_Curves/meltCurve_P21980_TGM2.pdf")</f>
        <v>Melting_Curves/meltCurve_P21980_TGM2.pdf</v>
      </c>
    </row>
    <row r="1849" spans="1:28" x14ac:dyDescent="0.25">
      <c r="A1849" t="s">
        <v>1853</v>
      </c>
      <c r="B1849">
        <v>0.99987803227770999</v>
      </c>
      <c r="C1849">
        <v>1.2149386973768099</v>
      </c>
      <c r="D1849">
        <v>0.96548720855013404</v>
      </c>
      <c r="E1849">
        <v>1.0374230702538301</v>
      </c>
      <c r="F1849">
        <v>0.39385234169038702</v>
      </c>
      <c r="G1849">
        <v>0.235073084331925</v>
      </c>
      <c r="H1849">
        <v>0.14761812974326999</v>
      </c>
      <c r="I1849">
        <v>0.121657049297712</v>
      </c>
      <c r="J1849">
        <v>6.9633495274161503E-2</v>
      </c>
      <c r="K1849">
        <v>4.5646353365205297E-2</v>
      </c>
      <c r="L1849">
        <v>13207.124468273299</v>
      </c>
      <c r="M1849">
        <v>250</v>
      </c>
      <c r="N1849">
        <v>52.888778195684701</v>
      </c>
      <c r="O1849">
        <v>52.825129915364798</v>
      </c>
      <c r="P1849">
        <v>-1.0365267988539399</v>
      </c>
      <c r="Q1849">
        <v>0.123925606154572</v>
      </c>
      <c r="R1849">
        <v>0.96463526736324301</v>
      </c>
      <c r="S1849" t="s">
        <v>8160</v>
      </c>
      <c r="T1849" t="s">
        <v>12620</v>
      </c>
      <c r="U1849" t="s">
        <v>12620</v>
      </c>
      <c r="V1849" t="s">
        <v>12620</v>
      </c>
      <c r="W1849" t="s">
        <v>14430</v>
      </c>
      <c r="X1849">
        <v>9</v>
      </c>
      <c r="Y1849" t="s">
        <v>20637</v>
      </c>
      <c r="Z1849" t="s">
        <v>26796</v>
      </c>
      <c r="AA1849">
        <v>0.49863077974493131</v>
      </c>
      <c r="AB1849" t="str">
        <f>HYPERLINK("Melting_Curves/meltCurve_P22033_MUT.pdf", "Melting_Curves/meltCurve_P22033_MUT.pdf")</f>
        <v>Melting_Curves/meltCurve_P22033_MUT.pdf</v>
      </c>
    </row>
    <row r="1850" spans="1:28" x14ac:dyDescent="0.25">
      <c r="A1850" t="s">
        <v>1854</v>
      </c>
      <c r="B1850">
        <v>0.99987803227770999</v>
      </c>
      <c r="C1850">
        <v>1.16649369143741</v>
      </c>
      <c r="D1850">
        <v>1.00366402647929</v>
      </c>
      <c r="E1850">
        <v>1.2280626219308599</v>
      </c>
      <c r="F1850">
        <v>0.88809582238934703</v>
      </c>
      <c r="G1850">
        <v>1.0964357044295301</v>
      </c>
      <c r="H1850">
        <v>0.71689865018846199</v>
      </c>
      <c r="I1850">
        <v>0.165388526805407</v>
      </c>
      <c r="J1850">
        <v>8.4799059406774693E-2</v>
      </c>
      <c r="K1850">
        <v>6.1361771108652798E-2</v>
      </c>
      <c r="L1850">
        <v>4057.2525014749499</v>
      </c>
      <c r="M1850">
        <v>65.666267759639197</v>
      </c>
      <c r="N1850">
        <v>61.933509460521698</v>
      </c>
      <c r="O1850">
        <v>61.728720342277903</v>
      </c>
      <c r="P1850">
        <v>-0.246688317241542</v>
      </c>
      <c r="Q1850">
        <v>7.2415698394937403E-2</v>
      </c>
      <c r="R1850">
        <v>0.94678126056805101</v>
      </c>
      <c r="S1850" t="s">
        <v>8161</v>
      </c>
      <c r="T1850" t="s">
        <v>12620</v>
      </c>
      <c r="U1850" t="s">
        <v>12620</v>
      </c>
      <c r="V1850" t="s">
        <v>12620</v>
      </c>
      <c r="W1850" t="s">
        <v>14431</v>
      </c>
      <c r="X1850">
        <v>25</v>
      </c>
      <c r="Y1850" t="s">
        <v>20638</v>
      </c>
      <c r="Z1850" t="s">
        <v>26797</v>
      </c>
      <c r="AA1850">
        <v>0.74747056504116571</v>
      </c>
      <c r="AB1850" t="str">
        <f>HYPERLINK("Melting_Curves/meltCurve_P22059_OSBP.pdf", "Melting_Curves/meltCurve_P22059_OSBP.pdf")</f>
        <v>Melting_Curves/meltCurve_P22059_OSBP.pdf</v>
      </c>
    </row>
    <row r="1851" spans="1:28" x14ac:dyDescent="0.25">
      <c r="A1851" t="s">
        <v>1855</v>
      </c>
      <c r="B1851">
        <v>0.99987803227770999</v>
      </c>
      <c r="C1851">
        <v>0.71315392584835402</v>
      </c>
      <c r="D1851">
        <v>1.0026198936623101</v>
      </c>
      <c r="E1851">
        <v>0.84646501677200603</v>
      </c>
      <c r="F1851">
        <v>0.68023614144507905</v>
      </c>
      <c r="G1851">
        <v>0.18518761385341001</v>
      </c>
      <c r="H1851">
        <v>8.9037957650463101E-2</v>
      </c>
      <c r="I1851">
        <v>8.3099638571557E-2</v>
      </c>
      <c r="J1851">
        <v>5.2301364285759801E-2</v>
      </c>
      <c r="K1851">
        <v>3.7806216572887102E-2</v>
      </c>
      <c r="L1851">
        <v>1468.8332096409599</v>
      </c>
      <c r="M1851">
        <v>27.2349340528855</v>
      </c>
      <c r="N1851">
        <v>54.122359186243401</v>
      </c>
      <c r="O1851">
        <v>53.643703707541199</v>
      </c>
      <c r="P1851">
        <v>-0.121127905793009</v>
      </c>
      <c r="Q1851">
        <v>4.5683452593442697E-2</v>
      </c>
      <c r="R1851">
        <v>0.94241405556130697</v>
      </c>
      <c r="S1851" t="s">
        <v>8162</v>
      </c>
      <c r="T1851" t="s">
        <v>12620</v>
      </c>
      <c r="U1851" t="s">
        <v>12620</v>
      </c>
      <c r="V1851" t="s">
        <v>12620</v>
      </c>
      <c r="W1851" t="s">
        <v>14432</v>
      </c>
      <c r="X1851">
        <v>15</v>
      </c>
      <c r="Y1851" t="s">
        <v>20639</v>
      </c>
      <c r="Z1851" t="s">
        <v>26798</v>
      </c>
      <c r="AA1851">
        <v>0.49639928280547951</v>
      </c>
      <c r="AB1851" t="str">
        <f>HYPERLINK("Melting_Curves/meltCurve_P22061_PCMT1.pdf", "Melting_Curves/meltCurve_P22061_PCMT1.pdf")</f>
        <v>Melting_Curves/meltCurve_P22061_PCMT1.pdf</v>
      </c>
    </row>
    <row r="1852" spans="1:28" x14ac:dyDescent="0.25">
      <c r="A1852" t="s">
        <v>1856</v>
      </c>
      <c r="B1852">
        <v>0.99987803227770999</v>
      </c>
      <c r="C1852">
        <v>1.0088820903645299</v>
      </c>
      <c r="D1852">
        <v>1.17766147554594</v>
      </c>
      <c r="E1852">
        <v>0.918504993140276</v>
      </c>
      <c r="F1852">
        <v>0.78915977695083395</v>
      </c>
      <c r="G1852">
        <v>0.54623895568222702</v>
      </c>
      <c r="H1852">
        <v>0.487483497817988</v>
      </c>
      <c r="I1852">
        <v>0.454156239665992</v>
      </c>
      <c r="J1852">
        <v>0.45546764155964897</v>
      </c>
      <c r="K1852">
        <v>0.36719618022043798</v>
      </c>
      <c r="L1852">
        <v>1391.7258724240701</v>
      </c>
      <c r="M1852">
        <v>25.6960483273104</v>
      </c>
      <c r="N1852">
        <v>58.557470985363601</v>
      </c>
      <c r="O1852">
        <v>53.8362773025313</v>
      </c>
      <c r="P1852">
        <v>-6.8330072978916204E-2</v>
      </c>
      <c r="Q1852">
        <v>0.42736863555559801</v>
      </c>
      <c r="R1852">
        <v>0.94792327078347605</v>
      </c>
      <c r="S1852" t="s">
        <v>8163</v>
      </c>
      <c r="T1852" t="s">
        <v>12620</v>
      </c>
      <c r="U1852" t="s">
        <v>12620</v>
      </c>
      <c r="V1852" t="s">
        <v>12620</v>
      </c>
      <c r="W1852" t="s">
        <v>14433</v>
      </c>
      <c r="X1852">
        <v>6</v>
      </c>
      <c r="Y1852" t="s">
        <v>20640</v>
      </c>
      <c r="Z1852" t="s">
        <v>26799</v>
      </c>
      <c r="AA1852">
        <v>0.70271370045896431</v>
      </c>
      <c r="AB1852" t="str">
        <f>HYPERLINK("Melting_Curves/meltCurve_P22087_FBL.pdf", "Melting_Curves/meltCurve_P22087_FBL.pdf")</f>
        <v>Melting_Curves/meltCurve_P22087_FBL.pdf</v>
      </c>
    </row>
    <row r="1853" spans="1:28" x14ac:dyDescent="0.25">
      <c r="A1853" t="s">
        <v>1857</v>
      </c>
      <c r="B1853">
        <v>0.99987803227770999</v>
      </c>
      <c r="C1853">
        <v>1.0702293407677499</v>
      </c>
      <c r="D1853">
        <v>0.69408289261447498</v>
      </c>
      <c r="E1853">
        <v>0.36690818522575902</v>
      </c>
      <c r="F1853">
        <v>0.167429450507421</v>
      </c>
      <c r="G1853">
        <v>0.110470431470664</v>
      </c>
      <c r="H1853">
        <v>7.3168195825551494E-2</v>
      </c>
      <c r="I1853">
        <v>6.3284000793094902E-2</v>
      </c>
      <c r="J1853">
        <v>4.3387412616401298E-2</v>
      </c>
      <c r="K1853">
        <v>2.9922220406161801E-2</v>
      </c>
      <c r="L1853">
        <v>1082.1138570159901</v>
      </c>
      <c r="M1853">
        <v>22.4541296229119</v>
      </c>
      <c r="N1853">
        <v>48.451416671900503</v>
      </c>
      <c r="O1853">
        <v>47.814843144206598</v>
      </c>
      <c r="P1853">
        <v>-0.110759101403622</v>
      </c>
      <c r="Q1853">
        <v>5.6597600720547703E-2</v>
      </c>
      <c r="R1853">
        <v>0.98519953645458402</v>
      </c>
      <c r="S1853" t="s">
        <v>8164</v>
      </c>
      <c r="T1853" t="s">
        <v>12620</v>
      </c>
      <c r="U1853" t="s">
        <v>12620</v>
      </c>
      <c r="V1853" t="s">
        <v>12620</v>
      </c>
      <c r="W1853" t="s">
        <v>14434</v>
      </c>
      <c r="X1853">
        <v>36</v>
      </c>
      <c r="Y1853" t="s">
        <v>20641</v>
      </c>
      <c r="Z1853" t="s">
        <v>26800</v>
      </c>
      <c r="AA1853">
        <v>0.3246770052164894</v>
      </c>
      <c r="AB1853" t="str">
        <f>HYPERLINK("Melting_Curves/meltCurve_P22102_GART.pdf", "Melting_Curves/meltCurve_P22102_GART.pdf")</f>
        <v>Melting_Curves/meltCurve_P22102_GART.pdf</v>
      </c>
    </row>
    <row r="1854" spans="1:28" x14ac:dyDescent="0.25">
      <c r="A1854" t="s">
        <v>1858</v>
      </c>
      <c r="B1854">
        <v>0.99987803227770999</v>
      </c>
      <c r="C1854">
        <v>0.90226140796378596</v>
      </c>
      <c r="D1854">
        <v>0.97743254710962202</v>
      </c>
      <c r="E1854">
        <v>0.86181304776330703</v>
      </c>
      <c r="F1854">
        <v>1.03251782370659</v>
      </c>
      <c r="G1854">
        <v>0.86688606882107699</v>
      </c>
      <c r="H1854">
        <v>0.77536590987522802</v>
      </c>
      <c r="I1854">
        <v>0.72018657175590906</v>
      </c>
      <c r="J1854">
        <v>0.55696639756174005</v>
      </c>
      <c r="K1854">
        <v>0.38056362404871802</v>
      </c>
      <c r="L1854">
        <v>786.66162235872696</v>
      </c>
      <c r="M1854">
        <v>11.5716487536705</v>
      </c>
      <c r="N1854">
        <v>67.981810292009499</v>
      </c>
      <c r="O1854">
        <v>66.046674816585806</v>
      </c>
      <c r="P1854">
        <v>-4.3813180818534601E-2</v>
      </c>
      <c r="Q1854">
        <v>0</v>
      </c>
      <c r="R1854">
        <v>0.909558719990195</v>
      </c>
      <c r="S1854" t="s">
        <v>8165</v>
      </c>
      <c r="T1854" t="s">
        <v>12620</v>
      </c>
      <c r="U1854" t="s">
        <v>12620</v>
      </c>
      <c r="V1854" t="s">
        <v>12620</v>
      </c>
      <c r="W1854" t="s">
        <v>14435</v>
      </c>
      <c r="X1854">
        <v>9</v>
      </c>
      <c r="Y1854" t="s">
        <v>20642</v>
      </c>
      <c r="Z1854" t="s">
        <v>26801</v>
      </c>
      <c r="AA1854">
        <v>0.84977369941921566</v>
      </c>
      <c r="AB1854" t="str">
        <f>HYPERLINK("Melting_Curves/meltCurve_P22307_7_SCP2.pdf", "Melting_Curves/meltCurve_P22307_7_SCP2.pdf")</f>
        <v>Melting_Curves/meltCurve_P22307_7_SCP2.pdf</v>
      </c>
    </row>
    <row r="1855" spans="1:28" x14ac:dyDescent="0.25">
      <c r="A1855" t="s">
        <v>1859</v>
      </c>
      <c r="B1855">
        <v>0.99987803227770999</v>
      </c>
      <c r="C1855">
        <v>1.2970603781429499</v>
      </c>
      <c r="D1855">
        <v>0.88645575312279101</v>
      </c>
      <c r="E1855">
        <v>0.381599511648267</v>
      </c>
      <c r="F1855">
        <v>0.18237421943759399</v>
      </c>
      <c r="G1855">
        <v>0.117871659661328</v>
      </c>
      <c r="H1855">
        <v>8.3487275721951595E-2</v>
      </c>
      <c r="I1855">
        <v>8.1108856911534605E-2</v>
      </c>
      <c r="J1855">
        <v>5.4068038338854998E-2</v>
      </c>
      <c r="K1855">
        <v>3.8609316801848897E-2</v>
      </c>
      <c r="L1855">
        <v>1675.6838931073601</v>
      </c>
      <c r="M1855">
        <v>34.166954890405599</v>
      </c>
      <c r="N1855">
        <v>49.289923721699303</v>
      </c>
      <c r="O1855">
        <v>48.876899088789301</v>
      </c>
      <c r="P1855">
        <v>-0.16106514176495501</v>
      </c>
      <c r="Q1855">
        <v>7.8368671757444802E-2</v>
      </c>
      <c r="R1855">
        <v>0.950576386354549</v>
      </c>
      <c r="S1855" t="s">
        <v>8166</v>
      </c>
      <c r="T1855" t="s">
        <v>12620</v>
      </c>
      <c r="U1855" t="s">
        <v>12620</v>
      </c>
      <c r="V1855" t="s">
        <v>12620</v>
      </c>
      <c r="W1855" t="s">
        <v>14436</v>
      </c>
      <c r="X1855">
        <v>45</v>
      </c>
      <c r="Y1855" t="s">
        <v>20643</v>
      </c>
      <c r="Z1855" t="s">
        <v>26802</v>
      </c>
      <c r="AA1855">
        <v>0.36051614178766012</v>
      </c>
      <c r="AB1855" t="str">
        <f>HYPERLINK("Melting_Curves/meltCurve_P22314_UBA1.pdf", "Melting_Curves/meltCurve_P22314_UBA1.pdf")</f>
        <v>Melting_Curves/meltCurve_P22314_UBA1.pdf</v>
      </c>
    </row>
    <row r="1856" spans="1:28" x14ac:dyDescent="0.25">
      <c r="A1856" t="s">
        <v>1860</v>
      </c>
      <c r="B1856">
        <v>0.99987803227770999</v>
      </c>
      <c r="C1856">
        <v>1.1877144279757399</v>
      </c>
      <c r="D1856">
        <v>1.10450409936436</v>
      </c>
      <c r="E1856">
        <v>1.2017775432336799</v>
      </c>
      <c r="F1856">
        <v>1.0553579710943199</v>
      </c>
      <c r="G1856">
        <v>1.14830422987633</v>
      </c>
      <c r="H1856">
        <v>1.3443049280814101</v>
      </c>
      <c r="I1856">
        <v>0.67916331255620399</v>
      </c>
      <c r="J1856">
        <v>0.1377237999658</v>
      </c>
      <c r="K1856">
        <v>6.6739244610373505E-2</v>
      </c>
      <c r="L1856">
        <v>15000</v>
      </c>
      <c r="M1856">
        <v>233.78808742528199</v>
      </c>
      <c r="N1856">
        <v>64.223504271625103</v>
      </c>
      <c r="O1856">
        <v>64.1559736829212</v>
      </c>
      <c r="P1856">
        <v>-0.81790300052232701</v>
      </c>
      <c r="Q1856">
        <v>0.10220638129670399</v>
      </c>
      <c r="R1856">
        <v>0.87284968683971698</v>
      </c>
      <c r="S1856" t="s">
        <v>8167</v>
      </c>
      <c r="T1856" t="s">
        <v>12620</v>
      </c>
      <c r="U1856" t="s">
        <v>12620</v>
      </c>
      <c r="V1856" t="s">
        <v>12620</v>
      </c>
      <c r="W1856" t="s">
        <v>14437</v>
      </c>
      <c r="X1856">
        <v>20</v>
      </c>
      <c r="Y1856" t="s">
        <v>19368</v>
      </c>
      <c r="Z1856" t="s">
        <v>26803</v>
      </c>
      <c r="AA1856">
        <v>0.8253651203262663</v>
      </c>
      <c r="AB1856" t="str">
        <f>HYPERLINK("Melting_Curves/meltCurve_P22392_2_NME2.pdf", "Melting_Curves/meltCurve_P22392_2_NME2.pdf")</f>
        <v>Melting_Curves/meltCurve_P22392_2_NME2.pdf</v>
      </c>
    </row>
    <row r="1857" spans="1:28" x14ac:dyDescent="0.25">
      <c r="A1857" t="s">
        <v>1861</v>
      </c>
      <c r="B1857">
        <v>0.99987803227770999</v>
      </c>
      <c r="C1857">
        <v>0.73105626677230096</v>
      </c>
      <c r="D1857">
        <v>0.38571515938089701</v>
      </c>
      <c r="E1857">
        <v>0.27831531116056002</v>
      </c>
      <c r="F1857">
        <v>0.179580689432498</v>
      </c>
      <c r="G1857">
        <v>0.114639918056266</v>
      </c>
      <c r="H1857">
        <v>8.0683690002463698E-2</v>
      </c>
      <c r="I1857">
        <v>6.8322167782910295E-2</v>
      </c>
      <c r="J1857">
        <v>6.0528114749537197E-2</v>
      </c>
      <c r="K1857">
        <v>4.4984408320808203E-2</v>
      </c>
      <c r="L1857">
        <v>815.14822657491004</v>
      </c>
      <c r="M1857">
        <v>18.089061971562199</v>
      </c>
      <c r="N1857">
        <v>45.4957324129171</v>
      </c>
      <c r="O1857">
        <v>44.523143056629003</v>
      </c>
      <c r="P1857">
        <v>-9.3548643792009306E-2</v>
      </c>
      <c r="Q1857">
        <v>7.9028395235488699E-2</v>
      </c>
      <c r="R1857">
        <v>0.97843378319443297</v>
      </c>
      <c r="S1857" t="s">
        <v>8168</v>
      </c>
      <c r="T1857" t="s">
        <v>12620</v>
      </c>
      <c r="U1857" t="s">
        <v>12620</v>
      </c>
      <c r="V1857" t="s">
        <v>12620</v>
      </c>
      <c r="W1857" t="s">
        <v>13398</v>
      </c>
      <c r="X1857">
        <v>21</v>
      </c>
      <c r="Y1857" t="s">
        <v>19641</v>
      </c>
      <c r="Z1857" t="s">
        <v>26804</v>
      </c>
      <c r="AA1857">
        <v>0.25396343701110979</v>
      </c>
      <c r="AB1857" t="str">
        <f>HYPERLINK("Melting_Curves/meltCurve_P22570_FDXR.pdf", "Melting_Curves/meltCurve_P22570_FDXR.pdf")</f>
        <v>Melting_Curves/meltCurve_P22570_FDXR.pdf</v>
      </c>
    </row>
    <row r="1858" spans="1:28" x14ac:dyDescent="0.25">
      <c r="A1858" t="s">
        <v>1862</v>
      </c>
      <c r="B1858">
        <v>0.99987803227770999</v>
      </c>
      <c r="C1858">
        <v>0.88232865606675703</v>
      </c>
      <c r="D1858">
        <v>1.0575903543246501</v>
      </c>
      <c r="E1858">
        <v>0.95765004920583896</v>
      </c>
      <c r="F1858">
        <v>0.98253640513288198</v>
      </c>
      <c r="G1858">
        <v>0.61330808344947696</v>
      </c>
      <c r="H1858">
        <v>0.41451889334555603</v>
      </c>
      <c r="I1858">
        <v>0.33730873465378802</v>
      </c>
      <c r="J1858">
        <v>0.31412441113178002</v>
      </c>
      <c r="K1858">
        <v>0.25915066316082902</v>
      </c>
      <c r="L1858">
        <v>1712.2892346073399</v>
      </c>
      <c r="M1858">
        <v>30.063912431502001</v>
      </c>
      <c r="N1858">
        <v>58.720391269368001</v>
      </c>
      <c r="O1858">
        <v>56.704757763184901</v>
      </c>
      <c r="P1858">
        <v>-9.3114050308104199E-2</v>
      </c>
      <c r="Q1858">
        <v>0.29749990241866198</v>
      </c>
      <c r="R1858">
        <v>0.97415245791358995</v>
      </c>
      <c r="S1858" t="s">
        <v>8169</v>
      </c>
      <c r="T1858" t="s">
        <v>12620</v>
      </c>
      <c r="U1858" t="s">
        <v>12620</v>
      </c>
      <c r="V1858" t="s">
        <v>12620</v>
      </c>
      <c r="W1858" t="s">
        <v>14438</v>
      </c>
      <c r="X1858">
        <v>19</v>
      </c>
      <c r="Y1858" t="s">
        <v>20644</v>
      </c>
      <c r="Z1858" t="s">
        <v>26805</v>
      </c>
      <c r="AA1858">
        <v>0.69919048437258935</v>
      </c>
      <c r="AB1858" t="str">
        <f>HYPERLINK("Melting_Curves/meltCurve_P22626_HNRNPA2B1.pdf", "Melting_Curves/meltCurve_P22626_HNRNPA2B1.pdf")</f>
        <v>Melting_Curves/meltCurve_P22626_HNRNPA2B1.pdf</v>
      </c>
    </row>
    <row r="1859" spans="1:28" x14ac:dyDescent="0.25">
      <c r="A1859" t="s">
        <v>1863</v>
      </c>
      <c r="B1859">
        <v>0.99987803227770999</v>
      </c>
      <c r="C1859">
        <v>1.21860131499406</v>
      </c>
      <c r="D1859">
        <v>1.1166800910364101</v>
      </c>
      <c r="E1859">
        <v>1.15254145938393</v>
      </c>
      <c r="F1859">
        <v>0.89031462802630601</v>
      </c>
      <c r="G1859">
        <v>0.87512701885945898</v>
      </c>
      <c r="H1859">
        <v>0.45398592461113702</v>
      </c>
      <c r="I1859">
        <v>0.16728327835044901</v>
      </c>
      <c r="J1859">
        <v>0.11571410226866601</v>
      </c>
      <c r="K1859">
        <v>7.6975465958947206E-2</v>
      </c>
      <c r="L1859">
        <v>1912.08537335952</v>
      </c>
      <c r="M1859">
        <v>31.730244311200401</v>
      </c>
      <c r="N1859">
        <v>60.524818189676502</v>
      </c>
      <c r="O1859">
        <v>60.022816982980601</v>
      </c>
      <c r="P1859">
        <v>-0.123614690953899</v>
      </c>
      <c r="Q1859">
        <v>6.4657260947056899E-2</v>
      </c>
      <c r="R1859">
        <v>0.94909176919572502</v>
      </c>
      <c r="S1859" t="s">
        <v>8170</v>
      </c>
      <c r="T1859" t="s">
        <v>12620</v>
      </c>
      <c r="U1859" t="s">
        <v>12620</v>
      </c>
      <c r="V1859" t="s">
        <v>12620</v>
      </c>
      <c r="W1859" t="s">
        <v>14439</v>
      </c>
      <c r="X1859">
        <v>5</v>
      </c>
      <c r="Y1859" t="s">
        <v>20645</v>
      </c>
      <c r="Z1859" t="s">
        <v>26806</v>
      </c>
      <c r="AA1859">
        <v>0.70153164078339181</v>
      </c>
      <c r="AB1859" t="str">
        <f>HYPERLINK("Melting_Curves/meltCurve_P22670_RFX1.pdf", "Melting_Curves/meltCurve_P22670_RFX1.pdf")</f>
        <v>Melting_Curves/meltCurve_P22670_RFX1.pdf</v>
      </c>
    </row>
    <row r="1860" spans="1:28" x14ac:dyDescent="0.25">
      <c r="A1860" t="s">
        <v>1864</v>
      </c>
      <c r="B1860">
        <v>0.99987803227770999</v>
      </c>
      <c r="C1860">
        <v>0.89129667057634099</v>
      </c>
      <c r="D1860">
        <v>0.96169365179278798</v>
      </c>
      <c r="E1860">
        <v>0.85129041998521204</v>
      </c>
      <c r="F1860">
        <v>0.80366605607213704</v>
      </c>
      <c r="G1860">
        <v>0.68608937213797405</v>
      </c>
      <c r="H1860">
        <v>0.68074836356186197</v>
      </c>
      <c r="I1860">
        <v>0.63653521241048105</v>
      </c>
      <c r="J1860">
        <v>0.52683958346993998</v>
      </c>
      <c r="K1860">
        <v>0.37589066916147601</v>
      </c>
      <c r="L1860">
        <v>363.766752702612</v>
      </c>
      <c r="M1860">
        <v>5.3935803431506404</v>
      </c>
      <c r="N1860">
        <v>67.4443802274142</v>
      </c>
      <c r="O1860">
        <v>59.857500908697197</v>
      </c>
      <c r="P1860">
        <v>-2.2632994708677301E-2</v>
      </c>
      <c r="Q1860">
        <v>0</v>
      </c>
      <c r="R1860">
        <v>0.94249214222112598</v>
      </c>
      <c r="S1860" t="s">
        <v>8171</v>
      </c>
      <c r="T1860" t="s">
        <v>12620</v>
      </c>
      <c r="U1860" t="s">
        <v>12620</v>
      </c>
      <c r="V1860" t="s">
        <v>12620</v>
      </c>
      <c r="W1860" t="s">
        <v>14440</v>
      </c>
      <c r="X1860">
        <v>15</v>
      </c>
      <c r="Y1860" t="s">
        <v>20646</v>
      </c>
      <c r="Z1860" t="s">
        <v>26807</v>
      </c>
      <c r="AA1860">
        <v>0.75118247629955248</v>
      </c>
      <c r="AB1860" t="str">
        <f>HYPERLINK("Melting_Curves/meltCurve_P22676_CALB2.pdf", "Melting_Curves/meltCurve_P22676_CALB2.pdf")</f>
        <v>Melting_Curves/meltCurve_P22676_CALB2.pdf</v>
      </c>
    </row>
    <row r="1861" spans="1:28" x14ac:dyDescent="0.25">
      <c r="A1861" t="s">
        <v>1865</v>
      </c>
      <c r="B1861">
        <v>0.99987803227770999</v>
      </c>
      <c r="C1861">
        <v>1.0342604092631</v>
      </c>
      <c r="D1861">
        <v>1.0130302131734199</v>
      </c>
      <c r="E1861">
        <v>1.0162914632035001</v>
      </c>
      <c r="F1861">
        <v>1.0606673929733801</v>
      </c>
      <c r="G1861">
        <v>0.96130696900337997</v>
      </c>
      <c r="H1861">
        <v>0.56852592055029705</v>
      </c>
      <c r="I1861">
        <v>0.37820163044764599</v>
      </c>
      <c r="J1861">
        <v>0.24980654334796801</v>
      </c>
      <c r="K1861">
        <v>0.19810273496376399</v>
      </c>
      <c r="L1861">
        <v>2080.3665994243602</v>
      </c>
      <c r="M1861">
        <v>34.135624595919801</v>
      </c>
      <c r="N1861">
        <v>61.941208902019497</v>
      </c>
      <c r="O1861">
        <v>60.736138954995901</v>
      </c>
      <c r="P1861">
        <v>-0.110808771847506</v>
      </c>
      <c r="Q1861">
        <v>0.211372872218478</v>
      </c>
      <c r="R1861">
        <v>0.99160557983242603</v>
      </c>
      <c r="S1861" t="s">
        <v>8172</v>
      </c>
      <c r="T1861" t="s">
        <v>12620</v>
      </c>
      <c r="U1861" t="s">
        <v>12620</v>
      </c>
      <c r="V1861" t="s">
        <v>12620</v>
      </c>
      <c r="W1861" t="s">
        <v>14441</v>
      </c>
      <c r="X1861">
        <v>20</v>
      </c>
      <c r="Y1861" t="s">
        <v>20647</v>
      </c>
      <c r="Z1861" t="s">
        <v>26808</v>
      </c>
      <c r="AA1861">
        <v>0.76572238765618716</v>
      </c>
      <c r="AB1861" t="str">
        <f>HYPERLINK("Melting_Curves/meltCurve_P22681_CBL.pdf", "Melting_Curves/meltCurve_P22681_CBL.pdf")</f>
        <v>Melting_Curves/meltCurve_P22681_CBL.pdf</v>
      </c>
    </row>
    <row r="1862" spans="1:28" x14ac:dyDescent="0.25">
      <c r="A1862" t="s">
        <v>1866</v>
      </c>
      <c r="B1862">
        <v>0.99987803227770999</v>
      </c>
      <c r="C1862">
        <v>0.90796042210376904</v>
      </c>
      <c r="D1862">
        <v>1.0585975653266</v>
      </c>
      <c r="E1862">
        <v>0.892418544037057</v>
      </c>
      <c r="F1862">
        <v>1.03908527563495</v>
      </c>
      <c r="G1862">
        <v>0.86027963574677302</v>
      </c>
      <c r="H1862">
        <v>0.852009428697445</v>
      </c>
      <c r="I1862">
        <v>0.85372093951545502</v>
      </c>
      <c r="J1862">
        <v>0.82330745154532403</v>
      </c>
      <c r="K1862">
        <v>0.64529026596855898</v>
      </c>
      <c r="L1862">
        <v>503.59215360108499</v>
      </c>
      <c r="M1862">
        <v>6.35396708275898</v>
      </c>
      <c r="Q1862">
        <v>0</v>
      </c>
      <c r="R1862">
        <v>0.710899413590101</v>
      </c>
      <c r="S1862" t="s">
        <v>8173</v>
      </c>
      <c r="T1862" t="s">
        <v>12620</v>
      </c>
      <c r="U1862" t="s">
        <v>12620</v>
      </c>
      <c r="V1862" t="s">
        <v>12620</v>
      </c>
      <c r="W1862" t="s">
        <v>14442</v>
      </c>
      <c r="X1862">
        <v>9</v>
      </c>
      <c r="Y1862" t="s">
        <v>20648</v>
      </c>
      <c r="Z1862" t="s">
        <v>26809</v>
      </c>
      <c r="AA1862">
        <v>0.90905105093408234</v>
      </c>
      <c r="AB1862" t="str">
        <f>HYPERLINK("Melting_Curves/meltCurve_P22692_IGFBP4.pdf", "Melting_Curves/meltCurve_P22692_IGFBP4.pdf")</f>
        <v>Melting_Curves/meltCurve_P22692_IGFBP4.pdf</v>
      </c>
    </row>
    <row r="1863" spans="1:28" x14ac:dyDescent="0.25">
      <c r="A1863" t="s">
        <v>1867</v>
      </c>
      <c r="B1863">
        <v>0.99987803227770999</v>
      </c>
      <c r="C1863">
        <v>1.0109604678638799</v>
      </c>
      <c r="D1863">
        <v>0.88634528292207904</v>
      </c>
      <c r="E1863">
        <v>0.83028086449606098</v>
      </c>
      <c r="F1863">
        <v>0.45939178789714702</v>
      </c>
      <c r="G1863">
        <v>0.21022962780332</v>
      </c>
      <c r="H1863">
        <v>0.112411296529006</v>
      </c>
      <c r="I1863">
        <v>8.4598653288774098E-2</v>
      </c>
      <c r="J1863">
        <v>7.0004973292025999E-2</v>
      </c>
      <c r="K1863">
        <v>4.8898874851364599E-2</v>
      </c>
      <c r="L1863">
        <v>1191.0158124081699</v>
      </c>
      <c r="M1863">
        <v>22.640143503675201</v>
      </c>
      <c r="N1863">
        <v>52.915504533522501</v>
      </c>
      <c r="O1863">
        <v>52.201105627412197</v>
      </c>
      <c r="P1863">
        <v>-0.101713363714116</v>
      </c>
      <c r="Q1863">
        <v>6.19415606187552E-2</v>
      </c>
      <c r="R1863">
        <v>0.99320846779164695</v>
      </c>
      <c r="S1863" t="s">
        <v>8174</v>
      </c>
      <c r="T1863" t="s">
        <v>12620</v>
      </c>
      <c r="U1863" t="s">
        <v>12620</v>
      </c>
      <c r="V1863" t="s">
        <v>12620</v>
      </c>
      <c r="W1863" t="s">
        <v>14443</v>
      </c>
      <c r="X1863">
        <v>7</v>
      </c>
      <c r="Y1863" t="s">
        <v>20649</v>
      </c>
      <c r="Z1863" t="s">
        <v>26810</v>
      </c>
      <c r="AA1863">
        <v>0.46648847342126798</v>
      </c>
      <c r="AB1863" t="str">
        <f>HYPERLINK("Melting_Curves/meltCurve_P22694_PRKACB.pdf", "Melting_Curves/meltCurve_P22694_PRKACB.pdf")</f>
        <v>Melting_Curves/meltCurve_P22694_PRKACB.pdf</v>
      </c>
    </row>
    <row r="1864" spans="1:28" x14ac:dyDescent="0.25">
      <c r="A1864" t="s">
        <v>1868</v>
      </c>
      <c r="B1864">
        <v>0.99987803227770999</v>
      </c>
      <c r="C1864">
        <v>1.0808594360250501</v>
      </c>
      <c r="D1864">
        <v>0.90257698822424703</v>
      </c>
      <c r="E1864">
        <v>0.64907287283918802</v>
      </c>
      <c r="F1864">
        <v>0.32711211372890298</v>
      </c>
      <c r="G1864">
        <v>0.184988057925487</v>
      </c>
      <c r="H1864">
        <v>0.127347120096796</v>
      </c>
      <c r="I1864">
        <v>0.101994060325694</v>
      </c>
      <c r="J1864">
        <v>8.4571553543663094E-2</v>
      </c>
      <c r="K1864">
        <v>5.9012711470473003E-2</v>
      </c>
      <c r="L1864">
        <v>1175.29702244345</v>
      </c>
      <c r="M1864">
        <v>23.0907518454061</v>
      </c>
      <c r="N1864">
        <v>51.329570091819498</v>
      </c>
      <c r="O1864">
        <v>50.521890186257899</v>
      </c>
      <c r="P1864">
        <v>-0.104203731972871</v>
      </c>
      <c r="Q1864">
        <v>8.80378789214777E-2</v>
      </c>
      <c r="R1864">
        <v>0.99221339309422296</v>
      </c>
      <c r="S1864" t="s">
        <v>8175</v>
      </c>
      <c r="T1864" t="s">
        <v>12620</v>
      </c>
      <c r="U1864" t="s">
        <v>12620</v>
      </c>
      <c r="V1864" t="s">
        <v>12620</v>
      </c>
      <c r="W1864" t="s">
        <v>14444</v>
      </c>
      <c r="X1864">
        <v>11</v>
      </c>
      <c r="Y1864" t="s">
        <v>20650</v>
      </c>
      <c r="Z1864" t="s">
        <v>26811</v>
      </c>
      <c r="AA1864">
        <v>0.42897072193622338</v>
      </c>
      <c r="AB1864" t="str">
        <f>HYPERLINK("Melting_Curves/meltCurve_P22830_FECH.pdf", "Melting_Curves/meltCurve_P22830_FECH.pdf")</f>
        <v>Melting_Curves/meltCurve_P22830_FECH.pdf</v>
      </c>
    </row>
    <row r="1865" spans="1:28" x14ac:dyDescent="0.25">
      <c r="A1865" t="s">
        <v>1869</v>
      </c>
      <c r="B1865">
        <v>0.99987803227770999</v>
      </c>
      <c r="C1865">
        <v>0.96840508396927205</v>
      </c>
      <c r="D1865">
        <v>1.0290624968863999</v>
      </c>
      <c r="E1865">
        <v>0.98958416872085797</v>
      </c>
      <c r="F1865">
        <v>0.93783823478801298</v>
      </c>
      <c r="G1865">
        <v>0.80585608902716899</v>
      </c>
      <c r="H1865">
        <v>0.86387857104863097</v>
      </c>
      <c r="I1865">
        <v>0.98204836971473697</v>
      </c>
      <c r="J1865">
        <v>0.74040256831816098</v>
      </c>
      <c r="K1865">
        <v>0.474290558282074</v>
      </c>
      <c r="L1865">
        <v>1755.9267317353799</v>
      </c>
      <c r="M1865">
        <v>25.149326928167099</v>
      </c>
      <c r="N1865">
        <v>69.820027219411102</v>
      </c>
      <c r="O1865">
        <v>69.383070190525402</v>
      </c>
      <c r="P1865">
        <v>-9.0618854495332093E-2</v>
      </c>
      <c r="Q1865">
        <v>0</v>
      </c>
      <c r="R1865">
        <v>0.76950378114768103</v>
      </c>
      <c r="S1865" t="s">
        <v>8176</v>
      </c>
      <c r="T1865" t="s">
        <v>12620</v>
      </c>
      <c r="U1865" t="s">
        <v>12620</v>
      </c>
      <c r="V1865" t="s">
        <v>12620</v>
      </c>
      <c r="W1865" t="s">
        <v>14445</v>
      </c>
      <c r="X1865">
        <v>2</v>
      </c>
      <c r="Y1865" t="s">
        <v>20651</v>
      </c>
      <c r="Z1865" t="s">
        <v>26812</v>
      </c>
      <c r="AA1865">
        <v>0.93817940312048909</v>
      </c>
      <c r="AB1865" t="str">
        <f>HYPERLINK("Melting_Curves/meltCurve_P22897_MRC1.pdf", "Melting_Curves/meltCurve_P22897_MRC1.pdf")</f>
        <v>Melting_Curves/meltCurve_P22897_MRC1.pdf</v>
      </c>
    </row>
    <row r="1866" spans="1:28" x14ac:dyDescent="0.25">
      <c r="A1866" t="s">
        <v>1870</v>
      </c>
      <c r="B1866">
        <v>0.99987803227770999</v>
      </c>
      <c r="C1866">
        <v>0.83955777417338895</v>
      </c>
      <c r="D1866">
        <v>0.97025217377895201</v>
      </c>
      <c r="E1866">
        <v>0.77612995434945797</v>
      </c>
      <c r="F1866">
        <v>0.63294723551627197</v>
      </c>
      <c r="G1866">
        <v>0.43785441490858801</v>
      </c>
      <c r="H1866">
        <v>0.29619968670923802</v>
      </c>
      <c r="I1866">
        <v>0.20381621230737701</v>
      </c>
      <c r="J1866">
        <v>0.116469737581519</v>
      </c>
      <c r="K1866">
        <v>9.8185723757577004E-2</v>
      </c>
      <c r="L1866">
        <v>602.07964100909601</v>
      </c>
      <c r="M1866">
        <v>10.8006230119801</v>
      </c>
      <c r="N1866">
        <v>55.744895281426103</v>
      </c>
      <c r="O1866">
        <v>53.935948126613901</v>
      </c>
      <c r="P1866">
        <v>-5.00803876518328E-2</v>
      </c>
      <c r="Q1866">
        <v>0</v>
      </c>
      <c r="R1866">
        <v>0.98205776114486498</v>
      </c>
      <c r="S1866" t="s">
        <v>8177</v>
      </c>
      <c r="T1866" t="s">
        <v>12620</v>
      </c>
      <c r="U1866" t="s">
        <v>12620</v>
      </c>
      <c r="V1866" t="s">
        <v>12620</v>
      </c>
      <c r="W1866" t="s">
        <v>14446</v>
      </c>
      <c r="X1866">
        <v>4</v>
      </c>
      <c r="Y1866" t="s">
        <v>20652</v>
      </c>
      <c r="Z1866" t="s">
        <v>26813</v>
      </c>
      <c r="AA1866">
        <v>0.54687905335851739</v>
      </c>
      <c r="AB1866" t="str">
        <f>HYPERLINK("Melting_Curves/meltCurve_P23025_XPA.pdf", "Melting_Curves/meltCurve_P23025_XPA.pdf")</f>
        <v>Melting_Curves/meltCurve_P23025_XPA.pdf</v>
      </c>
    </row>
    <row r="1867" spans="1:28" x14ac:dyDescent="0.25">
      <c r="A1867" t="s">
        <v>1871</v>
      </c>
      <c r="B1867">
        <v>0.99987803227770999</v>
      </c>
      <c r="C1867">
        <v>1.1209955495466899</v>
      </c>
      <c r="D1867">
        <v>1.0053925044618</v>
      </c>
      <c r="E1867">
        <v>1.01571720996363</v>
      </c>
      <c r="F1867">
        <v>0.72151276571488798</v>
      </c>
      <c r="G1867">
        <v>0.474163423161168</v>
      </c>
      <c r="H1867">
        <v>0.28146635666034098</v>
      </c>
      <c r="I1867">
        <v>0.239472618296698</v>
      </c>
      <c r="J1867">
        <v>0.127559292325997</v>
      </c>
      <c r="K1867">
        <v>8.1112805900422497E-2</v>
      </c>
      <c r="L1867">
        <v>1071.1914143076799</v>
      </c>
      <c r="M1867">
        <v>19.085053741303799</v>
      </c>
      <c r="N1867">
        <v>56.815868515242798</v>
      </c>
      <c r="O1867">
        <v>55.521912260997702</v>
      </c>
      <c r="P1867">
        <v>-7.7064440514204705E-2</v>
      </c>
      <c r="Q1867">
        <v>0.103256904969749</v>
      </c>
      <c r="R1867">
        <v>0.97778128840128897</v>
      </c>
      <c r="S1867" t="s">
        <v>8178</v>
      </c>
      <c r="T1867" t="s">
        <v>12620</v>
      </c>
      <c r="U1867" t="s">
        <v>12620</v>
      </c>
      <c r="V1867" t="s">
        <v>12620</v>
      </c>
      <c r="W1867" t="s">
        <v>14447</v>
      </c>
      <c r="X1867">
        <v>11</v>
      </c>
      <c r="Y1867" t="s">
        <v>20653</v>
      </c>
      <c r="Z1867" t="s">
        <v>26814</v>
      </c>
      <c r="AA1867">
        <v>0.59753482228766919</v>
      </c>
      <c r="AB1867" t="str">
        <f>HYPERLINK("Melting_Curves/meltCurve_P23141_3_CES1.pdf", "Melting_Curves/meltCurve_P23141_3_CES1.pdf")</f>
        <v>Melting_Curves/meltCurve_P23141_3_CES1.pdf</v>
      </c>
    </row>
    <row r="1868" spans="1:28" x14ac:dyDescent="0.25">
      <c r="A1868" t="s">
        <v>1872</v>
      </c>
      <c r="B1868">
        <v>0.99987803227770999</v>
      </c>
      <c r="C1868">
        <v>1.03488613056547</v>
      </c>
      <c r="D1868">
        <v>0.96152132897722298</v>
      </c>
      <c r="E1868">
        <v>0.94176086497272404</v>
      </c>
      <c r="F1868">
        <v>0.75205705932713096</v>
      </c>
      <c r="G1868">
        <v>0.61827946493585095</v>
      </c>
      <c r="H1868">
        <v>0.46163605876460601</v>
      </c>
      <c r="I1868">
        <v>0.30705177758879998</v>
      </c>
      <c r="J1868">
        <v>0.27489106856471601</v>
      </c>
      <c r="K1868">
        <v>0.15544297702645599</v>
      </c>
      <c r="L1868">
        <v>674.54397586457401</v>
      </c>
      <c r="M1868">
        <v>11.390300694891</v>
      </c>
      <c r="N1868">
        <v>59.630947680771598</v>
      </c>
      <c r="O1868">
        <v>57.483674919231603</v>
      </c>
      <c r="P1868">
        <v>-4.7685307301611302E-2</v>
      </c>
      <c r="Q1868">
        <v>3.7666229201177799E-2</v>
      </c>
      <c r="R1868">
        <v>0.99063608513873902</v>
      </c>
      <c r="S1868" t="s">
        <v>8179</v>
      </c>
      <c r="T1868" t="s">
        <v>12620</v>
      </c>
      <c r="U1868" t="s">
        <v>12620</v>
      </c>
      <c r="V1868" t="s">
        <v>12620</v>
      </c>
      <c r="W1868" t="s">
        <v>14448</v>
      </c>
      <c r="X1868">
        <v>5</v>
      </c>
      <c r="Y1868" t="s">
        <v>20654</v>
      </c>
      <c r="Z1868" t="s">
        <v>26815</v>
      </c>
      <c r="AA1868">
        <v>0.65959987672362252</v>
      </c>
      <c r="AB1868" t="str">
        <f>HYPERLINK("Melting_Curves/meltCurve_P23142_3_FBLN1.pdf", "Melting_Curves/meltCurve_P23142_3_FBLN1.pdf")</f>
        <v>Melting_Curves/meltCurve_P23142_3_FBLN1.pdf</v>
      </c>
    </row>
    <row r="1869" spans="1:28" x14ac:dyDescent="0.25">
      <c r="A1869" t="s">
        <v>1873</v>
      </c>
      <c r="B1869">
        <v>0.99987803227770999</v>
      </c>
      <c r="C1869">
        <v>0.87240225365623303</v>
      </c>
      <c r="D1869">
        <v>1.0259883021124001</v>
      </c>
      <c r="E1869">
        <v>0.91217821183784598</v>
      </c>
      <c r="F1869">
        <v>1.0280088060688</v>
      </c>
      <c r="G1869">
        <v>0.63810726757873504</v>
      </c>
      <c r="H1869">
        <v>0.54090150593048403</v>
      </c>
      <c r="I1869">
        <v>0.47945651011252599</v>
      </c>
      <c r="J1869">
        <v>0.431496645820652</v>
      </c>
      <c r="K1869">
        <v>0.34664216609378901</v>
      </c>
      <c r="L1869">
        <v>1589.8630854472499</v>
      </c>
      <c r="M1869">
        <v>27.945416584416702</v>
      </c>
      <c r="N1869">
        <v>60.703116557433702</v>
      </c>
      <c r="O1869">
        <v>56.602794380373098</v>
      </c>
      <c r="P1869">
        <v>-7.2389420689673994E-2</v>
      </c>
      <c r="Q1869">
        <v>0.41351268606584601</v>
      </c>
      <c r="R1869">
        <v>0.93104344661945004</v>
      </c>
      <c r="S1869" t="s">
        <v>8180</v>
      </c>
      <c r="T1869" t="s">
        <v>12620</v>
      </c>
      <c r="U1869" t="s">
        <v>12620</v>
      </c>
      <c r="V1869" t="s">
        <v>12620</v>
      </c>
      <c r="W1869" t="s">
        <v>14449</v>
      </c>
      <c r="X1869">
        <v>31</v>
      </c>
      <c r="Y1869" t="s">
        <v>20655</v>
      </c>
      <c r="Z1869" t="s">
        <v>26816</v>
      </c>
      <c r="AA1869">
        <v>0.74815726459406118</v>
      </c>
      <c r="AB1869" t="str">
        <f>HYPERLINK("Melting_Curves/meltCurve_P23193_TCEA1.pdf", "Melting_Curves/meltCurve_P23193_TCEA1.pdf")</f>
        <v>Melting_Curves/meltCurve_P23193_TCEA1.pdf</v>
      </c>
    </row>
    <row r="1870" spans="1:28" x14ac:dyDescent="0.25">
      <c r="A1870" t="s">
        <v>1874</v>
      </c>
      <c r="B1870">
        <v>0.99987803227770999</v>
      </c>
      <c r="C1870">
        <v>0.94772455978476799</v>
      </c>
      <c r="D1870">
        <v>1.05399944136665</v>
      </c>
      <c r="E1870">
        <v>0.88298079027808396</v>
      </c>
      <c r="F1870">
        <v>0.673201014421834</v>
      </c>
      <c r="G1870">
        <v>0.42458500479035499</v>
      </c>
      <c r="H1870">
        <v>0.35505485846462698</v>
      </c>
      <c r="I1870">
        <v>0.32232194007221199</v>
      </c>
      <c r="J1870">
        <v>0.305450847377366</v>
      </c>
      <c r="K1870">
        <v>0.25311479218246602</v>
      </c>
      <c r="L1870">
        <v>1257.3537575113201</v>
      </c>
      <c r="M1870">
        <v>23.516096905961799</v>
      </c>
      <c r="N1870">
        <v>55.544945264146101</v>
      </c>
      <c r="O1870">
        <v>53.085647091344001</v>
      </c>
      <c r="P1870">
        <v>-7.8355792675238595E-2</v>
      </c>
      <c r="Q1870">
        <v>0.292485196690904</v>
      </c>
      <c r="R1870">
        <v>0.98926140429901399</v>
      </c>
      <c r="S1870" t="s">
        <v>8181</v>
      </c>
      <c r="T1870" t="s">
        <v>12620</v>
      </c>
      <c r="U1870" t="s">
        <v>12620</v>
      </c>
      <c r="V1870" t="s">
        <v>12620</v>
      </c>
      <c r="W1870" t="s">
        <v>14450</v>
      </c>
      <c r="X1870">
        <v>20</v>
      </c>
      <c r="Y1870" t="s">
        <v>20656</v>
      </c>
      <c r="Z1870" t="s">
        <v>26817</v>
      </c>
      <c r="AA1870">
        <v>0.61741495520629863</v>
      </c>
      <c r="AB1870" t="str">
        <f>HYPERLINK("Melting_Curves/meltCurve_P23246_SFPQ.pdf", "Melting_Curves/meltCurve_P23246_SFPQ.pdf")</f>
        <v>Melting_Curves/meltCurve_P23246_SFPQ.pdf</v>
      </c>
    </row>
    <row r="1871" spans="1:28" x14ac:dyDescent="0.25">
      <c r="A1871" t="s">
        <v>1875</v>
      </c>
      <c r="B1871">
        <v>0.99987803227770999</v>
      </c>
      <c r="C1871">
        <v>0.968351412012048</v>
      </c>
      <c r="D1871">
        <v>0.81737894796293697</v>
      </c>
      <c r="E1871">
        <v>0.80417214368205903</v>
      </c>
      <c r="F1871">
        <v>0.47526613428227699</v>
      </c>
      <c r="G1871">
        <v>0.221261089059343</v>
      </c>
      <c r="H1871">
        <v>0.163422212453121</v>
      </c>
      <c r="I1871">
        <v>0.13803955356666001</v>
      </c>
      <c r="J1871">
        <v>0.100993179579218</v>
      </c>
      <c r="K1871">
        <v>6.8652827575374303E-2</v>
      </c>
      <c r="L1871">
        <v>884.57605012109605</v>
      </c>
      <c r="M1871">
        <v>16.860391907979899</v>
      </c>
      <c r="N1871">
        <v>52.942253874422001</v>
      </c>
      <c r="O1871">
        <v>51.743366059473097</v>
      </c>
      <c r="P1871">
        <v>-7.5720365964707007E-2</v>
      </c>
      <c r="Q1871">
        <v>7.0537267649701099E-2</v>
      </c>
      <c r="R1871">
        <v>0.98381037514457703</v>
      </c>
      <c r="S1871" t="s">
        <v>8182</v>
      </c>
      <c r="T1871" t="s">
        <v>12620</v>
      </c>
      <c r="U1871" t="s">
        <v>12620</v>
      </c>
      <c r="V1871" t="s">
        <v>12620</v>
      </c>
      <c r="W1871" t="s">
        <v>14451</v>
      </c>
      <c r="X1871">
        <v>7</v>
      </c>
      <c r="Y1871" t="s">
        <v>20657</v>
      </c>
      <c r="Z1871" t="s">
        <v>26818</v>
      </c>
      <c r="AA1871">
        <v>0.47380573972419598</v>
      </c>
      <c r="AB1871" t="str">
        <f>HYPERLINK("Melting_Curves/meltCurve_P23258_TUBG1.pdf", "Melting_Curves/meltCurve_P23258_TUBG1.pdf")</f>
        <v>Melting_Curves/meltCurve_P23258_TUBG1.pdf</v>
      </c>
    </row>
    <row r="1872" spans="1:28" x14ac:dyDescent="0.25">
      <c r="A1872" t="s">
        <v>1876</v>
      </c>
      <c r="B1872">
        <v>0.99987803227770999</v>
      </c>
      <c r="C1872">
        <v>0.755537359797951</v>
      </c>
      <c r="D1872">
        <v>0.93005032043476199</v>
      </c>
      <c r="E1872">
        <v>0.773999422367882</v>
      </c>
      <c r="F1872">
        <v>0.35660863820237398</v>
      </c>
      <c r="G1872">
        <v>0.14757744503984499</v>
      </c>
      <c r="H1872">
        <v>9.5704652235232293E-2</v>
      </c>
      <c r="I1872">
        <v>7.8688846143010999E-2</v>
      </c>
      <c r="J1872">
        <v>5.6985700488069099E-2</v>
      </c>
      <c r="K1872">
        <v>3.8418552514819598E-2</v>
      </c>
      <c r="L1872">
        <v>1327.9379461987101</v>
      </c>
      <c r="M1872">
        <v>25.658024587990699</v>
      </c>
      <c r="N1872">
        <v>52.0084665187631</v>
      </c>
      <c r="O1872">
        <v>51.443949803096302</v>
      </c>
      <c r="P1872">
        <v>-0.117369836011086</v>
      </c>
      <c r="Q1872">
        <v>5.8712380873840897E-2</v>
      </c>
      <c r="R1872">
        <v>0.95537395554275695</v>
      </c>
      <c r="S1872" t="s">
        <v>8183</v>
      </c>
      <c r="T1872" t="s">
        <v>12620</v>
      </c>
      <c r="U1872" t="s">
        <v>12620</v>
      </c>
      <c r="V1872" t="s">
        <v>12620</v>
      </c>
      <c r="W1872" t="s">
        <v>14452</v>
      </c>
      <c r="X1872">
        <v>19</v>
      </c>
      <c r="Y1872" t="s">
        <v>20658</v>
      </c>
      <c r="Z1872" t="s">
        <v>26819</v>
      </c>
      <c r="AA1872">
        <v>0.43569928592293178</v>
      </c>
      <c r="AB1872" t="str">
        <f>HYPERLINK("Melting_Curves/meltCurve_P23284_PPIB.pdf", "Melting_Curves/meltCurve_P23284_PPIB.pdf")</f>
        <v>Melting_Curves/meltCurve_P23284_PPIB.pdf</v>
      </c>
    </row>
    <row r="1873" spans="1:28" x14ac:dyDescent="0.25">
      <c r="A1873" t="s">
        <v>1877</v>
      </c>
      <c r="B1873">
        <v>0.99987803227770999</v>
      </c>
      <c r="C1873">
        <v>1.18262415203917</v>
      </c>
      <c r="D1873">
        <v>1.0303983242391901</v>
      </c>
      <c r="E1873">
        <v>1.0925875137579899</v>
      </c>
      <c r="F1873">
        <v>0.71797983140104105</v>
      </c>
      <c r="G1873">
        <v>0.23675041191207899</v>
      </c>
      <c r="H1873">
        <v>0.12515126451742201</v>
      </c>
      <c r="I1873">
        <v>0.102675169459178</v>
      </c>
      <c r="J1873">
        <v>7.3392139588369903E-2</v>
      </c>
      <c r="K1873">
        <v>4.76409751333257E-2</v>
      </c>
      <c r="L1873">
        <v>2118.2446779783099</v>
      </c>
      <c r="M1873">
        <v>38.973650138124299</v>
      </c>
      <c r="N1873">
        <v>54.616653831389797</v>
      </c>
      <c r="O1873">
        <v>54.208184389155299</v>
      </c>
      <c r="P1873">
        <v>-0.16420480246823899</v>
      </c>
      <c r="Q1873">
        <v>8.6436724079212102E-2</v>
      </c>
      <c r="R1873">
        <v>0.97464577185186496</v>
      </c>
      <c r="S1873" t="s">
        <v>8184</v>
      </c>
      <c r="T1873" t="s">
        <v>12620</v>
      </c>
      <c r="U1873" t="s">
        <v>12620</v>
      </c>
      <c r="V1873" t="s">
        <v>12620</v>
      </c>
      <c r="W1873" t="s">
        <v>14453</v>
      </c>
      <c r="X1873">
        <v>16</v>
      </c>
      <c r="Y1873" t="s">
        <v>20659</v>
      </c>
      <c r="Z1873" t="s">
        <v>26820</v>
      </c>
      <c r="AA1873">
        <v>0.52705106420278236</v>
      </c>
      <c r="AB1873" t="str">
        <f>HYPERLINK("Melting_Curves/meltCurve_P23368_ME2.pdf", "Melting_Curves/meltCurve_P23368_ME2.pdf")</f>
        <v>Melting_Curves/meltCurve_P23368_ME2.pdf</v>
      </c>
    </row>
    <row r="1874" spans="1:28" x14ac:dyDescent="0.25">
      <c r="A1874" t="s">
        <v>1878</v>
      </c>
      <c r="B1874">
        <v>0.99987803227770999</v>
      </c>
      <c r="C1874">
        <v>1.09845624922422</v>
      </c>
      <c r="D1874">
        <v>0.89535495528662501</v>
      </c>
      <c r="E1874">
        <v>1.04585025796192</v>
      </c>
      <c r="F1874">
        <v>0.76067167926958401</v>
      </c>
      <c r="G1874">
        <v>0.64142112849532296</v>
      </c>
      <c r="H1874">
        <v>0.36325885422568399</v>
      </c>
      <c r="I1874">
        <v>0.15567805877135599</v>
      </c>
      <c r="J1874">
        <v>9.3352846338191298E-2</v>
      </c>
      <c r="K1874">
        <v>5.7651142019453802E-2</v>
      </c>
      <c r="L1874">
        <v>989.80014620903796</v>
      </c>
      <c r="M1874">
        <v>16.915194956163599</v>
      </c>
      <c r="N1874">
        <v>58.515444926059899</v>
      </c>
      <c r="O1874">
        <v>57.715963559840397</v>
      </c>
      <c r="P1874">
        <v>-7.3273753249737103E-2</v>
      </c>
      <c r="Q1874">
        <v>0</v>
      </c>
      <c r="R1874">
        <v>0.97340148147625205</v>
      </c>
      <c r="S1874" t="s">
        <v>8185</v>
      </c>
      <c r="T1874" t="s">
        <v>12620</v>
      </c>
      <c r="U1874" t="s">
        <v>12620</v>
      </c>
      <c r="V1874" t="s">
        <v>12620</v>
      </c>
      <c r="W1874" t="s">
        <v>14454</v>
      </c>
      <c r="X1874">
        <v>11</v>
      </c>
      <c r="Y1874" t="s">
        <v>20660</v>
      </c>
      <c r="Z1874" t="s">
        <v>26821</v>
      </c>
      <c r="AA1874">
        <v>0.62900073544805934</v>
      </c>
      <c r="AB1874" t="str">
        <f>HYPERLINK("Melting_Curves/meltCurve_P23378_GLDC.pdf", "Melting_Curves/meltCurve_P23378_GLDC.pdf")</f>
        <v>Melting_Curves/meltCurve_P23378_GLDC.pdf</v>
      </c>
    </row>
    <row r="1875" spans="1:28" x14ac:dyDescent="0.25">
      <c r="A1875" t="s">
        <v>1879</v>
      </c>
      <c r="B1875">
        <v>0.99987803227770999</v>
      </c>
      <c r="C1875">
        <v>1.1021170159137601</v>
      </c>
      <c r="D1875">
        <v>1.07813542010354</v>
      </c>
      <c r="E1875">
        <v>1.1752898154293401</v>
      </c>
      <c r="F1875">
        <v>1.0812828227103899</v>
      </c>
      <c r="G1875">
        <v>1.11424466443431</v>
      </c>
      <c r="H1875">
        <v>1.3226669603572301</v>
      </c>
      <c r="I1875">
        <v>1.21271565519026</v>
      </c>
      <c r="J1875">
        <v>1.0486833706094101</v>
      </c>
      <c r="K1875">
        <v>0.70000848833750495</v>
      </c>
      <c r="L1875">
        <v>15000</v>
      </c>
      <c r="M1875">
        <v>213.438343775725</v>
      </c>
      <c r="Q1875">
        <v>0</v>
      </c>
      <c r="R1875">
        <v>8.4823106407583504E-2</v>
      </c>
      <c r="S1875" t="s">
        <v>8186</v>
      </c>
      <c r="T1875" t="s">
        <v>12620</v>
      </c>
      <c r="U1875" t="s">
        <v>12620</v>
      </c>
      <c r="V1875" t="s">
        <v>12620</v>
      </c>
      <c r="W1875" t="s">
        <v>14455</v>
      </c>
      <c r="X1875">
        <v>24</v>
      </c>
      <c r="Y1875" t="s">
        <v>20661</v>
      </c>
      <c r="Z1875" t="s">
        <v>26822</v>
      </c>
      <c r="AA1875">
        <v>0.996155480022344</v>
      </c>
      <c r="AB1875" t="str">
        <f>HYPERLINK("Melting_Curves/meltCurve_P23381_WARS.pdf", "Melting_Curves/meltCurve_P23381_WARS.pdf")</f>
        <v>Melting_Curves/meltCurve_P23381_WARS.pdf</v>
      </c>
    </row>
    <row r="1876" spans="1:28" x14ac:dyDescent="0.25">
      <c r="A1876" t="s">
        <v>1880</v>
      </c>
      <c r="B1876">
        <v>0.99987803227770999</v>
      </c>
      <c r="C1876">
        <v>0.859296238362106</v>
      </c>
      <c r="D1876">
        <v>0.64932768599736601</v>
      </c>
      <c r="E1876">
        <v>0.62812287574639003</v>
      </c>
      <c r="F1876">
        <v>0.356423082731189</v>
      </c>
      <c r="G1876">
        <v>0.205443486795824</v>
      </c>
      <c r="H1876">
        <v>0.136021897714518</v>
      </c>
      <c r="I1876">
        <v>0.11516258760282699</v>
      </c>
      <c r="J1876">
        <v>9.2055070124592797E-2</v>
      </c>
      <c r="K1876">
        <v>6.00573517724197E-2</v>
      </c>
      <c r="L1876">
        <v>535.84778777959798</v>
      </c>
      <c r="M1876">
        <v>10.634140858178901</v>
      </c>
      <c r="N1876">
        <v>50.513263727715298</v>
      </c>
      <c r="O1876">
        <v>48.705448418493802</v>
      </c>
      <c r="P1876">
        <v>-5.3902122133111199E-2</v>
      </c>
      <c r="Q1876">
        <v>1.2870497829612301E-2</v>
      </c>
      <c r="R1876">
        <v>0.97849728247057799</v>
      </c>
      <c r="S1876" t="s">
        <v>8187</v>
      </c>
      <c r="T1876" t="s">
        <v>12620</v>
      </c>
      <c r="U1876" t="s">
        <v>12620</v>
      </c>
      <c r="V1876" t="s">
        <v>12620</v>
      </c>
      <c r="W1876" t="s">
        <v>14456</v>
      </c>
      <c r="X1876">
        <v>20</v>
      </c>
      <c r="Y1876" t="s">
        <v>20662</v>
      </c>
      <c r="Z1876" t="s">
        <v>26823</v>
      </c>
      <c r="AA1876">
        <v>0.39450914356134809</v>
      </c>
      <c r="AB1876" t="str">
        <f>HYPERLINK("Melting_Curves/meltCurve_P23396_RPS3.pdf", "Melting_Curves/meltCurve_P23396_RPS3.pdf")</f>
        <v>Melting_Curves/meltCurve_P23396_RPS3.pdf</v>
      </c>
    </row>
    <row r="1877" spans="1:28" x14ac:dyDescent="0.25">
      <c r="A1877" t="s">
        <v>1881</v>
      </c>
      <c r="B1877">
        <v>0.99987803227770999</v>
      </c>
      <c r="C1877">
        <v>1.04996446937373</v>
      </c>
      <c r="D1877">
        <v>1.1525191366226799</v>
      </c>
      <c r="E1877">
        <v>0.99249052223197798</v>
      </c>
      <c r="F1877">
        <v>1.0774271021050601</v>
      </c>
      <c r="G1877">
        <v>0.41730755477067899</v>
      </c>
      <c r="H1877">
        <v>7.6529311736196301E-2</v>
      </c>
      <c r="I1877">
        <v>5.3774121625377598E-2</v>
      </c>
      <c r="J1877">
        <v>3.8784520576221997E-2</v>
      </c>
      <c r="K1877">
        <v>1.75127485887892E-2</v>
      </c>
      <c r="L1877">
        <v>11502.9170389589</v>
      </c>
      <c r="M1877">
        <v>202.25794140559699</v>
      </c>
      <c r="N1877">
        <v>56.9000820556628</v>
      </c>
      <c r="O1877">
        <v>56.8669275544027</v>
      </c>
      <c r="P1877">
        <v>-0.84769199193592504</v>
      </c>
      <c r="Q1877">
        <v>4.6649863492195E-2</v>
      </c>
      <c r="R1877">
        <v>0.98541482717168305</v>
      </c>
      <c r="S1877" t="s">
        <v>8188</v>
      </c>
      <c r="T1877" t="s">
        <v>12620</v>
      </c>
      <c r="U1877" t="s">
        <v>12620</v>
      </c>
      <c r="V1877" t="s">
        <v>12620</v>
      </c>
      <c r="W1877" t="s">
        <v>14457</v>
      </c>
      <c r="X1877">
        <v>1</v>
      </c>
      <c r="Y1877" t="s">
        <v>20663</v>
      </c>
      <c r="Z1877" t="s">
        <v>26824</v>
      </c>
      <c r="AA1877">
        <v>0.58297561992240765</v>
      </c>
      <c r="AB1877" t="str">
        <f>HYPERLINK("Melting_Curves/meltCurve_P23409_MYF6.pdf", "Melting_Curves/meltCurve_P23409_MYF6.pdf")</f>
        <v>Melting_Curves/meltCurve_P23409_MYF6.pdf</v>
      </c>
    </row>
    <row r="1878" spans="1:28" x14ac:dyDescent="0.25">
      <c r="A1878" t="s">
        <v>1882</v>
      </c>
      <c r="B1878">
        <v>0.99987803227770999</v>
      </c>
      <c r="C1878">
        <v>0.80823231580606403</v>
      </c>
      <c r="D1878">
        <v>0.98327883263754601</v>
      </c>
      <c r="E1878">
        <v>0.86666170637667095</v>
      </c>
      <c r="F1878">
        <v>1.15870861891389</v>
      </c>
      <c r="G1878">
        <v>1.03475051087183</v>
      </c>
      <c r="H1878">
        <v>1.0941443656907699</v>
      </c>
      <c r="I1878">
        <v>1.0432239562027501</v>
      </c>
      <c r="J1878">
        <v>0.97810112323890996</v>
      </c>
      <c r="K1878">
        <v>0.79183675388573505</v>
      </c>
      <c r="L1878">
        <v>15000</v>
      </c>
      <c r="M1878">
        <v>221.73914161920601</v>
      </c>
      <c r="O1878">
        <v>67.641554104332101</v>
      </c>
      <c r="P1878">
        <v>-0.17069644187785199</v>
      </c>
      <c r="Q1878">
        <v>0.79171611680235598</v>
      </c>
      <c r="R1878">
        <v>0.29236508933468702</v>
      </c>
      <c r="S1878" t="s">
        <v>8189</v>
      </c>
      <c r="T1878" t="s">
        <v>12620</v>
      </c>
      <c r="U1878" t="s">
        <v>12620</v>
      </c>
      <c r="V1878" t="s">
        <v>12620</v>
      </c>
      <c r="W1878" t="s">
        <v>14458</v>
      </c>
      <c r="X1878">
        <v>4</v>
      </c>
      <c r="Y1878" t="s">
        <v>20664</v>
      </c>
      <c r="Z1878" t="s">
        <v>26825</v>
      </c>
      <c r="AA1878">
        <v>0.98369409319334333</v>
      </c>
      <c r="AB1878" t="str">
        <f>HYPERLINK("Melting_Curves/meltCurve_P23434_GCSH.pdf", "Melting_Curves/meltCurve_P23434_GCSH.pdf")</f>
        <v>Melting_Curves/meltCurve_P23434_GCSH.pdf</v>
      </c>
    </row>
    <row r="1879" spans="1:28" x14ac:dyDescent="0.25">
      <c r="A1879" t="s">
        <v>1883</v>
      </c>
      <c r="B1879">
        <v>0.99987803227770999</v>
      </c>
      <c r="C1879">
        <v>0.79685176400985902</v>
      </c>
      <c r="D1879">
        <v>0.82312730205895102</v>
      </c>
      <c r="E1879">
        <v>1.07175250016818</v>
      </c>
      <c r="F1879">
        <v>0.98161429376124398</v>
      </c>
      <c r="G1879">
        <v>0.80417754309927103</v>
      </c>
      <c r="H1879">
        <v>0.39068149247900902</v>
      </c>
      <c r="I1879">
        <v>0.171448274482289</v>
      </c>
      <c r="J1879">
        <v>7.6422708641969803E-2</v>
      </c>
      <c r="K1879">
        <v>5.5859109951247703E-2</v>
      </c>
      <c r="L1879">
        <v>1703.1611888063801</v>
      </c>
      <c r="M1879">
        <v>28.477089844776501</v>
      </c>
      <c r="N1879">
        <v>59.9785840625334</v>
      </c>
      <c r="O1879">
        <v>59.515517646417997</v>
      </c>
      <c r="P1879">
        <v>-0.114971673595718</v>
      </c>
      <c r="Q1879">
        <v>3.8870361496552701E-2</v>
      </c>
      <c r="R1879">
        <v>0.94612597310898106</v>
      </c>
      <c r="S1879" t="s">
        <v>8190</v>
      </c>
      <c r="T1879" t="s">
        <v>12620</v>
      </c>
      <c r="U1879" t="s">
        <v>12620</v>
      </c>
      <c r="V1879" t="s">
        <v>12620</v>
      </c>
      <c r="W1879" t="s">
        <v>14459</v>
      </c>
      <c r="X1879">
        <v>3</v>
      </c>
      <c r="Y1879" t="s">
        <v>20665</v>
      </c>
      <c r="Z1879" t="s">
        <v>26826</v>
      </c>
      <c r="AA1879">
        <v>0.67980295474876429</v>
      </c>
      <c r="AB1879" t="str">
        <f>HYPERLINK("Melting_Curves/meltCurve_P23458_JAK1.pdf", "Melting_Curves/meltCurve_P23458_JAK1.pdf")</f>
        <v>Melting_Curves/meltCurve_P23458_JAK1.pdf</v>
      </c>
    </row>
    <row r="1880" spans="1:28" x14ac:dyDescent="0.25">
      <c r="A1880" t="s">
        <v>1884</v>
      </c>
      <c r="B1880">
        <v>0.99987803227770999</v>
      </c>
      <c r="C1880">
        <v>0.88476483538482598</v>
      </c>
      <c r="D1880">
        <v>0.998831090238816</v>
      </c>
      <c r="E1880">
        <v>0.86481213738440299</v>
      </c>
      <c r="F1880">
        <v>0.97087885691124198</v>
      </c>
      <c r="G1880">
        <v>0.81876038352523495</v>
      </c>
      <c r="H1880">
        <v>0.81491890305197701</v>
      </c>
      <c r="I1880">
        <v>0.77419217852539202</v>
      </c>
      <c r="J1880">
        <v>0.75878340219548901</v>
      </c>
      <c r="K1880">
        <v>0.64131192590764896</v>
      </c>
      <c r="L1880">
        <v>305.27977927815601</v>
      </c>
      <c r="M1880">
        <v>3.5958676985717499</v>
      </c>
      <c r="O1880">
        <v>67.222655720304502</v>
      </c>
      <c r="P1880">
        <v>-1.36134218357526E-2</v>
      </c>
      <c r="Q1880">
        <v>0</v>
      </c>
      <c r="R1880">
        <v>0.80733833990898696</v>
      </c>
      <c r="S1880" t="s">
        <v>8191</v>
      </c>
      <c r="T1880" t="s">
        <v>12620</v>
      </c>
      <c r="U1880" t="s">
        <v>12620</v>
      </c>
      <c r="V1880" t="s">
        <v>12620</v>
      </c>
      <c r="W1880" t="s">
        <v>14460</v>
      </c>
      <c r="X1880">
        <v>16</v>
      </c>
      <c r="Y1880" t="s">
        <v>20666</v>
      </c>
      <c r="Z1880" t="s">
        <v>26827</v>
      </c>
      <c r="AA1880">
        <v>0.86080102209607623</v>
      </c>
      <c r="AB1880" t="str">
        <f>HYPERLINK("Melting_Curves/meltCurve_P23497_SP100.pdf", "Melting_Curves/meltCurve_P23497_SP100.pdf")</f>
        <v>Melting_Curves/meltCurve_P23497_SP100.pdf</v>
      </c>
    </row>
    <row r="1881" spans="1:28" x14ac:dyDescent="0.25">
      <c r="A1881" t="s">
        <v>1885</v>
      </c>
      <c r="B1881">
        <v>0.99987803227770999</v>
      </c>
      <c r="C1881">
        <v>0.97601745171765697</v>
      </c>
      <c r="D1881">
        <v>1.0791636005124901</v>
      </c>
      <c r="E1881">
        <v>1.0179868818609199</v>
      </c>
      <c r="F1881">
        <v>0.97518071178072796</v>
      </c>
      <c r="G1881">
        <v>0.86721993610144099</v>
      </c>
      <c r="H1881">
        <v>0.77768431497236701</v>
      </c>
      <c r="I1881">
        <v>0.81405405441107503</v>
      </c>
      <c r="J1881">
        <v>0.50561828732988301</v>
      </c>
      <c r="K1881">
        <v>0.42598047395447602</v>
      </c>
      <c r="L1881">
        <v>856.02634344631701</v>
      </c>
      <c r="M1881">
        <v>12.524802586119099</v>
      </c>
      <c r="N1881">
        <v>68.346494236410194</v>
      </c>
      <c r="O1881">
        <v>66.674364210472802</v>
      </c>
      <c r="P1881">
        <v>-4.6972176942735498E-2</v>
      </c>
      <c r="Q1881">
        <v>0</v>
      </c>
      <c r="R1881">
        <v>0.93416749471667004</v>
      </c>
      <c r="S1881" t="s">
        <v>8192</v>
      </c>
      <c r="T1881" t="s">
        <v>12620</v>
      </c>
      <c r="U1881" t="s">
        <v>12620</v>
      </c>
      <c r="V1881" t="s">
        <v>12620</v>
      </c>
      <c r="W1881" t="s">
        <v>14461</v>
      </c>
      <c r="X1881">
        <v>2</v>
      </c>
      <c r="Y1881" t="s">
        <v>20667</v>
      </c>
      <c r="Z1881" t="s">
        <v>26828</v>
      </c>
      <c r="AA1881">
        <v>0.86345300241929235</v>
      </c>
      <c r="AB1881" t="str">
        <f>HYPERLINK("Melting_Curves/meltCurve_P23511_2_NFYA.pdf", "Melting_Curves/meltCurve_P23511_2_NFYA.pdf")</f>
        <v>Melting_Curves/meltCurve_P23511_2_NFYA.pdf</v>
      </c>
    </row>
    <row r="1882" spans="1:28" x14ac:dyDescent="0.25">
      <c r="A1882" t="s">
        <v>1886</v>
      </c>
      <c r="B1882">
        <v>0.99987803227770999</v>
      </c>
      <c r="C1882">
        <v>1.26050778360539</v>
      </c>
      <c r="D1882">
        <v>0.95485679636299403</v>
      </c>
      <c r="E1882">
        <v>1.2634892014446699</v>
      </c>
      <c r="F1882">
        <v>0.89713716490086104</v>
      </c>
      <c r="G1882">
        <v>0.60619081545189801</v>
      </c>
      <c r="H1882">
        <v>0.29037781742051</v>
      </c>
      <c r="I1882">
        <v>0.13204850814205099</v>
      </c>
      <c r="J1882">
        <v>8.07708685331823E-2</v>
      </c>
      <c r="K1882">
        <v>6.0347475148803197E-2</v>
      </c>
      <c r="L1882">
        <v>1568.64514960413</v>
      </c>
      <c r="M1882">
        <v>27.073513467698898</v>
      </c>
      <c r="N1882">
        <v>58.234861486502801</v>
      </c>
      <c r="O1882">
        <v>57.626868514688901</v>
      </c>
      <c r="P1882">
        <v>-0.10993514832493501</v>
      </c>
      <c r="Q1882">
        <v>6.4006795335376496E-2</v>
      </c>
      <c r="R1882">
        <v>0.92873652403305196</v>
      </c>
      <c r="S1882" t="s">
        <v>8193</v>
      </c>
      <c r="T1882" t="s">
        <v>12620</v>
      </c>
      <c r="U1882" t="s">
        <v>12620</v>
      </c>
      <c r="V1882" t="s">
        <v>12620</v>
      </c>
      <c r="W1882" t="s">
        <v>14462</v>
      </c>
      <c r="X1882">
        <v>31</v>
      </c>
      <c r="Y1882" t="s">
        <v>20668</v>
      </c>
      <c r="Z1882" t="s">
        <v>26829</v>
      </c>
      <c r="AA1882">
        <v>0.63100167103097116</v>
      </c>
      <c r="AB1882" t="str">
        <f>HYPERLINK("Melting_Curves/meltCurve_P23526_AHCY.pdf", "Melting_Curves/meltCurve_P23526_AHCY.pdf")</f>
        <v>Melting_Curves/meltCurve_P23526_AHCY.pdf</v>
      </c>
    </row>
    <row r="1883" spans="1:28" x14ac:dyDescent="0.25">
      <c r="A1883" t="s">
        <v>1887</v>
      </c>
      <c r="B1883">
        <v>0.99987803227770999</v>
      </c>
      <c r="C1883">
        <v>0.70880332862887396</v>
      </c>
      <c r="D1883">
        <v>1.0088906391802099</v>
      </c>
      <c r="E1883">
        <v>0.73637224822717995</v>
      </c>
      <c r="F1883">
        <v>1.01170645828888</v>
      </c>
      <c r="G1883">
        <v>0.64387538268688504</v>
      </c>
      <c r="H1883">
        <v>0.51825339804352699</v>
      </c>
      <c r="I1883">
        <v>0.37439552946460702</v>
      </c>
      <c r="J1883">
        <v>0.34285847916801998</v>
      </c>
      <c r="K1883">
        <v>0.24373437514558999</v>
      </c>
      <c r="L1883">
        <v>548.07223910691005</v>
      </c>
      <c r="M1883">
        <v>8.9082538127306901</v>
      </c>
      <c r="N1883">
        <v>61.524085778126697</v>
      </c>
      <c r="O1883">
        <v>58.660628834218102</v>
      </c>
      <c r="P1883">
        <v>-3.7993878127135602E-2</v>
      </c>
      <c r="Q1883">
        <v>0</v>
      </c>
      <c r="R1883">
        <v>0.80746778450770895</v>
      </c>
      <c r="S1883" t="s">
        <v>8194</v>
      </c>
      <c r="T1883" t="s">
        <v>12620</v>
      </c>
      <c r="U1883" t="s">
        <v>12620</v>
      </c>
      <c r="V1883" t="s">
        <v>12620</v>
      </c>
      <c r="W1883" t="s">
        <v>14463</v>
      </c>
      <c r="X1883">
        <v>19</v>
      </c>
      <c r="Y1883" t="s">
        <v>20669</v>
      </c>
      <c r="Z1883" t="s">
        <v>26830</v>
      </c>
      <c r="AA1883">
        <v>0.69360730864983122</v>
      </c>
      <c r="AB1883" t="str">
        <f>HYPERLINK("Melting_Curves/meltCurve_P23528_CFL1.pdf", "Melting_Curves/meltCurve_P23528_CFL1.pdf")</f>
        <v>Melting_Curves/meltCurve_P23528_CFL1.pdf</v>
      </c>
    </row>
    <row r="1884" spans="1:28" x14ac:dyDescent="0.25">
      <c r="A1884" t="s">
        <v>1888</v>
      </c>
      <c r="B1884">
        <v>0.99987803227770999</v>
      </c>
      <c r="C1884">
        <v>0.86755898801181697</v>
      </c>
      <c r="D1884">
        <v>0.97474719724792402</v>
      </c>
      <c r="E1884">
        <v>0.91615709752360297</v>
      </c>
      <c r="F1884">
        <v>1.07517670247543</v>
      </c>
      <c r="G1884">
        <v>0.89026181359854994</v>
      </c>
      <c r="H1884">
        <v>1.0736516735292601</v>
      </c>
      <c r="I1884">
        <v>1.0154570716220399</v>
      </c>
      <c r="J1884">
        <v>1.25333936514894</v>
      </c>
      <c r="K1884">
        <v>0.97409382998509997</v>
      </c>
      <c r="L1884">
        <v>14549.5922171413</v>
      </c>
      <c r="M1884">
        <v>240.82739646219301</v>
      </c>
      <c r="O1884">
        <v>60.410855311898203</v>
      </c>
      <c r="P1884">
        <v>8.0690640211670495E-2</v>
      </c>
      <c r="Q1884">
        <v>1.0809640532906899</v>
      </c>
      <c r="R1884">
        <v>0.22009845211429199</v>
      </c>
      <c r="S1884" t="s">
        <v>8195</v>
      </c>
      <c r="T1884" t="s">
        <v>12620</v>
      </c>
      <c r="U1884" t="s">
        <v>12620</v>
      </c>
      <c r="V1884" t="s">
        <v>12620</v>
      </c>
      <c r="W1884" t="s">
        <v>14464</v>
      </c>
      <c r="X1884">
        <v>49</v>
      </c>
      <c r="Y1884" t="s">
        <v>20670</v>
      </c>
      <c r="Z1884" t="s">
        <v>26831</v>
      </c>
      <c r="AA1884">
        <v>1.0258587073776679</v>
      </c>
      <c r="AB1884" t="str">
        <f>HYPERLINK("Melting_Curves/meltCurve_P23588_EIF4B.pdf", "Melting_Curves/meltCurve_P23588_EIF4B.pdf")</f>
        <v>Melting_Curves/meltCurve_P23588_EIF4B.pdf</v>
      </c>
    </row>
    <row r="1885" spans="1:28" x14ac:dyDescent="0.25">
      <c r="A1885" t="s">
        <v>1889</v>
      </c>
      <c r="B1885">
        <v>0.99987803227770999</v>
      </c>
      <c r="C1885">
        <v>1.00613369870953</v>
      </c>
      <c r="D1885">
        <v>0.83230605207972996</v>
      </c>
      <c r="E1885">
        <v>0.81075062344726201</v>
      </c>
      <c r="F1885">
        <v>0.36066100392749101</v>
      </c>
      <c r="G1885">
        <v>0.26286359969891898</v>
      </c>
      <c r="H1885">
        <v>0.13066206714318099</v>
      </c>
      <c r="I1885">
        <v>0.10153570523873801</v>
      </c>
      <c r="J1885">
        <v>9.0999562788988006E-2</v>
      </c>
      <c r="K1885">
        <v>6.31115146204035E-2</v>
      </c>
      <c r="L1885">
        <v>997.30090868100001</v>
      </c>
      <c r="M1885">
        <v>19.185786640406299</v>
      </c>
      <c r="N1885">
        <v>52.425497487325799</v>
      </c>
      <c r="O1885">
        <v>51.426382724473001</v>
      </c>
      <c r="P1885">
        <v>-8.6273880022755503E-2</v>
      </c>
      <c r="Q1885">
        <v>7.5026935500647707E-2</v>
      </c>
      <c r="R1885">
        <v>0.97770459488110395</v>
      </c>
      <c r="S1885" t="s">
        <v>8196</v>
      </c>
      <c r="T1885" t="s">
        <v>12620</v>
      </c>
      <c r="U1885" t="s">
        <v>12620</v>
      </c>
      <c r="V1885" t="s">
        <v>12620</v>
      </c>
      <c r="W1885" t="s">
        <v>14465</v>
      </c>
      <c r="X1885">
        <v>4</v>
      </c>
      <c r="Y1885" t="s">
        <v>20671</v>
      </c>
      <c r="Z1885" t="s">
        <v>26832</v>
      </c>
      <c r="AA1885">
        <v>0.4582207577446562</v>
      </c>
      <c r="AB1885" t="str">
        <f>HYPERLINK("Melting_Curves/meltCurve_P23610_F8A1.pdf", "Melting_Curves/meltCurve_P23610_F8A1.pdf")</f>
        <v>Melting_Curves/meltCurve_P23610_F8A1.pdf</v>
      </c>
    </row>
    <row r="1886" spans="1:28" x14ac:dyDescent="0.25">
      <c r="A1886" t="s">
        <v>1890</v>
      </c>
      <c r="B1886">
        <v>0.99987803227770999</v>
      </c>
      <c r="C1886">
        <v>0.74772961274173699</v>
      </c>
      <c r="D1886">
        <v>0.33154676108856002</v>
      </c>
      <c r="E1886">
        <v>0.29865031687209997</v>
      </c>
      <c r="F1886">
        <v>0.180213911712956</v>
      </c>
      <c r="G1886">
        <v>0.10627754827951801</v>
      </c>
      <c r="H1886">
        <v>8.76026239565805E-2</v>
      </c>
      <c r="I1886">
        <v>7.1723155986121903E-2</v>
      </c>
      <c r="J1886">
        <v>4.8529982285331702E-2</v>
      </c>
      <c r="K1886">
        <v>3.8752771283573899E-2</v>
      </c>
      <c r="L1886">
        <v>884.46107946129598</v>
      </c>
      <c r="M1886">
        <v>19.739262959301701</v>
      </c>
      <c r="N1886">
        <v>45.237973259638899</v>
      </c>
      <c r="O1886">
        <v>44.354929877871903</v>
      </c>
      <c r="P1886">
        <v>-0.10172811173041101</v>
      </c>
      <c r="Q1886">
        <v>8.5682464190211804E-2</v>
      </c>
      <c r="R1886">
        <v>0.96454348216272201</v>
      </c>
      <c r="S1886" t="s">
        <v>8197</v>
      </c>
      <c r="T1886" t="s">
        <v>12620</v>
      </c>
      <c r="U1886" t="s">
        <v>12620</v>
      </c>
      <c r="V1886" t="s">
        <v>12620</v>
      </c>
      <c r="W1886" t="s">
        <v>14466</v>
      </c>
      <c r="X1886">
        <v>1</v>
      </c>
      <c r="Y1886" t="s">
        <v>20672</v>
      </c>
      <c r="Z1886" t="s">
        <v>26833</v>
      </c>
      <c r="AA1886">
        <v>0.24851703490621799</v>
      </c>
      <c r="AB1886" t="str">
        <f>HYPERLINK("Melting_Curves/meltCurve_P23743_DGKA.pdf", "Melting_Curves/meltCurve_P23743_DGKA.pdf")</f>
        <v>Melting_Curves/meltCurve_P23743_DGKA.pdf</v>
      </c>
    </row>
    <row r="1887" spans="1:28" x14ac:dyDescent="0.25">
      <c r="A1887" t="s">
        <v>1891</v>
      </c>
      <c r="B1887">
        <v>0.99987803227770999</v>
      </c>
      <c r="C1887">
        <v>0.82902319193810503</v>
      </c>
      <c r="D1887">
        <v>0.84294862017066896</v>
      </c>
      <c r="E1887">
        <v>0.33739852056921998</v>
      </c>
      <c r="F1887">
        <v>0.17639212771896501</v>
      </c>
      <c r="G1887">
        <v>0.115204885017717</v>
      </c>
      <c r="H1887">
        <v>8.6544789536322206E-2</v>
      </c>
      <c r="I1887">
        <v>7.1853811257166098E-2</v>
      </c>
      <c r="J1887">
        <v>5.2866080632766502E-2</v>
      </c>
      <c r="K1887">
        <v>3.7396023182172299E-2</v>
      </c>
      <c r="L1887">
        <v>1066.81822671239</v>
      </c>
      <c r="M1887">
        <v>22.046366715690802</v>
      </c>
      <c r="N1887">
        <v>48.670588549354903</v>
      </c>
      <c r="O1887">
        <v>47.996892991951903</v>
      </c>
      <c r="P1887">
        <v>-0.107976185564899</v>
      </c>
      <c r="Q1887">
        <v>5.97259012665423E-2</v>
      </c>
      <c r="R1887">
        <v>0.98363615144035199</v>
      </c>
      <c r="S1887" t="s">
        <v>8198</v>
      </c>
      <c r="T1887" t="s">
        <v>12620</v>
      </c>
      <c r="U1887" t="s">
        <v>12620</v>
      </c>
      <c r="V1887" t="s">
        <v>12620</v>
      </c>
      <c r="W1887" t="s">
        <v>14467</v>
      </c>
      <c r="X1887">
        <v>16</v>
      </c>
      <c r="Y1887" t="s">
        <v>20673</v>
      </c>
      <c r="Z1887" t="s">
        <v>26834</v>
      </c>
      <c r="AA1887">
        <v>0.33350246169585629</v>
      </c>
      <c r="AB1887" t="str">
        <f>HYPERLINK("Melting_Curves/meltCurve_P23919_DTYMK.pdf", "Melting_Curves/meltCurve_P23919_DTYMK.pdf")</f>
        <v>Melting_Curves/meltCurve_P23919_DTYMK.pdf</v>
      </c>
    </row>
    <row r="1888" spans="1:28" x14ac:dyDescent="0.25">
      <c r="A1888" t="s">
        <v>1892</v>
      </c>
      <c r="B1888">
        <v>0.99987803227770999</v>
      </c>
      <c r="C1888">
        <v>1.0910066763853099</v>
      </c>
      <c r="D1888">
        <v>0.76329452690227795</v>
      </c>
      <c r="E1888">
        <v>0.68116650678582502</v>
      </c>
      <c r="F1888">
        <v>0.34982905735523201</v>
      </c>
      <c r="G1888">
        <v>0.192425483638102</v>
      </c>
      <c r="H1888">
        <v>0.14360991268555701</v>
      </c>
      <c r="I1888">
        <v>0.110352316630799</v>
      </c>
      <c r="J1888">
        <v>7.5706572926214702E-2</v>
      </c>
      <c r="K1888">
        <v>5.3800647730313803E-2</v>
      </c>
      <c r="L1888">
        <v>869.852664813302</v>
      </c>
      <c r="M1888">
        <v>17.046953307118802</v>
      </c>
      <c r="N1888">
        <v>51.448022480102502</v>
      </c>
      <c r="O1888">
        <v>50.340203843292102</v>
      </c>
      <c r="P1888">
        <v>-7.9150309643838707E-2</v>
      </c>
      <c r="Q1888">
        <v>6.5123543795308297E-2</v>
      </c>
      <c r="R1888">
        <v>0.97519623988957005</v>
      </c>
      <c r="S1888" t="s">
        <v>8199</v>
      </c>
      <c r="T1888" t="s">
        <v>12620</v>
      </c>
      <c r="U1888" t="s">
        <v>12620</v>
      </c>
      <c r="V1888" t="s">
        <v>12620</v>
      </c>
      <c r="W1888" t="s">
        <v>14468</v>
      </c>
      <c r="X1888">
        <v>29</v>
      </c>
      <c r="Y1888" t="s">
        <v>20674</v>
      </c>
      <c r="Z1888" t="s">
        <v>26835</v>
      </c>
      <c r="AA1888">
        <v>0.42609793104714749</v>
      </c>
      <c r="AB1888" t="str">
        <f>HYPERLINK("Melting_Curves/meltCurve_P23921_RRM1.pdf", "Melting_Curves/meltCurve_P23921_RRM1.pdf")</f>
        <v>Melting_Curves/meltCurve_P23921_RRM1.pdf</v>
      </c>
    </row>
    <row r="1889" spans="1:28" x14ac:dyDescent="0.25">
      <c r="A1889" t="s">
        <v>1893</v>
      </c>
      <c r="B1889">
        <v>0.99987803227770999</v>
      </c>
      <c r="C1889">
        <v>1.1979559662497701</v>
      </c>
      <c r="D1889">
        <v>1.0336783876306299</v>
      </c>
      <c r="E1889">
        <v>0.91179794006576098</v>
      </c>
      <c r="F1889">
        <v>0.78700360744756703</v>
      </c>
      <c r="G1889">
        <v>0.45934385078151302</v>
      </c>
      <c r="H1889">
        <v>0.31862802278160202</v>
      </c>
      <c r="I1889">
        <v>0.29803460563446599</v>
      </c>
      <c r="J1889">
        <v>0.15028732371049799</v>
      </c>
      <c r="K1889">
        <v>3.4974111032382502E-2</v>
      </c>
      <c r="L1889">
        <v>891.72032736651204</v>
      </c>
      <c r="M1889">
        <v>15.6590202394662</v>
      </c>
      <c r="N1889">
        <v>57.418632970179097</v>
      </c>
      <c r="O1889">
        <v>56.041646711523697</v>
      </c>
      <c r="P1889">
        <v>-6.5636870145145507E-2</v>
      </c>
      <c r="Q1889">
        <v>6.0456048509270201E-2</v>
      </c>
      <c r="R1889">
        <v>0.95858705424503798</v>
      </c>
      <c r="S1889" t="s">
        <v>8200</v>
      </c>
      <c r="T1889" t="s">
        <v>12620</v>
      </c>
      <c r="U1889" t="s">
        <v>12620</v>
      </c>
      <c r="V1889" t="s">
        <v>12620</v>
      </c>
      <c r="W1889" t="s">
        <v>14469</v>
      </c>
      <c r="X1889">
        <v>4</v>
      </c>
      <c r="Y1889" t="s">
        <v>20675</v>
      </c>
      <c r="Z1889" t="s">
        <v>26836</v>
      </c>
      <c r="AA1889">
        <v>0.60574248800606323</v>
      </c>
      <c r="AB1889" t="str">
        <f>HYPERLINK("Melting_Curves/meltCurve_P24385_CCND1.pdf", "Melting_Curves/meltCurve_P24385_CCND1.pdf")</f>
        <v>Melting_Curves/meltCurve_P24385_CCND1.pdf</v>
      </c>
    </row>
    <row r="1890" spans="1:28" x14ac:dyDescent="0.25">
      <c r="A1890" t="s">
        <v>1894</v>
      </c>
      <c r="B1890">
        <v>0.99987803227770999</v>
      </c>
      <c r="C1890">
        <v>1.0863385476513501</v>
      </c>
      <c r="D1890">
        <v>0.91446151907474404</v>
      </c>
      <c r="E1890">
        <v>1.4439879633686099</v>
      </c>
      <c r="F1890">
        <v>0.84655115281952398</v>
      </c>
      <c r="G1890">
        <v>0.72699902641823</v>
      </c>
      <c r="H1890">
        <v>1.16812945752424</v>
      </c>
      <c r="I1890">
        <v>1.74320226315436</v>
      </c>
      <c r="J1890">
        <v>1.80350734256154</v>
      </c>
      <c r="K1890">
        <v>1.5144145581070101</v>
      </c>
      <c r="L1890">
        <v>15000</v>
      </c>
      <c r="M1890">
        <v>245.22181853769399</v>
      </c>
      <c r="O1890">
        <v>61.165035852276397</v>
      </c>
      <c r="P1890">
        <v>0.50114783495111004</v>
      </c>
      <c r="Q1890">
        <v>1.5</v>
      </c>
      <c r="R1890">
        <v>0.64386771704131096</v>
      </c>
      <c r="S1890" t="s">
        <v>8201</v>
      </c>
      <c r="T1890" t="s">
        <v>12620</v>
      </c>
      <c r="U1890" t="s">
        <v>12620</v>
      </c>
      <c r="V1890" t="s">
        <v>12620</v>
      </c>
      <c r="W1890" t="s">
        <v>14470</v>
      </c>
      <c r="X1890">
        <v>14</v>
      </c>
      <c r="Y1890" t="s">
        <v>20676</v>
      </c>
      <c r="Z1890" t="s">
        <v>26837</v>
      </c>
      <c r="AA1890">
        <v>1.147125738651396</v>
      </c>
      <c r="AB1890" t="str">
        <f>HYPERLINK("Melting_Curves/meltCurve_P24534_EEF1B2.pdf", "Melting_Curves/meltCurve_P24534_EEF1B2.pdf")</f>
        <v>Melting_Curves/meltCurve_P24534_EEF1B2.pdf</v>
      </c>
    </row>
    <row r="1891" spans="1:28" x14ac:dyDescent="0.25">
      <c r="A1891" t="s">
        <v>1895</v>
      </c>
      <c r="B1891">
        <v>0.99987803227770999</v>
      </c>
      <c r="C1891">
        <v>1.0213842329183001</v>
      </c>
      <c r="D1891">
        <v>1.1206817124840001</v>
      </c>
      <c r="E1891">
        <v>1.0597652316207</v>
      </c>
      <c r="F1891">
        <v>1.31446243321816</v>
      </c>
      <c r="G1891">
        <v>1.0611268601950099</v>
      </c>
      <c r="H1891">
        <v>1.1013702894237201</v>
      </c>
      <c r="I1891">
        <v>0.84527614685628005</v>
      </c>
      <c r="J1891">
        <v>1.16439522870429</v>
      </c>
      <c r="K1891">
        <v>1.02603034036692</v>
      </c>
      <c r="L1891">
        <v>10772.860809651</v>
      </c>
      <c r="M1891">
        <v>250</v>
      </c>
      <c r="O1891">
        <v>43.088685732601597</v>
      </c>
      <c r="P1891">
        <v>0.125668910067812</v>
      </c>
      <c r="Q1891">
        <v>1.0866385305330399</v>
      </c>
      <c r="R1891">
        <v>7.17218274652415E-2</v>
      </c>
      <c r="S1891" t="s">
        <v>8202</v>
      </c>
      <c r="T1891" t="s">
        <v>12620</v>
      </c>
      <c r="U1891" t="s">
        <v>12620</v>
      </c>
      <c r="V1891" t="s">
        <v>12620</v>
      </c>
      <c r="W1891" t="s">
        <v>14471</v>
      </c>
      <c r="X1891">
        <v>1</v>
      </c>
      <c r="Y1891" t="s">
        <v>20677</v>
      </c>
      <c r="Z1891" t="s">
        <v>26838</v>
      </c>
      <c r="AA1891">
        <v>1.0777040418614079</v>
      </c>
      <c r="AB1891" t="str">
        <f>HYPERLINK("Melting_Curves/meltCurve_P24588_AKAP5.pdf", "Melting_Curves/meltCurve_P24588_AKAP5.pdf")</f>
        <v>Melting_Curves/meltCurve_P24588_AKAP5.pdf</v>
      </c>
    </row>
    <row r="1892" spans="1:28" x14ac:dyDescent="0.25">
      <c r="A1892" t="s">
        <v>1896</v>
      </c>
      <c r="B1892">
        <v>0.99987803227770999</v>
      </c>
      <c r="C1892">
        <v>0.78752448821806798</v>
      </c>
      <c r="D1892">
        <v>0.96151460034537795</v>
      </c>
      <c r="E1892">
        <v>0.590584148684972</v>
      </c>
      <c r="F1892">
        <v>0.31614265239392397</v>
      </c>
      <c r="G1892">
        <v>0.163823830345459</v>
      </c>
      <c r="H1892">
        <v>0.108743635770396</v>
      </c>
      <c r="I1892">
        <v>0.10283496792885399</v>
      </c>
      <c r="J1892">
        <v>6.96469861858382E-2</v>
      </c>
      <c r="K1892">
        <v>4.8951289234086599E-2</v>
      </c>
      <c r="L1892">
        <v>984.20700215741601</v>
      </c>
      <c r="M1892">
        <v>19.4472902266597</v>
      </c>
      <c r="N1892">
        <v>50.975459358892202</v>
      </c>
      <c r="O1892">
        <v>50.082935684221198</v>
      </c>
      <c r="P1892">
        <v>-9.0745140728855797E-2</v>
      </c>
      <c r="Q1892">
        <v>6.5244002201907805E-2</v>
      </c>
      <c r="R1892">
        <v>0.96841617692017201</v>
      </c>
      <c r="S1892" t="s">
        <v>8203</v>
      </c>
      <c r="T1892" t="s">
        <v>12620</v>
      </c>
      <c r="U1892" t="s">
        <v>12620</v>
      </c>
      <c r="V1892" t="s">
        <v>12620</v>
      </c>
      <c r="W1892" t="s">
        <v>14472</v>
      </c>
      <c r="X1892">
        <v>11</v>
      </c>
      <c r="Y1892" t="s">
        <v>20678</v>
      </c>
      <c r="Z1892" t="s">
        <v>26839</v>
      </c>
      <c r="AA1892">
        <v>0.40950038432740349</v>
      </c>
      <c r="AB1892" t="str">
        <f>HYPERLINK("Melting_Curves/meltCurve_P24666_ACP1.pdf", "Melting_Curves/meltCurve_P24666_ACP1.pdf")</f>
        <v>Melting_Curves/meltCurve_P24666_ACP1.pdf</v>
      </c>
    </row>
    <row r="1893" spans="1:28" x14ac:dyDescent="0.25">
      <c r="A1893" t="s">
        <v>1897</v>
      </c>
      <c r="B1893">
        <v>0.99987803227770999</v>
      </c>
      <c r="C1893">
        <v>0.720576600856081</v>
      </c>
      <c r="D1893">
        <v>1.0443827985890199</v>
      </c>
      <c r="E1893">
        <v>0.825001104662754</v>
      </c>
      <c r="F1893">
        <v>0.96111975434631602</v>
      </c>
      <c r="G1893">
        <v>0.410656601120097</v>
      </c>
      <c r="H1893">
        <v>0.35158809206881297</v>
      </c>
      <c r="I1893">
        <v>0.282270833053403</v>
      </c>
      <c r="J1893">
        <v>0.17636561085242899</v>
      </c>
      <c r="K1893">
        <v>0.13918754591926299</v>
      </c>
      <c r="S1893" t="s">
        <v>8204</v>
      </c>
      <c r="T1893" t="s">
        <v>12620</v>
      </c>
      <c r="U1893" t="s">
        <v>12621</v>
      </c>
      <c r="V1893" t="s">
        <v>12620</v>
      </c>
      <c r="W1893" t="s">
        <v>14473</v>
      </c>
      <c r="X1893">
        <v>7</v>
      </c>
      <c r="Y1893" t="s">
        <v>20678</v>
      </c>
      <c r="Z1893" t="s">
        <v>26840</v>
      </c>
      <c r="AB1893" t="str">
        <f>HYPERLINK("Melting_Curves/meltCurve_P24666_2_ACP1.pdf", "Melting_Curves/meltCurve_P24666_2_ACP1.pdf")</f>
        <v>Melting_Curves/meltCurve_P24666_2_ACP1.pdf</v>
      </c>
    </row>
    <row r="1894" spans="1:28" x14ac:dyDescent="0.25">
      <c r="A1894" t="s">
        <v>1898</v>
      </c>
      <c r="B1894">
        <v>0.99987803227770999</v>
      </c>
      <c r="C1894">
        <v>1.14024807197654</v>
      </c>
      <c r="D1894">
        <v>0.99612054205447398</v>
      </c>
      <c r="E1894">
        <v>0.93546276634318204</v>
      </c>
      <c r="F1894">
        <v>0.25409477115962698</v>
      </c>
      <c r="G1894">
        <v>0.144508904957076</v>
      </c>
      <c r="H1894">
        <v>9.0095503504690297E-2</v>
      </c>
      <c r="I1894">
        <v>7.4017605743676995E-2</v>
      </c>
      <c r="J1894">
        <v>5.80180682599356E-2</v>
      </c>
      <c r="K1894">
        <v>4.3188633277086698E-2</v>
      </c>
      <c r="L1894">
        <v>3527.2459727832802</v>
      </c>
      <c r="M1894">
        <v>68.000550712109799</v>
      </c>
      <c r="N1894">
        <v>52.006476113664</v>
      </c>
      <c r="O1894">
        <v>51.826038566196203</v>
      </c>
      <c r="P1894">
        <v>-0.30136994117017302</v>
      </c>
      <c r="Q1894">
        <v>8.1254128703053097E-2</v>
      </c>
      <c r="R1894">
        <v>0.98740137753492296</v>
      </c>
      <c r="S1894" t="s">
        <v>8205</v>
      </c>
      <c r="T1894" t="s">
        <v>12620</v>
      </c>
      <c r="U1894" t="s">
        <v>12620</v>
      </c>
      <c r="V1894" t="s">
        <v>12620</v>
      </c>
      <c r="W1894" t="s">
        <v>14474</v>
      </c>
      <c r="X1894">
        <v>19</v>
      </c>
      <c r="Y1894" t="s">
        <v>20679</v>
      </c>
      <c r="Z1894" t="s">
        <v>26841</v>
      </c>
      <c r="AA1894">
        <v>0.44593068753470222</v>
      </c>
      <c r="AB1894" t="str">
        <f>HYPERLINK("Melting_Curves/meltCurve_P24752_ACAT1.pdf", "Melting_Curves/meltCurve_P24752_ACAT1.pdf")</f>
        <v>Melting_Curves/meltCurve_P24752_ACAT1.pdf</v>
      </c>
    </row>
    <row r="1895" spans="1:28" x14ac:dyDescent="0.25">
      <c r="A1895" t="s">
        <v>1899</v>
      </c>
      <c r="B1895">
        <v>0.99987803227770999</v>
      </c>
      <c r="C1895">
        <v>1.0240723768323701</v>
      </c>
      <c r="D1895">
        <v>0.82019825823637804</v>
      </c>
      <c r="E1895">
        <v>0.876680485594722</v>
      </c>
      <c r="F1895">
        <v>0.80594798539817303</v>
      </c>
      <c r="G1895">
        <v>0.63386145425026097</v>
      </c>
      <c r="H1895">
        <v>0.45012914377302199</v>
      </c>
      <c r="I1895">
        <v>0.41426080519243302</v>
      </c>
      <c r="J1895">
        <v>0.23640660031764299</v>
      </c>
      <c r="K1895">
        <v>0.14441920533437699</v>
      </c>
      <c r="L1895">
        <v>587.80479875669403</v>
      </c>
      <c r="M1895">
        <v>9.8032448526985405</v>
      </c>
      <c r="N1895">
        <v>59.960214653375402</v>
      </c>
      <c r="O1895">
        <v>57.6249442947624</v>
      </c>
      <c r="P1895">
        <v>-4.2552699224365102E-2</v>
      </c>
      <c r="Q1895">
        <v>0</v>
      </c>
      <c r="R1895">
        <v>0.96911899870342399</v>
      </c>
      <c r="S1895" t="s">
        <v>8206</v>
      </c>
      <c r="T1895" t="s">
        <v>12620</v>
      </c>
      <c r="U1895" t="s">
        <v>12620</v>
      </c>
      <c r="V1895" t="s">
        <v>12620</v>
      </c>
      <c r="W1895" t="s">
        <v>14475</v>
      </c>
      <c r="X1895">
        <v>9</v>
      </c>
      <c r="Y1895" t="s">
        <v>20680</v>
      </c>
      <c r="Z1895" t="s">
        <v>26842</v>
      </c>
      <c r="AA1895">
        <v>0.66081919766007302</v>
      </c>
      <c r="AB1895" t="str">
        <f>HYPERLINK("Melting_Curves/meltCurve_P24844_MYL9.pdf", "Melting_Curves/meltCurve_P24844_MYL9.pdf")</f>
        <v>Melting_Curves/meltCurve_P24844_MYL9.pdf</v>
      </c>
    </row>
    <row r="1896" spans="1:28" x14ac:dyDescent="0.25">
      <c r="A1896" t="s">
        <v>1900</v>
      </c>
      <c r="B1896">
        <v>0.99987803227770999</v>
      </c>
      <c r="C1896">
        <v>0.741027933186446</v>
      </c>
      <c r="D1896">
        <v>0.66016483853744101</v>
      </c>
      <c r="E1896">
        <v>0.64827172185231596</v>
      </c>
      <c r="F1896">
        <v>0.41495345136404199</v>
      </c>
      <c r="G1896">
        <v>0.27486708528807102</v>
      </c>
      <c r="H1896">
        <v>0.23428020028105001</v>
      </c>
      <c r="I1896">
        <v>0.20134132161027499</v>
      </c>
      <c r="J1896">
        <v>0.21854443478093799</v>
      </c>
      <c r="K1896">
        <v>0.19356074431508799</v>
      </c>
      <c r="L1896">
        <v>459.24365144573102</v>
      </c>
      <c r="M1896">
        <v>9.29878404694594</v>
      </c>
      <c r="N1896">
        <v>50.950417006671998</v>
      </c>
      <c r="O1896">
        <v>47.264675114683797</v>
      </c>
      <c r="P1896">
        <v>-4.3109236566998797E-2</v>
      </c>
      <c r="Q1896">
        <v>0.124084389877426</v>
      </c>
      <c r="R1896">
        <v>0.95405885391968503</v>
      </c>
      <c r="S1896" t="s">
        <v>8207</v>
      </c>
      <c r="T1896" t="s">
        <v>12620</v>
      </c>
      <c r="U1896" t="s">
        <v>12620</v>
      </c>
      <c r="V1896" t="s">
        <v>12620</v>
      </c>
      <c r="W1896" t="s">
        <v>14476</v>
      </c>
      <c r="X1896">
        <v>16</v>
      </c>
      <c r="Y1896" t="s">
        <v>20681</v>
      </c>
      <c r="Z1896" t="s">
        <v>26843</v>
      </c>
      <c r="AA1896">
        <v>0.44417900414200551</v>
      </c>
      <c r="AB1896" t="str">
        <f>HYPERLINK("Melting_Curves/meltCurve_P24928_POLR2A.pdf", "Melting_Curves/meltCurve_P24928_POLR2A.pdf")</f>
        <v>Melting_Curves/meltCurve_P24928_POLR2A.pdf</v>
      </c>
    </row>
    <row r="1897" spans="1:28" x14ac:dyDescent="0.25">
      <c r="A1897" t="s">
        <v>1901</v>
      </c>
      <c r="B1897">
        <v>0.99987803227770999</v>
      </c>
      <c r="C1897">
        <v>0.94547522946509699</v>
      </c>
      <c r="D1897">
        <v>0.96112929435798899</v>
      </c>
      <c r="E1897">
        <v>0.84733076840427501</v>
      </c>
      <c r="F1897">
        <v>0.60132650793728104</v>
      </c>
      <c r="G1897">
        <v>0.38114081517795401</v>
      </c>
      <c r="H1897">
        <v>0.239877506369952</v>
      </c>
      <c r="I1897">
        <v>0.17343661752147199</v>
      </c>
      <c r="J1897">
        <v>9.4077633156520901E-2</v>
      </c>
      <c r="K1897">
        <v>5.9052794778854001E-2</v>
      </c>
      <c r="L1897">
        <v>789.74962567035902</v>
      </c>
      <c r="M1897">
        <v>14.399441127976999</v>
      </c>
      <c r="N1897">
        <v>55.147747873163901</v>
      </c>
      <c r="O1897">
        <v>53.820611323215203</v>
      </c>
      <c r="P1897">
        <v>-6.4358934249152594E-2</v>
      </c>
      <c r="Q1897">
        <v>3.7900015832130103E-2</v>
      </c>
      <c r="R1897">
        <v>0.99536612838567096</v>
      </c>
      <c r="S1897" t="s">
        <v>8208</v>
      </c>
      <c r="T1897" t="s">
        <v>12620</v>
      </c>
      <c r="U1897" t="s">
        <v>12620</v>
      </c>
      <c r="V1897" t="s">
        <v>12620</v>
      </c>
      <c r="W1897" t="s">
        <v>14477</v>
      </c>
      <c r="X1897">
        <v>13</v>
      </c>
      <c r="Y1897" t="s">
        <v>20682</v>
      </c>
      <c r="Z1897" t="s">
        <v>26844</v>
      </c>
      <c r="AA1897">
        <v>0.53358843523277766</v>
      </c>
      <c r="AB1897" t="str">
        <f>HYPERLINK("Melting_Curves/meltCurve_P24941_CDK2.pdf", "Melting_Curves/meltCurve_P24941_CDK2.pdf")</f>
        <v>Melting_Curves/meltCurve_P24941_CDK2.pdf</v>
      </c>
    </row>
    <row r="1898" spans="1:28" x14ac:dyDescent="0.25">
      <c r="A1898" t="s">
        <v>1902</v>
      </c>
      <c r="B1898">
        <v>0.99987803227770999</v>
      </c>
      <c r="C1898">
        <v>0.91705116293504496</v>
      </c>
      <c r="D1898">
        <v>1.0286250746518</v>
      </c>
      <c r="E1898">
        <v>0.94773101859023801</v>
      </c>
      <c r="F1898">
        <v>1.0894710745401299</v>
      </c>
      <c r="G1898">
        <v>0.88607075702960503</v>
      </c>
      <c r="H1898">
        <v>1.0205656618630199</v>
      </c>
      <c r="I1898">
        <v>0.91772753390150696</v>
      </c>
      <c r="J1898">
        <v>0.98826131299813402</v>
      </c>
      <c r="K1898">
        <v>0.81260201133894605</v>
      </c>
      <c r="L1898">
        <v>2991.3857080040598</v>
      </c>
      <c r="M1898">
        <v>41.252354523596402</v>
      </c>
      <c r="Q1898">
        <v>0</v>
      </c>
      <c r="R1898">
        <v>0.34362370212563298</v>
      </c>
      <c r="S1898" t="s">
        <v>8209</v>
      </c>
      <c r="T1898" t="s">
        <v>12620</v>
      </c>
      <c r="U1898" t="s">
        <v>12620</v>
      </c>
      <c r="V1898" t="s">
        <v>12620</v>
      </c>
      <c r="W1898" t="s">
        <v>14478</v>
      </c>
      <c r="X1898">
        <v>31</v>
      </c>
      <c r="Y1898" t="s">
        <v>20683</v>
      </c>
      <c r="Z1898" t="s">
        <v>26845</v>
      </c>
      <c r="AA1898">
        <v>0.98933357660200116</v>
      </c>
      <c r="AB1898" t="str">
        <f>HYPERLINK("Melting_Curves/meltCurve_P25054_2_APC.pdf", "Melting_Curves/meltCurve_P25054_2_APC.pdf")</f>
        <v>Melting_Curves/meltCurve_P25054_2_APC.pdf</v>
      </c>
    </row>
    <row r="1899" spans="1:28" x14ac:dyDescent="0.25">
      <c r="A1899" t="s">
        <v>1903</v>
      </c>
      <c r="B1899">
        <v>0.99987803227770999</v>
      </c>
      <c r="C1899">
        <v>1.0169557669962099</v>
      </c>
      <c r="D1899">
        <v>0.80749310480029901</v>
      </c>
      <c r="E1899">
        <v>0.56969048451779403</v>
      </c>
      <c r="F1899">
        <v>0.227586995520179</v>
      </c>
      <c r="G1899">
        <v>0.14158766598008601</v>
      </c>
      <c r="H1899">
        <v>0.119273146666366</v>
      </c>
      <c r="I1899">
        <v>0.15016788993623301</v>
      </c>
      <c r="J1899">
        <v>7.4536513819993794E-2</v>
      </c>
      <c r="K1899">
        <v>4.7007951846657597E-2</v>
      </c>
      <c r="L1899">
        <v>1060.6477297988199</v>
      </c>
      <c r="M1899">
        <v>21.328894486331802</v>
      </c>
      <c r="N1899">
        <v>50.1676385262856</v>
      </c>
      <c r="O1899">
        <v>49.297253387113201</v>
      </c>
      <c r="P1899">
        <v>-9.8951028675999697E-2</v>
      </c>
      <c r="Q1899">
        <v>8.5204922442026806E-2</v>
      </c>
      <c r="R1899">
        <v>0.98857444273702699</v>
      </c>
      <c r="S1899" t="s">
        <v>8210</v>
      </c>
      <c r="T1899" t="s">
        <v>12620</v>
      </c>
      <c r="U1899" t="s">
        <v>12620</v>
      </c>
      <c r="V1899" t="s">
        <v>12620</v>
      </c>
      <c r="W1899" t="s">
        <v>14479</v>
      </c>
      <c r="X1899">
        <v>8</v>
      </c>
      <c r="Y1899" t="s">
        <v>20684</v>
      </c>
      <c r="Z1899" t="s">
        <v>26846</v>
      </c>
      <c r="AA1899">
        <v>0.39307150748487157</v>
      </c>
      <c r="AB1899" t="str">
        <f>HYPERLINK("Melting_Curves/meltCurve_P25098_ADRBK1.pdf", "Melting_Curves/meltCurve_P25098_ADRBK1.pdf")</f>
        <v>Melting_Curves/meltCurve_P25098_ADRBK1.pdf</v>
      </c>
    </row>
    <row r="1900" spans="1:28" x14ac:dyDescent="0.25">
      <c r="A1900" t="s">
        <v>1904</v>
      </c>
      <c r="B1900">
        <v>0.99987803227770999</v>
      </c>
      <c r="C1900">
        <v>0.92676018315620001</v>
      </c>
      <c r="D1900">
        <v>0.84600772229451304</v>
      </c>
      <c r="E1900">
        <v>0.874880565855498</v>
      </c>
      <c r="F1900">
        <v>0.54651053946407802</v>
      </c>
      <c r="G1900">
        <v>0.28567248297013698</v>
      </c>
      <c r="H1900">
        <v>0.15364913808927599</v>
      </c>
      <c r="I1900">
        <v>0.13592956161312</v>
      </c>
      <c r="J1900">
        <v>0.106813626350587</v>
      </c>
      <c r="K1900">
        <v>7.54011131777442E-2</v>
      </c>
      <c r="L1900">
        <v>972.335826408971</v>
      </c>
      <c r="M1900">
        <v>18.198148533311599</v>
      </c>
      <c r="N1900">
        <v>53.905270892618603</v>
      </c>
      <c r="O1900">
        <v>52.797828977014198</v>
      </c>
      <c r="P1900">
        <v>-7.9791951508724104E-2</v>
      </c>
      <c r="Q1900">
        <v>7.4050257300078595E-2</v>
      </c>
      <c r="R1900">
        <v>0.98230211987068805</v>
      </c>
      <c r="S1900" t="s">
        <v>8211</v>
      </c>
      <c r="T1900" t="s">
        <v>12620</v>
      </c>
      <c r="U1900" t="s">
        <v>12620</v>
      </c>
      <c r="V1900" t="s">
        <v>12620</v>
      </c>
      <c r="W1900" t="s">
        <v>14480</v>
      </c>
      <c r="X1900">
        <v>41</v>
      </c>
      <c r="Y1900" t="s">
        <v>20685</v>
      </c>
      <c r="Z1900" t="s">
        <v>26847</v>
      </c>
      <c r="AA1900">
        <v>0.50335473091348792</v>
      </c>
      <c r="AB1900" t="str">
        <f>HYPERLINK("Melting_Curves/meltCurve_P25205_MCM3.pdf", "Melting_Curves/meltCurve_P25205_MCM3.pdf")</f>
        <v>Melting_Curves/meltCurve_P25205_MCM3.pdf</v>
      </c>
    </row>
    <row r="1901" spans="1:28" x14ac:dyDescent="0.25">
      <c r="A1901" t="s">
        <v>1905</v>
      </c>
      <c r="B1901">
        <v>0.99987803227770999</v>
      </c>
      <c r="C1901">
        <v>0.65053399318801697</v>
      </c>
      <c r="D1901">
        <v>1.0708908054278501</v>
      </c>
      <c r="E1901">
        <v>0.75686274613073601</v>
      </c>
      <c r="F1901">
        <v>0.70349375053198904</v>
      </c>
      <c r="G1901">
        <v>0.46620538514354998</v>
      </c>
      <c r="H1901">
        <v>0.42462205857940699</v>
      </c>
      <c r="I1901">
        <v>0.387085987098714</v>
      </c>
      <c r="J1901">
        <v>0.34699102264947401</v>
      </c>
      <c r="K1901">
        <v>0.28129729235752199</v>
      </c>
      <c r="L1901">
        <v>439.04070706528398</v>
      </c>
      <c r="M1901">
        <v>7.8302230096607497</v>
      </c>
      <c r="N1901">
        <v>58.444939772454902</v>
      </c>
      <c r="O1901">
        <v>52.765819455804497</v>
      </c>
      <c r="P1901">
        <v>-3.2082906297522099E-2</v>
      </c>
      <c r="Q1901">
        <v>0.13626529553987801</v>
      </c>
      <c r="R1901">
        <v>0.81207244151339097</v>
      </c>
      <c r="S1901" t="s">
        <v>8212</v>
      </c>
      <c r="T1901" t="s">
        <v>12620</v>
      </c>
      <c r="U1901" t="s">
        <v>12620</v>
      </c>
      <c r="V1901" t="s">
        <v>12620</v>
      </c>
      <c r="W1901" t="s">
        <v>14481</v>
      </c>
      <c r="X1901">
        <v>8</v>
      </c>
      <c r="Y1901" t="s">
        <v>20686</v>
      </c>
      <c r="Z1901" t="s">
        <v>26848</v>
      </c>
      <c r="AA1901">
        <v>0.6153645620371907</v>
      </c>
      <c r="AB1901" t="str">
        <f>HYPERLINK("Melting_Curves/meltCurve_P25398_RPS12.pdf", "Melting_Curves/meltCurve_P25398_RPS12.pdf")</f>
        <v>Melting_Curves/meltCurve_P25398_RPS12.pdf</v>
      </c>
    </row>
    <row r="1902" spans="1:28" x14ac:dyDescent="0.25">
      <c r="A1902" t="s">
        <v>1906</v>
      </c>
      <c r="B1902">
        <v>0.99987803227770999</v>
      </c>
      <c r="C1902">
        <v>0.90725772120934101</v>
      </c>
      <c r="D1902">
        <v>1.0657661297698899</v>
      </c>
      <c r="E1902">
        <v>0.84431251895066795</v>
      </c>
      <c r="F1902">
        <v>0.85158746085692205</v>
      </c>
      <c r="G1902">
        <v>0.71740182342580805</v>
      </c>
      <c r="H1902">
        <v>0.63213003708884397</v>
      </c>
      <c r="I1902">
        <v>0.54608325339964603</v>
      </c>
      <c r="J1902">
        <v>0.60465416356289103</v>
      </c>
      <c r="K1902">
        <v>0.48980981178806399</v>
      </c>
      <c r="L1902">
        <v>652.15506165156603</v>
      </c>
      <c r="M1902">
        <v>11.559175061164501</v>
      </c>
      <c r="O1902">
        <v>54.809536837242298</v>
      </c>
      <c r="P1902">
        <v>-2.7889113084928498E-2</v>
      </c>
      <c r="Q1902">
        <v>0.47118601212973299</v>
      </c>
      <c r="R1902">
        <v>0.92493794140350605</v>
      </c>
      <c r="S1902" t="s">
        <v>8213</v>
      </c>
      <c r="T1902" t="s">
        <v>12620</v>
      </c>
      <c r="U1902" t="s">
        <v>12620</v>
      </c>
      <c r="V1902" t="s">
        <v>12620</v>
      </c>
      <c r="W1902" t="s">
        <v>14482</v>
      </c>
      <c r="X1902">
        <v>9</v>
      </c>
      <c r="Y1902" t="s">
        <v>20687</v>
      </c>
      <c r="Z1902" t="s">
        <v>26849</v>
      </c>
      <c r="AA1902">
        <v>0.77069887340124177</v>
      </c>
      <c r="AB1902" t="str">
        <f>HYPERLINK("Melting_Curves/meltCurve_P25490_YY1.pdf", "Melting_Curves/meltCurve_P25490_YY1.pdf")</f>
        <v>Melting_Curves/meltCurve_P25490_YY1.pdf</v>
      </c>
    </row>
    <row r="1903" spans="1:28" x14ac:dyDescent="0.25">
      <c r="A1903" t="s">
        <v>1907</v>
      </c>
      <c r="B1903">
        <v>0.99987803227770999</v>
      </c>
      <c r="C1903">
        <v>1.32021779165936</v>
      </c>
      <c r="D1903">
        <v>0.62785203963410896</v>
      </c>
      <c r="E1903">
        <v>0.66705159984172502</v>
      </c>
      <c r="F1903">
        <v>0.318783192998353</v>
      </c>
      <c r="G1903">
        <v>0.22655467852361699</v>
      </c>
      <c r="H1903">
        <v>0.16168161241356399</v>
      </c>
      <c r="I1903">
        <v>0.163248669796666</v>
      </c>
      <c r="J1903">
        <v>0.13939816147970899</v>
      </c>
      <c r="K1903">
        <v>0.11189107148390701</v>
      </c>
      <c r="L1903">
        <v>929.86520615453298</v>
      </c>
      <c r="M1903">
        <v>18.564764347517801</v>
      </c>
      <c r="N1903">
        <v>50.919633027390098</v>
      </c>
      <c r="O1903">
        <v>49.5173323053885</v>
      </c>
      <c r="P1903">
        <v>-8.1470269190335204E-2</v>
      </c>
      <c r="Q1903">
        <v>0.13082366962334499</v>
      </c>
      <c r="R1903">
        <v>0.87732346107896897</v>
      </c>
      <c r="S1903" t="s">
        <v>8214</v>
      </c>
      <c r="T1903" t="s">
        <v>12620</v>
      </c>
      <c r="U1903" t="s">
        <v>12620</v>
      </c>
      <c r="V1903" t="s">
        <v>12620</v>
      </c>
      <c r="W1903" t="s">
        <v>14483</v>
      </c>
      <c r="X1903">
        <v>26</v>
      </c>
      <c r="Y1903" t="s">
        <v>20688</v>
      </c>
      <c r="Z1903" t="s">
        <v>26850</v>
      </c>
      <c r="AA1903">
        <v>0.43705024744067772</v>
      </c>
      <c r="AB1903" t="str">
        <f>HYPERLINK("Melting_Curves/meltCurve_P25685_DNAJB1.pdf", "Melting_Curves/meltCurve_P25685_DNAJB1.pdf")</f>
        <v>Melting_Curves/meltCurve_P25685_DNAJB1.pdf</v>
      </c>
    </row>
    <row r="1904" spans="1:28" x14ac:dyDescent="0.25">
      <c r="A1904" t="s">
        <v>1908</v>
      </c>
      <c r="B1904">
        <v>0.99987803227770999</v>
      </c>
      <c r="C1904">
        <v>0.93334585116087798</v>
      </c>
      <c r="D1904">
        <v>0.94425585838516002</v>
      </c>
      <c r="E1904">
        <v>0.89094207718871399</v>
      </c>
      <c r="F1904">
        <v>0.81953875826653499</v>
      </c>
      <c r="G1904">
        <v>0.63106265294187602</v>
      </c>
      <c r="H1904">
        <v>0.50910865085574797</v>
      </c>
      <c r="I1904">
        <v>0.51872027091012396</v>
      </c>
      <c r="J1904">
        <v>0.45272812040718902</v>
      </c>
      <c r="K1904">
        <v>0.36007507020124102</v>
      </c>
      <c r="L1904">
        <v>591.55891763076204</v>
      </c>
      <c r="M1904">
        <v>10.2982930437768</v>
      </c>
      <c r="N1904">
        <v>62.8546271976792</v>
      </c>
      <c r="O1904">
        <v>55.4029436051567</v>
      </c>
      <c r="P1904">
        <v>-3.2821871779615201E-2</v>
      </c>
      <c r="Q1904">
        <v>0.29400409342746803</v>
      </c>
      <c r="R1904">
        <v>0.98253143727394698</v>
      </c>
      <c r="S1904" t="s">
        <v>8215</v>
      </c>
      <c r="T1904" t="s">
        <v>12620</v>
      </c>
      <c r="U1904" t="s">
        <v>12620</v>
      </c>
      <c r="V1904" t="s">
        <v>12620</v>
      </c>
      <c r="W1904" t="s">
        <v>14484</v>
      </c>
      <c r="X1904">
        <v>6</v>
      </c>
      <c r="Y1904" t="s">
        <v>20689</v>
      </c>
      <c r="Z1904" t="s">
        <v>26851</v>
      </c>
      <c r="AA1904">
        <v>0.71415533711692269</v>
      </c>
      <c r="AB1904" t="str">
        <f>HYPERLINK("Melting_Curves/meltCurve_P25686_DNAJB2.pdf", "Melting_Curves/meltCurve_P25686_DNAJB2.pdf")</f>
        <v>Melting_Curves/meltCurve_P25686_DNAJB2.pdf</v>
      </c>
    </row>
    <row r="1905" spans="1:28" x14ac:dyDescent="0.25">
      <c r="A1905" t="s">
        <v>1909</v>
      </c>
      <c r="B1905">
        <v>0.99987803227770999</v>
      </c>
      <c r="C1905">
        <v>0.77132238829370403</v>
      </c>
      <c r="D1905">
        <v>0.46785380027110202</v>
      </c>
      <c r="E1905">
        <v>0.404448885857917</v>
      </c>
      <c r="F1905">
        <v>0.246550982209741</v>
      </c>
      <c r="G1905">
        <v>0.176200256000309</v>
      </c>
      <c r="H1905">
        <v>0.114700857116963</v>
      </c>
      <c r="I1905">
        <v>9.4197357267982201E-2</v>
      </c>
      <c r="J1905">
        <v>6.7547350507497897E-2</v>
      </c>
      <c r="K1905">
        <v>5.5280891718294201E-2</v>
      </c>
      <c r="L1905">
        <v>595.60457250199897</v>
      </c>
      <c r="M1905">
        <v>12.7749826509997</v>
      </c>
      <c r="N1905">
        <v>47.1567183528201</v>
      </c>
      <c r="O1905">
        <v>45.524605514412499</v>
      </c>
      <c r="P1905">
        <v>-6.5442335592322598E-2</v>
      </c>
      <c r="Q1905">
        <v>6.7341733675933602E-2</v>
      </c>
      <c r="R1905">
        <v>0.97161128922389295</v>
      </c>
      <c r="S1905" t="s">
        <v>8216</v>
      </c>
      <c r="T1905" t="s">
        <v>12620</v>
      </c>
      <c r="U1905" t="s">
        <v>12620</v>
      </c>
      <c r="V1905" t="s">
        <v>12620</v>
      </c>
      <c r="W1905" t="s">
        <v>14485</v>
      </c>
      <c r="X1905">
        <v>16</v>
      </c>
      <c r="Y1905" t="s">
        <v>20690</v>
      </c>
      <c r="Z1905" t="s">
        <v>26852</v>
      </c>
      <c r="AA1905">
        <v>0.30906134135386781</v>
      </c>
      <c r="AB1905" t="str">
        <f>HYPERLINK("Melting_Curves/meltCurve_P25705_ATP5A1.pdf", "Melting_Curves/meltCurve_P25705_ATP5A1.pdf")</f>
        <v>Melting_Curves/meltCurve_P25705_ATP5A1.pdf</v>
      </c>
    </row>
    <row r="1906" spans="1:28" x14ac:dyDescent="0.25">
      <c r="A1906" t="s">
        <v>1910</v>
      </c>
      <c r="B1906">
        <v>0.99987803227770999</v>
      </c>
      <c r="C1906">
        <v>0.83760706307770805</v>
      </c>
      <c r="D1906">
        <v>1.0028092499573</v>
      </c>
      <c r="E1906">
        <v>0.81284310315891495</v>
      </c>
      <c r="F1906">
        <v>0.97738708355689896</v>
      </c>
      <c r="G1906">
        <v>0.81961719453460302</v>
      </c>
      <c r="H1906">
        <v>0.77626246397566101</v>
      </c>
      <c r="I1906">
        <v>0.60429261326484096</v>
      </c>
      <c r="J1906">
        <v>0.65818239669558398</v>
      </c>
      <c r="K1906">
        <v>0.47750000720272401</v>
      </c>
      <c r="L1906">
        <v>419.04058843342398</v>
      </c>
      <c r="M1906">
        <v>5.8725312883599603</v>
      </c>
      <c r="O1906">
        <v>64.391337464697799</v>
      </c>
      <c r="P1906">
        <v>-2.2879851913289201E-2</v>
      </c>
      <c r="Q1906">
        <v>0</v>
      </c>
      <c r="R1906">
        <v>0.80021374024379999</v>
      </c>
      <c r="S1906" t="s">
        <v>8217</v>
      </c>
      <c r="T1906" t="s">
        <v>12620</v>
      </c>
      <c r="U1906" t="s">
        <v>12620</v>
      </c>
      <c r="V1906" t="s">
        <v>12620</v>
      </c>
      <c r="W1906" t="s">
        <v>14486</v>
      </c>
      <c r="X1906">
        <v>3</v>
      </c>
      <c r="Y1906" t="s">
        <v>20691</v>
      </c>
      <c r="Z1906" t="s">
        <v>26853</v>
      </c>
      <c r="AA1906">
        <v>0.81739301296244204</v>
      </c>
      <c r="AB1906" t="str">
        <f>HYPERLINK("Melting_Curves/meltCurve_P25774_2_CTSS.pdf", "Melting_Curves/meltCurve_P25774_2_CTSS.pdf")</f>
        <v>Melting_Curves/meltCurve_P25774_2_CTSS.pdf</v>
      </c>
    </row>
    <row r="1907" spans="1:28" x14ac:dyDescent="0.25">
      <c r="A1907" t="s">
        <v>1911</v>
      </c>
      <c r="B1907">
        <v>0.99987803227770999</v>
      </c>
      <c r="C1907">
        <v>0.89497230478638701</v>
      </c>
      <c r="D1907">
        <v>0.82874604786150396</v>
      </c>
      <c r="E1907">
        <v>1.31122990882844</v>
      </c>
      <c r="F1907">
        <v>1.1823129342936201</v>
      </c>
      <c r="G1907">
        <v>1.1973497044138299</v>
      </c>
      <c r="H1907">
        <v>1.30971357674292</v>
      </c>
      <c r="I1907">
        <v>1.57030731538081</v>
      </c>
      <c r="J1907">
        <v>1.9963641364540201</v>
      </c>
      <c r="K1907">
        <v>1.1835732250913</v>
      </c>
      <c r="L1907">
        <v>884.84273177038096</v>
      </c>
      <c r="M1907">
        <v>16.2141340282143</v>
      </c>
      <c r="O1907">
        <v>53.7624492855158</v>
      </c>
      <c r="P1907">
        <v>3.7701363208648399E-2</v>
      </c>
      <c r="Q1907">
        <v>1.5</v>
      </c>
      <c r="R1907">
        <v>0.51759172882853399</v>
      </c>
      <c r="S1907" t="s">
        <v>8218</v>
      </c>
      <c r="T1907" t="s">
        <v>12620</v>
      </c>
      <c r="U1907" t="s">
        <v>12620</v>
      </c>
      <c r="V1907" t="s">
        <v>12620</v>
      </c>
      <c r="W1907" t="s">
        <v>14487</v>
      </c>
      <c r="X1907">
        <v>22</v>
      </c>
      <c r="Y1907" t="s">
        <v>20692</v>
      </c>
      <c r="Z1907" t="s">
        <v>26854</v>
      </c>
      <c r="AA1907">
        <v>1.248091813114653</v>
      </c>
      <c r="AB1907" t="str">
        <f>HYPERLINK("Melting_Curves/meltCurve_P25786_PSMA1.pdf", "Melting_Curves/meltCurve_P25786_PSMA1.pdf")</f>
        <v>Melting_Curves/meltCurve_P25786_PSMA1.pdf</v>
      </c>
    </row>
    <row r="1908" spans="1:28" x14ac:dyDescent="0.25">
      <c r="A1908" t="s">
        <v>1912</v>
      </c>
      <c r="B1908">
        <v>0.99987803227770999</v>
      </c>
      <c r="C1908">
        <v>0.90277968806742503</v>
      </c>
      <c r="D1908">
        <v>0.85006832803219701</v>
      </c>
      <c r="E1908">
        <v>1.2711098973054</v>
      </c>
      <c r="F1908">
        <v>1.0992423541618099</v>
      </c>
      <c r="G1908">
        <v>1.13532976603743</v>
      </c>
      <c r="H1908">
        <v>1.21549223019189</v>
      </c>
      <c r="I1908">
        <v>1.4148949797894601</v>
      </c>
      <c r="J1908">
        <v>1.8855255280404399</v>
      </c>
      <c r="K1908">
        <v>1.1970479011225099</v>
      </c>
      <c r="S1908" t="s">
        <v>8219</v>
      </c>
      <c r="T1908" t="s">
        <v>12620</v>
      </c>
      <c r="U1908" t="s">
        <v>12621</v>
      </c>
      <c r="V1908" t="s">
        <v>12620</v>
      </c>
      <c r="W1908" t="s">
        <v>14488</v>
      </c>
      <c r="X1908">
        <v>15</v>
      </c>
      <c r="Y1908" t="s">
        <v>20693</v>
      </c>
      <c r="Z1908" t="s">
        <v>26855</v>
      </c>
      <c r="AB1908" t="str">
        <f>HYPERLINK("Melting_Curves/meltCurve_P25787_PSMA2.pdf", "Melting_Curves/meltCurve_P25787_PSMA2.pdf")</f>
        <v>Melting_Curves/meltCurve_P25787_PSMA2.pdf</v>
      </c>
    </row>
    <row r="1909" spans="1:28" x14ac:dyDescent="0.25">
      <c r="A1909" t="s">
        <v>1913</v>
      </c>
      <c r="B1909">
        <v>0.99987803227770999</v>
      </c>
      <c r="C1909">
        <v>0.87615155397319899</v>
      </c>
      <c r="D1909">
        <v>0.82909355739505597</v>
      </c>
      <c r="E1909">
        <v>1.3978036992010301</v>
      </c>
      <c r="F1909">
        <v>1.23212117733255</v>
      </c>
      <c r="G1909">
        <v>1.17480851540842</v>
      </c>
      <c r="H1909">
        <v>1.2808288778468699</v>
      </c>
      <c r="I1909">
        <v>1.1978503209876501</v>
      </c>
      <c r="J1909">
        <v>2.1202872699486202</v>
      </c>
      <c r="K1909">
        <v>1.2831011837416599</v>
      </c>
      <c r="L1909">
        <v>679.27975280050998</v>
      </c>
      <c r="M1909">
        <v>12.4507135817275</v>
      </c>
      <c r="O1909">
        <v>53.207436357210199</v>
      </c>
      <c r="P1909">
        <v>2.9256519404495699E-2</v>
      </c>
      <c r="Q1909">
        <v>1.5</v>
      </c>
      <c r="R1909">
        <v>0.39408146659878901</v>
      </c>
      <c r="S1909" t="s">
        <v>8220</v>
      </c>
      <c r="T1909" t="s">
        <v>12620</v>
      </c>
      <c r="U1909" t="s">
        <v>12620</v>
      </c>
      <c r="V1909" t="s">
        <v>12620</v>
      </c>
      <c r="W1909" t="s">
        <v>14489</v>
      </c>
      <c r="X1909">
        <v>21</v>
      </c>
      <c r="Y1909" t="s">
        <v>20694</v>
      </c>
      <c r="Z1909" t="s">
        <v>26856</v>
      </c>
      <c r="AA1909">
        <v>1.245408303578176</v>
      </c>
      <c r="AB1909" t="str">
        <f>HYPERLINK("Melting_Curves/meltCurve_P25788_2_PSMA3.pdf", "Melting_Curves/meltCurve_P25788_2_PSMA3.pdf")</f>
        <v>Melting_Curves/meltCurve_P25788_2_PSMA3.pdf</v>
      </c>
    </row>
    <row r="1910" spans="1:28" x14ac:dyDescent="0.25">
      <c r="A1910" t="s">
        <v>1914</v>
      </c>
      <c r="B1910">
        <v>0.99987803227770999</v>
      </c>
      <c r="C1910">
        <v>0.86568153510955403</v>
      </c>
      <c r="D1910">
        <v>0.80333495788201503</v>
      </c>
      <c r="E1910">
        <v>1.2470692900536799</v>
      </c>
      <c r="F1910">
        <v>1.2338865241560799</v>
      </c>
      <c r="G1910">
        <v>1.4190042165805701</v>
      </c>
      <c r="H1910">
        <v>1.4503432428121199</v>
      </c>
      <c r="I1910">
        <v>1.70193942597415</v>
      </c>
      <c r="J1910">
        <v>2.05337511624254</v>
      </c>
      <c r="K1910">
        <v>1.2470123196397001</v>
      </c>
      <c r="L1910">
        <v>1341.5308455336101</v>
      </c>
      <c r="M1910">
        <v>25.713739008525501</v>
      </c>
      <c r="O1910">
        <v>51.859278745860998</v>
      </c>
      <c r="P1910">
        <v>6.1980345798127598E-2</v>
      </c>
      <c r="Q1910">
        <v>1.5</v>
      </c>
      <c r="R1910">
        <v>0.61592926538963899</v>
      </c>
      <c r="S1910" t="s">
        <v>8221</v>
      </c>
      <c r="T1910" t="s">
        <v>12620</v>
      </c>
      <c r="U1910" t="s">
        <v>12620</v>
      </c>
      <c r="V1910" t="s">
        <v>12620</v>
      </c>
      <c r="W1910" t="s">
        <v>14490</v>
      </c>
      <c r="X1910">
        <v>14</v>
      </c>
      <c r="Y1910" t="s">
        <v>20695</v>
      </c>
      <c r="Z1910" t="s">
        <v>26857</v>
      </c>
      <c r="AA1910">
        <v>1.292806382887191</v>
      </c>
      <c r="AB1910" t="str">
        <f>HYPERLINK("Melting_Curves/meltCurve_P25789_PSMA4.pdf", "Melting_Curves/meltCurve_P25789_PSMA4.pdf")</f>
        <v>Melting_Curves/meltCurve_P25789_PSMA4.pdf</v>
      </c>
    </row>
    <row r="1911" spans="1:28" x14ac:dyDescent="0.25">
      <c r="A1911" t="s">
        <v>1915</v>
      </c>
      <c r="B1911">
        <v>0.99987803227770999</v>
      </c>
      <c r="C1911">
        <v>0.73894772987094903</v>
      </c>
      <c r="D1911">
        <v>0.96280910366317496</v>
      </c>
      <c r="E1911">
        <v>0.77863792154442801</v>
      </c>
      <c r="F1911">
        <v>0.93071991886810401</v>
      </c>
      <c r="G1911">
        <v>0.73539740484989102</v>
      </c>
      <c r="H1911">
        <v>0.86526864525708802</v>
      </c>
      <c r="I1911">
        <v>0.53919939070477596</v>
      </c>
      <c r="J1911">
        <v>0.60251750875932597</v>
      </c>
      <c r="K1911">
        <v>0.422052559564079</v>
      </c>
      <c r="L1911">
        <v>329.47581768812</v>
      </c>
      <c r="M1911">
        <v>4.6460733715071196</v>
      </c>
      <c r="O1911">
        <v>60.782968926683999</v>
      </c>
      <c r="P1911">
        <v>-1.92594787065727E-2</v>
      </c>
      <c r="Q1911">
        <v>0</v>
      </c>
      <c r="R1911">
        <v>0.63476378416138901</v>
      </c>
      <c r="S1911" t="s">
        <v>8222</v>
      </c>
      <c r="T1911" t="s">
        <v>12620</v>
      </c>
      <c r="U1911" t="s">
        <v>12620</v>
      </c>
      <c r="V1911" t="s">
        <v>12620</v>
      </c>
      <c r="W1911" t="s">
        <v>14491</v>
      </c>
      <c r="X1911">
        <v>4</v>
      </c>
      <c r="Y1911" t="s">
        <v>20696</v>
      </c>
      <c r="Z1911" t="s">
        <v>26858</v>
      </c>
      <c r="AA1911">
        <v>0.77602688204407444</v>
      </c>
      <c r="AB1911" t="str">
        <f>HYPERLINK("Melting_Curves/meltCurve_P25815_S100P.pdf", "Melting_Curves/meltCurve_P25815_S100P.pdf")</f>
        <v>Melting_Curves/meltCurve_P25815_S100P.pdf</v>
      </c>
    </row>
    <row r="1912" spans="1:28" x14ac:dyDescent="0.25">
      <c r="A1912" t="s">
        <v>1916</v>
      </c>
      <c r="B1912">
        <v>0.99987803227770999</v>
      </c>
      <c r="C1912">
        <v>0.93416724395254203</v>
      </c>
      <c r="D1912">
        <v>1.0672583951185799</v>
      </c>
      <c r="E1912">
        <v>1.0051170582042801</v>
      </c>
      <c r="F1912">
        <v>1.0709921409655101</v>
      </c>
      <c r="G1912">
        <v>0.226558636112481</v>
      </c>
      <c r="H1912">
        <v>0.15209634697925101</v>
      </c>
      <c r="I1912">
        <v>8.9124961576548298E-2</v>
      </c>
      <c r="J1912">
        <v>7.5034846625253795E-2</v>
      </c>
      <c r="K1912">
        <v>5.56197477627145E-2</v>
      </c>
      <c r="L1912">
        <v>14149.9036318374</v>
      </c>
      <c r="M1912">
        <v>250</v>
      </c>
      <c r="N1912">
        <v>56.646223314899601</v>
      </c>
      <c r="O1912">
        <v>56.595992526659899</v>
      </c>
      <c r="P1912">
        <v>-1.0016511277003499</v>
      </c>
      <c r="Q1912">
        <v>9.2968965248325E-2</v>
      </c>
      <c r="R1912">
        <v>0.99060460126706296</v>
      </c>
      <c r="S1912" t="s">
        <v>8223</v>
      </c>
      <c r="T1912" t="s">
        <v>12620</v>
      </c>
      <c r="U1912" t="s">
        <v>12620</v>
      </c>
      <c r="V1912" t="s">
        <v>12620</v>
      </c>
      <c r="W1912" t="s">
        <v>14492</v>
      </c>
      <c r="X1912">
        <v>72</v>
      </c>
      <c r="Y1912" t="s">
        <v>20697</v>
      </c>
      <c r="Z1912" t="s">
        <v>26859</v>
      </c>
      <c r="AA1912">
        <v>0.59493791332352663</v>
      </c>
      <c r="AB1912" t="str">
        <f>HYPERLINK("Melting_Curves/meltCurve_P26038_MSN.pdf", "Melting_Curves/meltCurve_P26038_MSN.pdf")</f>
        <v>Melting_Curves/meltCurve_P26038_MSN.pdf</v>
      </c>
    </row>
    <row r="1913" spans="1:28" x14ac:dyDescent="0.25">
      <c r="A1913" t="s">
        <v>1917</v>
      </c>
      <c r="B1913">
        <v>0.99987803227770999</v>
      </c>
      <c r="C1913">
        <v>0.96843785919255199</v>
      </c>
      <c r="D1913">
        <v>0.630535874103337</v>
      </c>
      <c r="E1913">
        <v>0.37690799879393799</v>
      </c>
      <c r="F1913">
        <v>9.5597382404990494E-2</v>
      </c>
      <c r="G1913">
        <v>0.12327755426124</v>
      </c>
      <c r="H1913">
        <v>3.7793600753553903E-2</v>
      </c>
      <c r="I1913">
        <v>6.0578219734253001E-2</v>
      </c>
      <c r="J1913">
        <v>3.6059553082822E-2</v>
      </c>
      <c r="K1913">
        <v>2.88487062994017E-2</v>
      </c>
      <c r="L1913">
        <v>952.65366354568698</v>
      </c>
      <c r="M1913">
        <v>19.963860193918801</v>
      </c>
      <c r="N1913">
        <v>47.922451202366602</v>
      </c>
      <c r="O1913">
        <v>47.247864725688302</v>
      </c>
      <c r="P1913">
        <v>-0.101343149873954</v>
      </c>
      <c r="Q1913">
        <v>4.0648625447577698E-2</v>
      </c>
      <c r="R1913">
        <v>0.98696268055108305</v>
      </c>
      <c r="S1913" t="s">
        <v>8224</v>
      </c>
      <c r="T1913" t="s">
        <v>12620</v>
      </c>
      <c r="U1913" t="s">
        <v>12620</v>
      </c>
      <c r="V1913" t="s">
        <v>12620</v>
      </c>
      <c r="W1913" t="s">
        <v>14493</v>
      </c>
      <c r="X1913">
        <v>1</v>
      </c>
      <c r="Y1913" t="s">
        <v>20698</v>
      </c>
      <c r="Z1913" t="s">
        <v>26860</v>
      </c>
      <c r="AA1913">
        <v>0.30126197965634632</v>
      </c>
      <c r="AB1913" t="str">
        <f>HYPERLINK("Melting_Curves/meltCurve_P26045_PTPN3.pdf", "Melting_Curves/meltCurve_P26045_PTPN3.pdf")</f>
        <v>Melting_Curves/meltCurve_P26045_PTPN3.pdf</v>
      </c>
    </row>
    <row r="1914" spans="1:28" x14ac:dyDescent="0.25">
      <c r="A1914" t="s">
        <v>1918</v>
      </c>
      <c r="B1914">
        <v>0.99987803227770999</v>
      </c>
      <c r="C1914">
        <v>1.08592760857202</v>
      </c>
      <c r="D1914">
        <v>1.0183431393972699</v>
      </c>
      <c r="E1914">
        <v>0.96922448599651101</v>
      </c>
      <c r="F1914">
        <v>0.42108853393400703</v>
      </c>
      <c r="G1914">
        <v>0.23758220745068001</v>
      </c>
      <c r="H1914">
        <v>0.17520135509057599</v>
      </c>
      <c r="I1914">
        <v>0.16471276405792401</v>
      </c>
      <c r="J1914">
        <v>0.13955592723169999</v>
      </c>
      <c r="K1914">
        <v>9.0324401562152504E-2</v>
      </c>
      <c r="L1914">
        <v>3300.7374293672201</v>
      </c>
      <c r="M1914">
        <v>63.050661121133402</v>
      </c>
      <c r="N1914">
        <v>52.672555747955101</v>
      </c>
      <c r="O1914">
        <v>52.2979763444635</v>
      </c>
      <c r="P1914">
        <v>-0.25320228163938002</v>
      </c>
      <c r="Q1914">
        <v>0.159916070072256</v>
      </c>
      <c r="R1914">
        <v>0.98878313938013696</v>
      </c>
      <c r="S1914" t="s">
        <v>8225</v>
      </c>
      <c r="T1914" t="s">
        <v>12620</v>
      </c>
      <c r="U1914" t="s">
        <v>12620</v>
      </c>
      <c r="V1914" t="s">
        <v>12620</v>
      </c>
      <c r="W1914" t="s">
        <v>14494</v>
      </c>
      <c r="X1914">
        <v>20</v>
      </c>
      <c r="Y1914" t="s">
        <v>20699</v>
      </c>
      <c r="Z1914" t="s">
        <v>26861</v>
      </c>
      <c r="AA1914">
        <v>0.50698372353929333</v>
      </c>
      <c r="AB1914" t="str">
        <f>HYPERLINK("Melting_Curves/meltCurve_P26196_DDX6.pdf", "Melting_Curves/meltCurve_P26196_DDX6.pdf")</f>
        <v>Melting_Curves/meltCurve_P26196_DDX6.pdf</v>
      </c>
    </row>
    <row r="1915" spans="1:28" x14ac:dyDescent="0.25">
      <c r="A1915" t="s">
        <v>1919</v>
      </c>
      <c r="B1915">
        <v>0.99987803227770999</v>
      </c>
      <c r="C1915">
        <v>0.85008463785473998</v>
      </c>
      <c r="D1915">
        <v>1.1209612996770999</v>
      </c>
      <c r="E1915">
        <v>0.99691492449442098</v>
      </c>
      <c r="F1915">
        <v>0.81858501051657195</v>
      </c>
      <c r="G1915">
        <v>0.44996579672746101</v>
      </c>
      <c r="H1915">
        <v>0.59822188710963797</v>
      </c>
      <c r="I1915">
        <v>0.58029728645412404</v>
      </c>
      <c r="J1915">
        <v>0.75185322370144902</v>
      </c>
      <c r="K1915">
        <v>0.58999483364355498</v>
      </c>
      <c r="L1915">
        <v>13261.298027446999</v>
      </c>
      <c r="M1915">
        <v>250</v>
      </c>
      <c r="O1915">
        <v>53.041798158504001</v>
      </c>
      <c r="P1915">
        <v>-0.47831782392614802</v>
      </c>
      <c r="Q1915">
        <v>0.59406660542713396</v>
      </c>
      <c r="R1915">
        <v>0.80989606612463305</v>
      </c>
      <c r="S1915" t="s">
        <v>8226</v>
      </c>
      <c r="T1915" t="s">
        <v>12620</v>
      </c>
      <c r="U1915" t="s">
        <v>12620</v>
      </c>
      <c r="V1915" t="s">
        <v>12620</v>
      </c>
      <c r="W1915" t="s">
        <v>14495</v>
      </c>
      <c r="X1915">
        <v>58</v>
      </c>
      <c r="Y1915" t="s">
        <v>20700</v>
      </c>
      <c r="Z1915" t="s">
        <v>26862</v>
      </c>
      <c r="AA1915">
        <v>0.77062036571487047</v>
      </c>
      <c r="AB1915" t="str">
        <f>HYPERLINK("Melting_Curves/meltCurve_P26358_DNMT1.pdf", "Melting_Curves/meltCurve_P26358_DNMT1.pdf")</f>
        <v>Melting_Curves/meltCurve_P26358_DNMT1.pdf</v>
      </c>
    </row>
    <row r="1916" spans="1:28" x14ac:dyDescent="0.25">
      <c r="A1916" t="s">
        <v>1920</v>
      </c>
      <c r="B1916">
        <v>0.99987803227770999</v>
      </c>
      <c r="C1916">
        <v>1.0328270096924901</v>
      </c>
      <c r="D1916">
        <v>0.96019261958552504</v>
      </c>
      <c r="E1916">
        <v>1.11572843066488</v>
      </c>
      <c r="F1916">
        <v>0.85989605383069501</v>
      </c>
      <c r="G1916">
        <v>0.40390463112392899</v>
      </c>
      <c r="H1916">
        <v>0.26547404751790599</v>
      </c>
      <c r="I1916">
        <v>0.22688481132296701</v>
      </c>
      <c r="J1916">
        <v>0.245843096346478</v>
      </c>
      <c r="K1916">
        <v>0.194397868054275</v>
      </c>
      <c r="L1916">
        <v>2239.4421223577501</v>
      </c>
      <c r="M1916">
        <v>40.541249878143098</v>
      </c>
      <c r="N1916">
        <v>56.082753188982899</v>
      </c>
      <c r="O1916">
        <v>55.104713795560201</v>
      </c>
      <c r="P1916">
        <v>-0.14192220634106001</v>
      </c>
      <c r="Q1916">
        <v>0.22838418865555801</v>
      </c>
      <c r="R1916">
        <v>0.98473417739198299</v>
      </c>
      <c r="S1916" t="s">
        <v>8227</v>
      </c>
      <c r="T1916" t="s">
        <v>12620</v>
      </c>
      <c r="U1916" t="s">
        <v>12620</v>
      </c>
      <c r="V1916" t="s">
        <v>12620</v>
      </c>
      <c r="W1916" t="s">
        <v>14496</v>
      </c>
      <c r="X1916">
        <v>58</v>
      </c>
      <c r="Y1916" t="s">
        <v>20700</v>
      </c>
      <c r="Z1916" t="s">
        <v>26863</v>
      </c>
      <c r="AA1916">
        <v>0.62318574049181996</v>
      </c>
      <c r="AB1916" t="str">
        <f>HYPERLINK("Melting_Curves/meltCurve_P26358_2_DNMT1.pdf", "Melting_Curves/meltCurve_P26358_2_DNMT1.pdf")</f>
        <v>Melting_Curves/meltCurve_P26358_2_DNMT1.pdf</v>
      </c>
    </row>
    <row r="1917" spans="1:28" x14ac:dyDescent="0.25">
      <c r="A1917" t="s">
        <v>1921</v>
      </c>
      <c r="B1917">
        <v>0.99987803227770999</v>
      </c>
      <c r="C1917">
        <v>0.96368119352870196</v>
      </c>
      <c r="D1917">
        <v>0.99301984506969398</v>
      </c>
      <c r="E1917">
        <v>1.0415544367384899</v>
      </c>
      <c r="F1917">
        <v>0.900267085158443</v>
      </c>
      <c r="G1917">
        <v>0.49316312444063598</v>
      </c>
      <c r="H1917">
        <v>0.13826066615082899</v>
      </c>
      <c r="I1917">
        <v>0.101168245890768</v>
      </c>
      <c r="J1917">
        <v>7.0618099251187699E-2</v>
      </c>
      <c r="K1917">
        <v>4.85312659262589E-2</v>
      </c>
      <c r="L1917">
        <v>1862.78576269833</v>
      </c>
      <c r="M1917">
        <v>32.853739073548297</v>
      </c>
      <c r="N1917">
        <v>56.926933069776602</v>
      </c>
      <c r="O1917">
        <v>56.490523351240299</v>
      </c>
      <c r="P1917">
        <v>-0.13644762853640899</v>
      </c>
      <c r="Q1917">
        <v>6.1542102821506101E-2</v>
      </c>
      <c r="R1917">
        <v>0.99721484083058098</v>
      </c>
      <c r="S1917" t="s">
        <v>8228</v>
      </c>
      <c r="T1917" t="s">
        <v>12620</v>
      </c>
      <c r="U1917" t="s">
        <v>12620</v>
      </c>
      <c r="V1917" t="s">
        <v>12620</v>
      </c>
      <c r="W1917" t="s">
        <v>14497</v>
      </c>
      <c r="X1917">
        <v>10</v>
      </c>
      <c r="Y1917" t="s">
        <v>20701</v>
      </c>
      <c r="Z1917" t="s">
        <v>26864</v>
      </c>
      <c r="AA1917">
        <v>0.5892339921571953</v>
      </c>
      <c r="AB1917" t="str">
        <f>HYPERLINK("Melting_Curves/meltCurve_P26368_2_U2AF2.pdf", "Melting_Curves/meltCurve_P26368_2_U2AF2.pdf")</f>
        <v>Melting_Curves/meltCurve_P26368_2_U2AF2.pdf</v>
      </c>
    </row>
    <row r="1918" spans="1:28" x14ac:dyDescent="0.25">
      <c r="A1918" t="s">
        <v>1922</v>
      </c>
      <c r="B1918">
        <v>0.99987803227770999</v>
      </c>
      <c r="C1918">
        <v>1.2555105455966999</v>
      </c>
      <c r="D1918">
        <v>1.3321782325831399</v>
      </c>
      <c r="E1918">
        <v>1.26999023213812</v>
      </c>
      <c r="F1918">
        <v>0.76703886094703499</v>
      </c>
      <c r="G1918">
        <v>0.41346921945988302</v>
      </c>
      <c r="H1918">
        <v>0.29231543102546498</v>
      </c>
      <c r="I1918">
        <v>0.262738389191713</v>
      </c>
      <c r="J1918">
        <v>0.269242072594362</v>
      </c>
      <c r="K1918">
        <v>0.22378700103378599</v>
      </c>
      <c r="L1918">
        <v>2277.3496801812798</v>
      </c>
      <c r="M1918">
        <v>41.744498001924804</v>
      </c>
      <c r="N1918">
        <v>55.566316045458002</v>
      </c>
      <c r="O1918">
        <v>54.429743891990697</v>
      </c>
      <c r="P1918">
        <v>-0.14069591157412001</v>
      </c>
      <c r="Q1918">
        <v>0.26619998171124698</v>
      </c>
      <c r="R1918">
        <v>0.86558289807894895</v>
      </c>
      <c r="S1918" t="s">
        <v>8229</v>
      </c>
      <c r="T1918" t="s">
        <v>12620</v>
      </c>
      <c r="U1918" t="s">
        <v>12620</v>
      </c>
      <c r="V1918" t="s">
        <v>12620</v>
      </c>
      <c r="W1918" t="s">
        <v>14498</v>
      </c>
      <c r="X1918">
        <v>7</v>
      </c>
      <c r="Y1918" t="s">
        <v>20702</v>
      </c>
      <c r="Z1918" t="s">
        <v>26865</v>
      </c>
      <c r="AA1918">
        <v>0.62473670419236338</v>
      </c>
      <c r="AB1918" t="str">
        <f>HYPERLINK("Melting_Curves/meltCurve_P26373_RPL13.pdf", "Melting_Curves/meltCurve_P26373_RPL13.pdf")</f>
        <v>Melting_Curves/meltCurve_P26373_RPL13.pdf</v>
      </c>
    </row>
    <row r="1919" spans="1:28" x14ac:dyDescent="0.25">
      <c r="A1919" t="s">
        <v>1923</v>
      </c>
      <c r="B1919">
        <v>0.99987803227770999</v>
      </c>
      <c r="C1919">
        <v>1.1198061208233301</v>
      </c>
      <c r="D1919">
        <v>1.07253815441651</v>
      </c>
      <c r="E1919">
        <v>1.0987424961996599</v>
      </c>
      <c r="F1919">
        <v>0.96405234368925896</v>
      </c>
      <c r="G1919">
        <v>0.46785987114931799</v>
      </c>
      <c r="H1919">
        <v>0.18290071082633599</v>
      </c>
      <c r="I1919">
        <v>0.13006403388397</v>
      </c>
      <c r="J1919">
        <v>0.110667802426394</v>
      </c>
      <c r="K1919">
        <v>7.1216394146125406E-2</v>
      </c>
      <c r="L1919">
        <v>2432.0588337458198</v>
      </c>
      <c r="M1919">
        <v>43.0210152927718</v>
      </c>
      <c r="N1919">
        <v>56.864394214689497</v>
      </c>
      <c r="O1919">
        <v>56.410139688691501</v>
      </c>
      <c r="P1919">
        <v>-0.16945870081813799</v>
      </c>
      <c r="Q1919">
        <v>0.111208873480952</v>
      </c>
      <c r="R1919">
        <v>0.98302710713057895</v>
      </c>
      <c r="S1919" t="s">
        <v>8230</v>
      </c>
      <c r="T1919" t="s">
        <v>12620</v>
      </c>
      <c r="U1919" t="s">
        <v>12620</v>
      </c>
      <c r="V1919" t="s">
        <v>12620</v>
      </c>
      <c r="W1919" t="s">
        <v>14499</v>
      </c>
      <c r="X1919">
        <v>14</v>
      </c>
      <c r="Y1919" t="s">
        <v>20703</v>
      </c>
      <c r="Z1919" t="s">
        <v>26866</v>
      </c>
      <c r="AA1919">
        <v>0.60397200577196086</v>
      </c>
      <c r="AB1919" t="str">
        <f>HYPERLINK("Melting_Curves/meltCurve_P26374_CHML.pdf", "Melting_Curves/meltCurve_P26374_CHML.pdf")</f>
        <v>Melting_Curves/meltCurve_P26374_CHML.pdf</v>
      </c>
    </row>
    <row r="1920" spans="1:28" x14ac:dyDescent="0.25">
      <c r="A1920" t="s">
        <v>1924</v>
      </c>
      <c r="B1920">
        <v>0.99987803227770999</v>
      </c>
      <c r="C1920">
        <v>0.91949861488935203</v>
      </c>
      <c r="D1920">
        <v>0.82269549481581905</v>
      </c>
      <c r="E1920">
        <v>0.75735468651967297</v>
      </c>
      <c r="F1920">
        <v>0.64185006598268002</v>
      </c>
      <c r="G1920">
        <v>0.49373118232982</v>
      </c>
      <c r="H1920">
        <v>0.44046601971436899</v>
      </c>
      <c r="I1920">
        <v>0.32694361855531501</v>
      </c>
      <c r="J1920">
        <v>0.22260434918706801</v>
      </c>
      <c r="K1920">
        <v>0.16051662550489601</v>
      </c>
      <c r="L1920">
        <v>433.610082299336</v>
      </c>
      <c r="M1920">
        <v>7.5816185368330702</v>
      </c>
      <c r="N1920">
        <v>57.192271422105001</v>
      </c>
      <c r="O1920">
        <v>53.619963904118002</v>
      </c>
      <c r="P1920">
        <v>-3.5397686730236501E-2</v>
      </c>
      <c r="Q1920">
        <v>0</v>
      </c>
      <c r="R1920">
        <v>0.98840393867903498</v>
      </c>
      <c r="S1920" t="s">
        <v>8231</v>
      </c>
      <c r="T1920" t="s">
        <v>12620</v>
      </c>
      <c r="U1920" t="s">
        <v>12620</v>
      </c>
      <c r="V1920" t="s">
        <v>12620</v>
      </c>
      <c r="W1920" t="s">
        <v>14500</v>
      </c>
      <c r="X1920">
        <v>1</v>
      </c>
      <c r="Y1920" t="s">
        <v>20704</v>
      </c>
      <c r="Z1920" t="s">
        <v>26867</v>
      </c>
      <c r="AA1920">
        <v>0.582039479863114</v>
      </c>
      <c r="AB1920" t="str">
        <f>HYPERLINK("Melting_Curves/meltCurve_P26440_IVD.pdf", "Melting_Curves/meltCurve_P26440_IVD.pdf")</f>
        <v>Melting_Curves/meltCurve_P26440_IVD.pdf</v>
      </c>
    </row>
    <row r="1921" spans="1:28" x14ac:dyDescent="0.25">
      <c r="A1921" t="s">
        <v>1925</v>
      </c>
      <c r="B1921">
        <v>0.99987803227770999</v>
      </c>
      <c r="C1921">
        <v>0.901533596282454</v>
      </c>
      <c r="D1921">
        <v>0.95557645523829904</v>
      </c>
      <c r="E1921">
        <v>0.89612865392228203</v>
      </c>
      <c r="F1921">
        <v>0.88763165722543003</v>
      </c>
      <c r="G1921">
        <v>0.49001095575313602</v>
      </c>
      <c r="H1921">
        <v>0.78985750139725797</v>
      </c>
      <c r="I1921">
        <v>0.53715904693787397</v>
      </c>
      <c r="J1921">
        <v>0.56085719238237797</v>
      </c>
      <c r="K1921">
        <v>0.413737536774898</v>
      </c>
      <c r="L1921">
        <v>382.10017869803602</v>
      </c>
      <c r="M1921">
        <v>5.9327467437800401</v>
      </c>
      <c r="N1921">
        <v>67.564415036663803</v>
      </c>
      <c r="O1921">
        <v>58.226658513603503</v>
      </c>
      <c r="P1921">
        <v>-2.2462751839829102E-2</v>
      </c>
      <c r="Q1921">
        <v>0.121124402266784</v>
      </c>
      <c r="R1921">
        <v>0.777487229567421</v>
      </c>
      <c r="S1921" t="s">
        <v>8232</v>
      </c>
      <c r="T1921" t="s">
        <v>12620</v>
      </c>
      <c r="U1921" t="s">
        <v>12620</v>
      </c>
      <c r="V1921" t="s">
        <v>12620</v>
      </c>
      <c r="W1921" t="s">
        <v>14501</v>
      </c>
      <c r="X1921">
        <v>8</v>
      </c>
      <c r="Y1921" t="s">
        <v>20705</v>
      </c>
      <c r="Z1921" t="s">
        <v>26868</v>
      </c>
      <c r="AA1921">
        <v>0.74898756522534016</v>
      </c>
      <c r="AB1921" t="str">
        <f>HYPERLINK("Melting_Curves/meltCurve_P26447_S100A4.pdf", "Melting_Curves/meltCurve_P26447_S100A4.pdf")</f>
        <v>Melting_Curves/meltCurve_P26447_S100A4.pdf</v>
      </c>
    </row>
    <row r="1922" spans="1:28" x14ac:dyDescent="0.25">
      <c r="A1922" t="s">
        <v>1926</v>
      </c>
      <c r="B1922">
        <v>0.99987803227770999</v>
      </c>
      <c r="C1922">
        <v>0.86202998236941897</v>
      </c>
      <c r="D1922">
        <v>1.01581058794743</v>
      </c>
      <c r="E1922">
        <v>0.86161773868986302</v>
      </c>
      <c r="F1922">
        <v>0.96869278105248002</v>
      </c>
      <c r="G1922">
        <v>0.70995487834026605</v>
      </c>
      <c r="H1922">
        <v>0.76415933329166896</v>
      </c>
      <c r="I1922">
        <v>0.66340185626561998</v>
      </c>
      <c r="J1922">
        <v>0.77867296043441603</v>
      </c>
      <c r="K1922">
        <v>0.64891251426694796</v>
      </c>
      <c r="L1922">
        <v>502.638547465361</v>
      </c>
      <c r="M1922">
        <v>8.9855520160684694</v>
      </c>
      <c r="O1922">
        <v>53.3763004738571</v>
      </c>
      <c r="P1922">
        <v>-1.5777109525197099E-2</v>
      </c>
      <c r="Q1922">
        <v>0.62539468445598101</v>
      </c>
      <c r="R1922">
        <v>0.70006239993687802</v>
      </c>
      <c r="S1922" t="s">
        <v>8233</v>
      </c>
      <c r="T1922" t="s">
        <v>12620</v>
      </c>
      <c r="U1922" t="s">
        <v>12620</v>
      </c>
      <c r="V1922" t="s">
        <v>12620</v>
      </c>
      <c r="W1922" t="s">
        <v>14502</v>
      </c>
      <c r="X1922">
        <v>17</v>
      </c>
      <c r="Y1922" t="s">
        <v>20706</v>
      </c>
      <c r="Z1922" t="s">
        <v>26869</v>
      </c>
      <c r="AA1922">
        <v>0.83234460085190243</v>
      </c>
      <c r="AB1922" t="str">
        <f>HYPERLINK("Melting_Curves/meltCurve_P26583_HMGB2.pdf", "Melting_Curves/meltCurve_P26583_HMGB2.pdf")</f>
        <v>Melting_Curves/meltCurve_P26583_HMGB2.pdf</v>
      </c>
    </row>
    <row r="1923" spans="1:28" x14ac:dyDescent="0.25">
      <c r="A1923" t="s">
        <v>1927</v>
      </c>
      <c r="B1923">
        <v>0.99987803227770999</v>
      </c>
      <c r="C1923">
        <v>1.0398490842591099</v>
      </c>
      <c r="D1923">
        <v>1.0261082221585101</v>
      </c>
      <c r="E1923">
        <v>0.51576016691267801</v>
      </c>
      <c r="F1923">
        <v>0.23684662834481901</v>
      </c>
      <c r="G1923">
        <v>0.153732116660968</v>
      </c>
      <c r="H1923">
        <v>9.7162153954456695E-2</v>
      </c>
      <c r="I1923">
        <v>7.4655134633434803E-2</v>
      </c>
      <c r="J1923">
        <v>5.91616846114092E-2</v>
      </c>
      <c r="K1923">
        <v>3.8689440052236602E-2</v>
      </c>
      <c r="L1923">
        <v>1688.7040643729899</v>
      </c>
      <c r="M1923">
        <v>33.748692688564901</v>
      </c>
      <c r="N1923">
        <v>50.312303480085198</v>
      </c>
      <c r="O1923">
        <v>49.862912752781902</v>
      </c>
      <c r="P1923">
        <v>-0.154972222904569</v>
      </c>
      <c r="Q1923">
        <v>8.4132338167630397E-2</v>
      </c>
      <c r="R1923">
        <v>0.99121654544056603</v>
      </c>
      <c r="S1923" t="s">
        <v>8234</v>
      </c>
      <c r="T1923" t="s">
        <v>12620</v>
      </c>
      <c r="U1923" t="s">
        <v>12620</v>
      </c>
      <c r="V1923" t="s">
        <v>12620</v>
      </c>
      <c r="W1923" t="s">
        <v>14503</v>
      </c>
      <c r="X1923">
        <v>13</v>
      </c>
      <c r="Y1923" t="s">
        <v>19669</v>
      </c>
      <c r="Z1923" t="s">
        <v>26870</v>
      </c>
      <c r="AA1923">
        <v>0.39503672037378662</v>
      </c>
      <c r="AB1923" t="str">
        <f>HYPERLINK("Melting_Curves/meltCurve_P26599_PTBP1.pdf", "Melting_Curves/meltCurve_P26599_PTBP1.pdf")</f>
        <v>Melting_Curves/meltCurve_P26599_PTBP1.pdf</v>
      </c>
    </row>
    <row r="1924" spans="1:28" x14ac:dyDescent="0.25">
      <c r="A1924" t="s">
        <v>1928</v>
      </c>
      <c r="B1924">
        <v>0.99987803227770999</v>
      </c>
      <c r="C1924">
        <v>1.12168097098298</v>
      </c>
      <c r="D1924">
        <v>0.88238494161146896</v>
      </c>
      <c r="E1924">
        <v>1.0294008019712599</v>
      </c>
      <c r="F1924">
        <v>0.42886506571918798</v>
      </c>
      <c r="G1924">
        <v>0.23953651933961601</v>
      </c>
      <c r="H1924">
        <v>0.131236482277788</v>
      </c>
      <c r="I1924">
        <v>9.3715313988022006E-2</v>
      </c>
      <c r="J1924">
        <v>8.0487815716258501E-2</v>
      </c>
      <c r="K1924">
        <v>5.6130874779209999E-2</v>
      </c>
      <c r="L1924">
        <v>13217.3818069889</v>
      </c>
      <c r="M1924">
        <v>250</v>
      </c>
      <c r="N1924">
        <v>52.927753436921599</v>
      </c>
      <c r="O1924">
        <v>52.866143156751598</v>
      </c>
      <c r="P1924">
        <v>-1.0401016425993099</v>
      </c>
      <c r="Q1924">
        <v>0.12022139081494899</v>
      </c>
      <c r="R1924">
        <v>0.97222836474187901</v>
      </c>
      <c r="S1924" t="s">
        <v>8235</v>
      </c>
      <c r="T1924" t="s">
        <v>12620</v>
      </c>
      <c r="U1924" t="s">
        <v>12620</v>
      </c>
      <c r="V1924" t="s">
        <v>12620</v>
      </c>
      <c r="W1924" t="s">
        <v>14504</v>
      </c>
      <c r="X1924">
        <v>52</v>
      </c>
      <c r="Y1924" t="s">
        <v>20707</v>
      </c>
      <c r="Z1924" t="s">
        <v>26871</v>
      </c>
      <c r="AA1924">
        <v>0.49771418009624668</v>
      </c>
      <c r="AB1924" t="str">
        <f>HYPERLINK("Melting_Curves/meltCurve_P26639_TARS.pdf", "Melting_Curves/meltCurve_P26639_TARS.pdf")</f>
        <v>Melting_Curves/meltCurve_P26639_TARS.pdf</v>
      </c>
    </row>
    <row r="1925" spans="1:28" x14ac:dyDescent="0.25">
      <c r="A1925" t="s">
        <v>1929</v>
      </c>
      <c r="B1925">
        <v>0.99987803227770999</v>
      </c>
      <c r="C1925">
        <v>1.03732755026159</v>
      </c>
      <c r="D1925">
        <v>0.81617836040565095</v>
      </c>
      <c r="E1925">
        <v>0.87823910695472496</v>
      </c>
      <c r="F1925">
        <v>0.32176261005948897</v>
      </c>
      <c r="G1925">
        <v>0.184522766234611</v>
      </c>
      <c r="H1925">
        <v>0.11733442903965099</v>
      </c>
      <c r="I1925">
        <v>0.103295495557417</v>
      </c>
      <c r="J1925">
        <v>8.4899168197316993E-2</v>
      </c>
      <c r="K1925">
        <v>5.8626966253026797E-2</v>
      </c>
      <c r="L1925">
        <v>2425.4950734818299</v>
      </c>
      <c r="M1925">
        <v>46.820008502957897</v>
      </c>
      <c r="N1925">
        <v>52.067419466772598</v>
      </c>
      <c r="O1925">
        <v>51.710428062058803</v>
      </c>
      <c r="P1925">
        <v>-0.20254189933207101</v>
      </c>
      <c r="Q1925">
        <v>0.105210199712057</v>
      </c>
      <c r="R1925">
        <v>0.97320284904544696</v>
      </c>
      <c r="S1925" t="s">
        <v>8236</v>
      </c>
      <c r="T1925" t="s">
        <v>12620</v>
      </c>
      <c r="U1925" t="s">
        <v>12620</v>
      </c>
      <c r="V1925" t="s">
        <v>12620</v>
      </c>
      <c r="W1925" t="s">
        <v>14505</v>
      </c>
      <c r="X1925">
        <v>41</v>
      </c>
      <c r="Y1925" t="s">
        <v>20708</v>
      </c>
      <c r="Z1925" t="s">
        <v>26872</v>
      </c>
      <c r="AA1925">
        <v>0.45963356195846061</v>
      </c>
      <c r="AB1925" t="str">
        <f>HYPERLINK("Melting_Curves/meltCurve_P26640_VARS.pdf", "Melting_Curves/meltCurve_P26640_VARS.pdf")</f>
        <v>Melting_Curves/meltCurve_P26640_VARS.pdf</v>
      </c>
    </row>
    <row r="1926" spans="1:28" x14ac:dyDescent="0.25">
      <c r="A1926" t="s">
        <v>1930</v>
      </c>
      <c r="B1926">
        <v>0.99987803227770999</v>
      </c>
      <c r="C1926">
        <v>1.08337543419959</v>
      </c>
      <c r="D1926">
        <v>0.786510363280151</v>
      </c>
      <c r="E1926">
        <v>1.2714765493998701</v>
      </c>
      <c r="F1926">
        <v>0.29553993702839298</v>
      </c>
      <c r="G1926">
        <v>0.181296889406178</v>
      </c>
      <c r="H1926">
        <v>8.7519309948084198E-2</v>
      </c>
      <c r="I1926">
        <v>6.6135817598042101E-2</v>
      </c>
      <c r="J1926">
        <v>5.8099386870067403E-2</v>
      </c>
      <c r="K1926">
        <v>3.7788779498998101E-2</v>
      </c>
      <c r="L1926">
        <v>13185.694714426199</v>
      </c>
      <c r="M1926">
        <v>250</v>
      </c>
      <c r="N1926">
        <v>52.7827078982017</v>
      </c>
      <c r="O1926">
        <v>52.739403690225203</v>
      </c>
      <c r="P1926">
        <v>-1.08295710225382</v>
      </c>
      <c r="Q1926">
        <v>8.6167812707531405E-2</v>
      </c>
      <c r="R1926">
        <v>0.93621978229028302</v>
      </c>
      <c r="S1926" t="s">
        <v>8237</v>
      </c>
      <c r="T1926" t="s">
        <v>12620</v>
      </c>
      <c r="U1926" t="s">
        <v>12620</v>
      </c>
      <c r="V1926" t="s">
        <v>12620</v>
      </c>
      <c r="W1926" t="s">
        <v>14506</v>
      </c>
      <c r="X1926">
        <v>25</v>
      </c>
      <c r="Y1926" t="s">
        <v>20709</v>
      </c>
      <c r="Z1926" t="s">
        <v>26873</v>
      </c>
      <c r="AA1926">
        <v>0.47441111539069519</v>
      </c>
      <c r="AB1926" t="str">
        <f>HYPERLINK("Melting_Curves/meltCurve_P26641_EEF1G.pdf", "Melting_Curves/meltCurve_P26641_EEF1G.pdf")</f>
        <v>Melting_Curves/meltCurve_P26641_EEF1G.pdf</v>
      </c>
    </row>
    <row r="1927" spans="1:28" x14ac:dyDescent="0.25">
      <c r="A1927" t="s">
        <v>1931</v>
      </c>
      <c r="B1927">
        <v>0.99987803227770999</v>
      </c>
      <c r="C1927">
        <v>0.84171050581037299</v>
      </c>
      <c r="D1927">
        <v>0.89851984445238298</v>
      </c>
      <c r="E1927">
        <v>0.68730553973517305</v>
      </c>
      <c r="F1927">
        <v>0.87734100774159196</v>
      </c>
      <c r="G1927">
        <v>0.72214641807217705</v>
      </c>
      <c r="H1927">
        <v>0.63203683458423299</v>
      </c>
      <c r="I1927">
        <v>0.73667129144536803</v>
      </c>
      <c r="J1927">
        <v>0.755171109010362</v>
      </c>
      <c r="K1927">
        <v>0.66652579734195505</v>
      </c>
      <c r="L1927">
        <v>488.19861637438999</v>
      </c>
      <c r="M1927">
        <v>10.5728943553758</v>
      </c>
      <c r="O1927">
        <v>44.614505681059804</v>
      </c>
      <c r="P1927">
        <v>-1.8203047392178401E-2</v>
      </c>
      <c r="Q1927">
        <v>0.69287446798497798</v>
      </c>
      <c r="R1927">
        <v>0.63684091061252601</v>
      </c>
      <c r="S1927" t="s">
        <v>8238</v>
      </c>
      <c r="T1927" t="s">
        <v>12620</v>
      </c>
      <c r="U1927" t="s">
        <v>12620</v>
      </c>
      <c r="V1927" t="s">
        <v>12620</v>
      </c>
      <c r="W1927" t="s">
        <v>14507</v>
      </c>
      <c r="X1927">
        <v>1</v>
      </c>
      <c r="Y1927" t="s">
        <v>20710</v>
      </c>
      <c r="Z1927" t="s">
        <v>26874</v>
      </c>
      <c r="AA1927">
        <v>0.77333569426076776</v>
      </c>
      <c r="AB1927" t="str">
        <f>HYPERLINK("Melting_Curves/meltCurve_P26651_ZFP36.pdf", "Melting_Curves/meltCurve_P26651_ZFP36.pdf")</f>
        <v>Melting_Curves/meltCurve_P26651_ZFP36.pdf</v>
      </c>
    </row>
    <row r="1928" spans="1:28" x14ac:dyDescent="0.25">
      <c r="A1928" t="s">
        <v>1932</v>
      </c>
      <c r="B1928">
        <v>0.99987803227770999</v>
      </c>
      <c r="C1928">
        <v>0.82983681998574998</v>
      </c>
      <c r="D1928">
        <v>1.0167332480049001</v>
      </c>
      <c r="E1928">
        <v>0.82797793939640796</v>
      </c>
      <c r="F1928">
        <v>0.968846536221451</v>
      </c>
      <c r="G1928">
        <v>0.78554624065414502</v>
      </c>
      <c r="H1928">
        <v>0.69472029281165104</v>
      </c>
      <c r="I1928">
        <v>0.50930051167024104</v>
      </c>
      <c r="J1928">
        <v>0.273216720868389</v>
      </c>
      <c r="K1928">
        <v>0.160974263520378</v>
      </c>
      <c r="L1928">
        <v>933.81903785177599</v>
      </c>
      <c r="M1928">
        <v>14.730455733248601</v>
      </c>
      <c r="N1928">
        <v>63.393764252987602</v>
      </c>
      <c r="O1928">
        <v>62.259822356453697</v>
      </c>
      <c r="P1928">
        <v>-5.9155539535341799E-2</v>
      </c>
      <c r="Q1928">
        <v>0</v>
      </c>
      <c r="R1928">
        <v>0.921563936228733</v>
      </c>
      <c r="S1928" t="s">
        <v>8239</v>
      </c>
      <c r="T1928" t="s">
        <v>12620</v>
      </c>
      <c r="U1928" t="s">
        <v>12620</v>
      </c>
      <c r="V1928" t="s">
        <v>12620</v>
      </c>
      <c r="W1928" t="s">
        <v>14508</v>
      </c>
      <c r="X1928">
        <v>9</v>
      </c>
      <c r="Y1928" t="s">
        <v>20711</v>
      </c>
      <c r="Z1928" t="s">
        <v>26875</v>
      </c>
      <c r="AA1928">
        <v>0.76704610297469</v>
      </c>
      <c r="AB1928" t="str">
        <f>HYPERLINK("Melting_Curves/meltCurve_P26885_FKBP2.pdf", "Melting_Curves/meltCurve_P26885_FKBP2.pdf")</f>
        <v>Melting_Curves/meltCurve_P26885_FKBP2.pdf</v>
      </c>
    </row>
    <row r="1929" spans="1:28" x14ac:dyDescent="0.25">
      <c r="A1929" t="s">
        <v>1933</v>
      </c>
      <c r="B1929">
        <v>0.99987803227770999</v>
      </c>
      <c r="C1929">
        <v>0.903077722787335</v>
      </c>
      <c r="D1929">
        <v>0.96519944504404598</v>
      </c>
      <c r="E1929">
        <v>0.78963936243557498</v>
      </c>
      <c r="F1929">
        <v>0.63235425907014198</v>
      </c>
      <c r="G1929">
        <v>0.24225765686360301</v>
      </c>
      <c r="H1929">
        <v>0.18038036409931801</v>
      </c>
      <c r="I1929">
        <v>0.159701609997037</v>
      </c>
      <c r="J1929">
        <v>0.11617872959900701</v>
      </c>
      <c r="K1929">
        <v>8.3014900325576901E-2</v>
      </c>
      <c r="L1929">
        <v>1055.55484362118</v>
      </c>
      <c r="M1929">
        <v>19.761290602310101</v>
      </c>
      <c r="N1929">
        <v>53.9946468223512</v>
      </c>
      <c r="O1929">
        <v>52.877322701423303</v>
      </c>
      <c r="P1929">
        <v>-8.4507308285141303E-2</v>
      </c>
      <c r="Q1929">
        <v>9.5531524985775704E-2</v>
      </c>
      <c r="R1929">
        <v>0.98814020786210299</v>
      </c>
      <c r="S1929" t="s">
        <v>8240</v>
      </c>
      <c r="T1929" t="s">
        <v>12620</v>
      </c>
      <c r="U1929" t="s">
        <v>12620</v>
      </c>
      <c r="V1929" t="s">
        <v>12620</v>
      </c>
      <c r="W1929" t="s">
        <v>14509</v>
      </c>
      <c r="X1929">
        <v>7</v>
      </c>
      <c r="Y1929" t="s">
        <v>20712</v>
      </c>
      <c r="Z1929" t="s">
        <v>26876</v>
      </c>
      <c r="AA1929">
        <v>0.51262706800431013</v>
      </c>
      <c r="AB1929" t="str">
        <f>HYPERLINK("Melting_Curves/meltCurve_P27144_AK4.pdf", "Melting_Curves/meltCurve_P27144_AK4.pdf")</f>
        <v>Melting_Curves/meltCurve_P27144_AK4.pdf</v>
      </c>
    </row>
    <row r="1930" spans="1:28" x14ac:dyDescent="0.25">
      <c r="A1930" t="s">
        <v>1934</v>
      </c>
      <c r="B1930">
        <v>0.99987803227770999</v>
      </c>
      <c r="C1930">
        <v>0.848084319493697</v>
      </c>
      <c r="D1930">
        <v>1.0366651040889101</v>
      </c>
      <c r="E1930">
        <v>0.93802895756003002</v>
      </c>
      <c r="F1930">
        <v>0.91640646952760096</v>
      </c>
      <c r="G1930">
        <v>0.33947881714176698</v>
      </c>
      <c r="H1930">
        <v>0.152707141222272</v>
      </c>
      <c r="I1930">
        <v>9.9932385791724102E-2</v>
      </c>
      <c r="J1930">
        <v>9.0256403550100103E-2</v>
      </c>
      <c r="K1930">
        <v>5.7303401192187797E-2</v>
      </c>
      <c r="L1930">
        <v>2248.9796135012398</v>
      </c>
      <c r="M1930">
        <v>40.365438572820601</v>
      </c>
      <c r="N1930">
        <v>55.990313845557701</v>
      </c>
      <c r="O1930">
        <v>55.579259352976798</v>
      </c>
      <c r="P1930">
        <v>-0.16524946307897201</v>
      </c>
      <c r="Q1930">
        <v>8.9872527004062799E-2</v>
      </c>
      <c r="R1930">
        <v>0.98197450073203796</v>
      </c>
      <c r="S1930" t="s">
        <v>8241</v>
      </c>
      <c r="T1930" t="s">
        <v>12620</v>
      </c>
      <c r="U1930" t="s">
        <v>12620</v>
      </c>
      <c r="V1930" t="s">
        <v>12620</v>
      </c>
      <c r="W1930" t="s">
        <v>14510</v>
      </c>
      <c r="X1930">
        <v>27</v>
      </c>
      <c r="Y1930" t="s">
        <v>20713</v>
      </c>
      <c r="Z1930" t="s">
        <v>26877</v>
      </c>
      <c r="AA1930">
        <v>0.57006573205018407</v>
      </c>
      <c r="AB1930" t="str">
        <f>HYPERLINK("Melting_Curves/meltCurve_P27348_YWHAQ.pdf", "Melting_Curves/meltCurve_P27348_YWHAQ.pdf")</f>
        <v>Melting_Curves/meltCurve_P27348_YWHAQ.pdf</v>
      </c>
    </row>
    <row r="1931" spans="1:28" x14ac:dyDescent="0.25">
      <c r="A1931" t="s">
        <v>1935</v>
      </c>
      <c r="B1931">
        <v>0.99987803227770999</v>
      </c>
      <c r="C1931">
        <v>0.89722244511482496</v>
      </c>
      <c r="D1931">
        <v>0.79721003296789805</v>
      </c>
      <c r="E1931">
        <v>0.45262171435165299</v>
      </c>
      <c r="F1931">
        <v>0.337915976518539</v>
      </c>
      <c r="G1931">
        <v>0.298623883376882</v>
      </c>
      <c r="H1931">
        <v>0.23143505513353299</v>
      </c>
      <c r="I1931">
        <v>0.121216110276477</v>
      </c>
      <c r="J1931">
        <v>6.7075239049688706E-2</v>
      </c>
      <c r="K1931">
        <v>5.0016917297386401E-2</v>
      </c>
      <c r="L1931">
        <v>624.12097453286799</v>
      </c>
      <c r="M1931">
        <v>12.5361834930494</v>
      </c>
      <c r="N1931">
        <v>50.399545427302797</v>
      </c>
      <c r="O1931">
        <v>48.569678323708402</v>
      </c>
      <c r="P1931">
        <v>-5.9969583982615697E-2</v>
      </c>
      <c r="Q1931">
        <v>7.0814598349813698E-2</v>
      </c>
      <c r="R1931">
        <v>0.97887494051222801</v>
      </c>
      <c r="S1931" t="s">
        <v>8242</v>
      </c>
      <c r="T1931" t="s">
        <v>12620</v>
      </c>
      <c r="U1931" t="s">
        <v>12620</v>
      </c>
      <c r="V1931" t="s">
        <v>12620</v>
      </c>
      <c r="W1931" t="s">
        <v>14511</v>
      </c>
      <c r="X1931">
        <v>12</v>
      </c>
      <c r="Y1931" t="s">
        <v>20714</v>
      </c>
      <c r="Z1931" t="s">
        <v>26878</v>
      </c>
      <c r="AA1931">
        <v>0.40426240402827129</v>
      </c>
      <c r="AB1931" t="str">
        <f>HYPERLINK("Melting_Curves/meltCurve_P27361_MAPK3.pdf", "Melting_Curves/meltCurve_P27361_MAPK3.pdf")</f>
        <v>Melting_Curves/meltCurve_P27361_MAPK3.pdf</v>
      </c>
    </row>
    <row r="1932" spans="1:28" x14ac:dyDescent="0.25">
      <c r="A1932" t="s">
        <v>1936</v>
      </c>
      <c r="B1932">
        <v>0.99987803227770999</v>
      </c>
      <c r="C1932">
        <v>0.85451036231913602</v>
      </c>
      <c r="D1932">
        <v>0.70991151471945002</v>
      </c>
      <c r="E1932">
        <v>0.45923293788691499</v>
      </c>
      <c r="F1932">
        <v>0.32371885569432501</v>
      </c>
      <c r="G1932">
        <v>0.20491719344336301</v>
      </c>
      <c r="H1932">
        <v>0.17028638252428699</v>
      </c>
      <c r="I1932">
        <v>0.13857199337750201</v>
      </c>
      <c r="J1932">
        <v>0.125350992401559</v>
      </c>
      <c r="K1932">
        <v>0.103515247451273</v>
      </c>
      <c r="L1932">
        <v>667.45211581501997</v>
      </c>
      <c r="M1932">
        <v>13.760351384371001</v>
      </c>
      <c r="N1932">
        <v>49.356385850122599</v>
      </c>
      <c r="O1932">
        <v>47.515443328424801</v>
      </c>
      <c r="P1932">
        <v>-6.4763351291998394E-2</v>
      </c>
      <c r="Q1932">
        <v>0.10559731832692</v>
      </c>
      <c r="R1932">
        <v>0.99709134523578802</v>
      </c>
      <c r="S1932" t="s">
        <v>8243</v>
      </c>
      <c r="T1932" t="s">
        <v>12620</v>
      </c>
      <c r="U1932" t="s">
        <v>12620</v>
      </c>
      <c r="V1932" t="s">
        <v>12620</v>
      </c>
      <c r="W1932" t="s">
        <v>14512</v>
      </c>
      <c r="X1932">
        <v>9</v>
      </c>
      <c r="Y1932" t="s">
        <v>20715</v>
      </c>
      <c r="Z1932" t="s">
        <v>26879</v>
      </c>
      <c r="AA1932">
        <v>0.38568071216556937</v>
      </c>
      <c r="AB1932" t="str">
        <f>HYPERLINK("Melting_Curves/meltCurve_P27448_8_MARK3.pdf", "Melting_Curves/meltCurve_P27448_8_MARK3.pdf")</f>
        <v>Melting_Curves/meltCurve_P27448_8_MARK3.pdf</v>
      </c>
    </row>
    <row r="1933" spans="1:28" x14ac:dyDescent="0.25">
      <c r="A1933" t="s">
        <v>1937</v>
      </c>
      <c r="B1933">
        <v>0.99987803227770999</v>
      </c>
      <c r="C1933">
        <v>0.94083945338237596</v>
      </c>
      <c r="D1933">
        <v>1.00351644637883</v>
      </c>
      <c r="E1933">
        <v>0.85775027429527095</v>
      </c>
      <c r="F1933">
        <v>0.71895945257905602</v>
      </c>
      <c r="G1933">
        <v>0.531430134626936</v>
      </c>
      <c r="H1933">
        <v>0.34696075265745902</v>
      </c>
      <c r="I1933">
        <v>0.279743739128826</v>
      </c>
      <c r="J1933">
        <v>0.24578955950491499</v>
      </c>
      <c r="K1933">
        <v>0.185471846961658</v>
      </c>
      <c r="L1933">
        <v>770.66615315004697</v>
      </c>
      <c r="M1933">
        <v>13.770517953869</v>
      </c>
      <c r="N1933">
        <v>57.441212438147801</v>
      </c>
      <c r="O1933">
        <v>54.824311699534697</v>
      </c>
      <c r="P1933">
        <v>-5.3443141911654002E-2</v>
      </c>
      <c r="Q1933">
        <v>0.149031443112669</v>
      </c>
      <c r="R1933">
        <v>0.99495101801363495</v>
      </c>
      <c r="S1933" t="s">
        <v>8244</v>
      </c>
      <c r="T1933" t="s">
        <v>12620</v>
      </c>
      <c r="U1933" t="s">
        <v>12620</v>
      </c>
      <c r="V1933" t="s">
        <v>12620</v>
      </c>
      <c r="W1933" t="s">
        <v>14513</v>
      </c>
      <c r="X1933">
        <v>11</v>
      </c>
      <c r="Y1933" t="s">
        <v>20716</v>
      </c>
      <c r="Z1933" t="s">
        <v>26880</v>
      </c>
      <c r="AA1933">
        <v>0.61807009589135098</v>
      </c>
      <c r="AB1933" t="str">
        <f>HYPERLINK("Melting_Curves/meltCurve_P27540_2_ARNT.pdf", "Melting_Curves/meltCurve_P27540_2_ARNT.pdf")</f>
        <v>Melting_Curves/meltCurve_P27540_2_ARNT.pdf</v>
      </c>
    </row>
    <row r="1934" spans="1:28" x14ac:dyDescent="0.25">
      <c r="A1934" t="s">
        <v>1938</v>
      </c>
      <c r="B1934">
        <v>0.99987803227770999</v>
      </c>
      <c r="C1934">
        <v>1.13584668471324</v>
      </c>
      <c r="D1934">
        <v>1.2186839672180101</v>
      </c>
      <c r="E1934">
        <v>0.86415832380192703</v>
      </c>
      <c r="F1934">
        <v>0.46801704139643402</v>
      </c>
      <c r="G1934">
        <v>0.193867237792097</v>
      </c>
      <c r="H1934">
        <v>0.111678362330831</v>
      </c>
      <c r="I1934">
        <v>8.7990660941773102E-2</v>
      </c>
      <c r="J1934">
        <v>9.1429571161292106E-2</v>
      </c>
      <c r="K1934">
        <v>6.2722917791447799E-2</v>
      </c>
      <c r="L1934">
        <v>1849.44708285456</v>
      </c>
      <c r="M1934">
        <v>35.190318458868603</v>
      </c>
      <c r="N1934">
        <v>52.8714936789669</v>
      </c>
      <c r="O1934">
        <v>52.386714670719101</v>
      </c>
      <c r="P1934">
        <v>-0.15201260893923799</v>
      </c>
      <c r="Q1934">
        <v>9.4817658479260394E-2</v>
      </c>
      <c r="R1934">
        <v>0.965030863158861</v>
      </c>
      <c r="S1934" t="s">
        <v>8245</v>
      </c>
      <c r="T1934" t="s">
        <v>12620</v>
      </c>
      <c r="U1934" t="s">
        <v>12620</v>
      </c>
      <c r="V1934" t="s">
        <v>12620</v>
      </c>
      <c r="W1934" t="s">
        <v>14514</v>
      </c>
      <c r="X1934">
        <v>13</v>
      </c>
      <c r="Y1934" t="s">
        <v>20717</v>
      </c>
      <c r="Z1934" t="s">
        <v>26881</v>
      </c>
      <c r="AA1934">
        <v>0.47790143835234927</v>
      </c>
      <c r="AB1934" t="str">
        <f>HYPERLINK("Melting_Curves/meltCurve_P27635_RPL10.pdf", "Melting_Curves/meltCurve_P27635_RPL10.pdf")</f>
        <v>Melting_Curves/meltCurve_P27635_RPL10.pdf</v>
      </c>
    </row>
    <row r="1935" spans="1:28" x14ac:dyDescent="0.25">
      <c r="A1935" t="s">
        <v>1939</v>
      </c>
      <c r="B1935">
        <v>0.99987803227770999</v>
      </c>
      <c r="C1935">
        <v>1.0108408142585701</v>
      </c>
      <c r="D1935">
        <v>0.95192595540365399</v>
      </c>
      <c r="E1935">
        <v>0.90442602912193104</v>
      </c>
      <c r="F1935">
        <v>0.43183497906489698</v>
      </c>
      <c r="G1935">
        <v>0.20868109532413601</v>
      </c>
      <c r="H1935">
        <v>0.11376785264037</v>
      </c>
      <c r="I1935">
        <v>8.8208930522928095E-2</v>
      </c>
      <c r="J1935">
        <v>6.4060207264653196E-2</v>
      </c>
      <c r="K1935">
        <v>4.4878492591787299E-2</v>
      </c>
      <c r="L1935">
        <v>1813.50939679059</v>
      </c>
      <c r="M1935">
        <v>34.545306521200899</v>
      </c>
      <c r="N1935">
        <v>52.787965525150298</v>
      </c>
      <c r="O1935">
        <v>52.321571476813801</v>
      </c>
      <c r="P1935">
        <v>-0.15073361700190599</v>
      </c>
      <c r="Q1935">
        <v>8.6812014975577306E-2</v>
      </c>
      <c r="R1935">
        <v>0.99281931865047002</v>
      </c>
      <c r="S1935" t="s">
        <v>8246</v>
      </c>
      <c r="T1935" t="s">
        <v>12620</v>
      </c>
      <c r="U1935" t="s">
        <v>12620</v>
      </c>
      <c r="V1935" t="s">
        <v>12620</v>
      </c>
      <c r="W1935" t="s">
        <v>14515</v>
      </c>
      <c r="X1935">
        <v>26</v>
      </c>
      <c r="Y1935" t="s">
        <v>20718</v>
      </c>
      <c r="Z1935" t="s">
        <v>26882</v>
      </c>
      <c r="AA1935">
        <v>0.47164430626515441</v>
      </c>
      <c r="AB1935" t="str">
        <f>HYPERLINK("Melting_Curves/meltCurve_P27694_RPA1.pdf", "Melting_Curves/meltCurve_P27694_RPA1.pdf")</f>
        <v>Melting_Curves/meltCurve_P27694_RPA1.pdf</v>
      </c>
    </row>
    <row r="1936" spans="1:28" x14ac:dyDescent="0.25">
      <c r="A1936" t="s">
        <v>1940</v>
      </c>
      <c r="B1936">
        <v>0.99987803227770999</v>
      </c>
      <c r="C1936">
        <v>0.87133354431020804</v>
      </c>
      <c r="D1936">
        <v>0.90199860778352703</v>
      </c>
      <c r="E1936">
        <v>0.39867716221183103</v>
      </c>
      <c r="F1936">
        <v>0.18481257760530001</v>
      </c>
      <c r="G1936">
        <v>0.123802128391775</v>
      </c>
      <c r="H1936">
        <v>0.103455677050421</v>
      </c>
      <c r="I1936">
        <v>9.3755497685868203E-2</v>
      </c>
      <c r="J1936">
        <v>8.1021966613711693E-2</v>
      </c>
      <c r="K1936">
        <v>6.3710725942719801E-2</v>
      </c>
      <c r="L1936">
        <v>1344.44634396995</v>
      </c>
      <c r="M1936">
        <v>27.4842003491718</v>
      </c>
      <c r="N1936">
        <v>49.260339456180503</v>
      </c>
      <c r="O1936">
        <v>48.660306235154899</v>
      </c>
      <c r="P1936">
        <v>-0.12889959454715899</v>
      </c>
      <c r="Q1936">
        <v>8.7150569191660907E-2</v>
      </c>
      <c r="R1936">
        <v>0.98905102829938196</v>
      </c>
      <c r="S1936" t="s">
        <v>8247</v>
      </c>
      <c r="T1936" t="s">
        <v>12620</v>
      </c>
      <c r="U1936" t="s">
        <v>12620</v>
      </c>
      <c r="V1936" t="s">
        <v>12620</v>
      </c>
      <c r="W1936" t="s">
        <v>14516</v>
      </c>
      <c r="X1936">
        <v>20</v>
      </c>
      <c r="Y1936" t="s">
        <v>20719</v>
      </c>
      <c r="Z1936" t="s">
        <v>26883</v>
      </c>
      <c r="AA1936">
        <v>0.36513121649209562</v>
      </c>
      <c r="AB1936" t="str">
        <f>HYPERLINK("Melting_Curves/meltCurve_P27695_APEX1.pdf", "Melting_Curves/meltCurve_P27695_APEX1.pdf")</f>
        <v>Melting_Curves/meltCurve_P27695_APEX1.pdf</v>
      </c>
    </row>
    <row r="1937" spans="1:28" x14ac:dyDescent="0.25">
      <c r="A1937" t="s">
        <v>1941</v>
      </c>
      <c r="B1937">
        <v>0.99987803227770999</v>
      </c>
      <c r="C1937">
        <v>1.0289743959351501</v>
      </c>
      <c r="D1937">
        <v>1.05644353086945</v>
      </c>
      <c r="E1937">
        <v>0.93272088975081302</v>
      </c>
      <c r="F1937">
        <v>0.75724088973632198</v>
      </c>
      <c r="G1937">
        <v>0.43521403346654303</v>
      </c>
      <c r="H1937">
        <v>0.19195893563525501</v>
      </c>
      <c r="I1937">
        <v>0.106455433771958</v>
      </c>
      <c r="J1937">
        <v>6.9985027532551994E-2</v>
      </c>
      <c r="K1937">
        <v>4.7807090315250003E-2</v>
      </c>
      <c r="L1937">
        <v>1164.2304644999199</v>
      </c>
      <c r="M1937">
        <v>20.7949533480983</v>
      </c>
      <c r="N1937">
        <v>56.206216920426897</v>
      </c>
      <c r="O1937">
        <v>55.476172163864902</v>
      </c>
      <c r="P1937">
        <v>-9.0050661437810195E-2</v>
      </c>
      <c r="Q1937">
        <v>3.9088665534424201E-2</v>
      </c>
      <c r="R1937">
        <v>0.99660004595490903</v>
      </c>
      <c r="S1937" t="s">
        <v>8248</v>
      </c>
      <c r="T1937" t="s">
        <v>12620</v>
      </c>
      <c r="U1937" t="s">
        <v>12620</v>
      </c>
      <c r="V1937" t="s">
        <v>12620</v>
      </c>
      <c r="W1937" t="s">
        <v>14517</v>
      </c>
      <c r="X1937">
        <v>10</v>
      </c>
      <c r="Y1937" t="s">
        <v>20720</v>
      </c>
      <c r="Z1937" t="s">
        <v>26884</v>
      </c>
      <c r="AA1937">
        <v>0.56286406538885148</v>
      </c>
      <c r="AB1937" t="str">
        <f>HYPERLINK("Melting_Curves/meltCurve_P27707_DCK.pdf", "Melting_Curves/meltCurve_P27707_DCK.pdf")</f>
        <v>Melting_Curves/meltCurve_P27707_DCK.pdf</v>
      </c>
    </row>
    <row r="1938" spans="1:28" x14ac:dyDescent="0.25">
      <c r="A1938" t="s">
        <v>1942</v>
      </c>
      <c r="B1938">
        <v>0.99987803227770999</v>
      </c>
      <c r="C1938">
        <v>0.78603237051928698</v>
      </c>
      <c r="D1938">
        <v>0.79506462851309601</v>
      </c>
      <c r="E1938">
        <v>0.52700942372389203</v>
      </c>
      <c r="F1938">
        <v>0.36125374900582602</v>
      </c>
      <c r="G1938">
        <v>0.254584063872694</v>
      </c>
      <c r="H1938">
        <v>0.19230785793119901</v>
      </c>
      <c r="I1938">
        <v>0.16908176099508301</v>
      </c>
      <c r="J1938">
        <v>0.188072611529741</v>
      </c>
      <c r="K1938">
        <v>0.14343853215576299</v>
      </c>
      <c r="L1938">
        <v>617.60472161983205</v>
      </c>
      <c r="M1938">
        <v>12.5673982315536</v>
      </c>
      <c r="N1938">
        <v>50.353283235163197</v>
      </c>
      <c r="O1938">
        <v>47.948896046688603</v>
      </c>
      <c r="P1938">
        <v>-5.69973089101544E-2</v>
      </c>
      <c r="Q1938">
        <v>0.13031880660401601</v>
      </c>
      <c r="R1938">
        <v>0.98299255577622402</v>
      </c>
      <c r="S1938" t="s">
        <v>8249</v>
      </c>
      <c r="T1938" t="s">
        <v>12620</v>
      </c>
      <c r="U1938" t="s">
        <v>12620</v>
      </c>
      <c r="V1938" t="s">
        <v>12620</v>
      </c>
      <c r="W1938" t="s">
        <v>14518</v>
      </c>
      <c r="X1938">
        <v>24</v>
      </c>
      <c r="Y1938" t="s">
        <v>20721</v>
      </c>
      <c r="Z1938" t="s">
        <v>26885</v>
      </c>
      <c r="AA1938">
        <v>0.4246854624265442</v>
      </c>
      <c r="AB1938" t="str">
        <f>HYPERLINK("Melting_Curves/meltCurve_P27797_CALR.pdf", "Melting_Curves/meltCurve_P27797_CALR.pdf")</f>
        <v>Melting_Curves/meltCurve_P27797_CALR.pdf</v>
      </c>
    </row>
    <row r="1939" spans="1:28" x14ac:dyDescent="0.25">
      <c r="A1939" t="s">
        <v>1943</v>
      </c>
      <c r="B1939">
        <v>0.99987803227770999</v>
      </c>
      <c r="C1939">
        <v>0.85503566293651601</v>
      </c>
      <c r="D1939">
        <v>0.73502243435172099</v>
      </c>
      <c r="E1939">
        <v>0.42255035496681498</v>
      </c>
      <c r="F1939">
        <v>0.30464334321454001</v>
      </c>
      <c r="G1939">
        <v>0.249649619544347</v>
      </c>
      <c r="H1939">
        <v>0.19631759455009401</v>
      </c>
      <c r="I1939">
        <v>0.173098958537593</v>
      </c>
      <c r="J1939">
        <v>0.12734545435191799</v>
      </c>
      <c r="K1939">
        <v>9.6401765808336606E-2</v>
      </c>
      <c r="L1939">
        <v>709.21738261141104</v>
      </c>
      <c r="M1939">
        <v>14.7172886819887</v>
      </c>
      <c r="N1939">
        <v>49.2075328926379</v>
      </c>
      <c r="O1939">
        <v>47.325933475212899</v>
      </c>
      <c r="P1939">
        <v>-6.7547190902788407E-2</v>
      </c>
      <c r="Q1939">
        <v>0.13125690872535201</v>
      </c>
      <c r="R1939">
        <v>0.99130515670005503</v>
      </c>
      <c r="S1939" t="s">
        <v>8250</v>
      </c>
      <c r="T1939" t="s">
        <v>12620</v>
      </c>
      <c r="U1939" t="s">
        <v>12620</v>
      </c>
      <c r="V1939" t="s">
        <v>12620</v>
      </c>
      <c r="W1939" t="s">
        <v>14519</v>
      </c>
      <c r="X1939">
        <v>8</v>
      </c>
      <c r="Y1939" t="s">
        <v>20722</v>
      </c>
      <c r="Z1939" t="s">
        <v>26886</v>
      </c>
      <c r="AA1939">
        <v>0.39140794202919249</v>
      </c>
      <c r="AB1939" t="str">
        <f>HYPERLINK("Melting_Curves/meltCurve_P27824_CANX.pdf", "Melting_Curves/meltCurve_P27824_CANX.pdf")</f>
        <v>Melting_Curves/meltCurve_P27824_CANX.pdf</v>
      </c>
    </row>
    <row r="1940" spans="1:28" x14ac:dyDescent="0.25">
      <c r="A1940" t="s">
        <v>1944</v>
      </c>
      <c r="B1940">
        <v>0.99987803227770999</v>
      </c>
      <c r="C1940">
        <v>1.0674140061621999</v>
      </c>
      <c r="D1940">
        <v>0.92817687376444502</v>
      </c>
      <c r="E1940">
        <v>0.91538592188382795</v>
      </c>
      <c r="F1940">
        <v>0.444522056534492</v>
      </c>
      <c r="G1940">
        <v>0.25248828409817797</v>
      </c>
      <c r="H1940">
        <v>0.23241227454772201</v>
      </c>
      <c r="I1940">
        <v>0.20767635695761599</v>
      </c>
      <c r="J1940">
        <v>0.15637276720382101</v>
      </c>
      <c r="K1940">
        <v>0.114710722266371</v>
      </c>
      <c r="L1940">
        <v>2352.0309078182099</v>
      </c>
      <c r="M1940">
        <v>45.082086990098603</v>
      </c>
      <c r="N1940">
        <v>52.7218775673484</v>
      </c>
      <c r="O1940">
        <v>52.069838084257903</v>
      </c>
      <c r="P1940">
        <v>-0.17586353417032599</v>
      </c>
      <c r="Q1940">
        <v>0.18751109176464401</v>
      </c>
      <c r="R1940">
        <v>0.98529349777217901</v>
      </c>
      <c r="S1940" t="s">
        <v>8251</v>
      </c>
      <c r="T1940" t="s">
        <v>12620</v>
      </c>
      <c r="U1940" t="s">
        <v>12620</v>
      </c>
      <c r="V1940" t="s">
        <v>12620</v>
      </c>
      <c r="W1940" t="s">
        <v>14520</v>
      </c>
      <c r="X1940">
        <v>6</v>
      </c>
      <c r="Y1940" t="s">
        <v>20723</v>
      </c>
      <c r="Z1940" t="s">
        <v>26887</v>
      </c>
      <c r="AA1940">
        <v>0.51947229318173904</v>
      </c>
      <c r="AB1940" t="str">
        <f>HYPERLINK("Melting_Curves/meltCurve_P27986_PIK3R1.pdf", "Melting_Curves/meltCurve_P27986_PIK3R1.pdf")</f>
        <v>Melting_Curves/meltCurve_P27986_PIK3R1.pdf</v>
      </c>
    </row>
    <row r="1941" spans="1:28" x14ac:dyDescent="0.25">
      <c r="A1941" t="s">
        <v>1945</v>
      </c>
      <c r="B1941">
        <v>0.99987803227770999</v>
      </c>
      <c r="C1941">
        <v>0.97981994426007302</v>
      </c>
      <c r="D1941">
        <v>1.2612736455520801</v>
      </c>
      <c r="E1941">
        <v>0.94291123327511694</v>
      </c>
      <c r="F1941">
        <v>0.83843584120510395</v>
      </c>
      <c r="G1941">
        <v>0.91527987418439605</v>
      </c>
      <c r="H1941">
        <v>0.69041787480031003</v>
      </c>
      <c r="I1941">
        <v>1.7751274621361199</v>
      </c>
      <c r="J1941">
        <v>0.70141427380519195</v>
      </c>
      <c r="K1941">
        <v>0.56826733905327298</v>
      </c>
      <c r="L1941">
        <v>15000</v>
      </c>
      <c r="M1941">
        <v>224.68486031156701</v>
      </c>
      <c r="O1941">
        <v>66.754882277291301</v>
      </c>
      <c r="P1941">
        <v>-0.36338481018491797</v>
      </c>
      <c r="Q1941">
        <v>0.56814694968829405</v>
      </c>
      <c r="R1941">
        <v>0.248239038422265</v>
      </c>
      <c r="S1941" t="s">
        <v>8252</v>
      </c>
      <c r="T1941" t="s">
        <v>12620</v>
      </c>
      <c r="U1941" t="s">
        <v>12620</v>
      </c>
      <c r="V1941" t="s">
        <v>12620</v>
      </c>
      <c r="W1941" t="s">
        <v>14521</v>
      </c>
      <c r="X1941">
        <v>3</v>
      </c>
      <c r="Y1941" t="s">
        <v>20724</v>
      </c>
      <c r="Z1941" t="s">
        <v>26888</v>
      </c>
      <c r="AA1941">
        <v>0.95342485141584954</v>
      </c>
      <c r="AB1941" t="str">
        <f>HYPERLINK("Melting_Curves/meltCurve_P27987_ITPKB.pdf", "Melting_Curves/meltCurve_P27987_ITPKB.pdf")</f>
        <v>Melting_Curves/meltCurve_P27987_ITPKB.pdf</v>
      </c>
    </row>
    <row r="1942" spans="1:28" x14ac:dyDescent="0.25">
      <c r="A1942" t="s">
        <v>1946</v>
      </c>
      <c r="B1942">
        <v>0.99987803227770999</v>
      </c>
      <c r="C1942">
        <v>0.97625984181111303</v>
      </c>
      <c r="D1942">
        <v>0.88170904728940402</v>
      </c>
      <c r="E1942">
        <v>0.96042196377475597</v>
      </c>
      <c r="F1942">
        <v>0.87302717169945498</v>
      </c>
      <c r="G1942">
        <v>0.85824270660230395</v>
      </c>
      <c r="H1942">
        <v>0.79885535667762897</v>
      </c>
      <c r="I1942">
        <v>0.85757913720015699</v>
      </c>
      <c r="J1942">
        <v>0.90467977553836798</v>
      </c>
      <c r="K1942">
        <v>0.59754078553382695</v>
      </c>
      <c r="L1942">
        <v>267.61800336755101</v>
      </c>
      <c r="M1942">
        <v>2.81242555321105</v>
      </c>
      <c r="O1942">
        <v>68.032925307700197</v>
      </c>
      <c r="P1942">
        <v>-1.07182956005726E-2</v>
      </c>
      <c r="Q1942">
        <v>0</v>
      </c>
      <c r="R1942">
        <v>0.57353420356828799</v>
      </c>
      <c r="S1942" t="s">
        <v>8253</v>
      </c>
      <c r="T1942" t="s">
        <v>12620</v>
      </c>
      <c r="U1942" t="s">
        <v>12620</v>
      </c>
      <c r="V1942" t="s">
        <v>12620</v>
      </c>
      <c r="W1942" t="s">
        <v>14522</v>
      </c>
      <c r="X1942">
        <v>5</v>
      </c>
      <c r="Y1942" t="s">
        <v>20725</v>
      </c>
      <c r="Z1942" t="s">
        <v>26889</v>
      </c>
      <c r="AA1942">
        <v>0.87603924904982122</v>
      </c>
      <c r="AB1942" t="str">
        <f>HYPERLINK("Melting_Curves/meltCurve_P28062_2_PSMB8.pdf", "Melting_Curves/meltCurve_P28062_2_PSMB8.pdf")</f>
        <v>Melting_Curves/meltCurve_P28062_2_PSMB8.pdf</v>
      </c>
    </row>
    <row r="1943" spans="1:28" x14ac:dyDescent="0.25">
      <c r="A1943" t="s">
        <v>1947</v>
      </c>
      <c r="B1943">
        <v>0.99987803227770999</v>
      </c>
      <c r="C1943">
        <v>1.07138702497434</v>
      </c>
      <c r="D1943">
        <v>0.88347746706226404</v>
      </c>
      <c r="E1943">
        <v>1.41889731061532</v>
      </c>
      <c r="F1943">
        <v>1.0209172394554999</v>
      </c>
      <c r="G1943">
        <v>1.0016439934086201</v>
      </c>
      <c r="H1943">
        <v>0.80301065131359595</v>
      </c>
      <c r="I1943">
        <v>0.64271412794210403</v>
      </c>
      <c r="J1943">
        <v>0.62265056258004703</v>
      </c>
      <c r="K1943">
        <v>0.39867263050000301</v>
      </c>
      <c r="L1943">
        <v>1388.9073913197799</v>
      </c>
      <c r="M1943">
        <v>21.689063372444899</v>
      </c>
      <c r="N1943">
        <v>67.962661728628305</v>
      </c>
      <c r="O1943">
        <v>63.500291781357198</v>
      </c>
      <c r="P1943">
        <v>-5.4894980189087499E-2</v>
      </c>
      <c r="Q1943">
        <v>0.357138606904711</v>
      </c>
      <c r="R1943">
        <v>0.71417835304764599</v>
      </c>
      <c r="S1943" t="s">
        <v>8254</v>
      </c>
      <c r="T1943" t="s">
        <v>12620</v>
      </c>
      <c r="U1943" t="s">
        <v>12620</v>
      </c>
      <c r="V1943" t="s">
        <v>12620</v>
      </c>
      <c r="W1943" t="s">
        <v>14523</v>
      </c>
      <c r="X1943">
        <v>6</v>
      </c>
      <c r="Y1943" t="s">
        <v>20726</v>
      </c>
      <c r="Z1943" t="s">
        <v>26890</v>
      </c>
      <c r="AA1943">
        <v>0.86967498183577563</v>
      </c>
      <c r="AB1943" t="str">
        <f>HYPERLINK("Melting_Curves/meltCurve_P28065_PSMB9.pdf", "Melting_Curves/meltCurve_P28065_PSMB9.pdf")</f>
        <v>Melting_Curves/meltCurve_P28065_PSMB9.pdf</v>
      </c>
    </row>
    <row r="1944" spans="1:28" x14ac:dyDescent="0.25">
      <c r="A1944" t="s">
        <v>1948</v>
      </c>
      <c r="B1944">
        <v>0.99987803227770999</v>
      </c>
      <c r="C1944">
        <v>0.909598705387481</v>
      </c>
      <c r="D1944">
        <v>0.85353807322185704</v>
      </c>
      <c r="E1944">
        <v>1.41422048295338</v>
      </c>
      <c r="F1944">
        <v>1.25060448887702</v>
      </c>
      <c r="G1944">
        <v>1.29964060986713</v>
      </c>
      <c r="H1944">
        <v>1.3721490089381101</v>
      </c>
      <c r="I1944">
        <v>1.6508053976574799</v>
      </c>
      <c r="J1944">
        <v>2.1528077582293399</v>
      </c>
      <c r="K1944">
        <v>1.3222329480250401</v>
      </c>
      <c r="L1944">
        <v>1039.06697957705</v>
      </c>
      <c r="M1944">
        <v>20.402774499713601</v>
      </c>
      <c r="O1944">
        <v>50.446056790709797</v>
      </c>
      <c r="P1944">
        <v>5.0557441083732703E-2</v>
      </c>
      <c r="Q1944">
        <v>1.5</v>
      </c>
      <c r="R1944">
        <v>0.52294195144429201</v>
      </c>
      <c r="S1944" t="s">
        <v>8255</v>
      </c>
      <c r="T1944" t="s">
        <v>12620</v>
      </c>
      <c r="U1944" t="s">
        <v>12620</v>
      </c>
      <c r="V1944" t="s">
        <v>12620</v>
      </c>
      <c r="W1944" t="s">
        <v>14524</v>
      </c>
      <c r="X1944">
        <v>14</v>
      </c>
      <c r="Y1944" t="s">
        <v>20727</v>
      </c>
      <c r="Z1944" t="s">
        <v>26891</v>
      </c>
      <c r="AA1944">
        <v>1.311184975300038</v>
      </c>
      <c r="AB1944" t="str">
        <f>HYPERLINK("Melting_Curves/meltCurve_P28066_PSMA5.pdf", "Melting_Curves/meltCurve_P28066_PSMA5.pdf")</f>
        <v>Melting_Curves/meltCurve_P28066_PSMA5.pdf</v>
      </c>
    </row>
    <row r="1945" spans="1:28" x14ac:dyDescent="0.25">
      <c r="A1945" t="s">
        <v>1949</v>
      </c>
      <c r="B1945">
        <v>0.99987803227770999</v>
      </c>
      <c r="C1945">
        <v>0.90885150500712897</v>
      </c>
      <c r="D1945">
        <v>0.82953346536629602</v>
      </c>
      <c r="E1945">
        <v>1.5327583395025799</v>
      </c>
      <c r="F1945">
        <v>1.4622297912270401</v>
      </c>
      <c r="G1945">
        <v>1.7351156627548701</v>
      </c>
      <c r="H1945">
        <v>1.6938327989197901</v>
      </c>
      <c r="I1945">
        <v>1.93983248827771</v>
      </c>
      <c r="J1945">
        <v>2.3379754866009401</v>
      </c>
      <c r="K1945">
        <v>1.5060890421927999</v>
      </c>
      <c r="L1945">
        <v>12020.3269555062</v>
      </c>
      <c r="M1945">
        <v>250</v>
      </c>
      <c r="O1945">
        <v>48.078242362155201</v>
      </c>
      <c r="P1945">
        <v>0.64998231839874598</v>
      </c>
      <c r="Q1945">
        <v>1.5</v>
      </c>
      <c r="R1945">
        <v>0.49583991797877802</v>
      </c>
      <c r="S1945" t="s">
        <v>8256</v>
      </c>
      <c r="T1945" t="s">
        <v>12620</v>
      </c>
      <c r="U1945" t="s">
        <v>12620</v>
      </c>
      <c r="V1945" t="s">
        <v>12620</v>
      </c>
      <c r="W1945" t="s">
        <v>14525</v>
      </c>
      <c r="X1945">
        <v>7</v>
      </c>
      <c r="Y1945" t="s">
        <v>20728</v>
      </c>
      <c r="Z1945" t="s">
        <v>26892</v>
      </c>
      <c r="AA1945">
        <v>1.365269345326128</v>
      </c>
      <c r="AB1945" t="str">
        <f>HYPERLINK("Melting_Curves/meltCurve_P28070_PSMB4.pdf", "Melting_Curves/meltCurve_P28070_PSMB4.pdf")</f>
        <v>Melting_Curves/meltCurve_P28070_PSMB4.pdf</v>
      </c>
    </row>
    <row r="1946" spans="1:28" x14ac:dyDescent="0.25">
      <c r="A1946" t="s">
        <v>1950</v>
      </c>
      <c r="B1946">
        <v>0.99987803227770999</v>
      </c>
      <c r="C1946">
        <v>0.86708216416213302</v>
      </c>
      <c r="D1946">
        <v>0.81244635887841699</v>
      </c>
      <c r="E1946">
        <v>1.30235850088558</v>
      </c>
      <c r="F1946">
        <v>1.2154901931370301</v>
      </c>
      <c r="G1946">
        <v>1.4495991574329901</v>
      </c>
      <c r="H1946">
        <v>1.5124247633738399</v>
      </c>
      <c r="I1946">
        <v>1.7599261377516899</v>
      </c>
      <c r="J1946">
        <v>2.2661026422817301</v>
      </c>
      <c r="K1946">
        <v>1.5116526478947701</v>
      </c>
      <c r="L1946">
        <v>1366.7875505223301</v>
      </c>
      <c r="M1946">
        <v>26.493509941688199</v>
      </c>
      <c r="O1946">
        <v>51.298304516278101</v>
      </c>
      <c r="P1946">
        <v>6.4558178949470801E-2</v>
      </c>
      <c r="Q1946">
        <v>1.5</v>
      </c>
      <c r="R1946">
        <v>0.56280313322170705</v>
      </c>
      <c r="S1946" t="s">
        <v>8257</v>
      </c>
      <c r="T1946" t="s">
        <v>12620</v>
      </c>
      <c r="U1946" t="s">
        <v>12620</v>
      </c>
      <c r="V1946" t="s">
        <v>12620</v>
      </c>
      <c r="W1946" t="s">
        <v>14526</v>
      </c>
      <c r="X1946">
        <v>9</v>
      </c>
      <c r="Y1946" t="s">
        <v>20729</v>
      </c>
      <c r="Z1946" t="s">
        <v>26893</v>
      </c>
      <c r="AA1946">
        <v>1.30278261231654</v>
      </c>
      <c r="AB1946" t="str">
        <f>HYPERLINK("Melting_Curves/meltCurve_P28072_PSMB6.pdf", "Melting_Curves/meltCurve_P28072_PSMB6.pdf")</f>
        <v>Melting_Curves/meltCurve_P28072_PSMB6.pdf</v>
      </c>
    </row>
    <row r="1947" spans="1:28" x14ac:dyDescent="0.25">
      <c r="A1947" t="s">
        <v>1951</v>
      </c>
      <c r="B1947">
        <v>0.99987803227770999</v>
      </c>
      <c r="C1947">
        <v>0.905984867170879</v>
      </c>
      <c r="D1947">
        <v>0.84537255992472404</v>
      </c>
      <c r="E1947">
        <v>1.3330021385648201</v>
      </c>
      <c r="F1947">
        <v>1.2684817649437801</v>
      </c>
      <c r="G1947">
        <v>1.3148329867475801</v>
      </c>
      <c r="H1947">
        <v>1.3716000847794201</v>
      </c>
      <c r="I1947">
        <v>1.62288038993544</v>
      </c>
      <c r="J1947">
        <v>1.9201656576632</v>
      </c>
      <c r="K1947">
        <v>1.2009088869170399</v>
      </c>
      <c r="L1947">
        <v>993.29508894733397</v>
      </c>
      <c r="M1947">
        <v>19.169089466560301</v>
      </c>
      <c r="O1947">
        <v>51.263495048403698</v>
      </c>
      <c r="P1947">
        <v>4.6743368028735098E-2</v>
      </c>
      <c r="Q1947">
        <v>1.5</v>
      </c>
      <c r="R1947">
        <v>0.59285944850089101</v>
      </c>
      <c r="S1947" t="s">
        <v>8258</v>
      </c>
      <c r="T1947" t="s">
        <v>12620</v>
      </c>
      <c r="U1947" t="s">
        <v>12620</v>
      </c>
      <c r="V1947" t="s">
        <v>12620</v>
      </c>
      <c r="W1947" t="s">
        <v>14527</v>
      </c>
      <c r="X1947">
        <v>14</v>
      </c>
      <c r="Y1947" t="s">
        <v>20730</v>
      </c>
      <c r="Z1947" t="s">
        <v>26894</v>
      </c>
      <c r="AA1947">
        <v>1.2955698292285771</v>
      </c>
      <c r="AB1947" t="str">
        <f>HYPERLINK("Melting_Curves/meltCurve_P28074_PSMB5.pdf", "Melting_Curves/meltCurve_P28074_PSMB5.pdf")</f>
        <v>Melting_Curves/meltCurve_P28074_PSMB5.pdf</v>
      </c>
    </row>
    <row r="1948" spans="1:28" x14ac:dyDescent="0.25">
      <c r="A1948" t="s">
        <v>1952</v>
      </c>
      <c r="B1948">
        <v>0.99987803227770999</v>
      </c>
      <c r="C1948">
        <v>1.01063921779181</v>
      </c>
      <c r="D1948">
        <v>0.70450665023702796</v>
      </c>
      <c r="E1948">
        <v>0.380977329914512</v>
      </c>
      <c r="F1948">
        <v>0.249830676188423</v>
      </c>
      <c r="G1948">
        <v>0.177412057571881</v>
      </c>
      <c r="H1948">
        <v>0.157075326451454</v>
      </c>
      <c r="I1948">
        <v>0.13167692679758899</v>
      </c>
      <c r="J1948">
        <v>9.7050040306859903E-2</v>
      </c>
      <c r="K1948">
        <v>6.2368292103298903E-2</v>
      </c>
      <c r="L1948">
        <v>986.58438526421503</v>
      </c>
      <c r="M1948">
        <v>20.543315988375301</v>
      </c>
      <c r="N1948">
        <v>48.649157572277097</v>
      </c>
      <c r="O1948">
        <v>47.576490900162</v>
      </c>
      <c r="P1948">
        <v>-9.54388784738045E-2</v>
      </c>
      <c r="Q1948">
        <v>0.115914388344356</v>
      </c>
      <c r="R1948">
        <v>0.98853717118527995</v>
      </c>
      <c r="S1948" t="s">
        <v>8259</v>
      </c>
      <c r="T1948" t="s">
        <v>12620</v>
      </c>
      <c r="U1948" t="s">
        <v>12620</v>
      </c>
      <c r="V1948" t="s">
        <v>12620</v>
      </c>
      <c r="W1948" t="s">
        <v>14528</v>
      </c>
      <c r="X1948">
        <v>10</v>
      </c>
      <c r="Y1948" t="s">
        <v>20731</v>
      </c>
      <c r="Z1948" t="s">
        <v>26895</v>
      </c>
      <c r="AA1948">
        <v>0.3642591136343773</v>
      </c>
      <c r="AB1948" t="str">
        <f>HYPERLINK("Melting_Curves/meltCurve_P28331_4_NDUFS1.pdf", "Melting_Curves/meltCurve_P28331_4_NDUFS1.pdf")</f>
        <v>Melting_Curves/meltCurve_P28331_4_NDUFS1.pdf</v>
      </c>
    </row>
    <row r="1949" spans="1:28" x14ac:dyDescent="0.25">
      <c r="A1949" t="s">
        <v>1953</v>
      </c>
      <c r="B1949">
        <v>0.99987803227770999</v>
      </c>
      <c r="C1949">
        <v>1.1195728747410101</v>
      </c>
      <c r="D1949">
        <v>0.794609559653915</v>
      </c>
      <c r="E1949">
        <v>0.86875027118686099</v>
      </c>
      <c r="F1949">
        <v>0.56692758513089603</v>
      </c>
      <c r="G1949">
        <v>0.53654931647297499</v>
      </c>
      <c r="H1949">
        <v>0.37679662504877098</v>
      </c>
      <c r="I1949">
        <v>0.22366552421208299</v>
      </c>
      <c r="J1949">
        <v>0.101835145440972</v>
      </c>
      <c r="K1949">
        <v>6.4939153797033203E-2</v>
      </c>
      <c r="L1949">
        <v>610.47070430264898</v>
      </c>
      <c r="M1949">
        <v>10.7994653987754</v>
      </c>
      <c r="N1949">
        <v>56.527864060890202</v>
      </c>
      <c r="O1949">
        <v>54.693117193548296</v>
      </c>
      <c r="P1949">
        <v>-4.9381777382986901E-2</v>
      </c>
      <c r="Q1949">
        <v>0</v>
      </c>
      <c r="R1949">
        <v>0.94655390771312498</v>
      </c>
      <c r="S1949" t="s">
        <v>8260</v>
      </c>
      <c r="T1949" t="s">
        <v>12620</v>
      </c>
      <c r="U1949" t="s">
        <v>12620</v>
      </c>
      <c r="V1949" t="s">
        <v>12620</v>
      </c>
      <c r="W1949" t="s">
        <v>14529</v>
      </c>
      <c r="X1949">
        <v>38</v>
      </c>
      <c r="Y1949" t="s">
        <v>20732</v>
      </c>
      <c r="Z1949" t="s">
        <v>26896</v>
      </c>
      <c r="AA1949">
        <v>0.56959642632435803</v>
      </c>
      <c r="AB1949" t="str">
        <f>HYPERLINK("Melting_Curves/meltCurve_P28340_POLD1.pdf", "Melting_Curves/meltCurve_P28340_POLD1.pdf")</f>
        <v>Melting_Curves/meltCurve_P28340_POLD1.pdf</v>
      </c>
    </row>
    <row r="1950" spans="1:28" x14ac:dyDescent="0.25">
      <c r="A1950" t="s">
        <v>1954</v>
      </c>
      <c r="B1950">
        <v>0.99987803227770999</v>
      </c>
      <c r="C1950">
        <v>1.0091476544618301</v>
      </c>
      <c r="D1950">
        <v>1.02455797912352</v>
      </c>
      <c r="E1950">
        <v>0.94302363349754503</v>
      </c>
      <c r="F1950">
        <v>0.96939047673846301</v>
      </c>
      <c r="G1950">
        <v>0.43340817407293503</v>
      </c>
      <c r="H1950">
        <v>0.143314575877522</v>
      </c>
      <c r="I1950">
        <v>0.11400218561263301</v>
      </c>
      <c r="J1950">
        <v>7.5735909149758598E-2</v>
      </c>
      <c r="K1950">
        <v>5.3614701521483198E-2</v>
      </c>
      <c r="L1950">
        <v>2428.0638517750199</v>
      </c>
      <c r="M1950">
        <v>43.0438759523052</v>
      </c>
      <c r="N1950">
        <v>56.6545035846313</v>
      </c>
      <c r="O1950">
        <v>56.287696745637902</v>
      </c>
      <c r="P1950">
        <v>-0.17491530041720599</v>
      </c>
      <c r="Q1950">
        <v>8.5067138442448106E-2</v>
      </c>
      <c r="R1950">
        <v>0.99646054390708505</v>
      </c>
      <c r="S1950" t="s">
        <v>8261</v>
      </c>
      <c r="T1950" t="s">
        <v>12620</v>
      </c>
      <c r="U1950" t="s">
        <v>12620</v>
      </c>
      <c r="V1950" t="s">
        <v>12620</v>
      </c>
      <c r="W1950" t="s">
        <v>14530</v>
      </c>
      <c r="X1950">
        <v>18</v>
      </c>
      <c r="Y1950" t="s">
        <v>20733</v>
      </c>
      <c r="Z1950" t="s">
        <v>26897</v>
      </c>
      <c r="AA1950">
        <v>0.58856877700834442</v>
      </c>
      <c r="AB1950" t="str">
        <f>HYPERLINK("Melting_Curves/meltCurve_P28482_MAPK1.pdf", "Melting_Curves/meltCurve_P28482_MAPK1.pdf")</f>
        <v>Melting_Curves/meltCurve_P28482_MAPK1.pdf</v>
      </c>
    </row>
    <row r="1951" spans="1:28" x14ac:dyDescent="0.25">
      <c r="A1951" t="s">
        <v>1955</v>
      </c>
      <c r="B1951">
        <v>0.99987803227770999</v>
      </c>
      <c r="C1951">
        <v>0.64203425287508897</v>
      </c>
      <c r="D1951">
        <v>0.45784743712512599</v>
      </c>
      <c r="E1951">
        <v>0.34659949596352402</v>
      </c>
      <c r="F1951">
        <v>0.203260633134206</v>
      </c>
      <c r="G1951">
        <v>0.11988168419147199</v>
      </c>
      <c r="H1951">
        <v>7.7549988003697806E-2</v>
      </c>
      <c r="I1951">
        <v>6.59267264479486E-2</v>
      </c>
      <c r="J1951">
        <v>4.7058791825952101E-2</v>
      </c>
      <c r="K1951">
        <v>3.0145080779621702E-2</v>
      </c>
      <c r="L1951">
        <v>584.37913439631598</v>
      </c>
      <c r="M1951">
        <v>12.749027333479701</v>
      </c>
      <c r="N1951">
        <v>46.143700151174599</v>
      </c>
      <c r="O1951">
        <v>44.753312790659997</v>
      </c>
      <c r="P1951">
        <v>-6.8339633902571903E-2</v>
      </c>
      <c r="Q1951">
        <v>4.0603956912695603E-2</v>
      </c>
      <c r="R1951">
        <v>0.96787179909298904</v>
      </c>
      <c r="S1951" t="s">
        <v>8262</v>
      </c>
      <c r="T1951" t="s">
        <v>12620</v>
      </c>
      <c r="U1951" t="s">
        <v>12620</v>
      </c>
      <c r="V1951" t="s">
        <v>12620</v>
      </c>
      <c r="W1951" t="s">
        <v>14531</v>
      </c>
      <c r="X1951">
        <v>1</v>
      </c>
      <c r="Y1951" t="s">
        <v>20734</v>
      </c>
      <c r="Z1951" t="s">
        <v>26898</v>
      </c>
      <c r="AA1951">
        <v>0.26675013828719119</v>
      </c>
      <c r="AB1951" t="str">
        <f>HYPERLINK("Melting_Curves/meltCurve_P28562_DUSP1.pdf", "Melting_Curves/meltCurve_P28562_DUSP1.pdf")</f>
        <v>Melting_Curves/meltCurve_P28562_DUSP1.pdf</v>
      </c>
    </row>
    <row r="1952" spans="1:28" x14ac:dyDescent="0.25">
      <c r="A1952" t="s">
        <v>1956</v>
      </c>
      <c r="B1952">
        <v>0.99987803227770999</v>
      </c>
      <c r="C1952">
        <v>0.88773824491173703</v>
      </c>
      <c r="D1952">
        <v>0.767977095869392</v>
      </c>
      <c r="E1952">
        <v>0.33412632480084897</v>
      </c>
      <c r="F1952">
        <v>0.20193721833754899</v>
      </c>
      <c r="G1952">
        <v>0.13414022369464901</v>
      </c>
      <c r="H1952">
        <v>0.108593794819613</v>
      </c>
      <c r="I1952">
        <v>9.0599100336233404E-2</v>
      </c>
      <c r="J1952">
        <v>6.7635649614013804E-2</v>
      </c>
      <c r="K1952">
        <v>5.4166532858855303E-2</v>
      </c>
      <c r="L1952">
        <v>989.60589696698105</v>
      </c>
      <c r="M1952">
        <v>20.605951048121799</v>
      </c>
      <c r="N1952">
        <v>48.4266508474457</v>
      </c>
      <c r="O1952">
        <v>47.579819085913499</v>
      </c>
      <c r="P1952">
        <v>-9.9773357592889203E-2</v>
      </c>
      <c r="Q1952">
        <v>7.8507118972293302E-2</v>
      </c>
      <c r="R1952">
        <v>0.99569139453668598</v>
      </c>
      <c r="S1952" t="s">
        <v>8263</v>
      </c>
      <c r="T1952" t="s">
        <v>12620</v>
      </c>
      <c r="U1952" t="s">
        <v>12620</v>
      </c>
      <c r="V1952" t="s">
        <v>12620</v>
      </c>
      <c r="W1952" t="s">
        <v>14532</v>
      </c>
      <c r="X1952">
        <v>6</v>
      </c>
      <c r="Y1952" t="s">
        <v>20735</v>
      </c>
      <c r="Z1952" t="s">
        <v>26899</v>
      </c>
      <c r="AA1952">
        <v>0.33730005691480058</v>
      </c>
      <c r="AB1952" t="str">
        <f>HYPERLINK("Melting_Curves/meltCurve_P28702_RXRB.pdf", "Melting_Curves/meltCurve_P28702_RXRB.pdf")</f>
        <v>Melting_Curves/meltCurve_P28702_RXRB.pdf</v>
      </c>
    </row>
    <row r="1953" spans="1:28" x14ac:dyDescent="0.25">
      <c r="A1953" t="s">
        <v>1957</v>
      </c>
      <c r="B1953">
        <v>0.99987803227770999</v>
      </c>
      <c r="C1953">
        <v>1.0011652880833699</v>
      </c>
      <c r="D1953">
        <v>0.98626133150127304</v>
      </c>
      <c r="E1953">
        <v>0.89004104549004404</v>
      </c>
      <c r="F1953">
        <v>0.62520096522876001</v>
      </c>
      <c r="G1953">
        <v>0.34758357692325398</v>
      </c>
      <c r="H1953">
        <v>0.27671026640672602</v>
      </c>
      <c r="I1953">
        <v>0.27832394061779903</v>
      </c>
      <c r="J1953">
        <v>0.25088143228950699</v>
      </c>
      <c r="K1953">
        <v>0.19553794879913</v>
      </c>
      <c r="L1953">
        <v>1408.65633336463</v>
      </c>
      <c r="M1953">
        <v>26.509235990213501</v>
      </c>
      <c r="N1953">
        <v>54.4843271109592</v>
      </c>
      <c r="O1953">
        <v>52.8387108083773</v>
      </c>
      <c r="P1953">
        <v>-9.5292652533745997E-2</v>
      </c>
      <c r="Q1953">
        <v>0.24025181765800399</v>
      </c>
      <c r="R1953">
        <v>0.99693464460930403</v>
      </c>
      <c r="S1953" t="s">
        <v>8264</v>
      </c>
      <c r="T1953" t="s">
        <v>12620</v>
      </c>
      <c r="U1953" t="s">
        <v>12620</v>
      </c>
      <c r="V1953" t="s">
        <v>12620</v>
      </c>
      <c r="W1953" t="s">
        <v>14533</v>
      </c>
      <c r="X1953">
        <v>11</v>
      </c>
      <c r="Y1953" t="s">
        <v>20736</v>
      </c>
      <c r="Z1953" t="s">
        <v>26900</v>
      </c>
      <c r="AA1953">
        <v>0.57924751288102705</v>
      </c>
      <c r="AB1953" t="str">
        <f>HYPERLINK("Melting_Curves/meltCurve_P28715_ERCC5.pdf", "Melting_Curves/meltCurve_P28715_ERCC5.pdf")</f>
        <v>Melting_Curves/meltCurve_P28715_ERCC5.pdf</v>
      </c>
    </row>
    <row r="1954" spans="1:28" x14ac:dyDescent="0.25">
      <c r="A1954" t="s">
        <v>1958</v>
      </c>
      <c r="B1954">
        <v>0.99987803227770999</v>
      </c>
      <c r="C1954">
        <v>0.92672922197000596</v>
      </c>
      <c r="D1954">
        <v>0.66742856596302202</v>
      </c>
      <c r="E1954">
        <v>0.44195132608903898</v>
      </c>
      <c r="F1954">
        <v>0.249300466344338</v>
      </c>
      <c r="G1954">
        <v>0.18305794396300901</v>
      </c>
      <c r="H1954">
        <v>0.16870954384349199</v>
      </c>
      <c r="I1954">
        <v>0.17633631257579399</v>
      </c>
      <c r="J1954">
        <v>0.115856202217204</v>
      </c>
      <c r="K1954">
        <v>7.3814665655118197E-2</v>
      </c>
      <c r="L1954">
        <v>805.80196724276902</v>
      </c>
      <c r="M1954">
        <v>16.809732315855602</v>
      </c>
      <c r="N1954">
        <v>48.741711097315097</v>
      </c>
      <c r="O1954">
        <v>47.273631890775</v>
      </c>
      <c r="P1954">
        <v>-7.81249958879634E-2</v>
      </c>
      <c r="Q1954">
        <v>0.121220085090081</v>
      </c>
      <c r="R1954">
        <v>0.99043934017285695</v>
      </c>
      <c r="S1954" t="s">
        <v>8265</v>
      </c>
      <c r="T1954" t="s">
        <v>12620</v>
      </c>
      <c r="U1954" t="s">
        <v>12620</v>
      </c>
      <c r="V1954" t="s">
        <v>12620</v>
      </c>
      <c r="W1954" t="s">
        <v>14534</v>
      </c>
      <c r="X1954">
        <v>6</v>
      </c>
      <c r="Y1954" t="s">
        <v>20737</v>
      </c>
      <c r="Z1954" t="s">
        <v>26901</v>
      </c>
      <c r="AA1954">
        <v>0.37171473341564432</v>
      </c>
      <c r="AB1954" t="str">
        <f>HYPERLINK("Melting_Curves/meltCurve_P28749_RBL1.pdf", "Melting_Curves/meltCurve_P28749_RBL1.pdf")</f>
        <v>Melting_Curves/meltCurve_P28749_RBL1.pdf</v>
      </c>
    </row>
    <row r="1955" spans="1:28" x14ac:dyDescent="0.25">
      <c r="A1955" t="s">
        <v>1959</v>
      </c>
      <c r="B1955">
        <v>0.99987803227770999</v>
      </c>
      <c r="C1955">
        <v>0.98702286173660503</v>
      </c>
      <c r="D1955">
        <v>1.0199950282416499</v>
      </c>
      <c r="E1955">
        <v>0.92925020088081201</v>
      </c>
      <c r="F1955">
        <v>0.99265957361684698</v>
      </c>
      <c r="G1955">
        <v>0.87488867838836104</v>
      </c>
      <c r="H1955">
        <v>0.939699838344905</v>
      </c>
      <c r="I1955">
        <v>0.92408994128378397</v>
      </c>
      <c r="J1955">
        <v>1.0626911685706699</v>
      </c>
      <c r="K1955">
        <v>0.90192600437492498</v>
      </c>
      <c r="L1955">
        <v>11984.732595019101</v>
      </c>
      <c r="M1955">
        <v>250</v>
      </c>
      <c r="O1955">
        <v>47.935862596908002</v>
      </c>
      <c r="P1955">
        <v>-6.9809663340932998E-2</v>
      </c>
      <c r="Q1955">
        <v>0.94645781717448296</v>
      </c>
      <c r="R1955">
        <v>0.21282674819803901</v>
      </c>
      <c r="S1955" t="s">
        <v>8266</v>
      </c>
      <c r="T1955" t="s">
        <v>12620</v>
      </c>
      <c r="U1955" t="s">
        <v>12620</v>
      </c>
      <c r="V1955" t="s">
        <v>12620</v>
      </c>
      <c r="W1955" t="s">
        <v>14535</v>
      </c>
      <c r="X1955">
        <v>12</v>
      </c>
      <c r="Y1955" t="s">
        <v>20738</v>
      </c>
      <c r="Z1955" t="s">
        <v>26902</v>
      </c>
      <c r="AA1955">
        <v>0.9606312438511484</v>
      </c>
      <c r="AB1955" t="str">
        <f>HYPERLINK("Melting_Curves/meltCurve_P28799_GRN.pdf", "Melting_Curves/meltCurve_P28799_GRN.pdf")</f>
        <v>Melting_Curves/meltCurve_P28799_GRN.pdf</v>
      </c>
    </row>
    <row r="1956" spans="1:28" x14ac:dyDescent="0.25">
      <c r="A1956" t="s">
        <v>1960</v>
      </c>
      <c r="B1956">
        <v>0.99987803227770999</v>
      </c>
      <c r="C1956">
        <v>0.94657541959008895</v>
      </c>
      <c r="D1956">
        <v>0.42859533370205699</v>
      </c>
      <c r="E1956">
        <v>0.35567191727896103</v>
      </c>
      <c r="F1956">
        <v>0.196389382344727</v>
      </c>
      <c r="G1956">
        <v>0.154300414515816</v>
      </c>
      <c r="H1956">
        <v>0.110631450356606</v>
      </c>
      <c r="I1956">
        <v>7.8964133179324394E-2</v>
      </c>
      <c r="J1956">
        <v>5.6657309284501502E-2</v>
      </c>
      <c r="K1956">
        <v>4.3364241692641303E-2</v>
      </c>
      <c r="L1956">
        <v>873.73075524704495</v>
      </c>
      <c r="M1956">
        <v>18.873472159504999</v>
      </c>
      <c r="N1956">
        <v>46.786237804283999</v>
      </c>
      <c r="O1956">
        <v>45.783803428003601</v>
      </c>
      <c r="P1956">
        <v>-9.3783339789760001E-2</v>
      </c>
      <c r="Q1956">
        <v>9.0028423812730199E-2</v>
      </c>
      <c r="R1956">
        <v>0.95739802403025398</v>
      </c>
      <c r="S1956" t="s">
        <v>8267</v>
      </c>
      <c r="T1956" t="s">
        <v>12620</v>
      </c>
      <c r="U1956" t="s">
        <v>12620</v>
      </c>
      <c r="V1956" t="s">
        <v>12620</v>
      </c>
      <c r="W1956" t="s">
        <v>14536</v>
      </c>
      <c r="X1956">
        <v>20</v>
      </c>
      <c r="Y1956" t="s">
        <v>20739</v>
      </c>
      <c r="Z1956" t="s">
        <v>26903</v>
      </c>
      <c r="AA1956">
        <v>0.29667433580988672</v>
      </c>
      <c r="AB1956" t="str">
        <f>HYPERLINK("Melting_Curves/meltCurve_P28838_2_LAP3.pdf", "Melting_Curves/meltCurve_P28838_2_LAP3.pdf")</f>
        <v>Melting_Curves/meltCurve_P28838_2_LAP3.pdf</v>
      </c>
    </row>
    <row r="1957" spans="1:28" x14ac:dyDescent="0.25">
      <c r="A1957" t="s">
        <v>1961</v>
      </c>
      <c r="B1957">
        <v>0.99987803227770999</v>
      </c>
      <c r="C1957">
        <v>0.78128387137965105</v>
      </c>
      <c r="D1957">
        <v>0.983997710201163</v>
      </c>
      <c r="E1957">
        <v>0.754591902128537</v>
      </c>
      <c r="F1957">
        <v>1.0159017044438901</v>
      </c>
      <c r="G1957">
        <v>0.52379307961449595</v>
      </c>
      <c r="H1957">
        <v>0.74802416151253004</v>
      </c>
      <c r="I1957">
        <v>0.35179361820939098</v>
      </c>
      <c r="J1957">
        <v>0.452102184721071</v>
      </c>
      <c r="K1957">
        <v>0.30441443938882901</v>
      </c>
      <c r="L1957">
        <v>447.43108658205102</v>
      </c>
      <c r="M1957">
        <v>7.0642559240562903</v>
      </c>
      <c r="N1957">
        <v>63.3373266664669</v>
      </c>
      <c r="O1957">
        <v>58.849063656802201</v>
      </c>
      <c r="P1957">
        <v>-3.0063860889914199E-2</v>
      </c>
      <c r="Q1957">
        <v>0</v>
      </c>
      <c r="R1957">
        <v>0.729016169444204</v>
      </c>
      <c r="S1957" t="s">
        <v>8268</v>
      </c>
      <c r="T1957" t="s">
        <v>12620</v>
      </c>
      <c r="U1957" t="s">
        <v>12620</v>
      </c>
      <c r="V1957" t="s">
        <v>12620</v>
      </c>
      <c r="W1957" t="s">
        <v>14537</v>
      </c>
      <c r="X1957">
        <v>2</v>
      </c>
      <c r="Y1957" t="s">
        <v>20740</v>
      </c>
      <c r="Z1957" t="s">
        <v>26904</v>
      </c>
      <c r="AA1957">
        <v>0.71321567510273587</v>
      </c>
      <c r="AB1957" t="str">
        <f>HYPERLINK("Melting_Curves/meltCurve_P29034_S100A2.pdf", "Melting_Curves/meltCurve_P29034_S100A2.pdf")</f>
        <v>Melting_Curves/meltCurve_P29034_S100A2.pdf</v>
      </c>
    </row>
    <row r="1958" spans="1:28" x14ac:dyDescent="0.25">
      <c r="A1958" t="s">
        <v>1962</v>
      </c>
      <c r="B1958">
        <v>0.99987803227770999</v>
      </c>
      <c r="C1958">
        <v>0.99741175582964103</v>
      </c>
      <c r="D1958">
        <v>1.0970284290883301</v>
      </c>
      <c r="E1958">
        <v>0.96281925766644405</v>
      </c>
      <c r="F1958">
        <v>0.75571333475459801</v>
      </c>
      <c r="G1958">
        <v>0.47012318331791098</v>
      </c>
      <c r="H1958">
        <v>0.26548322728405299</v>
      </c>
      <c r="I1958">
        <v>0.19495868304014599</v>
      </c>
      <c r="J1958">
        <v>0.14273456912399499</v>
      </c>
      <c r="K1958">
        <v>9.5067865538972104E-2</v>
      </c>
      <c r="L1958">
        <v>1145.7363704628799</v>
      </c>
      <c r="M1958">
        <v>20.4648942008617</v>
      </c>
      <c r="N1958">
        <v>56.675045815322598</v>
      </c>
      <c r="O1958">
        <v>55.4591033412486</v>
      </c>
      <c r="P1958">
        <v>-8.2087283121523802E-2</v>
      </c>
      <c r="Q1958">
        <v>0.11021248224927099</v>
      </c>
      <c r="R1958">
        <v>0.98971021983175</v>
      </c>
      <c r="S1958" t="s">
        <v>8269</v>
      </c>
      <c r="T1958" t="s">
        <v>12620</v>
      </c>
      <c r="U1958" t="s">
        <v>12620</v>
      </c>
      <c r="V1958" t="s">
        <v>12620</v>
      </c>
      <c r="W1958" t="s">
        <v>14538</v>
      </c>
      <c r="X1958">
        <v>10</v>
      </c>
      <c r="Y1958" t="s">
        <v>20741</v>
      </c>
      <c r="Z1958" t="s">
        <v>26905</v>
      </c>
      <c r="AA1958">
        <v>0.59544525385416303</v>
      </c>
      <c r="AB1958" t="str">
        <f>HYPERLINK("Melting_Curves/meltCurve_P29083_GTF2E1.pdf", "Melting_Curves/meltCurve_P29083_GTF2E1.pdf")</f>
        <v>Melting_Curves/meltCurve_P29083_GTF2E1.pdf</v>
      </c>
    </row>
    <row r="1959" spans="1:28" x14ac:dyDescent="0.25">
      <c r="A1959" t="s">
        <v>1963</v>
      </c>
      <c r="B1959">
        <v>0.99987803227770999</v>
      </c>
      <c r="C1959">
        <v>0.91439876093593198</v>
      </c>
      <c r="D1959">
        <v>0.85737563914373005</v>
      </c>
      <c r="E1959">
        <v>0.61844704855308597</v>
      </c>
      <c r="F1959">
        <v>0.45156795534635802</v>
      </c>
      <c r="G1959">
        <v>0.21775872248216399</v>
      </c>
      <c r="H1959">
        <v>0.209302019418311</v>
      </c>
      <c r="I1959">
        <v>0.16557488161206499</v>
      </c>
      <c r="J1959">
        <v>0.157151440507348</v>
      </c>
      <c r="K1959">
        <v>0.116452624416056</v>
      </c>
      <c r="L1959">
        <v>762.24747510528005</v>
      </c>
      <c r="M1959">
        <v>14.984372943586401</v>
      </c>
      <c r="N1959">
        <v>51.809319700579998</v>
      </c>
      <c r="O1959">
        <v>49.989280044691903</v>
      </c>
      <c r="P1959">
        <v>-6.6026771606256293E-2</v>
      </c>
      <c r="Q1959">
        <v>0.11900324458332</v>
      </c>
      <c r="R1959">
        <v>0.99521517237499202</v>
      </c>
      <c r="S1959" t="s">
        <v>8270</v>
      </c>
      <c r="T1959" t="s">
        <v>12620</v>
      </c>
      <c r="U1959" t="s">
        <v>12620</v>
      </c>
      <c r="V1959" t="s">
        <v>12620</v>
      </c>
      <c r="W1959" t="s">
        <v>14539</v>
      </c>
      <c r="X1959">
        <v>12</v>
      </c>
      <c r="Y1959" t="s">
        <v>20742</v>
      </c>
      <c r="Z1959" t="s">
        <v>26906</v>
      </c>
      <c r="AA1959">
        <v>0.45867764591594018</v>
      </c>
      <c r="AB1959" t="str">
        <f>HYPERLINK("Melting_Curves/meltCurve_P29084_GTF2E2.pdf", "Melting_Curves/meltCurve_P29084_GTF2E2.pdf")</f>
        <v>Melting_Curves/meltCurve_P29084_GTF2E2.pdf</v>
      </c>
    </row>
    <row r="1960" spans="1:28" x14ac:dyDescent="0.25">
      <c r="A1960" t="s">
        <v>1964</v>
      </c>
      <c r="B1960">
        <v>0.99987803227770999</v>
      </c>
      <c r="C1960">
        <v>1.14937026356839</v>
      </c>
      <c r="D1960">
        <v>0.74177334583959997</v>
      </c>
      <c r="E1960">
        <v>0.58960382558993996</v>
      </c>
      <c r="F1960">
        <v>0.25928085314604699</v>
      </c>
      <c r="G1960">
        <v>0.17336904271921</v>
      </c>
      <c r="H1960">
        <v>0.11415922953060501</v>
      </c>
      <c r="I1960">
        <v>0.115953623009678</v>
      </c>
      <c r="J1960">
        <v>7.2749079127695404E-2</v>
      </c>
      <c r="K1960">
        <v>5.4707463988066203E-2</v>
      </c>
      <c r="L1960">
        <v>984.50644101412001</v>
      </c>
      <c r="M1960">
        <v>19.717693962654199</v>
      </c>
      <c r="N1960">
        <v>50.369183903106901</v>
      </c>
      <c r="O1960">
        <v>49.425056818244201</v>
      </c>
      <c r="P1960">
        <v>-9.1863223527144905E-2</v>
      </c>
      <c r="Q1960">
        <v>7.89618729010374E-2</v>
      </c>
      <c r="R1960">
        <v>0.96454405166043</v>
      </c>
      <c r="S1960" t="s">
        <v>8271</v>
      </c>
      <c r="T1960" t="s">
        <v>12620</v>
      </c>
      <c r="U1960" t="s">
        <v>12620</v>
      </c>
      <c r="V1960" t="s">
        <v>12620</v>
      </c>
      <c r="W1960" t="s">
        <v>14540</v>
      </c>
      <c r="X1960">
        <v>30</v>
      </c>
      <c r="Y1960" t="s">
        <v>20743</v>
      </c>
      <c r="Z1960" t="s">
        <v>26907</v>
      </c>
      <c r="AA1960">
        <v>0.39701533094009461</v>
      </c>
      <c r="AB1960" t="str">
        <f>HYPERLINK("Melting_Curves/meltCurve_P29144_TPP2.pdf", "Melting_Curves/meltCurve_P29144_TPP2.pdf")</f>
        <v>Melting_Curves/meltCurve_P29144_TPP2.pdf</v>
      </c>
    </row>
    <row r="1961" spans="1:28" x14ac:dyDescent="0.25">
      <c r="A1961" t="s">
        <v>1965</v>
      </c>
      <c r="B1961">
        <v>0.99987803227770999</v>
      </c>
      <c r="C1961">
        <v>0.97415653007075198</v>
      </c>
      <c r="D1961">
        <v>1.0691840539202599</v>
      </c>
      <c r="E1961">
        <v>0.98522374653870803</v>
      </c>
      <c r="F1961">
        <v>1.0577762657044101</v>
      </c>
      <c r="G1961">
        <v>0.96235968966086405</v>
      </c>
      <c r="H1961">
        <v>1.1288287806477399</v>
      </c>
      <c r="I1961">
        <v>0.98673551659317904</v>
      </c>
      <c r="J1961">
        <v>0.87639687038796499</v>
      </c>
      <c r="K1961">
        <v>0.54085163170824901</v>
      </c>
      <c r="L1961">
        <v>4732.3827220767298</v>
      </c>
      <c r="M1961">
        <v>69.438746564957</v>
      </c>
      <c r="O1961">
        <v>68.095444188895101</v>
      </c>
      <c r="P1961">
        <v>-0.135761593328421</v>
      </c>
      <c r="Q1961">
        <v>0.46745905995111697</v>
      </c>
      <c r="R1961">
        <v>0.88497457723666495</v>
      </c>
      <c r="S1961" t="s">
        <v>8272</v>
      </c>
      <c r="T1961" t="s">
        <v>12620</v>
      </c>
      <c r="U1961" t="s">
        <v>12620</v>
      </c>
      <c r="V1961" t="s">
        <v>12620</v>
      </c>
      <c r="W1961" t="s">
        <v>14541</v>
      </c>
      <c r="X1961">
        <v>14</v>
      </c>
      <c r="Y1961" t="s">
        <v>19156</v>
      </c>
      <c r="Z1961" t="s">
        <v>26908</v>
      </c>
      <c r="AA1961">
        <v>0.96520764948448146</v>
      </c>
      <c r="AB1961" t="str">
        <f>HYPERLINK("Melting_Curves/meltCurve_P29218_IMPA1.pdf", "Melting_Curves/meltCurve_P29218_IMPA1.pdf")</f>
        <v>Melting_Curves/meltCurve_P29218_IMPA1.pdf</v>
      </c>
    </row>
    <row r="1962" spans="1:28" x14ac:dyDescent="0.25">
      <c r="A1962" t="s">
        <v>1966</v>
      </c>
      <c r="B1962">
        <v>0.99987803227770999</v>
      </c>
      <c r="C1962">
        <v>0.85854710530704903</v>
      </c>
      <c r="D1962">
        <v>0.94542885655542697</v>
      </c>
      <c r="E1962">
        <v>0.76402301032340203</v>
      </c>
      <c r="F1962">
        <v>0.73429937364113795</v>
      </c>
      <c r="G1962">
        <v>0.56671708866288495</v>
      </c>
      <c r="H1962">
        <v>0.50402028709204405</v>
      </c>
      <c r="I1962">
        <v>0.48039494053206699</v>
      </c>
      <c r="J1962">
        <v>0.43239921776102302</v>
      </c>
      <c r="K1962">
        <v>0.34525619322103102</v>
      </c>
      <c r="L1962">
        <v>420.90385848471902</v>
      </c>
      <c r="M1962">
        <v>7.4236638038703298</v>
      </c>
      <c r="N1962">
        <v>61.493012445960503</v>
      </c>
      <c r="O1962">
        <v>53.019817150195699</v>
      </c>
      <c r="P1962">
        <v>-2.7352861822708501E-2</v>
      </c>
      <c r="Q1962">
        <v>0.21974857076807799</v>
      </c>
      <c r="R1962">
        <v>0.96695066305015798</v>
      </c>
      <c r="S1962" t="s">
        <v>8273</v>
      </c>
      <c r="T1962" t="s">
        <v>12620</v>
      </c>
      <c r="U1962" t="s">
        <v>12620</v>
      </c>
      <c r="V1962" t="s">
        <v>12620</v>
      </c>
      <c r="W1962" t="s">
        <v>14542</v>
      </c>
      <c r="X1962">
        <v>14</v>
      </c>
      <c r="Y1962" t="s">
        <v>20744</v>
      </c>
      <c r="Z1962" t="s">
        <v>26909</v>
      </c>
      <c r="AA1962">
        <v>0.6640145640717241</v>
      </c>
      <c r="AB1962" t="str">
        <f>HYPERLINK("Melting_Curves/meltCurve_P29323_2_EPHB2.pdf", "Melting_Curves/meltCurve_P29323_2_EPHB2.pdf")</f>
        <v>Melting_Curves/meltCurve_P29323_2_EPHB2.pdf</v>
      </c>
    </row>
    <row r="1963" spans="1:28" x14ac:dyDescent="0.25">
      <c r="A1963" t="s">
        <v>1967</v>
      </c>
      <c r="B1963">
        <v>0.99987803227770999</v>
      </c>
      <c r="C1963">
        <v>0.927466683902468</v>
      </c>
      <c r="D1963">
        <v>0.8911314107196</v>
      </c>
      <c r="E1963">
        <v>0.25722810046640898</v>
      </c>
      <c r="F1963">
        <v>0.14880884725027901</v>
      </c>
      <c r="G1963">
        <v>8.31339463980003E-2</v>
      </c>
      <c r="H1963">
        <v>6.9827740593402202E-2</v>
      </c>
      <c r="I1963">
        <v>6.5509847242044603E-2</v>
      </c>
      <c r="J1963">
        <v>5.6917119530039299E-2</v>
      </c>
      <c r="K1963">
        <v>3.6396132372716897E-2</v>
      </c>
      <c r="L1963">
        <v>1768.29237373316</v>
      </c>
      <c r="M1963">
        <v>36.606800408683704</v>
      </c>
      <c r="N1963">
        <v>48.497940341008402</v>
      </c>
      <c r="O1963">
        <v>48.161570366742602</v>
      </c>
      <c r="P1963">
        <v>-0.177146539025542</v>
      </c>
      <c r="Q1963">
        <v>6.7755003263551106E-2</v>
      </c>
      <c r="R1963">
        <v>0.99461156937372996</v>
      </c>
      <c r="S1963" t="s">
        <v>8274</v>
      </c>
      <c r="T1963" t="s">
        <v>12620</v>
      </c>
      <c r="U1963" t="s">
        <v>12620</v>
      </c>
      <c r="V1963" t="s">
        <v>12620</v>
      </c>
      <c r="W1963" t="s">
        <v>14543</v>
      </c>
      <c r="X1963">
        <v>14</v>
      </c>
      <c r="Y1963" t="s">
        <v>20745</v>
      </c>
      <c r="Z1963" t="s">
        <v>26910</v>
      </c>
      <c r="AA1963">
        <v>0.32956867517504912</v>
      </c>
      <c r="AB1963" t="str">
        <f>HYPERLINK("Melting_Curves/meltCurve_P29350_PTPN6.pdf", "Melting_Curves/meltCurve_P29350_PTPN6.pdf")</f>
        <v>Melting_Curves/meltCurve_P29350_PTPN6.pdf</v>
      </c>
    </row>
    <row r="1964" spans="1:28" x14ac:dyDescent="0.25">
      <c r="A1964" t="s">
        <v>1968</v>
      </c>
      <c r="B1964">
        <v>0.99987803227770999</v>
      </c>
      <c r="C1964">
        <v>0.92037603130283696</v>
      </c>
      <c r="D1964">
        <v>1.1868253828084601</v>
      </c>
      <c r="E1964">
        <v>0.94281443761608796</v>
      </c>
      <c r="F1964">
        <v>1.06316711544392</v>
      </c>
      <c r="G1964">
        <v>0.921361344710663</v>
      </c>
      <c r="H1964">
        <v>1.0275866143174299</v>
      </c>
      <c r="I1964">
        <v>0.58093747648954397</v>
      </c>
      <c r="J1964">
        <v>0.46343126669748702</v>
      </c>
      <c r="K1964">
        <v>0.407550012651547</v>
      </c>
      <c r="L1964">
        <v>15000</v>
      </c>
      <c r="M1964">
        <v>235.433127586278</v>
      </c>
      <c r="N1964">
        <v>64.271374255396395</v>
      </c>
      <c r="O1964">
        <v>63.7077659986996</v>
      </c>
      <c r="P1964">
        <v>-0.52154266355175405</v>
      </c>
      <c r="Q1964">
        <v>0.43548614134161201</v>
      </c>
      <c r="R1964">
        <v>0.91217247304014903</v>
      </c>
      <c r="S1964" t="s">
        <v>8275</v>
      </c>
      <c r="T1964" t="s">
        <v>12620</v>
      </c>
      <c r="U1964" t="s">
        <v>12620</v>
      </c>
      <c r="V1964" t="s">
        <v>12620</v>
      </c>
      <c r="W1964" t="s">
        <v>14544</v>
      </c>
      <c r="X1964">
        <v>19</v>
      </c>
      <c r="Y1964" t="s">
        <v>20746</v>
      </c>
      <c r="Z1964" t="s">
        <v>26911</v>
      </c>
      <c r="AA1964">
        <v>0.88175583014479386</v>
      </c>
      <c r="AB1964" t="str">
        <f>HYPERLINK("Melting_Curves/meltCurve_P29353_SHC1.pdf", "Melting_Curves/meltCurve_P29353_SHC1.pdf")</f>
        <v>Melting_Curves/meltCurve_P29353_SHC1.pdf</v>
      </c>
    </row>
    <row r="1965" spans="1:28" x14ac:dyDescent="0.25">
      <c r="A1965" t="s">
        <v>1969</v>
      </c>
      <c r="B1965">
        <v>0.99987803227770999</v>
      </c>
      <c r="C1965">
        <v>0.92295762141444704</v>
      </c>
      <c r="D1965">
        <v>1.0291193570044099</v>
      </c>
      <c r="E1965">
        <v>0.93044516410987299</v>
      </c>
      <c r="F1965">
        <v>0.99260505599265503</v>
      </c>
      <c r="G1965">
        <v>0.82683981102163895</v>
      </c>
      <c r="H1965">
        <v>0.57302982956863102</v>
      </c>
      <c r="I1965">
        <v>0.31986140171974098</v>
      </c>
      <c r="J1965">
        <v>0.22359250314377599</v>
      </c>
      <c r="K1965">
        <v>0.18103271972472901</v>
      </c>
      <c r="L1965">
        <v>1378.19293115601</v>
      </c>
      <c r="M1965">
        <v>22.665620476969298</v>
      </c>
      <c r="N1965">
        <v>61.623325878962298</v>
      </c>
      <c r="O1965">
        <v>60.3380469610671</v>
      </c>
      <c r="P1965">
        <v>-8.1713824084217804E-2</v>
      </c>
      <c r="Q1965">
        <v>0.129897238695934</v>
      </c>
      <c r="R1965">
        <v>0.98801538823768398</v>
      </c>
      <c r="S1965" t="s">
        <v>8276</v>
      </c>
      <c r="T1965" t="s">
        <v>12620</v>
      </c>
      <c r="U1965" t="s">
        <v>12620</v>
      </c>
      <c r="V1965" t="s">
        <v>12620</v>
      </c>
      <c r="W1965" t="s">
        <v>14545</v>
      </c>
      <c r="X1965">
        <v>19</v>
      </c>
      <c r="Y1965" t="s">
        <v>20746</v>
      </c>
      <c r="Z1965" t="s">
        <v>26912</v>
      </c>
      <c r="AA1965">
        <v>0.7391911171534723</v>
      </c>
      <c r="AB1965" t="str">
        <f>HYPERLINK("Melting_Curves/meltCurve_P29353_6_SHC1.pdf", "Melting_Curves/meltCurve_P29353_6_SHC1.pdf")</f>
        <v>Melting_Curves/meltCurve_P29353_6_SHC1.pdf</v>
      </c>
    </row>
    <row r="1966" spans="1:28" x14ac:dyDescent="0.25">
      <c r="A1966" t="s">
        <v>1970</v>
      </c>
      <c r="B1966">
        <v>0.99987803227770999</v>
      </c>
      <c r="C1966">
        <v>0.89660131958001399</v>
      </c>
      <c r="D1966">
        <v>0.90174634498518402</v>
      </c>
      <c r="E1966">
        <v>0.62482842409212203</v>
      </c>
      <c r="F1966">
        <v>0.31032349075621402</v>
      </c>
      <c r="G1966">
        <v>0.237557030571867</v>
      </c>
      <c r="H1966">
        <v>0.162270060663911</v>
      </c>
      <c r="I1966">
        <v>0.16580135862741799</v>
      </c>
      <c r="J1966">
        <v>8.3091051714377695E-2</v>
      </c>
      <c r="K1966">
        <v>6.9344111138600006E-2</v>
      </c>
      <c r="L1966">
        <v>922.64093241401201</v>
      </c>
      <c r="M1966">
        <v>18.253826206413301</v>
      </c>
      <c r="N1966">
        <v>51.186814152976702</v>
      </c>
      <c r="O1966">
        <v>49.950159949598799</v>
      </c>
      <c r="P1966">
        <v>-8.2019967654150802E-2</v>
      </c>
      <c r="Q1966">
        <v>0.10227718115910001</v>
      </c>
      <c r="R1966">
        <v>0.98679242140435297</v>
      </c>
      <c r="S1966" t="s">
        <v>8277</v>
      </c>
      <c r="T1966" t="s">
        <v>12620</v>
      </c>
      <c r="U1966" t="s">
        <v>12620</v>
      </c>
      <c r="V1966" t="s">
        <v>12620</v>
      </c>
      <c r="W1966" t="s">
        <v>14546</v>
      </c>
      <c r="X1966">
        <v>8</v>
      </c>
      <c r="Y1966" t="s">
        <v>20747</v>
      </c>
      <c r="Z1966" t="s">
        <v>26913</v>
      </c>
      <c r="AA1966">
        <v>0.43264632503087641</v>
      </c>
      <c r="AB1966" t="str">
        <f>HYPERLINK("Melting_Curves/meltCurve_P29372_5_MPG.pdf", "Melting_Curves/meltCurve_P29372_5_MPG.pdf")</f>
        <v>Melting_Curves/meltCurve_P29372_5_MPG.pdf</v>
      </c>
    </row>
    <row r="1967" spans="1:28" x14ac:dyDescent="0.25">
      <c r="A1967" t="s">
        <v>1971</v>
      </c>
      <c r="B1967">
        <v>0.99987803227770999</v>
      </c>
      <c r="C1967">
        <v>0.73028398540074102</v>
      </c>
      <c r="D1967">
        <v>0.98576576164641905</v>
      </c>
      <c r="E1967">
        <v>0.775504872229553</v>
      </c>
      <c r="F1967">
        <v>1.01810128778937</v>
      </c>
      <c r="G1967">
        <v>0.38290679320605098</v>
      </c>
      <c r="H1967">
        <v>0.124590885342215</v>
      </c>
      <c r="I1967">
        <v>8.9880493112941204E-2</v>
      </c>
      <c r="J1967">
        <v>6.8950156584315705E-2</v>
      </c>
      <c r="K1967">
        <v>5.9376274639995001E-2</v>
      </c>
      <c r="L1967">
        <v>5137.4019122996897</v>
      </c>
      <c r="M1967">
        <v>90.857030219637807</v>
      </c>
      <c r="N1967">
        <v>56.660482809273901</v>
      </c>
      <c r="O1967">
        <v>56.516426651232003</v>
      </c>
      <c r="P1967">
        <v>-0.36761472192086198</v>
      </c>
      <c r="Q1967">
        <v>8.5320384219098697E-2</v>
      </c>
      <c r="R1967">
        <v>0.92017302535680201</v>
      </c>
      <c r="S1967" t="s">
        <v>8278</v>
      </c>
      <c r="T1967" t="s">
        <v>12620</v>
      </c>
      <c r="U1967" t="s">
        <v>12620</v>
      </c>
      <c r="V1967" t="s">
        <v>12620</v>
      </c>
      <c r="W1967" t="s">
        <v>14547</v>
      </c>
      <c r="X1967">
        <v>3</v>
      </c>
      <c r="Y1967" t="s">
        <v>20748</v>
      </c>
      <c r="Z1967" t="s">
        <v>26914</v>
      </c>
      <c r="AA1967">
        <v>0.59041787400182411</v>
      </c>
      <c r="AB1967" t="str">
        <f>HYPERLINK("Melting_Curves/meltCurve_P29373_CRABP2.pdf", "Melting_Curves/meltCurve_P29373_CRABP2.pdf")</f>
        <v>Melting_Curves/meltCurve_P29373_CRABP2.pdf</v>
      </c>
    </row>
    <row r="1968" spans="1:28" x14ac:dyDescent="0.25">
      <c r="A1968" t="s">
        <v>1972</v>
      </c>
      <c r="B1968">
        <v>0.99987803227770999</v>
      </c>
      <c r="C1968">
        <v>1.2048236860372501</v>
      </c>
      <c r="D1968">
        <v>0.95961638823894202</v>
      </c>
      <c r="E1968">
        <v>1.20995126220522</v>
      </c>
      <c r="F1968">
        <v>0.85376983306679699</v>
      </c>
      <c r="G1968">
        <v>0.82056666155978497</v>
      </c>
      <c r="H1968">
        <v>0.81200145487730402</v>
      </c>
      <c r="I1968">
        <v>0.70332948935303496</v>
      </c>
      <c r="J1968">
        <v>0.52591755287189401</v>
      </c>
      <c r="K1968">
        <v>0.15407332349807401</v>
      </c>
      <c r="L1968">
        <v>1231.52074489088</v>
      </c>
      <c r="M1968">
        <v>18.6049057676078</v>
      </c>
      <c r="N1968">
        <v>66.193334603293195</v>
      </c>
      <c r="O1968">
        <v>65.442821428573595</v>
      </c>
      <c r="P1968">
        <v>-7.1076212514905604E-2</v>
      </c>
      <c r="Q1968">
        <v>0</v>
      </c>
      <c r="R1968">
        <v>0.83622481153140804</v>
      </c>
      <c r="S1968" t="s">
        <v>8279</v>
      </c>
      <c r="T1968" t="s">
        <v>12620</v>
      </c>
      <c r="U1968" t="s">
        <v>12620</v>
      </c>
      <c r="V1968" t="s">
        <v>12620</v>
      </c>
      <c r="W1968" t="s">
        <v>14548</v>
      </c>
      <c r="X1968">
        <v>52</v>
      </c>
      <c r="Y1968" t="s">
        <v>20749</v>
      </c>
      <c r="Z1968" t="s">
        <v>26915</v>
      </c>
      <c r="AA1968">
        <v>0.84763097005769272</v>
      </c>
      <c r="AB1968" t="str">
        <f>HYPERLINK("Melting_Curves/meltCurve_P29401_TKT.pdf", "Melting_Curves/meltCurve_P29401_TKT.pdf")</f>
        <v>Melting_Curves/meltCurve_P29401_TKT.pdf</v>
      </c>
    </row>
    <row r="1969" spans="1:28" x14ac:dyDescent="0.25">
      <c r="A1969" t="s">
        <v>1973</v>
      </c>
      <c r="B1969">
        <v>0.99987803227770999</v>
      </c>
      <c r="C1969">
        <v>1.11043620252064</v>
      </c>
      <c r="D1969">
        <v>0.98866312919342403</v>
      </c>
      <c r="E1969">
        <v>1.00231387742357</v>
      </c>
      <c r="F1969">
        <v>0.81563430615376697</v>
      </c>
      <c r="G1969">
        <v>0.655308654379268</v>
      </c>
      <c r="H1969">
        <v>0.48267436834078897</v>
      </c>
      <c r="I1969">
        <v>0.48283303555997997</v>
      </c>
      <c r="J1969">
        <v>0.408712956350262</v>
      </c>
      <c r="K1969">
        <v>0.32588670745333698</v>
      </c>
      <c r="L1969">
        <v>994.99217327862505</v>
      </c>
      <c r="M1969">
        <v>17.554131856080399</v>
      </c>
      <c r="N1969">
        <v>60.901965750989802</v>
      </c>
      <c r="O1969">
        <v>55.961128532019004</v>
      </c>
      <c r="P1969">
        <v>-5.0829713842548398E-2</v>
      </c>
      <c r="Q1969">
        <v>0.351871513610725</v>
      </c>
      <c r="R1969">
        <v>0.96939237238190501</v>
      </c>
      <c r="S1969" t="s">
        <v>8280</v>
      </c>
      <c r="T1969" t="s">
        <v>12620</v>
      </c>
      <c r="U1969" t="s">
        <v>12620</v>
      </c>
      <c r="V1969" t="s">
        <v>12620</v>
      </c>
      <c r="W1969" t="s">
        <v>14549</v>
      </c>
      <c r="X1969">
        <v>14</v>
      </c>
      <c r="Y1969" t="s">
        <v>20750</v>
      </c>
      <c r="Z1969" t="s">
        <v>26916</v>
      </c>
      <c r="AA1969">
        <v>0.72162214749551268</v>
      </c>
      <c r="AB1969" t="str">
        <f>HYPERLINK("Melting_Curves/meltCurve_P29590_PML.pdf", "Melting_Curves/meltCurve_P29590_PML.pdf")</f>
        <v>Melting_Curves/meltCurve_P29590_PML.pdf</v>
      </c>
    </row>
    <row r="1970" spans="1:28" x14ac:dyDescent="0.25">
      <c r="A1970" t="s">
        <v>1974</v>
      </c>
      <c r="B1970">
        <v>0.99987803227770999</v>
      </c>
      <c r="C1970">
        <v>1.18616038585558</v>
      </c>
      <c r="D1970">
        <v>0.82810883812028302</v>
      </c>
      <c r="E1970">
        <v>1.2482302678070001</v>
      </c>
      <c r="F1970">
        <v>0.44818312702775898</v>
      </c>
      <c r="G1970">
        <v>0.45481814479737798</v>
      </c>
      <c r="H1970">
        <v>0.41014773153627998</v>
      </c>
      <c r="I1970">
        <v>0.41628591278756299</v>
      </c>
      <c r="J1970">
        <v>0.30098352491681701</v>
      </c>
      <c r="K1970">
        <v>0.29444240787167902</v>
      </c>
      <c r="L1970">
        <v>13142.689383856199</v>
      </c>
      <c r="M1970">
        <v>250</v>
      </c>
      <c r="N1970">
        <v>52.8644624139462</v>
      </c>
      <c r="O1970">
        <v>52.567394545929801</v>
      </c>
      <c r="P1970">
        <v>-0.74269602715671901</v>
      </c>
      <c r="Q1970">
        <v>0.37533449347582198</v>
      </c>
      <c r="R1970">
        <v>0.88117340754278495</v>
      </c>
      <c r="S1970" t="s">
        <v>8281</v>
      </c>
      <c r="T1970" t="s">
        <v>12620</v>
      </c>
      <c r="U1970" t="s">
        <v>12620</v>
      </c>
      <c r="V1970" t="s">
        <v>12620</v>
      </c>
      <c r="W1970" t="s">
        <v>14550</v>
      </c>
      <c r="X1970">
        <v>18</v>
      </c>
      <c r="Y1970" t="s">
        <v>20751</v>
      </c>
      <c r="Z1970" t="s">
        <v>26917</v>
      </c>
      <c r="AA1970">
        <v>0.63714274642876589</v>
      </c>
      <c r="AB1970" t="str">
        <f>HYPERLINK("Melting_Curves/meltCurve_P29692_EEF1D.pdf", "Melting_Curves/meltCurve_P29692_EEF1D.pdf")</f>
        <v>Melting_Curves/meltCurve_P29692_EEF1D.pdf</v>
      </c>
    </row>
    <row r="1971" spans="1:28" x14ac:dyDescent="0.25">
      <c r="A1971" t="s">
        <v>1975</v>
      </c>
      <c r="B1971">
        <v>0.99987803227770999</v>
      </c>
      <c r="C1971">
        <v>1.08551353435494</v>
      </c>
      <c r="D1971">
        <v>0.870429738589375</v>
      </c>
      <c r="E1971">
        <v>1.3635359005096299</v>
      </c>
      <c r="F1971">
        <v>0.60789225782341605</v>
      </c>
      <c r="G1971">
        <v>0.56512210425116005</v>
      </c>
      <c r="H1971">
        <v>0.43372788574245302</v>
      </c>
      <c r="I1971">
        <v>0.39456068841384301</v>
      </c>
      <c r="J1971">
        <v>0.32216367163599102</v>
      </c>
      <c r="K1971">
        <v>0.27038974834804602</v>
      </c>
      <c r="L1971">
        <v>13217.0819021401</v>
      </c>
      <c r="M1971">
        <v>250</v>
      </c>
      <c r="N1971">
        <v>53.204956032862697</v>
      </c>
      <c r="O1971">
        <v>52.864942912299902</v>
      </c>
      <c r="P1971">
        <v>-0.71267368260609099</v>
      </c>
      <c r="Q1971">
        <v>0.39719272715477799</v>
      </c>
      <c r="R1971">
        <v>0.83064771001337501</v>
      </c>
      <c r="S1971" t="s">
        <v>8282</v>
      </c>
      <c r="T1971" t="s">
        <v>12620</v>
      </c>
      <c r="U1971" t="s">
        <v>12620</v>
      </c>
      <c r="V1971" t="s">
        <v>12620</v>
      </c>
      <c r="W1971" t="s">
        <v>14551</v>
      </c>
      <c r="X1971">
        <v>18</v>
      </c>
      <c r="Y1971" t="s">
        <v>20751</v>
      </c>
      <c r="Z1971" t="s">
        <v>26918</v>
      </c>
      <c r="AA1971">
        <v>0.65581937320402162</v>
      </c>
      <c r="AB1971" t="str">
        <f>HYPERLINK("Melting_Curves/meltCurve_P29692_2_EEF1D.pdf", "Melting_Curves/meltCurve_P29692_2_EEF1D.pdf")</f>
        <v>Melting_Curves/meltCurve_P29692_2_EEF1D.pdf</v>
      </c>
    </row>
    <row r="1972" spans="1:28" x14ac:dyDescent="0.25">
      <c r="A1972" t="s">
        <v>1976</v>
      </c>
      <c r="B1972">
        <v>0.99987803227770999</v>
      </c>
      <c r="C1972">
        <v>0.79491068474742399</v>
      </c>
      <c r="D1972">
        <v>0.91724315560265202</v>
      </c>
      <c r="E1972">
        <v>0.93085925541673498</v>
      </c>
      <c r="F1972">
        <v>1.0853526436611201</v>
      </c>
      <c r="G1972">
        <v>1.11603629566366</v>
      </c>
      <c r="H1972">
        <v>1.1893741610111099</v>
      </c>
      <c r="I1972">
        <v>1.25922472368234</v>
      </c>
      <c r="J1972">
        <v>1.2527775749888901</v>
      </c>
      <c r="K1972">
        <v>0.95145862088023503</v>
      </c>
      <c r="L1972">
        <v>13238.281753564201</v>
      </c>
      <c r="M1972">
        <v>250</v>
      </c>
      <c r="O1972">
        <v>52.949740784913303</v>
      </c>
      <c r="P1972">
        <v>0.18150973124265299</v>
      </c>
      <c r="Q1972">
        <v>1.1537742843057699</v>
      </c>
      <c r="R1972">
        <v>0.46021285120543098</v>
      </c>
      <c r="S1972" t="s">
        <v>8283</v>
      </c>
      <c r="T1972" t="s">
        <v>12620</v>
      </c>
      <c r="U1972" t="s">
        <v>12620</v>
      </c>
      <c r="V1972" t="s">
        <v>12620</v>
      </c>
      <c r="W1972" t="s">
        <v>14552</v>
      </c>
      <c r="X1972">
        <v>8</v>
      </c>
      <c r="Y1972" t="s">
        <v>20752</v>
      </c>
      <c r="Z1972" t="s">
        <v>26919</v>
      </c>
      <c r="AA1972">
        <v>1.0873647325626039</v>
      </c>
      <c r="AB1972" t="str">
        <f>HYPERLINK("Melting_Curves/meltCurve_P29966_MARCKS.pdf", "Melting_Curves/meltCurve_P29966_MARCKS.pdf")</f>
        <v>Melting_Curves/meltCurve_P29966_MARCKS.pdf</v>
      </c>
    </row>
    <row r="1973" spans="1:28" x14ac:dyDescent="0.25">
      <c r="A1973" t="s">
        <v>1977</v>
      </c>
      <c r="B1973">
        <v>0.99987803227770999</v>
      </c>
      <c r="C1973">
        <v>0.69388372856578895</v>
      </c>
      <c r="D1973">
        <v>0.26241532917534399</v>
      </c>
      <c r="E1973">
        <v>0.197432341502529</v>
      </c>
      <c r="F1973">
        <v>0.102619476972686</v>
      </c>
      <c r="G1973">
        <v>6.3431492611610796E-2</v>
      </c>
      <c r="H1973">
        <v>4.6697036783110803E-2</v>
      </c>
      <c r="I1973">
        <v>3.7914525523895598E-2</v>
      </c>
      <c r="J1973">
        <v>3.1637815336565699E-2</v>
      </c>
      <c r="K1973">
        <v>2.23555929328592E-2</v>
      </c>
      <c r="L1973">
        <v>1196.44865627575</v>
      </c>
      <c r="M1973">
        <v>27.128541493481698</v>
      </c>
      <c r="N1973">
        <v>44.315426521662701</v>
      </c>
      <c r="O1973">
        <v>43.865378794576699</v>
      </c>
      <c r="P1973">
        <v>-0.14518447742548199</v>
      </c>
      <c r="Q1973">
        <v>6.0987144469963901E-2</v>
      </c>
      <c r="R1973">
        <v>0.98209354597902099</v>
      </c>
      <c r="S1973" t="s">
        <v>8284</v>
      </c>
      <c r="T1973" t="s">
        <v>12620</v>
      </c>
      <c r="U1973" t="s">
        <v>12620</v>
      </c>
      <c r="V1973" t="s">
        <v>12620</v>
      </c>
      <c r="W1973" t="s">
        <v>14553</v>
      </c>
      <c r="X1973">
        <v>8</v>
      </c>
      <c r="Y1973" t="s">
        <v>20753</v>
      </c>
      <c r="Z1973" t="s">
        <v>26920</v>
      </c>
      <c r="AA1973">
        <v>0.1980543686986837</v>
      </c>
      <c r="AB1973" t="str">
        <f>HYPERLINK("Melting_Curves/meltCurve_P30038_ALDH4A1.pdf", "Melting_Curves/meltCurve_P30038_ALDH4A1.pdf")</f>
        <v>Melting_Curves/meltCurve_P30038_ALDH4A1.pdf</v>
      </c>
    </row>
    <row r="1974" spans="1:28" x14ac:dyDescent="0.25">
      <c r="A1974" t="s">
        <v>1978</v>
      </c>
      <c r="B1974">
        <v>0.99987803227770999</v>
      </c>
      <c r="C1974">
        <v>0.97962805680926102</v>
      </c>
      <c r="D1974">
        <v>1.03282181839691</v>
      </c>
      <c r="E1974">
        <v>0.92760926372199803</v>
      </c>
      <c r="F1974">
        <v>0.91715857104410003</v>
      </c>
      <c r="G1974">
        <v>0.62352600680621995</v>
      </c>
      <c r="H1974">
        <v>0.10910746701083</v>
      </c>
      <c r="I1974">
        <v>6.6233182386210093E-2</v>
      </c>
      <c r="J1974">
        <v>3.9831011128521901E-2</v>
      </c>
      <c r="K1974">
        <v>3.54616093723117E-2</v>
      </c>
      <c r="L1974">
        <v>2110.4235033385498</v>
      </c>
      <c r="M1974">
        <v>36.6528479940905</v>
      </c>
      <c r="N1974">
        <v>57.674910750903997</v>
      </c>
      <c r="O1974">
        <v>57.4081193352459</v>
      </c>
      <c r="P1974">
        <v>-0.154882495189715</v>
      </c>
      <c r="Q1974">
        <v>2.9654050751551801E-2</v>
      </c>
      <c r="R1974">
        <v>0.99479705122288098</v>
      </c>
      <c r="S1974" t="s">
        <v>8285</v>
      </c>
      <c r="T1974" t="s">
        <v>12620</v>
      </c>
      <c r="U1974" t="s">
        <v>12620</v>
      </c>
      <c r="V1974" t="s">
        <v>12620</v>
      </c>
      <c r="W1974" t="s">
        <v>14554</v>
      </c>
      <c r="X1974">
        <v>5</v>
      </c>
      <c r="Y1974" t="s">
        <v>20754</v>
      </c>
      <c r="Z1974" t="s">
        <v>26921</v>
      </c>
      <c r="AA1974">
        <v>0.60272291333805439</v>
      </c>
      <c r="AB1974" t="str">
        <f>HYPERLINK("Melting_Curves/meltCurve_P30039_PBLD.pdf", "Melting_Curves/meltCurve_P30039_PBLD.pdf")</f>
        <v>Melting_Curves/meltCurve_P30039_PBLD.pdf</v>
      </c>
    </row>
    <row r="1975" spans="1:28" x14ac:dyDescent="0.25">
      <c r="A1975" t="s">
        <v>1979</v>
      </c>
      <c r="B1975">
        <v>0.99987803227770999</v>
      </c>
      <c r="C1975">
        <v>0.69439966009895104</v>
      </c>
      <c r="D1975">
        <v>1.17388298083557</v>
      </c>
      <c r="E1975">
        <v>0.89079847544522295</v>
      </c>
      <c r="F1975">
        <v>0.72541365710172301</v>
      </c>
      <c r="G1975">
        <v>0.40005238700437101</v>
      </c>
      <c r="H1975">
        <v>0.305426379230199</v>
      </c>
      <c r="I1975">
        <v>0.26388340124647203</v>
      </c>
      <c r="J1975">
        <v>0.25022896673162198</v>
      </c>
      <c r="K1975">
        <v>0.19721094620034499</v>
      </c>
      <c r="L1975">
        <v>1331.48275666054</v>
      </c>
      <c r="M1975">
        <v>24.558040989581301</v>
      </c>
      <c r="N1975">
        <v>55.640408646153098</v>
      </c>
      <c r="O1975">
        <v>53.862121832743298</v>
      </c>
      <c r="P1975">
        <v>-8.7411787084523199E-2</v>
      </c>
      <c r="Q1975">
        <v>0.23314464133534701</v>
      </c>
      <c r="R1975">
        <v>0.88466177305659099</v>
      </c>
      <c r="S1975" t="s">
        <v>8286</v>
      </c>
      <c r="T1975" t="s">
        <v>12620</v>
      </c>
      <c r="U1975" t="s">
        <v>12620</v>
      </c>
      <c r="V1975" t="s">
        <v>12620</v>
      </c>
      <c r="W1975" t="s">
        <v>14555</v>
      </c>
      <c r="X1975">
        <v>12</v>
      </c>
      <c r="Y1975" t="s">
        <v>20755</v>
      </c>
      <c r="Z1975" t="s">
        <v>26922</v>
      </c>
      <c r="AA1975">
        <v>0.60390889429697858</v>
      </c>
      <c r="AB1975" t="str">
        <f>HYPERLINK("Melting_Curves/meltCurve_P30040_ERP29.pdf", "Melting_Curves/meltCurve_P30040_ERP29.pdf")</f>
        <v>Melting_Curves/meltCurve_P30040_ERP29.pdf</v>
      </c>
    </row>
    <row r="1976" spans="1:28" x14ac:dyDescent="0.25">
      <c r="A1976" t="s">
        <v>1980</v>
      </c>
      <c r="B1976">
        <v>0.99987803227770999</v>
      </c>
      <c r="C1976">
        <v>0.70344915206926795</v>
      </c>
      <c r="D1976">
        <v>0.97146962363476697</v>
      </c>
      <c r="E1976">
        <v>0.84565697785989202</v>
      </c>
      <c r="F1976">
        <v>0.73018708013949896</v>
      </c>
      <c r="G1976">
        <v>0.32610004946458199</v>
      </c>
      <c r="H1976">
        <v>9.8540522969839603E-2</v>
      </c>
      <c r="I1976">
        <v>7.0896919930394098E-2</v>
      </c>
      <c r="J1976">
        <v>4.42941283108313E-2</v>
      </c>
      <c r="K1976">
        <v>3.0930226090744199E-2</v>
      </c>
      <c r="L1976">
        <v>1090.4434410362201</v>
      </c>
      <c r="M1976">
        <v>19.819366852444801</v>
      </c>
      <c r="N1976">
        <v>55.054069143642003</v>
      </c>
      <c r="O1976">
        <v>54.468147594561103</v>
      </c>
      <c r="P1976">
        <v>-9.0401475768096498E-2</v>
      </c>
      <c r="Q1976">
        <v>6.2579167369038796E-3</v>
      </c>
      <c r="R1976">
        <v>0.938891559976608</v>
      </c>
      <c r="S1976" t="s">
        <v>8287</v>
      </c>
      <c r="T1976" t="s">
        <v>12620</v>
      </c>
      <c r="U1976" t="s">
        <v>12620</v>
      </c>
      <c r="V1976" t="s">
        <v>12620</v>
      </c>
      <c r="W1976" t="s">
        <v>14556</v>
      </c>
      <c r="X1976">
        <v>18</v>
      </c>
      <c r="Y1976" t="s">
        <v>20756</v>
      </c>
      <c r="Z1976" t="s">
        <v>26923</v>
      </c>
      <c r="AA1976">
        <v>0.51716565774614154</v>
      </c>
      <c r="AB1976" t="str">
        <f>HYPERLINK("Melting_Curves/meltCurve_P30041_PRDX6.pdf", "Melting_Curves/meltCurve_P30041_PRDX6.pdf")</f>
        <v>Melting_Curves/meltCurve_P30041_PRDX6.pdf</v>
      </c>
    </row>
    <row r="1977" spans="1:28" x14ac:dyDescent="0.25">
      <c r="A1977" t="s">
        <v>1981</v>
      </c>
      <c r="B1977">
        <v>0.99987803227770999</v>
      </c>
      <c r="C1977">
        <v>0.92153683454116897</v>
      </c>
      <c r="D1977">
        <v>1.0317780223159101</v>
      </c>
      <c r="E1977">
        <v>0.89051828188048499</v>
      </c>
      <c r="F1977">
        <v>0.98535281461574198</v>
      </c>
      <c r="G1977">
        <v>0.82781996531473301</v>
      </c>
      <c r="H1977">
        <v>0.95891567065076999</v>
      </c>
      <c r="I1977">
        <v>0.81922619920263196</v>
      </c>
      <c r="J1977">
        <v>0.76840792661193602</v>
      </c>
      <c r="K1977">
        <v>0.57184125127816898</v>
      </c>
      <c r="L1977">
        <v>714.71416215256602</v>
      </c>
      <c r="M1977">
        <v>9.7123869170196802</v>
      </c>
      <c r="Q1977">
        <v>0</v>
      </c>
      <c r="R1977">
        <v>0.75683545972951205</v>
      </c>
      <c r="S1977" t="s">
        <v>8288</v>
      </c>
      <c r="T1977" t="s">
        <v>12620</v>
      </c>
      <c r="U1977" t="s">
        <v>12620</v>
      </c>
      <c r="V1977" t="s">
        <v>12620</v>
      </c>
      <c r="W1977" t="s">
        <v>14557</v>
      </c>
      <c r="X1977">
        <v>11</v>
      </c>
      <c r="Y1977" t="s">
        <v>20757</v>
      </c>
      <c r="Z1977" t="s">
        <v>26924</v>
      </c>
      <c r="AA1977">
        <v>0.90998971340318213</v>
      </c>
      <c r="AB1977" t="str">
        <f>HYPERLINK("Melting_Curves/meltCurve_P30042_C21orf33.pdf", "Melting_Curves/meltCurve_P30042_C21orf33.pdf")</f>
        <v>Melting_Curves/meltCurve_P30042_C21orf33.pdf</v>
      </c>
    </row>
    <row r="1978" spans="1:28" x14ac:dyDescent="0.25">
      <c r="A1978" t="s">
        <v>1982</v>
      </c>
      <c r="B1978">
        <v>0.99987803227770999</v>
      </c>
      <c r="C1978">
        <v>0.86407869736426601</v>
      </c>
      <c r="D1978">
        <v>1.0200866261544701</v>
      </c>
      <c r="E1978">
        <v>0.57215322034619698</v>
      </c>
      <c r="F1978">
        <v>0.233017499931508</v>
      </c>
      <c r="G1978">
        <v>0.153380160806695</v>
      </c>
      <c r="H1978">
        <v>0.11205352728646201</v>
      </c>
      <c r="I1978">
        <v>9.1629080161261395E-2</v>
      </c>
      <c r="J1978">
        <v>8.0421352892315001E-2</v>
      </c>
      <c r="K1978">
        <v>5.7466796296619799E-2</v>
      </c>
      <c r="L1978">
        <v>1709.37125412816</v>
      </c>
      <c r="M1978">
        <v>34.018554879346397</v>
      </c>
      <c r="N1978">
        <v>50.562085071084702</v>
      </c>
      <c r="O1978">
        <v>50.075517869806397</v>
      </c>
      <c r="P1978">
        <v>-0.153670117855781</v>
      </c>
      <c r="Q1978">
        <v>9.5190222216268397E-2</v>
      </c>
      <c r="R1978">
        <v>0.98304017797103904</v>
      </c>
      <c r="S1978" t="s">
        <v>8289</v>
      </c>
      <c r="T1978" t="s">
        <v>12620</v>
      </c>
      <c r="U1978" t="s">
        <v>12620</v>
      </c>
      <c r="V1978" t="s">
        <v>12620</v>
      </c>
      <c r="W1978" t="s">
        <v>14558</v>
      </c>
      <c r="X1978">
        <v>10</v>
      </c>
      <c r="Y1978" t="s">
        <v>20758</v>
      </c>
      <c r="Z1978" t="s">
        <v>26925</v>
      </c>
      <c r="AA1978">
        <v>0.40863855647466552</v>
      </c>
      <c r="AB1978" t="str">
        <f>HYPERLINK("Melting_Curves/meltCurve_P30043_BLVRB.pdf", "Melting_Curves/meltCurve_P30043_BLVRB.pdf")</f>
        <v>Melting_Curves/meltCurve_P30043_BLVRB.pdf</v>
      </c>
    </row>
    <row r="1979" spans="1:28" x14ac:dyDescent="0.25">
      <c r="A1979" t="s">
        <v>1983</v>
      </c>
      <c r="B1979">
        <v>0.99987803227770999</v>
      </c>
      <c r="C1979">
        <v>0.91132583161426295</v>
      </c>
      <c r="D1979">
        <v>1.0534400993150601</v>
      </c>
      <c r="E1979">
        <v>0.955042569497635</v>
      </c>
      <c r="F1979">
        <v>1.1640116369214299</v>
      </c>
      <c r="G1979">
        <v>0.955668072792623</v>
      </c>
      <c r="H1979">
        <v>0.55616921636203198</v>
      </c>
      <c r="I1979">
        <v>0.31924760404657898</v>
      </c>
      <c r="J1979">
        <v>0.16650636781271499</v>
      </c>
      <c r="K1979">
        <v>0.11651485762172301</v>
      </c>
      <c r="L1979">
        <v>2095.7118172098899</v>
      </c>
      <c r="M1979">
        <v>34.245166802848502</v>
      </c>
      <c r="N1979">
        <v>61.707160130468097</v>
      </c>
      <c r="O1979">
        <v>60.989745850194304</v>
      </c>
      <c r="P1979">
        <v>-0.12307655615863</v>
      </c>
      <c r="Q1979">
        <v>0.123218858138454</v>
      </c>
      <c r="R1979">
        <v>0.96838468750332396</v>
      </c>
      <c r="S1979" t="s">
        <v>8290</v>
      </c>
      <c r="T1979" t="s">
        <v>12620</v>
      </c>
      <c r="U1979" t="s">
        <v>12620</v>
      </c>
      <c r="V1979" t="s">
        <v>12620</v>
      </c>
      <c r="W1979" t="s">
        <v>14559</v>
      </c>
      <c r="X1979">
        <v>10</v>
      </c>
      <c r="Y1979" t="s">
        <v>20759</v>
      </c>
      <c r="Z1979" t="s">
        <v>26926</v>
      </c>
      <c r="AA1979">
        <v>0.74682664371723184</v>
      </c>
      <c r="AB1979" t="str">
        <f>HYPERLINK("Melting_Curves/meltCurve_P30044_2_PRDX5.pdf", "Melting_Curves/meltCurve_P30044_2_PRDX5.pdf")</f>
        <v>Melting_Curves/meltCurve_P30044_2_PRDX5.pdf</v>
      </c>
    </row>
    <row r="1980" spans="1:28" x14ac:dyDescent="0.25">
      <c r="A1980" t="s">
        <v>1984</v>
      </c>
      <c r="B1980">
        <v>0.99987803227770999</v>
      </c>
      <c r="C1980">
        <v>0.92691944922720704</v>
      </c>
      <c r="D1980">
        <v>1.0259513466599199</v>
      </c>
      <c r="E1980">
        <v>0.92988206300296405</v>
      </c>
      <c r="F1980">
        <v>1.0238578207834601</v>
      </c>
      <c r="G1980">
        <v>0.94470519666850294</v>
      </c>
      <c r="H1980">
        <v>0.77955660141660799</v>
      </c>
      <c r="I1980">
        <v>0.73044878924097001</v>
      </c>
      <c r="J1980">
        <v>0.48049106681606901</v>
      </c>
      <c r="K1980">
        <v>0.26363427577832899</v>
      </c>
      <c r="L1980">
        <v>1202.1316546417399</v>
      </c>
      <c r="M1980">
        <v>18.0543802553047</v>
      </c>
      <c r="N1980">
        <v>66.583934795266899</v>
      </c>
      <c r="O1980">
        <v>65.783181237868803</v>
      </c>
      <c r="P1980">
        <v>-6.8616552897595107E-2</v>
      </c>
      <c r="Q1980">
        <v>0</v>
      </c>
      <c r="R1980">
        <v>0.96701223523394497</v>
      </c>
      <c r="S1980" t="s">
        <v>8291</v>
      </c>
      <c r="T1980" t="s">
        <v>12620</v>
      </c>
      <c r="U1980" t="s">
        <v>12620</v>
      </c>
      <c r="V1980" t="s">
        <v>12620</v>
      </c>
      <c r="W1980" t="s">
        <v>14560</v>
      </c>
      <c r="X1980">
        <v>10</v>
      </c>
      <c r="Y1980" t="s">
        <v>20760</v>
      </c>
      <c r="Z1980" t="s">
        <v>26927</v>
      </c>
      <c r="AA1980">
        <v>0.85503630667964758</v>
      </c>
      <c r="AB1980" t="str">
        <f>HYPERLINK("Melting_Curves/meltCurve_P30046_DDT.pdf", "Melting_Curves/meltCurve_P30046_DDT.pdf")</f>
        <v>Melting_Curves/meltCurve_P30046_DDT.pdf</v>
      </c>
    </row>
    <row r="1981" spans="1:28" x14ac:dyDescent="0.25">
      <c r="A1981" t="s">
        <v>1985</v>
      </c>
      <c r="B1981">
        <v>0.99987803227770999</v>
      </c>
      <c r="C1981">
        <v>0.76321763169859302</v>
      </c>
      <c r="D1981">
        <v>1.00048084335478</v>
      </c>
      <c r="E1981">
        <v>0.78584330699385196</v>
      </c>
      <c r="F1981">
        <v>0.96630159148569805</v>
      </c>
      <c r="G1981">
        <v>0.74802853113008505</v>
      </c>
      <c r="H1981">
        <v>0.76221700722061703</v>
      </c>
      <c r="I1981">
        <v>0.76505072924630502</v>
      </c>
      <c r="J1981">
        <v>0.78694081124867299</v>
      </c>
      <c r="K1981">
        <v>0.67032755336230798</v>
      </c>
      <c r="L1981">
        <v>168.40304135021501</v>
      </c>
      <c r="M1981">
        <v>1.50136802829045</v>
      </c>
      <c r="O1981">
        <v>54.987686666056398</v>
      </c>
      <c r="P1981">
        <v>-7.9857094271287392E-3</v>
      </c>
      <c r="Q1981">
        <v>0</v>
      </c>
      <c r="R1981">
        <v>0.44641788518533898</v>
      </c>
      <c r="S1981" t="s">
        <v>8292</v>
      </c>
      <c r="T1981" t="s">
        <v>12620</v>
      </c>
      <c r="U1981" t="s">
        <v>12620</v>
      </c>
      <c r="V1981" t="s">
        <v>12620</v>
      </c>
      <c r="W1981" t="s">
        <v>14561</v>
      </c>
      <c r="X1981">
        <v>3</v>
      </c>
      <c r="Y1981" t="s">
        <v>20761</v>
      </c>
      <c r="Z1981" t="s">
        <v>26928</v>
      </c>
      <c r="AA1981">
        <v>0.82607304908517021</v>
      </c>
      <c r="AB1981" t="str">
        <f>HYPERLINK("Melting_Curves/meltCurve_P30049_ATP5D.pdf", "Melting_Curves/meltCurve_P30049_ATP5D.pdf")</f>
        <v>Melting_Curves/meltCurve_P30049_ATP5D.pdf</v>
      </c>
    </row>
    <row r="1982" spans="1:28" x14ac:dyDescent="0.25">
      <c r="A1982" t="s">
        <v>1986</v>
      </c>
      <c r="B1982">
        <v>0.99987803227770999</v>
      </c>
      <c r="C1982">
        <v>1.1907521725004</v>
      </c>
      <c r="D1982">
        <v>1.29266498294067</v>
      </c>
      <c r="E1982">
        <v>0.974128782533489</v>
      </c>
      <c r="F1982">
        <v>0.60666631497866097</v>
      </c>
      <c r="G1982">
        <v>0.49947678394619099</v>
      </c>
      <c r="H1982">
        <v>0.268671089779698</v>
      </c>
      <c r="I1982">
        <v>0.19698177637876799</v>
      </c>
      <c r="J1982">
        <v>0.15175031271216999</v>
      </c>
      <c r="K1982">
        <v>9.8296935943657696E-2</v>
      </c>
      <c r="L1982">
        <v>1107.4042191983999</v>
      </c>
      <c r="M1982">
        <v>20.014281890046501</v>
      </c>
      <c r="N1982">
        <v>56.161484288661299</v>
      </c>
      <c r="O1982">
        <v>54.787206983592903</v>
      </c>
      <c r="P1982">
        <v>-7.9628218243308194E-2</v>
      </c>
      <c r="Q1982">
        <v>0.12812941958916499</v>
      </c>
      <c r="R1982">
        <v>0.91300524333585897</v>
      </c>
      <c r="S1982" t="s">
        <v>8293</v>
      </c>
      <c r="T1982" t="s">
        <v>12620</v>
      </c>
      <c r="U1982" t="s">
        <v>12620</v>
      </c>
      <c r="V1982" t="s">
        <v>12620</v>
      </c>
      <c r="W1982" t="s">
        <v>14562</v>
      </c>
      <c r="X1982">
        <v>8</v>
      </c>
      <c r="Y1982" t="s">
        <v>20762</v>
      </c>
      <c r="Z1982" t="s">
        <v>26929</v>
      </c>
      <c r="AA1982">
        <v>0.58516450809051757</v>
      </c>
      <c r="AB1982" t="str">
        <f>HYPERLINK("Melting_Curves/meltCurve_P30050_RPL12.pdf", "Melting_Curves/meltCurve_P30050_RPL12.pdf")</f>
        <v>Melting_Curves/meltCurve_P30050_RPL12.pdf</v>
      </c>
    </row>
    <row r="1983" spans="1:28" x14ac:dyDescent="0.25">
      <c r="A1983" t="s">
        <v>1987</v>
      </c>
      <c r="B1983">
        <v>0.99987803227770999</v>
      </c>
      <c r="C1983">
        <v>1.37166679111641</v>
      </c>
      <c r="D1983">
        <v>0.80608253126681095</v>
      </c>
      <c r="E1983">
        <v>1.2109628550528</v>
      </c>
      <c r="F1983">
        <v>0.52445611178483997</v>
      </c>
      <c r="G1983">
        <v>0.18735736119861901</v>
      </c>
      <c r="H1983">
        <v>9.6220241483876201E-2</v>
      </c>
      <c r="I1983">
        <v>7.92628111816433E-2</v>
      </c>
      <c r="J1983">
        <v>6.15597286549006E-2</v>
      </c>
      <c r="K1983">
        <v>4.8680581329555397E-2</v>
      </c>
      <c r="L1983">
        <v>13244.644627424501</v>
      </c>
      <c r="M1983">
        <v>250</v>
      </c>
      <c r="N1983">
        <v>53.023070698130198</v>
      </c>
      <c r="O1983">
        <v>52.975189615150597</v>
      </c>
      <c r="P1983">
        <v>-1.0681697300231101</v>
      </c>
      <c r="Q1983">
        <v>9.4616120863313294E-2</v>
      </c>
      <c r="R1983">
        <v>0.90433934138776595</v>
      </c>
      <c r="S1983" t="s">
        <v>8294</v>
      </c>
      <c r="T1983" t="s">
        <v>12620</v>
      </c>
      <c r="U1983" t="s">
        <v>12620</v>
      </c>
      <c r="V1983" t="s">
        <v>12620</v>
      </c>
      <c r="W1983" t="s">
        <v>14563</v>
      </c>
      <c r="X1983">
        <v>15</v>
      </c>
      <c r="Y1983" t="s">
        <v>20763</v>
      </c>
      <c r="Z1983" t="s">
        <v>26930</v>
      </c>
      <c r="AA1983">
        <v>0.48638682558701452</v>
      </c>
      <c r="AB1983" t="str">
        <f>HYPERLINK("Melting_Curves/meltCurve_P30084_ECHS1.pdf", "Melting_Curves/meltCurve_P30084_ECHS1.pdf")</f>
        <v>Melting_Curves/meltCurve_P30084_ECHS1.pdf</v>
      </c>
    </row>
    <row r="1984" spans="1:28" x14ac:dyDescent="0.25">
      <c r="A1984" t="s">
        <v>1988</v>
      </c>
      <c r="B1984">
        <v>0.99987803227770999</v>
      </c>
      <c r="C1984">
        <v>0.65654645777251597</v>
      </c>
      <c r="D1984">
        <v>0.91443010375646205</v>
      </c>
      <c r="E1984">
        <v>0.70986710627995597</v>
      </c>
      <c r="F1984">
        <v>0.51511410401579205</v>
      </c>
      <c r="G1984">
        <v>0.199928194236176</v>
      </c>
      <c r="H1984">
        <v>0.12961838517884799</v>
      </c>
      <c r="I1984">
        <v>9.6568584766266299E-2</v>
      </c>
      <c r="J1984">
        <v>9.5529098083050407E-2</v>
      </c>
      <c r="K1984">
        <v>8.0224889436467897E-2</v>
      </c>
      <c r="L1984">
        <v>610.30189834953501</v>
      </c>
      <c r="M1984">
        <v>11.6281414663873</v>
      </c>
      <c r="N1984">
        <v>52.484899444525603</v>
      </c>
      <c r="O1984">
        <v>51.004693012156103</v>
      </c>
      <c r="P1984">
        <v>-5.7010952830463799E-2</v>
      </c>
      <c r="Q1984">
        <v>0</v>
      </c>
      <c r="R1984">
        <v>0.91696575808241998</v>
      </c>
      <c r="S1984" t="s">
        <v>8295</v>
      </c>
      <c r="T1984" t="s">
        <v>12620</v>
      </c>
      <c r="U1984" t="s">
        <v>12620</v>
      </c>
      <c r="V1984" t="s">
        <v>12620</v>
      </c>
      <c r="W1984" t="s">
        <v>14564</v>
      </c>
      <c r="X1984">
        <v>9</v>
      </c>
      <c r="Y1984" t="s">
        <v>20764</v>
      </c>
      <c r="Z1984" t="s">
        <v>26931</v>
      </c>
      <c r="AA1984">
        <v>0.44688114376441651</v>
      </c>
      <c r="AB1984" t="str">
        <f>HYPERLINK("Melting_Curves/meltCurve_P30085_CMPK1.pdf", "Melting_Curves/meltCurve_P30085_CMPK1.pdf")</f>
        <v>Melting_Curves/meltCurve_P30085_CMPK1.pdf</v>
      </c>
    </row>
    <row r="1985" spans="1:28" x14ac:dyDescent="0.25">
      <c r="A1985" t="s">
        <v>1989</v>
      </c>
      <c r="B1985">
        <v>0.99987803227770999</v>
      </c>
      <c r="C1985">
        <v>0.66763771493194102</v>
      </c>
      <c r="D1985">
        <v>0.95210259650114204</v>
      </c>
      <c r="E1985">
        <v>0.66479056398796299</v>
      </c>
      <c r="F1985">
        <v>1.22373578642312</v>
      </c>
      <c r="G1985">
        <v>0.90261882435103002</v>
      </c>
      <c r="H1985">
        <v>0.75000008250316597</v>
      </c>
      <c r="I1985">
        <v>0.483663131145322</v>
      </c>
      <c r="J1985">
        <v>0.23075119325486901</v>
      </c>
      <c r="K1985">
        <v>0.15757670059850101</v>
      </c>
      <c r="L1985">
        <v>1666.0974089788999</v>
      </c>
      <c r="M1985">
        <v>26.338590832975299</v>
      </c>
      <c r="N1985">
        <v>63.675786511443498</v>
      </c>
      <c r="O1985">
        <v>62.895595017840101</v>
      </c>
      <c r="P1985">
        <v>-9.6365073568667706E-2</v>
      </c>
      <c r="Q1985">
        <v>7.9544563474274493E-2</v>
      </c>
      <c r="R1985">
        <v>0.72913986979706902</v>
      </c>
      <c r="S1985" t="s">
        <v>8296</v>
      </c>
      <c r="T1985" t="s">
        <v>12620</v>
      </c>
      <c r="U1985" t="s">
        <v>12620</v>
      </c>
      <c r="V1985" t="s">
        <v>12620</v>
      </c>
      <c r="W1985" t="s">
        <v>14565</v>
      </c>
      <c r="X1985">
        <v>18</v>
      </c>
      <c r="Y1985" t="s">
        <v>20765</v>
      </c>
      <c r="Z1985" t="s">
        <v>26932</v>
      </c>
      <c r="AA1985">
        <v>0.794957797852615</v>
      </c>
      <c r="AB1985" t="str">
        <f>HYPERLINK("Melting_Curves/meltCurve_P30086_PEBP1.pdf", "Melting_Curves/meltCurve_P30086_PEBP1.pdf")</f>
        <v>Melting_Curves/meltCurve_P30086_PEBP1.pdf</v>
      </c>
    </row>
    <row r="1986" spans="1:28" x14ac:dyDescent="0.25">
      <c r="A1986" t="s">
        <v>1990</v>
      </c>
      <c r="B1986">
        <v>0.99987803227770999</v>
      </c>
      <c r="C1986">
        <v>1.16241874341777</v>
      </c>
      <c r="D1986">
        <v>1.0094163885160401</v>
      </c>
      <c r="E1986">
        <v>1.20769640072274</v>
      </c>
      <c r="F1986">
        <v>0.82486487315053203</v>
      </c>
      <c r="G1986">
        <v>0.28127366685655297</v>
      </c>
      <c r="H1986">
        <v>0.15929207462473399</v>
      </c>
      <c r="I1986">
        <v>0.13087896297035501</v>
      </c>
      <c r="J1986">
        <v>9.7134933529333306E-2</v>
      </c>
      <c r="K1986">
        <v>7.1086011308672606E-2</v>
      </c>
      <c r="L1986">
        <v>2399.8905439230598</v>
      </c>
      <c r="M1986">
        <v>43.617071572116103</v>
      </c>
      <c r="N1986">
        <v>55.343640514372701</v>
      </c>
      <c r="O1986">
        <v>54.906535001212802</v>
      </c>
      <c r="P1986">
        <v>-0.176350674652058</v>
      </c>
      <c r="Q1986">
        <v>0.11201830782097</v>
      </c>
      <c r="R1986">
        <v>0.96262002856774698</v>
      </c>
      <c r="S1986" t="s">
        <v>8297</v>
      </c>
      <c r="T1986" t="s">
        <v>12620</v>
      </c>
      <c r="U1986" t="s">
        <v>12620</v>
      </c>
      <c r="V1986" t="s">
        <v>12620</v>
      </c>
      <c r="W1986" t="s">
        <v>14566</v>
      </c>
      <c r="X1986">
        <v>33</v>
      </c>
      <c r="Y1986" t="s">
        <v>20766</v>
      </c>
      <c r="Z1986" t="s">
        <v>26933</v>
      </c>
      <c r="AA1986">
        <v>0.55948637437866544</v>
      </c>
      <c r="AB1986" t="str">
        <f>HYPERLINK("Melting_Curves/meltCurve_P30153_PPP2R1A.pdf", "Melting_Curves/meltCurve_P30153_PPP2R1A.pdf")</f>
        <v>Melting_Curves/meltCurve_P30153_PPP2R1A.pdf</v>
      </c>
    </row>
    <row r="1987" spans="1:28" x14ac:dyDescent="0.25">
      <c r="A1987" t="s">
        <v>1991</v>
      </c>
      <c r="B1987">
        <v>0.99987803227770999</v>
      </c>
      <c r="C1987">
        <v>0.96417959234902695</v>
      </c>
      <c r="D1987">
        <v>0.56132658526544599</v>
      </c>
      <c r="E1987">
        <v>0.411022490732807</v>
      </c>
      <c r="F1987">
        <v>0.23885226430043199</v>
      </c>
      <c r="G1987">
        <v>0.13403684548372399</v>
      </c>
      <c r="H1987">
        <v>9.7367554012272803E-2</v>
      </c>
      <c r="I1987">
        <v>8.55277495734591E-2</v>
      </c>
      <c r="J1987">
        <v>5.5208553312813102E-2</v>
      </c>
      <c r="K1987">
        <v>4.2204119372614E-2</v>
      </c>
      <c r="L1987">
        <v>760.24799908393095</v>
      </c>
      <c r="M1987">
        <v>15.9102286631623</v>
      </c>
      <c r="N1987">
        <v>48.174614225483602</v>
      </c>
      <c r="O1987">
        <v>47.047841563684699</v>
      </c>
      <c r="P1987">
        <v>-7.9428117243836097E-2</v>
      </c>
      <c r="Q1987">
        <v>6.0573855193364501E-2</v>
      </c>
      <c r="R1987">
        <v>0.97895709139915099</v>
      </c>
      <c r="S1987" t="s">
        <v>8298</v>
      </c>
      <c r="T1987" t="s">
        <v>12620</v>
      </c>
      <c r="U1987" t="s">
        <v>12620</v>
      </c>
      <c r="V1987" t="s">
        <v>12620</v>
      </c>
      <c r="W1987" t="s">
        <v>14567</v>
      </c>
      <c r="X1987">
        <v>13</v>
      </c>
      <c r="Y1987" t="s">
        <v>20767</v>
      </c>
      <c r="Z1987" t="s">
        <v>26934</v>
      </c>
      <c r="AA1987">
        <v>0.32599975709063039</v>
      </c>
      <c r="AB1987" t="str">
        <f>HYPERLINK("Melting_Curves/meltCurve_P30154_PPP2R1B.pdf", "Melting_Curves/meltCurve_P30154_PPP2R1B.pdf")</f>
        <v>Melting_Curves/meltCurve_P30154_PPP2R1B.pdf</v>
      </c>
    </row>
    <row r="1988" spans="1:28" x14ac:dyDescent="0.25">
      <c r="A1988" t="s">
        <v>1992</v>
      </c>
      <c r="B1988">
        <v>0.99987803227770999</v>
      </c>
      <c r="C1988">
        <v>0.92578727171296304</v>
      </c>
      <c r="D1988">
        <v>0.88694965177405605</v>
      </c>
      <c r="E1988">
        <v>1.1919324967052101</v>
      </c>
      <c r="F1988">
        <v>0.95059275538789301</v>
      </c>
      <c r="G1988">
        <v>0.42812339008973699</v>
      </c>
      <c r="H1988">
        <v>0.27659644737210798</v>
      </c>
      <c r="I1988">
        <v>0.23915386927948401</v>
      </c>
      <c r="J1988">
        <v>0.29022488737169599</v>
      </c>
      <c r="K1988">
        <v>0.22289519370015501</v>
      </c>
      <c r="L1988">
        <v>3087.5817453429399</v>
      </c>
      <c r="M1988">
        <v>55.3684432925685</v>
      </c>
      <c r="N1988">
        <v>56.494014272296297</v>
      </c>
      <c r="O1988">
        <v>55.691684805980998</v>
      </c>
      <c r="P1988">
        <v>-0.18505810865844</v>
      </c>
      <c r="Q1988">
        <v>0.255446503568103</v>
      </c>
      <c r="R1988">
        <v>0.95526351499583995</v>
      </c>
      <c r="S1988" t="s">
        <v>8299</v>
      </c>
      <c r="T1988" t="s">
        <v>12620</v>
      </c>
      <c r="U1988" t="s">
        <v>12620</v>
      </c>
      <c r="V1988" t="s">
        <v>12620</v>
      </c>
      <c r="W1988" t="s">
        <v>14568</v>
      </c>
      <c r="X1988">
        <v>10</v>
      </c>
      <c r="Y1988" t="s">
        <v>20768</v>
      </c>
      <c r="Z1988" t="s">
        <v>26935</v>
      </c>
      <c r="AA1988">
        <v>0.64818309339668401</v>
      </c>
      <c r="AB1988" t="str">
        <f>HYPERLINK("Melting_Curves/meltCurve_P30260_CDC27.pdf", "Melting_Curves/meltCurve_P30260_CDC27.pdf")</f>
        <v>Melting_Curves/meltCurve_P30260_CDC27.pdf</v>
      </c>
    </row>
    <row r="1989" spans="1:28" x14ac:dyDescent="0.25">
      <c r="A1989" t="s">
        <v>1993</v>
      </c>
      <c r="B1989">
        <v>0.99987803227770999</v>
      </c>
      <c r="C1989">
        <v>1.00364603469053</v>
      </c>
      <c r="D1989">
        <v>0.86653225007611601</v>
      </c>
      <c r="E1989">
        <v>0.79424179901178804</v>
      </c>
      <c r="F1989">
        <v>0.55030858539430005</v>
      </c>
      <c r="G1989">
        <v>0.38771128442825797</v>
      </c>
      <c r="H1989">
        <v>0.237129067830535</v>
      </c>
      <c r="I1989">
        <v>0.15337600450277</v>
      </c>
      <c r="J1989">
        <v>6.7549003697810098E-2</v>
      </c>
      <c r="K1989">
        <v>3.6269968687299398E-2</v>
      </c>
      <c r="L1989">
        <v>673.30128896723102</v>
      </c>
      <c r="M1989">
        <v>12.3329368071782</v>
      </c>
      <c r="N1989">
        <v>54.5937515931993</v>
      </c>
      <c r="O1989">
        <v>53.217944488967298</v>
      </c>
      <c r="P1989">
        <v>-5.79485488315713E-2</v>
      </c>
      <c r="Q1989">
        <v>0</v>
      </c>
      <c r="R1989">
        <v>0.99350400461777499</v>
      </c>
      <c r="S1989" t="s">
        <v>8300</v>
      </c>
      <c r="T1989" t="s">
        <v>12620</v>
      </c>
      <c r="U1989" t="s">
        <v>12620</v>
      </c>
      <c r="V1989" t="s">
        <v>12620</v>
      </c>
      <c r="W1989" t="s">
        <v>14569</v>
      </c>
      <c r="X1989">
        <v>9</v>
      </c>
      <c r="Y1989" t="s">
        <v>20769</v>
      </c>
      <c r="Z1989" t="s">
        <v>26936</v>
      </c>
      <c r="AA1989">
        <v>0.51049602713452968</v>
      </c>
      <c r="AB1989" t="str">
        <f>HYPERLINK("Melting_Curves/meltCurve_P30281_CCND3.pdf", "Melting_Curves/meltCurve_P30281_CCND3.pdf")</f>
        <v>Melting_Curves/meltCurve_P30281_CCND3.pdf</v>
      </c>
    </row>
    <row r="1990" spans="1:28" x14ac:dyDescent="0.25">
      <c r="A1990" t="s">
        <v>1994</v>
      </c>
      <c r="B1990">
        <v>0.99987803227770999</v>
      </c>
      <c r="C1990">
        <v>0.78352038963927695</v>
      </c>
      <c r="D1990">
        <v>0.87506484693172304</v>
      </c>
      <c r="E1990">
        <v>0.62167105320537797</v>
      </c>
      <c r="F1990">
        <v>0.86236804635081299</v>
      </c>
      <c r="G1990">
        <v>0.62178944632009403</v>
      </c>
      <c r="H1990">
        <v>0.63402480574240205</v>
      </c>
      <c r="I1990">
        <v>0.64684311977303499</v>
      </c>
      <c r="J1990">
        <v>0.69397314758779705</v>
      </c>
      <c r="K1990">
        <v>0.55216456978234396</v>
      </c>
      <c r="L1990">
        <v>391.58434549568699</v>
      </c>
      <c r="M1990">
        <v>8.3173270180929197</v>
      </c>
      <c r="O1990">
        <v>44.594549708738398</v>
      </c>
      <c r="P1990">
        <v>-1.89156619671609E-2</v>
      </c>
      <c r="Q1990">
        <v>0.59471990192983204</v>
      </c>
      <c r="R1990">
        <v>0.63015627242290395</v>
      </c>
      <c r="S1990" t="s">
        <v>8301</v>
      </c>
      <c r="T1990" t="s">
        <v>12620</v>
      </c>
      <c r="U1990" t="s">
        <v>12620</v>
      </c>
      <c r="V1990" t="s">
        <v>12620</v>
      </c>
      <c r="W1990" t="s">
        <v>14570</v>
      </c>
      <c r="X1990">
        <v>4</v>
      </c>
      <c r="Y1990" t="s">
        <v>20770</v>
      </c>
      <c r="Z1990" t="s">
        <v>26937</v>
      </c>
      <c r="AA1990">
        <v>0.72078320732458545</v>
      </c>
      <c r="AB1990" t="str">
        <f>HYPERLINK("Melting_Curves/meltCurve_P30307_2_CDC25C.pdf", "Melting_Curves/meltCurve_P30307_2_CDC25C.pdf")</f>
        <v>Melting_Curves/meltCurve_P30307_2_CDC25C.pdf</v>
      </c>
    </row>
    <row r="1991" spans="1:28" x14ac:dyDescent="0.25">
      <c r="A1991" t="s">
        <v>1995</v>
      </c>
      <c r="B1991">
        <v>0.99987803227770999</v>
      </c>
      <c r="C1991">
        <v>0.837868590340619</v>
      </c>
      <c r="D1991">
        <v>1.02025694961946</v>
      </c>
      <c r="E1991">
        <v>0.80670931884911401</v>
      </c>
      <c r="F1991">
        <v>0.68701414033781305</v>
      </c>
      <c r="G1991">
        <v>0.27083632509258598</v>
      </c>
      <c r="H1991">
        <v>0.19540009758410601</v>
      </c>
      <c r="I1991">
        <v>0.14770211906178099</v>
      </c>
      <c r="J1991">
        <v>0.14569363309071801</v>
      </c>
      <c r="K1991">
        <v>9.9163527216024394E-2</v>
      </c>
      <c r="L1991">
        <v>1154.7553242878801</v>
      </c>
      <c r="M1991">
        <v>21.448418413697599</v>
      </c>
      <c r="N1991">
        <v>54.487370681460298</v>
      </c>
      <c r="O1991">
        <v>53.3772619821682</v>
      </c>
      <c r="P1991">
        <v>-8.9140314996451003E-2</v>
      </c>
      <c r="Q1991">
        <v>0.112671451638342</v>
      </c>
      <c r="R1991">
        <v>0.97258492732219204</v>
      </c>
      <c r="S1991" t="s">
        <v>8302</v>
      </c>
      <c r="T1991" t="s">
        <v>12620</v>
      </c>
      <c r="U1991" t="s">
        <v>12620</v>
      </c>
      <c r="V1991" t="s">
        <v>12620</v>
      </c>
      <c r="W1991" t="s">
        <v>14571</v>
      </c>
      <c r="X1991">
        <v>9</v>
      </c>
      <c r="Y1991" t="s">
        <v>20771</v>
      </c>
      <c r="Z1991" t="s">
        <v>26938</v>
      </c>
      <c r="AA1991">
        <v>0.53274931586496488</v>
      </c>
      <c r="AB1991" t="str">
        <f>HYPERLINK("Melting_Curves/meltCurve_P30405_PPIF.pdf", "Melting_Curves/meltCurve_P30405_PPIF.pdf")</f>
        <v>Melting_Curves/meltCurve_P30405_PPIF.pdf</v>
      </c>
    </row>
    <row r="1992" spans="1:28" x14ac:dyDescent="0.25">
      <c r="A1992" t="s">
        <v>1996</v>
      </c>
      <c r="B1992">
        <v>0.99987803227770999</v>
      </c>
      <c r="C1992">
        <v>1.9389756182562901</v>
      </c>
      <c r="D1992">
        <v>2.9887783664824701</v>
      </c>
      <c r="E1992">
        <v>3.4382949618493899</v>
      </c>
      <c r="F1992">
        <v>0.94102871804127697</v>
      </c>
      <c r="G1992">
        <v>0.40216205054015502</v>
      </c>
      <c r="H1992">
        <v>0.449649973359598</v>
      </c>
      <c r="I1992">
        <v>0.66082910357319102</v>
      </c>
      <c r="J1992">
        <v>0.95921939085710295</v>
      </c>
      <c r="K1992">
        <v>0.99625117401682695</v>
      </c>
      <c r="L1992">
        <v>13326.0020906706</v>
      </c>
      <c r="M1992">
        <v>250</v>
      </c>
      <c r="O1992">
        <v>53.300597261300197</v>
      </c>
      <c r="P1992">
        <v>-0.35925683563897698</v>
      </c>
      <c r="Q1992">
        <v>0.69362233781209104</v>
      </c>
      <c r="R1992">
        <v>-9.3937647266643304E-2</v>
      </c>
      <c r="S1992" t="s">
        <v>8303</v>
      </c>
      <c r="T1992" t="s">
        <v>12620</v>
      </c>
      <c r="U1992" t="s">
        <v>12620</v>
      </c>
      <c r="V1992" t="s">
        <v>12620</v>
      </c>
      <c r="W1992" t="s">
        <v>14572</v>
      </c>
      <c r="X1992">
        <v>2</v>
      </c>
      <c r="Y1992" t="s">
        <v>20772</v>
      </c>
      <c r="Z1992" t="s">
        <v>26939</v>
      </c>
      <c r="AA1992">
        <v>0.82951936473551102</v>
      </c>
      <c r="AB1992" t="str">
        <f>HYPERLINK("Melting_Curves/meltCurve_P30414_NKTR.pdf", "Melting_Curves/meltCurve_P30414_NKTR.pdf")</f>
        <v>Melting_Curves/meltCurve_P30414_NKTR.pdf</v>
      </c>
    </row>
    <row r="1993" spans="1:28" x14ac:dyDescent="0.25">
      <c r="A1993" t="s">
        <v>1997</v>
      </c>
      <c r="B1993">
        <v>0.99987803227770999</v>
      </c>
      <c r="C1993">
        <v>1.0731499961331099</v>
      </c>
      <c r="D1993">
        <v>0.69902612065638903</v>
      </c>
      <c r="E1993">
        <v>0.79106950542394905</v>
      </c>
      <c r="F1993">
        <v>0.32872196006657201</v>
      </c>
      <c r="G1993">
        <v>0.14745687858463299</v>
      </c>
      <c r="H1993">
        <v>0.113968282418561</v>
      </c>
      <c r="I1993">
        <v>9.9265280934678804E-2</v>
      </c>
      <c r="J1993">
        <v>9.6309025235381401E-2</v>
      </c>
      <c r="K1993">
        <v>7.0156687720333594E-2</v>
      </c>
      <c r="L1993">
        <v>954.68456099427499</v>
      </c>
      <c r="M1993">
        <v>18.618432545318498</v>
      </c>
      <c r="N1993">
        <v>51.652079137840801</v>
      </c>
      <c r="O1993">
        <v>50.6957601190269</v>
      </c>
      <c r="P1993">
        <v>-8.6002985736888193E-2</v>
      </c>
      <c r="Q1993">
        <v>6.3337163050868603E-2</v>
      </c>
      <c r="R1993">
        <v>0.94633238174534695</v>
      </c>
      <c r="S1993" t="s">
        <v>8304</v>
      </c>
      <c r="T1993" t="s">
        <v>12620</v>
      </c>
      <c r="U1993" t="s">
        <v>12620</v>
      </c>
      <c r="V1993" t="s">
        <v>12620</v>
      </c>
      <c r="W1993" t="s">
        <v>14573</v>
      </c>
      <c r="X1993">
        <v>14</v>
      </c>
      <c r="Y1993" t="s">
        <v>20773</v>
      </c>
      <c r="Z1993" t="s">
        <v>26940</v>
      </c>
      <c r="AA1993">
        <v>0.43021536596947912</v>
      </c>
      <c r="AB1993" t="str">
        <f>HYPERLINK("Melting_Curves/meltCurve_P30419_NMT1.pdf", "Melting_Curves/meltCurve_P30419_NMT1.pdf")</f>
        <v>Melting_Curves/meltCurve_P30419_NMT1.pdf</v>
      </c>
    </row>
    <row r="1994" spans="1:28" x14ac:dyDescent="0.25">
      <c r="A1994" t="s">
        <v>1998</v>
      </c>
      <c r="B1994">
        <v>0.99987803227770999</v>
      </c>
      <c r="C1994">
        <v>0.92780471407035803</v>
      </c>
      <c r="D1994">
        <v>0.94957787797225002</v>
      </c>
      <c r="E1994">
        <v>0.79316750970470595</v>
      </c>
      <c r="F1994">
        <v>0.67182585509348502</v>
      </c>
      <c r="G1994">
        <v>0.383788848487981</v>
      </c>
      <c r="H1994">
        <v>0.26864395279290298</v>
      </c>
      <c r="I1994">
        <v>0.237665627027419</v>
      </c>
      <c r="J1994">
        <v>0.200976398993577</v>
      </c>
      <c r="K1994">
        <v>0.16458655261064201</v>
      </c>
      <c r="L1994">
        <v>820.02697278320795</v>
      </c>
      <c r="M1994">
        <v>15.1798412337389</v>
      </c>
      <c r="N1994">
        <v>55.303326901277998</v>
      </c>
      <c r="O1994">
        <v>53.1093072317938</v>
      </c>
      <c r="P1994">
        <v>-6.0859483499945799E-2</v>
      </c>
      <c r="Q1994">
        <v>0.14837246001249199</v>
      </c>
      <c r="R1994">
        <v>0.99428301802246799</v>
      </c>
      <c r="S1994" t="s">
        <v>8305</v>
      </c>
      <c r="T1994" t="s">
        <v>12620</v>
      </c>
      <c r="U1994" t="s">
        <v>12620</v>
      </c>
      <c r="V1994" t="s">
        <v>12620</v>
      </c>
      <c r="W1994" t="s">
        <v>14574</v>
      </c>
      <c r="X1994">
        <v>3</v>
      </c>
      <c r="Y1994" t="s">
        <v>20774</v>
      </c>
      <c r="Z1994" t="s">
        <v>26941</v>
      </c>
      <c r="AA1994">
        <v>0.56358544282382061</v>
      </c>
      <c r="AB1994" t="str">
        <f>HYPERLINK("Melting_Curves/meltCurve_P30519_HMOX2.pdf", "Melting_Curves/meltCurve_P30519_HMOX2.pdf")</f>
        <v>Melting_Curves/meltCurve_P30519_HMOX2.pdf</v>
      </c>
    </row>
    <row r="1995" spans="1:28" x14ac:dyDescent="0.25">
      <c r="A1995" t="s">
        <v>1999</v>
      </c>
      <c r="B1995">
        <v>0.99987803227770999</v>
      </c>
      <c r="C1995">
        <v>1.1822122733393201</v>
      </c>
      <c r="D1995">
        <v>1.1134252849827799</v>
      </c>
      <c r="E1995">
        <v>1.1200270479422201</v>
      </c>
      <c r="F1995">
        <v>0.83918480538312501</v>
      </c>
      <c r="G1995">
        <v>0.58862191469175495</v>
      </c>
      <c r="H1995">
        <v>0.27885825918860002</v>
      </c>
      <c r="I1995">
        <v>0.142529284512043</v>
      </c>
      <c r="J1995">
        <v>7.8604897765748E-2</v>
      </c>
      <c r="K1995">
        <v>5.6112895672245401E-2</v>
      </c>
      <c r="L1995">
        <v>1346.70401358394</v>
      </c>
      <c r="M1995">
        <v>23.322311675311202</v>
      </c>
      <c r="N1995">
        <v>57.996338895711602</v>
      </c>
      <c r="O1995">
        <v>57.323657027464598</v>
      </c>
      <c r="P1995">
        <v>-9.6792052960811906E-2</v>
      </c>
      <c r="Q1995">
        <v>4.8400301410426401E-2</v>
      </c>
      <c r="R1995">
        <v>0.96346582865823405</v>
      </c>
      <c r="S1995" t="s">
        <v>8306</v>
      </c>
      <c r="T1995" t="s">
        <v>12620</v>
      </c>
      <c r="U1995" t="s">
        <v>12620</v>
      </c>
      <c r="V1995" t="s">
        <v>12620</v>
      </c>
      <c r="W1995" t="s">
        <v>14575</v>
      </c>
      <c r="X1995">
        <v>22</v>
      </c>
      <c r="Y1995" t="s">
        <v>20775</v>
      </c>
      <c r="Z1995" t="s">
        <v>26942</v>
      </c>
      <c r="AA1995">
        <v>0.62042234646458916</v>
      </c>
      <c r="AB1995" t="str">
        <f>HYPERLINK("Melting_Curves/meltCurve_P30520_ADSS.pdf", "Melting_Curves/meltCurve_P30520_ADSS.pdf")</f>
        <v>Melting_Curves/meltCurve_P30520_ADSS.pdf</v>
      </c>
    </row>
    <row r="1996" spans="1:28" x14ac:dyDescent="0.25">
      <c r="A1996" t="s">
        <v>2000</v>
      </c>
      <c r="B1996">
        <v>0.99987803227770999</v>
      </c>
      <c r="C1996">
        <v>0.951711066431426</v>
      </c>
      <c r="D1996">
        <v>0.84801035923937595</v>
      </c>
      <c r="E1996">
        <v>0.67025933140335003</v>
      </c>
      <c r="F1996">
        <v>0.65094981889677705</v>
      </c>
      <c r="G1996">
        <v>0.56379943948766598</v>
      </c>
      <c r="H1996">
        <v>0.55920390514010598</v>
      </c>
      <c r="I1996">
        <v>0.50314283516305003</v>
      </c>
      <c r="J1996">
        <v>0.47845208520007798</v>
      </c>
      <c r="K1996">
        <v>6.44559494618374E-2</v>
      </c>
      <c r="L1996">
        <v>352.32299140884197</v>
      </c>
      <c r="M1996">
        <v>5.8730094382617199</v>
      </c>
      <c r="N1996">
        <v>59.990202359859097</v>
      </c>
      <c r="O1996">
        <v>54.135659418858403</v>
      </c>
      <c r="P1996">
        <v>-2.7216491067376999E-2</v>
      </c>
      <c r="Q1996">
        <v>0</v>
      </c>
      <c r="R1996">
        <v>0.84428815880749697</v>
      </c>
      <c r="S1996" t="s">
        <v>8307</v>
      </c>
      <c r="T1996" t="s">
        <v>12620</v>
      </c>
      <c r="U1996" t="s">
        <v>12620</v>
      </c>
      <c r="V1996" t="s">
        <v>12620</v>
      </c>
      <c r="W1996" t="s">
        <v>14576</v>
      </c>
      <c r="X1996">
        <v>4</v>
      </c>
      <c r="Y1996" t="s">
        <v>20776</v>
      </c>
      <c r="Z1996" t="s">
        <v>26943</v>
      </c>
      <c r="AA1996">
        <v>0.63100631937541007</v>
      </c>
      <c r="AB1996" t="str">
        <f>HYPERLINK("Melting_Curves/meltCurve_P30530_2_AXL.pdf", "Melting_Curves/meltCurve_P30530_2_AXL.pdf")</f>
        <v>Melting_Curves/meltCurve_P30530_2_AXL.pdf</v>
      </c>
    </row>
    <row r="1997" spans="1:28" x14ac:dyDescent="0.25">
      <c r="A1997" t="s">
        <v>2001</v>
      </c>
      <c r="B1997">
        <v>0.99987803227770999</v>
      </c>
      <c r="C1997">
        <v>0.87970519158271498</v>
      </c>
      <c r="D1997">
        <v>1.0200940502587299</v>
      </c>
      <c r="E1997">
        <v>0.91465969942357095</v>
      </c>
      <c r="F1997">
        <v>1.04558860409167</v>
      </c>
      <c r="G1997">
        <v>0.85441704707303501</v>
      </c>
      <c r="H1997">
        <v>0.87738799926338495</v>
      </c>
      <c r="I1997">
        <v>0.79163335330618401</v>
      </c>
      <c r="J1997">
        <v>0.81682514256197603</v>
      </c>
      <c r="K1997">
        <v>0.64868154418060797</v>
      </c>
      <c r="L1997">
        <v>482.885610962454</v>
      </c>
      <c r="M1997">
        <v>6.0969171523066201</v>
      </c>
      <c r="Q1997">
        <v>0</v>
      </c>
      <c r="R1997">
        <v>0.71784307555373905</v>
      </c>
      <c r="S1997" t="s">
        <v>8308</v>
      </c>
      <c r="T1997" t="s">
        <v>12620</v>
      </c>
      <c r="U1997" t="s">
        <v>12620</v>
      </c>
      <c r="V1997" t="s">
        <v>12620</v>
      </c>
      <c r="W1997" t="s">
        <v>14577</v>
      </c>
      <c r="X1997">
        <v>24</v>
      </c>
      <c r="Y1997" t="s">
        <v>20777</v>
      </c>
      <c r="Z1997" t="s">
        <v>26944</v>
      </c>
      <c r="AA1997">
        <v>0.90297861014899916</v>
      </c>
      <c r="AB1997" t="str">
        <f>HYPERLINK("Melting_Curves/meltCurve_P30533_LRPAP1.pdf", "Melting_Curves/meltCurve_P30533_LRPAP1.pdf")</f>
        <v>Melting_Curves/meltCurve_P30533_LRPAP1.pdf</v>
      </c>
    </row>
    <row r="1998" spans="1:28" x14ac:dyDescent="0.25">
      <c r="A1998" t="s">
        <v>2002</v>
      </c>
      <c r="B1998">
        <v>0.99987803227770999</v>
      </c>
      <c r="C1998">
        <v>1.1908584305977501</v>
      </c>
      <c r="D1998">
        <v>0.99289163387975699</v>
      </c>
      <c r="E1998">
        <v>1.2199648873520099</v>
      </c>
      <c r="F1998">
        <v>0.87522740741646099</v>
      </c>
      <c r="G1998">
        <v>1.0759278951372999</v>
      </c>
      <c r="H1998">
        <v>1.1509013709134299</v>
      </c>
      <c r="I1998">
        <v>0.18676123552148599</v>
      </c>
      <c r="J1998">
        <v>9.7799173422013996E-2</v>
      </c>
      <c r="K1998">
        <v>7.3140923248474807E-2</v>
      </c>
      <c r="L1998">
        <v>15000</v>
      </c>
      <c r="M1998">
        <v>236.45618904238901</v>
      </c>
      <c r="N1998">
        <v>63.486998964461002</v>
      </c>
      <c r="O1998">
        <v>63.432160836655903</v>
      </c>
      <c r="P1998">
        <v>-0.85232000203243097</v>
      </c>
      <c r="Q1998">
        <v>8.5420440152342403E-2</v>
      </c>
      <c r="R1998">
        <v>0.93557390469284496</v>
      </c>
      <c r="S1998" t="s">
        <v>8309</v>
      </c>
      <c r="T1998" t="s">
        <v>12620</v>
      </c>
      <c r="U1998" t="s">
        <v>12620</v>
      </c>
      <c r="V1998" t="s">
        <v>12620</v>
      </c>
      <c r="W1998" t="s">
        <v>14578</v>
      </c>
      <c r="X1998">
        <v>19</v>
      </c>
      <c r="Y1998" t="s">
        <v>20778</v>
      </c>
      <c r="Z1998" t="s">
        <v>26945</v>
      </c>
      <c r="AA1998">
        <v>0.80002511203976723</v>
      </c>
      <c r="AB1998" t="str">
        <f>HYPERLINK("Melting_Curves/meltCurve_P30566_ADSL.pdf", "Melting_Curves/meltCurve_P30566_ADSL.pdf")</f>
        <v>Melting_Curves/meltCurve_P30566_ADSL.pdf</v>
      </c>
    </row>
    <row r="1999" spans="1:28" x14ac:dyDescent="0.25">
      <c r="A1999" t="s">
        <v>2003</v>
      </c>
      <c r="B1999">
        <v>0.99987803227770999</v>
      </c>
      <c r="C1999">
        <v>1.28044914881122</v>
      </c>
      <c r="D1999">
        <v>1.60894194687606</v>
      </c>
      <c r="E1999">
        <v>2.4548964324348499</v>
      </c>
      <c r="F1999">
        <v>2.1122580049330302</v>
      </c>
      <c r="G1999">
        <v>2.2506827482518199</v>
      </c>
      <c r="H1999">
        <v>0.218793738959042</v>
      </c>
      <c r="I1999">
        <v>0.15753798366459801</v>
      </c>
      <c r="J1999">
        <v>8.2039182352150894E-2</v>
      </c>
      <c r="K1999">
        <v>6.1243235104362803E-2</v>
      </c>
      <c r="L1999">
        <v>15000</v>
      </c>
      <c r="M1999">
        <v>247.78735385313001</v>
      </c>
      <c r="N1999">
        <v>60.590508790535502</v>
      </c>
      <c r="O1999">
        <v>60.5318553351348</v>
      </c>
      <c r="P1999">
        <v>-0.92076005904036895</v>
      </c>
      <c r="Q1999">
        <v>0.100272166563253</v>
      </c>
      <c r="R1999">
        <v>0.34963480918321399</v>
      </c>
      <c r="S1999" t="s">
        <v>8310</v>
      </c>
      <c r="T1999" t="s">
        <v>12620</v>
      </c>
      <c r="U1999" t="s">
        <v>12620</v>
      </c>
      <c r="V1999" t="s">
        <v>12620</v>
      </c>
      <c r="W1999" t="s">
        <v>14579</v>
      </c>
      <c r="X1999">
        <v>3</v>
      </c>
      <c r="Y1999" t="s">
        <v>20779</v>
      </c>
      <c r="Z1999" t="s">
        <v>26946</v>
      </c>
      <c r="AA1999">
        <v>0.71625647355941469</v>
      </c>
      <c r="AB1999" t="str">
        <f>HYPERLINK("Melting_Curves/meltCurve_P30613_2_PKLR.pdf", "Melting_Curves/meltCurve_P30613_2_PKLR.pdf")</f>
        <v>Melting_Curves/meltCurve_P30613_2_PKLR.pdf</v>
      </c>
    </row>
    <row r="2000" spans="1:28" x14ac:dyDescent="0.25">
      <c r="A2000" t="s">
        <v>2004</v>
      </c>
      <c r="B2000">
        <v>0.99987803227770999</v>
      </c>
      <c r="C2000">
        <v>1.1871610433283399</v>
      </c>
      <c r="D2000">
        <v>1.0458740873060499</v>
      </c>
      <c r="E2000">
        <v>1.2338348261799601</v>
      </c>
      <c r="F2000">
        <v>0.93848391718616297</v>
      </c>
      <c r="G2000">
        <v>1.1358852794635901</v>
      </c>
      <c r="H2000">
        <v>1.3747591685743099</v>
      </c>
      <c r="I2000">
        <v>1.29398613574215</v>
      </c>
      <c r="J2000">
        <v>1.3302118721613001</v>
      </c>
      <c r="K2000">
        <v>0.84340969795482001</v>
      </c>
      <c r="L2000">
        <v>425.80558837004099</v>
      </c>
      <c r="M2000">
        <v>9.7553561776381397</v>
      </c>
      <c r="O2000">
        <v>41.9327621550785</v>
      </c>
      <c r="P2000">
        <v>1.04281434596917E-2</v>
      </c>
      <c r="Q2000">
        <v>1.17920294032689</v>
      </c>
      <c r="R2000">
        <v>6.2971898738601803E-2</v>
      </c>
      <c r="S2000" t="s">
        <v>8311</v>
      </c>
      <c r="T2000" t="s">
        <v>12620</v>
      </c>
      <c r="U2000" t="s">
        <v>12620</v>
      </c>
      <c r="V2000" t="s">
        <v>12620</v>
      </c>
      <c r="W2000" t="s">
        <v>14580</v>
      </c>
      <c r="X2000">
        <v>97</v>
      </c>
      <c r="Y2000" t="s">
        <v>20780</v>
      </c>
      <c r="Z2000" t="s">
        <v>26947</v>
      </c>
      <c r="AA2000">
        <v>1.1428073975762041</v>
      </c>
      <c r="AB2000" t="str">
        <f>HYPERLINK("Melting_Curves/meltCurve_P30622_CLIP1.pdf", "Melting_Curves/meltCurve_P30622_CLIP1.pdf")</f>
        <v>Melting_Curves/meltCurve_P30622_CLIP1.pdf</v>
      </c>
    </row>
    <row r="2001" spans="1:28" x14ac:dyDescent="0.25">
      <c r="A2001" t="s">
        <v>2005</v>
      </c>
      <c r="B2001">
        <v>0.99987803227770999</v>
      </c>
      <c r="C2001">
        <v>1.15934818821007</v>
      </c>
      <c r="D2001">
        <v>1.0602183702892201</v>
      </c>
      <c r="E2001">
        <v>1.2892182079463601</v>
      </c>
      <c r="F2001">
        <v>1.03674324825819</v>
      </c>
      <c r="G2001">
        <v>1.6422029475253801</v>
      </c>
      <c r="H2001">
        <v>1.6926506369985701</v>
      </c>
      <c r="I2001">
        <v>1.7787502770102801</v>
      </c>
      <c r="J2001">
        <v>1.5322065942301499</v>
      </c>
      <c r="K2001">
        <v>0.99446545469125702</v>
      </c>
      <c r="L2001">
        <v>13384.318415432001</v>
      </c>
      <c r="M2001">
        <v>250</v>
      </c>
      <c r="O2001">
        <v>53.533847610601903</v>
      </c>
      <c r="P2001">
        <v>0.58374283596883003</v>
      </c>
      <c r="Q2001">
        <v>1.5</v>
      </c>
      <c r="R2001">
        <v>0.42762448704617401</v>
      </c>
      <c r="S2001" t="s">
        <v>8312</v>
      </c>
      <c r="T2001" t="s">
        <v>12620</v>
      </c>
      <c r="U2001" t="s">
        <v>12620</v>
      </c>
      <c r="V2001" t="s">
        <v>12620</v>
      </c>
      <c r="W2001" t="s">
        <v>14581</v>
      </c>
      <c r="X2001">
        <v>97</v>
      </c>
      <c r="Y2001" t="s">
        <v>20780</v>
      </c>
      <c r="Z2001" t="s">
        <v>26948</v>
      </c>
      <c r="AA2001">
        <v>1.274331793763513</v>
      </c>
      <c r="AB2001" t="str">
        <f>HYPERLINK("Melting_Curves/meltCurve_P30622_2_CLIP1.pdf", "Melting_Curves/meltCurve_P30622_2_CLIP1.pdf")</f>
        <v>Melting_Curves/meltCurve_P30622_2_CLIP1.pdf</v>
      </c>
    </row>
    <row r="2002" spans="1:28" x14ac:dyDescent="0.25">
      <c r="A2002" t="s">
        <v>2006</v>
      </c>
      <c r="B2002">
        <v>0.99987803227770999</v>
      </c>
      <c r="C2002">
        <v>0.881687930379633</v>
      </c>
      <c r="D2002">
        <v>1.03854069466412</v>
      </c>
      <c r="E2002">
        <v>0.899022978024546</v>
      </c>
      <c r="F2002">
        <v>0.85211384805565704</v>
      </c>
      <c r="G2002">
        <v>0.17678601052996101</v>
      </c>
      <c r="H2002">
        <v>0.120528129094249</v>
      </c>
      <c r="I2002">
        <v>9.5017094682099498E-2</v>
      </c>
      <c r="J2002">
        <v>6.4817893986893499E-2</v>
      </c>
      <c r="K2002">
        <v>4.7204765295451999E-2</v>
      </c>
      <c r="L2002">
        <v>2679.2711543692599</v>
      </c>
      <c r="M2002">
        <v>48.999450205312101</v>
      </c>
      <c r="N2002">
        <v>54.869473279398797</v>
      </c>
      <c r="O2002">
        <v>54.5887748934489</v>
      </c>
      <c r="P2002">
        <v>-0.206904824752078</v>
      </c>
      <c r="Q2002">
        <v>7.7975785047129306E-2</v>
      </c>
      <c r="R2002">
        <v>0.98479688064403903</v>
      </c>
      <c r="S2002" t="s">
        <v>8313</v>
      </c>
      <c r="T2002" t="s">
        <v>12620</v>
      </c>
      <c r="U2002" t="s">
        <v>12620</v>
      </c>
      <c r="V2002" t="s">
        <v>12620</v>
      </c>
      <c r="W2002" t="s">
        <v>14582</v>
      </c>
      <c r="X2002">
        <v>18</v>
      </c>
      <c r="Y2002" t="s">
        <v>20781</v>
      </c>
      <c r="Z2002" t="s">
        <v>26949</v>
      </c>
      <c r="AA2002">
        <v>0.53145603588626966</v>
      </c>
      <c r="AB2002" t="str">
        <f>HYPERLINK("Melting_Curves/meltCurve_P30740_SERPINB1.pdf", "Melting_Curves/meltCurve_P30740_SERPINB1.pdf")</f>
        <v>Melting_Curves/meltCurve_P30740_SERPINB1.pdf</v>
      </c>
    </row>
    <row r="2003" spans="1:28" x14ac:dyDescent="0.25">
      <c r="A2003" t="s">
        <v>2007</v>
      </c>
      <c r="B2003">
        <v>0.99987803227770999</v>
      </c>
      <c r="C2003">
        <v>0.80184454388651605</v>
      </c>
      <c r="D2003">
        <v>0.52894803363960397</v>
      </c>
      <c r="E2003">
        <v>0.38258736242246699</v>
      </c>
      <c r="F2003">
        <v>0.18897052707364601</v>
      </c>
      <c r="G2003">
        <v>0.10808533922610999</v>
      </c>
      <c r="H2003">
        <v>6.3817999103677497E-2</v>
      </c>
      <c r="I2003">
        <v>5.0700787896605398E-2</v>
      </c>
      <c r="J2003">
        <v>4.3509678856175397E-2</v>
      </c>
      <c r="K2003">
        <v>3.1720194811734902E-2</v>
      </c>
      <c r="L2003">
        <v>661.95257885639501</v>
      </c>
      <c r="M2003">
        <v>14.0603465777455</v>
      </c>
      <c r="N2003">
        <v>47.283213377099997</v>
      </c>
      <c r="O2003">
        <v>46.157743400332897</v>
      </c>
      <c r="P2003">
        <v>-7.3923940415123401E-2</v>
      </c>
      <c r="Q2003">
        <v>2.94070506132805E-2</v>
      </c>
      <c r="R2003">
        <v>0.98811318659969305</v>
      </c>
      <c r="S2003" t="s">
        <v>8314</v>
      </c>
      <c r="T2003" t="s">
        <v>12620</v>
      </c>
      <c r="U2003" t="s">
        <v>12620</v>
      </c>
      <c r="V2003" t="s">
        <v>12620</v>
      </c>
      <c r="W2003" t="s">
        <v>14583</v>
      </c>
      <c r="X2003">
        <v>12</v>
      </c>
      <c r="Y2003" t="s">
        <v>20782</v>
      </c>
      <c r="Z2003" t="s">
        <v>26950</v>
      </c>
      <c r="AA2003">
        <v>0.28836063697018322</v>
      </c>
      <c r="AB2003" t="str">
        <f>HYPERLINK("Melting_Curves/meltCurve_P30837_ALDH1B1.pdf", "Melting_Curves/meltCurve_P30837_ALDH1B1.pdf")</f>
        <v>Melting_Curves/meltCurve_P30837_ALDH1B1.pdf</v>
      </c>
    </row>
    <row r="2004" spans="1:28" x14ac:dyDescent="0.25">
      <c r="A2004" t="s">
        <v>2008</v>
      </c>
      <c r="B2004">
        <v>0.99987803227770999</v>
      </c>
      <c r="C2004">
        <v>1.03157892879734</v>
      </c>
      <c r="D2004">
        <v>0.96715200818430602</v>
      </c>
      <c r="E2004">
        <v>0.55193873548190098</v>
      </c>
      <c r="F2004">
        <v>0.190167132915565</v>
      </c>
      <c r="G2004">
        <v>0.122098871891721</v>
      </c>
      <c r="H2004">
        <v>8.1103208401329299E-2</v>
      </c>
      <c r="I2004">
        <v>6.9072162473232099E-2</v>
      </c>
      <c r="J2004">
        <v>5.3111888364864898E-2</v>
      </c>
      <c r="K2004">
        <v>3.8691520108042797E-2</v>
      </c>
      <c r="L2004">
        <v>1713.83943830777</v>
      </c>
      <c r="M2004">
        <v>34.189987679559799</v>
      </c>
      <c r="N2004">
        <v>50.343075367629702</v>
      </c>
      <c r="O2004">
        <v>49.956369748855998</v>
      </c>
      <c r="P2004">
        <v>-0.15942047871328299</v>
      </c>
      <c r="Q2004">
        <v>6.8260582441652506E-2</v>
      </c>
      <c r="R2004">
        <v>0.99760552588430795</v>
      </c>
      <c r="S2004" t="s">
        <v>8315</v>
      </c>
      <c r="T2004" t="s">
        <v>12620</v>
      </c>
      <c r="U2004" t="s">
        <v>12620</v>
      </c>
      <c r="V2004" t="s">
        <v>12620</v>
      </c>
      <c r="W2004" t="s">
        <v>14584</v>
      </c>
      <c r="X2004">
        <v>31</v>
      </c>
      <c r="Y2004" t="s">
        <v>20783</v>
      </c>
      <c r="Z2004" t="s">
        <v>26951</v>
      </c>
      <c r="AA2004">
        <v>0.38721655043966208</v>
      </c>
      <c r="AB2004" t="str">
        <f>HYPERLINK("Melting_Curves/meltCurve_P30838_ALDH3A1.pdf", "Melting_Curves/meltCurve_P30838_ALDH3A1.pdf")</f>
        <v>Melting_Curves/meltCurve_P30838_ALDH3A1.pdf</v>
      </c>
    </row>
    <row r="2005" spans="1:28" x14ac:dyDescent="0.25">
      <c r="A2005" t="s">
        <v>2009</v>
      </c>
      <c r="B2005">
        <v>0.99987803227770999</v>
      </c>
      <c r="C2005">
        <v>0.90792390829519898</v>
      </c>
      <c r="D2005">
        <v>0.84719006921123896</v>
      </c>
      <c r="E2005">
        <v>0.95592237496820598</v>
      </c>
      <c r="F2005">
        <v>0.90126321711489499</v>
      </c>
      <c r="G2005">
        <v>0.83140179895694</v>
      </c>
      <c r="H2005">
        <v>0.556781852491955</v>
      </c>
      <c r="I2005">
        <v>0.27673765056181099</v>
      </c>
      <c r="J2005">
        <v>0.10353268948637701</v>
      </c>
      <c r="K2005">
        <v>6.1310853045881297E-2</v>
      </c>
      <c r="L2005">
        <v>1318.7442962917701</v>
      </c>
      <c r="M2005">
        <v>21.5268651883659</v>
      </c>
      <c r="N2005">
        <v>61.260410027093897</v>
      </c>
      <c r="O2005">
        <v>60.739095910847603</v>
      </c>
      <c r="P2005">
        <v>-8.8605982002338296E-2</v>
      </c>
      <c r="Q2005">
        <v>0</v>
      </c>
      <c r="R2005">
        <v>0.96742983090277601</v>
      </c>
      <c r="S2005" t="s">
        <v>8316</v>
      </c>
      <c r="T2005" t="s">
        <v>12620</v>
      </c>
      <c r="U2005" t="s">
        <v>12620</v>
      </c>
      <c r="V2005" t="s">
        <v>12620</v>
      </c>
      <c r="W2005" t="s">
        <v>14585</v>
      </c>
      <c r="X2005">
        <v>13</v>
      </c>
      <c r="Y2005" t="s">
        <v>20784</v>
      </c>
      <c r="Z2005" t="s">
        <v>26952</v>
      </c>
      <c r="AA2005">
        <v>0.71442675127635757</v>
      </c>
      <c r="AB2005" t="str">
        <f>HYPERLINK("Melting_Curves/meltCurve_P31040_SDHA.pdf", "Melting_Curves/meltCurve_P31040_SDHA.pdf")</f>
        <v>Melting_Curves/meltCurve_P31040_SDHA.pdf</v>
      </c>
    </row>
    <row r="2006" spans="1:28" x14ac:dyDescent="0.25">
      <c r="A2006" t="s">
        <v>2010</v>
      </c>
      <c r="B2006">
        <v>0.99987803227770999</v>
      </c>
      <c r="C2006">
        <v>1.0668108041066</v>
      </c>
      <c r="D2006">
        <v>1.04540358798816</v>
      </c>
      <c r="E2006">
        <v>0.85296783777308305</v>
      </c>
      <c r="F2006">
        <v>0.28176804558176299</v>
      </c>
      <c r="G2006">
        <v>0.168883563658518</v>
      </c>
      <c r="H2006">
        <v>0.110708666200401</v>
      </c>
      <c r="I2006">
        <v>0.112328003156829</v>
      </c>
      <c r="J2006">
        <v>8.8414580854564301E-2</v>
      </c>
      <c r="K2006">
        <v>7.1132927208172506E-2</v>
      </c>
      <c r="L2006">
        <v>2648.0061558073899</v>
      </c>
      <c r="M2006">
        <v>51.350605984104497</v>
      </c>
      <c r="N2006">
        <v>51.813153922274701</v>
      </c>
      <c r="O2006">
        <v>51.489156968948897</v>
      </c>
      <c r="P2006">
        <v>-0.22235832495798399</v>
      </c>
      <c r="Q2006">
        <v>0.108167568802499</v>
      </c>
      <c r="R2006">
        <v>0.99365784248891198</v>
      </c>
      <c r="S2006" t="s">
        <v>8317</v>
      </c>
      <c r="T2006" t="s">
        <v>12620</v>
      </c>
      <c r="U2006" t="s">
        <v>12620</v>
      </c>
      <c r="V2006" t="s">
        <v>12620</v>
      </c>
      <c r="W2006" t="s">
        <v>14586</v>
      </c>
      <c r="X2006">
        <v>5</v>
      </c>
      <c r="Y2006" t="s">
        <v>20785</v>
      </c>
      <c r="Z2006" t="s">
        <v>26953</v>
      </c>
      <c r="AA2006">
        <v>0.45395656685825109</v>
      </c>
      <c r="AB2006" t="str">
        <f>HYPERLINK("Melting_Curves/meltCurve_P31146_CORO1A.pdf", "Melting_Curves/meltCurve_P31146_CORO1A.pdf")</f>
        <v>Melting_Curves/meltCurve_P31146_CORO1A.pdf</v>
      </c>
    </row>
    <row r="2007" spans="1:28" x14ac:dyDescent="0.25">
      <c r="A2007" t="s">
        <v>2011</v>
      </c>
      <c r="B2007">
        <v>0.99987803227770999</v>
      </c>
      <c r="C2007">
        <v>1.05762694075866</v>
      </c>
      <c r="D2007">
        <v>1.09039548453929</v>
      </c>
      <c r="E2007">
        <v>1.0839435207878101</v>
      </c>
      <c r="F2007">
        <v>1.0222400246997601</v>
      </c>
      <c r="G2007">
        <v>0.56744595218449501</v>
      </c>
      <c r="H2007">
        <v>0.17528968814398099</v>
      </c>
      <c r="I2007">
        <v>0.120233958398513</v>
      </c>
      <c r="J2007">
        <v>7.4940913290737696E-2</v>
      </c>
      <c r="K2007">
        <v>5.23183520729016E-2</v>
      </c>
      <c r="L2007">
        <v>2464.3536172987001</v>
      </c>
      <c r="M2007">
        <v>43.061326846099497</v>
      </c>
      <c r="N2007">
        <v>57.481144132876203</v>
      </c>
      <c r="O2007">
        <v>57.105915796927903</v>
      </c>
      <c r="P2007">
        <v>-0.17228737776967901</v>
      </c>
      <c r="Q2007">
        <v>8.6083550802441094E-2</v>
      </c>
      <c r="R2007">
        <v>0.98779113708808897</v>
      </c>
      <c r="S2007" t="s">
        <v>8318</v>
      </c>
      <c r="T2007" t="s">
        <v>12620</v>
      </c>
      <c r="U2007" t="s">
        <v>12620</v>
      </c>
      <c r="V2007" t="s">
        <v>12620</v>
      </c>
      <c r="W2007" t="s">
        <v>14587</v>
      </c>
      <c r="X2007">
        <v>28</v>
      </c>
      <c r="Y2007" t="s">
        <v>20786</v>
      </c>
      <c r="Z2007" t="s">
        <v>26954</v>
      </c>
      <c r="AA2007">
        <v>0.61403531279831469</v>
      </c>
      <c r="AB2007" t="str">
        <f>HYPERLINK("Melting_Curves/meltCurve_P31150_GDI1.pdf", "Melting_Curves/meltCurve_P31150_GDI1.pdf")</f>
        <v>Melting_Curves/meltCurve_P31150_GDI1.pdf</v>
      </c>
    </row>
    <row r="2008" spans="1:28" x14ac:dyDescent="0.25">
      <c r="A2008" t="s">
        <v>2012</v>
      </c>
      <c r="B2008">
        <v>0.99987803227770999</v>
      </c>
      <c r="C2008">
        <v>0.97675183925114395</v>
      </c>
      <c r="D2008">
        <v>0.77197829747972901</v>
      </c>
      <c r="E2008">
        <v>0.72191412389728504</v>
      </c>
      <c r="F2008">
        <v>0.46777663593236901</v>
      </c>
      <c r="G2008">
        <v>0.38554321175078199</v>
      </c>
      <c r="H2008">
        <v>0.23446453741748199</v>
      </c>
      <c r="I2008">
        <v>0.18552642742727199</v>
      </c>
      <c r="J2008">
        <v>0.14003408978894299</v>
      </c>
      <c r="K2008">
        <v>8.4510663133967698E-2</v>
      </c>
      <c r="L2008">
        <v>547.00863397677097</v>
      </c>
      <c r="M2008">
        <v>10.2749790133849</v>
      </c>
      <c r="N2008">
        <v>53.538540946207299</v>
      </c>
      <c r="O2008">
        <v>51.338685307094302</v>
      </c>
      <c r="P2008">
        <v>-4.8649671072602603E-2</v>
      </c>
      <c r="Q2008">
        <v>2.81181259325026E-2</v>
      </c>
      <c r="R2008">
        <v>0.98557684002629298</v>
      </c>
      <c r="S2008" t="s">
        <v>8319</v>
      </c>
      <c r="T2008" t="s">
        <v>12620</v>
      </c>
      <c r="U2008" t="s">
        <v>12620</v>
      </c>
      <c r="V2008" t="s">
        <v>12620</v>
      </c>
      <c r="W2008" t="s">
        <v>14588</v>
      </c>
      <c r="X2008">
        <v>26</v>
      </c>
      <c r="Y2008" t="s">
        <v>20787</v>
      </c>
      <c r="Z2008" t="s">
        <v>26955</v>
      </c>
      <c r="AA2008">
        <v>0.48854261300517521</v>
      </c>
      <c r="AB2008" t="str">
        <f>HYPERLINK("Melting_Curves/meltCurve_P31153_MAT2A.pdf", "Melting_Curves/meltCurve_P31153_MAT2A.pdf")</f>
        <v>Melting_Curves/meltCurve_P31153_MAT2A.pdf</v>
      </c>
    </row>
    <row r="2009" spans="1:28" x14ac:dyDescent="0.25">
      <c r="A2009" t="s">
        <v>2013</v>
      </c>
      <c r="B2009">
        <v>0.99987803227770999</v>
      </c>
      <c r="C2009">
        <v>0.89903817475939096</v>
      </c>
      <c r="D2009">
        <v>0.90547193862731301</v>
      </c>
      <c r="E2009">
        <v>0.69410524015716202</v>
      </c>
      <c r="F2009">
        <v>0.50307566704159301</v>
      </c>
      <c r="G2009">
        <v>0.26400009785043399</v>
      </c>
      <c r="H2009">
        <v>0.19723308035293999</v>
      </c>
      <c r="I2009">
        <v>0.16658882330123401</v>
      </c>
      <c r="J2009">
        <v>0.17991573154440699</v>
      </c>
      <c r="K2009">
        <v>0.126989240285003</v>
      </c>
      <c r="L2009">
        <v>813.68123725467501</v>
      </c>
      <c r="M2009">
        <v>15.6969355118917</v>
      </c>
      <c r="N2009">
        <v>52.803646814627399</v>
      </c>
      <c r="O2009">
        <v>51.0175089838811</v>
      </c>
      <c r="P2009">
        <v>-6.7319237441798394E-2</v>
      </c>
      <c r="Q2009">
        <v>0.124881696537976</v>
      </c>
      <c r="R2009">
        <v>0.99342134696902396</v>
      </c>
      <c r="S2009" t="s">
        <v>8320</v>
      </c>
      <c r="T2009" t="s">
        <v>12620</v>
      </c>
      <c r="U2009" t="s">
        <v>12620</v>
      </c>
      <c r="V2009" t="s">
        <v>12620</v>
      </c>
      <c r="W2009" t="s">
        <v>14589</v>
      </c>
      <c r="X2009">
        <v>10</v>
      </c>
      <c r="Y2009" t="s">
        <v>20788</v>
      </c>
      <c r="Z2009" t="s">
        <v>26956</v>
      </c>
      <c r="AA2009">
        <v>0.48849179622952399</v>
      </c>
      <c r="AB2009" t="str">
        <f>HYPERLINK("Melting_Curves/meltCurve_P31321_PRKAR1B.pdf", "Melting_Curves/meltCurve_P31321_PRKAR1B.pdf")</f>
        <v>Melting_Curves/meltCurve_P31321_PRKAR1B.pdf</v>
      </c>
    </row>
    <row r="2010" spans="1:28" x14ac:dyDescent="0.25">
      <c r="A2010" t="s">
        <v>2014</v>
      </c>
      <c r="B2010">
        <v>0.99987803227770999</v>
      </c>
      <c r="C2010">
        <v>1.1642261896788</v>
      </c>
      <c r="D2010">
        <v>0.99823239278890996</v>
      </c>
      <c r="E2010">
        <v>1.09458078006165</v>
      </c>
      <c r="F2010">
        <v>0.61383813428143696</v>
      </c>
      <c r="G2010">
        <v>0.248487376902118</v>
      </c>
      <c r="H2010">
        <v>0.15053213427155901</v>
      </c>
      <c r="I2010">
        <v>0.125818060180373</v>
      </c>
      <c r="J2010">
        <v>8.0283784946889106E-2</v>
      </c>
      <c r="K2010">
        <v>4.8096959026189802E-2</v>
      </c>
      <c r="L2010">
        <v>2234.3989837715799</v>
      </c>
      <c r="M2010">
        <v>41.676364197616799</v>
      </c>
      <c r="N2010">
        <v>53.941549771017499</v>
      </c>
      <c r="O2010">
        <v>53.490117136460597</v>
      </c>
      <c r="P2010">
        <v>-0.17295649642616201</v>
      </c>
      <c r="Q2010">
        <v>0.112067992271769</v>
      </c>
      <c r="R2010">
        <v>0.97041928890536999</v>
      </c>
      <c r="S2010" t="s">
        <v>8321</v>
      </c>
      <c r="T2010" t="s">
        <v>12620</v>
      </c>
      <c r="U2010" t="s">
        <v>12620</v>
      </c>
      <c r="V2010" t="s">
        <v>12620</v>
      </c>
      <c r="W2010" t="s">
        <v>14590</v>
      </c>
      <c r="X2010">
        <v>44</v>
      </c>
      <c r="Y2010" t="s">
        <v>20789</v>
      </c>
      <c r="Z2010" t="s">
        <v>26957</v>
      </c>
      <c r="AA2010">
        <v>0.51801075741296831</v>
      </c>
      <c r="AB2010" t="str">
        <f>HYPERLINK("Melting_Curves/meltCurve_P31327_CPS1.pdf", "Melting_Curves/meltCurve_P31327_CPS1.pdf")</f>
        <v>Melting_Curves/meltCurve_P31327_CPS1.pdf</v>
      </c>
    </row>
    <row r="2011" spans="1:28" x14ac:dyDescent="0.25">
      <c r="A2011" t="s">
        <v>2015</v>
      </c>
      <c r="B2011">
        <v>0.99987803227770999</v>
      </c>
      <c r="C2011">
        <v>1.09732570717413</v>
      </c>
      <c r="D2011">
        <v>1.13768012489793</v>
      </c>
      <c r="E2011">
        <v>1.1369956745571099</v>
      </c>
      <c r="F2011">
        <v>1.0897988432621799</v>
      </c>
      <c r="G2011">
        <v>0.976291124692788</v>
      </c>
      <c r="H2011">
        <v>0.94889046574651503</v>
      </c>
      <c r="I2011">
        <v>0.84383514996563602</v>
      </c>
      <c r="J2011">
        <v>0.50434512714416502</v>
      </c>
      <c r="K2011">
        <v>0.283824282832075</v>
      </c>
      <c r="L2011">
        <v>2525.3672856065</v>
      </c>
      <c r="M2011">
        <v>38.113695487233599</v>
      </c>
      <c r="N2011">
        <v>67.090219332574605</v>
      </c>
      <c r="O2011">
        <v>66.077176650569299</v>
      </c>
      <c r="P2011">
        <v>-0.11705883630241</v>
      </c>
      <c r="Q2011">
        <v>0.188229072303877</v>
      </c>
      <c r="R2011">
        <v>0.92430671620638505</v>
      </c>
      <c r="S2011" t="s">
        <v>8322</v>
      </c>
      <c r="T2011" t="s">
        <v>12620</v>
      </c>
      <c r="U2011" t="s">
        <v>12620</v>
      </c>
      <c r="V2011" t="s">
        <v>12620</v>
      </c>
      <c r="W2011" t="s">
        <v>14591</v>
      </c>
      <c r="X2011">
        <v>23</v>
      </c>
      <c r="Y2011" t="s">
        <v>20790</v>
      </c>
      <c r="Z2011" t="s">
        <v>26958</v>
      </c>
      <c r="AA2011">
        <v>0.89602719625406713</v>
      </c>
      <c r="AB2011" t="str">
        <f>HYPERLINK("Melting_Curves/meltCurve_P31350_RRM2.pdf", "Melting_Curves/meltCurve_P31350_RRM2.pdf")</f>
        <v>Melting_Curves/meltCurve_P31350_RRM2.pdf</v>
      </c>
    </row>
    <row r="2012" spans="1:28" x14ac:dyDescent="0.25">
      <c r="A2012" t="s">
        <v>2016</v>
      </c>
      <c r="B2012">
        <v>0.99987803227770999</v>
      </c>
      <c r="C2012">
        <v>0.89563212762399502</v>
      </c>
      <c r="D2012">
        <v>0.80465149713334105</v>
      </c>
      <c r="E2012">
        <v>1.1079642161180501</v>
      </c>
      <c r="F2012">
        <v>0.77961000226803201</v>
      </c>
      <c r="G2012">
        <v>0.50696231500031896</v>
      </c>
      <c r="H2012">
        <v>0.25906806171928698</v>
      </c>
      <c r="I2012">
        <v>0.22848943649165099</v>
      </c>
      <c r="J2012">
        <v>0.20486543604546201</v>
      </c>
      <c r="K2012">
        <v>0.14684525123452599</v>
      </c>
      <c r="L2012">
        <v>1406.2657485316099</v>
      </c>
      <c r="M2012">
        <v>25.1326831765153</v>
      </c>
      <c r="N2012">
        <v>56.927012222315</v>
      </c>
      <c r="O2012">
        <v>55.603028074961898</v>
      </c>
      <c r="P2012">
        <v>-9.3265620991153597E-2</v>
      </c>
      <c r="Q2012">
        <v>0.17465514990917</v>
      </c>
      <c r="R2012">
        <v>0.937997510423214</v>
      </c>
      <c r="S2012" t="s">
        <v>8323</v>
      </c>
      <c r="T2012" t="s">
        <v>12620</v>
      </c>
      <c r="U2012" t="s">
        <v>12620</v>
      </c>
      <c r="V2012" t="s">
        <v>12620</v>
      </c>
      <c r="W2012" t="s">
        <v>14592</v>
      </c>
      <c r="X2012">
        <v>18</v>
      </c>
      <c r="Y2012" t="s">
        <v>20791</v>
      </c>
      <c r="Z2012" t="s">
        <v>26959</v>
      </c>
      <c r="AA2012">
        <v>0.62107840297700989</v>
      </c>
      <c r="AB2012" t="str">
        <f>HYPERLINK("Melting_Curves/meltCurve_P31689_DNAJA1.pdf", "Melting_Curves/meltCurve_P31689_DNAJA1.pdf")</f>
        <v>Melting_Curves/meltCurve_P31689_DNAJA1.pdf</v>
      </c>
    </row>
    <row r="2013" spans="1:28" x14ac:dyDescent="0.25">
      <c r="A2013" t="s">
        <v>2017</v>
      </c>
      <c r="B2013">
        <v>0.99987803227770999</v>
      </c>
      <c r="C2013">
        <v>0.92221559608910897</v>
      </c>
      <c r="D2013">
        <v>0.95242598694854297</v>
      </c>
      <c r="E2013">
        <v>0.64932518468737099</v>
      </c>
      <c r="F2013">
        <v>0.33119275099194301</v>
      </c>
      <c r="G2013">
        <v>0.18338447884015899</v>
      </c>
      <c r="H2013">
        <v>0.109757187441021</v>
      </c>
      <c r="I2013">
        <v>8.3639151429492298E-2</v>
      </c>
      <c r="J2013">
        <v>5.9223086759212798E-2</v>
      </c>
      <c r="K2013">
        <v>4.1128916893098097E-2</v>
      </c>
      <c r="L2013">
        <v>1106.1302981635099</v>
      </c>
      <c r="M2013">
        <v>21.6452684171838</v>
      </c>
      <c r="N2013">
        <v>51.430013240462898</v>
      </c>
      <c r="O2013">
        <v>50.672445134501501</v>
      </c>
      <c r="P2013">
        <v>-9.9919934755444403E-2</v>
      </c>
      <c r="Q2013">
        <v>6.4355761504180098E-2</v>
      </c>
      <c r="R2013">
        <v>0.99471433047180502</v>
      </c>
      <c r="S2013" t="s">
        <v>8324</v>
      </c>
      <c r="T2013" t="s">
        <v>12620</v>
      </c>
      <c r="U2013" t="s">
        <v>12620</v>
      </c>
      <c r="V2013" t="s">
        <v>12620</v>
      </c>
      <c r="W2013" t="s">
        <v>14593</v>
      </c>
      <c r="X2013">
        <v>18</v>
      </c>
      <c r="Y2013" t="s">
        <v>20792</v>
      </c>
      <c r="Z2013" t="s">
        <v>26960</v>
      </c>
      <c r="AA2013">
        <v>0.4218128043877632</v>
      </c>
      <c r="AB2013" t="str">
        <f>HYPERLINK("Melting_Curves/meltCurve_P31749_AKT1.pdf", "Melting_Curves/meltCurve_P31749_AKT1.pdf")</f>
        <v>Melting_Curves/meltCurve_P31749_AKT1.pdf</v>
      </c>
    </row>
    <row r="2014" spans="1:28" x14ac:dyDescent="0.25">
      <c r="A2014" t="s">
        <v>2018</v>
      </c>
      <c r="B2014">
        <v>0.99987803227770999</v>
      </c>
      <c r="C2014">
        <v>0.85200559860583003</v>
      </c>
      <c r="D2014">
        <v>0.96884540279556697</v>
      </c>
      <c r="E2014">
        <v>0.82729246913913801</v>
      </c>
      <c r="F2014">
        <v>0.63750327215134395</v>
      </c>
      <c r="G2014">
        <v>0.21881138452291701</v>
      </c>
      <c r="H2014">
        <v>0.13457110763525601</v>
      </c>
      <c r="I2014">
        <v>0.10871390278396199</v>
      </c>
      <c r="J2014">
        <v>9.6345322798941202E-2</v>
      </c>
      <c r="K2014">
        <v>7.1307865319534494E-2</v>
      </c>
      <c r="L2014">
        <v>1249.6514926528901</v>
      </c>
      <c r="M2014">
        <v>23.323047304642301</v>
      </c>
      <c r="N2014">
        <v>53.965289234504198</v>
      </c>
      <c r="O2014">
        <v>53.190876873411902</v>
      </c>
      <c r="P2014">
        <v>-0.10121628433786301</v>
      </c>
      <c r="Q2014">
        <v>7.6675105495784004E-2</v>
      </c>
      <c r="R2014">
        <v>0.98210395435113695</v>
      </c>
      <c r="S2014" t="s">
        <v>8325</v>
      </c>
      <c r="T2014" t="s">
        <v>12620</v>
      </c>
      <c r="U2014" t="s">
        <v>12620</v>
      </c>
      <c r="V2014" t="s">
        <v>12620</v>
      </c>
      <c r="W2014" t="s">
        <v>14594</v>
      </c>
      <c r="X2014">
        <v>20</v>
      </c>
      <c r="Y2014" t="s">
        <v>20793</v>
      </c>
      <c r="Z2014" t="s">
        <v>26961</v>
      </c>
      <c r="AA2014">
        <v>0.5043174563379581</v>
      </c>
      <c r="AB2014" t="str">
        <f>HYPERLINK("Melting_Curves/meltCurve_P31751_AKT2.pdf", "Melting_Curves/meltCurve_P31751_AKT2.pdf")</f>
        <v>Melting_Curves/meltCurve_P31751_AKT2.pdf</v>
      </c>
    </row>
    <row r="2015" spans="1:28" x14ac:dyDescent="0.25">
      <c r="A2015" t="s">
        <v>2019</v>
      </c>
      <c r="B2015">
        <v>0.99987803227770999</v>
      </c>
      <c r="C2015">
        <v>1.25440336382984</v>
      </c>
      <c r="D2015">
        <v>1.11884456667577</v>
      </c>
      <c r="E2015">
        <v>1.29200319721929</v>
      </c>
      <c r="F2015">
        <v>1.0665317400579399</v>
      </c>
      <c r="G2015">
        <v>1.4156498916484299</v>
      </c>
      <c r="H2015">
        <v>1.4149093022292201</v>
      </c>
      <c r="I2015">
        <v>0.44877738027569902</v>
      </c>
      <c r="J2015">
        <v>8.8745314937579894E-2</v>
      </c>
      <c r="K2015">
        <v>6.9585934129729798E-2</v>
      </c>
      <c r="L2015">
        <v>15000</v>
      </c>
      <c r="M2015">
        <v>234.77453136256801</v>
      </c>
      <c r="N2015">
        <v>63.938021257961701</v>
      </c>
      <c r="O2015">
        <v>63.886431478880297</v>
      </c>
      <c r="P2015">
        <v>-0.84599943838545499</v>
      </c>
      <c r="Q2015">
        <v>7.9152218521879703E-2</v>
      </c>
      <c r="R2015">
        <v>0.78986398128026303</v>
      </c>
      <c r="S2015" t="s">
        <v>8326</v>
      </c>
      <c r="T2015" t="s">
        <v>12620</v>
      </c>
      <c r="U2015" t="s">
        <v>12620</v>
      </c>
      <c r="V2015" t="s">
        <v>12620</v>
      </c>
      <c r="W2015" t="s">
        <v>14595</v>
      </c>
      <c r="X2015">
        <v>7</v>
      </c>
      <c r="Y2015" t="s">
        <v>20794</v>
      </c>
      <c r="Z2015" t="s">
        <v>26962</v>
      </c>
      <c r="AA2015">
        <v>0.81260444866501458</v>
      </c>
      <c r="AB2015" t="str">
        <f>HYPERLINK("Melting_Curves/meltCurve_P31937_HIBADH.pdf", "Melting_Curves/meltCurve_P31937_HIBADH.pdf")</f>
        <v>Melting_Curves/meltCurve_P31937_HIBADH.pdf</v>
      </c>
    </row>
    <row r="2016" spans="1:28" x14ac:dyDescent="0.25">
      <c r="A2016" t="s">
        <v>2020</v>
      </c>
      <c r="B2016">
        <v>0.99987803227770999</v>
      </c>
      <c r="C2016">
        <v>1.2193925398510601</v>
      </c>
      <c r="D2016">
        <v>0.827370767722717</v>
      </c>
      <c r="E2016">
        <v>0.35429868714215901</v>
      </c>
      <c r="F2016">
        <v>0.176775515287102</v>
      </c>
      <c r="G2016">
        <v>0.11388864712546</v>
      </c>
      <c r="H2016">
        <v>7.9350684886671699E-2</v>
      </c>
      <c r="I2016">
        <v>6.6037931798415703E-2</v>
      </c>
      <c r="J2016">
        <v>4.9193909661561799E-2</v>
      </c>
      <c r="K2016">
        <v>3.5152405335342703E-2</v>
      </c>
      <c r="L2016">
        <v>1483.16729365121</v>
      </c>
      <c r="M2016">
        <v>30.449267103192302</v>
      </c>
      <c r="N2016">
        <v>48.954244598129399</v>
      </c>
      <c r="O2016">
        <v>48.500818818812299</v>
      </c>
      <c r="P2016">
        <v>-0.14586990943837599</v>
      </c>
      <c r="Q2016">
        <v>7.0615988513702196E-2</v>
      </c>
      <c r="R2016">
        <v>0.96673120127119305</v>
      </c>
      <c r="S2016" t="s">
        <v>8327</v>
      </c>
      <c r="T2016" t="s">
        <v>12620</v>
      </c>
      <c r="U2016" t="s">
        <v>12620</v>
      </c>
      <c r="V2016" t="s">
        <v>12620</v>
      </c>
      <c r="W2016" t="s">
        <v>14596</v>
      </c>
      <c r="X2016">
        <v>42</v>
      </c>
      <c r="Y2016" t="s">
        <v>20795</v>
      </c>
      <c r="Z2016" t="s">
        <v>26963</v>
      </c>
      <c r="AA2016">
        <v>0.34589851507581459</v>
      </c>
      <c r="AB2016" t="str">
        <f>HYPERLINK("Melting_Curves/meltCurve_P31939_ATIC.pdf", "Melting_Curves/meltCurve_P31939_ATIC.pdf")</f>
        <v>Melting_Curves/meltCurve_P31939_ATIC.pdf</v>
      </c>
    </row>
    <row r="2017" spans="1:28" x14ac:dyDescent="0.25">
      <c r="A2017" t="s">
        <v>2021</v>
      </c>
      <c r="B2017">
        <v>0.99987803227770999</v>
      </c>
      <c r="C2017">
        <v>0.80509712537131894</v>
      </c>
      <c r="D2017">
        <v>0.88078965576888502</v>
      </c>
      <c r="E2017">
        <v>0.64725199908180897</v>
      </c>
      <c r="F2017">
        <v>0.52413397429297104</v>
      </c>
      <c r="G2017">
        <v>0.34199580434356203</v>
      </c>
      <c r="H2017">
        <v>0.28993061574095103</v>
      </c>
      <c r="I2017">
        <v>0.244940186906104</v>
      </c>
      <c r="J2017">
        <v>0.27175474182981102</v>
      </c>
      <c r="K2017">
        <v>0.22335195307665601</v>
      </c>
      <c r="L2017">
        <v>585.34123711412406</v>
      </c>
      <c r="M2017">
        <v>11.4681442267119</v>
      </c>
      <c r="N2017">
        <v>53.234057323313102</v>
      </c>
      <c r="O2017">
        <v>49.562643582244597</v>
      </c>
      <c r="P2017">
        <v>-4.6968457344996002E-2</v>
      </c>
      <c r="Q2017">
        <v>0.188286442450531</v>
      </c>
      <c r="R2017">
        <v>0.97370095815010604</v>
      </c>
      <c r="S2017" t="s">
        <v>8328</v>
      </c>
      <c r="T2017" t="s">
        <v>12620</v>
      </c>
      <c r="U2017" t="s">
        <v>12620</v>
      </c>
      <c r="V2017" t="s">
        <v>12620</v>
      </c>
      <c r="W2017" t="s">
        <v>14597</v>
      </c>
      <c r="X2017">
        <v>8</v>
      </c>
      <c r="Y2017" t="s">
        <v>20796</v>
      </c>
      <c r="Z2017" t="s">
        <v>26964</v>
      </c>
      <c r="AA2017">
        <v>0.5151539698749944</v>
      </c>
      <c r="AB2017" t="str">
        <f>HYPERLINK("Melting_Curves/meltCurve_P31942_2_HNRNPH3.pdf", "Melting_Curves/meltCurve_P31942_2_HNRNPH3.pdf")</f>
        <v>Melting_Curves/meltCurve_P31942_2_HNRNPH3.pdf</v>
      </c>
    </row>
    <row r="2018" spans="1:28" x14ac:dyDescent="0.25">
      <c r="A2018" t="s">
        <v>2022</v>
      </c>
      <c r="B2018">
        <v>0.99987803227770999</v>
      </c>
      <c r="C2018">
        <v>0.77017137117910694</v>
      </c>
      <c r="D2018">
        <v>0.92671640403893496</v>
      </c>
      <c r="E2018">
        <v>0.80603321679602102</v>
      </c>
      <c r="F2018">
        <v>0.47994971085131999</v>
      </c>
      <c r="G2018">
        <v>0.233120607975976</v>
      </c>
      <c r="H2018">
        <v>0.17203325009356199</v>
      </c>
      <c r="I2018">
        <v>0.150283905896923</v>
      </c>
      <c r="J2018">
        <v>0.12327863679093901</v>
      </c>
      <c r="K2018">
        <v>9.5907850978890805E-2</v>
      </c>
      <c r="L2018">
        <v>1002.35216218095</v>
      </c>
      <c r="M2018">
        <v>19.127350881647398</v>
      </c>
      <c r="N2018">
        <v>53.044940786340099</v>
      </c>
      <c r="O2018">
        <v>51.841412716594199</v>
      </c>
      <c r="P2018">
        <v>-8.27277780375546E-2</v>
      </c>
      <c r="Q2018">
        <v>0.103156969407927</v>
      </c>
      <c r="R2018">
        <v>0.95557666205079705</v>
      </c>
      <c r="S2018" t="s">
        <v>8329</v>
      </c>
      <c r="T2018" t="s">
        <v>12620</v>
      </c>
      <c r="U2018" t="s">
        <v>12620</v>
      </c>
      <c r="V2018" t="s">
        <v>12620</v>
      </c>
      <c r="W2018" t="s">
        <v>14598</v>
      </c>
      <c r="X2018">
        <v>13</v>
      </c>
      <c r="Y2018" t="s">
        <v>20797</v>
      </c>
      <c r="Z2018" t="s">
        <v>26965</v>
      </c>
      <c r="AA2018">
        <v>0.48736195947642558</v>
      </c>
      <c r="AB2018" t="str">
        <f>HYPERLINK("Melting_Curves/meltCurve_P31943_HNRNPH1.pdf", "Melting_Curves/meltCurve_P31943_HNRNPH1.pdf")</f>
        <v>Melting_Curves/meltCurve_P31943_HNRNPH1.pdf</v>
      </c>
    </row>
    <row r="2019" spans="1:28" x14ac:dyDescent="0.25">
      <c r="A2019" t="s">
        <v>2023</v>
      </c>
      <c r="B2019">
        <v>0.99987803227770999</v>
      </c>
      <c r="C2019">
        <v>0.87726627678310198</v>
      </c>
      <c r="D2019">
        <v>1.0095705301789299</v>
      </c>
      <c r="E2019">
        <v>0.84749290774267705</v>
      </c>
      <c r="F2019">
        <v>1.18741828128091</v>
      </c>
      <c r="G2019">
        <v>0.94314488716571698</v>
      </c>
      <c r="H2019">
        <v>0.28940928075345701</v>
      </c>
      <c r="I2019">
        <v>0.16149249086138501</v>
      </c>
      <c r="J2019">
        <v>0.10952286783536901</v>
      </c>
      <c r="K2019">
        <v>7.1353137692334007E-2</v>
      </c>
      <c r="L2019">
        <v>3436.9882011026598</v>
      </c>
      <c r="M2019">
        <v>57.658509362135398</v>
      </c>
      <c r="N2019">
        <v>59.857323188108303</v>
      </c>
      <c r="O2019">
        <v>59.5378044725094</v>
      </c>
      <c r="P2019">
        <v>-0.216390615953336</v>
      </c>
      <c r="Q2019">
        <v>0.10622619841183301</v>
      </c>
      <c r="R2019">
        <v>0.95530894293105995</v>
      </c>
      <c r="S2019" t="s">
        <v>8330</v>
      </c>
      <c r="T2019" t="s">
        <v>12620</v>
      </c>
      <c r="U2019" t="s">
        <v>12620</v>
      </c>
      <c r="V2019" t="s">
        <v>12620</v>
      </c>
      <c r="W2019" t="s">
        <v>14599</v>
      </c>
      <c r="X2019">
        <v>20</v>
      </c>
      <c r="Y2019" t="s">
        <v>20798</v>
      </c>
      <c r="Z2019" t="s">
        <v>26966</v>
      </c>
      <c r="AA2019">
        <v>0.69219425468516627</v>
      </c>
      <c r="AB2019" t="str">
        <f>HYPERLINK("Melting_Curves/meltCurve_P31946_YWHAB.pdf", "Melting_Curves/meltCurve_P31946_YWHAB.pdf")</f>
        <v>Melting_Curves/meltCurve_P31946_YWHAB.pdf</v>
      </c>
    </row>
    <row r="2020" spans="1:28" x14ac:dyDescent="0.25">
      <c r="A2020" t="s">
        <v>2024</v>
      </c>
      <c r="B2020">
        <v>0.99987803227770999</v>
      </c>
      <c r="C2020">
        <v>0.99305412506684498</v>
      </c>
      <c r="D2020">
        <v>0.94209986983569904</v>
      </c>
      <c r="E2020">
        <v>0.90259017480470405</v>
      </c>
      <c r="F2020">
        <v>1.1099025373407001</v>
      </c>
      <c r="G2020">
        <v>0.61625097159249598</v>
      </c>
      <c r="H2020">
        <v>0.18230192674336501</v>
      </c>
      <c r="I2020">
        <v>9.5552438236566506E-2</v>
      </c>
      <c r="J2020">
        <v>7.8693257459302099E-2</v>
      </c>
      <c r="K2020">
        <v>6.6953599339221001E-2</v>
      </c>
      <c r="L2020">
        <v>2792.5045521239099</v>
      </c>
      <c r="M2020">
        <v>48.596203050527201</v>
      </c>
      <c r="N2020">
        <v>57.697236866785197</v>
      </c>
      <c r="O2020">
        <v>57.366374677766601</v>
      </c>
      <c r="P2020">
        <v>-0.19285254515161299</v>
      </c>
      <c r="Q2020">
        <v>8.9374055810791095E-2</v>
      </c>
      <c r="R2020">
        <v>0.98245411220115098</v>
      </c>
      <c r="S2020" t="s">
        <v>8331</v>
      </c>
      <c r="T2020" t="s">
        <v>12620</v>
      </c>
      <c r="U2020" t="s">
        <v>12620</v>
      </c>
      <c r="V2020" t="s">
        <v>12620</v>
      </c>
      <c r="W2020" t="s">
        <v>14600</v>
      </c>
      <c r="X2020">
        <v>19</v>
      </c>
      <c r="Y2020" t="s">
        <v>20798</v>
      </c>
      <c r="Z2020" t="s">
        <v>26967</v>
      </c>
      <c r="AA2020">
        <v>0.6218974573583238</v>
      </c>
      <c r="AB2020" t="str">
        <f>HYPERLINK("Melting_Curves/meltCurve_P31946_2_YWHAB.pdf", "Melting_Curves/meltCurve_P31946_2_YWHAB.pdf")</f>
        <v>Melting_Curves/meltCurve_P31946_2_YWHAB.pdf</v>
      </c>
    </row>
    <row r="2021" spans="1:28" x14ac:dyDescent="0.25">
      <c r="A2021" t="s">
        <v>2025</v>
      </c>
      <c r="B2021">
        <v>0.99987803227770999</v>
      </c>
      <c r="C2021">
        <v>0.91453145163677296</v>
      </c>
      <c r="D2021">
        <v>1.0612610234597799</v>
      </c>
      <c r="E2021">
        <v>0.96150097158692605</v>
      </c>
      <c r="F2021">
        <v>1.1157338151858001</v>
      </c>
      <c r="G2021">
        <v>0.96738060941543402</v>
      </c>
      <c r="H2021">
        <v>0.91811470892430902</v>
      </c>
      <c r="I2021">
        <v>0.59438002528688605</v>
      </c>
      <c r="J2021">
        <v>0.44331009912185099</v>
      </c>
      <c r="K2021">
        <v>0.282411747840842</v>
      </c>
      <c r="L2021">
        <v>2204.5213712762202</v>
      </c>
      <c r="M2021">
        <v>34.463045499296399</v>
      </c>
      <c r="N2021">
        <v>65.453412659682897</v>
      </c>
      <c r="O2021">
        <v>63.753480700194899</v>
      </c>
      <c r="P2021">
        <v>-9.8475845037471296E-2</v>
      </c>
      <c r="Q2021">
        <v>0.27131779639959802</v>
      </c>
      <c r="R2021">
        <v>0.95589308209474499</v>
      </c>
      <c r="S2021" t="s">
        <v>8332</v>
      </c>
      <c r="T2021" t="s">
        <v>12620</v>
      </c>
      <c r="U2021" t="s">
        <v>12620</v>
      </c>
      <c r="V2021" t="s">
        <v>12620</v>
      </c>
      <c r="W2021" t="s">
        <v>14601</v>
      </c>
      <c r="X2021">
        <v>23</v>
      </c>
      <c r="Y2021" t="s">
        <v>20799</v>
      </c>
      <c r="Z2021" t="s">
        <v>26968</v>
      </c>
      <c r="AA2021">
        <v>0.85493968407895593</v>
      </c>
      <c r="AB2021" t="str">
        <f>HYPERLINK("Melting_Curves/meltCurve_P31947_SFN.pdf", "Melting_Curves/meltCurve_P31947_SFN.pdf")</f>
        <v>Melting_Curves/meltCurve_P31947_SFN.pdf</v>
      </c>
    </row>
    <row r="2022" spans="1:28" x14ac:dyDescent="0.25">
      <c r="A2022" t="s">
        <v>2026</v>
      </c>
      <c r="B2022">
        <v>0.99987803227770999</v>
      </c>
      <c r="C2022">
        <v>1.2084542436760899</v>
      </c>
      <c r="D2022">
        <v>0.94690737810855696</v>
      </c>
      <c r="E2022">
        <v>1.23980921774741</v>
      </c>
      <c r="F2022">
        <v>1.0953345104279999</v>
      </c>
      <c r="G2022">
        <v>0.94718995737545797</v>
      </c>
      <c r="H2022">
        <v>0.87562281892420901</v>
      </c>
      <c r="I2022">
        <v>0.79402827355341599</v>
      </c>
      <c r="J2022">
        <v>0.80609119420130804</v>
      </c>
      <c r="K2022">
        <v>0.62502048080474304</v>
      </c>
      <c r="L2022">
        <v>1092.8538664823</v>
      </c>
      <c r="M2022">
        <v>16.4619568808113</v>
      </c>
      <c r="O2022">
        <v>65.430185317060406</v>
      </c>
      <c r="P2022">
        <v>-3.0919581143892299E-2</v>
      </c>
      <c r="Q2022">
        <v>0.50845892526641301</v>
      </c>
      <c r="R2022">
        <v>0.62505943480664095</v>
      </c>
      <c r="S2022" t="s">
        <v>8333</v>
      </c>
      <c r="T2022" t="s">
        <v>12620</v>
      </c>
      <c r="U2022" t="s">
        <v>12620</v>
      </c>
      <c r="V2022" t="s">
        <v>12620</v>
      </c>
      <c r="W2022" t="s">
        <v>14602</v>
      </c>
      <c r="X2022">
        <v>67</v>
      </c>
      <c r="Y2022" t="s">
        <v>20800</v>
      </c>
      <c r="Z2022" t="s">
        <v>26969</v>
      </c>
      <c r="AA2022">
        <v>0.92392798006477961</v>
      </c>
      <c r="AB2022" t="str">
        <f>HYPERLINK("Melting_Curves/meltCurve_P31948_STIP1.pdf", "Melting_Curves/meltCurve_P31948_STIP1.pdf")</f>
        <v>Melting_Curves/meltCurve_P31948_STIP1.pdf</v>
      </c>
    </row>
    <row r="2023" spans="1:28" x14ac:dyDescent="0.25">
      <c r="A2023" t="s">
        <v>2027</v>
      </c>
      <c r="B2023">
        <v>0.99987803227770999</v>
      </c>
      <c r="C2023">
        <v>0.82401958777161699</v>
      </c>
      <c r="D2023">
        <v>0.99725381323253803</v>
      </c>
      <c r="E2023">
        <v>0.83942991224112196</v>
      </c>
      <c r="F2023">
        <v>1.0455616459466199</v>
      </c>
      <c r="G2023">
        <v>0.53790312153230302</v>
      </c>
      <c r="H2023">
        <v>0.95112458134201405</v>
      </c>
      <c r="I2023">
        <v>0.60092570499403297</v>
      </c>
      <c r="J2023">
        <v>0.86459447766641995</v>
      </c>
      <c r="K2023">
        <v>0.57753260655912397</v>
      </c>
      <c r="L2023">
        <v>238.33233232355801</v>
      </c>
      <c r="M2023">
        <v>2.71682316089333</v>
      </c>
      <c r="O2023">
        <v>61.692711298157803</v>
      </c>
      <c r="P2023">
        <v>-1.1459256945406501E-2</v>
      </c>
      <c r="Q2023">
        <v>0</v>
      </c>
      <c r="R2023">
        <v>0.307997372473858</v>
      </c>
      <c r="S2023" t="s">
        <v>8334</v>
      </c>
      <c r="T2023" t="s">
        <v>12620</v>
      </c>
      <c r="U2023" t="s">
        <v>12620</v>
      </c>
      <c r="V2023" t="s">
        <v>12620</v>
      </c>
      <c r="W2023" t="s">
        <v>14603</v>
      </c>
      <c r="X2023">
        <v>6</v>
      </c>
      <c r="Y2023" t="s">
        <v>20801</v>
      </c>
      <c r="Z2023" t="s">
        <v>26970</v>
      </c>
      <c r="AA2023">
        <v>0.82754665208732914</v>
      </c>
      <c r="AB2023" t="str">
        <f>HYPERLINK("Melting_Curves/meltCurve_P31949_S100A11.pdf", "Melting_Curves/meltCurve_P31949_S100A11.pdf")</f>
        <v>Melting_Curves/meltCurve_P31949_S100A11.pdf</v>
      </c>
    </row>
    <row r="2024" spans="1:28" x14ac:dyDescent="0.25">
      <c r="A2024" t="s">
        <v>2028</v>
      </c>
      <c r="B2024">
        <v>0.99987803227770999</v>
      </c>
      <c r="C2024">
        <v>0.98149610547701505</v>
      </c>
      <c r="D2024">
        <v>0.84144552847398002</v>
      </c>
      <c r="E2024">
        <v>0.47562280816268798</v>
      </c>
      <c r="F2024">
        <v>0.25547160521099799</v>
      </c>
      <c r="G2024">
        <v>0.15424330242942499</v>
      </c>
      <c r="H2024">
        <v>0.13776331143204401</v>
      </c>
      <c r="I2024">
        <v>0.13065930784412499</v>
      </c>
      <c r="J2024">
        <v>0.105944851605042</v>
      </c>
      <c r="K2024">
        <v>8.5182151415872001E-2</v>
      </c>
      <c r="L2024">
        <v>1102.45350907074</v>
      </c>
      <c r="M2024">
        <v>22.410546657260401</v>
      </c>
      <c r="N2024">
        <v>49.746575404596499</v>
      </c>
      <c r="O2024">
        <v>48.806836418955697</v>
      </c>
      <c r="P2024">
        <v>-0.10213622456619099</v>
      </c>
      <c r="Q2024">
        <v>0.11026845279877399</v>
      </c>
      <c r="R2024">
        <v>0.99886795837804199</v>
      </c>
      <c r="S2024" t="s">
        <v>8335</v>
      </c>
      <c r="T2024" t="s">
        <v>12620</v>
      </c>
      <c r="U2024" t="s">
        <v>12620</v>
      </c>
      <c r="V2024" t="s">
        <v>12620</v>
      </c>
      <c r="W2024" t="s">
        <v>14604</v>
      </c>
      <c r="X2024">
        <v>2</v>
      </c>
      <c r="Y2024" t="s">
        <v>20802</v>
      </c>
      <c r="Z2024" t="s">
        <v>26971</v>
      </c>
      <c r="AA2024">
        <v>0.39280228027144759</v>
      </c>
      <c r="AB2024" t="str">
        <f>HYPERLINK("Melting_Curves/meltCurve_P32019_3_INPP5B.pdf", "Melting_Curves/meltCurve_P32019_3_INPP5B.pdf")</f>
        <v>Melting_Curves/meltCurve_P32019_3_INPP5B.pdf</v>
      </c>
    </row>
    <row r="2025" spans="1:28" x14ac:dyDescent="0.25">
      <c r="A2025" t="s">
        <v>2029</v>
      </c>
      <c r="B2025">
        <v>0.99987803227770999</v>
      </c>
      <c r="C2025">
        <v>1.04823801286933</v>
      </c>
      <c r="D2025">
        <v>0.97547871501297101</v>
      </c>
      <c r="E2025">
        <v>0.86372801078165296</v>
      </c>
      <c r="F2025">
        <v>0.437358208889291</v>
      </c>
      <c r="G2025">
        <v>0.26609586771834698</v>
      </c>
      <c r="H2025">
        <v>0.17619455556143601</v>
      </c>
      <c r="I2025">
        <v>0.153254752259571</v>
      </c>
      <c r="J2025">
        <v>0.116606071004317</v>
      </c>
      <c r="K2025">
        <v>8.8154626337179895E-2</v>
      </c>
      <c r="L2025">
        <v>1591.1946185520401</v>
      </c>
      <c r="M2025">
        <v>30.442276652422599</v>
      </c>
      <c r="N2025">
        <v>52.836621430620902</v>
      </c>
      <c r="O2025">
        <v>52.045246464665098</v>
      </c>
      <c r="P2025">
        <v>-0.12584282551551601</v>
      </c>
      <c r="Q2025">
        <v>0.139423104301236</v>
      </c>
      <c r="R2025">
        <v>0.99087446130839096</v>
      </c>
      <c r="S2025" t="s">
        <v>8336</v>
      </c>
      <c r="T2025" t="s">
        <v>12620</v>
      </c>
      <c r="U2025" t="s">
        <v>12620</v>
      </c>
      <c r="V2025" t="s">
        <v>12620</v>
      </c>
      <c r="W2025" t="s">
        <v>14605</v>
      </c>
      <c r="X2025">
        <v>10</v>
      </c>
      <c r="Y2025" t="s">
        <v>20803</v>
      </c>
      <c r="Z2025" t="s">
        <v>26972</v>
      </c>
      <c r="AA2025">
        <v>0.49674102869031111</v>
      </c>
      <c r="AB2025" t="str">
        <f>HYPERLINK("Melting_Curves/meltCurve_P32121_5_ARRB2.pdf", "Melting_Curves/meltCurve_P32121_5_ARRB2.pdf")</f>
        <v>Melting_Curves/meltCurve_P32121_5_ARRB2.pdf</v>
      </c>
    </row>
    <row r="2026" spans="1:28" x14ac:dyDescent="0.25">
      <c r="A2026" t="s">
        <v>2030</v>
      </c>
      <c r="B2026">
        <v>0.99987803227770999</v>
      </c>
      <c r="C2026">
        <v>0.92759759982351897</v>
      </c>
      <c r="D2026">
        <v>0.97560453795923896</v>
      </c>
      <c r="E2026">
        <v>1.02803374612048</v>
      </c>
      <c r="F2026">
        <v>1.0675601807153099</v>
      </c>
      <c r="G2026">
        <v>0.88994218567610095</v>
      </c>
      <c r="H2026">
        <v>0.89570364069731701</v>
      </c>
      <c r="I2026">
        <v>0.84159160187736204</v>
      </c>
      <c r="J2026">
        <v>0.80266804095015398</v>
      </c>
      <c r="K2026">
        <v>0.60343794016084595</v>
      </c>
      <c r="L2026">
        <v>844.40244557905896</v>
      </c>
      <c r="M2026">
        <v>11.5117717501559</v>
      </c>
      <c r="Q2026">
        <v>0</v>
      </c>
      <c r="R2026">
        <v>0.85899058489489799</v>
      </c>
      <c r="S2026" t="s">
        <v>8337</v>
      </c>
      <c r="T2026" t="s">
        <v>12620</v>
      </c>
      <c r="U2026" t="s">
        <v>12620</v>
      </c>
      <c r="V2026" t="s">
        <v>12620</v>
      </c>
      <c r="W2026" t="s">
        <v>14606</v>
      </c>
      <c r="X2026">
        <v>4</v>
      </c>
      <c r="Y2026" t="s">
        <v>20804</v>
      </c>
      <c r="Z2026" t="s">
        <v>26973</v>
      </c>
      <c r="AA2026">
        <v>0.9250585091230239</v>
      </c>
      <c r="AB2026" t="str">
        <f>HYPERLINK("Melting_Curves/meltCurve_P32320_CDA.pdf", "Melting_Curves/meltCurve_P32320_CDA.pdf")</f>
        <v>Melting_Curves/meltCurve_P32320_CDA.pdf</v>
      </c>
    </row>
    <row r="2027" spans="1:28" x14ac:dyDescent="0.25">
      <c r="A2027" t="s">
        <v>2031</v>
      </c>
      <c r="B2027">
        <v>0.99987803227770999</v>
      </c>
      <c r="C2027">
        <v>1.0510835453858001</v>
      </c>
      <c r="D2027">
        <v>1.23864144896663</v>
      </c>
      <c r="E2027">
        <v>1.15250332941917</v>
      </c>
      <c r="F2027">
        <v>1.4717546659505401</v>
      </c>
      <c r="G2027">
        <v>1.4047704026527601</v>
      </c>
      <c r="H2027">
        <v>0.95903560076941496</v>
      </c>
      <c r="I2027">
        <v>0.38411705517422601</v>
      </c>
      <c r="J2027">
        <v>0.109055865689307</v>
      </c>
      <c r="K2027">
        <v>5.2987312716368397E-2</v>
      </c>
      <c r="L2027">
        <v>4794.0913853254096</v>
      </c>
      <c r="M2027">
        <v>75.574558503699393</v>
      </c>
      <c r="N2027">
        <v>63.565215884098599</v>
      </c>
      <c r="O2027">
        <v>63.390864428300901</v>
      </c>
      <c r="P2027">
        <v>-0.27671402977249998</v>
      </c>
      <c r="Q2027">
        <v>7.1584751373466399E-2</v>
      </c>
      <c r="R2027">
        <v>0.80428979749474205</v>
      </c>
      <c r="S2027" t="s">
        <v>8338</v>
      </c>
      <c r="T2027" t="s">
        <v>12620</v>
      </c>
      <c r="U2027" t="s">
        <v>12620</v>
      </c>
      <c r="V2027" t="s">
        <v>12620</v>
      </c>
      <c r="W2027" t="s">
        <v>14607</v>
      </c>
      <c r="X2027">
        <v>7</v>
      </c>
      <c r="Y2027" t="s">
        <v>20805</v>
      </c>
      <c r="Z2027" t="s">
        <v>26974</v>
      </c>
      <c r="AA2027">
        <v>0.79794599638357011</v>
      </c>
      <c r="AB2027" t="str">
        <f>HYPERLINK("Melting_Curves/meltCurve_P32321_2_DCTD.pdf", "Melting_Curves/meltCurve_P32321_2_DCTD.pdf")</f>
        <v>Melting_Curves/meltCurve_P32321_2_DCTD.pdf</v>
      </c>
    </row>
    <row r="2028" spans="1:28" x14ac:dyDescent="0.25">
      <c r="A2028" t="s">
        <v>2032</v>
      </c>
      <c r="B2028">
        <v>0.99987803227770999</v>
      </c>
      <c r="C2028">
        <v>1.03681756881231</v>
      </c>
      <c r="D2028">
        <v>0.88021232466384403</v>
      </c>
      <c r="E2028">
        <v>1.22619950810624</v>
      </c>
      <c r="F2028">
        <v>0.92755053793715103</v>
      </c>
      <c r="G2028">
        <v>0.88126117471309595</v>
      </c>
      <c r="H2028">
        <v>0.64819157957728102</v>
      </c>
      <c r="I2028">
        <v>0.391847711462597</v>
      </c>
      <c r="J2028">
        <v>0.16218608115338801</v>
      </c>
      <c r="K2028">
        <v>8.2073294459797094E-2</v>
      </c>
      <c r="L2028">
        <v>1418.89847264218</v>
      </c>
      <c r="M2028">
        <v>22.676219525994401</v>
      </c>
      <c r="N2028">
        <v>62.5721074085819</v>
      </c>
      <c r="O2028">
        <v>62.091566208200398</v>
      </c>
      <c r="P2028">
        <v>-9.1303335968242E-2</v>
      </c>
      <c r="Q2028">
        <v>0</v>
      </c>
      <c r="R2028">
        <v>0.94664618015684099</v>
      </c>
      <c r="S2028" t="s">
        <v>8339</v>
      </c>
      <c r="T2028" t="s">
        <v>12620</v>
      </c>
      <c r="U2028" t="s">
        <v>12620</v>
      </c>
      <c r="V2028" t="s">
        <v>12620</v>
      </c>
      <c r="W2028" t="s">
        <v>14608</v>
      </c>
      <c r="X2028">
        <v>9</v>
      </c>
      <c r="Y2028" t="s">
        <v>20806</v>
      </c>
      <c r="Z2028" t="s">
        <v>26975</v>
      </c>
      <c r="AA2028">
        <v>0.75500216981579649</v>
      </c>
      <c r="AB2028" t="str">
        <f>HYPERLINK("Melting_Curves/meltCurve_P32322_PYCR1.pdf", "Melting_Curves/meltCurve_P32322_PYCR1.pdf")</f>
        <v>Melting_Curves/meltCurve_P32322_PYCR1.pdf</v>
      </c>
    </row>
    <row r="2029" spans="1:28" x14ac:dyDescent="0.25">
      <c r="A2029" t="s">
        <v>2033</v>
      </c>
      <c r="B2029">
        <v>0.99987803227770999</v>
      </c>
      <c r="C2029">
        <v>0.817017436335295</v>
      </c>
      <c r="D2029">
        <v>0.937450311319034</v>
      </c>
      <c r="E2029">
        <v>0.74176928812360998</v>
      </c>
      <c r="F2029">
        <v>0.92081303448848995</v>
      </c>
      <c r="G2029">
        <v>0.59741947025502296</v>
      </c>
      <c r="H2029">
        <v>0.69539894943750902</v>
      </c>
      <c r="I2029">
        <v>0.63622890752745498</v>
      </c>
      <c r="J2029">
        <v>0.80034256492629796</v>
      </c>
      <c r="K2029">
        <v>0.63121843853114501</v>
      </c>
      <c r="L2029">
        <v>414.06069299422501</v>
      </c>
      <c r="M2029">
        <v>8.4480338639617507</v>
      </c>
      <c r="O2029">
        <v>46.497504681369001</v>
      </c>
      <c r="P2029">
        <v>-1.6198622881024201E-2</v>
      </c>
      <c r="Q2029">
        <v>0.64370328885510797</v>
      </c>
      <c r="R2029">
        <v>0.54942579590157203</v>
      </c>
      <c r="S2029" t="s">
        <v>8340</v>
      </c>
      <c r="T2029" t="s">
        <v>12620</v>
      </c>
      <c r="U2029" t="s">
        <v>12620</v>
      </c>
      <c r="V2029" t="s">
        <v>12620</v>
      </c>
      <c r="W2029" t="s">
        <v>14609</v>
      </c>
      <c r="X2029">
        <v>7</v>
      </c>
      <c r="Y2029" t="s">
        <v>20807</v>
      </c>
      <c r="Z2029" t="s">
        <v>26976</v>
      </c>
      <c r="AA2029">
        <v>0.77269691405531649</v>
      </c>
      <c r="AB2029" t="str">
        <f>HYPERLINK("Melting_Curves/meltCurve_P32519_2_ELF1.pdf", "Melting_Curves/meltCurve_P32519_2_ELF1.pdf")</f>
        <v>Melting_Curves/meltCurve_P32519_2_ELF1.pdf</v>
      </c>
    </row>
    <row r="2030" spans="1:28" x14ac:dyDescent="0.25">
      <c r="A2030" t="s">
        <v>2034</v>
      </c>
      <c r="B2030">
        <v>0.99987803227770999</v>
      </c>
      <c r="C2030">
        <v>0.87048999806990202</v>
      </c>
      <c r="D2030">
        <v>0.88953767629853298</v>
      </c>
      <c r="E2030">
        <v>0.53478718848117401</v>
      </c>
      <c r="F2030">
        <v>0.40389543810492401</v>
      </c>
      <c r="G2030">
        <v>0.34911892881680801</v>
      </c>
      <c r="H2030">
        <v>0.28901784617068299</v>
      </c>
      <c r="I2030">
        <v>0.28272513229746499</v>
      </c>
      <c r="J2030">
        <v>0.22000959626500199</v>
      </c>
      <c r="K2030">
        <v>0.162377825573152</v>
      </c>
      <c r="L2030">
        <v>756.70468309875196</v>
      </c>
      <c r="M2030">
        <v>15.2899919162471</v>
      </c>
      <c r="N2030">
        <v>51.416180929244497</v>
      </c>
      <c r="O2030">
        <v>48.666809942313101</v>
      </c>
      <c r="P2030">
        <v>-6.1426534467169003E-2</v>
      </c>
      <c r="Q2030">
        <v>0.21801053558314101</v>
      </c>
      <c r="R2030">
        <v>0.97573338602242199</v>
      </c>
      <c r="S2030" t="s">
        <v>8341</v>
      </c>
      <c r="T2030" t="s">
        <v>12620</v>
      </c>
      <c r="U2030" t="s">
        <v>12620</v>
      </c>
      <c r="V2030" t="s">
        <v>12620</v>
      </c>
      <c r="W2030" t="s">
        <v>14610</v>
      </c>
      <c r="X2030">
        <v>2</v>
      </c>
      <c r="Y2030" t="s">
        <v>20808</v>
      </c>
      <c r="Z2030" t="s">
        <v>26977</v>
      </c>
      <c r="AA2030">
        <v>0.48369530453376081</v>
      </c>
      <c r="AB2030" t="str">
        <f>HYPERLINK("Melting_Curves/meltCurve_P32780_GTF2H1.pdf", "Melting_Curves/meltCurve_P32780_GTF2H1.pdf")</f>
        <v>Melting_Curves/meltCurve_P32780_GTF2H1.pdf</v>
      </c>
    </row>
    <row r="2031" spans="1:28" x14ac:dyDescent="0.25">
      <c r="A2031" t="s">
        <v>2035</v>
      </c>
      <c r="B2031">
        <v>0.99987803227770999</v>
      </c>
      <c r="C2031">
        <v>1.0691627574731899</v>
      </c>
      <c r="D2031">
        <v>0.91393407066321397</v>
      </c>
      <c r="E2031">
        <v>0.93769431206956699</v>
      </c>
      <c r="F2031">
        <v>0.68082273586453002</v>
      </c>
      <c r="G2031">
        <v>0.68243704412573303</v>
      </c>
      <c r="H2031">
        <v>0.75098508257710195</v>
      </c>
      <c r="I2031">
        <v>0.64287249210271502</v>
      </c>
      <c r="J2031">
        <v>0.45081286597396403</v>
      </c>
      <c r="K2031">
        <v>0.27517986783631698</v>
      </c>
      <c r="L2031">
        <v>451.794172047274</v>
      </c>
      <c r="M2031">
        <v>6.9041088880814696</v>
      </c>
      <c r="N2031">
        <v>65.438448121758995</v>
      </c>
      <c r="O2031">
        <v>60.60947965858</v>
      </c>
      <c r="P2031">
        <v>-2.8533374316716101E-2</v>
      </c>
      <c r="Q2031">
        <v>0</v>
      </c>
      <c r="R2031">
        <v>0.85892873940192105</v>
      </c>
      <c r="S2031" t="s">
        <v>8342</v>
      </c>
      <c r="T2031" t="s">
        <v>12620</v>
      </c>
      <c r="U2031" t="s">
        <v>12620</v>
      </c>
      <c r="V2031" t="s">
        <v>12620</v>
      </c>
      <c r="W2031" t="s">
        <v>14611</v>
      </c>
      <c r="X2031">
        <v>3</v>
      </c>
      <c r="Y2031" t="s">
        <v>20809</v>
      </c>
      <c r="Z2031" t="s">
        <v>26978</v>
      </c>
      <c r="AA2031">
        <v>0.7498915164779052</v>
      </c>
      <c r="AB2031" t="str">
        <f>HYPERLINK("Melting_Curves/meltCurve_P32929_CTH.pdf", "Melting_Curves/meltCurve_P32929_CTH.pdf")</f>
        <v>Melting_Curves/meltCurve_P32929_CTH.pdf</v>
      </c>
    </row>
    <row r="2032" spans="1:28" x14ac:dyDescent="0.25">
      <c r="A2032" t="s">
        <v>2036</v>
      </c>
      <c r="B2032">
        <v>0.99987803227770999</v>
      </c>
      <c r="C2032">
        <v>1.1141239914149099</v>
      </c>
      <c r="D2032">
        <v>0.93666525200250195</v>
      </c>
      <c r="E2032">
        <v>0.87486924831628299</v>
      </c>
      <c r="F2032">
        <v>0.44586258536361101</v>
      </c>
      <c r="G2032">
        <v>0.18633186086379799</v>
      </c>
      <c r="H2032">
        <v>0.107385860555076</v>
      </c>
      <c r="I2032">
        <v>9.2838647920529205E-2</v>
      </c>
      <c r="J2032">
        <v>9.6982135403413605E-2</v>
      </c>
      <c r="K2032">
        <v>7.1310178209744501E-2</v>
      </c>
      <c r="L2032">
        <v>1749.79704296248</v>
      </c>
      <c r="M2032">
        <v>33.377305689752099</v>
      </c>
      <c r="N2032">
        <v>52.757736664541902</v>
      </c>
      <c r="O2032">
        <v>52.237638248170299</v>
      </c>
      <c r="P2032">
        <v>-0.144567931797278</v>
      </c>
      <c r="Q2032">
        <v>9.4971228225865803E-2</v>
      </c>
      <c r="R2032">
        <v>0.98904608747421796</v>
      </c>
      <c r="S2032" t="s">
        <v>8343</v>
      </c>
      <c r="T2032" t="s">
        <v>12620</v>
      </c>
      <c r="U2032" t="s">
        <v>12620</v>
      </c>
      <c r="V2032" t="s">
        <v>12620</v>
      </c>
      <c r="W2032" t="s">
        <v>14612</v>
      </c>
      <c r="X2032">
        <v>5</v>
      </c>
      <c r="Y2032" t="s">
        <v>20810</v>
      </c>
      <c r="Z2032" t="s">
        <v>26979</v>
      </c>
      <c r="AA2032">
        <v>0.47450627475195928</v>
      </c>
      <c r="AB2032" t="str">
        <f>HYPERLINK("Melting_Curves/meltCurve_P32969_RPL9.pdf", "Melting_Curves/meltCurve_P32969_RPL9.pdf")</f>
        <v>Melting_Curves/meltCurve_P32969_RPL9.pdf</v>
      </c>
    </row>
    <row r="2033" spans="1:28" x14ac:dyDescent="0.25">
      <c r="A2033" t="s">
        <v>2037</v>
      </c>
      <c r="B2033">
        <v>0.99987803227770999</v>
      </c>
      <c r="C2033">
        <v>1.2698475712711601</v>
      </c>
      <c r="D2033">
        <v>0.66563699033010604</v>
      </c>
      <c r="E2033">
        <v>1.17589568190459</v>
      </c>
      <c r="F2033">
        <v>0.267485075225186</v>
      </c>
      <c r="G2033">
        <v>0.18032684372817501</v>
      </c>
      <c r="H2033">
        <v>9.7956851123129698E-2</v>
      </c>
      <c r="I2033">
        <v>7.7850438283872697E-2</v>
      </c>
      <c r="J2033">
        <v>6.4463558290595205E-2</v>
      </c>
      <c r="K2033">
        <v>4.5127587074972199E-2</v>
      </c>
      <c r="L2033">
        <v>13173.920464909101</v>
      </c>
      <c r="M2033">
        <v>250</v>
      </c>
      <c r="N2033">
        <v>52.739186551392002</v>
      </c>
      <c r="O2033">
        <v>52.692309851296301</v>
      </c>
      <c r="P2033">
        <v>-1.07564934109285</v>
      </c>
      <c r="Q2033">
        <v>9.3144829960593797E-2</v>
      </c>
      <c r="R2033">
        <v>0.89782046441418195</v>
      </c>
      <c r="S2033" t="s">
        <v>8344</v>
      </c>
      <c r="T2033" t="s">
        <v>12620</v>
      </c>
      <c r="U2033" t="s">
        <v>12620</v>
      </c>
      <c r="V2033" t="s">
        <v>12620</v>
      </c>
      <c r="W2033" t="s">
        <v>14613</v>
      </c>
      <c r="X2033">
        <v>67</v>
      </c>
      <c r="Y2033" t="s">
        <v>20811</v>
      </c>
      <c r="Z2033" t="s">
        <v>26980</v>
      </c>
      <c r="AA2033">
        <v>0.47700018707169151</v>
      </c>
      <c r="AB2033" t="str">
        <f>HYPERLINK("Melting_Curves/meltCurve_P33176_KIF5B.pdf", "Melting_Curves/meltCurve_P33176_KIF5B.pdf")</f>
        <v>Melting_Curves/meltCurve_P33176_KIF5B.pdf</v>
      </c>
    </row>
    <row r="2034" spans="1:28" x14ac:dyDescent="0.25">
      <c r="A2034" t="s">
        <v>2038</v>
      </c>
      <c r="B2034">
        <v>0.99987803227770999</v>
      </c>
      <c r="C2034">
        <v>0.97780952438882396</v>
      </c>
      <c r="D2034">
        <v>1.07792199430697</v>
      </c>
      <c r="E2034">
        <v>1.1325376490432999</v>
      </c>
      <c r="F2034">
        <v>1.29888368322023</v>
      </c>
      <c r="G2034">
        <v>1.0825381081521399</v>
      </c>
      <c r="H2034">
        <v>1.1284795960680001</v>
      </c>
      <c r="I2034">
        <v>1.09149566832045</v>
      </c>
      <c r="J2034">
        <v>1.00867372393982</v>
      </c>
      <c r="K2034">
        <v>0.83656159396609198</v>
      </c>
      <c r="L2034">
        <v>15000</v>
      </c>
      <c r="M2034">
        <v>212.65284415091401</v>
      </c>
      <c r="Q2034">
        <v>0</v>
      </c>
      <c r="R2034">
        <v>-0.103175565800843</v>
      </c>
      <c r="S2034" t="s">
        <v>8345</v>
      </c>
      <c r="T2034" t="s">
        <v>12620</v>
      </c>
      <c r="U2034" t="s">
        <v>12620</v>
      </c>
      <c r="V2034" t="s">
        <v>12620</v>
      </c>
      <c r="W2034" t="s">
        <v>14614</v>
      </c>
      <c r="X2034">
        <v>17</v>
      </c>
      <c r="Y2034" t="s">
        <v>20812</v>
      </c>
      <c r="Z2034" t="s">
        <v>26981</v>
      </c>
      <c r="AA2034">
        <v>0.99807552778631503</v>
      </c>
      <c r="AB2034" t="str">
        <f>HYPERLINK("Melting_Curves/meltCurve_P33240_2_CSTF2.pdf", "Melting_Curves/meltCurve_P33240_2_CSTF2.pdf")</f>
        <v>Melting_Curves/meltCurve_P33240_2_CSTF2.pdf</v>
      </c>
    </row>
    <row r="2035" spans="1:28" x14ac:dyDescent="0.25">
      <c r="A2035" t="s">
        <v>2039</v>
      </c>
      <c r="B2035">
        <v>0.99987803227770999</v>
      </c>
      <c r="C2035">
        <v>1.02895314792507</v>
      </c>
      <c r="D2035">
        <v>0.99711154756237497</v>
      </c>
      <c r="E2035">
        <v>0.68381036947638196</v>
      </c>
      <c r="F2035">
        <v>0.28885303897876402</v>
      </c>
      <c r="G2035">
        <v>0.15803552475586</v>
      </c>
      <c r="H2035">
        <v>0.13201165907413101</v>
      </c>
      <c r="I2035">
        <v>0.121194802781488</v>
      </c>
      <c r="J2035">
        <v>9.3305872136748999E-2</v>
      </c>
      <c r="K2035">
        <v>8.6788690653181594E-2</v>
      </c>
      <c r="L2035">
        <v>1746.8475239618699</v>
      </c>
      <c r="M2035">
        <v>34.330953683085198</v>
      </c>
      <c r="N2035">
        <v>51.262725399129899</v>
      </c>
      <c r="O2035">
        <v>50.710871625132199</v>
      </c>
      <c r="P2035">
        <v>-0.15022855436450699</v>
      </c>
      <c r="Q2035">
        <v>0.112382252228826</v>
      </c>
      <c r="R2035">
        <v>0.99791160138567603</v>
      </c>
      <c r="S2035" t="s">
        <v>8346</v>
      </c>
      <c r="T2035" t="s">
        <v>12620</v>
      </c>
      <c r="U2035" t="s">
        <v>12620</v>
      </c>
      <c r="V2035" t="s">
        <v>12620</v>
      </c>
      <c r="W2035" t="s">
        <v>14615</v>
      </c>
      <c r="X2035">
        <v>1</v>
      </c>
      <c r="Y2035" t="s">
        <v>20813</v>
      </c>
      <c r="Z2035" t="s">
        <v>26982</v>
      </c>
      <c r="AA2035">
        <v>0.43861545614830227</v>
      </c>
      <c r="AB2035" t="str">
        <f>HYPERLINK("Melting_Curves/meltCurve_P33241_2_LSP1.pdf", "Melting_Curves/meltCurve_P33241_2_LSP1.pdf")</f>
        <v>Melting_Curves/meltCurve_P33241_2_LSP1.pdf</v>
      </c>
    </row>
    <row r="2036" spans="1:28" x14ac:dyDescent="0.25">
      <c r="A2036" t="s">
        <v>2040</v>
      </c>
      <c r="B2036">
        <v>0.99987803227770999</v>
      </c>
      <c r="C2036">
        <v>0.93660372255094804</v>
      </c>
      <c r="D2036">
        <v>1.0409053261135399</v>
      </c>
      <c r="E2036">
        <v>0.89374355689367602</v>
      </c>
      <c r="F2036">
        <v>0.87920075615676996</v>
      </c>
      <c r="G2036">
        <v>0.58019267534340502</v>
      </c>
      <c r="H2036">
        <v>0.54525012880055201</v>
      </c>
      <c r="I2036">
        <v>0.54318526190202099</v>
      </c>
      <c r="J2036">
        <v>0.49271656060486202</v>
      </c>
      <c r="K2036">
        <v>0.42038688119374901</v>
      </c>
      <c r="L2036">
        <v>1205.6206969206901</v>
      </c>
      <c r="M2036">
        <v>22.008001920196499</v>
      </c>
      <c r="N2036">
        <v>63.059349901790902</v>
      </c>
      <c r="O2036">
        <v>54.334739610350503</v>
      </c>
      <c r="P2036">
        <v>-5.34479604373502E-2</v>
      </c>
      <c r="Q2036">
        <v>0.47218902382517602</v>
      </c>
      <c r="R2036">
        <v>0.960790602331837</v>
      </c>
      <c r="S2036" t="s">
        <v>8347</v>
      </c>
      <c r="T2036" t="s">
        <v>12620</v>
      </c>
      <c r="U2036" t="s">
        <v>12620</v>
      </c>
      <c r="V2036" t="s">
        <v>12620</v>
      </c>
      <c r="W2036" t="s">
        <v>14616</v>
      </c>
      <c r="X2036">
        <v>11</v>
      </c>
      <c r="Y2036" t="s">
        <v>20814</v>
      </c>
      <c r="Z2036" t="s">
        <v>26983</v>
      </c>
      <c r="AA2036">
        <v>0.73831479341738837</v>
      </c>
      <c r="AB2036" t="str">
        <f>HYPERLINK("Melting_Curves/meltCurve_P33316_DUT.pdf", "Melting_Curves/meltCurve_P33316_DUT.pdf")</f>
        <v>Melting_Curves/meltCurve_P33316_DUT.pdf</v>
      </c>
    </row>
    <row r="2037" spans="1:28" x14ac:dyDescent="0.25">
      <c r="A2037" t="s">
        <v>2041</v>
      </c>
      <c r="B2037">
        <v>0.99987803227770999</v>
      </c>
      <c r="C2037">
        <v>0.85666884185054104</v>
      </c>
      <c r="D2037">
        <v>1.0225583908854501</v>
      </c>
      <c r="E2037">
        <v>0.802292937649696</v>
      </c>
      <c r="F2037">
        <v>0.87690712956861605</v>
      </c>
      <c r="G2037">
        <v>0.59696096027872003</v>
      </c>
      <c r="H2037">
        <v>0.47410659784833997</v>
      </c>
      <c r="I2037">
        <v>0.42772891729840801</v>
      </c>
      <c r="J2037">
        <v>0.45485779397070197</v>
      </c>
      <c r="K2037">
        <v>0.414006978526617</v>
      </c>
      <c r="L2037">
        <v>818.29079377928997</v>
      </c>
      <c r="M2037">
        <v>14.827917406105501</v>
      </c>
      <c r="N2037">
        <v>61.073361207280598</v>
      </c>
      <c r="O2037">
        <v>54.211256043228602</v>
      </c>
      <c r="P2037">
        <v>-4.2381299097421297E-2</v>
      </c>
      <c r="Q2037">
        <v>0.38027696211767298</v>
      </c>
      <c r="R2037">
        <v>0.92448833617557002</v>
      </c>
      <c r="S2037" t="s">
        <v>8348</v>
      </c>
      <c r="T2037" t="s">
        <v>12620</v>
      </c>
      <c r="U2037" t="s">
        <v>12620</v>
      </c>
      <c r="V2037" t="s">
        <v>12620</v>
      </c>
      <c r="W2037" t="s">
        <v>14617</v>
      </c>
      <c r="X2037">
        <v>11</v>
      </c>
      <c r="Y2037" t="s">
        <v>20814</v>
      </c>
      <c r="Z2037" t="s">
        <v>26984</v>
      </c>
      <c r="AA2037">
        <v>0.70590432760324473</v>
      </c>
      <c r="AB2037" t="str">
        <f>HYPERLINK("Melting_Curves/meltCurve_P33316_2_DUT.pdf", "Melting_Curves/meltCurve_P33316_2_DUT.pdf")</f>
        <v>Melting_Curves/meltCurve_P33316_2_DUT.pdf</v>
      </c>
    </row>
    <row r="2038" spans="1:28" x14ac:dyDescent="0.25">
      <c r="A2038" t="s">
        <v>2042</v>
      </c>
      <c r="B2038">
        <v>0.99987803227770999</v>
      </c>
      <c r="C2038">
        <v>0.91964796657056802</v>
      </c>
      <c r="D2038">
        <v>1.0140199288001901</v>
      </c>
      <c r="E2038">
        <v>0.77712056452288203</v>
      </c>
      <c r="F2038">
        <v>0.75408993580195305</v>
      </c>
      <c r="G2038">
        <v>0.49278338680953399</v>
      </c>
      <c r="H2038">
        <v>0.44800890933397602</v>
      </c>
      <c r="I2038">
        <v>0.44929738881569398</v>
      </c>
      <c r="J2038">
        <v>0.35300088809632801</v>
      </c>
      <c r="K2038">
        <v>0.30562866595450999</v>
      </c>
      <c r="L2038">
        <v>707.61823656661397</v>
      </c>
      <c r="M2038">
        <v>13.0392747556972</v>
      </c>
      <c r="N2038">
        <v>58.488809062371402</v>
      </c>
      <c r="O2038">
        <v>53.039402169788197</v>
      </c>
      <c r="P2038">
        <v>-4.27306176752986E-2</v>
      </c>
      <c r="Q2038">
        <v>0.30486610336744102</v>
      </c>
      <c r="R2038">
        <v>0.96710416068620497</v>
      </c>
      <c r="S2038" t="s">
        <v>8349</v>
      </c>
      <c r="T2038" t="s">
        <v>12620</v>
      </c>
      <c r="U2038" t="s">
        <v>12620</v>
      </c>
      <c r="V2038" t="s">
        <v>12620</v>
      </c>
      <c r="W2038" t="s">
        <v>14618</v>
      </c>
      <c r="X2038">
        <v>3</v>
      </c>
      <c r="Y2038" t="s">
        <v>20815</v>
      </c>
      <c r="Z2038" t="s">
        <v>26985</v>
      </c>
      <c r="AA2038">
        <v>0.65184901931863792</v>
      </c>
      <c r="AB2038" t="str">
        <f>HYPERLINK("Melting_Curves/meltCurve_P33552_CKS2.pdf", "Melting_Curves/meltCurve_P33552_CKS2.pdf")</f>
        <v>Melting_Curves/meltCurve_P33552_CKS2.pdf</v>
      </c>
    </row>
    <row r="2039" spans="1:28" x14ac:dyDescent="0.25">
      <c r="A2039" t="s">
        <v>2043</v>
      </c>
      <c r="B2039">
        <v>0.99987803227770999</v>
      </c>
      <c r="C2039">
        <v>0.82885987119837301</v>
      </c>
      <c r="D2039">
        <v>1.00779899390037</v>
      </c>
      <c r="E2039">
        <v>0.86345148234374003</v>
      </c>
      <c r="F2039">
        <v>1.03556841129063</v>
      </c>
      <c r="G2039">
        <v>0.88420244383084501</v>
      </c>
      <c r="H2039">
        <v>0.88065900519331597</v>
      </c>
      <c r="I2039">
        <v>0.72401741794327801</v>
      </c>
      <c r="J2039">
        <v>0.56103856461347901</v>
      </c>
      <c r="K2039">
        <v>0.37512816085704898</v>
      </c>
      <c r="L2039">
        <v>1036.3249567851699</v>
      </c>
      <c r="M2039">
        <v>15.251645408355699</v>
      </c>
      <c r="N2039">
        <v>67.948405071479002</v>
      </c>
      <c r="O2039">
        <v>66.812384513606602</v>
      </c>
      <c r="P2039">
        <v>-5.7074332562924199E-2</v>
      </c>
      <c r="Q2039">
        <v>0</v>
      </c>
      <c r="R2039">
        <v>0.862561073734883</v>
      </c>
      <c r="S2039" t="s">
        <v>8350</v>
      </c>
      <c r="T2039" t="s">
        <v>12620</v>
      </c>
      <c r="U2039" t="s">
        <v>12620</v>
      </c>
      <c r="V2039" t="s">
        <v>12620</v>
      </c>
      <c r="W2039" t="s">
        <v>14619</v>
      </c>
      <c r="X2039">
        <v>6</v>
      </c>
      <c r="Y2039" t="s">
        <v>20816</v>
      </c>
      <c r="Z2039" t="s">
        <v>26986</v>
      </c>
      <c r="AA2039">
        <v>0.8723279611374154</v>
      </c>
      <c r="AB2039" t="str">
        <f>HYPERLINK("Melting_Curves/meltCurve_P33764_S100A3.pdf", "Melting_Curves/meltCurve_P33764_S100A3.pdf")</f>
        <v>Melting_Curves/meltCurve_P33764_S100A3.pdf</v>
      </c>
    </row>
    <row r="2040" spans="1:28" x14ac:dyDescent="0.25">
      <c r="A2040" t="s">
        <v>2044</v>
      </c>
      <c r="B2040">
        <v>0.99987803227770999</v>
      </c>
      <c r="C2040">
        <v>0.8455701441183</v>
      </c>
      <c r="D2040">
        <v>0.90138453871289803</v>
      </c>
      <c r="E2040">
        <v>0.65031438582871604</v>
      </c>
      <c r="F2040">
        <v>0.45535606200072498</v>
      </c>
      <c r="G2040">
        <v>0.29250368157314999</v>
      </c>
      <c r="H2040">
        <v>0.301290261822932</v>
      </c>
      <c r="I2040">
        <v>0.24032148056127001</v>
      </c>
      <c r="J2040">
        <v>0.24300581500006799</v>
      </c>
      <c r="K2040">
        <v>0.19189805944685101</v>
      </c>
      <c r="L2040">
        <v>750.15303360027394</v>
      </c>
      <c r="M2040">
        <v>14.8397775751501</v>
      </c>
      <c r="N2040">
        <v>52.406208145901601</v>
      </c>
      <c r="O2040">
        <v>49.658835175745203</v>
      </c>
      <c r="P2040">
        <v>-5.9444952516552803E-2</v>
      </c>
      <c r="Q2040">
        <v>0.204393443504711</v>
      </c>
      <c r="R2040">
        <v>0.97979517041071196</v>
      </c>
      <c r="S2040" t="s">
        <v>8351</v>
      </c>
      <c r="T2040" t="s">
        <v>12620</v>
      </c>
      <c r="U2040" t="s">
        <v>12620</v>
      </c>
      <c r="V2040" t="s">
        <v>12620</v>
      </c>
      <c r="W2040" t="s">
        <v>14620</v>
      </c>
      <c r="X2040">
        <v>10</v>
      </c>
      <c r="Y2040" t="s">
        <v>20817</v>
      </c>
      <c r="Z2040" t="s">
        <v>26987</v>
      </c>
      <c r="AA2040">
        <v>0.5031739161650709</v>
      </c>
      <c r="AB2040" t="str">
        <f>HYPERLINK("Melting_Curves/meltCurve_P33981_2_TTK.pdf", "Melting_Curves/meltCurve_P33981_2_TTK.pdf")</f>
        <v>Melting_Curves/meltCurve_P33981_2_TTK.pdf</v>
      </c>
    </row>
    <row r="2041" spans="1:28" x14ac:dyDescent="0.25">
      <c r="A2041" t="s">
        <v>2045</v>
      </c>
      <c r="B2041">
        <v>0.99987803227770999</v>
      </c>
      <c r="C2041">
        <v>0.94851669687001805</v>
      </c>
      <c r="D2041">
        <v>0.764219784049739</v>
      </c>
      <c r="E2041">
        <v>0.82951493173947899</v>
      </c>
      <c r="F2041">
        <v>0.24926920024885099</v>
      </c>
      <c r="G2041">
        <v>0.15971867480978699</v>
      </c>
      <c r="H2041">
        <v>0.11632778813572101</v>
      </c>
      <c r="I2041">
        <v>0.101795452876332</v>
      </c>
      <c r="J2041">
        <v>7.7916325931946195E-2</v>
      </c>
      <c r="K2041">
        <v>5.26133413635975E-2</v>
      </c>
      <c r="L2041">
        <v>2513.1192150859301</v>
      </c>
      <c r="M2041">
        <v>48.911361537167998</v>
      </c>
      <c r="N2041">
        <v>51.611791350019203</v>
      </c>
      <c r="O2041">
        <v>51.2954289075563</v>
      </c>
      <c r="P2041">
        <v>-0.21497442932823799</v>
      </c>
      <c r="Q2041">
        <v>9.8189589938947497E-2</v>
      </c>
      <c r="R2041">
        <v>0.95630846322333296</v>
      </c>
      <c r="S2041" t="s">
        <v>8352</v>
      </c>
      <c r="T2041" t="s">
        <v>12620</v>
      </c>
      <c r="U2041" t="s">
        <v>12620</v>
      </c>
      <c r="V2041" t="s">
        <v>12620</v>
      </c>
      <c r="W2041" t="s">
        <v>14621</v>
      </c>
      <c r="X2041">
        <v>36</v>
      </c>
      <c r="Y2041" t="s">
        <v>20818</v>
      </c>
      <c r="Z2041" t="s">
        <v>26988</v>
      </c>
      <c r="AA2041">
        <v>0.44244551243564101</v>
      </c>
      <c r="AB2041" t="str">
        <f>HYPERLINK("Melting_Curves/meltCurve_P33991_MCM4.pdf", "Melting_Curves/meltCurve_P33991_MCM4.pdf")</f>
        <v>Melting_Curves/meltCurve_P33991_MCM4.pdf</v>
      </c>
    </row>
    <row r="2042" spans="1:28" x14ac:dyDescent="0.25">
      <c r="A2042" t="s">
        <v>2046</v>
      </c>
      <c r="B2042">
        <v>0.99987803227770999</v>
      </c>
      <c r="C2042">
        <v>0.92231708935427903</v>
      </c>
      <c r="D2042">
        <v>0.72882989140405496</v>
      </c>
      <c r="E2042">
        <v>0.77240758075347904</v>
      </c>
      <c r="F2042">
        <v>0.39487675334311201</v>
      </c>
      <c r="G2042">
        <v>0.168408021504525</v>
      </c>
      <c r="H2042">
        <v>0.10141726883301599</v>
      </c>
      <c r="I2042">
        <v>8.6001593013980596E-2</v>
      </c>
      <c r="J2042">
        <v>7.0371079906257294E-2</v>
      </c>
      <c r="K2042">
        <v>4.9317369105496903E-2</v>
      </c>
      <c r="L2042">
        <v>720.38325255418101</v>
      </c>
      <c r="M2042">
        <v>13.907994788649001</v>
      </c>
      <c r="N2042">
        <v>51.868999525997197</v>
      </c>
      <c r="O2042">
        <v>50.760750650552502</v>
      </c>
      <c r="P2042">
        <v>-6.7846203600974805E-2</v>
      </c>
      <c r="Q2042">
        <v>9.64682394123869E-3</v>
      </c>
      <c r="R2042">
        <v>0.96772850631186402</v>
      </c>
      <c r="S2042" t="s">
        <v>8353</v>
      </c>
      <c r="T2042" t="s">
        <v>12620</v>
      </c>
      <c r="U2042" t="s">
        <v>12620</v>
      </c>
      <c r="V2042" t="s">
        <v>12620</v>
      </c>
      <c r="W2042" t="s">
        <v>14622</v>
      </c>
      <c r="X2042">
        <v>39</v>
      </c>
      <c r="Y2042" t="s">
        <v>20819</v>
      </c>
      <c r="Z2042" t="s">
        <v>26989</v>
      </c>
      <c r="AA2042">
        <v>0.42406718992786069</v>
      </c>
      <c r="AB2042" t="str">
        <f>HYPERLINK("Melting_Curves/meltCurve_P33992_MCM5.pdf", "Melting_Curves/meltCurve_P33992_MCM5.pdf")</f>
        <v>Melting_Curves/meltCurve_P33992_MCM5.pdf</v>
      </c>
    </row>
    <row r="2043" spans="1:28" x14ac:dyDescent="0.25">
      <c r="A2043" t="s">
        <v>2047</v>
      </c>
      <c r="B2043">
        <v>0.99987803227770999</v>
      </c>
      <c r="C2043">
        <v>0.83491857430905903</v>
      </c>
      <c r="D2043">
        <v>0.55893316025653095</v>
      </c>
      <c r="E2043">
        <v>0.45049621417355401</v>
      </c>
      <c r="F2043">
        <v>0.20464809614443599</v>
      </c>
      <c r="G2043">
        <v>0.117806457101079</v>
      </c>
      <c r="H2043">
        <v>7.9027633141584494E-2</v>
      </c>
      <c r="I2043">
        <v>6.7030146302926599E-2</v>
      </c>
      <c r="J2043">
        <v>4.4314417510067899E-2</v>
      </c>
      <c r="K2043">
        <v>3.2136971368971798E-2</v>
      </c>
      <c r="L2043">
        <v>639.67923565208298</v>
      </c>
      <c r="M2043">
        <v>13.384464182315</v>
      </c>
      <c r="N2043">
        <v>47.982195008217403</v>
      </c>
      <c r="O2043">
        <v>46.763616373051001</v>
      </c>
      <c r="P2043">
        <v>-6.9722536371184196E-2</v>
      </c>
      <c r="Q2043">
        <v>2.57469348462744E-2</v>
      </c>
      <c r="R2043">
        <v>0.98444503732491695</v>
      </c>
      <c r="S2043" t="s">
        <v>8354</v>
      </c>
      <c r="T2043" t="s">
        <v>12620</v>
      </c>
      <c r="U2043" t="s">
        <v>12620</v>
      </c>
      <c r="V2043" t="s">
        <v>12620</v>
      </c>
      <c r="W2043" t="s">
        <v>14623</v>
      </c>
      <c r="X2043">
        <v>30</v>
      </c>
      <c r="Y2043" t="s">
        <v>20820</v>
      </c>
      <c r="Z2043" t="s">
        <v>26990</v>
      </c>
      <c r="AA2043">
        <v>0.31043557377553871</v>
      </c>
      <c r="AB2043" t="str">
        <f>HYPERLINK("Melting_Curves/meltCurve_P33993_MCM7.pdf", "Melting_Curves/meltCurve_P33993_MCM7.pdf")</f>
        <v>Melting_Curves/meltCurve_P33993_MCM7.pdf</v>
      </c>
    </row>
    <row r="2044" spans="1:28" x14ac:dyDescent="0.25">
      <c r="A2044" t="s">
        <v>2048</v>
      </c>
      <c r="B2044">
        <v>0.99987803227770999</v>
      </c>
      <c r="C2044">
        <v>1.05570958175188</v>
      </c>
      <c r="D2044">
        <v>0.93417762742042698</v>
      </c>
      <c r="E2044">
        <v>0.94144342201020903</v>
      </c>
      <c r="F2044">
        <v>0.75397686198615499</v>
      </c>
      <c r="G2044">
        <v>0.68879397299145495</v>
      </c>
      <c r="H2044">
        <v>0.90851884974568498</v>
      </c>
      <c r="I2044">
        <v>0.82506797007283605</v>
      </c>
      <c r="J2044">
        <v>0.81272968427319903</v>
      </c>
      <c r="K2044">
        <v>0.49838250205937101</v>
      </c>
      <c r="L2044">
        <v>296.74612607249998</v>
      </c>
      <c r="M2044">
        <v>3.5991228965847801</v>
      </c>
      <c r="O2044">
        <v>65.305795131015998</v>
      </c>
      <c r="P2044">
        <v>-1.4024994628903E-2</v>
      </c>
      <c r="Q2044">
        <v>0</v>
      </c>
      <c r="R2044">
        <v>0.55464899229604203</v>
      </c>
      <c r="S2044" t="s">
        <v>8355</v>
      </c>
      <c r="T2044" t="s">
        <v>12620</v>
      </c>
      <c r="U2044" t="s">
        <v>12620</v>
      </c>
      <c r="V2044" t="s">
        <v>12620</v>
      </c>
      <c r="W2044" t="s">
        <v>14624</v>
      </c>
      <c r="X2044">
        <v>9</v>
      </c>
      <c r="Y2044" t="s">
        <v>20821</v>
      </c>
      <c r="Z2044" t="s">
        <v>26991</v>
      </c>
      <c r="AA2044">
        <v>0.84342297750688799</v>
      </c>
      <c r="AB2044" t="str">
        <f>HYPERLINK("Melting_Curves/meltCurve_P34059_GALNS.pdf", "Melting_Curves/meltCurve_P34059_GALNS.pdf")</f>
        <v>Melting_Curves/meltCurve_P34059_GALNS.pdf</v>
      </c>
    </row>
    <row r="2045" spans="1:28" x14ac:dyDescent="0.25">
      <c r="A2045" t="s">
        <v>2049</v>
      </c>
      <c r="B2045">
        <v>0.99987803227770999</v>
      </c>
      <c r="C2045">
        <v>1.1429503964285399</v>
      </c>
      <c r="D2045">
        <v>1.00813048627258</v>
      </c>
      <c r="E2045">
        <v>1.2760859793756401</v>
      </c>
      <c r="F2045">
        <v>0.98869203385038695</v>
      </c>
      <c r="G2045">
        <v>1.0662698245858699</v>
      </c>
      <c r="H2045">
        <v>0.79097045319966297</v>
      </c>
      <c r="I2045">
        <v>0.32764081592390898</v>
      </c>
      <c r="J2045">
        <v>0.11567975721858199</v>
      </c>
      <c r="K2045">
        <v>7.6888771598579694E-2</v>
      </c>
      <c r="L2045">
        <v>2984.03472939943</v>
      </c>
      <c r="M2045">
        <v>47.626251958015203</v>
      </c>
      <c r="N2045">
        <v>62.866696627885801</v>
      </c>
      <c r="O2045">
        <v>62.545084328701101</v>
      </c>
      <c r="P2045">
        <v>-0.17627925597876701</v>
      </c>
      <c r="Q2045">
        <v>7.4007386673651407E-2</v>
      </c>
      <c r="R2045">
        <v>0.94122418997802504</v>
      </c>
      <c r="S2045" t="s">
        <v>8356</v>
      </c>
      <c r="T2045" t="s">
        <v>12620</v>
      </c>
      <c r="U2045" t="s">
        <v>12620</v>
      </c>
      <c r="V2045" t="s">
        <v>12620</v>
      </c>
      <c r="W2045" t="s">
        <v>14625</v>
      </c>
      <c r="X2045">
        <v>22</v>
      </c>
      <c r="Y2045" t="s">
        <v>20822</v>
      </c>
      <c r="Z2045" t="s">
        <v>26992</v>
      </c>
      <c r="AA2045">
        <v>0.7757575543998726</v>
      </c>
      <c r="AB2045" t="str">
        <f>HYPERLINK("Melting_Curves/meltCurve_P34896_2_SHMT1.pdf", "Melting_Curves/meltCurve_P34896_2_SHMT1.pdf")</f>
        <v>Melting_Curves/meltCurve_P34896_2_SHMT1.pdf</v>
      </c>
    </row>
    <row r="2046" spans="1:28" x14ac:dyDescent="0.25">
      <c r="A2046" t="s">
        <v>2050</v>
      </c>
      <c r="B2046">
        <v>0.99987803227770999</v>
      </c>
      <c r="C2046">
        <v>1.14691936042673</v>
      </c>
      <c r="D2046">
        <v>0.86203543448845998</v>
      </c>
      <c r="E2046">
        <v>1.07761425796819</v>
      </c>
      <c r="F2046">
        <v>0.78848013236514503</v>
      </c>
      <c r="G2046">
        <v>0.60751660669015495</v>
      </c>
      <c r="H2046">
        <v>0.31949325778996701</v>
      </c>
      <c r="I2046">
        <v>0.139485398873577</v>
      </c>
      <c r="J2046">
        <v>8.8295176823452698E-2</v>
      </c>
      <c r="K2046">
        <v>6.5500527085689597E-2</v>
      </c>
      <c r="L2046">
        <v>1085.5161464663599</v>
      </c>
      <c r="M2046">
        <v>18.688478270680399</v>
      </c>
      <c r="N2046">
        <v>58.182546035717003</v>
      </c>
      <c r="O2046">
        <v>57.431971058143198</v>
      </c>
      <c r="P2046">
        <v>-8.0096466812444297E-2</v>
      </c>
      <c r="Q2046">
        <v>1.5457082242922001E-2</v>
      </c>
      <c r="R2046">
        <v>0.962821024456328</v>
      </c>
      <c r="S2046" t="s">
        <v>8357</v>
      </c>
      <c r="T2046" t="s">
        <v>12620</v>
      </c>
      <c r="U2046" t="s">
        <v>12620</v>
      </c>
      <c r="V2046" t="s">
        <v>12620</v>
      </c>
      <c r="W2046" t="s">
        <v>14626</v>
      </c>
      <c r="X2046">
        <v>25</v>
      </c>
      <c r="Y2046" t="s">
        <v>20823</v>
      </c>
      <c r="Z2046" t="s">
        <v>26993</v>
      </c>
      <c r="AA2046">
        <v>0.62068927208442726</v>
      </c>
      <c r="AB2046" t="str">
        <f>HYPERLINK("Melting_Curves/meltCurve_P34897_3_SHMT2.pdf", "Melting_Curves/meltCurve_P34897_3_SHMT2.pdf")</f>
        <v>Melting_Curves/meltCurve_P34897_3_SHMT2.pdf</v>
      </c>
    </row>
    <row r="2047" spans="1:28" x14ac:dyDescent="0.25">
      <c r="A2047" t="s">
        <v>2051</v>
      </c>
      <c r="B2047">
        <v>0.99987803227770999</v>
      </c>
      <c r="C2047">
        <v>1.22132854612846</v>
      </c>
      <c r="D2047">
        <v>1.10547782546886</v>
      </c>
      <c r="E2047">
        <v>1.1920733279529601</v>
      </c>
      <c r="F2047">
        <v>0.99774491016424804</v>
      </c>
      <c r="G2047">
        <v>1.09578953190277</v>
      </c>
      <c r="H2047">
        <v>0.95772602575464805</v>
      </c>
      <c r="I2047">
        <v>0.24533272985996099</v>
      </c>
      <c r="J2047">
        <v>0.103992607847017</v>
      </c>
      <c r="K2047">
        <v>8.4562125944359398E-2</v>
      </c>
      <c r="L2047">
        <v>5997.6973241087499</v>
      </c>
      <c r="M2047">
        <v>95.310262478934007</v>
      </c>
      <c r="N2047">
        <v>63.063885031982899</v>
      </c>
      <c r="O2047">
        <v>62.900452135022498</v>
      </c>
      <c r="P2047">
        <v>-0.34368170573887902</v>
      </c>
      <c r="Q2047">
        <v>9.2742730565002998E-2</v>
      </c>
      <c r="R2047">
        <v>0.94461538143706802</v>
      </c>
      <c r="S2047" t="s">
        <v>8358</v>
      </c>
      <c r="T2047" t="s">
        <v>12620</v>
      </c>
      <c r="U2047" t="s">
        <v>12620</v>
      </c>
      <c r="V2047" t="s">
        <v>12620</v>
      </c>
      <c r="W2047" t="s">
        <v>14627</v>
      </c>
      <c r="X2047">
        <v>12</v>
      </c>
      <c r="Y2047" t="s">
        <v>20824</v>
      </c>
      <c r="Z2047" t="s">
        <v>26994</v>
      </c>
      <c r="AA2047">
        <v>0.78682198439794715</v>
      </c>
      <c r="AB2047" t="str">
        <f>HYPERLINK("Melting_Curves/meltCurve_P34913_EPHX2.pdf", "Melting_Curves/meltCurve_P34913_EPHX2.pdf")</f>
        <v>Melting_Curves/meltCurve_P34913_EPHX2.pdf</v>
      </c>
    </row>
    <row r="2048" spans="1:28" x14ac:dyDescent="0.25">
      <c r="A2048" t="s">
        <v>2052</v>
      </c>
      <c r="B2048">
        <v>0.99987803227770999</v>
      </c>
      <c r="C2048">
        <v>1.13813144796003</v>
      </c>
      <c r="D2048">
        <v>1.05992864705808</v>
      </c>
      <c r="E2048">
        <v>1.00550969548481</v>
      </c>
      <c r="F2048">
        <v>0.950914645811471</v>
      </c>
      <c r="G2048">
        <v>0.58360758421245196</v>
      </c>
      <c r="H2048">
        <v>0.61952876015084501</v>
      </c>
      <c r="I2048">
        <v>0.41782553616571999</v>
      </c>
      <c r="J2048">
        <v>0.26463927125521203</v>
      </c>
      <c r="K2048">
        <v>0.184547535265986</v>
      </c>
      <c r="L2048">
        <v>799.60188040000298</v>
      </c>
      <c r="M2048">
        <v>13.0244844070657</v>
      </c>
      <c r="N2048">
        <v>61.755014325261897</v>
      </c>
      <c r="O2048">
        <v>59.999032260500499</v>
      </c>
      <c r="P2048">
        <v>-5.2279891104165498E-2</v>
      </c>
      <c r="Q2048">
        <v>3.6831642192225199E-2</v>
      </c>
      <c r="R2048">
        <v>0.94264271741384897</v>
      </c>
      <c r="S2048" t="s">
        <v>8359</v>
      </c>
      <c r="T2048" t="s">
        <v>12620</v>
      </c>
      <c r="U2048" t="s">
        <v>12620</v>
      </c>
      <c r="V2048" t="s">
        <v>12620</v>
      </c>
      <c r="W2048" t="s">
        <v>14628</v>
      </c>
      <c r="X2048">
        <v>19</v>
      </c>
      <c r="Y2048" t="s">
        <v>20825</v>
      </c>
      <c r="Z2048" t="s">
        <v>26995</v>
      </c>
      <c r="AA2048">
        <v>0.72011406495881591</v>
      </c>
      <c r="AB2048" t="str">
        <f>HYPERLINK("Melting_Curves/meltCurve_P34931_HSPA1L.pdf", "Melting_Curves/meltCurve_P34931_HSPA1L.pdf")</f>
        <v>Melting_Curves/meltCurve_P34931_HSPA1L.pdf</v>
      </c>
    </row>
    <row r="2049" spans="1:28" x14ac:dyDescent="0.25">
      <c r="A2049" t="s">
        <v>2053</v>
      </c>
      <c r="B2049">
        <v>0.99987803227770999</v>
      </c>
      <c r="C2049">
        <v>0.98582997681247098</v>
      </c>
      <c r="D2049">
        <v>0.94024515453833502</v>
      </c>
      <c r="E2049">
        <v>0.95341680580386501</v>
      </c>
      <c r="F2049">
        <v>0.29060802091333399</v>
      </c>
      <c r="G2049">
        <v>0.208407832021691</v>
      </c>
      <c r="H2049">
        <v>0.141970015425953</v>
      </c>
      <c r="I2049">
        <v>0.121059993491033</v>
      </c>
      <c r="J2049">
        <v>0.104736939534308</v>
      </c>
      <c r="K2049">
        <v>7.2642865522412697E-2</v>
      </c>
      <c r="L2049">
        <v>3777.94941140845</v>
      </c>
      <c r="M2049">
        <v>72.749192755874105</v>
      </c>
      <c r="N2049">
        <v>52.145461142201498</v>
      </c>
      <c r="O2049">
        <v>51.8919524500214</v>
      </c>
      <c r="P2049">
        <v>-0.30519798185154201</v>
      </c>
      <c r="Q2049">
        <v>0.12921006831700599</v>
      </c>
      <c r="R2049">
        <v>0.99145120111961904</v>
      </c>
      <c r="S2049" t="s">
        <v>8360</v>
      </c>
      <c r="T2049" t="s">
        <v>12620</v>
      </c>
      <c r="U2049" t="s">
        <v>12620</v>
      </c>
      <c r="V2049" t="s">
        <v>12620</v>
      </c>
      <c r="W2049" t="s">
        <v>14629</v>
      </c>
      <c r="X2049">
        <v>59</v>
      </c>
      <c r="Y2049" t="s">
        <v>20826</v>
      </c>
      <c r="Z2049" t="s">
        <v>26996</v>
      </c>
      <c r="AA2049">
        <v>0.47646711228588418</v>
      </c>
      <c r="AB2049" t="str">
        <f>HYPERLINK("Melting_Curves/meltCurve_P34932_HSPA4.pdf", "Melting_Curves/meltCurve_P34932_HSPA4.pdf")</f>
        <v>Melting_Curves/meltCurve_P34932_HSPA4.pdf</v>
      </c>
    </row>
    <row r="2050" spans="1:28" x14ac:dyDescent="0.25">
      <c r="A2050" t="s">
        <v>2054</v>
      </c>
      <c r="B2050">
        <v>0.99987803227770999</v>
      </c>
      <c r="C2050">
        <v>1.1246322744199899</v>
      </c>
      <c r="D2050">
        <v>0.93937121084916697</v>
      </c>
      <c r="E2050">
        <v>1.0150579631216099</v>
      </c>
      <c r="F2050">
        <v>0.800913770886168</v>
      </c>
      <c r="G2050">
        <v>1.3674921365886801</v>
      </c>
      <c r="H2050">
        <v>0.457619581728477</v>
      </c>
      <c r="I2050">
        <v>0.57438553863082997</v>
      </c>
      <c r="J2050">
        <v>0.18574574147982101</v>
      </c>
      <c r="K2050">
        <v>0.138620857697483</v>
      </c>
      <c r="L2050">
        <v>2034.7668012254101</v>
      </c>
      <c r="M2050">
        <v>32.833639116269801</v>
      </c>
      <c r="N2050">
        <v>62.717075971846597</v>
      </c>
      <c r="O2050">
        <v>61.743486732707503</v>
      </c>
      <c r="P2050">
        <v>-0.111475188029852</v>
      </c>
      <c r="Q2050">
        <v>0.161489789394649</v>
      </c>
      <c r="R2050">
        <v>0.78514159590159704</v>
      </c>
      <c r="S2050" t="s">
        <v>8361</v>
      </c>
      <c r="T2050" t="s">
        <v>12620</v>
      </c>
      <c r="U2050" t="s">
        <v>12620</v>
      </c>
      <c r="V2050" t="s">
        <v>12620</v>
      </c>
      <c r="W2050" t="s">
        <v>14630</v>
      </c>
      <c r="X2050">
        <v>1</v>
      </c>
      <c r="Y2050" t="s">
        <v>20827</v>
      </c>
      <c r="Z2050" t="s">
        <v>26997</v>
      </c>
      <c r="AA2050">
        <v>0.77931062003107932</v>
      </c>
      <c r="AB2050" t="str">
        <f>HYPERLINK("Melting_Curves/meltCurve_P35052_GPC1.pdf", "Melting_Curves/meltCurve_P35052_GPC1.pdf")</f>
        <v>Melting_Curves/meltCurve_P35052_GPC1.pdf</v>
      </c>
    </row>
    <row r="2051" spans="1:28" x14ac:dyDescent="0.25">
      <c r="A2051" t="s">
        <v>2055</v>
      </c>
      <c r="B2051">
        <v>0.99987803227770999</v>
      </c>
      <c r="C2051">
        <v>0.94996652305302298</v>
      </c>
      <c r="D2051">
        <v>1.09138354962637</v>
      </c>
      <c r="E2051">
        <v>0.91696194647151696</v>
      </c>
      <c r="F2051">
        <v>0.72709784170559</v>
      </c>
      <c r="G2051">
        <v>0.26641853016115002</v>
      </c>
      <c r="H2051">
        <v>0.16171016430542401</v>
      </c>
      <c r="I2051">
        <v>0.127146054879337</v>
      </c>
      <c r="J2051">
        <v>7.8199679234549999E-2</v>
      </c>
      <c r="K2051">
        <v>5.5226694696043202E-2</v>
      </c>
      <c r="L2051">
        <v>1569.55831148176</v>
      </c>
      <c r="M2051">
        <v>28.819155213276499</v>
      </c>
      <c r="N2051">
        <v>54.828746234771998</v>
      </c>
      <c r="O2051">
        <v>54.202117966064797</v>
      </c>
      <c r="P2051">
        <v>-0.121282176299969</v>
      </c>
      <c r="Q2051">
        <v>8.7592884338184795E-2</v>
      </c>
      <c r="R2051">
        <v>0.99072582686536304</v>
      </c>
      <c r="S2051" t="s">
        <v>8362</v>
      </c>
      <c r="T2051" t="s">
        <v>12620</v>
      </c>
      <c r="U2051" t="s">
        <v>12620</v>
      </c>
      <c r="V2051" t="s">
        <v>12620</v>
      </c>
      <c r="W2051" t="s">
        <v>14631</v>
      </c>
      <c r="X2051">
        <v>9</v>
      </c>
      <c r="Y2051" t="s">
        <v>20828</v>
      </c>
      <c r="Z2051" t="s">
        <v>26998</v>
      </c>
      <c r="AA2051">
        <v>0.53394498563841419</v>
      </c>
      <c r="AB2051" t="str">
        <f>HYPERLINK("Melting_Curves/meltCurve_P35219_CA8.pdf", "Melting_Curves/meltCurve_P35219_CA8.pdf")</f>
        <v>Melting_Curves/meltCurve_P35219_CA8.pdf</v>
      </c>
    </row>
    <row r="2052" spans="1:28" x14ac:dyDescent="0.25">
      <c r="A2052" t="s">
        <v>2056</v>
      </c>
      <c r="B2052">
        <v>0.99987803227770999</v>
      </c>
      <c r="C2052">
        <v>1.0832791938600099</v>
      </c>
      <c r="D2052">
        <v>1.0290241096186801</v>
      </c>
      <c r="E2052">
        <v>1.11379668923363</v>
      </c>
      <c r="F2052">
        <v>1.0033499615794099</v>
      </c>
      <c r="G2052">
        <v>0.69926658184537205</v>
      </c>
      <c r="H2052">
        <v>0.22839687294906699</v>
      </c>
      <c r="I2052">
        <v>0.14139328050997799</v>
      </c>
      <c r="J2052">
        <v>9.4391380706548803E-2</v>
      </c>
      <c r="K2052">
        <v>6.8113741025840793E-2</v>
      </c>
      <c r="L2052">
        <v>2155.49011940131</v>
      </c>
      <c r="M2052">
        <v>37.0615041056517</v>
      </c>
      <c r="N2052">
        <v>58.466185720948403</v>
      </c>
      <c r="O2052">
        <v>57.991260634484398</v>
      </c>
      <c r="P2052">
        <v>-0.14567133548675501</v>
      </c>
      <c r="Q2052">
        <v>8.8257132227469906E-2</v>
      </c>
      <c r="R2052">
        <v>0.98772273313910797</v>
      </c>
      <c r="S2052" t="s">
        <v>8363</v>
      </c>
      <c r="T2052" t="s">
        <v>12620</v>
      </c>
      <c r="U2052" t="s">
        <v>12620</v>
      </c>
      <c r="V2052" t="s">
        <v>12620</v>
      </c>
      <c r="W2052" t="s">
        <v>14632</v>
      </c>
      <c r="X2052">
        <v>42</v>
      </c>
      <c r="Y2052" t="s">
        <v>20829</v>
      </c>
      <c r="Z2052" t="s">
        <v>26999</v>
      </c>
      <c r="AA2052">
        <v>0.64429672313529207</v>
      </c>
      <c r="AB2052" t="str">
        <f>HYPERLINK("Melting_Curves/meltCurve_P35221_CTNNA1.pdf", "Melting_Curves/meltCurve_P35221_CTNNA1.pdf")</f>
        <v>Melting_Curves/meltCurve_P35221_CTNNA1.pdf</v>
      </c>
    </row>
    <row r="2053" spans="1:28" x14ac:dyDescent="0.25">
      <c r="A2053" t="s">
        <v>2057</v>
      </c>
      <c r="B2053">
        <v>0.99987803227770999</v>
      </c>
      <c r="C2053">
        <v>1.27843289054883</v>
      </c>
      <c r="D2053">
        <v>1.17897938020467</v>
      </c>
      <c r="E2053">
        <v>1.46818011961798</v>
      </c>
      <c r="F2053">
        <v>1.8011500616720699</v>
      </c>
      <c r="G2053">
        <v>4.3258639590490704</v>
      </c>
      <c r="H2053">
        <v>1.75346229165783</v>
      </c>
      <c r="I2053">
        <v>0.59655646343601798</v>
      </c>
      <c r="J2053">
        <v>0.41205402584884898</v>
      </c>
      <c r="K2053">
        <v>0.229622195226312</v>
      </c>
      <c r="L2053">
        <v>15000</v>
      </c>
      <c r="M2053">
        <v>234.75527479594899</v>
      </c>
      <c r="N2053">
        <v>64.176874302477401</v>
      </c>
      <c r="O2053">
        <v>63.891703424205097</v>
      </c>
      <c r="P2053">
        <v>-0.62387186246093396</v>
      </c>
      <c r="Q2053">
        <v>0.32082074761951701</v>
      </c>
      <c r="R2053">
        <v>-4.5604176925398102E-2</v>
      </c>
      <c r="S2053" t="s">
        <v>8364</v>
      </c>
      <c r="T2053" t="s">
        <v>12620</v>
      </c>
      <c r="U2053" t="s">
        <v>12620</v>
      </c>
      <c r="V2053" t="s">
        <v>12620</v>
      </c>
      <c r="W2053" t="s">
        <v>14633</v>
      </c>
      <c r="X2053">
        <v>7</v>
      </c>
      <c r="Y2053" t="s">
        <v>20830</v>
      </c>
      <c r="Z2053" t="s">
        <v>27000</v>
      </c>
      <c r="AA2053">
        <v>0.86190345999114071</v>
      </c>
      <c r="AB2053" t="str">
        <f>HYPERLINK("Melting_Curves/meltCurve_P35237_SERPINB6.pdf", "Melting_Curves/meltCurve_P35237_SERPINB6.pdf")</f>
        <v>Melting_Curves/meltCurve_P35237_SERPINB6.pdf</v>
      </c>
    </row>
    <row r="2054" spans="1:28" x14ac:dyDescent="0.25">
      <c r="A2054" t="s">
        <v>2058</v>
      </c>
      <c r="B2054">
        <v>0.99987803227770999</v>
      </c>
      <c r="C2054">
        <v>1.0271510883527</v>
      </c>
      <c r="D2054">
        <v>1.04741468467867</v>
      </c>
      <c r="E2054">
        <v>0.82877994438614</v>
      </c>
      <c r="F2054">
        <v>0.29460367168948398</v>
      </c>
      <c r="G2054">
        <v>0.184640027801036</v>
      </c>
      <c r="H2054">
        <v>0.13528156114996501</v>
      </c>
      <c r="I2054">
        <v>0.113133943910819</v>
      </c>
      <c r="J2054">
        <v>0.101828466150373</v>
      </c>
      <c r="K2054">
        <v>7.4433195397046001E-2</v>
      </c>
      <c r="L2054">
        <v>2437.2006140213098</v>
      </c>
      <c r="M2054">
        <v>47.332593223609699</v>
      </c>
      <c r="N2054">
        <v>51.788229647564798</v>
      </c>
      <c r="O2054">
        <v>51.399298713829701</v>
      </c>
      <c r="P2054">
        <v>-0.202835919331848</v>
      </c>
      <c r="Q2054">
        <v>0.118948506107212</v>
      </c>
      <c r="R2054">
        <v>0.99463092769049</v>
      </c>
      <c r="S2054" t="s">
        <v>8365</v>
      </c>
      <c r="T2054" t="s">
        <v>12620</v>
      </c>
      <c r="U2054" t="s">
        <v>12620</v>
      </c>
      <c r="V2054" t="s">
        <v>12620</v>
      </c>
      <c r="W2054" t="s">
        <v>14634</v>
      </c>
      <c r="X2054">
        <v>7</v>
      </c>
      <c r="Y2054" t="s">
        <v>20831</v>
      </c>
      <c r="Z2054" t="s">
        <v>27001</v>
      </c>
      <c r="AA2054">
        <v>0.45865366760242399</v>
      </c>
      <c r="AB2054" t="str">
        <f>HYPERLINK("Melting_Curves/meltCurve_P35240_5_NF2.pdf", "Melting_Curves/meltCurve_P35240_5_NF2.pdf")</f>
        <v>Melting_Curves/meltCurve_P35240_5_NF2.pdf</v>
      </c>
    </row>
    <row r="2055" spans="1:28" x14ac:dyDescent="0.25">
      <c r="A2055" t="s">
        <v>2059</v>
      </c>
      <c r="B2055">
        <v>0.99987803227770999</v>
      </c>
      <c r="C2055">
        <v>1.0313078474392301</v>
      </c>
      <c r="D2055">
        <v>1.0196386886162301</v>
      </c>
      <c r="E2055">
        <v>1.08925669245887</v>
      </c>
      <c r="F2055">
        <v>1.0918448208317499</v>
      </c>
      <c r="G2055">
        <v>1.0560258275969501</v>
      </c>
      <c r="H2055">
        <v>0.90494370275903302</v>
      </c>
      <c r="I2055">
        <v>0.171662802131166</v>
      </c>
      <c r="J2055">
        <v>0.106915027220709</v>
      </c>
      <c r="K2055">
        <v>8.7927713026905802E-2</v>
      </c>
      <c r="L2055">
        <v>5909.1573750916696</v>
      </c>
      <c r="M2055">
        <v>94.730107473564502</v>
      </c>
      <c r="N2055">
        <v>62.520667982491702</v>
      </c>
      <c r="O2055">
        <v>62.351089171243302</v>
      </c>
      <c r="P2055">
        <v>-0.34310899477009299</v>
      </c>
      <c r="Q2055">
        <v>9.6666576342534796E-2</v>
      </c>
      <c r="R2055">
        <v>0.98795532500687</v>
      </c>
      <c r="S2055" t="s">
        <v>8366</v>
      </c>
      <c r="T2055" t="s">
        <v>12620</v>
      </c>
      <c r="U2055" t="s">
        <v>12620</v>
      </c>
      <c r="V2055" t="s">
        <v>12620</v>
      </c>
      <c r="W2055" t="s">
        <v>14635</v>
      </c>
      <c r="X2055">
        <v>58</v>
      </c>
      <c r="Y2055" t="s">
        <v>20832</v>
      </c>
      <c r="Z2055" t="s">
        <v>27002</v>
      </c>
      <c r="AA2055">
        <v>0.77120820005857715</v>
      </c>
      <c r="AB2055" t="str">
        <f>HYPERLINK("Melting_Curves/meltCurve_P35241_RDX.pdf", "Melting_Curves/meltCurve_P35241_RDX.pdf")</f>
        <v>Melting_Curves/meltCurve_P35241_RDX.pdf</v>
      </c>
    </row>
    <row r="2056" spans="1:28" x14ac:dyDescent="0.25">
      <c r="A2056" t="s">
        <v>2060</v>
      </c>
      <c r="B2056">
        <v>0.99987803227770999</v>
      </c>
      <c r="C2056">
        <v>1.0143266148683501</v>
      </c>
      <c r="D2056">
        <v>1.0016818327519701</v>
      </c>
      <c r="E2056">
        <v>0.98661274212485695</v>
      </c>
      <c r="F2056">
        <v>0.80525565453294301</v>
      </c>
      <c r="G2056">
        <v>0.61141581807620804</v>
      </c>
      <c r="H2056">
        <v>0.32143573922628299</v>
      </c>
      <c r="I2056">
        <v>0.288609096830302</v>
      </c>
      <c r="J2056">
        <v>0.160083243619526</v>
      </c>
      <c r="K2056">
        <v>0.113076920562986</v>
      </c>
      <c r="L2056">
        <v>974.05794005756502</v>
      </c>
      <c r="M2056">
        <v>16.8334996273142</v>
      </c>
      <c r="N2056">
        <v>58.498836043822003</v>
      </c>
      <c r="O2056">
        <v>57.0661548815172</v>
      </c>
      <c r="P2056">
        <v>-6.7595715167094797E-2</v>
      </c>
      <c r="Q2056">
        <v>8.3451464954799701E-2</v>
      </c>
      <c r="R2056">
        <v>0.99356527960375596</v>
      </c>
      <c r="S2056" t="s">
        <v>8367</v>
      </c>
      <c r="T2056" t="s">
        <v>12620</v>
      </c>
      <c r="U2056" t="s">
        <v>12620</v>
      </c>
      <c r="V2056" t="s">
        <v>12620</v>
      </c>
      <c r="W2056" t="s">
        <v>14636</v>
      </c>
      <c r="X2056">
        <v>4</v>
      </c>
      <c r="Y2056" t="s">
        <v>20833</v>
      </c>
      <c r="Z2056" t="s">
        <v>27003</v>
      </c>
      <c r="AA2056">
        <v>0.64128326233073396</v>
      </c>
      <c r="AB2056" t="str">
        <f>HYPERLINK("Melting_Curves/meltCurve_P35244_RPA3.pdf", "Melting_Curves/meltCurve_P35244_RPA3.pdf")</f>
        <v>Melting_Curves/meltCurve_P35244_RPA3.pdf</v>
      </c>
    </row>
    <row r="2057" spans="1:28" x14ac:dyDescent="0.25">
      <c r="A2057" t="s">
        <v>2061</v>
      </c>
      <c r="B2057">
        <v>0.99987803227770999</v>
      </c>
      <c r="C2057">
        <v>1.08370398712783</v>
      </c>
      <c r="D2057">
        <v>0.64139495469603502</v>
      </c>
      <c r="E2057">
        <v>0.43181994934497703</v>
      </c>
      <c r="F2057">
        <v>0.19539014743376801</v>
      </c>
      <c r="G2057">
        <v>0.13500307519266</v>
      </c>
      <c r="H2057">
        <v>0.10593726895997201</v>
      </c>
      <c r="I2057">
        <v>7.7444306456651499E-2</v>
      </c>
      <c r="J2057">
        <v>7.4593187063580799E-2</v>
      </c>
      <c r="K2057">
        <v>4.4678994225801502E-2</v>
      </c>
      <c r="L2057">
        <v>960.439076242959</v>
      </c>
      <c r="M2057">
        <v>19.896083880032698</v>
      </c>
      <c r="N2057">
        <v>48.666270263659499</v>
      </c>
      <c r="O2057">
        <v>47.793049999043198</v>
      </c>
      <c r="P2057">
        <v>-9.6344633113595701E-2</v>
      </c>
      <c r="Q2057">
        <v>7.4300163699321395E-2</v>
      </c>
      <c r="R2057">
        <v>0.97208890328996</v>
      </c>
      <c r="S2057" t="s">
        <v>8368</v>
      </c>
      <c r="T2057" t="s">
        <v>12620</v>
      </c>
      <c r="U2057" t="s">
        <v>12620</v>
      </c>
      <c r="V2057" t="s">
        <v>12620</v>
      </c>
      <c r="W2057" t="s">
        <v>14637</v>
      </c>
      <c r="X2057">
        <v>10</v>
      </c>
      <c r="Y2057" t="s">
        <v>20834</v>
      </c>
      <c r="Z2057" t="s">
        <v>27004</v>
      </c>
      <c r="AA2057">
        <v>0.34280227471760488</v>
      </c>
      <c r="AB2057" t="str">
        <f>HYPERLINK("Melting_Curves/meltCurve_P35249_RFC4.pdf", "Melting_Curves/meltCurve_P35249_RFC4.pdf")</f>
        <v>Melting_Curves/meltCurve_P35249_RFC4.pdf</v>
      </c>
    </row>
    <row r="2058" spans="1:28" x14ac:dyDescent="0.25">
      <c r="A2058" t="s">
        <v>2062</v>
      </c>
      <c r="B2058">
        <v>0.99987803227770999</v>
      </c>
      <c r="C2058">
        <v>0.96440953557702602</v>
      </c>
      <c r="D2058">
        <v>0.55654003639019001</v>
      </c>
      <c r="E2058">
        <v>0.38773072448451101</v>
      </c>
      <c r="F2058">
        <v>0.237631191768233</v>
      </c>
      <c r="G2058">
        <v>0.12091452525388</v>
      </c>
      <c r="H2058">
        <v>7.7476339692847895E-2</v>
      </c>
      <c r="I2058">
        <v>6.9555011347345694E-2</v>
      </c>
      <c r="J2058">
        <v>5.8555017324274802E-2</v>
      </c>
      <c r="K2058">
        <v>4.4450912628199203E-2</v>
      </c>
      <c r="L2058">
        <v>782.01595367090999</v>
      </c>
      <c r="M2058">
        <v>16.4145056720258</v>
      </c>
      <c r="N2058">
        <v>47.994558081123898</v>
      </c>
      <c r="O2058">
        <v>46.951498591841201</v>
      </c>
      <c r="P2058">
        <v>-8.2440028906903301E-2</v>
      </c>
      <c r="Q2058">
        <v>5.6832243060203097E-2</v>
      </c>
      <c r="R2058">
        <v>0.98022239848858295</v>
      </c>
      <c r="S2058" t="s">
        <v>8369</v>
      </c>
      <c r="T2058" t="s">
        <v>12620</v>
      </c>
      <c r="U2058" t="s">
        <v>12620</v>
      </c>
      <c r="V2058" t="s">
        <v>12620</v>
      </c>
      <c r="W2058" t="s">
        <v>14638</v>
      </c>
      <c r="X2058">
        <v>10</v>
      </c>
      <c r="Y2058" t="s">
        <v>20835</v>
      </c>
      <c r="Z2058" t="s">
        <v>27005</v>
      </c>
      <c r="AA2058">
        <v>0.31763137759765592</v>
      </c>
      <c r="AB2058" t="str">
        <f>HYPERLINK("Melting_Curves/meltCurve_P35250_RFC2.pdf", "Melting_Curves/meltCurve_P35250_RFC2.pdf")</f>
        <v>Melting_Curves/meltCurve_P35250_RFC2.pdf</v>
      </c>
    </row>
    <row r="2059" spans="1:28" x14ac:dyDescent="0.25">
      <c r="A2059" t="s">
        <v>2063</v>
      </c>
      <c r="B2059">
        <v>0.99987803227770999</v>
      </c>
      <c r="C2059">
        <v>0.872177870266305</v>
      </c>
      <c r="D2059">
        <v>0.98942027730776605</v>
      </c>
      <c r="E2059">
        <v>0.85454543642581504</v>
      </c>
      <c r="F2059">
        <v>0.98924152438372304</v>
      </c>
      <c r="G2059">
        <v>0.75721471238534199</v>
      </c>
      <c r="H2059">
        <v>0.84427328440190397</v>
      </c>
      <c r="I2059">
        <v>0.76530969124603898</v>
      </c>
      <c r="J2059">
        <v>0.77242134744308399</v>
      </c>
      <c r="K2059">
        <v>0.64144533884808497</v>
      </c>
      <c r="L2059">
        <v>271.13209075426499</v>
      </c>
      <c r="M2059">
        <v>3.0660705461372699</v>
      </c>
      <c r="O2059">
        <v>65.732922272055504</v>
      </c>
      <c r="P2059">
        <v>-1.19993080612577E-2</v>
      </c>
      <c r="Q2059">
        <v>0</v>
      </c>
      <c r="R2059">
        <v>0.69176019028822699</v>
      </c>
      <c r="S2059" t="s">
        <v>8370</v>
      </c>
      <c r="T2059" t="s">
        <v>12620</v>
      </c>
      <c r="U2059" t="s">
        <v>12620</v>
      </c>
      <c r="V2059" t="s">
        <v>12620</v>
      </c>
      <c r="W2059" t="s">
        <v>14639</v>
      </c>
      <c r="X2059">
        <v>8</v>
      </c>
      <c r="Y2059" t="s">
        <v>20836</v>
      </c>
      <c r="Z2059" t="s">
        <v>27006</v>
      </c>
      <c r="AA2059">
        <v>0.85477412543437237</v>
      </c>
      <c r="AB2059" t="str">
        <f>HYPERLINK("Melting_Curves/meltCurve_P35251_2_RFC1.pdf", "Melting_Curves/meltCurve_P35251_2_RFC1.pdf")</f>
        <v>Melting_Curves/meltCurve_P35251_2_RFC1.pdf</v>
      </c>
    </row>
    <row r="2060" spans="1:28" x14ac:dyDescent="0.25">
      <c r="A2060" t="s">
        <v>2064</v>
      </c>
      <c r="B2060">
        <v>0.99987803227770999</v>
      </c>
      <c r="C2060">
        <v>1.0686467115518601</v>
      </c>
      <c r="D2060">
        <v>1.11465828287119</v>
      </c>
      <c r="E2060">
        <v>1.0789357522668801</v>
      </c>
      <c r="F2060">
        <v>0.96399757508165096</v>
      </c>
      <c r="G2060">
        <v>0.80439446703773199</v>
      </c>
      <c r="H2060">
        <v>0.51143498482237404</v>
      </c>
      <c r="I2060">
        <v>0.285111802392158</v>
      </c>
      <c r="J2060">
        <v>0.126286368688727</v>
      </c>
      <c r="K2060">
        <v>8.7590823231846804E-2</v>
      </c>
      <c r="L2060">
        <v>1345.3011788461299</v>
      </c>
      <c r="M2060">
        <v>22.094066293023701</v>
      </c>
      <c r="N2060">
        <v>61.051566099310698</v>
      </c>
      <c r="O2060">
        <v>60.397446755064998</v>
      </c>
      <c r="P2060">
        <v>-8.8853366480255005E-2</v>
      </c>
      <c r="Q2060">
        <v>2.84449100194143E-2</v>
      </c>
      <c r="R2060">
        <v>0.982777602173871</v>
      </c>
      <c r="S2060" t="s">
        <v>8371</v>
      </c>
      <c r="T2060" t="s">
        <v>12620</v>
      </c>
      <c r="U2060" t="s">
        <v>12620</v>
      </c>
      <c r="V2060" t="s">
        <v>12620</v>
      </c>
      <c r="W2060" t="s">
        <v>14640</v>
      </c>
      <c r="X2060">
        <v>6</v>
      </c>
      <c r="Y2060" t="s">
        <v>20837</v>
      </c>
      <c r="Z2060" t="s">
        <v>27007</v>
      </c>
      <c r="AA2060">
        <v>0.71136343844033623</v>
      </c>
      <c r="AB2060" t="str">
        <f>HYPERLINK("Melting_Curves/meltCurve_P35268_RPL22.pdf", "Melting_Curves/meltCurve_P35268_RPL22.pdf")</f>
        <v>Melting_Curves/meltCurve_P35268_RPL22.pdf</v>
      </c>
    </row>
    <row r="2061" spans="1:28" x14ac:dyDescent="0.25">
      <c r="A2061" t="s">
        <v>2065</v>
      </c>
      <c r="B2061">
        <v>0.99987803227770999</v>
      </c>
      <c r="C2061">
        <v>0.94771817587654505</v>
      </c>
      <c r="D2061">
        <v>1.00438979364734</v>
      </c>
      <c r="E2061">
        <v>1.0195985849599301</v>
      </c>
      <c r="F2061">
        <v>1.0603333962705499</v>
      </c>
      <c r="G2061">
        <v>0.78323294429302304</v>
      </c>
      <c r="H2061">
        <v>0.68165381349098098</v>
      </c>
      <c r="I2061">
        <v>0.63516568743794499</v>
      </c>
      <c r="J2061">
        <v>0.61900915203972895</v>
      </c>
      <c r="K2061">
        <v>0.51478758782984202</v>
      </c>
      <c r="L2061">
        <v>1755.82850275185</v>
      </c>
      <c r="M2061">
        <v>30.4472553868296</v>
      </c>
      <c r="O2061">
        <v>57.420823439416402</v>
      </c>
      <c r="P2061">
        <v>-5.5093270093136498E-2</v>
      </c>
      <c r="Q2061">
        <v>0.58439847632467801</v>
      </c>
      <c r="R2061">
        <v>0.94339021579786697</v>
      </c>
      <c r="S2061" t="s">
        <v>8372</v>
      </c>
      <c r="T2061" t="s">
        <v>12620</v>
      </c>
      <c r="U2061" t="s">
        <v>12620</v>
      </c>
      <c r="V2061" t="s">
        <v>12620</v>
      </c>
      <c r="W2061" t="s">
        <v>14641</v>
      </c>
      <c r="X2061">
        <v>18</v>
      </c>
      <c r="Y2061" t="s">
        <v>20838</v>
      </c>
      <c r="Z2061" t="s">
        <v>27008</v>
      </c>
      <c r="AA2061">
        <v>0.83184016272307715</v>
      </c>
      <c r="AB2061" t="str">
        <f>HYPERLINK("Melting_Curves/meltCurve_P35269_GTF2F1.pdf", "Melting_Curves/meltCurve_P35269_GTF2F1.pdf")</f>
        <v>Melting_Curves/meltCurve_P35269_GTF2F1.pdf</v>
      </c>
    </row>
    <row r="2062" spans="1:28" x14ac:dyDescent="0.25">
      <c r="A2062" t="s">
        <v>2066</v>
      </c>
      <c r="B2062">
        <v>0.99987803227770999</v>
      </c>
      <c r="C2062">
        <v>0.91895934564804604</v>
      </c>
      <c r="D2062">
        <v>0.93936702013379303</v>
      </c>
      <c r="E2062">
        <v>0.57480433202553505</v>
      </c>
      <c r="F2062">
        <v>0.20525880733343399</v>
      </c>
      <c r="G2062">
        <v>0.13743027909174799</v>
      </c>
      <c r="H2062">
        <v>9.6243582240496006E-2</v>
      </c>
      <c r="I2062">
        <v>8.1104625492220694E-2</v>
      </c>
      <c r="J2062">
        <v>6.2811064590673399E-2</v>
      </c>
      <c r="K2062">
        <v>4.3682426785873099E-2</v>
      </c>
      <c r="L2062">
        <v>1476.4427082439599</v>
      </c>
      <c r="M2062">
        <v>29.425028630885201</v>
      </c>
      <c r="N2062">
        <v>50.450057277244497</v>
      </c>
      <c r="O2062">
        <v>49.946382483170801</v>
      </c>
      <c r="P2062">
        <v>-0.13642102910475201</v>
      </c>
      <c r="Q2062">
        <v>7.3755941758847698E-2</v>
      </c>
      <c r="R2062">
        <v>0.99372787127322704</v>
      </c>
      <c r="S2062" t="s">
        <v>8373</v>
      </c>
      <c r="T2062" t="s">
        <v>12620</v>
      </c>
      <c r="U2062" t="s">
        <v>12620</v>
      </c>
      <c r="V2062" t="s">
        <v>12620</v>
      </c>
      <c r="W2062" t="s">
        <v>14642</v>
      </c>
      <c r="X2062">
        <v>12</v>
      </c>
      <c r="Y2062" t="s">
        <v>20839</v>
      </c>
      <c r="Z2062" t="s">
        <v>27009</v>
      </c>
      <c r="AA2062">
        <v>0.39392540099332679</v>
      </c>
      <c r="AB2062" t="str">
        <f>HYPERLINK("Melting_Curves/meltCurve_P35270_SPR.pdf", "Melting_Curves/meltCurve_P35270_SPR.pdf")</f>
        <v>Melting_Curves/meltCurve_P35270_SPR.pdf</v>
      </c>
    </row>
    <row r="2063" spans="1:28" x14ac:dyDescent="0.25">
      <c r="A2063" t="s">
        <v>2067</v>
      </c>
      <c r="B2063">
        <v>0.99987803227770999</v>
      </c>
      <c r="C2063">
        <v>1.1560462683483601</v>
      </c>
      <c r="D2063">
        <v>0.95504747423902503</v>
      </c>
      <c r="E2063">
        <v>0.998753303278619</v>
      </c>
      <c r="F2063">
        <v>0.584155390322039</v>
      </c>
      <c r="G2063">
        <v>0.287471799921107</v>
      </c>
      <c r="H2063">
        <v>0.19199040953858099</v>
      </c>
      <c r="I2063">
        <v>0.15815031500436499</v>
      </c>
      <c r="J2063">
        <v>0.12607478403283501</v>
      </c>
      <c r="K2063">
        <v>8.4102686404416704E-2</v>
      </c>
      <c r="L2063">
        <v>1716.5632656268799</v>
      </c>
      <c r="M2063">
        <v>32.089825734391198</v>
      </c>
      <c r="N2063">
        <v>54.046893527020003</v>
      </c>
      <c r="O2063">
        <v>53.285994767072602</v>
      </c>
      <c r="P2063">
        <v>-0.12944022050919701</v>
      </c>
      <c r="Q2063">
        <v>0.140248805867278</v>
      </c>
      <c r="R2063">
        <v>0.97514698230288799</v>
      </c>
      <c r="S2063" t="s">
        <v>8374</v>
      </c>
      <c r="T2063" t="s">
        <v>12620</v>
      </c>
      <c r="U2063" t="s">
        <v>12620</v>
      </c>
      <c r="V2063" t="s">
        <v>12620</v>
      </c>
      <c r="W2063" t="s">
        <v>14643</v>
      </c>
      <c r="X2063">
        <v>10</v>
      </c>
      <c r="Y2063" t="s">
        <v>20840</v>
      </c>
      <c r="Z2063" t="s">
        <v>27010</v>
      </c>
      <c r="AA2063">
        <v>0.5318401025304188</v>
      </c>
      <c r="AB2063" t="str">
        <f>HYPERLINK("Melting_Curves/meltCurve_P35520_CBS.pdf", "Melting_Curves/meltCurve_P35520_CBS.pdf")</f>
        <v>Melting_Curves/meltCurve_P35520_CBS.pdf</v>
      </c>
    </row>
    <row r="2064" spans="1:28" x14ac:dyDescent="0.25">
      <c r="A2064" t="s">
        <v>2068</v>
      </c>
      <c r="B2064">
        <v>0.99987803227770999</v>
      </c>
      <c r="C2064">
        <v>1.1399133812045401</v>
      </c>
      <c r="D2064">
        <v>0.958629775187956</v>
      </c>
      <c r="E2064">
        <v>1.06613157992023</v>
      </c>
      <c r="F2064">
        <v>0.83636475593764303</v>
      </c>
      <c r="G2064">
        <v>0.72090329903319705</v>
      </c>
      <c r="H2064">
        <v>0.94678583406009897</v>
      </c>
      <c r="I2064">
        <v>0.80838976997600798</v>
      </c>
      <c r="J2064">
        <v>0.85475699832386198</v>
      </c>
      <c r="K2064">
        <v>0.61851992755409801</v>
      </c>
      <c r="L2064">
        <v>13183.3095088053</v>
      </c>
      <c r="M2064">
        <v>250</v>
      </c>
      <c r="O2064">
        <v>52.729863469244897</v>
      </c>
      <c r="P2064">
        <v>-0.24906295818222099</v>
      </c>
      <c r="Q2064">
        <v>0.78987110780895597</v>
      </c>
      <c r="R2064">
        <v>0.60693525194803899</v>
      </c>
      <c r="S2064" t="s">
        <v>8375</v>
      </c>
      <c r="T2064" t="s">
        <v>12620</v>
      </c>
      <c r="U2064" t="s">
        <v>12620</v>
      </c>
      <c r="V2064" t="s">
        <v>12620</v>
      </c>
      <c r="W2064" t="s">
        <v>14644</v>
      </c>
      <c r="X2064">
        <v>3</v>
      </c>
      <c r="Y2064" t="s">
        <v>20841</v>
      </c>
      <c r="Z2064" t="s">
        <v>27011</v>
      </c>
      <c r="AA2064">
        <v>0.87907792781147576</v>
      </c>
      <c r="AB2064" t="str">
        <f>HYPERLINK("Melting_Curves/meltCurve_P35556_FBN2.pdf", "Melting_Curves/meltCurve_P35556_FBN2.pdf")</f>
        <v>Melting_Curves/meltCurve_P35556_FBN2.pdf</v>
      </c>
    </row>
    <row r="2065" spans="1:28" x14ac:dyDescent="0.25">
      <c r="A2065" t="s">
        <v>2069</v>
      </c>
      <c r="B2065">
        <v>0.99987803227770999</v>
      </c>
      <c r="C2065">
        <v>0.871448592146429</v>
      </c>
      <c r="D2065">
        <v>0.934929215377161</v>
      </c>
      <c r="E2065">
        <v>0.763909509020127</v>
      </c>
      <c r="F2065">
        <v>0.76946911557810704</v>
      </c>
      <c r="G2065">
        <v>0.66442640081622995</v>
      </c>
      <c r="H2065">
        <v>0.71162159604918696</v>
      </c>
      <c r="I2065">
        <v>0.66192110788351999</v>
      </c>
      <c r="J2065">
        <v>0.66014971944999101</v>
      </c>
      <c r="K2065">
        <v>0.52946964191568302</v>
      </c>
      <c r="L2065">
        <v>361.63149006754998</v>
      </c>
      <c r="M2065">
        <v>6.7867192292423404</v>
      </c>
      <c r="O2065">
        <v>49.232579674255099</v>
      </c>
      <c r="P2065">
        <v>-1.65941289215247E-2</v>
      </c>
      <c r="Q2065">
        <v>0.51948552040976703</v>
      </c>
      <c r="R2065">
        <v>0.88074189675708503</v>
      </c>
      <c r="S2065" t="s">
        <v>8376</v>
      </c>
      <c r="T2065" t="s">
        <v>12620</v>
      </c>
      <c r="U2065" t="s">
        <v>12620</v>
      </c>
      <c r="V2065" t="s">
        <v>12620</v>
      </c>
      <c r="W2065" t="s">
        <v>14645</v>
      </c>
      <c r="X2065">
        <v>29</v>
      </c>
      <c r="Y2065" t="s">
        <v>20842</v>
      </c>
      <c r="Z2065" t="s">
        <v>27012</v>
      </c>
      <c r="AA2065">
        <v>0.75265619006880768</v>
      </c>
      <c r="AB2065" t="str">
        <f>HYPERLINK("Melting_Curves/meltCurve_P35568_IRS1.pdf", "Melting_Curves/meltCurve_P35568_IRS1.pdf")</f>
        <v>Melting_Curves/meltCurve_P35568_IRS1.pdf</v>
      </c>
    </row>
    <row r="2066" spans="1:28" x14ac:dyDescent="0.25">
      <c r="A2066" t="s">
        <v>2070</v>
      </c>
      <c r="B2066">
        <v>0.99987803227770999</v>
      </c>
      <c r="C2066">
        <v>1.0469017876864399</v>
      </c>
      <c r="D2066">
        <v>0.85007407115205802</v>
      </c>
      <c r="E2066">
        <v>0.734369122711093</v>
      </c>
      <c r="F2066">
        <v>0.38663229545530597</v>
      </c>
      <c r="G2066">
        <v>0.29251707466905802</v>
      </c>
      <c r="H2066">
        <v>0.19872113573385</v>
      </c>
      <c r="I2066">
        <v>0.16836247769152901</v>
      </c>
      <c r="J2066">
        <v>0.13491255729099999</v>
      </c>
      <c r="K2066">
        <v>8.9520767288778197E-2</v>
      </c>
      <c r="L2066">
        <v>908.25613235786795</v>
      </c>
      <c r="M2066">
        <v>17.6299477201275</v>
      </c>
      <c r="N2066">
        <v>52.352809088099903</v>
      </c>
      <c r="O2066">
        <v>50.868676345091998</v>
      </c>
      <c r="P2066">
        <v>-7.6029365010408204E-2</v>
      </c>
      <c r="Q2066">
        <v>0.12255983220972901</v>
      </c>
      <c r="R2066">
        <v>0.98435609535712298</v>
      </c>
      <c r="S2066" t="s">
        <v>8377</v>
      </c>
      <c r="T2066" t="s">
        <v>12620</v>
      </c>
      <c r="U2066" t="s">
        <v>12620</v>
      </c>
      <c r="V2066" t="s">
        <v>12620</v>
      </c>
      <c r="W2066" t="s">
        <v>14646</v>
      </c>
      <c r="X2066">
        <v>16</v>
      </c>
      <c r="Y2066" t="s">
        <v>20843</v>
      </c>
      <c r="Z2066" t="s">
        <v>27013</v>
      </c>
      <c r="AA2066">
        <v>0.47466817859345339</v>
      </c>
      <c r="AB2066" t="str">
        <f>HYPERLINK("Melting_Curves/meltCurve_P35573_AGL.pdf", "Melting_Curves/meltCurve_P35573_AGL.pdf")</f>
        <v>Melting_Curves/meltCurve_P35573_AGL.pdf</v>
      </c>
    </row>
    <row r="2067" spans="1:28" x14ac:dyDescent="0.25">
      <c r="A2067" t="s">
        <v>2071</v>
      </c>
      <c r="B2067">
        <v>0.99987803227770999</v>
      </c>
      <c r="C2067">
        <v>1.1199615347575</v>
      </c>
      <c r="D2067">
        <v>0.67429331056531705</v>
      </c>
      <c r="E2067">
        <v>1.1062425912849301</v>
      </c>
      <c r="F2067">
        <v>0.46170732668078701</v>
      </c>
      <c r="G2067">
        <v>0.21207575112204899</v>
      </c>
      <c r="H2067">
        <v>0.138141200041213</v>
      </c>
      <c r="I2067">
        <v>0.110756343299085</v>
      </c>
      <c r="J2067">
        <v>9.44051348479652E-2</v>
      </c>
      <c r="K2067">
        <v>6.6467822127652607E-2</v>
      </c>
      <c r="L2067">
        <v>13225.232275922601</v>
      </c>
      <c r="M2067">
        <v>250</v>
      </c>
      <c r="N2067">
        <v>52.9615247094018</v>
      </c>
      <c r="O2067">
        <v>52.897528489108097</v>
      </c>
      <c r="P2067">
        <v>-1.03458344847205</v>
      </c>
      <c r="Q2067">
        <v>0.12436922747521099</v>
      </c>
      <c r="R2067">
        <v>0.91773328207785398</v>
      </c>
      <c r="S2067" t="s">
        <v>8378</v>
      </c>
      <c r="T2067" t="s">
        <v>12620</v>
      </c>
      <c r="U2067" t="s">
        <v>12620</v>
      </c>
      <c r="V2067" t="s">
        <v>12620</v>
      </c>
      <c r="W2067" t="s">
        <v>14647</v>
      </c>
      <c r="X2067">
        <v>205</v>
      </c>
      <c r="Y2067" t="s">
        <v>20844</v>
      </c>
      <c r="Z2067" t="s">
        <v>27014</v>
      </c>
      <c r="AA2067">
        <v>0.50099887188357539</v>
      </c>
      <c r="AB2067" t="str">
        <f>HYPERLINK("Melting_Curves/meltCurve_P35579_MYH9.pdf", "Melting_Curves/meltCurve_P35579_MYH9.pdf")</f>
        <v>Melting_Curves/meltCurve_P35579_MYH9.pdf</v>
      </c>
    </row>
    <row r="2068" spans="1:28" x14ac:dyDescent="0.25">
      <c r="A2068" t="s">
        <v>2072</v>
      </c>
      <c r="B2068">
        <v>0.99987803227770999</v>
      </c>
      <c r="C2068">
        <v>1.10087578862173</v>
      </c>
      <c r="D2068">
        <v>0.86158216430739798</v>
      </c>
      <c r="E2068">
        <v>0.95071967302923299</v>
      </c>
      <c r="F2068">
        <v>1.01670497963314</v>
      </c>
      <c r="G2068">
        <v>0.59095514732578502</v>
      </c>
      <c r="H2068">
        <v>0.25014965365529002</v>
      </c>
      <c r="I2068">
        <v>0.18576195090803399</v>
      </c>
      <c r="J2068">
        <v>0.16074698863431</v>
      </c>
      <c r="K2068">
        <v>0.10440128253188299</v>
      </c>
      <c r="L2068">
        <v>2123.3613411255201</v>
      </c>
      <c r="M2068">
        <v>37.081303270548297</v>
      </c>
      <c r="N2068">
        <v>57.8083076887023</v>
      </c>
      <c r="O2068">
        <v>57.096540621513697</v>
      </c>
      <c r="P2068">
        <v>-0.13837592469353899</v>
      </c>
      <c r="Q2068">
        <v>0.14773603788389</v>
      </c>
      <c r="R2068">
        <v>0.97466253424027605</v>
      </c>
      <c r="S2068" t="s">
        <v>8379</v>
      </c>
      <c r="T2068" t="s">
        <v>12620</v>
      </c>
      <c r="U2068" t="s">
        <v>12620</v>
      </c>
      <c r="V2068" t="s">
        <v>12620</v>
      </c>
      <c r="W2068" t="s">
        <v>14648</v>
      </c>
      <c r="X2068">
        <v>114</v>
      </c>
      <c r="Y2068" t="s">
        <v>20845</v>
      </c>
      <c r="Z2068" t="s">
        <v>27015</v>
      </c>
      <c r="AA2068">
        <v>0.64198736851354399</v>
      </c>
      <c r="AB2068" t="str">
        <f>HYPERLINK("Melting_Curves/meltCurve_P35580_MYH10.pdf", "Melting_Curves/meltCurve_P35580_MYH10.pdf")</f>
        <v>Melting_Curves/meltCurve_P35580_MYH10.pdf</v>
      </c>
    </row>
    <row r="2069" spans="1:28" x14ac:dyDescent="0.25">
      <c r="A2069" t="s">
        <v>2073</v>
      </c>
      <c r="B2069">
        <v>0.99987803227770999</v>
      </c>
      <c r="C2069">
        <v>0.95693868819265004</v>
      </c>
      <c r="D2069">
        <v>0.74960371123756997</v>
      </c>
      <c r="E2069">
        <v>0.88582542892212501</v>
      </c>
      <c r="F2069">
        <v>1.0503188971977699</v>
      </c>
      <c r="G2069">
        <v>0.57628859695389201</v>
      </c>
      <c r="H2069">
        <v>0.13100752584717201</v>
      </c>
      <c r="I2069">
        <v>7.0389755250357205E-2</v>
      </c>
      <c r="J2069">
        <v>8.3627689377666695E-2</v>
      </c>
      <c r="K2069">
        <v>5.27593248697606E-2</v>
      </c>
      <c r="L2069">
        <v>3186.89205696624</v>
      </c>
      <c r="M2069">
        <v>55.718789942911798</v>
      </c>
      <c r="N2069">
        <v>57.366059111826701</v>
      </c>
      <c r="O2069">
        <v>57.122469023131202</v>
      </c>
      <c r="P2069">
        <v>-0.225293051252692</v>
      </c>
      <c r="Q2069">
        <v>7.6125805183293802E-2</v>
      </c>
      <c r="R2069">
        <v>0.949607249592618</v>
      </c>
      <c r="S2069" t="s">
        <v>8380</v>
      </c>
      <c r="T2069" t="s">
        <v>12620</v>
      </c>
      <c r="U2069" t="s">
        <v>12620</v>
      </c>
      <c r="V2069" t="s">
        <v>12620</v>
      </c>
      <c r="W2069" t="s">
        <v>14649</v>
      </c>
      <c r="X2069">
        <v>114</v>
      </c>
      <c r="Y2069" t="s">
        <v>20845</v>
      </c>
      <c r="Z2069" t="s">
        <v>27016</v>
      </c>
      <c r="AA2069">
        <v>0.60756362824589538</v>
      </c>
      <c r="AB2069" t="str">
        <f>HYPERLINK("Melting_Curves/meltCurve_P35580_4_MYH10.pdf", "Melting_Curves/meltCurve_P35580_4_MYH10.pdf")</f>
        <v>Melting_Curves/meltCurve_P35580_4_MYH10.pdf</v>
      </c>
    </row>
    <row r="2070" spans="1:28" x14ac:dyDescent="0.25">
      <c r="A2070" t="s">
        <v>2074</v>
      </c>
      <c r="B2070">
        <v>0.99987803227770999</v>
      </c>
      <c r="C2070">
        <v>1.0011567627340701</v>
      </c>
      <c r="D2070">
        <v>1.0208880198605801</v>
      </c>
      <c r="E2070">
        <v>1.39167553215564</v>
      </c>
      <c r="F2070">
        <v>0.83046781677203796</v>
      </c>
      <c r="G2070">
        <v>0.46532884398629998</v>
      </c>
      <c r="H2070">
        <v>0.198829556875424</v>
      </c>
      <c r="I2070">
        <v>0.13938876657180399</v>
      </c>
      <c r="J2070">
        <v>0.123196674126578</v>
      </c>
      <c r="K2070">
        <v>8.8409084907546107E-2</v>
      </c>
      <c r="L2070">
        <v>1991.4850979605001</v>
      </c>
      <c r="M2070">
        <v>35.396368039106001</v>
      </c>
      <c r="N2070">
        <v>56.700687411148699</v>
      </c>
      <c r="O2070">
        <v>56.083741052929199</v>
      </c>
      <c r="P2070">
        <v>-0.13890020560910099</v>
      </c>
      <c r="Q2070">
        <v>0.119681784946297</v>
      </c>
      <c r="R2070">
        <v>0.91700200080897898</v>
      </c>
      <c r="S2070" t="s">
        <v>8381</v>
      </c>
      <c r="T2070" t="s">
        <v>12620</v>
      </c>
      <c r="U2070" t="s">
        <v>12620</v>
      </c>
      <c r="V2070" t="s">
        <v>12620</v>
      </c>
      <c r="W2070" t="s">
        <v>14650</v>
      </c>
      <c r="X2070">
        <v>28</v>
      </c>
      <c r="Y2070" t="s">
        <v>20846</v>
      </c>
      <c r="Z2070" t="s">
        <v>27017</v>
      </c>
      <c r="AA2070">
        <v>0.60119433844415926</v>
      </c>
      <c r="AB2070" t="str">
        <f>HYPERLINK("Melting_Curves/meltCurve_P35606_COPB2.pdf", "Melting_Curves/meltCurve_P35606_COPB2.pdf")</f>
        <v>Melting_Curves/meltCurve_P35606_COPB2.pdf</v>
      </c>
    </row>
    <row r="2071" spans="1:28" x14ac:dyDescent="0.25">
      <c r="A2071" t="s">
        <v>2075</v>
      </c>
      <c r="B2071">
        <v>0.99987803227770999</v>
      </c>
      <c r="C2071">
        <v>1.0898237866945499</v>
      </c>
      <c r="D2071">
        <v>0.99651733977328005</v>
      </c>
      <c r="E2071">
        <v>1.07459643419696</v>
      </c>
      <c r="F2071">
        <v>0.72645410744166805</v>
      </c>
      <c r="G2071">
        <v>0.66720142656648995</v>
      </c>
      <c r="H2071">
        <v>0.64128403921382804</v>
      </c>
      <c r="I2071">
        <v>0.49515479191878398</v>
      </c>
      <c r="J2071">
        <v>0.39412982367677601</v>
      </c>
      <c r="K2071">
        <v>0.24270126935106501</v>
      </c>
      <c r="L2071">
        <v>596.79496509096805</v>
      </c>
      <c r="M2071">
        <v>9.4429003247476402</v>
      </c>
      <c r="N2071">
        <v>63.2003727106393</v>
      </c>
      <c r="O2071">
        <v>60.560528841654197</v>
      </c>
      <c r="P2071">
        <v>-3.9004841395857602E-2</v>
      </c>
      <c r="Q2071">
        <v>0</v>
      </c>
      <c r="R2071">
        <v>0.92258921642042002</v>
      </c>
      <c r="S2071" t="s">
        <v>8382</v>
      </c>
      <c r="T2071" t="s">
        <v>12620</v>
      </c>
      <c r="U2071" t="s">
        <v>12620</v>
      </c>
      <c r="V2071" t="s">
        <v>12620</v>
      </c>
      <c r="W2071" t="s">
        <v>14651</v>
      </c>
      <c r="X2071">
        <v>22</v>
      </c>
      <c r="Y2071" t="s">
        <v>20847</v>
      </c>
      <c r="Z2071" t="s">
        <v>27018</v>
      </c>
      <c r="AA2071">
        <v>0.73572370540784138</v>
      </c>
      <c r="AB2071" t="str">
        <f>HYPERLINK("Melting_Curves/meltCurve_P35611_2_ADD1.pdf", "Melting_Curves/meltCurve_P35611_2_ADD1.pdf")</f>
        <v>Melting_Curves/meltCurve_P35611_2_ADD1.pdf</v>
      </c>
    </row>
    <row r="2072" spans="1:28" x14ac:dyDescent="0.25">
      <c r="A2072" t="s">
        <v>2076</v>
      </c>
      <c r="B2072">
        <v>0.99987803227770999</v>
      </c>
      <c r="C2072">
        <v>1.1093695301745801</v>
      </c>
      <c r="D2072">
        <v>0.94325786629409003</v>
      </c>
      <c r="E2072">
        <v>0.93763013463109002</v>
      </c>
      <c r="F2072">
        <v>0.66582519096463499</v>
      </c>
      <c r="G2072">
        <v>0.64985428965982395</v>
      </c>
      <c r="H2072">
        <v>0.61107887950992101</v>
      </c>
      <c r="I2072">
        <v>0.444342739813464</v>
      </c>
      <c r="J2072">
        <v>0.34426252036546401</v>
      </c>
      <c r="K2072">
        <v>0.22184516138596999</v>
      </c>
      <c r="L2072">
        <v>522.21111324334902</v>
      </c>
      <c r="M2072">
        <v>8.4554210258865794</v>
      </c>
      <c r="N2072">
        <v>61.760506147816301</v>
      </c>
      <c r="O2072">
        <v>58.596259639610899</v>
      </c>
      <c r="P2072">
        <v>-3.6108082948788998E-2</v>
      </c>
      <c r="Q2072">
        <v>0</v>
      </c>
      <c r="R2072">
        <v>0.93800128202634303</v>
      </c>
      <c r="S2072" t="s">
        <v>8383</v>
      </c>
      <c r="T2072" t="s">
        <v>12620</v>
      </c>
      <c r="U2072" t="s">
        <v>12620</v>
      </c>
      <c r="V2072" t="s">
        <v>12620</v>
      </c>
      <c r="W2072" t="s">
        <v>14652</v>
      </c>
      <c r="X2072">
        <v>23</v>
      </c>
      <c r="Y2072" t="s">
        <v>20848</v>
      </c>
      <c r="Z2072" t="s">
        <v>27019</v>
      </c>
      <c r="AA2072">
        <v>0.69541565921132353</v>
      </c>
      <c r="AB2072" t="str">
        <f>HYPERLINK("Melting_Curves/meltCurve_P35612_ADD2.pdf", "Melting_Curves/meltCurve_P35612_ADD2.pdf")</f>
        <v>Melting_Curves/meltCurve_P35612_ADD2.pdf</v>
      </c>
    </row>
    <row r="2073" spans="1:28" x14ac:dyDescent="0.25">
      <c r="A2073" t="s">
        <v>2077</v>
      </c>
      <c r="B2073">
        <v>0.99987803227770999</v>
      </c>
      <c r="C2073">
        <v>0.91099277680009605</v>
      </c>
      <c r="D2073">
        <v>1.0206006645319401</v>
      </c>
      <c r="E2073">
        <v>1.0074980833595</v>
      </c>
      <c r="F2073">
        <v>1.11133865162259</v>
      </c>
      <c r="G2073">
        <v>1.0400054448359499</v>
      </c>
      <c r="H2073">
        <v>1.0990907547273101</v>
      </c>
      <c r="I2073">
        <v>1.0147642956132199</v>
      </c>
      <c r="J2073">
        <v>1.08014783500552</v>
      </c>
      <c r="K2073">
        <v>0.86455932348307996</v>
      </c>
      <c r="L2073">
        <v>15000</v>
      </c>
      <c r="M2073">
        <v>212.431965747915</v>
      </c>
      <c r="Q2073">
        <v>0</v>
      </c>
      <c r="R2073">
        <v>0.293264888417406</v>
      </c>
      <c r="S2073" t="s">
        <v>8384</v>
      </c>
      <c r="T2073" t="s">
        <v>12620</v>
      </c>
      <c r="U2073" t="s">
        <v>12620</v>
      </c>
      <c r="V2073" t="s">
        <v>12620</v>
      </c>
      <c r="W2073" t="s">
        <v>14653</v>
      </c>
      <c r="X2073">
        <v>14</v>
      </c>
      <c r="Y2073" t="s">
        <v>20849</v>
      </c>
      <c r="Z2073" t="s">
        <v>27020</v>
      </c>
      <c r="AA2073">
        <v>0.99843049558465868</v>
      </c>
      <c r="AB2073" t="str">
        <f>HYPERLINK("Melting_Curves/meltCurve_P35637_2_FUS.pdf", "Melting_Curves/meltCurve_P35637_2_FUS.pdf")</f>
        <v>Melting_Curves/meltCurve_P35637_2_FUS.pdf</v>
      </c>
    </row>
    <row r="2074" spans="1:28" x14ac:dyDescent="0.25">
      <c r="A2074" t="s">
        <v>2078</v>
      </c>
      <c r="B2074">
        <v>0.99987803227770999</v>
      </c>
      <c r="C2074">
        <v>1.0310161233445001</v>
      </c>
      <c r="D2074">
        <v>1.01294769311149</v>
      </c>
      <c r="E2074">
        <v>0.91738634996748902</v>
      </c>
      <c r="F2074">
        <v>0.52272668471053396</v>
      </c>
      <c r="G2074">
        <v>0.41946279800226399</v>
      </c>
      <c r="H2074">
        <v>0.25491571099530103</v>
      </c>
      <c r="I2074">
        <v>0.31686490173092602</v>
      </c>
      <c r="J2074">
        <v>0.218748177987136</v>
      </c>
      <c r="K2074">
        <v>0.18473227631518199</v>
      </c>
      <c r="L2074">
        <v>1445.1986624543099</v>
      </c>
      <c r="M2074">
        <v>27.430170781852201</v>
      </c>
      <c r="N2074">
        <v>54.048540074412799</v>
      </c>
      <c r="O2074">
        <v>52.408830743183302</v>
      </c>
      <c r="P2074">
        <v>-9.8197770722762104E-2</v>
      </c>
      <c r="Q2074">
        <v>0.24952971317466699</v>
      </c>
      <c r="R2074">
        <v>0.97699718248470102</v>
      </c>
      <c r="S2074" t="s">
        <v>8385</v>
      </c>
      <c r="T2074" t="s">
        <v>12620</v>
      </c>
      <c r="U2074" t="s">
        <v>12620</v>
      </c>
      <c r="V2074" t="s">
        <v>12620</v>
      </c>
      <c r="W2074" t="s">
        <v>14654</v>
      </c>
      <c r="X2074">
        <v>39</v>
      </c>
      <c r="Y2074" t="s">
        <v>20850</v>
      </c>
      <c r="Z2074" t="s">
        <v>27021</v>
      </c>
      <c r="AA2074">
        <v>0.57266102989315848</v>
      </c>
      <c r="AB2074" t="str">
        <f>HYPERLINK("Melting_Curves/meltCurve_P35658_2_NUP214.pdf", "Melting_Curves/meltCurve_P35658_2_NUP214.pdf")</f>
        <v>Melting_Curves/meltCurve_P35658_2_NUP214.pdf</v>
      </c>
    </row>
    <row r="2075" spans="1:28" x14ac:dyDescent="0.25">
      <c r="A2075" t="s">
        <v>2079</v>
      </c>
      <c r="B2075">
        <v>0.99987803227770999</v>
      </c>
      <c r="C2075">
        <v>0.99712277661155602</v>
      </c>
      <c r="D2075">
        <v>0.97772689207545305</v>
      </c>
      <c r="E2075">
        <v>0.92108226116854897</v>
      </c>
      <c r="F2075">
        <v>0.50996329984599298</v>
      </c>
      <c r="G2075">
        <v>0.379556829141663</v>
      </c>
      <c r="H2075">
        <v>0.28516005599139599</v>
      </c>
      <c r="I2075">
        <v>0.24810618322582301</v>
      </c>
      <c r="J2075">
        <v>0.23217106154272199</v>
      </c>
      <c r="K2075">
        <v>0.18922355241452199</v>
      </c>
      <c r="L2075">
        <v>1730.95973781155</v>
      </c>
      <c r="M2075">
        <v>33.020186031450997</v>
      </c>
      <c r="N2075">
        <v>53.543915172394598</v>
      </c>
      <c r="O2075">
        <v>52.230132807898897</v>
      </c>
      <c r="P2075">
        <v>-0.118571256936213</v>
      </c>
      <c r="Q2075">
        <v>0.24979674675313701</v>
      </c>
      <c r="R2075">
        <v>0.98592160241695903</v>
      </c>
      <c r="S2075" t="s">
        <v>8386</v>
      </c>
      <c r="T2075" t="s">
        <v>12620</v>
      </c>
      <c r="U2075" t="s">
        <v>12620</v>
      </c>
      <c r="V2075" t="s">
        <v>12620</v>
      </c>
      <c r="W2075" t="s">
        <v>14655</v>
      </c>
      <c r="X2075">
        <v>39</v>
      </c>
      <c r="Y2075" t="s">
        <v>20850</v>
      </c>
      <c r="Z2075" t="s">
        <v>27022</v>
      </c>
      <c r="AA2075">
        <v>0.56440078345191147</v>
      </c>
      <c r="AB2075" t="str">
        <f>HYPERLINK("Melting_Curves/meltCurve_P35658_4_NUP214.pdf", "Melting_Curves/meltCurve_P35658_4_NUP214.pdf")</f>
        <v>Melting_Curves/meltCurve_P35658_4_NUP214.pdf</v>
      </c>
    </row>
    <row r="2076" spans="1:28" x14ac:dyDescent="0.25">
      <c r="A2076" t="s">
        <v>2080</v>
      </c>
      <c r="B2076">
        <v>0.99987803227770999</v>
      </c>
      <c r="C2076">
        <v>0.83947253028513202</v>
      </c>
      <c r="D2076">
        <v>0.88233454625643204</v>
      </c>
      <c r="E2076">
        <v>0.66392576606909703</v>
      </c>
      <c r="F2076">
        <v>0.55986771708454697</v>
      </c>
      <c r="G2076">
        <v>0.46900011026812899</v>
      </c>
      <c r="H2076">
        <v>0.415945798212361</v>
      </c>
      <c r="I2076">
        <v>0.37030643200493502</v>
      </c>
      <c r="J2076">
        <v>0.36404140342355001</v>
      </c>
      <c r="K2076">
        <v>0.31500219787156603</v>
      </c>
      <c r="L2076">
        <v>534.74560543530004</v>
      </c>
      <c r="M2076">
        <v>10.5271021291297</v>
      </c>
      <c r="N2076">
        <v>55.595380531881297</v>
      </c>
      <c r="O2076">
        <v>49.066719870065398</v>
      </c>
      <c r="P2076">
        <v>-3.7643778165351999E-2</v>
      </c>
      <c r="Q2076">
        <v>0.29845114106205101</v>
      </c>
      <c r="R2076">
        <v>0.979155179829167</v>
      </c>
      <c r="S2076" t="s">
        <v>8387</v>
      </c>
      <c r="T2076" t="s">
        <v>12620</v>
      </c>
      <c r="U2076" t="s">
        <v>12620</v>
      </c>
      <c r="V2076" t="s">
        <v>12620</v>
      </c>
      <c r="W2076" t="s">
        <v>14656</v>
      </c>
      <c r="X2076">
        <v>12</v>
      </c>
      <c r="Y2076" t="s">
        <v>20851</v>
      </c>
      <c r="Z2076" t="s">
        <v>27023</v>
      </c>
      <c r="AA2076">
        <v>0.5787244584295087</v>
      </c>
      <c r="AB2076" t="str">
        <f>HYPERLINK("Melting_Curves/meltCurve_P35659_DEK.pdf", "Melting_Curves/meltCurve_P35659_DEK.pdf")</f>
        <v>Melting_Curves/meltCurve_P35659_DEK.pdf</v>
      </c>
    </row>
    <row r="2077" spans="1:28" x14ac:dyDescent="0.25">
      <c r="A2077" t="s">
        <v>2081</v>
      </c>
      <c r="B2077">
        <v>0.99987803227770999</v>
      </c>
      <c r="C2077">
        <v>0.85541569570702702</v>
      </c>
      <c r="D2077">
        <v>1.0225980153680601</v>
      </c>
      <c r="E2077">
        <v>0.88456002030406899</v>
      </c>
      <c r="F2077">
        <v>1.1951600647185501</v>
      </c>
      <c r="G2077">
        <v>1.0836750478738499</v>
      </c>
      <c r="H2077">
        <v>1.0433006460812899</v>
      </c>
      <c r="I2077">
        <v>1.108009708602</v>
      </c>
      <c r="J2077">
        <v>0.95118219454205299</v>
      </c>
      <c r="K2077">
        <v>0.71824104360684304</v>
      </c>
      <c r="L2077">
        <v>15000</v>
      </c>
      <c r="M2077">
        <v>222.31740427245001</v>
      </c>
      <c r="O2077">
        <v>67.465641962229697</v>
      </c>
      <c r="P2077">
        <v>-0.23219340263277199</v>
      </c>
      <c r="Q2077">
        <v>0.71814934090805105</v>
      </c>
      <c r="R2077">
        <v>0.46102221659153297</v>
      </c>
      <c r="S2077" t="s">
        <v>8388</v>
      </c>
      <c r="T2077" t="s">
        <v>12620</v>
      </c>
      <c r="U2077" t="s">
        <v>12620</v>
      </c>
      <c r="V2077" t="s">
        <v>12620</v>
      </c>
      <c r="W2077" t="s">
        <v>14657</v>
      </c>
      <c r="X2077">
        <v>4</v>
      </c>
      <c r="Y2077" t="s">
        <v>20852</v>
      </c>
      <c r="Z2077" t="s">
        <v>27024</v>
      </c>
      <c r="AA2077">
        <v>0.97628213548813636</v>
      </c>
      <c r="AB2077" t="str">
        <f>HYPERLINK("Melting_Curves/meltCurve_P35754_GLRX.pdf", "Melting_Curves/meltCurve_P35754_GLRX.pdf")</f>
        <v>Melting_Curves/meltCurve_P35754_GLRX.pdf</v>
      </c>
    </row>
    <row r="2078" spans="1:28" x14ac:dyDescent="0.25">
      <c r="A2078" t="s">
        <v>2082</v>
      </c>
      <c r="B2078">
        <v>0.99987803227770999</v>
      </c>
      <c r="C2078">
        <v>1.06785940389357</v>
      </c>
      <c r="D2078">
        <v>0.95436900253465096</v>
      </c>
      <c r="E2078">
        <v>0.85424652521872102</v>
      </c>
      <c r="F2078">
        <v>0.50430892699316598</v>
      </c>
      <c r="G2078">
        <v>0.29228164935962198</v>
      </c>
      <c r="H2078">
        <v>0.156605812634072</v>
      </c>
      <c r="I2078">
        <v>0.120839977396709</v>
      </c>
      <c r="J2078">
        <v>6.8706477164054994E-2</v>
      </c>
      <c r="K2078">
        <v>4.5525948119487097E-2</v>
      </c>
      <c r="L2078">
        <v>1090.9672234971999</v>
      </c>
      <c r="M2078">
        <v>20.4745183822467</v>
      </c>
      <c r="N2078">
        <v>53.6805573488544</v>
      </c>
      <c r="O2078">
        <v>52.783643958525303</v>
      </c>
      <c r="P2078">
        <v>-9.0172933790800394E-2</v>
      </c>
      <c r="Q2078">
        <v>7.0158156060891E-2</v>
      </c>
      <c r="R2078">
        <v>0.99130131844228297</v>
      </c>
      <c r="S2078" t="s">
        <v>8389</v>
      </c>
      <c r="T2078" t="s">
        <v>12620</v>
      </c>
      <c r="U2078" t="s">
        <v>12620</v>
      </c>
      <c r="V2078" t="s">
        <v>12620</v>
      </c>
      <c r="W2078" t="s">
        <v>14658</v>
      </c>
      <c r="X2078">
        <v>10</v>
      </c>
      <c r="Y2078" t="s">
        <v>20853</v>
      </c>
      <c r="Z2078" t="s">
        <v>27025</v>
      </c>
      <c r="AA2078">
        <v>0.49415520959331388</v>
      </c>
      <c r="AB2078" t="str">
        <f>HYPERLINK("Melting_Curves/meltCurve_P35790_2_CHKA.pdf", "Melting_Curves/meltCurve_P35790_2_CHKA.pdf")</f>
        <v>Melting_Curves/meltCurve_P35790_2_CHKA.pdf</v>
      </c>
    </row>
    <row r="2079" spans="1:28" x14ac:dyDescent="0.25">
      <c r="A2079" t="s">
        <v>2083</v>
      </c>
      <c r="B2079">
        <v>0.99987803227770999</v>
      </c>
      <c r="C2079">
        <v>0.869523217738703</v>
      </c>
      <c r="D2079">
        <v>0.99798762611087999</v>
      </c>
      <c r="E2079">
        <v>0.73722956288450403</v>
      </c>
      <c r="F2079">
        <v>0.32784463416892101</v>
      </c>
      <c r="G2079">
        <v>0.190348052325539</v>
      </c>
      <c r="H2079">
        <v>0.11657474690929</v>
      </c>
      <c r="I2079">
        <v>0.10439589366162901</v>
      </c>
      <c r="J2079">
        <v>8.35783562734045E-2</v>
      </c>
      <c r="K2079">
        <v>6.9511764063888704E-2</v>
      </c>
      <c r="L2079">
        <v>1563.2276024622799</v>
      </c>
      <c r="M2079">
        <v>30.435423378517399</v>
      </c>
      <c r="N2079">
        <v>51.737594125857697</v>
      </c>
      <c r="O2079">
        <v>51.141893961860397</v>
      </c>
      <c r="P2079">
        <v>-0.13403682503261499</v>
      </c>
      <c r="Q2079">
        <v>9.9095013751879193E-2</v>
      </c>
      <c r="R2079">
        <v>0.98530157559532205</v>
      </c>
      <c r="S2079" t="s">
        <v>8390</v>
      </c>
      <c r="T2079" t="s">
        <v>12620</v>
      </c>
      <c r="U2079" t="s">
        <v>12620</v>
      </c>
      <c r="V2079" t="s">
        <v>12620</v>
      </c>
      <c r="W2079" t="s">
        <v>14659</v>
      </c>
      <c r="X2079">
        <v>15</v>
      </c>
      <c r="Y2079" t="s">
        <v>20854</v>
      </c>
      <c r="Z2079" t="s">
        <v>27026</v>
      </c>
      <c r="AA2079">
        <v>0.44583745018817011</v>
      </c>
      <c r="AB2079" t="str">
        <f>HYPERLINK("Melting_Curves/meltCurve_P35813_PPM1A.pdf", "Melting_Curves/meltCurve_P35813_PPM1A.pdf")</f>
        <v>Melting_Curves/meltCurve_P35813_PPM1A.pdf</v>
      </c>
    </row>
    <row r="2080" spans="1:28" x14ac:dyDescent="0.25">
      <c r="A2080" t="s">
        <v>2084</v>
      </c>
      <c r="B2080">
        <v>0.99987803227770999</v>
      </c>
      <c r="C2080">
        <v>1.01810870152704</v>
      </c>
      <c r="D2080">
        <v>0.84825885163390502</v>
      </c>
      <c r="E2080">
        <v>1.3010876995966301</v>
      </c>
      <c r="F2080">
        <v>0.96309806512252705</v>
      </c>
      <c r="G2080">
        <v>0.50613503633682499</v>
      </c>
      <c r="H2080">
        <v>0.18698560514804499</v>
      </c>
      <c r="I2080">
        <v>0.13671827300129499</v>
      </c>
      <c r="J2080">
        <v>0.114536750844751</v>
      </c>
      <c r="K2080">
        <v>7.6560730156883805E-2</v>
      </c>
      <c r="L2080">
        <v>2539.0192723857399</v>
      </c>
      <c r="M2080">
        <v>44.741870367856102</v>
      </c>
      <c r="N2080">
        <v>57.085988474111197</v>
      </c>
      <c r="O2080">
        <v>56.635178060931302</v>
      </c>
      <c r="P2080">
        <v>-0.17452859812949201</v>
      </c>
      <c r="Q2080">
        <v>0.116314015060427</v>
      </c>
      <c r="R2080">
        <v>0.93843501357695502</v>
      </c>
      <c r="S2080" t="s">
        <v>8391</v>
      </c>
      <c r="T2080" t="s">
        <v>12620</v>
      </c>
      <c r="U2080" t="s">
        <v>12620</v>
      </c>
      <c r="V2080" t="s">
        <v>12620</v>
      </c>
      <c r="W2080" t="s">
        <v>14660</v>
      </c>
      <c r="X2080">
        <v>32</v>
      </c>
      <c r="Y2080" t="s">
        <v>20855</v>
      </c>
      <c r="Z2080" t="s">
        <v>27027</v>
      </c>
      <c r="AA2080">
        <v>0.61240521595027453</v>
      </c>
      <c r="AB2080" t="str">
        <f>HYPERLINK("Melting_Curves/meltCurve_P35998_PSMC2.pdf", "Melting_Curves/meltCurve_P35998_PSMC2.pdf")</f>
        <v>Melting_Curves/meltCurve_P35998_PSMC2.pdf</v>
      </c>
    </row>
    <row r="2081" spans="1:28" x14ac:dyDescent="0.25">
      <c r="A2081" t="s">
        <v>2085</v>
      </c>
      <c r="B2081">
        <v>0.99987803227770999</v>
      </c>
      <c r="C2081">
        <v>1.08606618598956</v>
      </c>
      <c r="D2081">
        <v>1.0556341114654999</v>
      </c>
      <c r="E2081">
        <v>0.99888315366818403</v>
      </c>
      <c r="F2081">
        <v>0.59514173222909905</v>
      </c>
      <c r="G2081">
        <v>0.28811933869128098</v>
      </c>
      <c r="H2081">
        <v>0.18122265361832601</v>
      </c>
      <c r="I2081">
        <v>0.178724470092505</v>
      </c>
      <c r="J2081">
        <v>0.12826501638976101</v>
      </c>
      <c r="K2081">
        <v>9.7785080399958202E-2</v>
      </c>
      <c r="L2081">
        <v>1846.17145501952</v>
      </c>
      <c r="M2081">
        <v>34.534651166660602</v>
      </c>
      <c r="N2081">
        <v>54.018122678725</v>
      </c>
      <c r="O2081">
        <v>53.280213068504302</v>
      </c>
      <c r="P2081">
        <v>-0.13767502846944901</v>
      </c>
      <c r="Q2081">
        <v>0.15038039511562101</v>
      </c>
      <c r="R2081">
        <v>0.98541711588981995</v>
      </c>
      <c r="S2081" t="s">
        <v>8392</v>
      </c>
      <c r="T2081" t="s">
        <v>12620</v>
      </c>
      <c r="U2081" t="s">
        <v>12620</v>
      </c>
      <c r="V2081" t="s">
        <v>12620</v>
      </c>
      <c r="W2081" t="s">
        <v>14661</v>
      </c>
      <c r="X2081">
        <v>7</v>
      </c>
      <c r="Y2081" t="s">
        <v>20856</v>
      </c>
      <c r="Z2081" t="s">
        <v>27028</v>
      </c>
      <c r="AA2081">
        <v>0.53573745272739304</v>
      </c>
      <c r="AB2081" t="str">
        <f>HYPERLINK("Melting_Curves/meltCurve_P36404_ARL2.pdf", "Melting_Curves/meltCurve_P36404_ARL2.pdf")</f>
        <v>Melting_Curves/meltCurve_P36404_ARL2.pdf</v>
      </c>
    </row>
    <row r="2082" spans="1:28" x14ac:dyDescent="0.25">
      <c r="A2082" t="s">
        <v>2086</v>
      </c>
      <c r="B2082">
        <v>0.99987803227770999</v>
      </c>
      <c r="C2082">
        <v>0.87286376308303504</v>
      </c>
      <c r="D2082">
        <v>1.0288333024057901</v>
      </c>
      <c r="E2082">
        <v>0.88266436997564701</v>
      </c>
      <c r="F2082">
        <v>0.93220875161786598</v>
      </c>
      <c r="G2082">
        <v>0.648611951923594</v>
      </c>
      <c r="H2082">
        <v>0.39821782835125802</v>
      </c>
      <c r="I2082">
        <v>0.25371871989879702</v>
      </c>
      <c r="J2082">
        <v>0.15236823764399901</v>
      </c>
      <c r="K2082">
        <v>9.8495411933276697E-2</v>
      </c>
      <c r="L2082">
        <v>962.71756898967396</v>
      </c>
      <c r="M2082">
        <v>16.246925327443201</v>
      </c>
      <c r="N2082">
        <v>59.435406535716503</v>
      </c>
      <c r="O2082">
        <v>58.379472339016203</v>
      </c>
      <c r="P2082">
        <v>-6.7909102125433801E-2</v>
      </c>
      <c r="Q2082">
        <v>2.4011078527405999E-2</v>
      </c>
      <c r="R2082">
        <v>0.97885352215895505</v>
      </c>
      <c r="S2082" t="s">
        <v>8393</v>
      </c>
      <c r="T2082" t="s">
        <v>12620</v>
      </c>
      <c r="U2082" t="s">
        <v>12620</v>
      </c>
      <c r="V2082" t="s">
        <v>12620</v>
      </c>
      <c r="W2082" t="s">
        <v>14662</v>
      </c>
      <c r="X2082">
        <v>11</v>
      </c>
      <c r="Y2082" t="s">
        <v>20857</v>
      </c>
      <c r="Z2082" t="s">
        <v>27029</v>
      </c>
      <c r="AA2082">
        <v>0.66021233277590119</v>
      </c>
      <c r="AB2082" t="str">
        <f>HYPERLINK("Melting_Curves/meltCurve_P36405_ARL3.pdf", "Melting_Curves/meltCurve_P36405_ARL3.pdf")</f>
        <v>Melting_Curves/meltCurve_P36405_ARL3.pdf</v>
      </c>
    </row>
    <row r="2083" spans="1:28" x14ac:dyDescent="0.25">
      <c r="A2083" t="s">
        <v>2087</v>
      </c>
      <c r="B2083">
        <v>0.99987803227770999</v>
      </c>
      <c r="C2083">
        <v>0.88530900051366102</v>
      </c>
      <c r="D2083">
        <v>0.97800277259139201</v>
      </c>
      <c r="E2083">
        <v>0.66886081937434605</v>
      </c>
      <c r="F2083">
        <v>0.330951779103969</v>
      </c>
      <c r="G2083">
        <v>0.158986430384949</v>
      </c>
      <c r="H2083">
        <v>8.9878002038442498E-2</v>
      </c>
      <c r="I2083">
        <v>6.64914105208258E-2</v>
      </c>
      <c r="J2083">
        <v>4.8850207401736997E-2</v>
      </c>
      <c r="K2083">
        <v>3.5076235941125002E-2</v>
      </c>
      <c r="L2083">
        <v>1210.3058921583399</v>
      </c>
      <c r="M2083">
        <v>23.611637568840401</v>
      </c>
      <c r="N2083">
        <v>51.508252746683901</v>
      </c>
      <c r="O2083">
        <v>50.8954389886201</v>
      </c>
      <c r="P2083">
        <v>-0.109718773243457</v>
      </c>
      <c r="Q2083">
        <v>5.4010393405496002E-2</v>
      </c>
      <c r="R2083">
        <v>0.990587028165276</v>
      </c>
      <c r="S2083" t="s">
        <v>8394</v>
      </c>
      <c r="T2083" t="s">
        <v>12620</v>
      </c>
      <c r="U2083" t="s">
        <v>12620</v>
      </c>
      <c r="V2083" t="s">
        <v>12620</v>
      </c>
      <c r="W2083" t="s">
        <v>14663</v>
      </c>
      <c r="X2083">
        <v>16</v>
      </c>
      <c r="Y2083" t="s">
        <v>20858</v>
      </c>
      <c r="Z2083" t="s">
        <v>27030</v>
      </c>
      <c r="AA2083">
        <v>0.41861451286256951</v>
      </c>
      <c r="AB2083" t="str">
        <f>HYPERLINK("Melting_Curves/meltCurve_P36507_MAP2K2.pdf", "Melting_Curves/meltCurve_P36507_MAP2K2.pdf")</f>
        <v>Melting_Curves/meltCurve_P36507_MAP2K2.pdf</v>
      </c>
    </row>
    <row r="2084" spans="1:28" x14ac:dyDescent="0.25">
      <c r="A2084" t="s">
        <v>2088</v>
      </c>
      <c r="B2084">
        <v>0.99987803227770999</v>
      </c>
      <c r="C2084">
        <v>1.1098871956858001</v>
      </c>
      <c r="D2084">
        <v>0.97988170849031797</v>
      </c>
      <c r="E2084">
        <v>0.94355166372646804</v>
      </c>
      <c r="F2084">
        <v>0.52294690709365999</v>
      </c>
      <c r="G2084">
        <v>0.246004745800634</v>
      </c>
      <c r="H2084">
        <v>0.125224902570894</v>
      </c>
      <c r="I2084">
        <v>0.106592272789151</v>
      </c>
      <c r="J2084">
        <v>8.8429264163894405E-2</v>
      </c>
      <c r="K2084">
        <v>6.4668912759627994E-2</v>
      </c>
      <c r="L2084">
        <v>1656.2122840724401</v>
      </c>
      <c r="M2084">
        <v>31.1696266772557</v>
      </c>
      <c r="N2084">
        <v>53.511144779293602</v>
      </c>
      <c r="O2084">
        <v>52.918158213692003</v>
      </c>
      <c r="P2084">
        <v>-0.13278354662726499</v>
      </c>
      <c r="Q2084">
        <v>9.8272940347207197E-2</v>
      </c>
      <c r="R2084">
        <v>0.98789637336942904</v>
      </c>
      <c r="S2084" t="s">
        <v>8395</v>
      </c>
      <c r="T2084" t="s">
        <v>12620</v>
      </c>
      <c r="U2084" t="s">
        <v>12620</v>
      </c>
      <c r="V2084" t="s">
        <v>12620</v>
      </c>
      <c r="W2084" t="s">
        <v>14664</v>
      </c>
      <c r="X2084">
        <v>10</v>
      </c>
      <c r="Y2084" t="s">
        <v>20859</v>
      </c>
      <c r="Z2084" t="s">
        <v>27031</v>
      </c>
      <c r="AA2084">
        <v>0.49852805954585527</v>
      </c>
      <c r="AB2084" t="str">
        <f>HYPERLINK("Melting_Curves/meltCurve_P36543_ATP6V1E1.pdf", "Melting_Curves/meltCurve_P36543_ATP6V1E1.pdf")</f>
        <v>Melting_Curves/meltCurve_P36543_ATP6V1E1.pdf</v>
      </c>
    </row>
    <row r="2085" spans="1:28" x14ac:dyDescent="0.25">
      <c r="A2085" t="s">
        <v>2089</v>
      </c>
      <c r="B2085">
        <v>0.99987803227770999</v>
      </c>
      <c r="C2085">
        <v>0.99890813555841396</v>
      </c>
      <c r="D2085">
        <v>1.0371235934006</v>
      </c>
      <c r="E2085">
        <v>1.0021741933835</v>
      </c>
      <c r="F2085">
        <v>0.96049423461204997</v>
      </c>
      <c r="G2085">
        <v>0.81301783261619198</v>
      </c>
      <c r="H2085">
        <v>0.53104704624745902</v>
      </c>
      <c r="I2085">
        <v>0.21618405797316501</v>
      </c>
      <c r="J2085">
        <v>0.111853650077764</v>
      </c>
      <c r="K2085">
        <v>7.9541531230092305E-2</v>
      </c>
      <c r="L2085">
        <v>1449.9105977123199</v>
      </c>
      <c r="M2085">
        <v>23.838616268005101</v>
      </c>
      <c r="N2085">
        <v>60.930655455248697</v>
      </c>
      <c r="O2085">
        <v>60.398771440371199</v>
      </c>
      <c r="P2085">
        <v>-9.6618333139726398E-2</v>
      </c>
      <c r="Q2085">
        <v>2.08267630813385E-2</v>
      </c>
      <c r="R2085">
        <v>0.99653269186825</v>
      </c>
      <c r="S2085" t="s">
        <v>8396</v>
      </c>
      <c r="T2085" t="s">
        <v>12620</v>
      </c>
      <c r="U2085" t="s">
        <v>12620</v>
      </c>
      <c r="V2085" t="s">
        <v>12620</v>
      </c>
      <c r="W2085" t="s">
        <v>14665</v>
      </c>
      <c r="X2085">
        <v>19</v>
      </c>
      <c r="Y2085" t="s">
        <v>20860</v>
      </c>
      <c r="Z2085" t="s">
        <v>27032</v>
      </c>
      <c r="AA2085">
        <v>0.70693737365839637</v>
      </c>
      <c r="AB2085" t="str">
        <f>HYPERLINK("Melting_Curves/meltCurve_P36551_CPOX.pdf", "Melting_Curves/meltCurve_P36551_CPOX.pdf")</f>
        <v>Melting_Curves/meltCurve_P36551_CPOX.pdf</v>
      </c>
    </row>
    <row r="2086" spans="1:28" x14ac:dyDescent="0.25">
      <c r="A2086" t="s">
        <v>2090</v>
      </c>
      <c r="B2086">
        <v>0.99987803227770999</v>
      </c>
      <c r="C2086">
        <v>1.5409555247900599</v>
      </c>
      <c r="D2086">
        <v>1.5130905768046301</v>
      </c>
      <c r="E2086">
        <v>1.2787415559938899</v>
      </c>
      <c r="F2086">
        <v>0.74644350534331305</v>
      </c>
      <c r="G2086">
        <v>0.32650002778010201</v>
      </c>
      <c r="H2086">
        <v>0.207122878698525</v>
      </c>
      <c r="I2086">
        <v>0.176780770927329</v>
      </c>
      <c r="J2086">
        <v>0.179544627417248</v>
      </c>
      <c r="K2086">
        <v>0.13768877637402499</v>
      </c>
      <c r="L2086">
        <v>2404.1496659566701</v>
      </c>
      <c r="M2086">
        <v>44.180576498776396</v>
      </c>
      <c r="N2086">
        <v>54.977918350284199</v>
      </c>
      <c r="O2086">
        <v>54.305328530297999</v>
      </c>
      <c r="P2086">
        <v>-0.16646041551409099</v>
      </c>
      <c r="Q2086">
        <v>0.18157056170701699</v>
      </c>
      <c r="R2086">
        <v>0.78551563879983699</v>
      </c>
      <c r="S2086" t="s">
        <v>8397</v>
      </c>
      <c r="T2086" t="s">
        <v>12620</v>
      </c>
      <c r="U2086" t="s">
        <v>12620</v>
      </c>
      <c r="V2086" t="s">
        <v>12620</v>
      </c>
      <c r="W2086" t="s">
        <v>14666</v>
      </c>
      <c r="X2086">
        <v>15</v>
      </c>
      <c r="Y2086" t="s">
        <v>20861</v>
      </c>
      <c r="Z2086" t="s">
        <v>27033</v>
      </c>
      <c r="AA2086">
        <v>0.57738212356216989</v>
      </c>
      <c r="AB2086" t="str">
        <f>HYPERLINK("Melting_Curves/meltCurve_P36578_RPL4.pdf", "Melting_Curves/meltCurve_P36578_RPL4.pdf")</f>
        <v>Melting_Curves/meltCurve_P36578_RPL4.pdf</v>
      </c>
    </row>
    <row r="2087" spans="1:28" x14ac:dyDescent="0.25">
      <c r="A2087" t="s">
        <v>2091</v>
      </c>
      <c r="B2087">
        <v>0.99987803227770999</v>
      </c>
      <c r="C2087">
        <v>0.78835641828896796</v>
      </c>
      <c r="D2087">
        <v>1.0020418148263299</v>
      </c>
      <c r="E2087">
        <v>0.78901496540173099</v>
      </c>
      <c r="F2087">
        <v>0.95667698213097796</v>
      </c>
      <c r="G2087">
        <v>0.432859627443694</v>
      </c>
      <c r="H2087">
        <v>0.16077593414260299</v>
      </c>
      <c r="I2087">
        <v>0.117727435042926</v>
      </c>
      <c r="J2087">
        <v>9.0615238345398599E-2</v>
      </c>
      <c r="K2087">
        <v>6.1923288262494103E-2</v>
      </c>
      <c r="L2087">
        <v>1785.1070761384501</v>
      </c>
      <c r="M2087">
        <v>31.704582223814199</v>
      </c>
      <c r="N2087">
        <v>56.618010382292901</v>
      </c>
      <c r="O2087">
        <v>56.081805224805798</v>
      </c>
      <c r="P2087">
        <v>-0.12995081184924401</v>
      </c>
      <c r="Q2087">
        <v>8.0531897636426306E-2</v>
      </c>
      <c r="R2087">
        <v>0.94050148081557905</v>
      </c>
      <c r="S2087" t="s">
        <v>8398</v>
      </c>
      <c r="T2087" t="s">
        <v>12620</v>
      </c>
      <c r="U2087" t="s">
        <v>12620</v>
      </c>
      <c r="V2087" t="s">
        <v>12620</v>
      </c>
      <c r="W2087" t="s">
        <v>14667</v>
      </c>
      <c r="X2087">
        <v>7</v>
      </c>
      <c r="Y2087" t="s">
        <v>20862</v>
      </c>
      <c r="Z2087" t="s">
        <v>27034</v>
      </c>
      <c r="AA2087">
        <v>0.58578699647912935</v>
      </c>
      <c r="AB2087" t="str">
        <f>HYPERLINK("Melting_Curves/meltCurve_P36639_4_NUDT1.pdf", "Melting_Curves/meltCurve_P36639_4_NUDT1.pdf")</f>
        <v>Melting_Curves/meltCurve_P36639_4_NUDT1.pdf</v>
      </c>
    </row>
    <row r="2088" spans="1:28" x14ac:dyDescent="0.25">
      <c r="A2088" t="s">
        <v>2092</v>
      </c>
      <c r="B2088">
        <v>0.99987803227770999</v>
      </c>
      <c r="C2088">
        <v>0.95906026234917496</v>
      </c>
      <c r="D2088">
        <v>1.04709508512618</v>
      </c>
      <c r="E2088">
        <v>0.99859789124031195</v>
      </c>
      <c r="F2088">
        <v>1.03949243390089</v>
      </c>
      <c r="G2088">
        <v>0.77468611176815505</v>
      </c>
      <c r="H2088">
        <v>0.30790911751713701</v>
      </c>
      <c r="I2088">
        <v>0.14454370014485199</v>
      </c>
      <c r="J2088">
        <v>7.7466144907589504E-2</v>
      </c>
      <c r="K2088">
        <v>5.79625317652262E-2</v>
      </c>
      <c r="L2088">
        <v>1967.7460154322901</v>
      </c>
      <c r="M2088">
        <v>33.296137706333703</v>
      </c>
      <c r="N2088">
        <v>59.3349836852246</v>
      </c>
      <c r="O2088">
        <v>58.886370554202401</v>
      </c>
      <c r="P2088">
        <v>-0.13256849393033401</v>
      </c>
      <c r="Q2088">
        <v>6.2180255729335797E-2</v>
      </c>
      <c r="R2088">
        <v>0.99539687853080405</v>
      </c>
      <c r="S2088" t="s">
        <v>8399</v>
      </c>
      <c r="T2088" t="s">
        <v>12620</v>
      </c>
      <c r="U2088" t="s">
        <v>12620</v>
      </c>
      <c r="V2088" t="s">
        <v>12620</v>
      </c>
      <c r="W2088" t="s">
        <v>14668</v>
      </c>
      <c r="X2088">
        <v>33</v>
      </c>
      <c r="Y2088" t="s">
        <v>20863</v>
      </c>
      <c r="Z2088" t="s">
        <v>27035</v>
      </c>
      <c r="AA2088">
        <v>0.66428985098424487</v>
      </c>
      <c r="AB2088" t="str">
        <f>HYPERLINK("Melting_Curves/meltCurve_P36871_PGM1.pdf", "Melting_Curves/meltCurve_P36871_PGM1.pdf")</f>
        <v>Melting_Curves/meltCurve_P36871_PGM1.pdf</v>
      </c>
    </row>
    <row r="2089" spans="1:28" x14ac:dyDescent="0.25">
      <c r="A2089" t="s">
        <v>2093</v>
      </c>
      <c r="B2089">
        <v>0.99987803227770999</v>
      </c>
      <c r="C2089">
        <v>0.96892989641248894</v>
      </c>
      <c r="D2089">
        <v>0.92046151455815395</v>
      </c>
      <c r="E2089">
        <v>0.83849225601246402</v>
      </c>
      <c r="F2089">
        <v>0.69563771541463304</v>
      </c>
      <c r="G2089">
        <v>0.377689427427574</v>
      </c>
      <c r="H2089">
        <v>0.20450022605947199</v>
      </c>
      <c r="I2089">
        <v>0.133271310965839</v>
      </c>
      <c r="J2089">
        <v>0.13443231324549701</v>
      </c>
      <c r="K2089">
        <v>9.4095553913012095E-2</v>
      </c>
      <c r="L2089">
        <v>917.35085883330203</v>
      </c>
      <c r="M2089">
        <v>16.734531162409699</v>
      </c>
      <c r="N2089">
        <v>55.315422806025097</v>
      </c>
      <c r="O2089">
        <v>54.052995356219498</v>
      </c>
      <c r="P2089">
        <v>-7.1995199402992593E-2</v>
      </c>
      <c r="Q2089">
        <v>6.9875256430440694E-2</v>
      </c>
      <c r="R2089">
        <v>0.99672549057290505</v>
      </c>
      <c r="S2089" t="s">
        <v>8400</v>
      </c>
      <c r="T2089" t="s">
        <v>12620</v>
      </c>
      <c r="U2089" t="s">
        <v>12620</v>
      </c>
      <c r="V2089" t="s">
        <v>12620</v>
      </c>
      <c r="W2089" t="s">
        <v>14669</v>
      </c>
      <c r="X2089">
        <v>15</v>
      </c>
      <c r="Y2089" t="s">
        <v>20864</v>
      </c>
      <c r="Z2089" t="s">
        <v>27036</v>
      </c>
      <c r="AA2089">
        <v>0.54524767065441693</v>
      </c>
      <c r="AB2089" t="str">
        <f>HYPERLINK("Melting_Curves/meltCurve_P36873_PPP1CC.pdf", "Melting_Curves/meltCurve_P36873_PPP1CC.pdf")</f>
        <v>Melting_Curves/meltCurve_P36873_PPP1CC.pdf</v>
      </c>
    </row>
    <row r="2090" spans="1:28" x14ac:dyDescent="0.25">
      <c r="A2090" t="s">
        <v>2094</v>
      </c>
      <c r="B2090">
        <v>0.99987803227770999</v>
      </c>
      <c r="C2090">
        <v>1.0108612357112601</v>
      </c>
      <c r="D2090">
        <v>1.01430003511281</v>
      </c>
      <c r="E2090">
        <v>0.90701098047797601</v>
      </c>
      <c r="F2090">
        <v>0.34773662743039502</v>
      </c>
      <c r="G2090">
        <v>0.163281228079801</v>
      </c>
      <c r="H2090">
        <v>0.121495607972192</v>
      </c>
      <c r="I2090">
        <v>9.7779600065849598E-2</v>
      </c>
      <c r="J2090">
        <v>8.1881988081968698E-2</v>
      </c>
      <c r="K2090">
        <v>6.2992488804400906E-2</v>
      </c>
      <c r="L2090">
        <v>2675.3154401188699</v>
      </c>
      <c r="M2090">
        <v>51.422603645631597</v>
      </c>
      <c r="N2090">
        <v>52.259331069119199</v>
      </c>
      <c r="O2090">
        <v>51.947557942364</v>
      </c>
      <c r="P2090">
        <v>-0.222096281078346</v>
      </c>
      <c r="Q2090">
        <v>0.102546366641472</v>
      </c>
      <c r="R2090">
        <v>0.99692596449362503</v>
      </c>
      <c r="S2090" t="s">
        <v>8401</v>
      </c>
      <c r="T2090" t="s">
        <v>12620</v>
      </c>
      <c r="U2090" t="s">
        <v>12620</v>
      </c>
      <c r="V2090" t="s">
        <v>12620</v>
      </c>
      <c r="W2090" t="s">
        <v>14670</v>
      </c>
      <c r="X2090">
        <v>10</v>
      </c>
      <c r="Y2090" t="s">
        <v>20865</v>
      </c>
      <c r="Z2090" t="s">
        <v>27037</v>
      </c>
      <c r="AA2090">
        <v>0.46425387381674349</v>
      </c>
      <c r="AB2090" t="str">
        <f>HYPERLINK("Melting_Curves/meltCurve_P36915_GNL1.pdf", "Melting_Curves/meltCurve_P36915_GNL1.pdf")</f>
        <v>Melting_Curves/meltCurve_P36915_GNL1.pdf</v>
      </c>
    </row>
    <row r="2091" spans="1:28" x14ac:dyDescent="0.25">
      <c r="A2091" t="s">
        <v>2095</v>
      </c>
      <c r="B2091">
        <v>0.99987803227770999</v>
      </c>
      <c r="C2091">
        <v>0.78476529487858304</v>
      </c>
      <c r="D2091">
        <v>1.05481248661599</v>
      </c>
      <c r="E2091">
        <v>0.90929174965456105</v>
      </c>
      <c r="F2091">
        <v>1.2507388458403399</v>
      </c>
      <c r="G2091">
        <v>0.90696308271117398</v>
      </c>
      <c r="H2091">
        <v>0.96492204077685895</v>
      </c>
      <c r="I2091">
        <v>0.97476248540230603</v>
      </c>
      <c r="J2091">
        <v>1.0221707569385201</v>
      </c>
      <c r="K2091">
        <v>0.88145665922191296</v>
      </c>
      <c r="L2091">
        <v>15000</v>
      </c>
      <c r="M2091">
        <v>212.27939849337301</v>
      </c>
      <c r="Q2091">
        <v>0</v>
      </c>
      <c r="R2091">
        <v>5.5950396272052602E-2</v>
      </c>
      <c r="S2091" t="s">
        <v>8402</v>
      </c>
      <c r="T2091" t="s">
        <v>12620</v>
      </c>
      <c r="U2091" t="s">
        <v>12620</v>
      </c>
      <c r="V2091" t="s">
        <v>12620</v>
      </c>
      <c r="W2091" t="s">
        <v>14671</v>
      </c>
      <c r="X2091">
        <v>10</v>
      </c>
      <c r="Y2091" t="s">
        <v>20866</v>
      </c>
      <c r="Z2091" t="s">
        <v>27038</v>
      </c>
      <c r="AA2091">
        <v>0.99863911877650891</v>
      </c>
      <c r="AB2091" t="str">
        <f>HYPERLINK("Melting_Curves/meltCurve_P36954_POLR2I.pdf", "Melting_Curves/meltCurve_P36954_POLR2I.pdf")</f>
        <v>Melting_Curves/meltCurve_P36954_POLR2I.pdf</v>
      </c>
    </row>
    <row r="2092" spans="1:28" x14ac:dyDescent="0.25">
      <c r="A2092" t="s">
        <v>2096</v>
      </c>
      <c r="B2092">
        <v>0.99987803227770999</v>
      </c>
      <c r="C2092">
        <v>1.11025990348558</v>
      </c>
      <c r="D2092">
        <v>0.82558484371693597</v>
      </c>
      <c r="E2092">
        <v>1.1459706970580601</v>
      </c>
      <c r="F2092">
        <v>0.67865714813907096</v>
      </c>
      <c r="G2092">
        <v>0.85878122428187798</v>
      </c>
      <c r="H2092">
        <v>1.16660340590959</v>
      </c>
      <c r="I2092">
        <v>0.93762994517287301</v>
      </c>
      <c r="J2092">
        <v>1.1407011415147601</v>
      </c>
      <c r="K2092">
        <v>0.58493915312365696</v>
      </c>
      <c r="L2092">
        <v>15000</v>
      </c>
      <c r="M2092">
        <v>213.942516261994</v>
      </c>
      <c r="Q2092">
        <v>0</v>
      </c>
      <c r="R2092">
        <v>0.37298683489525403</v>
      </c>
      <c r="S2092" t="s">
        <v>8403</v>
      </c>
      <c r="T2092" t="s">
        <v>12620</v>
      </c>
      <c r="U2092" t="s">
        <v>12620</v>
      </c>
      <c r="V2092" t="s">
        <v>12620</v>
      </c>
      <c r="W2092" t="s">
        <v>14672</v>
      </c>
      <c r="X2092">
        <v>14</v>
      </c>
      <c r="Y2092" t="s">
        <v>20867</v>
      </c>
      <c r="Z2092" t="s">
        <v>27039</v>
      </c>
      <c r="AA2092">
        <v>0.99422269799133045</v>
      </c>
      <c r="AB2092" t="str">
        <f>HYPERLINK("Melting_Curves/meltCurve_P36957_DLST.pdf", "Melting_Curves/meltCurve_P36957_DLST.pdf")</f>
        <v>Melting_Curves/meltCurve_P36957_DLST.pdf</v>
      </c>
    </row>
    <row r="2093" spans="1:28" x14ac:dyDescent="0.25">
      <c r="A2093" t="s">
        <v>2097</v>
      </c>
      <c r="B2093">
        <v>0.99987803227770999</v>
      </c>
      <c r="C2093">
        <v>0.79356028193681105</v>
      </c>
      <c r="D2093">
        <v>1.0103833014205199</v>
      </c>
      <c r="E2093">
        <v>0.74007631275637198</v>
      </c>
      <c r="F2093">
        <v>0.47730140252728798</v>
      </c>
      <c r="G2093">
        <v>0.197572378685033</v>
      </c>
      <c r="H2093">
        <v>0.136922399706711</v>
      </c>
      <c r="I2093">
        <v>0.122835633939997</v>
      </c>
      <c r="J2093">
        <v>8.8408939776882203E-2</v>
      </c>
      <c r="K2093">
        <v>6.4411481787797598E-2</v>
      </c>
      <c r="L2093">
        <v>1100.18079096918</v>
      </c>
      <c r="M2093">
        <v>21.053621666774699</v>
      </c>
      <c r="N2093">
        <v>52.697165049000603</v>
      </c>
      <c r="O2093">
        <v>51.791538153734301</v>
      </c>
      <c r="P2093">
        <v>-9.3420263626952396E-2</v>
      </c>
      <c r="Q2093">
        <v>8.0775678821546307E-2</v>
      </c>
      <c r="R2093">
        <v>0.96775718680136802</v>
      </c>
      <c r="S2093" t="s">
        <v>8404</v>
      </c>
      <c r="T2093" t="s">
        <v>12620</v>
      </c>
      <c r="U2093" t="s">
        <v>12620</v>
      </c>
      <c r="V2093" t="s">
        <v>12620</v>
      </c>
      <c r="W2093" t="s">
        <v>14673</v>
      </c>
      <c r="X2093">
        <v>8</v>
      </c>
      <c r="Y2093" t="s">
        <v>20868</v>
      </c>
      <c r="Z2093" t="s">
        <v>27040</v>
      </c>
      <c r="AA2093">
        <v>0.46790325170196179</v>
      </c>
      <c r="AB2093" t="str">
        <f>HYPERLINK("Melting_Curves/meltCurve_P36969_2_GPX4.pdf", "Melting_Curves/meltCurve_P36969_2_GPX4.pdf")</f>
        <v>Melting_Curves/meltCurve_P36969_2_GPX4.pdf</v>
      </c>
    </row>
    <row r="2094" spans="1:28" x14ac:dyDescent="0.25">
      <c r="A2094" t="s">
        <v>2098</v>
      </c>
      <c r="B2094">
        <v>0.99987803227770999</v>
      </c>
      <c r="C2094">
        <v>1.0759406061411501</v>
      </c>
      <c r="D2094">
        <v>1.0133915704057099</v>
      </c>
      <c r="E2094">
        <v>1.17180558024978</v>
      </c>
      <c r="F2094">
        <v>1.00099710217152</v>
      </c>
      <c r="G2094">
        <v>0.93865604684328197</v>
      </c>
      <c r="H2094">
        <v>0.79370440324644798</v>
      </c>
      <c r="I2094">
        <v>0.37549091345279101</v>
      </c>
      <c r="J2094">
        <v>0.20311764236489699</v>
      </c>
      <c r="K2094">
        <v>0.14527552951139</v>
      </c>
      <c r="L2094">
        <v>2587.4784030001802</v>
      </c>
      <c r="M2094">
        <v>41.341847251723699</v>
      </c>
      <c r="N2094">
        <v>63.086510292952802</v>
      </c>
      <c r="O2094">
        <v>62.441484420185198</v>
      </c>
      <c r="P2094">
        <v>-0.142434293023422</v>
      </c>
      <c r="Q2094">
        <v>0.139487645964886</v>
      </c>
      <c r="R2094">
        <v>0.97109982222330804</v>
      </c>
      <c r="S2094" t="s">
        <v>8405</v>
      </c>
      <c r="T2094" t="s">
        <v>12620</v>
      </c>
      <c r="U2094" t="s">
        <v>12620</v>
      </c>
      <c r="V2094" t="s">
        <v>12620</v>
      </c>
      <c r="W2094" t="s">
        <v>14674</v>
      </c>
      <c r="X2094">
        <v>5</v>
      </c>
      <c r="Y2094" t="s">
        <v>20869</v>
      </c>
      <c r="Z2094" t="s">
        <v>27041</v>
      </c>
      <c r="AA2094">
        <v>0.79014497273489526</v>
      </c>
      <c r="AB2094" t="str">
        <f>HYPERLINK("Melting_Curves/meltCurve_P37108_SRP14.pdf", "Melting_Curves/meltCurve_P37108_SRP14.pdf")</f>
        <v>Melting_Curves/meltCurve_P37108_SRP14.pdf</v>
      </c>
    </row>
    <row r="2095" spans="1:28" x14ac:dyDescent="0.25">
      <c r="A2095" t="s">
        <v>2099</v>
      </c>
      <c r="B2095">
        <v>0.99987803227770999</v>
      </c>
      <c r="C2095">
        <v>0.94633832012596797</v>
      </c>
      <c r="D2095">
        <v>0.95249885952265101</v>
      </c>
      <c r="E2095">
        <v>0.96556896392550695</v>
      </c>
      <c r="F2095">
        <v>0.86508469453797299</v>
      </c>
      <c r="G2095">
        <v>0.774959977004263</v>
      </c>
      <c r="H2095">
        <v>0.77375124764613501</v>
      </c>
      <c r="I2095">
        <v>0.79846785163673795</v>
      </c>
      <c r="J2095">
        <v>0.73387446796472999</v>
      </c>
      <c r="K2095">
        <v>0.64369215906962596</v>
      </c>
      <c r="L2095">
        <v>339.35045878000898</v>
      </c>
      <c r="M2095">
        <v>4.9988298437523104</v>
      </c>
      <c r="O2095">
        <v>59.245887761872801</v>
      </c>
      <c r="P2095">
        <v>-1.27231157843087E-2</v>
      </c>
      <c r="Q2095">
        <v>0.400501635251931</v>
      </c>
      <c r="R2095">
        <v>0.90621564886941097</v>
      </c>
      <c r="S2095" t="s">
        <v>8406</v>
      </c>
      <c r="T2095" t="s">
        <v>12620</v>
      </c>
      <c r="U2095" t="s">
        <v>12620</v>
      </c>
      <c r="V2095" t="s">
        <v>12620</v>
      </c>
      <c r="W2095" t="s">
        <v>14675</v>
      </c>
      <c r="X2095">
        <v>11</v>
      </c>
      <c r="Y2095" t="s">
        <v>20870</v>
      </c>
      <c r="Z2095" t="s">
        <v>27042</v>
      </c>
      <c r="AA2095">
        <v>0.84831633317996458</v>
      </c>
      <c r="AB2095" t="str">
        <f>HYPERLINK("Melting_Curves/meltCurve_P37198_NUP62.pdf", "Melting_Curves/meltCurve_P37198_NUP62.pdf")</f>
        <v>Melting_Curves/meltCurve_P37198_NUP62.pdf</v>
      </c>
    </row>
    <row r="2096" spans="1:28" x14ac:dyDescent="0.25">
      <c r="A2096" t="s">
        <v>2100</v>
      </c>
      <c r="B2096">
        <v>0.99987803227770999</v>
      </c>
      <c r="C2096">
        <v>0.97635680868804597</v>
      </c>
      <c r="D2096">
        <v>0.89422750895476699</v>
      </c>
      <c r="E2096">
        <v>0.78258829220584303</v>
      </c>
      <c r="F2096">
        <v>0.69432842857845301</v>
      </c>
      <c r="G2096">
        <v>0.54098108256770705</v>
      </c>
      <c r="H2096">
        <v>0.525886580211543</v>
      </c>
      <c r="I2096">
        <v>0.46250421067540998</v>
      </c>
      <c r="J2096">
        <v>0.40359213315509201</v>
      </c>
      <c r="K2096">
        <v>0.305898993371371</v>
      </c>
      <c r="L2096">
        <v>479.85833175340298</v>
      </c>
      <c r="M2096">
        <v>8.6175643028361204</v>
      </c>
      <c r="N2096">
        <v>60.330741030123697</v>
      </c>
      <c r="O2096">
        <v>52.928637831547803</v>
      </c>
      <c r="P2096">
        <v>-3.0857537947255199E-2</v>
      </c>
      <c r="Q2096">
        <v>0.24254661468426</v>
      </c>
      <c r="R2096">
        <v>0.98379678491344902</v>
      </c>
      <c r="S2096" t="s">
        <v>8407</v>
      </c>
      <c r="T2096" t="s">
        <v>12620</v>
      </c>
      <c r="U2096" t="s">
        <v>12620</v>
      </c>
      <c r="V2096" t="s">
        <v>12620</v>
      </c>
      <c r="W2096" t="s">
        <v>14676</v>
      </c>
      <c r="X2096">
        <v>7</v>
      </c>
      <c r="Y2096" t="s">
        <v>20871</v>
      </c>
      <c r="Z2096" t="s">
        <v>27043</v>
      </c>
      <c r="AA2096">
        <v>0.65565249193785624</v>
      </c>
      <c r="AB2096" t="str">
        <f>HYPERLINK("Melting_Curves/meltCurve_P37235_HPCAL1.pdf", "Melting_Curves/meltCurve_P37235_HPCAL1.pdf")</f>
        <v>Melting_Curves/meltCurve_P37235_HPCAL1.pdf</v>
      </c>
    </row>
    <row r="2097" spans="1:28" x14ac:dyDescent="0.25">
      <c r="A2097" t="s">
        <v>2101</v>
      </c>
      <c r="B2097">
        <v>0.99987803227770999</v>
      </c>
      <c r="C2097">
        <v>0.81151068091845502</v>
      </c>
      <c r="D2097">
        <v>1.07050723652685</v>
      </c>
      <c r="E2097">
        <v>0.92667732912063405</v>
      </c>
      <c r="F2097">
        <v>0.89721545550779802</v>
      </c>
      <c r="G2097">
        <v>0.54978001852727298</v>
      </c>
      <c r="H2097">
        <v>0.30226260737091398</v>
      </c>
      <c r="I2097">
        <v>0.219811742723343</v>
      </c>
      <c r="J2097">
        <v>0.17909085272744099</v>
      </c>
      <c r="K2097">
        <v>0.12620952920508899</v>
      </c>
      <c r="L2097">
        <v>1275.3248770673099</v>
      </c>
      <c r="M2097">
        <v>22.373712473482499</v>
      </c>
      <c r="N2097">
        <v>57.825462760094901</v>
      </c>
      <c r="O2097">
        <v>56.551541517168502</v>
      </c>
      <c r="P2097">
        <v>-8.5404015577399794E-2</v>
      </c>
      <c r="Q2097">
        <v>0.136553220425737</v>
      </c>
      <c r="R2097">
        <v>0.96455350775481696</v>
      </c>
      <c r="S2097" t="s">
        <v>8408</v>
      </c>
      <c r="T2097" t="s">
        <v>12620</v>
      </c>
      <c r="U2097" t="s">
        <v>12620</v>
      </c>
      <c r="V2097" t="s">
        <v>12620</v>
      </c>
      <c r="W2097" t="s">
        <v>14677</v>
      </c>
      <c r="X2097">
        <v>26</v>
      </c>
      <c r="Y2097" t="s">
        <v>20872</v>
      </c>
      <c r="Z2097" t="s">
        <v>27044</v>
      </c>
      <c r="AA2097">
        <v>0.63502063713415635</v>
      </c>
      <c r="AB2097" t="str">
        <f>HYPERLINK("Melting_Curves/meltCurve_P37802_TAGLN2.pdf", "Melting_Curves/meltCurve_P37802_TAGLN2.pdf")</f>
        <v>Melting_Curves/meltCurve_P37802_TAGLN2.pdf</v>
      </c>
    </row>
    <row r="2098" spans="1:28" x14ac:dyDescent="0.25">
      <c r="A2098" t="s">
        <v>2102</v>
      </c>
      <c r="B2098">
        <v>0.99987803227770999</v>
      </c>
      <c r="C2098">
        <v>0.84111211745090597</v>
      </c>
      <c r="D2098">
        <v>1.10671349887447</v>
      </c>
      <c r="E2098">
        <v>0.82010689561460604</v>
      </c>
      <c r="F2098">
        <v>0.314236835413922</v>
      </c>
      <c r="G2098">
        <v>0.22151390331340801</v>
      </c>
      <c r="H2098">
        <v>0.17158680100457899</v>
      </c>
      <c r="I2098">
        <v>0.13923796999395499</v>
      </c>
      <c r="J2098">
        <v>9.2604136864424397E-2</v>
      </c>
      <c r="K2098">
        <v>5.9922552733459603E-2</v>
      </c>
      <c r="L2098">
        <v>2305.2846691230998</v>
      </c>
      <c r="M2098">
        <v>44.765425499624399</v>
      </c>
      <c r="N2098">
        <v>51.8552222022414</v>
      </c>
      <c r="O2098">
        <v>51.394524996818198</v>
      </c>
      <c r="P2098">
        <v>-0.18879269075855501</v>
      </c>
      <c r="Q2098">
        <v>0.13300048506399001</v>
      </c>
      <c r="R2098">
        <v>0.96628198971366597</v>
      </c>
      <c r="S2098" t="s">
        <v>8409</v>
      </c>
      <c r="T2098" t="s">
        <v>12620</v>
      </c>
      <c r="U2098" t="s">
        <v>12620</v>
      </c>
      <c r="V2098" t="s">
        <v>12620</v>
      </c>
      <c r="W2098" t="s">
        <v>14678</v>
      </c>
      <c r="X2098">
        <v>34</v>
      </c>
      <c r="Y2098" t="s">
        <v>20873</v>
      </c>
      <c r="Z2098" t="s">
        <v>27045</v>
      </c>
      <c r="AA2098">
        <v>0.46772327689344573</v>
      </c>
      <c r="AB2098" t="str">
        <f>HYPERLINK("Melting_Curves/meltCurve_P37837_TALDO1.pdf", "Melting_Curves/meltCurve_P37837_TALDO1.pdf")</f>
        <v>Melting_Curves/meltCurve_P37837_TALDO1.pdf</v>
      </c>
    </row>
    <row r="2099" spans="1:28" x14ac:dyDescent="0.25">
      <c r="A2099" t="s">
        <v>2103</v>
      </c>
      <c r="B2099">
        <v>0.99987803227770999</v>
      </c>
      <c r="C2099">
        <v>0.88984098864473704</v>
      </c>
      <c r="D2099">
        <v>1.02557594151952</v>
      </c>
      <c r="E2099">
        <v>0.74437055035085997</v>
      </c>
      <c r="F2099">
        <v>0.48962106243995701</v>
      </c>
      <c r="G2099">
        <v>0.23460755141900799</v>
      </c>
      <c r="H2099">
        <v>0.145614247628257</v>
      </c>
      <c r="I2099">
        <v>0.109640750070016</v>
      </c>
      <c r="J2099">
        <v>8.5926491583241796E-2</v>
      </c>
      <c r="K2099">
        <v>6.2122515497671997E-2</v>
      </c>
      <c r="L2099">
        <v>1080.16372079806</v>
      </c>
      <c r="M2099">
        <v>20.570670406846801</v>
      </c>
      <c r="N2099">
        <v>52.948708277846499</v>
      </c>
      <c r="O2099">
        <v>52.021206429983799</v>
      </c>
      <c r="P2099">
        <v>-9.1112356323569996E-2</v>
      </c>
      <c r="Q2099">
        <v>7.8370017913667905E-2</v>
      </c>
      <c r="R2099">
        <v>0.98846964486295996</v>
      </c>
      <c r="S2099" t="s">
        <v>8410</v>
      </c>
      <c r="T2099" t="s">
        <v>12620</v>
      </c>
      <c r="U2099" t="s">
        <v>12620</v>
      </c>
      <c r="V2099" t="s">
        <v>12620</v>
      </c>
      <c r="W2099" t="s">
        <v>14679</v>
      </c>
      <c r="X2099">
        <v>20</v>
      </c>
      <c r="Y2099" t="s">
        <v>20874</v>
      </c>
      <c r="Z2099" t="s">
        <v>27046</v>
      </c>
      <c r="AA2099">
        <v>0.47479269378071542</v>
      </c>
      <c r="AB2099" t="str">
        <f>HYPERLINK("Melting_Curves/meltCurve_P38117_ETFB.pdf", "Melting_Curves/meltCurve_P38117_ETFB.pdf")</f>
        <v>Melting_Curves/meltCurve_P38117_ETFB.pdf</v>
      </c>
    </row>
    <row r="2100" spans="1:28" x14ac:dyDescent="0.25">
      <c r="A2100" t="s">
        <v>2104</v>
      </c>
      <c r="B2100">
        <v>0.99987803227770999</v>
      </c>
      <c r="C2100">
        <v>0.82467277032880704</v>
      </c>
      <c r="D2100">
        <v>0.96548845060557498</v>
      </c>
      <c r="E2100">
        <v>0.85489612865782805</v>
      </c>
      <c r="F2100">
        <v>0.96112802925321905</v>
      </c>
      <c r="G2100">
        <v>0.74061172241184403</v>
      </c>
      <c r="H2100">
        <v>0.69759355804512801</v>
      </c>
      <c r="I2100">
        <v>0.67368524564227406</v>
      </c>
      <c r="J2100">
        <v>0.57760876364365799</v>
      </c>
      <c r="K2100">
        <v>0.47181164545561</v>
      </c>
      <c r="L2100">
        <v>375.67613863742002</v>
      </c>
      <c r="M2100">
        <v>5.32002693293005</v>
      </c>
      <c r="O2100">
        <v>62.490695694349903</v>
      </c>
      <c r="P2100">
        <v>-2.1388565836220098E-2</v>
      </c>
      <c r="Q2100">
        <v>0</v>
      </c>
      <c r="R2100">
        <v>0.85744256557348497</v>
      </c>
      <c r="S2100" t="s">
        <v>8411</v>
      </c>
      <c r="T2100" t="s">
        <v>12620</v>
      </c>
      <c r="U2100" t="s">
        <v>12620</v>
      </c>
      <c r="V2100" t="s">
        <v>12620</v>
      </c>
      <c r="W2100" t="s">
        <v>14680</v>
      </c>
      <c r="X2100">
        <v>12</v>
      </c>
      <c r="Y2100" t="s">
        <v>20875</v>
      </c>
      <c r="Z2100" t="s">
        <v>27047</v>
      </c>
      <c r="AA2100">
        <v>0.79312593312300728</v>
      </c>
      <c r="AB2100" t="str">
        <f>HYPERLINK("Melting_Curves/meltCurve_P38159_RBMX.pdf", "Melting_Curves/meltCurve_P38159_RBMX.pdf")</f>
        <v>Melting_Curves/meltCurve_P38159_RBMX.pdf</v>
      </c>
    </row>
    <row r="2101" spans="1:28" x14ac:dyDescent="0.25">
      <c r="A2101" t="s">
        <v>2105</v>
      </c>
      <c r="B2101">
        <v>0.99987803227770999</v>
      </c>
      <c r="C2101">
        <v>0.91411589522260395</v>
      </c>
      <c r="D2101">
        <v>0.98046817207191395</v>
      </c>
      <c r="E2101">
        <v>0.86462322656185298</v>
      </c>
      <c r="F2101">
        <v>0.88833122311874402</v>
      </c>
      <c r="G2101">
        <v>0.76579532009961304</v>
      </c>
      <c r="H2101">
        <v>0.72879760308280805</v>
      </c>
      <c r="I2101">
        <v>0.69489815465768101</v>
      </c>
      <c r="J2101">
        <v>0.64956078819754304</v>
      </c>
      <c r="K2101">
        <v>0.52213744738781498</v>
      </c>
      <c r="L2101">
        <v>339.410241801089</v>
      </c>
      <c r="M2101">
        <v>4.59296885648578</v>
      </c>
      <c r="O2101">
        <v>63.149439740935399</v>
      </c>
      <c r="P2101">
        <v>-1.8331476533683201E-2</v>
      </c>
      <c r="Q2101">
        <v>0</v>
      </c>
      <c r="R2101">
        <v>0.94915699709197898</v>
      </c>
      <c r="S2101" t="s">
        <v>8412</v>
      </c>
      <c r="T2101" t="s">
        <v>12620</v>
      </c>
      <c r="U2101" t="s">
        <v>12620</v>
      </c>
      <c r="V2101" t="s">
        <v>12620</v>
      </c>
      <c r="W2101" t="s">
        <v>14681</v>
      </c>
      <c r="X2101">
        <v>13</v>
      </c>
      <c r="Y2101" t="s">
        <v>20876</v>
      </c>
      <c r="Z2101" t="s">
        <v>27048</v>
      </c>
      <c r="AA2101">
        <v>0.80863510797532079</v>
      </c>
      <c r="AB2101" t="str">
        <f>HYPERLINK("Melting_Curves/meltCurve_P38398_4_BRCA1.pdf", "Melting_Curves/meltCurve_P38398_4_BRCA1.pdf")</f>
        <v>Melting_Curves/meltCurve_P38398_4_BRCA1.pdf</v>
      </c>
    </row>
    <row r="2102" spans="1:28" x14ac:dyDescent="0.25">
      <c r="A2102" t="s">
        <v>2106</v>
      </c>
      <c r="B2102">
        <v>0.99987803227770999</v>
      </c>
      <c r="C2102">
        <v>0.92247080327265896</v>
      </c>
      <c r="D2102">
        <v>1.0909452521576</v>
      </c>
      <c r="E2102">
        <v>0.93803463061485604</v>
      </c>
      <c r="F2102">
        <v>0.96586159716901898</v>
      </c>
      <c r="G2102">
        <v>0.71915109323555604</v>
      </c>
      <c r="H2102">
        <v>0.61350505018364798</v>
      </c>
      <c r="I2102">
        <v>0.54129938882411399</v>
      </c>
      <c r="J2102">
        <v>0.45911750406886398</v>
      </c>
      <c r="K2102">
        <v>0.37428405616323601</v>
      </c>
      <c r="L2102">
        <v>886.65438003581301</v>
      </c>
      <c r="M2102">
        <v>14.8914159677333</v>
      </c>
      <c r="N2102">
        <v>64.410531220546801</v>
      </c>
      <c r="O2102">
        <v>58.498511209690101</v>
      </c>
      <c r="P2102">
        <v>-4.2147258961731701E-2</v>
      </c>
      <c r="Q2102">
        <v>0.33779415018584003</v>
      </c>
      <c r="R2102">
        <v>0.95767425393870997</v>
      </c>
      <c r="S2102" t="s">
        <v>8413</v>
      </c>
      <c r="T2102" t="s">
        <v>12620</v>
      </c>
      <c r="U2102" t="s">
        <v>12620</v>
      </c>
      <c r="V2102" t="s">
        <v>12620</v>
      </c>
      <c r="W2102" t="s">
        <v>14682</v>
      </c>
      <c r="X2102">
        <v>8</v>
      </c>
      <c r="Y2102" t="s">
        <v>20877</v>
      </c>
      <c r="Z2102" t="s">
        <v>27049</v>
      </c>
      <c r="AA2102">
        <v>0.77480195937590202</v>
      </c>
      <c r="AB2102" t="str">
        <f>HYPERLINK("Melting_Curves/meltCurve_P38432_COIL.pdf", "Melting_Curves/meltCurve_P38432_COIL.pdf")</f>
        <v>Melting_Curves/meltCurve_P38432_COIL.pdf</v>
      </c>
    </row>
    <row r="2103" spans="1:28" x14ac:dyDescent="0.25">
      <c r="A2103" t="s">
        <v>2107</v>
      </c>
      <c r="B2103">
        <v>0.99987803227770999</v>
      </c>
      <c r="C2103">
        <v>1.0033853296116999</v>
      </c>
      <c r="D2103">
        <v>0.99503572611273305</v>
      </c>
      <c r="E2103">
        <v>1.0009871635549199</v>
      </c>
      <c r="F2103">
        <v>1.22510231852319</v>
      </c>
      <c r="G2103">
        <v>0.79493911297769304</v>
      </c>
      <c r="H2103">
        <v>0.119292509089022</v>
      </c>
      <c r="I2103">
        <v>8.6994051871430306E-2</v>
      </c>
      <c r="J2103">
        <v>4.8305655474661501E-2</v>
      </c>
      <c r="K2103">
        <v>3.8688253252950403E-2</v>
      </c>
      <c r="L2103">
        <v>3619.1528735141201</v>
      </c>
      <c r="M2103">
        <v>62.177386476715903</v>
      </c>
      <c r="N2103">
        <v>58.325039746162602</v>
      </c>
      <c r="O2103">
        <v>58.146779092433299</v>
      </c>
      <c r="P2103">
        <v>-0.25151226957074302</v>
      </c>
      <c r="Q2103">
        <v>5.9167715673514101E-2</v>
      </c>
      <c r="R2103">
        <v>0.97564345940765196</v>
      </c>
      <c r="S2103" t="s">
        <v>8414</v>
      </c>
      <c r="T2103" t="s">
        <v>12620</v>
      </c>
      <c r="U2103" t="s">
        <v>12620</v>
      </c>
      <c r="V2103" t="s">
        <v>12620</v>
      </c>
      <c r="W2103" t="s">
        <v>14683</v>
      </c>
      <c r="X2103">
        <v>2</v>
      </c>
      <c r="Y2103" t="s">
        <v>20878</v>
      </c>
      <c r="Z2103" t="s">
        <v>27050</v>
      </c>
      <c r="AA2103">
        <v>0.63171340518981611</v>
      </c>
      <c r="AB2103" t="str">
        <f>HYPERLINK("Melting_Curves/meltCurve_P38571_2_LIPA.pdf", "Melting_Curves/meltCurve_P38571_2_LIPA.pdf")</f>
        <v>Melting_Curves/meltCurve_P38571_2_LIPA.pdf</v>
      </c>
    </row>
    <row r="2104" spans="1:28" x14ac:dyDescent="0.25">
      <c r="A2104" t="s">
        <v>2108</v>
      </c>
      <c r="B2104">
        <v>0.99987803227770999</v>
      </c>
      <c r="C2104">
        <v>1.07653471441467</v>
      </c>
      <c r="D2104">
        <v>0.89303547489481305</v>
      </c>
      <c r="E2104">
        <v>0.82430520827440501</v>
      </c>
      <c r="F2104">
        <v>0.45827211407799001</v>
      </c>
      <c r="G2104">
        <v>0.45391860620368202</v>
      </c>
      <c r="H2104">
        <v>0.36500510185392598</v>
      </c>
      <c r="I2104">
        <v>0.15033669813686101</v>
      </c>
      <c r="J2104">
        <v>7.5794699350452299E-2</v>
      </c>
      <c r="K2104">
        <v>5.6998667500284601E-2</v>
      </c>
      <c r="L2104">
        <v>624.49308167704896</v>
      </c>
      <c r="M2104">
        <v>11.3225502504649</v>
      </c>
      <c r="N2104">
        <v>55.1548076888675</v>
      </c>
      <c r="O2104">
        <v>53.518361868299699</v>
      </c>
      <c r="P2104">
        <v>-5.2906923407885401E-2</v>
      </c>
      <c r="Q2104">
        <v>0</v>
      </c>
      <c r="R2104">
        <v>0.956390110385956</v>
      </c>
      <c r="S2104" t="s">
        <v>8415</v>
      </c>
      <c r="T2104" t="s">
        <v>12620</v>
      </c>
      <c r="U2104" t="s">
        <v>12620</v>
      </c>
      <c r="V2104" t="s">
        <v>12620</v>
      </c>
      <c r="W2104" t="s">
        <v>14684</v>
      </c>
      <c r="X2104">
        <v>21</v>
      </c>
      <c r="Y2104" t="s">
        <v>20879</v>
      </c>
      <c r="Z2104" t="s">
        <v>27051</v>
      </c>
      <c r="AA2104">
        <v>0.52897915449877253</v>
      </c>
      <c r="AB2104" t="str">
        <f>HYPERLINK("Melting_Curves/meltCurve_P38606_ATP6V1A.pdf", "Melting_Curves/meltCurve_P38606_ATP6V1A.pdf")</f>
        <v>Melting_Curves/meltCurve_P38606_ATP6V1A.pdf</v>
      </c>
    </row>
    <row r="2105" spans="1:28" x14ac:dyDescent="0.25">
      <c r="A2105" t="s">
        <v>2109</v>
      </c>
      <c r="B2105">
        <v>0.99987803227770999</v>
      </c>
      <c r="C2105">
        <v>0.76198857559299404</v>
      </c>
      <c r="D2105">
        <v>1.1073652582503899</v>
      </c>
      <c r="E2105">
        <v>1.0835077641419499</v>
      </c>
      <c r="F2105">
        <v>0.80380165304504902</v>
      </c>
      <c r="G2105">
        <v>0.38563772012266401</v>
      </c>
      <c r="H2105">
        <v>0.14670006165653099</v>
      </c>
      <c r="I2105">
        <v>9.8152182666366397E-2</v>
      </c>
      <c r="J2105">
        <v>8.0831956963357404E-2</v>
      </c>
      <c r="K2105">
        <v>5.1936829463927997E-2</v>
      </c>
      <c r="L2105">
        <v>1718.6268819570701</v>
      </c>
      <c r="M2105">
        <v>30.853264941485001</v>
      </c>
      <c r="N2105">
        <v>55.991803622014999</v>
      </c>
      <c r="O2105">
        <v>55.4708021315449</v>
      </c>
      <c r="P2105">
        <v>-0.12883101660379601</v>
      </c>
      <c r="Q2105">
        <v>7.3508984373890293E-2</v>
      </c>
      <c r="R2105">
        <v>0.95321223859494097</v>
      </c>
      <c r="S2105" t="s">
        <v>8416</v>
      </c>
      <c r="T2105" t="s">
        <v>12620</v>
      </c>
      <c r="U2105" t="s">
        <v>12620</v>
      </c>
      <c r="V2105" t="s">
        <v>12620</v>
      </c>
      <c r="W2105" t="s">
        <v>14685</v>
      </c>
      <c r="X2105">
        <v>57</v>
      </c>
      <c r="Y2105" t="s">
        <v>20880</v>
      </c>
      <c r="Z2105" t="s">
        <v>27052</v>
      </c>
      <c r="AA2105">
        <v>0.56433115067729667</v>
      </c>
      <c r="AB2105" t="str">
        <f>HYPERLINK("Melting_Curves/meltCurve_P38646_HSPA9.pdf", "Melting_Curves/meltCurve_P38646_HSPA9.pdf")</f>
        <v>Melting_Curves/meltCurve_P38646_HSPA9.pdf</v>
      </c>
    </row>
    <row r="2106" spans="1:28" x14ac:dyDescent="0.25">
      <c r="A2106" t="s">
        <v>2110</v>
      </c>
      <c r="B2106">
        <v>0.99987803227770999</v>
      </c>
      <c r="C2106">
        <v>0.89844377611269299</v>
      </c>
      <c r="D2106">
        <v>0.94373775385200698</v>
      </c>
      <c r="E2106">
        <v>0.53277715009916005</v>
      </c>
      <c r="F2106">
        <v>0.18675185103647099</v>
      </c>
      <c r="G2106">
        <v>0.12502894158067099</v>
      </c>
      <c r="H2106">
        <v>9.9342477963693804E-2</v>
      </c>
      <c r="I2106">
        <v>9.7163869184737295E-2</v>
      </c>
      <c r="J2106">
        <v>7.2091168891079194E-2</v>
      </c>
      <c r="K2106">
        <v>5.0951563561401202E-2</v>
      </c>
      <c r="L2106">
        <v>1558.83085041647</v>
      </c>
      <c r="M2106">
        <v>31.249790211765799</v>
      </c>
      <c r="N2106">
        <v>50.168730022773502</v>
      </c>
      <c r="O2106">
        <v>49.679994365780999</v>
      </c>
      <c r="P2106">
        <v>-0.14443422612349499</v>
      </c>
      <c r="Q2106">
        <v>8.1536215792781697E-2</v>
      </c>
      <c r="R2106">
        <v>0.991850656799526</v>
      </c>
      <c r="S2106" t="s">
        <v>8417</v>
      </c>
      <c r="T2106" t="s">
        <v>12620</v>
      </c>
      <c r="U2106" t="s">
        <v>12620</v>
      </c>
      <c r="V2106" t="s">
        <v>12620</v>
      </c>
      <c r="W2106" t="s">
        <v>14686</v>
      </c>
      <c r="X2106">
        <v>23</v>
      </c>
      <c r="Y2106" t="s">
        <v>20881</v>
      </c>
      <c r="Z2106" t="s">
        <v>27053</v>
      </c>
      <c r="AA2106">
        <v>0.38932648135042031</v>
      </c>
      <c r="AB2106" t="str">
        <f>HYPERLINK("Melting_Curves/meltCurve_P38919_EIF4A3.pdf", "Melting_Curves/meltCurve_P38919_EIF4A3.pdf")</f>
        <v>Melting_Curves/meltCurve_P38919_EIF4A3.pdf</v>
      </c>
    </row>
    <row r="2107" spans="1:28" x14ac:dyDescent="0.25">
      <c r="A2107" t="s">
        <v>2111</v>
      </c>
      <c r="B2107">
        <v>0.99987803227770999</v>
      </c>
      <c r="C2107">
        <v>4.55810346872686</v>
      </c>
      <c r="D2107">
        <v>0.67493513724063403</v>
      </c>
      <c r="E2107">
        <v>1.2635367969937299</v>
      </c>
      <c r="F2107">
        <v>0.90753327015603302</v>
      </c>
      <c r="G2107">
        <v>0.71661002393088202</v>
      </c>
      <c r="H2107">
        <v>0.48396501488313298</v>
      </c>
      <c r="I2107">
        <v>0.42517607247645001</v>
      </c>
      <c r="J2107">
        <v>0.25651804551292001</v>
      </c>
      <c r="K2107">
        <v>0.18789540408882099</v>
      </c>
      <c r="L2107">
        <v>1237.81418543871</v>
      </c>
      <c r="M2107">
        <v>20.809463904911901</v>
      </c>
      <c r="N2107">
        <v>60.922837125012002</v>
      </c>
      <c r="O2107">
        <v>58.942080876392801</v>
      </c>
      <c r="P2107">
        <v>-7.11225704620225E-2</v>
      </c>
      <c r="Q2107">
        <v>0.19421350959967801</v>
      </c>
      <c r="R2107">
        <v>0.12605688043121299</v>
      </c>
      <c r="S2107" t="s">
        <v>8418</v>
      </c>
      <c r="T2107" t="s">
        <v>12620</v>
      </c>
      <c r="U2107" t="s">
        <v>12620</v>
      </c>
      <c r="V2107" t="s">
        <v>12620</v>
      </c>
      <c r="W2107" t="s">
        <v>14687</v>
      </c>
      <c r="X2107">
        <v>4</v>
      </c>
      <c r="Y2107" t="s">
        <v>20882</v>
      </c>
      <c r="Z2107" t="s">
        <v>27054</v>
      </c>
      <c r="AA2107">
        <v>0.72487774506058178</v>
      </c>
      <c r="AB2107" t="str">
        <f>HYPERLINK("Melting_Curves/meltCurve_P38935_IGHMBP2.pdf", "Melting_Curves/meltCurve_P38935_IGHMBP2.pdf")</f>
        <v>Melting_Curves/meltCurve_P38935_IGHMBP2.pdf</v>
      </c>
    </row>
    <row r="2108" spans="1:28" x14ac:dyDescent="0.25">
      <c r="A2108" t="s">
        <v>2112</v>
      </c>
      <c r="B2108">
        <v>0.99987803227770999</v>
      </c>
      <c r="C2108">
        <v>1.07923568667323</v>
      </c>
      <c r="D2108">
        <v>0.96043520709849295</v>
      </c>
      <c r="E2108">
        <v>1.00240981826238</v>
      </c>
      <c r="F2108">
        <v>0.82409487413431703</v>
      </c>
      <c r="G2108">
        <v>0.71471303648064299</v>
      </c>
      <c r="H2108">
        <v>0.52863595125471197</v>
      </c>
      <c r="I2108">
        <v>0.37655062138553802</v>
      </c>
      <c r="J2108">
        <v>0.29353569992468098</v>
      </c>
      <c r="K2108">
        <v>0.19711118706074601</v>
      </c>
      <c r="L2108">
        <v>765.78250257880495</v>
      </c>
      <c r="M2108">
        <v>12.5945428477724</v>
      </c>
      <c r="N2108">
        <v>61.373983088718497</v>
      </c>
      <c r="O2108">
        <v>59.330938657175203</v>
      </c>
      <c r="P2108">
        <v>-5.0143875249378599E-2</v>
      </c>
      <c r="Q2108">
        <v>5.5308846294274003E-2</v>
      </c>
      <c r="R2108">
        <v>0.98535488314520503</v>
      </c>
      <c r="S2108" t="s">
        <v>8419</v>
      </c>
      <c r="T2108" t="s">
        <v>12620</v>
      </c>
      <c r="U2108" t="s">
        <v>12620</v>
      </c>
      <c r="V2108" t="s">
        <v>12620</v>
      </c>
      <c r="W2108" t="s">
        <v>14688</v>
      </c>
      <c r="X2108">
        <v>5</v>
      </c>
      <c r="Y2108" t="s">
        <v>20883</v>
      </c>
      <c r="Z2108" t="s">
        <v>27055</v>
      </c>
      <c r="AA2108">
        <v>0.70938564572633156</v>
      </c>
      <c r="AB2108" t="str">
        <f>HYPERLINK("Melting_Curves/meltCurve_P38936_CDKN1A.pdf", "Melting_Curves/meltCurve_P38936_CDKN1A.pdf")</f>
        <v>Melting_Curves/meltCurve_P38936_CDKN1A.pdf</v>
      </c>
    </row>
    <row r="2109" spans="1:28" x14ac:dyDescent="0.25">
      <c r="A2109" t="s">
        <v>2113</v>
      </c>
      <c r="B2109">
        <v>0.99987803227770999</v>
      </c>
      <c r="C2109">
        <v>1.0852451956496401</v>
      </c>
      <c r="D2109">
        <v>0.91248829522910202</v>
      </c>
      <c r="E2109">
        <v>0.76840950504868499</v>
      </c>
      <c r="F2109">
        <v>0.45673564955117602</v>
      </c>
      <c r="G2109">
        <v>0.28474888658155301</v>
      </c>
      <c r="H2109">
        <v>0.222682720820641</v>
      </c>
      <c r="I2109">
        <v>0.195492742420879</v>
      </c>
      <c r="J2109">
        <v>0.196264595063389</v>
      </c>
      <c r="K2109">
        <v>0.16202485418524001</v>
      </c>
      <c r="L2109">
        <v>1200.24535199449</v>
      </c>
      <c r="M2109">
        <v>23.217405903787899</v>
      </c>
      <c r="N2109">
        <v>52.750080356001497</v>
      </c>
      <c r="O2109">
        <v>51.316996932887101</v>
      </c>
      <c r="P2109">
        <v>-9.2115298429394504E-2</v>
      </c>
      <c r="Q2109">
        <v>0.18561181861150799</v>
      </c>
      <c r="R2109">
        <v>0.98992585048970105</v>
      </c>
      <c r="S2109" t="s">
        <v>8420</v>
      </c>
      <c r="T2109" t="s">
        <v>12620</v>
      </c>
      <c r="U2109" t="s">
        <v>12620</v>
      </c>
      <c r="V2109" t="s">
        <v>12620</v>
      </c>
      <c r="W2109" t="s">
        <v>14689</v>
      </c>
      <c r="X2109">
        <v>10</v>
      </c>
      <c r="Y2109" t="s">
        <v>20884</v>
      </c>
      <c r="Z2109" t="s">
        <v>27056</v>
      </c>
      <c r="AA2109">
        <v>0.51165723029185783</v>
      </c>
      <c r="AB2109" t="str">
        <f>HYPERLINK("Melting_Curves/meltCurve_P39019_RPS19.pdf", "Melting_Curves/meltCurve_P39019_RPS19.pdf")</f>
        <v>Melting_Curves/meltCurve_P39019_RPS19.pdf</v>
      </c>
    </row>
    <row r="2110" spans="1:28" x14ac:dyDescent="0.25">
      <c r="A2110" t="s">
        <v>2114</v>
      </c>
      <c r="B2110">
        <v>0.99987803227770999</v>
      </c>
      <c r="C2110">
        <v>1.18867401054083</v>
      </c>
      <c r="D2110">
        <v>1.0999935232751801</v>
      </c>
      <c r="E2110">
        <v>0.811814285322081</v>
      </c>
      <c r="F2110">
        <v>0.52767417916357395</v>
      </c>
      <c r="G2110">
        <v>0.244095276884393</v>
      </c>
      <c r="H2110">
        <v>0.188315835305222</v>
      </c>
      <c r="I2110">
        <v>0.14750107157856801</v>
      </c>
      <c r="J2110">
        <v>0.15537916560815401</v>
      </c>
      <c r="K2110">
        <v>0.111206785327525</v>
      </c>
      <c r="L2110">
        <v>1481.8306024639301</v>
      </c>
      <c r="M2110">
        <v>28.179328339078999</v>
      </c>
      <c r="N2110">
        <v>53.239080550443802</v>
      </c>
      <c r="O2110">
        <v>52.323048322487502</v>
      </c>
      <c r="P2110">
        <v>-0.11496039942141199</v>
      </c>
      <c r="Q2110">
        <v>0.14617869261366501</v>
      </c>
      <c r="R2110">
        <v>0.96960504226816702</v>
      </c>
      <c r="S2110" t="s">
        <v>8421</v>
      </c>
      <c r="T2110" t="s">
        <v>12620</v>
      </c>
      <c r="U2110" t="s">
        <v>12620</v>
      </c>
      <c r="V2110" t="s">
        <v>12620</v>
      </c>
      <c r="W2110" t="s">
        <v>14690</v>
      </c>
      <c r="X2110">
        <v>8</v>
      </c>
      <c r="Y2110" t="s">
        <v>20885</v>
      </c>
      <c r="Z2110" t="s">
        <v>27057</v>
      </c>
      <c r="AA2110">
        <v>0.51060036832249878</v>
      </c>
      <c r="AB2110" t="str">
        <f>HYPERLINK("Melting_Curves/meltCurve_P39023_RPL3.pdf", "Melting_Curves/meltCurve_P39023_RPL3.pdf")</f>
        <v>Melting_Curves/meltCurve_P39023_RPL3.pdf</v>
      </c>
    </row>
    <row r="2111" spans="1:28" x14ac:dyDescent="0.25">
      <c r="A2111" t="s">
        <v>2115</v>
      </c>
      <c r="B2111">
        <v>0.99987803227770999</v>
      </c>
      <c r="C2111">
        <v>0.87509728623515803</v>
      </c>
      <c r="D2111">
        <v>0.92907034947187295</v>
      </c>
      <c r="E2111">
        <v>0.637876634989886</v>
      </c>
      <c r="F2111">
        <v>0.54404674598690905</v>
      </c>
      <c r="G2111">
        <v>0.27600321977389902</v>
      </c>
      <c r="H2111">
        <v>0.138907455776898</v>
      </c>
      <c r="I2111">
        <v>0.14055766539477499</v>
      </c>
      <c r="J2111">
        <v>0.102996965213537</v>
      </c>
      <c r="K2111">
        <v>5.7200083483204198E-2</v>
      </c>
      <c r="L2111">
        <v>684.52120317724496</v>
      </c>
      <c r="M2111">
        <v>12.9830139937519</v>
      </c>
      <c r="N2111">
        <v>52.964910155840201</v>
      </c>
      <c r="O2111">
        <v>51.5205206473468</v>
      </c>
      <c r="P2111">
        <v>-6.1206368937747002E-2</v>
      </c>
      <c r="Q2111">
        <v>2.86310380611174E-2</v>
      </c>
      <c r="R2111">
        <v>0.98762768595693295</v>
      </c>
      <c r="S2111" t="s">
        <v>8422</v>
      </c>
      <c r="T2111" t="s">
        <v>12620</v>
      </c>
      <c r="U2111" t="s">
        <v>12620</v>
      </c>
      <c r="V2111" t="s">
        <v>12620</v>
      </c>
      <c r="W2111" t="s">
        <v>14691</v>
      </c>
      <c r="X2111">
        <v>3</v>
      </c>
      <c r="Y2111" t="s">
        <v>20886</v>
      </c>
      <c r="Z2111" t="s">
        <v>27058</v>
      </c>
      <c r="AA2111">
        <v>0.46630627623190102</v>
      </c>
      <c r="AB2111" t="str">
        <f>HYPERLINK("Melting_Curves/meltCurve_P39060_2_COL18A1.pdf", "Melting_Curves/meltCurve_P39060_2_COL18A1.pdf")</f>
        <v>Melting_Curves/meltCurve_P39060_2_COL18A1.pdf</v>
      </c>
    </row>
    <row r="2112" spans="1:28" x14ac:dyDescent="0.25">
      <c r="A2112" t="s">
        <v>2116</v>
      </c>
      <c r="B2112">
        <v>0.99987803227770999</v>
      </c>
      <c r="C2112">
        <v>0.929656514546218</v>
      </c>
      <c r="D2112">
        <v>1.01732638096771</v>
      </c>
      <c r="E2112">
        <v>0.96602830338118895</v>
      </c>
      <c r="F2112">
        <v>1.11457402049901</v>
      </c>
      <c r="G2112">
        <v>0.96734816469905605</v>
      </c>
      <c r="H2112">
        <v>0.87991655296860405</v>
      </c>
      <c r="I2112">
        <v>0.79278733005560797</v>
      </c>
      <c r="J2112">
        <v>0.73284919519302305</v>
      </c>
      <c r="K2112">
        <v>0.59414347952246804</v>
      </c>
      <c r="L2112">
        <v>1160.70552982497</v>
      </c>
      <c r="M2112">
        <v>17.5365043471534</v>
      </c>
      <c r="O2112">
        <v>65.345276029550206</v>
      </c>
      <c r="P2112">
        <v>-3.6385201819762097E-2</v>
      </c>
      <c r="Q2112">
        <v>0.45770926997056299</v>
      </c>
      <c r="R2112">
        <v>0.89226565510895905</v>
      </c>
      <c r="S2112" t="s">
        <v>8423</v>
      </c>
      <c r="T2112" t="s">
        <v>12620</v>
      </c>
      <c r="U2112" t="s">
        <v>12620</v>
      </c>
      <c r="V2112" t="s">
        <v>12620</v>
      </c>
      <c r="W2112" t="s">
        <v>14692</v>
      </c>
      <c r="X2112">
        <v>15</v>
      </c>
      <c r="Y2112" t="s">
        <v>20887</v>
      </c>
      <c r="Z2112" t="s">
        <v>27059</v>
      </c>
      <c r="AA2112">
        <v>0.91560536206585863</v>
      </c>
      <c r="AB2112" t="str">
        <f>HYPERLINK("Melting_Curves/meltCurve_P39687_ANP32A.pdf", "Melting_Curves/meltCurve_P39687_ANP32A.pdf")</f>
        <v>Melting_Curves/meltCurve_P39687_ANP32A.pdf</v>
      </c>
    </row>
    <row r="2113" spans="1:28" x14ac:dyDescent="0.25">
      <c r="A2113" t="s">
        <v>2117</v>
      </c>
      <c r="B2113">
        <v>0.99987803227770999</v>
      </c>
      <c r="C2113">
        <v>1.0142313044107201</v>
      </c>
      <c r="D2113">
        <v>0.47714655922792898</v>
      </c>
      <c r="E2113">
        <v>0.28920271776252698</v>
      </c>
      <c r="F2113">
        <v>0.12309002582339899</v>
      </c>
      <c r="G2113">
        <v>6.60840258520205E-2</v>
      </c>
      <c r="H2113">
        <v>4.1474032468659203E-2</v>
      </c>
      <c r="I2113">
        <v>3.5082357662664099E-2</v>
      </c>
      <c r="J2113">
        <v>2.76776910818636E-2</v>
      </c>
      <c r="K2113">
        <v>1.93412461936299E-2</v>
      </c>
      <c r="L2113">
        <v>1076.6343263649501</v>
      </c>
      <c r="M2113">
        <v>23.126868251499602</v>
      </c>
      <c r="N2113">
        <v>46.7468577369591</v>
      </c>
      <c r="O2113">
        <v>46.209501115557998</v>
      </c>
      <c r="P2113">
        <v>-0.11941188761329399</v>
      </c>
      <c r="Q2113">
        <v>4.5635634084560797E-2</v>
      </c>
      <c r="R2113">
        <v>0.97243918574508403</v>
      </c>
      <c r="S2113" t="s">
        <v>8424</v>
      </c>
      <c r="T2113" t="s">
        <v>12620</v>
      </c>
      <c r="U2113" t="s">
        <v>12620</v>
      </c>
      <c r="V2113" t="s">
        <v>12620</v>
      </c>
      <c r="W2113" t="s">
        <v>14693</v>
      </c>
      <c r="X2113">
        <v>19</v>
      </c>
      <c r="Y2113" t="s">
        <v>20888</v>
      </c>
      <c r="Z2113" t="s">
        <v>27060</v>
      </c>
      <c r="AA2113">
        <v>0.26438672737667679</v>
      </c>
      <c r="AB2113" t="str">
        <f>HYPERLINK("Melting_Curves/meltCurve_P39748_FEN1.pdf", "Melting_Curves/meltCurve_P39748_FEN1.pdf")</f>
        <v>Melting_Curves/meltCurve_P39748_FEN1.pdf</v>
      </c>
    </row>
    <row r="2114" spans="1:28" x14ac:dyDescent="0.25">
      <c r="A2114" t="s">
        <v>2118</v>
      </c>
      <c r="B2114">
        <v>0.99987803227770999</v>
      </c>
      <c r="C2114">
        <v>1.0329527934526299</v>
      </c>
      <c r="D2114">
        <v>0.96055574481238504</v>
      </c>
      <c r="E2114">
        <v>0.87749677804132697</v>
      </c>
      <c r="F2114">
        <v>0.76854788172535904</v>
      </c>
      <c r="G2114">
        <v>0.49543364630078401</v>
      </c>
      <c r="H2114">
        <v>0.461052595313378</v>
      </c>
      <c r="I2114">
        <v>0.414029445494971</v>
      </c>
      <c r="J2114">
        <v>0.42684330785354802</v>
      </c>
      <c r="K2114">
        <v>0.37746210326795798</v>
      </c>
      <c r="L2114">
        <v>1151.94293641284</v>
      </c>
      <c r="M2114">
        <v>21.471042410235199</v>
      </c>
      <c r="N2114">
        <v>57.910787340731197</v>
      </c>
      <c r="O2114">
        <v>53.1921107807269</v>
      </c>
      <c r="P2114">
        <v>-6.0857259507748902E-2</v>
      </c>
      <c r="Q2114">
        <v>0.39694655646018501</v>
      </c>
      <c r="R2114">
        <v>0.99126249426486601</v>
      </c>
      <c r="S2114" t="s">
        <v>8425</v>
      </c>
      <c r="T2114" t="s">
        <v>12620</v>
      </c>
      <c r="U2114" t="s">
        <v>12620</v>
      </c>
      <c r="V2114" t="s">
        <v>12620</v>
      </c>
      <c r="W2114" t="s">
        <v>14694</v>
      </c>
      <c r="X2114">
        <v>20</v>
      </c>
      <c r="Y2114" t="s">
        <v>20889</v>
      </c>
      <c r="Z2114" t="s">
        <v>27061</v>
      </c>
      <c r="AA2114">
        <v>0.67866638707570293</v>
      </c>
      <c r="AB2114" t="str">
        <f>HYPERLINK("Melting_Curves/meltCurve_P39880_3_CUX1.pdf", "Melting_Curves/meltCurve_P39880_3_CUX1.pdf")</f>
        <v>Melting_Curves/meltCurve_P39880_3_CUX1.pdf</v>
      </c>
    </row>
    <row r="2115" spans="1:28" x14ac:dyDescent="0.25">
      <c r="A2115" t="s">
        <v>2119</v>
      </c>
      <c r="B2115">
        <v>0.99987803227770999</v>
      </c>
      <c r="C2115">
        <v>0.71635217838238796</v>
      </c>
      <c r="D2115">
        <v>0.96919534587328704</v>
      </c>
      <c r="E2115">
        <v>0.82878413762815994</v>
      </c>
      <c r="F2115">
        <v>0.50174438267396904</v>
      </c>
      <c r="G2115">
        <v>0.12348151683697001</v>
      </c>
      <c r="H2115">
        <v>8.0559366132507901E-2</v>
      </c>
      <c r="I2115">
        <v>6.0727789695935099E-2</v>
      </c>
      <c r="J2115">
        <v>5.1524935245261701E-2</v>
      </c>
      <c r="K2115">
        <v>3.5356794112291097E-2</v>
      </c>
      <c r="L2115">
        <v>1455.09703562553</v>
      </c>
      <c r="M2115">
        <v>27.588962945531499</v>
      </c>
      <c r="N2115">
        <v>52.917697349380497</v>
      </c>
      <c r="O2115">
        <v>52.467233945795599</v>
      </c>
      <c r="P2115">
        <v>-0.12570583915592701</v>
      </c>
      <c r="Q2115">
        <v>4.3765802834706997E-2</v>
      </c>
      <c r="R2115">
        <v>0.94641090332629396</v>
      </c>
      <c r="S2115" t="s">
        <v>8426</v>
      </c>
      <c r="T2115" t="s">
        <v>12620</v>
      </c>
      <c r="U2115" t="s">
        <v>12620</v>
      </c>
      <c r="V2115" t="s">
        <v>12620</v>
      </c>
      <c r="W2115" t="s">
        <v>14695</v>
      </c>
      <c r="X2115">
        <v>10</v>
      </c>
      <c r="Y2115" t="s">
        <v>20890</v>
      </c>
      <c r="Z2115" t="s">
        <v>27062</v>
      </c>
      <c r="AA2115">
        <v>0.45718651003606242</v>
      </c>
      <c r="AB2115" t="str">
        <f>HYPERLINK("Melting_Curves/meltCurve_P40121_2_CAPG.pdf", "Melting_Curves/meltCurve_P40121_2_CAPG.pdf")</f>
        <v>Melting_Curves/meltCurve_P40121_2_CAPG.pdf</v>
      </c>
    </row>
    <row r="2116" spans="1:28" x14ac:dyDescent="0.25">
      <c r="A2116" t="s">
        <v>2120</v>
      </c>
      <c r="B2116">
        <v>0.99987803227770999</v>
      </c>
      <c r="C2116">
        <v>1.1337157921701499</v>
      </c>
      <c r="D2116">
        <v>0.83759664608707896</v>
      </c>
      <c r="E2116">
        <v>0.86501040162228704</v>
      </c>
      <c r="F2116">
        <v>0.33735499848169098</v>
      </c>
      <c r="G2116">
        <v>0.27026679020386302</v>
      </c>
      <c r="H2116">
        <v>0.15437744102091</v>
      </c>
      <c r="I2116">
        <v>0.112955096869746</v>
      </c>
      <c r="J2116">
        <v>6.9321855220754597E-2</v>
      </c>
      <c r="K2116">
        <v>4.5180850257231203E-2</v>
      </c>
      <c r="S2116" t="s">
        <v>8427</v>
      </c>
      <c r="T2116" t="s">
        <v>12620</v>
      </c>
      <c r="U2116" t="s">
        <v>12621</v>
      </c>
      <c r="V2116" t="s">
        <v>12620</v>
      </c>
      <c r="W2116" t="s">
        <v>14696</v>
      </c>
      <c r="X2116">
        <v>15</v>
      </c>
      <c r="Y2116" t="s">
        <v>20891</v>
      </c>
      <c r="Z2116" t="s">
        <v>27063</v>
      </c>
      <c r="AB2116" t="str">
        <f>HYPERLINK("Melting_Curves/meltCurve_P40123_CAP2.pdf", "Melting_Curves/meltCurve_P40123_CAP2.pdf")</f>
        <v>Melting_Curves/meltCurve_P40123_CAP2.pdf</v>
      </c>
    </row>
    <row r="2117" spans="1:28" x14ac:dyDescent="0.25">
      <c r="A2117" t="s">
        <v>2121</v>
      </c>
      <c r="B2117">
        <v>0.99987803227770999</v>
      </c>
      <c r="C2117">
        <v>0.96535781608874405</v>
      </c>
      <c r="D2117">
        <v>0.97116426109038101</v>
      </c>
      <c r="E2117">
        <v>0.98978399704946296</v>
      </c>
      <c r="F2117">
        <v>1.0802384316075699</v>
      </c>
      <c r="G2117">
        <v>0.66145527722073905</v>
      </c>
      <c r="H2117">
        <v>0.88237383350402798</v>
      </c>
      <c r="I2117">
        <v>0.73824990230035303</v>
      </c>
      <c r="J2117">
        <v>0.60440114331603301</v>
      </c>
      <c r="K2117">
        <v>0.47004528824597003</v>
      </c>
      <c r="L2117">
        <v>627.24873103245</v>
      </c>
      <c r="M2117">
        <v>8.9519382256025306</v>
      </c>
      <c r="O2117">
        <v>66.8367084548142</v>
      </c>
      <c r="P2117">
        <v>-3.3509177003613201E-2</v>
      </c>
      <c r="Q2117">
        <v>0</v>
      </c>
      <c r="R2117">
        <v>0.78465106412934504</v>
      </c>
      <c r="S2117" t="s">
        <v>8428</v>
      </c>
      <c r="T2117" t="s">
        <v>12620</v>
      </c>
      <c r="U2117" t="s">
        <v>12620</v>
      </c>
      <c r="V2117" t="s">
        <v>12620</v>
      </c>
      <c r="W2117" t="s">
        <v>14697</v>
      </c>
      <c r="X2117">
        <v>2</v>
      </c>
      <c r="Y2117" t="s">
        <v>20892</v>
      </c>
      <c r="Z2117" t="s">
        <v>27064</v>
      </c>
      <c r="AA2117">
        <v>0.85608884464115065</v>
      </c>
      <c r="AB2117" t="str">
        <f>HYPERLINK("Melting_Curves/meltCurve_P40189_3_IL6ST.pdf", "Melting_Curves/meltCurve_P40189_3_IL6ST.pdf")</f>
        <v>Melting_Curves/meltCurve_P40189_3_IL6ST.pdf</v>
      </c>
    </row>
    <row r="2118" spans="1:28" x14ac:dyDescent="0.25">
      <c r="A2118" t="s">
        <v>2122</v>
      </c>
      <c r="B2118">
        <v>0.99987803227770999</v>
      </c>
      <c r="C2118">
        <v>0.85912257863441999</v>
      </c>
      <c r="D2118">
        <v>0.99675496004328701</v>
      </c>
      <c r="E2118">
        <v>0.77591843894211299</v>
      </c>
      <c r="F2118">
        <v>0.96877454018183595</v>
      </c>
      <c r="G2118">
        <v>0.73229672015861602</v>
      </c>
      <c r="H2118">
        <v>0.88343407385635697</v>
      </c>
      <c r="I2118">
        <v>0.68199449272290402</v>
      </c>
      <c r="J2118">
        <v>0.87587689950868597</v>
      </c>
      <c r="K2118">
        <v>0.72011274278820003</v>
      </c>
      <c r="L2118">
        <v>303.85469189443199</v>
      </c>
      <c r="M2118">
        <v>5.7133336864837201</v>
      </c>
      <c r="O2118">
        <v>47.746668166334501</v>
      </c>
      <c r="P2118">
        <v>-8.9110373908669292E-3</v>
      </c>
      <c r="Q2118">
        <v>0.70326305222071595</v>
      </c>
      <c r="R2118">
        <v>0.37939450593507601</v>
      </c>
      <c r="S2118" t="s">
        <v>8429</v>
      </c>
      <c r="T2118" t="s">
        <v>12620</v>
      </c>
      <c r="U2118" t="s">
        <v>12620</v>
      </c>
      <c r="V2118" t="s">
        <v>12620</v>
      </c>
      <c r="W2118" t="s">
        <v>14698</v>
      </c>
      <c r="X2118">
        <v>1</v>
      </c>
      <c r="Y2118" t="s">
        <v>20893</v>
      </c>
      <c r="Z2118" t="s">
        <v>27065</v>
      </c>
      <c r="AA2118">
        <v>0.84749343967627389</v>
      </c>
      <c r="AB2118" t="str">
        <f>HYPERLINK("Melting_Curves/meltCurve_P40199_CEACAM6.pdf", "Melting_Curves/meltCurve_P40199_CEACAM6.pdf")</f>
        <v>Melting_Curves/meltCurve_P40199_CEACAM6.pdf</v>
      </c>
    </row>
    <row r="2119" spans="1:28" x14ac:dyDescent="0.25">
      <c r="A2119" t="s">
        <v>2123</v>
      </c>
      <c r="B2119">
        <v>0.99987803227770999</v>
      </c>
      <c r="C2119">
        <v>0.97380229167816901</v>
      </c>
      <c r="D2119">
        <v>0.98113562664135401</v>
      </c>
      <c r="E2119">
        <v>0.904010121850501</v>
      </c>
      <c r="F2119">
        <v>0.78936086039744802</v>
      </c>
      <c r="G2119">
        <v>0.60920791641806804</v>
      </c>
      <c r="H2119">
        <v>0.55141596497378897</v>
      </c>
      <c r="I2119">
        <v>0.465451137368396</v>
      </c>
      <c r="J2119">
        <v>0.48138758808286702</v>
      </c>
      <c r="K2119">
        <v>0.41206369337631499</v>
      </c>
      <c r="L2119">
        <v>839.54149992529904</v>
      </c>
      <c r="M2119">
        <v>15.2741774836117</v>
      </c>
      <c r="N2119">
        <v>62.338973163312502</v>
      </c>
      <c r="O2119">
        <v>54.048451795336199</v>
      </c>
      <c r="P2119">
        <v>-4.11285989328024E-2</v>
      </c>
      <c r="Q2119">
        <v>0.41791229404166902</v>
      </c>
      <c r="R2119">
        <v>0.99310610697850898</v>
      </c>
      <c r="S2119" t="s">
        <v>8430</v>
      </c>
      <c r="T2119" t="s">
        <v>12620</v>
      </c>
      <c r="U2119" t="s">
        <v>12620</v>
      </c>
      <c r="V2119" t="s">
        <v>12620</v>
      </c>
      <c r="W2119" t="s">
        <v>14699</v>
      </c>
      <c r="X2119">
        <v>33</v>
      </c>
      <c r="Y2119" t="s">
        <v>20894</v>
      </c>
      <c r="Z2119" t="s">
        <v>27066</v>
      </c>
      <c r="AA2119">
        <v>0.7193057870791425</v>
      </c>
      <c r="AB2119" t="str">
        <f>HYPERLINK("Melting_Curves/meltCurve_P40222_TXLNA.pdf", "Melting_Curves/meltCurve_P40222_TXLNA.pdf")</f>
        <v>Melting_Curves/meltCurve_P40222_TXLNA.pdf</v>
      </c>
    </row>
    <row r="2120" spans="1:28" x14ac:dyDescent="0.25">
      <c r="A2120" t="s">
        <v>2124</v>
      </c>
      <c r="B2120">
        <v>0.99987803227770999</v>
      </c>
      <c r="C2120">
        <v>0.77832414371021796</v>
      </c>
      <c r="D2120">
        <v>0.70184814882693103</v>
      </c>
      <c r="E2120">
        <v>1.3471854510229699</v>
      </c>
      <c r="F2120">
        <v>0.80267862947966895</v>
      </c>
      <c r="G2120">
        <v>0.68923585371582297</v>
      </c>
      <c r="H2120">
        <v>0.16022230312309299</v>
      </c>
      <c r="I2120">
        <v>0.100956701624624</v>
      </c>
      <c r="J2120">
        <v>7.2996965281263704E-2</v>
      </c>
      <c r="K2120">
        <v>5.0049743366821602E-2</v>
      </c>
      <c r="L2120">
        <v>1936.04119880388</v>
      </c>
      <c r="M2120">
        <v>33.426009470799997</v>
      </c>
      <c r="N2120">
        <v>58.102749830257999</v>
      </c>
      <c r="O2120">
        <v>57.714075200794099</v>
      </c>
      <c r="P2120">
        <v>-0.137574718730548</v>
      </c>
      <c r="Q2120">
        <v>4.9846065980966602E-2</v>
      </c>
      <c r="R2120">
        <v>0.84116532737212901</v>
      </c>
      <c r="S2120" t="s">
        <v>8431</v>
      </c>
      <c r="T2120" t="s">
        <v>12620</v>
      </c>
      <c r="U2120" t="s">
        <v>12620</v>
      </c>
      <c r="V2120" t="s">
        <v>12620</v>
      </c>
      <c r="W2120" t="s">
        <v>14700</v>
      </c>
      <c r="X2120">
        <v>30</v>
      </c>
      <c r="Y2120" t="s">
        <v>20895</v>
      </c>
      <c r="Z2120" t="s">
        <v>27067</v>
      </c>
      <c r="AA2120">
        <v>0.62261077572157786</v>
      </c>
      <c r="AB2120" t="str">
        <f>HYPERLINK("Melting_Curves/meltCurve_P40227_CCT6A.pdf", "Melting_Curves/meltCurve_P40227_CCT6A.pdf")</f>
        <v>Melting_Curves/meltCurve_P40227_CCT6A.pdf</v>
      </c>
    </row>
    <row r="2121" spans="1:28" x14ac:dyDescent="0.25">
      <c r="A2121" t="s">
        <v>2125</v>
      </c>
      <c r="B2121">
        <v>0.99987803227770999</v>
      </c>
      <c r="C2121">
        <v>0.87113416225326101</v>
      </c>
      <c r="D2121">
        <v>1.0197743380477999</v>
      </c>
      <c r="E2121">
        <v>0.90445381215697296</v>
      </c>
      <c r="F2121">
        <v>0.89080876232623896</v>
      </c>
      <c r="G2121">
        <v>0.36709806489617403</v>
      </c>
      <c r="H2121">
        <v>0.13198185238052601</v>
      </c>
      <c r="I2121">
        <v>0.11769124169482099</v>
      </c>
      <c r="J2121">
        <v>8.3648801567596506E-2</v>
      </c>
      <c r="K2121">
        <v>6.2110892161258702E-2</v>
      </c>
      <c r="L2121">
        <v>1890.3541118599901</v>
      </c>
      <c r="M2121">
        <v>33.911143676380803</v>
      </c>
      <c r="N2121">
        <v>56.040539114036498</v>
      </c>
      <c r="O2121">
        <v>55.551568607592202</v>
      </c>
      <c r="P2121">
        <v>-0.14009041482755799</v>
      </c>
      <c r="Q2121">
        <v>8.20470329553568E-2</v>
      </c>
      <c r="R2121">
        <v>0.98467752436963896</v>
      </c>
      <c r="S2121" t="s">
        <v>8432</v>
      </c>
      <c r="T2121" t="s">
        <v>12620</v>
      </c>
      <c r="U2121" t="s">
        <v>12620</v>
      </c>
      <c r="V2121" t="s">
        <v>12620</v>
      </c>
      <c r="W2121" t="s">
        <v>14701</v>
      </c>
      <c r="X2121">
        <v>13</v>
      </c>
      <c r="Y2121" t="s">
        <v>20896</v>
      </c>
      <c r="Z2121" t="s">
        <v>27068</v>
      </c>
      <c r="AA2121">
        <v>0.56865295326879339</v>
      </c>
      <c r="AB2121" t="str">
        <f>HYPERLINK("Melting_Curves/meltCurve_P40261_NNMT.pdf", "Melting_Curves/meltCurve_P40261_NNMT.pdf")</f>
        <v>Melting_Curves/meltCurve_P40261_NNMT.pdf</v>
      </c>
    </row>
    <row r="2122" spans="1:28" x14ac:dyDescent="0.25">
      <c r="A2122" t="s">
        <v>2126</v>
      </c>
      <c r="B2122">
        <v>0.99987803227770999</v>
      </c>
      <c r="C2122">
        <v>0.95232488981027796</v>
      </c>
      <c r="D2122">
        <v>0.80515266111237604</v>
      </c>
      <c r="E2122">
        <v>1.17001076516647</v>
      </c>
      <c r="F2122">
        <v>0.876767680952658</v>
      </c>
      <c r="G2122">
        <v>0.7106979474117</v>
      </c>
      <c r="H2122">
        <v>0.74447224337042195</v>
      </c>
      <c r="I2122">
        <v>0.76883451188779395</v>
      </c>
      <c r="J2122">
        <v>1.26864479488238</v>
      </c>
      <c r="K2122">
        <v>0.68167343198728902</v>
      </c>
      <c r="L2122">
        <v>506.41004097415299</v>
      </c>
      <c r="M2122">
        <v>10.349166265208501</v>
      </c>
      <c r="O2122">
        <v>47.211166076894202</v>
      </c>
      <c r="P2122">
        <v>-8.6156964244743107E-3</v>
      </c>
      <c r="Q2122">
        <v>0.84285355596563505</v>
      </c>
      <c r="R2122">
        <v>5.6275618716388601E-2</v>
      </c>
      <c r="S2122" t="s">
        <v>8433</v>
      </c>
      <c r="T2122" t="s">
        <v>12620</v>
      </c>
      <c r="U2122" t="s">
        <v>12620</v>
      </c>
      <c r="V2122" t="s">
        <v>12620</v>
      </c>
      <c r="W2122" t="s">
        <v>14702</v>
      </c>
      <c r="X2122">
        <v>6</v>
      </c>
      <c r="Y2122" t="s">
        <v>20897</v>
      </c>
      <c r="Z2122" t="s">
        <v>27069</v>
      </c>
      <c r="AA2122">
        <v>0.89698930076853955</v>
      </c>
      <c r="AB2122" t="str">
        <f>HYPERLINK("Melting_Curves/meltCurve_P40306_PSMB10.pdf", "Melting_Curves/meltCurve_P40306_PSMB10.pdf")</f>
        <v>Melting_Curves/meltCurve_P40306_PSMB10.pdf</v>
      </c>
    </row>
    <row r="2123" spans="1:28" x14ac:dyDescent="0.25">
      <c r="A2123" t="s">
        <v>2127</v>
      </c>
      <c r="B2123">
        <v>0.99987803227770999</v>
      </c>
      <c r="C2123">
        <v>0.79573092503573395</v>
      </c>
      <c r="D2123">
        <v>0.56764464153638206</v>
      </c>
      <c r="E2123">
        <v>0.38950812262789403</v>
      </c>
      <c r="F2123">
        <v>0.31953725863812399</v>
      </c>
      <c r="G2123">
        <v>0.22425030286466599</v>
      </c>
      <c r="H2123">
        <v>0.178781118427148</v>
      </c>
      <c r="I2123">
        <v>0.14031850362585099</v>
      </c>
      <c r="J2123">
        <v>0.114823355651533</v>
      </c>
      <c r="K2123">
        <v>7.0842488065318399E-2</v>
      </c>
      <c r="L2123">
        <v>590.445098094522</v>
      </c>
      <c r="M2123">
        <v>12.520651324972301</v>
      </c>
      <c r="N2123">
        <v>48.056014600762602</v>
      </c>
      <c r="O2123">
        <v>46.003232395812098</v>
      </c>
      <c r="P2123">
        <v>-6.0955253655111598E-2</v>
      </c>
      <c r="Q2123">
        <v>0.10433885340829401</v>
      </c>
      <c r="R2123">
        <v>0.98239332648803102</v>
      </c>
      <c r="S2123" t="s">
        <v>8434</v>
      </c>
      <c r="T2123" t="s">
        <v>12620</v>
      </c>
      <c r="U2123" t="s">
        <v>12620</v>
      </c>
      <c r="V2123" t="s">
        <v>12620</v>
      </c>
      <c r="W2123" t="s">
        <v>14703</v>
      </c>
      <c r="X2123">
        <v>2</v>
      </c>
      <c r="Y2123" t="s">
        <v>20898</v>
      </c>
      <c r="Z2123" t="s">
        <v>27070</v>
      </c>
      <c r="AA2123">
        <v>0.35239592047174018</v>
      </c>
      <c r="AB2123" t="str">
        <f>HYPERLINK("Melting_Curves/meltCurve_P40337_3_VHL.pdf", "Melting_Curves/meltCurve_P40337_3_VHL.pdf")</f>
        <v>Melting_Curves/meltCurve_P40337_3_VHL.pdf</v>
      </c>
    </row>
    <row r="2124" spans="1:28" x14ac:dyDescent="0.25">
      <c r="A2124" t="s">
        <v>2128</v>
      </c>
      <c r="B2124">
        <v>0.99987803227770999</v>
      </c>
      <c r="C2124">
        <v>1.03623213298332</v>
      </c>
      <c r="D2124">
        <v>0.99665828609453699</v>
      </c>
      <c r="E2124">
        <v>0.89715805772916102</v>
      </c>
      <c r="F2124">
        <v>0.46364885873845102</v>
      </c>
      <c r="G2124">
        <v>0.281589009380731</v>
      </c>
      <c r="H2124">
        <v>0.158636142446686</v>
      </c>
      <c r="I2124">
        <v>0.150958120776229</v>
      </c>
      <c r="J2124">
        <v>8.4424353607137098E-2</v>
      </c>
      <c r="K2124">
        <v>7.3191368154415307E-2</v>
      </c>
      <c r="L2124">
        <v>1493.02818322284</v>
      </c>
      <c r="M2124">
        <v>28.331382454240899</v>
      </c>
      <c r="N2124">
        <v>53.212388715027899</v>
      </c>
      <c r="O2124">
        <v>52.438285759119204</v>
      </c>
      <c r="P2124">
        <v>-0.11891156410545101</v>
      </c>
      <c r="Q2124">
        <v>0.11963811969660899</v>
      </c>
      <c r="R2124">
        <v>0.98886786307661301</v>
      </c>
      <c r="S2124" t="s">
        <v>8435</v>
      </c>
      <c r="T2124" t="s">
        <v>12620</v>
      </c>
      <c r="U2124" t="s">
        <v>12620</v>
      </c>
      <c r="V2124" t="s">
        <v>12620</v>
      </c>
      <c r="W2124" t="s">
        <v>14704</v>
      </c>
      <c r="X2124">
        <v>1</v>
      </c>
      <c r="Y2124" t="s">
        <v>20899</v>
      </c>
      <c r="Z2124" t="s">
        <v>27071</v>
      </c>
      <c r="AA2124">
        <v>0.4986463275748052</v>
      </c>
      <c r="AB2124" t="str">
        <f>HYPERLINK("Melting_Curves/meltCurve_P40426_4_PBX3.pdf", "Melting_Curves/meltCurve_P40426_4_PBX3.pdf")</f>
        <v>Melting_Curves/meltCurve_P40426_4_PBX3.pdf</v>
      </c>
    </row>
    <row r="2125" spans="1:28" x14ac:dyDescent="0.25">
      <c r="A2125" t="s">
        <v>2129</v>
      </c>
      <c r="B2125">
        <v>0.99987803227770999</v>
      </c>
      <c r="C2125">
        <v>1.19580508319223</v>
      </c>
      <c r="D2125">
        <v>1.0836871195359601</v>
      </c>
      <c r="E2125">
        <v>0.80890288321274495</v>
      </c>
      <c r="F2125">
        <v>0.46808068871409397</v>
      </c>
      <c r="G2125">
        <v>0.20839161822235699</v>
      </c>
      <c r="H2125">
        <v>0.118165484440031</v>
      </c>
      <c r="I2125">
        <v>0.100107484040367</v>
      </c>
      <c r="J2125">
        <v>9.8290318189039605E-2</v>
      </c>
      <c r="K2125">
        <v>6.7989341236481496E-2</v>
      </c>
      <c r="L2125">
        <v>1523.7737099210999</v>
      </c>
      <c r="M2125">
        <v>29.0635497125058</v>
      </c>
      <c r="N2125">
        <v>52.8178751678862</v>
      </c>
      <c r="O2125">
        <v>52.182701521648497</v>
      </c>
      <c r="P2125">
        <v>-0.12583029353470099</v>
      </c>
      <c r="Q2125">
        <v>9.6309232988185403E-2</v>
      </c>
      <c r="R2125">
        <v>0.97331881721290203</v>
      </c>
      <c r="S2125" t="s">
        <v>8436</v>
      </c>
      <c r="T2125" t="s">
        <v>12620</v>
      </c>
      <c r="U2125" t="s">
        <v>12620</v>
      </c>
      <c r="V2125" t="s">
        <v>12620</v>
      </c>
      <c r="W2125" t="s">
        <v>14705</v>
      </c>
      <c r="X2125">
        <v>7</v>
      </c>
      <c r="Y2125" t="s">
        <v>20900</v>
      </c>
      <c r="Z2125" t="s">
        <v>27072</v>
      </c>
      <c r="AA2125">
        <v>0.4768957202276653</v>
      </c>
      <c r="AB2125" t="str">
        <f>HYPERLINK("Melting_Curves/meltCurve_P40429_RPL13A.pdf", "Melting_Curves/meltCurve_P40429_RPL13A.pdf")</f>
        <v>Melting_Curves/meltCurve_P40429_RPL13A.pdf</v>
      </c>
    </row>
    <row r="2126" spans="1:28" x14ac:dyDescent="0.25">
      <c r="A2126" t="s">
        <v>2130</v>
      </c>
      <c r="B2126">
        <v>0.99987803227770999</v>
      </c>
      <c r="C2126">
        <v>0.650240300370861</v>
      </c>
      <c r="D2126">
        <v>0.34939040040330099</v>
      </c>
      <c r="E2126">
        <v>0.32140679777220299</v>
      </c>
      <c r="F2126">
        <v>0.20313313125486801</v>
      </c>
      <c r="G2126">
        <v>0.13064929994409299</v>
      </c>
      <c r="H2126">
        <v>0.10447781123823199</v>
      </c>
      <c r="I2126">
        <v>8.7512243479394403E-2</v>
      </c>
      <c r="J2126">
        <v>8.0833033645724597E-2</v>
      </c>
      <c r="K2126">
        <v>6.6884345980383897E-2</v>
      </c>
      <c r="L2126">
        <v>778.83034743762698</v>
      </c>
      <c r="M2126">
        <v>17.522586739440602</v>
      </c>
      <c r="N2126">
        <v>45.053792103369901</v>
      </c>
      <c r="O2126">
        <v>43.880456275753602</v>
      </c>
      <c r="P2126">
        <v>-8.9346277687274697E-2</v>
      </c>
      <c r="Q2126">
        <v>0.10507735211149399</v>
      </c>
      <c r="R2126">
        <v>0.95754028519935896</v>
      </c>
      <c r="S2126" t="s">
        <v>8437</v>
      </c>
      <c r="T2126" t="s">
        <v>12620</v>
      </c>
      <c r="U2126" t="s">
        <v>12620</v>
      </c>
      <c r="V2126" t="s">
        <v>12620</v>
      </c>
      <c r="W2126" t="s">
        <v>14706</v>
      </c>
      <c r="X2126">
        <v>8</v>
      </c>
      <c r="Y2126" t="s">
        <v>20901</v>
      </c>
      <c r="Z2126" t="s">
        <v>27073</v>
      </c>
      <c r="AA2126">
        <v>0.25968742031491482</v>
      </c>
      <c r="AB2126" t="str">
        <f>HYPERLINK("Melting_Curves/meltCurve_P40692_MLH1.pdf", "Melting_Curves/meltCurve_P40692_MLH1.pdf")</f>
        <v>Melting_Curves/meltCurve_P40692_MLH1.pdf</v>
      </c>
    </row>
    <row r="2127" spans="1:28" x14ac:dyDescent="0.25">
      <c r="A2127" t="s">
        <v>2131</v>
      </c>
      <c r="B2127">
        <v>0.99987803227770999</v>
      </c>
      <c r="C2127">
        <v>1.1048960679798701</v>
      </c>
      <c r="D2127">
        <v>0.894299717345167</v>
      </c>
      <c r="E2127">
        <v>0.90642674907439003</v>
      </c>
      <c r="F2127">
        <v>0.398701284167568</v>
      </c>
      <c r="G2127">
        <v>0.16875979949577599</v>
      </c>
      <c r="H2127">
        <v>0.11972955733467</v>
      </c>
      <c r="I2127">
        <v>0.110570253215704</v>
      </c>
      <c r="J2127">
        <v>7.0301802422815196E-2</v>
      </c>
      <c r="K2127">
        <v>4.78926747434903E-2</v>
      </c>
      <c r="L2127">
        <v>2253.39377515569</v>
      </c>
      <c r="M2127">
        <v>43.134147235919002</v>
      </c>
      <c r="N2127">
        <v>52.5026078586937</v>
      </c>
      <c r="O2127">
        <v>52.129615248563098</v>
      </c>
      <c r="P2127">
        <v>-0.186893247983591</v>
      </c>
      <c r="Q2127">
        <v>9.6524790701515706E-2</v>
      </c>
      <c r="R2127">
        <v>0.98371612037002998</v>
      </c>
      <c r="S2127" t="s">
        <v>8438</v>
      </c>
      <c r="T2127" t="s">
        <v>12620</v>
      </c>
      <c r="U2127" t="s">
        <v>12620</v>
      </c>
      <c r="V2127" t="s">
        <v>12620</v>
      </c>
      <c r="W2127" t="s">
        <v>14707</v>
      </c>
      <c r="X2127">
        <v>36</v>
      </c>
      <c r="Y2127" t="s">
        <v>20902</v>
      </c>
      <c r="Z2127" t="s">
        <v>27074</v>
      </c>
      <c r="AA2127">
        <v>0.46799045620343022</v>
      </c>
      <c r="AB2127" t="str">
        <f>HYPERLINK("Melting_Curves/meltCurve_P40763_STAT3.pdf", "Melting_Curves/meltCurve_P40763_STAT3.pdf")</f>
        <v>Melting_Curves/meltCurve_P40763_STAT3.pdf</v>
      </c>
    </row>
    <row r="2128" spans="1:28" x14ac:dyDescent="0.25">
      <c r="A2128" t="s">
        <v>2132</v>
      </c>
      <c r="B2128">
        <v>0.99987803227770999</v>
      </c>
      <c r="C2128">
        <v>0.98808693461414998</v>
      </c>
      <c r="D2128">
        <v>1.00460189829996</v>
      </c>
      <c r="E2128">
        <v>0.82314343937511003</v>
      </c>
      <c r="F2128">
        <v>0.43366527411899503</v>
      </c>
      <c r="G2128">
        <v>0.21857396378725</v>
      </c>
      <c r="H2128">
        <v>0.159692059999817</v>
      </c>
      <c r="I2128">
        <v>0.133146026193244</v>
      </c>
      <c r="J2128">
        <v>0.150936185199604</v>
      </c>
      <c r="K2128">
        <v>0.10549326247572501</v>
      </c>
      <c r="L2128">
        <v>1656.3041648962101</v>
      </c>
      <c r="M2128">
        <v>31.8320654912254</v>
      </c>
      <c r="N2128">
        <v>52.572549774010902</v>
      </c>
      <c r="O2128">
        <v>51.8285085567897</v>
      </c>
      <c r="P2128">
        <v>-0.13213530639166701</v>
      </c>
      <c r="Q2128">
        <v>0.13944125234678501</v>
      </c>
      <c r="R2128">
        <v>0.99791851765076101</v>
      </c>
      <c r="S2128" t="s">
        <v>8439</v>
      </c>
      <c r="T2128" t="s">
        <v>12620</v>
      </c>
      <c r="U2128" t="s">
        <v>12620</v>
      </c>
      <c r="V2128" t="s">
        <v>12620</v>
      </c>
      <c r="W2128" t="s">
        <v>14708</v>
      </c>
      <c r="X2128">
        <v>36</v>
      </c>
      <c r="Y2128" t="s">
        <v>20902</v>
      </c>
      <c r="Z2128" t="s">
        <v>27075</v>
      </c>
      <c r="AA2128">
        <v>0.48948875856546631</v>
      </c>
      <c r="AB2128" t="str">
        <f>HYPERLINK("Melting_Curves/meltCurve_P40763_2_STAT3.pdf", "Melting_Curves/meltCurve_P40763_2_STAT3.pdf")</f>
        <v>Melting_Curves/meltCurve_P40763_2_STAT3.pdf</v>
      </c>
    </row>
    <row r="2129" spans="1:28" x14ac:dyDescent="0.25">
      <c r="A2129" t="s">
        <v>2133</v>
      </c>
      <c r="B2129">
        <v>0.99987803227770999</v>
      </c>
      <c r="C2129">
        <v>1.1098011133422401</v>
      </c>
      <c r="D2129">
        <v>0.96644539119849504</v>
      </c>
      <c r="E2129">
        <v>0.55918317872524803</v>
      </c>
      <c r="F2129">
        <v>0.256510707031047</v>
      </c>
      <c r="G2129">
        <v>0.17023992113156799</v>
      </c>
      <c r="H2129">
        <v>0.14013243494442301</v>
      </c>
      <c r="I2129">
        <v>0.12673142998274201</v>
      </c>
      <c r="J2129">
        <v>0.11139816581452</v>
      </c>
      <c r="K2129">
        <v>8.6079866562863899E-2</v>
      </c>
      <c r="L2129">
        <v>1631.7729099963001</v>
      </c>
      <c r="M2129">
        <v>32.594842796514598</v>
      </c>
      <c r="N2129">
        <v>50.502035230783697</v>
      </c>
      <c r="O2129">
        <v>49.874995532389399</v>
      </c>
      <c r="P2129">
        <v>-0.143198222154302</v>
      </c>
      <c r="Q2129">
        <v>0.123545143203019</v>
      </c>
      <c r="R2129">
        <v>0.98988129273984005</v>
      </c>
      <c r="S2129" t="s">
        <v>8440</v>
      </c>
      <c r="T2129" t="s">
        <v>12620</v>
      </c>
      <c r="U2129" t="s">
        <v>12620</v>
      </c>
      <c r="V2129" t="s">
        <v>12620</v>
      </c>
      <c r="W2129" t="s">
        <v>14709</v>
      </c>
      <c r="X2129">
        <v>26</v>
      </c>
      <c r="Y2129" t="s">
        <v>20903</v>
      </c>
      <c r="Z2129" t="s">
        <v>27076</v>
      </c>
      <c r="AA2129">
        <v>0.4221052250532662</v>
      </c>
      <c r="AB2129" t="str">
        <f>HYPERLINK("Melting_Curves/meltCurve_P40818_USP8.pdf", "Melting_Curves/meltCurve_P40818_USP8.pdf")</f>
        <v>Melting_Curves/meltCurve_P40818_USP8.pdf</v>
      </c>
    </row>
    <row r="2130" spans="1:28" x14ac:dyDescent="0.25">
      <c r="A2130" t="s">
        <v>2134</v>
      </c>
      <c r="B2130">
        <v>0.99987803227770999</v>
      </c>
      <c r="C2130">
        <v>0.95488823363150499</v>
      </c>
      <c r="D2130">
        <v>1.0872089938891201</v>
      </c>
      <c r="E2130">
        <v>1.06875930114732</v>
      </c>
      <c r="F2130">
        <v>1.0516523042908399</v>
      </c>
      <c r="G2130">
        <v>0.834374944341156</v>
      </c>
      <c r="H2130">
        <v>0.294977263568656</v>
      </c>
      <c r="I2130">
        <v>0.110694534182148</v>
      </c>
      <c r="J2130">
        <v>6.6518983350414507E-2</v>
      </c>
      <c r="K2130">
        <v>4.7354758119441599E-2</v>
      </c>
      <c r="L2130">
        <v>2334.7462652821901</v>
      </c>
      <c r="M2130">
        <v>39.351473326198303</v>
      </c>
      <c r="N2130">
        <v>59.502008484979399</v>
      </c>
      <c r="O2130">
        <v>59.177984852994904</v>
      </c>
      <c r="P2130">
        <v>-0.15733389115985699</v>
      </c>
      <c r="Q2130">
        <v>5.3587300292820099E-2</v>
      </c>
      <c r="R2130">
        <v>0.99037817744455303</v>
      </c>
      <c r="S2130" t="s">
        <v>8441</v>
      </c>
      <c r="T2130" t="s">
        <v>12620</v>
      </c>
      <c r="U2130" t="s">
        <v>12620</v>
      </c>
      <c r="V2130" t="s">
        <v>12620</v>
      </c>
      <c r="W2130" t="s">
        <v>14710</v>
      </c>
      <c r="X2130">
        <v>24</v>
      </c>
      <c r="Y2130" t="s">
        <v>20904</v>
      </c>
      <c r="Z2130" t="s">
        <v>27077</v>
      </c>
      <c r="AA2130">
        <v>0.66724882151994425</v>
      </c>
      <c r="AB2130" t="str">
        <f>HYPERLINK("Melting_Curves/meltCurve_P40925_MDH1.pdf", "Melting_Curves/meltCurve_P40925_MDH1.pdf")</f>
        <v>Melting_Curves/meltCurve_P40925_MDH1.pdf</v>
      </c>
    </row>
    <row r="2131" spans="1:28" x14ac:dyDescent="0.25">
      <c r="A2131" t="s">
        <v>2135</v>
      </c>
      <c r="B2131">
        <v>0.99987803227770999</v>
      </c>
      <c r="C2131">
        <v>1.01507274416622</v>
      </c>
      <c r="D2131">
        <v>1.0914013428963101</v>
      </c>
      <c r="E2131">
        <v>1.0467483577949599</v>
      </c>
      <c r="F2131">
        <v>1.1123772885140399</v>
      </c>
      <c r="G2131">
        <v>1.00176793495078</v>
      </c>
      <c r="H2131">
        <v>0.56966303283180098</v>
      </c>
      <c r="I2131">
        <v>0.13819439018379201</v>
      </c>
      <c r="J2131">
        <v>5.7043211190704997E-2</v>
      </c>
      <c r="K2131">
        <v>4.60139127062505E-2</v>
      </c>
      <c r="L2131">
        <v>3342.9850346373901</v>
      </c>
      <c r="M2131">
        <v>54.598232816680202</v>
      </c>
      <c r="N2131">
        <v>61.345644084663803</v>
      </c>
      <c r="O2131">
        <v>61.146837819107198</v>
      </c>
      <c r="P2131">
        <v>-0.21220351476358101</v>
      </c>
      <c r="Q2131">
        <v>4.9378311628224501E-2</v>
      </c>
      <c r="R2131">
        <v>0.98742716742079095</v>
      </c>
      <c r="S2131" t="s">
        <v>8442</v>
      </c>
      <c r="T2131" t="s">
        <v>12620</v>
      </c>
      <c r="U2131" t="s">
        <v>12620</v>
      </c>
      <c r="V2131" t="s">
        <v>12620</v>
      </c>
      <c r="W2131" t="s">
        <v>14711</v>
      </c>
      <c r="X2131">
        <v>24</v>
      </c>
      <c r="Y2131" t="s">
        <v>20905</v>
      </c>
      <c r="Z2131" t="s">
        <v>27078</v>
      </c>
      <c r="AA2131">
        <v>0.7241634385115423</v>
      </c>
      <c r="AB2131" t="str">
        <f>HYPERLINK("Melting_Curves/meltCurve_P40926_MDH2.pdf", "Melting_Curves/meltCurve_P40926_MDH2.pdf")</f>
        <v>Melting_Curves/meltCurve_P40926_MDH2.pdf</v>
      </c>
    </row>
    <row r="2132" spans="1:28" x14ac:dyDescent="0.25">
      <c r="A2132" t="s">
        <v>2136</v>
      </c>
      <c r="B2132">
        <v>0.99987803227770999</v>
      </c>
      <c r="C2132">
        <v>0.99268236125339704</v>
      </c>
      <c r="D2132">
        <v>0.61500628300321702</v>
      </c>
      <c r="E2132">
        <v>0.43543834550821597</v>
      </c>
      <c r="F2132">
        <v>0.27287523640049299</v>
      </c>
      <c r="G2132">
        <v>0.17010563859667499</v>
      </c>
      <c r="H2132">
        <v>0.11083728382395699</v>
      </c>
      <c r="I2132">
        <v>0.10762421629420101</v>
      </c>
      <c r="J2132">
        <v>8.2102667912164098E-2</v>
      </c>
      <c r="K2132">
        <v>6.1810739913048501E-2</v>
      </c>
      <c r="L2132">
        <v>776.12734893081597</v>
      </c>
      <c r="M2132">
        <v>16.093545494503701</v>
      </c>
      <c r="N2132">
        <v>48.765100818563802</v>
      </c>
      <c r="O2132">
        <v>47.499824128942102</v>
      </c>
      <c r="P2132">
        <v>-7.7806555444804595E-2</v>
      </c>
      <c r="Q2132">
        <v>8.14915327826429E-2</v>
      </c>
      <c r="R2132">
        <v>0.98126385986770703</v>
      </c>
      <c r="S2132" t="s">
        <v>8443</v>
      </c>
      <c r="T2132" t="s">
        <v>12620</v>
      </c>
      <c r="U2132" t="s">
        <v>12620</v>
      </c>
      <c r="V2132" t="s">
        <v>12620</v>
      </c>
      <c r="W2132" t="s">
        <v>14712</v>
      </c>
      <c r="X2132">
        <v>7</v>
      </c>
      <c r="Y2132" t="s">
        <v>20906</v>
      </c>
      <c r="Z2132" t="s">
        <v>27079</v>
      </c>
      <c r="AA2132">
        <v>0.35369154878343578</v>
      </c>
      <c r="AB2132" t="str">
        <f>HYPERLINK("Melting_Curves/meltCurve_P40937_RFC5.pdf", "Melting_Curves/meltCurve_P40937_RFC5.pdf")</f>
        <v>Melting_Curves/meltCurve_P40937_RFC5.pdf</v>
      </c>
    </row>
    <row r="2133" spans="1:28" x14ac:dyDescent="0.25">
      <c r="A2133" t="s">
        <v>2137</v>
      </c>
      <c r="B2133">
        <v>0.99987803227770999</v>
      </c>
      <c r="C2133">
        <v>0.92397249734209896</v>
      </c>
      <c r="D2133">
        <v>0.47785313287846098</v>
      </c>
      <c r="E2133">
        <v>0.34091109428446098</v>
      </c>
      <c r="F2133">
        <v>0.20426719333743301</v>
      </c>
      <c r="G2133">
        <v>9.1676200168574196E-2</v>
      </c>
      <c r="H2133">
        <v>6.7510911691802705E-2</v>
      </c>
      <c r="I2133">
        <v>7.6772384592845702E-2</v>
      </c>
      <c r="J2133">
        <v>5.8235717049584898E-2</v>
      </c>
      <c r="K2133">
        <v>4.35250891998092E-2</v>
      </c>
      <c r="L2133">
        <v>830.73500439188899</v>
      </c>
      <c r="M2133">
        <v>17.801801761934101</v>
      </c>
      <c r="N2133">
        <v>47.030045431652397</v>
      </c>
      <c r="O2133">
        <v>46.088868434731197</v>
      </c>
      <c r="P2133">
        <v>-9.03485494586692E-2</v>
      </c>
      <c r="Q2133">
        <v>6.4398743568826897E-2</v>
      </c>
      <c r="R2133">
        <v>0.97604700830572</v>
      </c>
      <c r="S2133" t="s">
        <v>8444</v>
      </c>
      <c r="T2133" t="s">
        <v>12620</v>
      </c>
      <c r="U2133" t="s">
        <v>12620</v>
      </c>
      <c r="V2133" t="s">
        <v>12620</v>
      </c>
      <c r="W2133" t="s">
        <v>14713</v>
      </c>
      <c r="X2133">
        <v>4</v>
      </c>
      <c r="Y2133" t="s">
        <v>20907</v>
      </c>
      <c r="Z2133" t="s">
        <v>27080</v>
      </c>
      <c r="AA2133">
        <v>0.29028642264183002</v>
      </c>
      <c r="AB2133" t="str">
        <f>HYPERLINK("Melting_Curves/meltCurve_P40938_RFC3.pdf", "Melting_Curves/meltCurve_P40938_RFC3.pdf")</f>
        <v>Melting_Curves/meltCurve_P40938_RFC3.pdf</v>
      </c>
    </row>
    <row r="2134" spans="1:28" x14ac:dyDescent="0.25">
      <c r="A2134" t="s">
        <v>2138</v>
      </c>
      <c r="B2134">
        <v>0.99987803227770999</v>
      </c>
      <c r="C2134">
        <v>1.0360472760941</v>
      </c>
      <c r="D2134">
        <v>0.82383300738112197</v>
      </c>
      <c r="E2134">
        <v>0.86899056923663198</v>
      </c>
      <c r="F2134">
        <v>0.31837264708111002</v>
      </c>
      <c r="G2134">
        <v>0.167619013514683</v>
      </c>
      <c r="H2134">
        <v>9.0634888942114494E-2</v>
      </c>
      <c r="I2134">
        <v>6.9596780795660396E-2</v>
      </c>
      <c r="J2134">
        <v>5.6356874878584297E-2</v>
      </c>
      <c r="K2134">
        <v>4.0644616180773099E-2</v>
      </c>
      <c r="L2134">
        <v>2230.4930535080298</v>
      </c>
      <c r="M2134">
        <v>43.016221560033202</v>
      </c>
      <c r="N2134">
        <v>52.058673357921798</v>
      </c>
      <c r="O2134">
        <v>51.740682848503397</v>
      </c>
      <c r="P2134">
        <v>-0.19155769953150401</v>
      </c>
      <c r="Q2134">
        <v>7.8365272934537905E-2</v>
      </c>
      <c r="R2134">
        <v>0.97634789906074904</v>
      </c>
      <c r="S2134" t="s">
        <v>8445</v>
      </c>
      <c r="T2134" t="s">
        <v>12620</v>
      </c>
      <c r="U2134" t="s">
        <v>12620</v>
      </c>
      <c r="V2134" t="s">
        <v>12620</v>
      </c>
      <c r="W2134" t="s">
        <v>14714</v>
      </c>
      <c r="X2134">
        <v>27</v>
      </c>
      <c r="Y2134" t="s">
        <v>20908</v>
      </c>
      <c r="Z2134" t="s">
        <v>27081</v>
      </c>
      <c r="AA2134">
        <v>0.4453365305073031</v>
      </c>
      <c r="AB2134" t="str">
        <f>HYPERLINK("Melting_Curves/meltCurve_P40939_HADHA.pdf", "Melting_Curves/meltCurve_P40939_HADHA.pdf")</f>
        <v>Melting_Curves/meltCurve_P40939_HADHA.pdf</v>
      </c>
    </row>
    <row r="2135" spans="1:28" x14ac:dyDescent="0.25">
      <c r="A2135" t="s">
        <v>2139</v>
      </c>
      <c r="B2135">
        <v>0.99987803227770999</v>
      </c>
      <c r="C2135">
        <v>1.0216320664997101</v>
      </c>
      <c r="D2135">
        <v>0.88507719650261796</v>
      </c>
      <c r="E2135">
        <v>1.0063210786190699</v>
      </c>
      <c r="F2135">
        <v>0.88010224284861605</v>
      </c>
      <c r="G2135">
        <v>0.50951510639327602</v>
      </c>
      <c r="H2135">
        <v>0.12761683765829801</v>
      </c>
      <c r="I2135">
        <v>8.5324177408056395E-2</v>
      </c>
      <c r="J2135">
        <v>6.8860928795464904E-2</v>
      </c>
      <c r="K2135">
        <v>4.4775896180237799E-2</v>
      </c>
      <c r="L2135">
        <v>1708.7515187859001</v>
      </c>
      <c r="M2135">
        <v>30.096695447881501</v>
      </c>
      <c r="N2135">
        <v>56.959746158983599</v>
      </c>
      <c r="O2135">
        <v>56.526500793739999</v>
      </c>
      <c r="P2135">
        <v>-0.12693198760721799</v>
      </c>
      <c r="Q2135">
        <v>4.6410278393389001E-2</v>
      </c>
      <c r="R2135">
        <v>0.991107354422052</v>
      </c>
      <c r="S2135" t="s">
        <v>8446</v>
      </c>
      <c r="T2135" t="s">
        <v>12620</v>
      </c>
      <c r="U2135" t="s">
        <v>12620</v>
      </c>
      <c r="V2135" t="s">
        <v>12620</v>
      </c>
      <c r="W2135" t="s">
        <v>14715</v>
      </c>
      <c r="X2135">
        <v>23</v>
      </c>
      <c r="Y2135" t="s">
        <v>20909</v>
      </c>
      <c r="Z2135" t="s">
        <v>27082</v>
      </c>
      <c r="AA2135">
        <v>0.58595858443791238</v>
      </c>
      <c r="AB2135" t="str">
        <f>HYPERLINK("Melting_Curves/meltCurve_P41091_EIF2S3.pdf", "Melting_Curves/meltCurve_P41091_EIF2S3.pdf")</f>
        <v>Melting_Curves/meltCurve_P41091_EIF2S3.pdf</v>
      </c>
    </row>
    <row r="2136" spans="1:28" x14ac:dyDescent="0.25">
      <c r="A2136" t="s">
        <v>2140</v>
      </c>
      <c r="B2136">
        <v>0.99987803227770999</v>
      </c>
      <c r="C2136">
        <v>0.81630028317456604</v>
      </c>
      <c r="D2136">
        <v>1.1026746117778199</v>
      </c>
      <c r="E2136">
        <v>0.84737221484606695</v>
      </c>
      <c r="F2136">
        <v>0.90664497531496602</v>
      </c>
      <c r="G2136">
        <v>0.81351316032166199</v>
      </c>
      <c r="H2136">
        <v>0.80530845565785802</v>
      </c>
      <c r="I2136">
        <v>0.73591632711233201</v>
      </c>
      <c r="J2136">
        <v>0.69179410526278395</v>
      </c>
      <c r="K2136">
        <v>0.61248007502219604</v>
      </c>
      <c r="L2136">
        <v>323.37686040006702</v>
      </c>
      <c r="M2136">
        <v>4.0612738872731002</v>
      </c>
      <c r="O2136">
        <v>65.681240865045993</v>
      </c>
      <c r="P2136">
        <v>-1.56474889123915E-2</v>
      </c>
      <c r="Q2136">
        <v>0</v>
      </c>
      <c r="R2136">
        <v>0.70781388147337798</v>
      </c>
      <c r="S2136" t="s">
        <v>8447</v>
      </c>
      <c r="T2136" t="s">
        <v>12620</v>
      </c>
      <c r="U2136" t="s">
        <v>12620</v>
      </c>
      <c r="V2136" t="s">
        <v>12620</v>
      </c>
      <c r="W2136" t="s">
        <v>14716</v>
      </c>
      <c r="X2136">
        <v>3</v>
      </c>
      <c r="Y2136" t="s">
        <v>20910</v>
      </c>
      <c r="Z2136" t="s">
        <v>27083</v>
      </c>
      <c r="AA2136">
        <v>0.84234668454059547</v>
      </c>
      <c r="AB2136" t="str">
        <f>HYPERLINK("Melting_Curves/meltCurve_P41134_2_ID1.pdf", "Melting_Curves/meltCurve_P41134_2_ID1.pdf")</f>
        <v>Melting_Curves/meltCurve_P41134_2_ID1.pdf</v>
      </c>
    </row>
    <row r="2137" spans="1:28" x14ac:dyDescent="0.25">
      <c r="A2137" t="s">
        <v>2141</v>
      </c>
      <c r="B2137">
        <v>0.99987803227770999</v>
      </c>
      <c r="C2137">
        <v>0.657816424495828</v>
      </c>
      <c r="D2137">
        <v>0.71678903916139103</v>
      </c>
      <c r="E2137">
        <v>0.75068069162130002</v>
      </c>
      <c r="F2137">
        <v>1.0852429730500399</v>
      </c>
      <c r="G2137">
        <v>0.82306458646320801</v>
      </c>
      <c r="H2137">
        <v>0.54085122848609102</v>
      </c>
      <c r="I2137">
        <v>0.72196959002241601</v>
      </c>
      <c r="J2137">
        <v>0.76793717142747997</v>
      </c>
      <c r="K2137">
        <v>0.70248937407938405</v>
      </c>
      <c r="L2137">
        <v>84.915804729426796</v>
      </c>
      <c r="M2137">
        <v>0.32291145035528701</v>
      </c>
      <c r="Q2137">
        <v>0</v>
      </c>
      <c r="R2137">
        <v>0.105092181211608</v>
      </c>
      <c r="S2137" t="s">
        <v>8448</v>
      </c>
      <c r="T2137" t="s">
        <v>12620</v>
      </c>
      <c r="U2137" t="s">
        <v>12620</v>
      </c>
      <c r="V2137" t="s">
        <v>12620</v>
      </c>
      <c r="W2137" t="s">
        <v>14717</v>
      </c>
      <c r="X2137">
        <v>1</v>
      </c>
      <c r="Y2137" t="s">
        <v>20911</v>
      </c>
      <c r="Z2137" t="s">
        <v>27084</v>
      </c>
      <c r="AA2137">
        <v>0.77606528949595344</v>
      </c>
      <c r="AB2137" t="str">
        <f>HYPERLINK("Melting_Curves/meltCurve_P41162_ETV3.pdf", "Melting_Curves/meltCurve_P41162_ETV3.pdf")</f>
        <v>Melting_Curves/meltCurve_P41162_ETV3.pdf</v>
      </c>
    </row>
    <row r="2138" spans="1:28" x14ac:dyDescent="0.25">
      <c r="A2138" t="s">
        <v>2142</v>
      </c>
      <c r="B2138">
        <v>0.99987803227770999</v>
      </c>
      <c r="C2138">
        <v>0.86661338276421096</v>
      </c>
      <c r="D2138">
        <v>1.0075080284813001</v>
      </c>
      <c r="E2138">
        <v>0.922985286497087</v>
      </c>
      <c r="F2138">
        <v>1.02128347167762</v>
      </c>
      <c r="G2138">
        <v>0.91295233419289301</v>
      </c>
      <c r="H2138">
        <v>1.1184866341091999</v>
      </c>
      <c r="I2138">
        <v>1.01930622636241</v>
      </c>
      <c r="J2138">
        <v>1.2195494731952501</v>
      </c>
      <c r="K2138">
        <v>1.01438040351382</v>
      </c>
      <c r="L2138">
        <v>14770.797339487</v>
      </c>
      <c r="M2138">
        <v>250</v>
      </c>
      <c r="O2138">
        <v>59.079408491649097</v>
      </c>
      <c r="P2138">
        <v>9.8315625592587205E-2</v>
      </c>
      <c r="Q2138">
        <v>1.0929348638753</v>
      </c>
      <c r="R2138">
        <v>0.35781616066411798</v>
      </c>
      <c r="S2138" t="s">
        <v>8449</v>
      </c>
      <c r="T2138" t="s">
        <v>12620</v>
      </c>
      <c r="U2138" t="s">
        <v>12620</v>
      </c>
      <c r="V2138" t="s">
        <v>12620</v>
      </c>
      <c r="W2138" t="s">
        <v>14718</v>
      </c>
      <c r="X2138">
        <v>7</v>
      </c>
      <c r="Y2138" t="s">
        <v>20912</v>
      </c>
      <c r="Z2138" t="s">
        <v>27085</v>
      </c>
      <c r="AA2138">
        <v>1.033808773942454</v>
      </c>
      <c r="AB2138" t="str">
        <f>HYPERLINK("Melting_Curves/meltCurve_P41208_CETN2.pdf", "Melting_Curves/meltCurve_P41208_CETN2.pdf")</f>
        <v>Melting_Curves/meltCurve_P41208_CETN2.pdf</v>
      </c>
    </row>
    <row r="2139" spans="1:28" x14ac:dyDescent="0.25">
      <c r="A2139" t="s">
        <v>2143</v>
      </c>
      <c r="B2139">
        <v>0.99987803227770999</v>
      </c>
      <c r="C2139">
        <v>0.90694502067219995</v>
      </c>
      <c r="D2139">
        <v>0.99427615284526105</v>
      </c>
      <c r="E2139">
        <v>0.80918296906933496</v>
      </c>
      <c r="F2139">
        <v>0.88943553370564998</v>
      </c>
      <c r="G2139">
        <v>0.60213748499416597</v>
      </c>
      <c r="H2139">
        <v>0.41897521270351201</v>
      </c>
      <c r="I2139">
        <v>0.25382879463876401</v>
      </c>
      <c r="J2139">
        <v>0.16793327564786201</v>
      </c>
      <c r="K2139">
        <v>0.10851521027767</v>
      </c>
      <c r="L2139">
        <v>761.90965967094496</v>
      </c>
      <c r="M2139">
        <v>12.9035874250532</v>
      </c>
      <c r="N2139">
        <v>59.046343905166303</v>
      </c>
      <c r="O2139">
        <v>57.682132831337597</v>
      </c>
      <c r="P2139">
        <v>-5.5935577796167202E-2</v>
      </c>
      <c r="Q2139">
        <v>0</v>
      </c>
      <c r="R2139">
        <v>0.97764966112985296</v>
      </c>
      <c r="S2139" t="s">
        <v>8450</v>
      </c>
      <c r="T2139" t="s">
        <v>12620</v>
      </c>
      <c r="U2139" t="s">
        <v>12620</v>
      </c>
      <c r="V2139" t="s">
        <v>12620</v>
      </c>
      <c r="W2139" t="s">
        <v>14719</v>
      </c>
      <c r="X2139">
        <v>1</v>
      </c>
      <c r="Y2139" t="s">
        <v>20913</v>
      </c>
      <c r="Z2139" t="s">
        <v>27086</v>
      </c>
      <c r="AA2139">
        <v>0.64376225947688526</v>
      </c>
      <c r="AB2139" t="str">
        <f>HYPERLINK("Melting_Curves/meltCurve_P41212_ETV6.pdf", "Melting_Curves/meltCurve_P41212_ETV6.pdf")</f>
        <v>Melting_Curves/meltCurve_P41212_ETV6.pdf</v>
      </c>
    </row>
    <row r="2140" spans="1:28" x14ac:dyDescent="0.25">
      <c r="A2140" t="s">
        <v>2144</v>
      </c>
      <c r="B2140">
        <v>0.99987803227770999</v>
      </c>
      <c r="C2140">
        <v>0.74629500519348901</v>
      </c>
      <c r="D2140">
        <v>0.46413117848464303</v>
      </c>
      <c r="E2140">
        <v>0.26915210792168098</v>
      </c>
      <c r="F2140">
        <v>0.19532073843929301</v>
      </c>
      <c r="G2140">
        <v>0.106700909421208</v>
      </c>
      <c r="H2140">
        <v>8.1705519480754205E-2</v>
      </c>
      <c r="I2140">
        <v>7.6323220148357906E-2</v>
      </c>
      <c r="J2140">
        <v>5.5016923936468003E-2</v>
      </c>
      <c r="K2140">
        <v>4.4752042892324297E-2</v>
      </c>
      <c r="L2140">
        <v>760.03932287517205</v>
      </c>
      <c r="M2140">
        <v>16.643777004832501</v>
      </c>
      <c r="N2140">
        <v>46.070171565681598</v>
      </c>
      <c r="O2140">
        <v>45.021150336977399</v>
      </c>
      <c r="P2140">
        <v>-8.6136428601087001E-2</v>
      </c>
      <c r="Q2140">
        <v>6.8072388411966597E-2</v>
      </c>
      <c r="R2140">
        <v>0.98800139513835905</v>
      </c>
      <c r="S2140" t="s">
        <v>8451</v>
      </c>
      <c r="T2140" t="s">
        <v>12620</v>
      </c>
      <c r="U2140" t="s">
        <v>12620</v>
      </c>
      <c r="V2140" t="s">
        <v>12620</v>
      </c>
      <c r="W2140" t="s">
        <v>14720</v>
      </c>
      <c r="X2140">
        <v>10</v>
      </c>
      <c r="Y2140" t="s">
        <v>20914</v>
      </c>
      <c r="Z2140" t="s">
        <v>27087</v>
      </c>
      <c r="AA2140">
        <v>0.26644748994396372</v>
      </c>
      <c r="AB2140" t="str">
        <f>HYPERLINK("Melting_Curves/meltCurve_P41214_EIF2D.pdf", "Melting_Curves/meltCurve_P41214_EIF2D.pdf")</f>
        <v>Melting_Curves/meltCurve_P41214_EIF2D.pdf</v>
      </c>
    </row>
    <row r="2141" spans="1:28" x14ac:dyDescent="0.25">
      <c r="A2141" t="s">
        <v>2145</v>
      </c>
      <c r="B2141">
        <v>0.99987803227770999</v>
      </c>
      <c r="C2141">
        <v>0.80584067913980495</v>
      </c>
      <c r="D2141">
        <v>0.94945838263518101</v>
      </c>
      <c r="E2141">
        <v>0.652854819507248</v>
      </c>
      <c r="F2141">
        <v>0.45385715893952799</v>
      </c>
      <c r="G2141">
        <v>0.166595066722006</v>
      </c>
      <c r="H2141">
        <v>0.14149363159755399</v>
      </c>
      <c r="I2141">
        <v>0.117126599617844</v>
      </c>
      <c r="J2141">
        <v>0.110774663458884</v>
      </c>
      <c r="K2141">
        <v>6.2083628132366897E-2</v>
      </c>
      <c r="L2141">
        <v>871.36419257079501</v>
      </c>
      <c r="M2141">
        <v>16.9006434169914</v>
      </c>
      <c r="N2141">
        <v>52.009286560635204</v>
      </c>
      <c r="O2141">
        <v>50.852438775906201</v>
      </c>
      <c r="P2141">
        <v>-7.7425594032592499E-2</v>
      </c>
      <c r="Q2141">
        <v>6.8193748599319301E-2</v>
      </c>
      <c r="R2141">
        <v>0.97226849826666795</v>
      </c>
      <c r="S2141" t="s">
        <v>8452</v>
      </c>
      <c r="T2141" t="s">
        <v>12620</v>
      </c>
      <c r="U2141" t="s">
        <v>12620</v>
      </c>
      <c r="V2141" t="s">
        <v>12620</v>
      </c>
      <c r="W2141" t="s">
        <v>14721</v>
      </c>
      <c r="X2141">
        <v>6</v>
      </c>
      <c r="Y2141" t="s">
        <v>20915</v>
      </c>
      <c r="Z2141" t="s">
        <v>27088</v>
      </c>
      <c r="AA2141">
        <v>0.44457418069396459</v>
      </c>
      <c r="AB2141" t="str">
        <f>HYPERLINK("Melting_Curves/meltCurve_P41223_BUD31.pdf", "Melting_Curves/meltCurve_P41223_BUD31.pdf")</f>
        <v>Melting_Curves/meltCurve_P41223_BUD31.pdf</v>
      </c>
    </row>
    <row r="2142" spans="1:28" x14ac:dyDescent="0.25">
      <c r="A2142" t="s">
        <v>2146</v>
      </c>
      <c r="B2142">
        <v>0.99987803227770999</v>
      </c>
      <c r="C2142">
        <v>1.12163140461883</v>
      </c>
      <c r="D2142">
        <v>0.94032159098884005</v>
      </c>
      <c r="E2142">
        <v>1.0137643030911401</v>
      </c>
      <c r="F2142">
        <v>0.46310791764142101</v>
      </c>
      <c r="G2142">
        <v>0.208655905701427</v>
      </c>
      <c r="H2142">
        <v>0.14339927093851301</v>
      </c>
      <c r="I2142">
        <v>0.13192545025956701</v>
      </c>
      <c r="J2142">
        <v>9.76566282996367E-2</v>
      </c>
      <c r="K2142">
        <v>6.6441890340000906E-2</v>
      </c>
      <c r="L2142">
        <v>13224.7625779465</v>
      </c>
      <c r="M2142">
        <v>250</v>
      </c>
      <c r="N2142">
        <v>52.962619690495899</v>
      </c>
      <c r="O2142">
        <v>52.895642960357698</v>
      </c>
      <c r="P2142">
        <v>-1.0284209649231699</v>
      </c>
      <c r="Q2142">
        <v>0.12961582316617701</v>
      </c>
      <c r="R2142">
        <v>0.98323440861764599</v>
      </c>
      <c r="S2142" t="s">
        <v>8453</v>
      </c>
      <c r="T2142" t="s">
        <v>12620</v>
      </c>
      <c r="U2142" t="s">
        <v>12620</v>
      </c>
      <c r="V2142" t="s">
        <v>12620</v>
      </c>
      <c r="W2142" t="s">
        <v>14722</v>
      </c>
      <c r="X2142">
        <v>12</v>
      </c>
      <c r="Y2142" t="s">
        <v>20916</v>
      </c>
      <c r="Z2142" t="s">
        <v>27089</v>
      </c>
      <c r="AA2142">
        <v>0.50393426994944279</v>
      </c>
      <c r="AB2142" t="str">
        <f>HYPERLINK("Melting_Curves/meltCurve_P41227_2_NAA10.pdf", "Melting_Curves/meltCurve_P41227_2_NAA10.pdf")</f>
        <v>Melting_Curves/meltCurve_P41227_2_NAA10.pdf</v>
      </c>
    </row>
    <row r="2143" spans="1:28" x14ac:dyDescent="0.25">
      <c r="A2143" t="s">
        <v>2147</v>
      </c>
      <c r="B2143">
        <v>0.99987803227770999</v>
      </c>
      <c r="C2143">
        <v>1.14972021346217</v>
      </c>
      <c r="D2143">
        <v>0.77625686018720297</v>
      </c>
      <c r="E2143">
        <v>0.57563108776265004</v>
      </c>
      <c r="F2143">
        <v>0.27080479083050302</v>
      </c>
      <c r="G2143">
        <v>0.207221604851302</v>
      </c>
      <c r="H2143">
        <v>0.126163487809967</v>
      </c>
      <c r="I2143">
        <v>0.113700511750883</v>
      </c>
      <c r="J2143">
        <v>8.5090038237289001E-2</v>
      </c>
      <c r="K2143">
        <v>6.6055701717531098E-2</v>
      </c>
      <c r="L2143">
        <v>1013.6746685755101</v>
      </c>
      <c r="M2143">
        <v>20.297104286187199</v>
      </c>
      <c r="N2143">
        <v>50.457198275168999</v>
      </c>
      <c r="O2143">
        <v>49.464614501451102</v>
      </c>
      <c r="P2143">
        <v>-9.2983246049974905E-2</v>
      </c>
      <c r="Q2143">
        <v>9.3616294673936007E-2</v>
      </c>
      <c r="R2143">
        <v>0.96901732803600604</v>
      </c>
      <c r="S2143" t="s">
        <v>8454</v>
      </c>
      <c r="T2143" t="s">
        <v>12620</v>
      </c>
      <c r="U2143" t="s">
        <v>12620</v>
      </c>
      <c r="V2143" t="s">
        <v>12620</v>
      </c>
      <c r="W2143" t="s">
        <v>14723</v>
      </c>
      <c r="X2143">
        <v>18</v>
      </c>
      <c r="Y2143" t="s">
        <v>20917</v>
      </c>
      <c r="Z2143" t="s">
        <v>27090</v>
      </c>
      <c r="AA2143">
        <v>0.40624862284830371</v>
      </c>
      <c r="AB2143" t="str">
        <f>HYPERLINK("Melting_Curves/meltCurve_P41229_2_KDM5C.pdf", "Melting_Curves/meltCurve_P41229_2_KDM5C.pdf")</f>
        <v>Melting_Curves/meltCurve_P41229_2_KDM5C.pdf</v>
      </c>
    </row>
    <row r="2144" spans="1:28" x14ac:dyDescent="0.25">
      <c r="A2144" t="s">
        <v>2148</v>
      </c>
      <c r="B2144">
        <v>0.99987803227770999</v>
      </c>
      <c r="C2144">
        <v>0.89938026161441698</v>
      </c>
      <c r="D2144">
        <v>0.99736980833370104</v>
      </c>
      <c r="E2144">
        <v>0.91023930654695495</v>
      </c>
      <c r="F2144">
        <v>1.12674720528117</v>
      </c>
      <c r="G2144">
        <v>0.74427611400188198</v>
      </c>
      <c r="H2144">
        <v>1.17275239196924</v>
      </c>
      <c r="I2144">
        <v>1.0267865340322</v>
      </c>
      <c r="J2144">
        <v>1.5239722809340299</v>
      </c>
      <c r="K2144">
        <v>1.1653533097284099</v>
      </c>
      <c r="L2144">
        <v>15000</v>
      </c>
      <c r="M2144">
        <v>231.93234524525801</v>
      </c>
      <c r="O2144">
        <v>64.669225072871896</v>
      </c>
      <c r="P2144">
        <v>0.30902393659573402</v>
      </c>
      <c r="Q2144">
        <v>1.34465806070256</v>
      </c>
      <c r="R2144">
        <v>0.51538407161904298</v>
      </c>
      <c r="S2144" t="s">
        <v>8455</v>
      </c>
      <c r="T2144" t="s">
        <v>12620</v>
      </c>
      <c r="U2144" t="s">
        <v>12620</v>
      </c>
      <c r="V2144" t="s">
        <v>12620</v>
      </c>
      <c r="W2144" t="s">
        <v>14724</v>
      </c>
      <c r="X2144">
        <v>8</v>
      </c>
      <c r="Y2144" t="s">
        <v>20918</v>
      </c>
      <c r="Z2144" t="s">
        <v>27091</v>
      </c>
      <c r="AA2144">
        <v>1.0611424695606679</v>
      </c>
      <c r="AB2144" t="str">
        <f>HYPERLINK("Melting_Curves/meltCurve_P41236_PPP1R2.pdf", "Melting_Curves/meltCurve_P41236_PPP1R2.pdf")</f>
        <v>Melting_Curves/meltCurve_P41236_PPP1R2.pdf</v>
      </c>
    </row>
    <row r="2145" spans="1:28" x14ac:dyDescent="0.25">
      <c r="A2145" t="s">
        <v>2149</v>
      </c>
      <c r="B2145">
        <v>0.99987803227770999</v>
      </c>
      <c r="C2145">
        <v>0.90557521105432404</v>
      </c>
      <c r="D2145">
        <v>0.81739926636298899</v>
      </c>
      <c r="E2145">
        <v>0.54504890506535297</v>
      </c>
      <c r="F2145">
        <v>0.16899241349721</v>
      </c>
      <c r="G2145">
        <v>0.103829216479639</v>
      </c>
      <c r="H2145">
        <v>6.9937628901057397E-2</v>
      </c>
      <c r="I2145">
        <v>6.5936550593970203E-2</v>
      </c>
      <c r="J2145">
        <v>4.1768117504331501E-2</v>
      </c>
      <c r="K2145">
        <v>3.08892295627873E-2</v>
      </c>
      <c r="L2145">
        <v>1009.0094307746</v>
      </c>
      <c r="M2145">
        <v>20.343701731212199</v>
      </c>
      <c r="N2145">
        <v>49.783389313418802</v>
      </c>
      <c r="O2145">
        <v>49.126326096803901</v>
      </c>
      <c r="P2145">
        <v>-9.9756252712234594E-2</v>
      </c>
      <c r="Q2145">
        <v>3.64564690586648E-2</v>
      </c>
      <c r="R2145">
        <v>0.99031684227097305</v>
      </c>
      <c r="S2145" t="s">
        <v>8456</v>
      </c>
      <c r="T2145" t="s">
        <v>12620</v>
      </c>
      <c r="U2145" t="s">
        <v>12620</v>
      </c>
      <c r="V2145" t="s">
        <v>12620</v>
      </c>
      <c r="W2145" t="s">
        <v>14725</v>
      </c>
      <c r="X2145">
        <v>21</v>
      </c>
      <c r="Y2145" t="s">
        <v>20919</v>
      </c>
      <c r="Z2145" t="s">
        <v>27092</v>
      </c>
      <c r="AA2145">
        <v>0.3577215704017952</v>
      </c>
      <c r="AB2145" t="str">
        <f>HYPERLINK("Melting_Curves/meltCurve_P41240_CSK.pdf", "Melting_Curves/meltCurve_P41240_CSK.pdf")</f>
        <v>Melting_Curves/meltCurve_P41240_CSK.pdf</v>
      </c>
    </row>
    <row r="2146" spans="1:28" x14ac:dyDescent="0.25">
      <c r="A2146" t="s">
        <v>2150</v>
      </c>
      <c r="B2146">
        <v>0.99987803227770999</v>
      </c>
      <c r="C2146">
        <v>1.1729122369913101</v>
      </c>
      <c r="D2146">
        <v>1.02494284550946</v>
      </c>
      <c r="E2146">
        <v>1.22535533882304</v>
      </c>
      <c r="F2146">
        <v>0.95919577246385801</v>
      </c>
      <c r="G2146">
        <v>1.19006416199451</v>
      </c>
      <c r="H2146">
        <v>1.27650723844642</v>
      </c>
      <c r="I2146">
        <v>0.63121129567286405</v>
      </c>
      <c r="J2146">
        <v>0.102316761736799</v>
      </c>
      <c r="K2146">
        <v>8.0460040805995003E-2</v>
      </c>
      <c r="L2146">
        <v>15000</v>
      </c>
      <c r="M2146">
        <v>233.99390270961501</v>
      </c>
      <c r="N2146">
        <v>64.1595660208407</v>
      </c>
      <c r="O2146">
        <v>64.099551880917403</v>
      </c>
      <c r="P2146">
        <v>-0.82923424201533902</v>
      </c>
      <c r="Q2146">
        <v>9.1368747554712901E-2</v>
      </c>
      <c r="R2146">
        <v>0.89147618497286296</v>
      </c>
      <c r="S2146" t="s">
        <v>8457</v>
      </c>
      <c r="T2146" t="s">
        <v>12620</v>
      </c>
      <c r="U2146" t="s">
        <v>12620</v>
      </c>
      <c r="V2146" t="s">
        <v>12620</v>
      </c>
      <c r="W2146" t="s">
        <v>14726</v>
      </c>
      <c r="X2146">
        <v>40</v>
      </c>
      <c r="Y2146" t="s">
        <v>20920</v>
      </c>
      <c r="Z2146" t="s">
        <v>27093</v>
      </c>
      <c r="AA2146">
        <v>0.82154746182976346</v>
      </c>
      <c r="AB2146" t="str">
        <f>HYPERLINK("Melting_Curves/meltCurve_P41250_GARS.pdf", "Melting_Curves/meltCurve_P41250_GARS.pdf")</f>
        <v>Melting_Curves/meltCurve_P41250_GARS.pdf</v>
      </c>
    </row>
    <row r="2147" spans="1:28" x14ac:dyDescent="0.25">
      <c r="A2147" t="s">
        <v>2151</v>
      </c>
      <c r="B2147">
        <v>0.99987803227770999</v>
      </c>
      <c r="C2147">
        <v>0.73462489004189302</v>
      </c>
      <c r="D2147">
        <v>0.58223203412622004</v>
      </c>
      <c r="E2147">
        <v>0.56784292640670198</v>
      </c>
      <c r="F2147">
        <v>0.34945355502325398</v>
      </c>
      <c r="G2147">
        <v>0.17139607226655301</v>
      </c>
      <c r="H2147">
        <v>9.3006894840420198E-2</v>
      </c>
      <c r="I2147">
        <v>8.5234367450300594E-2</v>
      </c>
      <c r="J2147">
        <v>6.0577528987286099E-2</v>
      </c>
      <c r="K2147">
        <v>4.6420855799098201E-2</v>
      </c>
      <c r="L2147">
        <v>484.49435412201598</v>
      </c>
      <c r="M2147">
        <v>9.8569791608823394</v>
      </c>
      <c r="N2147">
        <v>49.152417436712703</v>
      </c>
      <c r="O2147">
        <v>47.257585028545002</v>
      </c>
      <c r="P2147">
        <v>-5.2171763966970798E-2</v>
      </c>
      <c r="Q2147">
        <v>0</v>
      </c>
      <c r="R2147">
        <v>0.96466927594738205</v>
      </c>
      <c r="S2147" t="s">
        <v>8458</v>
      </c>
      <c r="T2147" t="s">
        <v>12620</v>
      </c>
      <c r="U2147" t="s">
        <v>12620</v>
      </c>
      <c r="V2147" t="s">
        <v>12620</v>
      </c>
      <c r="W2147" t="s">
        <v>14727</v>
      </c>
      <c r="X2147">
        <v>25</v>
      </c>
      <c r="Y2147" t="s">
        <v>20921</v>
      </c>
      <c r="Z2147" t="s">
        <v>27094</v>
      </c>
      <c r="AA2147">
        <v>0.35446196041733041</v>
      </c>
      <c r="AB2147" t="str">
        <f>HYPERLINK("Melting_Curves/meltCurve_P41252_IARS.pdf", "Melting_Curves/meltCurve_P41252_IARS.pdf")</f>
        <v>Melting_Curves/meltCurve_P41252_IARS.pdf</v>
      </c>
    </row>
    <row r="2148" spans="1:28" x14ac:dyDescent="0.25">
      <c r="A2148" t="s">
        <v>2152</v>
      </c>
      <c r="B2148">
        <v>0.99987803227770999</v>
      </c>
      <c r="C2148">
        <v>0.79817268991451296</v>
      </c>
      <c r="D2148">
        <v>1.0226750895671901</v>
      </c>
      <c r="E2148">
        <v>0.85075283531981405</v>
      </c>
      <c r="F2148">
        <v>1.0548277866592599</v>
      </c>
      <c r="G2148">
        <v>0.86567699707864099</v>
      </c>
      <c r="H2148">
        <v>0.83309382831558398</v>
      </c>
      <c r="I2148">
        <v>0.67829321453254998</v>
      </c>
      <c r="J2148">
        <v>0.62737428074482304</v>
      </c>
      <c r="K2148">
        <v>0.50229255426126895</v>
      </c>
      <c r="L2148">
        <v>628.32994653692697</v>
      </c>
      <c r="M2148">
        <v>8.9272171848944399</v>
      </c>
      <c r="O2148">
        <v>67.120674164316995</v>
      </c>
      <c r="P2148">
        <v>-3.32755246161602E-2</v>
      </c>
      <c r="Q2148">
        <v>0</v>
      </c>
      <c r="R2148">
        <v>0.75876305439629399</v>
      </c>
      <c r="S2148" t="s">
        <v>8459</v>
      </c>
      <c r="T2148" t="s">
        <v>12620</v>
      </c>
      <c r="U2148" t="s">
        <v>12620</v>
      </c>
      <c r="V2148" t="s">
        <v>12620</v>
      </c>
      <c r="W2148" t="s">
        <v>14728</v>
      </c>
      <c r="X2148">
        <v>11</v>
      </c>
      <c r="Y2148" t="s">
        <v>20922</v>
      </c>
      <c r="Z2148" t="s">
        <v>27095</v>
      </c>
      <c r="AA2148">
        <v>0.86027987848920751</v>
      </c>
      <c r="AB2148" t="str">
        <f>HYPERLINK("Melting_Curves/meltCurve_P41567_EIF1.pdf", "Melting_Curves/meltCurve_P41567_EIF1.pdf")</f>
        <v>Melting_Curves/meltCurve_P41567_EIF1.pdf</v>
      </c>
    </row>
    <row r="2149" spans="1:28" x14ac:dyDescent="0.25">
      <c r="A2149" t="s">
        <v>2153</v>
      </c>
      <c r="B2149">
        <v>0.99987803227770999</v>
      </c>
      <c r="C2149">
        <v>1.0554668126765101</v>
      </c>
      <c r="D2149">
        <v>0.96112458015500002</v>
      </c>
      <c r="E2149">
        <v>0.99403963361162395</v>
      </c>
      <c r="F2149">
        <v>0.80342077969662296</v>
      </c>
      <c r="G2149">
        <v>0.37242149168613298</v>
      </c>
      <c r="H2149">
        <v>0.194589294156891</v>
      </c>
      <c r="I2149">
        <v>0.20796864178747401</v>
      </c>
      <c r="J2149">
        <v>0.10539921539472499</v>
      </c>
      <c r="K2149">
        <v>6.3252538435499203E-2</v>
      </c>
      <c r="L2149">
        <v>1557.8074885680801</v>
      </c>
      <c r="M2149">
        <v>28.1378469554441</v>
      </c>
      <c r="N2149">
        <v>55.894203200281403</v>
      </c>
      <c r="O2149">
        <v>55.086048709098002</v>
      </c>
      <c r="P2149">
        <v>-0.112728888337834</v>
      </c>
      <c r="Q2149">
        <v>0.117240654975011</v>
      </c>
      <c r="R2149">
        <v>0.99069033054739397</v>
      </c>
      <c r="S2149" t="s">
        <v>8460</v>
      </c>
      <c r="T2149" t="s">
        <v>12620</v>
      </c>
      <c r="U2149" t="s">
        <v>12620</v>
      </c>
      <c r="V2149" t="s">
        <v>12620</v>
      </c>
      <c r="W2149" t="s">
        <v>14729</v>
      </c>
      <c r="X2149">
        <v>11</v>
      </c>
      <c r="Y2149" t="s">
        <v>20923</v>
      </c>
      <c r="Z2149" t="s">
        <v>27096</v>
      </c>
      <c r="AA2149">
        <v>0.57592270268277368</v>
      </c>
      <c r="AB2149" t="str">
        <f>HYPERLINK("Melting_Curves/meltCurve_P41743_PRKCI.pdf", "Melting_Curves/meltCurve_P41743_PRKCI.pdf")</f>
        <v>Melting_Curves/meltCurve_P41743_PRKCI.pdf</v>
      </c>
    </row>
    <row r="2150" spans="1:28" x14ac:dyDescent="0.25">
      <c r="A2150" t="s">
        <v>2154</v>
      </c>
      <c r="B2150">
        <v>0.99987803227770999</v>
      </c>
      <c r="C2150">
        <v>0.93159005882839097</v>
      </c>
      <c r="D2150">
        <v>1.0034453595971899</v>
      </c>
      <c r="E2150">
        <v>1.5059859598074301</v>
      </c>
      <c r="F2150">
        <v>1.14069322377561</v>
      </c>
      <c r="G2150">
        <v>0.87227699973341399</v>
      </c>
      <c r="H2150">
        <v>0.37863985033923903</v>
      </c>
      <c r="I2150">
        <v>0.27608246643016998</v>
      </c>
      <c r="J2150">
        <v>0.17877009700229099</v>
      </c>
      <c r="K2150">
        <v>9.1128269256749994E-2</v>
      </c>
      <c r="L2150">
        <v>2300.7659806591801</v>
      </c>
      <c r="M2150">
        <v>38.581201562689003</v>
      </c>
      <c r="N2150">
        <v>60.1956843431946</v>
      </c>
      <c r="O2150">
        <v>59.4748438218761</v>
      </c>
      <c r="P2150">
        <v>-0.137673923315703</v>
      </c>
      <c r="Q2150">
        <v>0.15107724517181201</v>
      </c>
      <c r="R2150">
        <v>0.85527210241920004</v>
      </c>
      <c r="S2150" t="s">
        <v>8461</v>
      </c>
      <c r="T2150" t="s">
        <v>12620</v>
      </c>
      <c r="U2150" t="s">
        <v>12620</v>
      </c>
      <c r="V2150" t="s">
        <v>12620</v>
      </c>
      <c r="W2150" t="s">
        <v>14730</v>
      </c>
      <c r="X2150">
        <v>8</v>
      </c>
      <c r="Y2150" t="s">
        <v>20924</v>
      </c>
      <c r="Z2150" t="s">
        <v>27097</v>
      </c>
      <c r="AA2150">
        <v>0.71023259659988935</v>
      </c>
      <c r="AB2150" t="str">
        <f>HYPERLINK("Melting_Curves/meltCurve_P42025_ACTR1B.pdf", "Melting_Curves/meltCurve_P42025_ACTR1B.pdf")</f>
        <v>Melting_Curves/meltCurve_P42025_ACTR1B.pdf</v>
      </c>
    </row>
    <row r="2151" spans="1:28" x14ac:dyDescent="0.25">
      <c r="A2151" t="s">
        <v>2155</v>
      </c>
      <c r="B2151">
        <v>0.99987803227770999</v>
      </c>
      <c r="C2151">
        <v>0.976655420867242</v>
      </c>
      <c r="D2151">
        <v>0.95256736579989798</v>
      </c>
      <c r="E2151">
        <v>1.05402904338995</v>
      </c>
      <c r="F2151">
        <v>1.1376987238605101</v>
      </c>
      <c r="G2151">
        <v>1.7586366629263499</v>
      </c>
      <c r="H2151">
        <v>1.43233631295585</v>
      </c>
      <c r="I2151">
        <v>1.48741385306259</v>
      </c>
      <c r="J2151">
        <v>0.88389471572666201</v>
      </c>
      <c r="K2151">
        <v>0.63624480697177899</v>
      </c>
      <c r="L2151">
        <v>15000</v>
      </c>
      <c r="M2151">
        <v>223.122484714606</v>
      </c>
      <c r="O2151">
        <v>67.222267540516796</v>
      </c>
      <c r="P2151">
        <v>-0.30188820927161503</v>
      </c>
      <c r="Q2151">
        <v>0.63618899277026297</v>
      </c>
      <c r="R2151">
        <v>-2.8377662502777401E-2</v>
      </c>
      <c r="S2151" t="s">
        <v>8462</v>
      </c>
      <c r="T2151" t="s">
        <v>12620</v>
      </c>
      <c r="U2151" t="s">
        <v>12620</v>
      </c>
      <c r="V2151" t="s">
        <v>12620</v>
      </c>
      <c r="W2151" t="s">
        <v>14731</v>
      </c>
      <c r="X2151">
        <v>7</v>
      </c>
      <c r="Y2151" t="s">
        <v>20925</v>
      </c>
      <c r="Z2151" t="s">
        <v>27098</v>
      </c>
      <c r="AA2151">
        <v>0.96643291150486332</v>
      </c>
      <c r="AB2151" t="str">
        <f>HYPERLINK("Melting_Curves/meltCurve_P42126_2_ECI1.pdf", "Melting_Curves/meltCurve_P42126_2_ECI1.pdf")</f>
        <v>Melting_Curves/meltCurve_P42126_2_ECI1.pdf</v>
      </c>
    </row>
    <row r="2152" spans="1:28" x14ac:dyDescent="0.25">
      <c r="A2152" t="s">
        <v>2156</v>
      </c>
      <c r="B2152">
        <v>0.99987803227770999</v>
      </c>
      <c r="C2152">
        <v>1.0457656381598099</v>
      </c>
      <c r="D2152">
        <v>0.74546778269838898</v>
      </c>
      <c r="E2152">
        <v>0.62188607744520497</v>
      </c>
      <c r="F2152">
        <v>0.519729849005795</v>
      </c>
      <c r="G2152">
        <v>0.39607658020667502</v>
      </c>
      <c r="H2152">
        <v>0.39947346483340601</v>
      </c>
      <c r="I2152">
        <v>0.37978891563630801</v>
      </c>
      <c r="J2152">
        <v>0.38183326651034999</v>
      </c>
      <c r="K2152">
        <v>0.31932607656502499</v>
      </c>
      <c r="L2152">
        <v>812.90826287963705</v>
      </c>
      <c r="M2152">
        <v>16.6876419479917</v>
      </c>
      <c r="N2152">
        <v>52.727424788216197</v>
      </c>
      <c r="O2152">
        <v>48.029761524338603</v>
      </c>
      <c r="P2152">
        <v>-5.5625191870117302E-2</v>
      </c>
      <c r="Q2152">
        <v>0.35964868939948702</v>
      </c>
      <c r="R2152">
        <v>0.96600754763461305</v>
      </c>
      <c r="S2152" t="s">
        <v>8463</v>
      </c>
      <c r="T2152" t="s">
        <v>12620</v>
      </c>
      <c r="U2152" t="s">
        <v>12620</v>
      </c>
      <c r="V2152" t="s">
        <v>12620</v>
      </c>
      <c r="W2152" t="s">
        <v>14732</v>
      </c>
      <c r="X2152">
        <v>31</v>
      </c>
      <c r="Y2152" t="s">
        <v>20926</v>
      </c>
      <c r="Z2152" t="s">
        <v>27099</v>
      </c>
      <c r="AA2152">
        <v>0.5586141141960923</v>
      </c>
      <c r="AB2152" t="str">
        <f>HYPERLINK("Melting_Curves/meltCurve_P42166_TMPO.pdf", "Melting_Curves/meltCurve_P42166_TMPO.pdf")</f>
        <v>Melting_Curves/meltCurve_P42166_TMPO.pdf</v>
      </c>
    </row>
    <row r="2153" spans="1:28" x14ac:dyDescent="0.25">
      <c r="A2153" t="s">
        <v>2157</v>
      </c>
      <c r="B2153">
        <v>0.99987803227770999</v>
      </c>
      <c r="C2153">
        <v>0.90944155445528196</v>
      </c>
      <c r="D2153">
        <v>1.14988051696244</v>
      </c>
      <c r="E2153">
        <v>0.84725126258342098</v>
      </c>
      <c r="F2153">
        <v>1.08382082810261</v>
      </c>
      <c r="G2153">
        <v>0.47091998651253703</v>
      </c>
      <c r="H2153">
        <v>0.70629134123125004</v>
      </c>
      <c r="I2153">
        <v>0.845085429083545</v>
      </c>
      <c r="J2153">
        <v>0.82194491750821097</v>
      </c>
      <c r="K2153">
        <v>0.74064677446744898</v>
      </c>
      <c r="L2153">
        <v>13704.1356494423</v>
      </c>
      <c r="M2153">
        <v>250</v>
      </c>
      <c r="O2153">
        <v>54.813058535758799</v>
      </c>
      <c r="P2153">
        <v>-0.32271023348816502</v>
      </c>
      <c r="Q2153">
        <v>0.71698036386302</v>
      </c>
      <c r="R2153">
        <v>0.56881841506387598</v>
      </c>
      <c r="S2153" t="s">
        <v>8464</v>
      </c>
      <c r="T2153" t="s">
        <v>12620</v>
      </c>
      <c r="U2153" t="s">
        <v>12620</v>
      </c>
      <c r="V2153" t="s">
        <v>12620</v>
      </c>
      <c r="W2153" t="s">
        <v>14733</v>
      </c>
      <c r="X2153">
        <v>15</v>
      </c>
      <c r="Y2153" t="s">
        <v>20926</v>
      </c>
      <c r="Z2153" t="s">
        <v>27100</v>
      </c>
      <c r="AA2153">
        <v>0.85678667412970855</v>
      </c>
      <c r="AB2153" t="str">
        <f>HYPERLINK("Melting_Curves/meltCurve_P42167_TMPO.pdf", "Melting_Curves/meltCurve_P42167_TMPO.pdf")</f>
        <v>Melting_Curves/meltCurve_P42167_TMPO.pdf</v>
      </c>
    </row>
    <row r="2154" spans="1:28" x14ac:dyDescent="0.25">
      <c r="A2154" t="s">
        <v>2158</v>
      </c>
      <c r="B2154">
        <v>0.99987803227770999</v>
      </c>
      <c r="C2154">
        <v>1.2206640576701699</v>
      </c>
      <c r="D2154">
        <v>0.74979737510684896</v>
      </c>
      <c r="E2154">
        <v>0.34462412328715097</v>
      </c>
      <c r="F2154">
        <v>0.17942762306550999</v>
      </c>
      <c r="G2154">
        <v>0.12046766961891001</v>
      </c>
      <c r="H2154">
        <v>8.8777757937351098E-2</v>
      </c>
      <c r="I2154">
        <v>8.0143224444777006E-2</v>
      </c>
      <c r="J2154">
        <v>5.6990884984320297E-2</v>
      </c>
      <c r="K2154">
        <v>4.1234895602859097E-2</v>
      </c>
      <c r="L2154">
        <v>1357.6793441226</v>
      </c>
      <c r="M2154">
        <v>28.1051510443748</v>
      </c>
      <c r="N2154">
        <v>48.606496718321701</v>
      </c>
      <c r="O2154">
        <v>48.064557900674203</v>
      </c>
      <c r="P2154">
        <v>-0.13456802412746399</v>
      </c>
      <c r="Q2154">
        <v>7.9471556818097103E-2</v>
      </c>
      <c r="R2154">
        <v>0.95986541402479697</v>
      </c>
      <c r="S2154" t="s">
        <v>8465</v>
      </c>
      <c r="T2154" t="s">
        <v>12620</v>
      </c>
      <c r="U2154" t="s">
        <v>12620</v>
      </c>
      <c r="V2154" t="s">
        <v>12620</v>
      </c>
      <c r="W2154" t="s">
        <v>14734</v>
      </c>
      <c r="X2154">
        <v>37</v>
      </c>
      <c r="Y2154" t="s">
        <v>20927</v>
      </c>
      <c r="Z2154" t="s">
        <v>27101</v>
      </c>
      <c r="AA2154">
        <v>0.34073530754686299</v>
      </c>
      <c r="AB2154" t="str">
        <f>HYPERLINK("Melting_Curves/meltCurve_P42224_STAT1.pdf", "Melting_Curves/meltCurve_P42224_STAT1.pdf")</f>
        <v>Melting_Curves/meltCurve_P42224_STAT1.pdf</v>
      </c>
    </row>
    <row r="2155" spans="1:28" x14ac:dyDescent="0.25">
      <c r="A2155" t="s">
        <v>2159</v>
      </c>
      <c r="B2155">
        <v>0.99987803227770999</v>
      </c>
      <c r="C2155">
        <v>1.11360895239854</v>
      </c>
      <c r="D2155">
        <v>1.08614625465172</v>
      </c>
      <c r="E2155">
        <v>0.88284043042581795</v>
      </c>
      <c r="F2155">
        <v>0.44042251478078998</v>
      </c>
      <c r="G2155">
        <v>0.16350785724102501</v>
      </c>
      <c r="H2155">
        <v>0.101431994103814</v>
      </c>
      <c r="I2155">
        <v>8.0936780978435E-2</v>
      </c>
      <c r="J2155">
        <v>6.8136392179893507E-2</v>
      </c>
      <c r="K2155">
        <v>5.2914385414447901E-2</v>
      </c>
      <c r="L2155">
        <v>1974.38253738866</v>
      </c>
      <c r="M2155">
        <v>37.637745336651598</v>
      </c>
      <c r="N2155">
        <v>52.707774374688597</v>
      </c>
      <c r="O2155">
        <v>52.310084316516701</v>
      </c>
      <c r="P2155">
        <v>-0.16516012472623601</v>
      </c>
      <c r="Q2155">
        <v>8.1824140956667402E-2</v>
      </c>
      <c r="R2155">
        <v>0.98764691837838303</v>
      </c>
      <c r="S2155" t="s">
        <v>8466</v>
      </c>
      <c r="T2155" t="s">
        <v>12620</v>
      </c>
      <c r="U2155" t="s">
        <v>12620</v>
      </c>
      <c r="V2155" t="s">
        <v>12620</v>
      </c>
      <c r="W2155" t="s">
        <v>14735</v>
      </c>
      <c r="X2155">
        <v>13</v>
      </c>
      <c r="Y2155" t="s">
        <v>20928</v>
      </c>
      <c r="Z2155" t="s">
        <v>27102</v>
      </c>
      <c r="AA2155">
        <v>0.46685649235366139</v>
      </c>
      <c r="AB2155" t="str">
        <f>HYPERLINK("Melting_Curves/meltCurve_P42226_STAT6.pdf", "Melting_Curves/meltCurve_P42226_STAT6.pdf")</f>
        <v>Melting_Curves/meltCurve_P42226_STAT6.pdf</v>
      </c>
    </row>
    <row r="2156" spans="1:28" x14ac:dyDescent="0.25">
      <c r="A2156" t="s">
        <v>2160</v>
      </c>
      <c r="B2156">
        <v>0.99987803227770999</v>
      </c>
      <c r="C2156">
        <v>1.1127056817832699</v>
      </c>
      <c r="D2156">
        <v>1.17031561322075</v>
      </c>
      <c r="E2156">
        <v>1.3629631298285001</v>
      </c>
      <c r="F2156">
        <v>0.57150187952035703</v>
      </c>
      <c r="G2156">
        <v>0.32769080802094103</v>
      </c>
      <c r="H2156">
        <v>0.20520067552366</v>
      </c>
      <c r="I2156">
        <v>0.18544637411439799</v>
      </c>
      <c r="J2156">
        <v>0.13928246498656699</v>
      </c>
      <c r="K2156">
        <v>9.0894920067570398E-2</v>
      </c>
      <c r="L2156">
        <v>13243.884345459701</v>
      </c>
      <c r="M2156">
        <v>250</v>
      </c>
      <c r="N2156">
        <v>53.076824350533897</v>
      </c>
      <c r="O2156">
        <v>52.972122565446497</v>
      </c>
      <c r="P2156">
        <v>-0.95604131988275998</v>
      </c>
      <c r="Q2156">
        <v>0.18970301225748201</v>
      </c>
      <c r="R2156">
        <v>0.90685700293409</v>
      </c>
      <c r="S2156" t="s">
        <v>8467</v>
      </c>
      <c r="T2156" t="s">
        <v>12620</v>
      </c>
      <c r="U2156" t="s">
        <v>12620</v>
      </c>
      <c r="V2156" t="s">
        <v>12620</v>
      </c>
      <c r="W2156" t="s">
        <v>14736</v>
      </c>
      <c r="X2156">
        <v>23</v>
      </c>
      <c r="Y2156" t="s">
        <v>20929</v>
      </c>
      <c r="Z2156" t="s">
        <v>27103</v>
      </c>
      <c r="AA2156">
        <v>0.54024630840428478</v>
      </c>
      <c r="AB2156" t="str">
        <f>HYPERLINK("Melting_Curves/meltCurve_P42285_SKIV2L2.pdf", "Melting_Curves/meltCurve_P42285_SKIV2L2.pdf")</f>
        <v>Melting_Curves/meltCurve_P42285_SKIV2L2.pdf</v>
      </c>
    </row>
    <row r="2157" spans="1:28" x14ac:dyDescent="0.25">
      <c r="A2157" t="s">
        <v>2161</v>
      </c>
      <c r="B2157">
        <v>0.99987803227770999</v>
      </c>
      <c r="C2157">
        <v>0.73914949255430595</v>
      </c>
      <c r="D2157">
        <v>0.933476433694713</v>
      </c>
      <c r="E2157">
        <v>0.54443553260372801</v>
      </c>
      <c r="F2157">
        <v>0.16535523644773201</v>
      </c>
      <c r="G2157">
        <v>9.9415410083616207E-2</v>
      </c>
      <c r="H2157">
        <v>7.2865428111630604E-2</v>
      </c>
      <c r="I2157">
        <v>6.4244182433266295E-2</v>
      </c>
      <c r="J2157">
        <v>4.6091236041132598E-2</v>
      </c>
      <c r="K2157">
        <v>3.2566718523169599E-2</v>
      </c>
      <c r="L2157">
        <v>1284.07398663707</v>
      </c>
      <c r="M2157">
        <v>25.732050237744499</v>
      </c>
      <c r="N2157">
        <v>50.093665728171999</v>
      </c>
      <c r="O2157">
        <v>49.603279313599401</v>
      </c>
      <c r="P2157">
        <v>-0.12360274808593601</v>
      </c>
      <c r="Q2157">
        <v>4.6942937935288302E-2</v>
      </c>
      <c r="R2157">
        <v>0.95213293865387905</v>
      </c>
      <c r="S2157" t="s">
        <v>8468</v>
      </c>
      <c r="T2157" t="s">
        <v>12620</v>
      </c>
      <c r="U2157" t="s">
        <v>12620</v>
      </c>
      <c r="V2157" t="s">
        <v>12620</v>
      </c>
      <c r="W2157" t="s">
        <v>14737</v>
      </c>
      <c r="X2157">
        <v>31</v>
      </c>
      <c r="Y2157" t="s">
        <v>20930</v>
      </c>
      <c r="Z2157" t="s">
        <v>27104</v>
      </c>
      <c r="AA2157">
        <v>0.36953547686296567</v>
      </c>
      <c r="AB2157" t="str">
        <f>HYPERLINK("Melting_Curves/meltCurve_P42330_AKR1C3.pdf", "Melting_Curves/meltCurve_P42330_AKR1C3.pdf")</f>
        <v>Melting_Curves/meltCurve_P42330_AKR1C3.pdf</v>
      </c>
    </row>
    <row r="2158" spans="1:28" x14ac:dyDescent="0.25">
      <c r="A2158" t="s">
        <v>2162</v>
      </c>
      <c r="B2158">
        <v>0.99987803227770999</v>
      </c>
      <c r="C2158">
        <v>1.11042594295812</v>
      </c>
      <c r="D2158">
        <v>0.97552495411582896</v>
      </c>
      <c r="E2158">
        <v>0.98103836889436202</v>
      </c>
      <c r="F2158">
        <v>0.57802614338857905</v>
      </c>
      <c r="G2158">
        <v>0.451419919642089</v>
      </c>
      <c r="H2158">
        <v>0.40986576004203401</v>
      </c>
      <c r="I2158">
        <v>0.32769396233650899</v>
      </c>
      <c r="J2158">
        <v>0.18539865254569399</v>
      </c>
      <c r="K2158">
        <v>0.14370429219016201</v>
      </c>
      <c r="L2158">
        <v>890.64576661703097</v>
      </c>
      <c r="M2158">
        <v>16.251441993137501</v>
      </c>
      <c r="N2158">
        <v>56.432590960041999</v>
      </c>
      <c r="O2158">
        <v>53.994434193328701</v>
      </c>
      <c r="P2158">
        <v>-6.1166119327131598E-2</v>
      </c>
      <c r="Q2158">
        <v>0.18717683863562701</v>
      </c>
      <c r="R2158">
        <v>0.94690740923935801</v>
      </c>
      <c r="S2158" t="s">
        <v>8469</v>
      </c>
      <c r="T2158" t="s">
        <v>12620</v>
      </c>
      <c r="U2158" t="s">
        <v>12620</v>
      </c>
      <c r="V2158" t="s">
        <v>12620</v>
      </c>
      <c r="W2158" t="s">
        <v>14738</v>
      </c>
      <c r="X2158">
        <v>4</v>
      </c>
      <c r="Y2158" t="s">
        <v>20931</v>
      </c>
      <c r="Z2158" t="s">
        <v>27105</v>
      </c>
      <c r="AA2158">
        <v>0.60275485072811041</v>
      </c>
      <c r="AB2158" t="str">
        <f>HYPERLINK("Melting_Curves/meltCurve_P42336_PIK3CA.pdf", "Melting_Curves/meltCurve_P42336_PIK3CA.pdf")</f>
        <v>Melting_Curves/meltCurve_P42336_PIK3CA.pdf</v>
      </c>
    </row>
    <row r="2159" spans="1:28" x14ac:dyDescent="0.25">
      <c r="A2159" t="s">
        <v>2163</v>
      </c>
      <c r="B2159">
        <v>0.99987803227770999</v>
      </c>
      <c r="C2159">
        <v>1.1521323041279901</v>
      </c>
      <c r="D2159">
        <v>0.92672653240216796</v>
      </c>
      <c r="E2159">
        <v>0.88274389365427097</v>
      </c>
      <c r="F2159">
        <v>0.35053916733490098</v>
      </c>
      <c r="G2159">
        <v>0.20774350596934801</v>
      </c>
      <c r="H2159">
        <v>0.159015150358085</v>
      </c>
      <c r="I2159">
        <v>0.12789736471529101</v>
      </c>
      <c r="J2159">
        <v>0.11409489718657299</v>
      </c>
      <c r="K2159">
        <v>8.7436347654579E-2</v>
      </c>
      <c r="L2159">
        <v>2463.9388681545202</v>
      </c>
      <c r="M2159">
        <v>47.529914307147301</v>
      </c>
      <c r="N2159">
        <v>52.1863073343102</v>
      </c>
      <c r="O2159">
        <v>51.7482294295706</v>
      </c>
      <c r="P2159">
        <v>-0.19854520366134301</v>
      </c>
      <c r="Q2159">
        <v>0.135335919815845</v>
      </c>
      <c r="R2159">
        <v>0.97893988755040495</v>
      </c>
      <c r="S2159" t="s">
        <v>8470</v>
      </c>
      <c r="T2159" t="s">
        <v>12620</v>
      </c>
      <c r="U2159" t="s">
        <v>12620</v>
      </c>
      <c r="V2159" t="s">
        <v>12620</v>
      </c>
      <c r="W2159" t="s">
        <v>14739</v>
      </c>
      <c r="X2159">
        <v>8</v>
      </c>
      <c r="Y2159" t="s">
        <v>20932</v>
      </c>
      <c r="Z2159" t="s">
        <v>27106</v>
      </c>
      <c r="AA2159">
        <v>0.47877191554338372</v>
      </c>
      <c r="AB2159" t="str">
        <f>HYPERLINK("Melting_Curves/meltCurve_P42338_PIK3CB.pdf", "Melting_Curves/meltCurve_P42338_PIK3CB.pdf")</f>
        <v>Melting_Curves/meltCurve_P42338_PIK3CB.pdf</v>
      </c>
    </row>
    <row r="2160" spans="1:28" x14ac:dyDescent="0.25">
      <c r="A2160" t="s">
        <v>2164</v>
      </c>
      <c r="B2160">
        <v>0.99987803227770999</v>
      </c>
      <c r="C2160">
        <v>0.78154754732654297</v>
      </c>
      <c r="D2160">
        <v>0.72700178996724596</v>
      </c>
      <c r="E2160">
        <v>0.77619123070840201</v>
      </c>
      <c r="F2160">
        <v>0.34401417216594998</v>
      </c>
      <c r="G2160">
        <v>0.20525710123734001</v>
      </c>
      <c r="H2160">
        <v>9.4166204538478293E-2</v>
      </c>
      <c r="I2160">
        <v>9.6144619171678602E-2</v>
      </c>
      <c r="J2160">
        <v>5.1284245721119698E-2</v>
      </c>
      <c r="K2160">
        <v>3.8221136281175502E-2</v>
      </c>
      <c r="L2160">
        <v>607.94881862859495</v>
      </c>
      <c r="M2160">
        <v>11.832456038223899</v>
      </c>
      <c r="N2160">
        <v>51.379765702582702</v>
      </c>
      <c r="O2160">
        <v>49.978121446591999</v>
      </c>
      <c r="P2160">
        <v>-5.9203246421801102E-2</v>
      </c>
      <c r="Q2160">
        <v>0</v>
      </c>
      <c r="R2160">
        <v>0.94421558295404395</v>
      </c>
      <c r="S2160" t="s">
        <v>8471</v>
      </c>
      <c r="T2160" t="s">
        <v>12620</v>
      </c>
      <c r="U2160" t="s">
        <v>12620</v>
      </c>
      <c r="V2160" t="s">
        <v>12620</v>
      </c>
      <c r="W2160" t="s">
        <v>14740</v>
      </c>
      <c r="X2160">
        <v>3</v>
      </c>
      <c r="Y2160" t="s">
        <v>20933</v>
      </c>
      <c r="Z2160" t="s">
        <v>27107</v>
      </c>
      <c r="AA2160">
        <v>0.41180321047476259</v>
      </c>
      <c r="AB2160" t="str">
        <f>HYPERLINK("Melting_Curves/meltCurve_P42345_MTOR.pdf", "Melting_Curves/meltCurve_P42345_MTOR.pdf")</f>
        <v>Melting_Curves/meltCurve_P42345_MTOR.pdf</v>
      </c>
    </row>
    <row r="2161" spans="1:28" x14ac:dyDescent="0.25">
      <c r="A2161" t="s">
        <v>2165</v>
      </c>
      <c r="B2161">
        <v>0.99987803227770999</v>
      </c>
      <c r="C2161">
        <v>1.0461475096828099</v>
      </c>
      <c r="D2161">
        <v>1.00742499049686</v>
      </c>
      <c r="E2161">
        <v>1.35095212358433</v>
      </c>
      <c r="F2161">
        <v>1.38189123639002</v>
      </c>
      <c r="G2161">
        <v>1.5507495759901699</v>
      </c>
      <c r="H2161">
        <v>1.1886025127458899</v>
      </c>
      <c r="I2161">
        <v>0.75054183058916102</v>
      </c>
      <c r="J2161">
        <v>0.44313550878871399</v>
      </c>
      <c r="K2161">
        <v>0.287773914699823</v>
      </c>
      <c r="L2161">
        <v>4108.5181126879097</v>
      </c>
      <c r="M2161">
        <v>63.386166445543601</v>
      </c>
      <c r="N2161">
        <v>65.862920102770502</v>
      </c>
      <c r="O2161">
        <v>64.752844712697097</v>
      </c>
      <c r="P2161">
        <v>-0.167092079024</v>
      </c>
      <c r="Q2161">
        <v>0.31722112606018499</v>
      </c>
      <c r="R2161">
        <v>0.58355089920761705</v>
      </c>
      <c r="S2161" t="s">
        <v>8472</v>
      </c>
      <c r="T2161" t="s">
        <v>12620</v>
      </c>
      <c r="U2161" t="s">
        <v>12620</v>
      </c>
      <c r="V2161" t="s">
        <v>12620</v>
      </c>
      <c r="W2161" t="s">
        <v>14741</v>
      </c>
      <c r="X2161">
        <v>22</v>
      </c>
      <c r="Y2161" t="s">
        <v>20934</v>
      </c>
      <c r="Z2161" t="s">
        <v>27108</v>
      </c>
      <c r="AA2161">
        <v>0.88300038292237459</v>
      </c>
      <c r="AB2161" t="str">
        <f>HYPERLINK("Melting_Curves/meltCurve_P42566_EPS15.pdf", "Melting_Curves/meltCurve_P42566_EPS15.pdf")</f>
        <v>Melting_Curves/meltCurve_P42566_EPS15.pdf</v>
      </c>
    </row>
    <row r="2162" spans="1:28" x14ac:dyDescent="0.25">
      <c r="A2162" t="s">
        <v>2166</v>
      </c>
      <c r="B2162">
        <v>0.99987803227770999</v>
      </c>
      <c r="C2162">
        <v>0.96541880332428698</v>
      </c>
      <c r="D2162">
        <v>0.99132793182730505</v>
      </c>
      <c r="E2162">
        <v>0.94195738694166697</v>
      </c>
      <c r="F2162">
        <v>0.90988762890297903</v>
      </c>
      <c r="G2162">
        <v>0.67297670426276801</v>
      </c>
      <c r="H2162">
        <v>0.87574385925317599</v>
      </c>
      <c r="I2162">
        <v>0.79216435524518303</v>
      </c>
      <c r="J2162">
        <v>0.72943519760419795</v>
      </c>
      <c r="K2162">
        <v>0.561591076204083</v>
      </c>
      <c r="L2162">
        <v>350.58090327344001</v>
      </c>
      <c r="M2162">
        <v>4.4560630402326096</v>
      </c>
      <c r="O2162">
        <v>66.685977387998804</v>
      </c>
      <c r="P2162">
        <v>-1.6856347850657101E-2</v>
      </c>
      <c r="Q2162">
        <v>0</v>
      </c>
      <c r="R2162">
        <v>0.75007389638119204</v>
      </c>
      <c r="S2162" t="s">
        <v>8473</v>
      </c>
      <c r="T2162" t="s">
        <v>12620</v>
      </c>
      <c r="U2162" t="s">
        <v>12620</v>
      </c>
      <c r="V2162" t="s">
        <v>12620</v>
      </c>
      <c r="W2162" t="s">
        <v>14742</v>
      </c>
      <c r="X2162">
        <v>11</v>
      </c>
      <c r="Y2162" t="s">
        <v>20935</v>
      </c>
      <c r="Z2162" t="s">
        <v>27109</v>
      </c>
      <c r="AA2162">
        <v>0.85009865784982275</v>
      </c>
      <c r="AB2162" t="str">
        <f>HYPERLINK("Melting_Curves/meltCurve_P42574_CASP3.pdf", "Melting_Curves/meltCurve_P42574_CASP3.pdf")</f>
        <v>Melting_Curves/meltCurve_P42574_CASP3.pdf</v>
      </c>
    </row>
    <row r="2163" spans="1:28" x14ac:dyDescent="0.25">
      <c r="A2163" t="s">
        <v>2167</v>
      </c>
      <c r="B2163">
        <v>0.99987803227770999</v>
      </c>
      <c r="C2163">
        <v>0.86794816880966297</v>
      </c>
      <c r="D2163">
        <v>0.98061657661629797</v>
      </c>
      <c r="E2163">
        <v>0.80500210044356202</v>
      </c>
      <c r="F2163">
        <v>0.61177925082233398</v>
      </c>
      <c r="G2163">
        <v>0.29107941822822497</v>
      </c>
      <c r="H2163">
        <v>0.19135006144084599</v>
      </c>
      <c r="I2163">
        <v>0.17294752701965799</v>
      </c>
      <c r="J2163">
        <v>9.9355839634716406E-2</v>
      </c>
      <c r="K2163">
        <v>7.7099475225817005E-2</v>
      </c>
      <c r="L2163">
        <v>943.64828539543998</v>
      </c>
      <c r="M2163">
        <v>17.570177958607601</v>
      </c>
      <c r="N2163">
        <v>54.257595331820099</v>
      </c>
      <c r="O2163">
        <v>53.0261538189812</v>
      </c>
      <c r="P2163">
        <v>-7.6081772021948296E-2</v>
      </c>
      <c r="Q2163">
        <v>8.1601803950493004E-2</v>
      </c>
      <c r="R2163">
        <v>0.98539063788290904</v>
      </c>
      <c r="S2163" t="s">
        <v>8474</v>
      </c>
      <c r="T2163" t="s">
        <v>12620</v>
      </c>
      <c r="U2163" t="s">
        <v>12620</v>
      </c>
      <c r="V2163" t="s">
        <v>12620</v>
      </c>
      <c r="W2163" t="s">
        <v>14743</v>
      </c>
      <c r="X2163">
        <v>10</v>
      </c>
      <c r="Y2163" t="s">
        <v>20936</v>
      </c>
      <c r="Z2163" t="s">
        <v>27110</v>
      </c>
      <c r="AA2163">
        <v>0.51658591324891057</v>
      </c>
      <c r="AB2163" t="str">
        <f>HYPERLINK("Melting_Curves/meltCurve_P42575_CASP2.pdf", "Melting_Curves/meltCurve_P42575_CASP2.pdf")</f>
        <v>Melting_Curves/meltCurve_P42575_CASP2.pdf</v>
      </c>
    </row>
    <row r="2164" spans="1:28" x14ac:dyDescent="0.25">
      <c r="A2164" t="s">
        <v>2168</v>
      </c>
      <c r="B2164">
        <v>0.99987803227770999</v>
      </c>
      <c r="C2164">
        <v>0.83038708406740103</v>
      </c>
      <c r="D2164">
        <v>0.87902609704752199</v>
      </c>
      <c r="E2164">
        <v>0.73790358733682804</v>
      </c>
      <c r="F2164">
        <v>0.57698231465317895</v>
      </c>
      <c r="G2164">
        <v>0.314705990222302</v>
      </c>
      <c r="H2164">
        <v>0.26740328431355798</v>
      </c>
      <c r="I2164">
        <v>0.19283724305305699</v>
      </c>
      <c r="J2164">
        <v>0.214019801254931</v>
      </c>
      <c r="K2164">
        <v>0.16093537043030801</v>
      </c>
      <c r="L2164">
        <v>617.83947144757803</v>
      </c>
      <c r="M2164">
        <v>11.6938132622021</v>
      </c>
      <c r="N2164">
        <v>53.9878704098046</v>
      </c>
      <c r="O2164">
        <v>51.360594300368902</v>
      </c>
      <c r="P2164">
        <v>-5.0643385602779298E-2</v>
      </c>
      <c r="Q2164">
        <v>0.110510378883906</v>
      </c>
      <c r="R2164">
        <v>0.97724277316729502</v>
      </c>
      <c r="S2164" t="s">
        <v>8475</v>
      </c>
      <c r="T2164" t="s">
        <v>12620</v>
      </c>
      <c r="U2164" t="s">
        <v>12620</v>
      </c>
      <c r="V2164" t="s">
        <v>12620</v>
      </c>
      <c r="W2164" t="s">
        <v>14744</v>
      </c>
      <c r="X2164">
        <v>5</v>
      </c>
      <c r="Y2164" t="s">
        <v>20937</v>
      </c>
      <c r="Z2164" t="s">
        <v>27111</v>
      </c>
      <c r="AA2164">
        <v>0.51746550350780729</v>
      </c>
      <c r="AB2164" t="str">
        <f>HYPERLINK("Melting_Curves/meltCurve_P42677_RPS27.pdf", "Melting_Curves/meltCurve_P42677_RPS27.pdf")</f>
        <v>Melting_Curves/meltCurve_P42677_RPS27.pdf</v>
      </c>
    </row>
    <row r="2165" spans="1:28" x14ac:dyDescent="0.25">
      <c r="A2165" t="s">
        <v>2169</v>
      </c>
      <c r="B2165">
        <v>0.99987803227770999</v>
      </c>
      <c r="C2165">
        <v>0.93015624668438501</v>
      </c>
      <c r="D2165">
        <v>0.75157815928212002</v>
      </c>
      <c r="E2165">
        <v>0.58255198765927696</v>
      </c>
      <c r="F2165">
        <v>0.56505396009539</v>
      </c>
      <c r="G2165">
        <v>0.49005552222968801</v>
      </c>
      <c r="H2165">
        <v>0.424510130094361</v>
      </c>
      <c r="I2165">
        <v>0.39715282732201201</v>
      </c>
      <c r="J2165">
        <v>0.36740857614435102</v>
      </c>
      <c r="K2165">
        <v>0.292962355076896</v>
      </c>
      <c r="L2165">
        <v>537.40116782092605</v>
      </c>
      <c r="M2165">
        <v>10.906686737388</v>
      </c>
      <c r="N2165">
        <v>54.610767396747399</v>
      </c>
      <c r="O2165">
        <v>47.703040639923799</v>
      </c>
      <c r="P2165">
        <v>-3.8434256506179203E-2</v>
      </c>
      <c r="Q2165">
        <v>0.32782816516846802</v>
      </c>
      <c r="R2165">
        <v>0.971203891610532</v>
      </c>
      <c r="S2165" t="s">
        <v>8476</v>
      </c>
      <c r="T2165" t="s">
        <v>12620</v>
      </c>
      <c r="U2165" t="s">
        <v>12620</v>
      </c>
      <c r="V2165" t="s">
        <v>12620</v>
      </c>
      <c r="W2165" t="s">
        <v>14745</v>
      </c>
      <c r="X2165">
        <v>10</v>
      </c>
      <c r="Y2165" t="s">
        <v>20938</v>
      </c>
      <c r="Z2165" t="s">
        <v>27112</v>
      </c>
      <c r="AA2165">
        <v>0.56387555642545295</v>
      </c>
      <c r="AB2165" t="str">
        <f>HYPERLINK("Melting_Curves/meltCurve_P42684_6_ABL2.pdf", "Melting_Curves/meltCurve_P42684_6_ABL2.pdf")</f>
        <v>Melting_Curves/meltCurve_P42684_6_ABL2.pdf</v>
      </c>
    </row>
    <row r="2166" spans="1:28" x14ac:dyDescent="0.25">
      <c r="A2166" t="s">
        <v>2170</v>
      </c>
      <c r="B2166">
        <v>0.99987803227770999</v>
      </c>
      <c r="C2166">
        <v>0.82772929775082704</v>
      </c>
      <c r="D2166">
        <v>0.77240225611490199</v>
      </c>
      <c r="E2166">
        <v>0.566101581367912</v>
      </c>
      <c r="F2166">
        <v>0.52228611236768396</v>
      </c>
      <c r="G2166">
        <v>0.32621252751650898</v>
      </c>
      <c r="H2166">
        <v>0.24275806147110099</v>
      </c>
      <c r="I2166">
        <v>0.21332334400556299</v>
      </c>
      <c r="J2166">
        <v>0.146583977855027</v>
      </c>
      <c r="K2166">
        <v>0.102972423420084</v>
      </c>
      <c r="L2166">
        <v>443.386687036296</v>
      </c>
      <c r="M2166">
        <v>8.4730681146652795</v>
      </c>
      <c r="N2166">
        <v>52.523804270957697</v>
      </c>
      <c r="O2166">
        <v>49.658127723898403</v>
      </c>
      <c r="P2166">
        <v>-4.2035259228027297E-2</v>
      </c>
      <c r="Q2166">
        <v>1.54732472183571E-2</v>
      </c>
      <c r="R2166">
        <v>0.98829595614758903</v>
      </c>
      <c r="S2166" t="s">
        <v>8477</v>
      </c>
      <c r="T2166" t="s">
        <v>12620</v>
      </c>
      <c r="U2166" t="s">
        <v>12620</v>
      </c>
      <c r="V2166" t="s">
        <v>12620</v>
      </c>
      <c r="W2166" t="s">
        <v>14746</v>
      </c>
      <c r="X2166">
        <v>5</v>
      </c>
      <c r="Y2166" t="s">
        <v>20939</v>
      </c>
      <c r="Z2166" t="s">
        <v>27113</v>
      </c>
      <c r="AA2166">
        <v>0.46235343455529893</v>
      </c>
      <c r="AB2166" t="str">
        <f>HYPERLINK("Melting_Curves/meltCurve_P42695_NCAPD3.pdf", "Melting_Curves/meltCurve_P42695_NCAPD3.pdf")</f>
        <v>Melting_Curves/meltCurve_P42695_NCAPD3.pdf</v>
      </c>
    </row>
    <row r="2167" spans="1:28" x14ac:dyDescent="0.25">
      <c r="A2167" t="s">
        <v>2171</v>
      </c>
      <c r="B2167">
        <v>0.99987803227770999</v>
      </c>
      <c r="C2167">
        <v>1.04592159444358</v>
      </c>
      <c r="D2167">
        <v>0.477637808682432</v>
      </c>
      <c r="E2167">
        <v>0.344691551902225</v>
      </c>
      <c r="F2167">
        <v>0.163333620243795</v>
      </c>
      <c r="G2167">
        <v>0.105068127150927</v>
      </c>
      <c r="H2167">
        <v>6.7161573027200897E-2</v>
      </c>
      <c r="I2167">
        <v>6.1153829063866801E-2</v>
      </c>
      <c r="J2167">
        <v>4.3186813933890601E-2</v>
      </c>
      <c r="K2167">
        <v>3.0797715796994699E-2</v>
      </c>
      <c r="L2167">
        <v>989.323982844022</v>
      </c>
      <c r="M2167">
        <v>21.122302857106099</v>
      </c>
      <c r="N2167">
        <v>47.149667959268903</v>
      </c>
      <c r="O2167">
        <v>46.424125160791498</v>
      </c>
      <c r="P2167">
        <v>-0.106335264317546</v>
      </c>
      <c r="Q2167">
        <v>6.5179170219056101E-2</v>
      </c>
      <c r="R2167">
        <v>0.95779000713521101</v>
      </c>
      <c r="S2167" t="s">
        <v>8478</v>
      </c>
      <c r="T2167" t="s">
        <v>12620</v>
      </c>
      <c r="U2167" t="s">
        <v>12620</v>
      </c>
      <c r="V2167" t="s">
        <v>12620</v>
      </c>
      <c r="W2167" t="s">
        <v>14747</v>
      </c>
      <c r="X2167">
        <v>58</v>
      </c>
      <c r="Y2167" t="s">
        <v>20940</v>
      </c>
      <c r="Z2167" t="s">
        <v>27114</v>
      </c>
      <c r="AA2167">
        <v>0.29045263587204811</v>
      </c>
      <c r="AB2167" t="str">
        <f>HYPERLINK("Melting_Curves/meltCurve_P42704_LRPPRC.pdf", "Melting_Curves/meltCurve_P42704_LRPPRC.pdf")</f>
        <v>Melting_Curves/meltCurve_P42704_LRPPRC.pdf</v>
      </c>
    </row>
    <row r="2168" spans="1:28" x14ac:dyDescent="0.25">
      <c r="A2168" t="s">
        <v>2172</v>
      </c>
      <c r="B2168">
        <v>0.99987803227770999</v>
      </c>
      <c r="C2168">
        <v>1.10350711071704</v>
      </c>
      <c r="D2168">
        <v>0.97240007150124097</v>
      </c>
      <c r="E2168">
        <v>1.12776935396134</v>
      </c>
      <c r="F2168">
        <v>0.85315993856320504</v>
      </c>
      <c r="G2168">
        <v>1.0127431107290099</v>
      </c>
      <c r="H2168">
        <v>1.0478877875441699</v>
      </c>
      <c r="I2168">
        <v>0.89699176826581595</v>
      </c>
      <c r="J2168">
        <v>0.50323021348627295</v>
      </c>
      <c r="K2168">
        <v>7.4559319074260805E-2</v>
      </c>
      <c r="L2168">
        <v>3566.3114689686299</v>
      </c>
      <c r="M2168">
        <v>53.259768627892903</v>
      </c>
      <c r="N2168">
        <v>66.960725715932</v>
      </c>
      <c r="O2168">
        <v>66.866489297593006</v>
      </c>
      <c r="P2168">
        <v>-0.19912738286898801</v>
      </c>
      <c r="Q2168">
        <v>0</v>
      </c>
      <c r="R2168">
        <v>0.94486420494955004</v>
      </c>
      <c r="S2168" t="s">
        <v>8479</v>
      </c>
      <c r="T2168" t="s">
        <v>12620</v>
      </c>
      <c r="U2168" t="s">
        <v>12620</v>
      </c>
      <c r="V2168" t="s">
        <v>12620</v>
      </c>
      <c r="W2168" t="s">
        <v>14748</v>
      </c>
      <c r="X2168">
        <v>18</v>
      </c>
      <c r="Y2168" t="s">
        <v>20941</v>
      </c>
      <c r="Z2168" t="s">
        <v>27115</v>
      </c>
      <c r="AA2168">
        <v>0.89678224953572716</v>
      </c>
      <c r="AB2168" t="str">
        <f>HYPERLINK("Melting_Curves/meltCurve_P42765_ACAA2.pdf", "Melting_Curves/meltCurve_P42765_ACAA2.pdf")</f>
        <v>Melting_Curves/meltCurve_P42765_ACAA2.pdf</v>
      </c>
    </row>
    <row r="2169" spans="1:28" x14ac:dyDescent="0.25">
      <c r="A2169" t="s">
        <v>2173</v>
      </c>
      <c r="B2169">
        <v>0.99987803227770999</v>
      </c>
      <c r="C2169">
        <v>1.14138029311434</v>
      </c>
      <c r="D2169">
        <v>0.98662844376376102</v>
      </c>
      <c r="E2169">
        <v>0.85121943550324197</v>
      </c>
      <c r="F2169">
        <v>0.44204858761135501</v>
      </c>
      <c r="G2169">
        <v>0.184758415623721</v>
      </c>
      <c r="H2169">
        <v>9.2226281201597496E-2</v>
      </c>
      <c r="I2169">
        <v>6.6667648381373804E-2</v>
      </c>
      <c r="J2169">
        <v>6.5912721254569304E-2</v>
      </c>
      <c r="K2169">
        <v>3.4624126801293301E-2</v>
      </c>
      <c r="L2169">
        <v>1572.98090464857</v>
      </c>
      <c r="M2169">
        <v>29.9559930630179</v>
      </c>
      <c r="N2169">
        <v>52.757887848164401</v>
      </c>
      <c r="O2169">
        <v>52.277396986451798</v>
      </c>
      <c r="P2169">
        <v>-0.13384184348566</v>
      </c>
      <c r="Q2169">
        <v>6.5715408946328199E-2</v>
      </c>
      <c r="R2169">
        <v>0.98719015730600601</v>
      </c>
      <c r="S2169" t="s">
        <v>8480</v>
      </c>
      <c r="T2169" t="s">
        <v>12620</v>
      </c>
      <c r="U2169" t="s">
        <v>12620</v>
      </c>
      <c r="V2169" t="s">
        <v>12620</v>
      </c>
      <c r="W2169" t="s">
        <v>14749</v>
      </c>
      <c r="X2169">
        <v>2</v>
      </c>
      <c r="Y2169" t="s">
        <v>20942</v>
      </c>
      <c r="Z2169" t="s">
        <v>27116</v>
      </c>
      <c r="AA2169">
        <v>0.46133695512502881</v>
      </c>
      <c r="AB2169" t="str">
        <f>HYPERLINK("Melting_Curves/meltCurve_P42766_RPL35.pdf", "Melting_Curves/meltCurve_P42766_RPL35.pdf")</f>
        <v>Melting_Curves/meltCurve_P42766_RPL35.pdf</v>
      </c>
    </row>
    <row r="2170" spans="1:28" x14ac:dyDescent="0.25">
      <c r="A2170" t="s">
        <v>2174</v>
      </c>
      <c r="B2170">
        <v>0.99987803227770999</v>
      </c>
      <c r="C2170">
        <v>0.96799862331846898</v>
      </c>
      <c r="D2170">
        <v>1.0408122706499601</v>
      </c>
      <c r="E2170">
        <v>0.99150236433773598</v>
      </c>
      <c r="F2170">
        <v>1.04495947898208</v>
      </c>
      <c r="G2170">
        <v>0.75228873151745401</v>
      </c>
      <c r="H2170">
        <v>0.72450456847698297</v>
      </c>
      <c r="I2170">
        <v>0.621194070237854</v>
      </c>
      <c r="J2170">
        <v>0.57789147845482802</v>
      </c>
      <c r="K2170">
        <v>0.42743046235980697</v>
      </c>
      <c r="L2170">
        <v>844.450302159692</v>
      </c>
      <c r="M2170">
        <v>13.6052763956853</v>
      </c>
      <c r="N2170">
        <v>68.252612200254802</v>
      </c>
      <c r="O2170">
        <v>60.772968792102802</v>
      </c>
      <c r="P2170">
        <v>-3.6145354894119498E-2</v>
      </c>
      <c r="Q2170">
        <v>0.35426931905291298</v>
      </c>
      <c r="R2170">
        <v>0.93764003572817001</v>
      </c>
      <c r="S2170" t="s">
        <v>8481</v>
      </c>
      <c r="T2170" t="s">
        <v>12620</v>
      </c>
      <c r="U2170" t="s">
        <v>12620</v>
      </c>
      <c r="V2170" t="s">
        <v>12620</v>
      </c>
      <c r="W2170" t="s">
        <v>14750</v>
      </c>
      <c r="X2170">
        <v>5</v>
      </c>
      <c r="Y2170" t="s">
        <v>20943</v>
      </c>
      <c r="Z2170" t="s">
        <v>27117</v>
      </c>
      <c r="AA2170">
        <v>0.82504518184221898</v>
      </c>
      <c r="AB2170" t="str">
        <f>HYPERLINK("Melting_Curves/meltCurve_P42773_CDKN2C.pdf", "Melting_Curves/meltCurve_P42773_CDKN2C.pdf")</f>
        <v>Melting_Curves/meltCurve_P42773_CDKN2C.pdf</v>
      </c>
    </row>
    <row r="2171" spans="1:28" x14ac:dyDescent="0.25">
      <c r="A2171" t="s">
        <v>2175</v>
      </c>
      <c r="B2171">
        <v>0.99987803227770999</v>
      </c>
      <c r="C2171">
        <v>1.14254960438374</v>
      </c>
      <c r="D2171">
        <v>1.0170484648035301</v>
      </c>
      <c r="E2171">
        <v>1.12249089012985</v>
      </c>
      <c r="F2171">
        <v>0.94845659082670597</v>
      </c>
      <c r="G2171">
        <v>0.792667865696707</v>
      </c>
      <c r="H2171">
        <v>0.43293171216311899</v>
      </c>
      <c r="I2171">
        <v>0.13753305855081899</v>
      </c>
      <c r="J2171">
        <v>6.6099476908331498E-2</v>
      </c>
      <c r="K2171">
        <v>4.61625104113755E-2</v>
      </c>
      <c r="L2171">
        <v>1614.0845868390199</v>
      </c>
      <c r="M2171">
        <v>26.874743939591902</v>
      </c>
      <c r="N2171">
        <v>60.105826868642097</v>
      </c>
      <c r="O2171">
        <v>59.729947834578901</v>
      </c>
      <c r="P2171">
        <v>-0.111333319246426</v>
      </c>
      <c r="Q2171">
        <v>1.0243034567923E-2</v>
      </c>
      <c r="R2171">
        <v>0.97845523256608902</v>
      </c>
      <c r="S2171" t="s">
        <v>8482</v>
      </c>
      <c r="T2171" t="s">
        <v>12620</v>
      </c>
      <c r="U2171" t="s">
        <v>12620</v>
      </c>
      <c r="V2171" t="s">
        <v>12620</v>
      </c>
      <c r="W2171" t="s">
        <v>14751</v>
      </c>
      <c r="X2171">
        <v>8</v>
      </c>
      <c r="Y2171" t="s">
        <v>20944</v>
      </c>
      <c r="Z2171" t="s">
        <v>27118</v>
      </c>
      <c r="AA2171">
        <v>0.678850871954783</v>
      </c>
      <c r="AB2171" t="str">
        <f>HYPERLINK("Melting_Curves/meltCurve_P42785_PRCP.pdf", "Melting_Curves/meltCurve_P42785_PRCP.pdf")</f>
        <v>Melting_Curves/meltCurve_P42785_PRCP.pdf</v>
      </c>
    </row>
    <row r="2172" spans="1:28" x14ac:dyDescent="0.25">
      <c r="A2172" t="s">
        <v>2176</v>
      </c>
      <c r="B2172">
        <v>0.99987803227770999</v>
      </c>
      <c r="C2172">
        <v>1.07183794785693</v>
      </c>
      <c r="D2172">
        <v>0.82711423247318405</v>
      </c>
      <c r="E2172">
        <v>0.89165098215214</v>
      </c>
      <c r="F2172">
        <v>0.33083256489134999</v>
      </c>
      <c r="G2172">
        <v>0.17412746461578299</v>
      </c>
      <c r="H2172">
        <v>0.116416591916454</v>
      </c>
      <c r="I2172">
        <v>0.10683610957760099</v>
      </c>
      <c r="J2172">
        <v>8.3314226731882504E-2</v>
      </c>
      <c r="K2172">
        <v>6.2998566650728505E-2</v>
      </c>
      <c r="L2172">
        <v>2530.8634586591202</v>
      </c>
      <c r="M2172">
        <v>48.776223849894102</v>
      </c>
      <c r="N2172">
        <v>52.1391711853502</v>
      </c>
      <c r="O2172">
        <v>51.8002412724057</v>
      </c>
      <c r="P2172">
        <v>-0.210692408572759</v>
      </c>
      <c r="Q2172">
        <v>0.104981342878668</v>
      </c>
      <c r="R2172">
        <v>0.97511523063844496</v>
      </c>
      <c r="S2172" t="s">
        <v>8483</v>
      </c>
      <c r="T2172" t="s">
        <v>12620</v>
      </c>
      <c r="U2172" t="s">
        <v>12620</v>
      </c>
      <c r="V2172" t="s">
        <v>12620</v>
      </c>
      <c r="W2172" t="s">
        <v>14752</v>
      </c>
      <c r="X2172">
        <v>26</v>
      </c>
      <c r="Y2172" t="s">
        <v>20945</v>
      </c>
      <c r="Z2172" t="s">
        <v>27119</v>
      </c>
      <c r="AA2172">
        <v>0.46177761859330962</v>
      </c>
      <c r="AB2172" t="str">
        <f>HYPERLINK("Melting_Curves/meltCurve_P42858_HTT.pdf", "Melting_Curves/meltCurve_P42858_HTT.pdf")</f>
        <v>Melting_Curves/meltCurve_P42858_HTT.pdf</v>
      </c>
    </row>
    <row r="2173" spans="1:28" x14ac:dyDescent="0.25">
      <c r="A2173" t="s">
        <v>2177</v>
      </c>
      <c r="B2173">
        <v>0.99987803227770999</v>
      </c>
      <c r="C2173">
        <v>1.15668904197393</v>
      </c>
      <c r="D2173">
        <v>1.08129662715688</v>
      </c>
      <c r="E2173">
        <v>1.21583724592969</v>
      </c>
      <c r="F2173">
        <v>1.0626664256073199</v>
      </c>
      <c r="G2173">
        <v>1.2675912169564201</v>
      </c>
      <c r="H2173">
        <v>1.05239387670175</v>
      </c>
      <c r="I2173">
        <v>0.55232764993037198</v>
      </c>
      <c r="J2173">
        <v>0.138977432120686</v>
      </c>
      <c r="K2173">
        <v>7.0521964758963704E-2</v>
      </c>
      <c r="L2173">
        <v>8396.3421248643408</v>
      </c>
      <c r="M2173">
        <v>131.186662788337</v>
      </c>
      <c r="N2173">
        <v>64.116122492065898</v>
      </c>
      <c r="O2173">
        <v>63.9881481243455</v>
      </c>
      <c r="P2173">
        <v>-0.459597898841761</v>
      </c>
      <c r="Q2173">
        <v>0.103298569096844</v>
      </c>
      <c r="R2173">
        <v>0.910295737011524</v>
      </c>
      <c r="S2173" t="s">
        <v>8484</v>
      </c>
      <c r="T2173" t="s">
        <v>12620</v>
      </c>
      <c r="U2173" t="s">
        <v>12620</v>
      </c>
      <c r="V2173" t="s">
        <v>12620</v>
      </c>
      <c r="W2173" t="s">
        <v>14753</v>
      </c>
      <c r="X2173">
        <v>27</v>
      </c>
      <c r="Y2173" t="s">
        <v>20946</v>
      </c>
      <c r="Z2173" t="s">
        <v>27120</v>
      </c>
      <c r="AA2173">
        <v>0.82111563483506467</v>
      </c>
      <c r="AB2173" t="str">
        <f>HYPERLINK("Melting_Curves/meltCurve_P43034_PAFAH1B1.pdf", "Melting_Curves/meltCurve_P43034_PAFAH1B1.pdf")</f>
        <v>Melting_Curves/meltCurve_P43034_PAFAH1B1.pdf</v>
      </c>
    </row>
    <row r="2174" spans="1:28" x14ac:dyDescent="0.25">
      <c r="A2174" t="s">
        <v>2178</v>
      </c>
      <c r="B2174">
        <v>0.99987803227770999</v>
      </c>
      <c r="C2174">
        <v>1.00499668775919</v>
      </c>
      <c r="D2174">
        <v>0.68353260790978498</v>
      </c>
      <c r="E2174">
        <v>0.25220161710971001</v>
      </c>
      <c r="F2174">
        <v>0.12235188477263099</v>
      </c>
      <c r="G2174">
        <v>8.1910000386974394E-2</v>
      </c>
      <c r="H2174">
        <v>4.6325656246052303E-2</v>
      </c>
      <c r="I2174">
        <v>3.7154905529799102E-2</v>
      </c>
      <c r="J2174">
        <v>2.7729173761718299E-2</v>
      </c>
      <c r="K2174">
        <v>1.8570244334614201E-2</v>
      </c>
      <c r="L2174">
        <v>1222.5026736751199</v>
      </c>
      <c r="M2174">
        <v>25.7403270762041</v>
      </c>
      <c r="N2174">
        <v>47.655468257408501</v>
      </c>
      <c r="O2174">
        <v>47.209786564609097</v>
      </c>
      <c r="P2174">
        <v>-0.130606509071831</v>
      </c>
      <c r="Q2174">
        <v>4.1840747681277199E-2</v>
      </c>
      <c r="R2174">
        <v>0.99561966254713596</v>
      </c>
      <c r="S2174" t="s">
        <v>8485</v>
      </c>
      <c r="T2174" t="s">
        <v>12620</v>
      </c>
      <c r="U2174" t="s">
        <v>12620</v>
      </c>
      <c r="V2174" t="s">
        <v>12620</v>
      </c>
      <c r="W2174" t="s">
        <v>14754</v>
      </c>
      <c r="X2174">
        <v>9</v>
      </c>
      <c r="Y2174" t="s">
        <v>20947</v>
      </c>
      <c r="Z2174" t="s">
        <v>27121</v>
      </c>
      <c r="AA2174">
        <v>0.28915343527248649</v>
      </c>
      <c r="AB2174" t="str">
        <f>HYPERLINK("Melting_Curves/meltCurve_P43155_2_CRAT.pdf", "Melting_Curves/meltCurve_P43155_2_CRAT.pdf")</f>
        <v>Melting_Curves/meltCurve_P43155_2_CRAT.pdf</v>
      </c>
    </row>
    <row r="2175" spans="1:28" x14ac:dyDescent="0.25">
      <c r="A2175" t="s">
        <v>2179</v>
      </c>
      <c r="B2175">
        <v>0.99987803227770999</v>
      </c>
      <c r="C2175">
        <v>0.88140727925971796</v>
      </c>
      <c r="D2175">
        <v>1.0345095428854301</v>
      </c>
      <c r="E2175">
        <v>0.82705080783737095</v>
      </c>
      <c r="F2175">
        <v>0.75003176858002096</v>
      </c>
      <c r="G2175">
        <v>0.59542493778224603</v>
      </c>
      <c r="H2175">
        <v>0.46732897063157502</v>
      </c>
      <c r="I2175">
        <v>0.52739645452589701</v>
      </c>
      <c r="J2175">
        <v>0.34574322198169799</v>
      </c>
      <c r="K2175">
        <v>0.28348125168859301</v>
      </c>
      <c r="L2175">
        <v>504.17667757376699</v>
      </c>
      <c r="M2175">
        <v>8.5789847813648397</v>
      </c>
      <c r="N2175">
        <v>61.0980014461461</v>
      </c>
      <c r="O2175">
        <v>55.836948123747803</v>
      </c>
      <c r="P2175">
        <v>-3.30822532810639E-2</v>
      </c>
      <c r="Q2175">
        <v>0.139475822177975</v>
      </c>
      <c r="R2175">
        <v>0.94832518308427605</v>
      </c>
      <c r="S2175" t="s">
        <v>8486</v>
      </c>
      <c r="T2175" t="s">
        <v>12620</v>
      </c>
      <c r="U2175" t="s">
        <v>12620</v>
      </c>
      <c r="V2175" t="s">
        <v>12620</v>
      </c>
      <c r="W2175" t="s">
        <v>14755</v>
      </c>
      <c r="X2175">
        <v>19</v>
      </c>
      <c r="Y2175" t="s">
        <v>20948</v>
      </c>
      <c r="Z2175" t="s">
        <v>27122</v>
      </c>
      <c r="AA2175">
        <v>0.67753432108781508</v>
      </c>
      <c r="AB2175" t="str">
        <f>HYPERLINK("Melting_Curves/meltCurve_P43243_MATR3.pdf", "Melting_Curves/meltCurve_P43243_MATR3.pdf")</f>
        <v>Melting_Curves/meltCurve_P43243_MATR3.pdf</v>
      </c>
    </row>
    <row r="2176" spans="1:28" x14ac:dyDescent="0.25">
      <c r="A2176" t="s">
        <v>2180</v>
      </c>
      <c r="B2176">
        <v>0.99987803227770999</v>
      </c>
      <c r="C2176">
        <v>1.1368412206696099</v>
      </c>
      <c r="D2176">
        <v>0.479096882275449</v>
      </c>
      <c r="E2176">
        <v>0.38174128789525302</v>
      </c>
      <c r="F2176">
        <v>0.17163849646933199</v>
      </c>
      <c r="G2176">
        <v>0.114599950138476</v>
      </c>
      <c r="H2176">
        <v>7.2822315879931598E-2</v>
      </c>
      <c r="I2176">
        <v>5.9137994213832999E-2</v>
      </c>
      <c r="J2176">
        <v>4.8057840482484099E-2</v>
      </c>
      <c r="K2176">
        <v>3.5575035308552903E-2</v>
      </c>
      <c r="L2176">
        <v>1009.12646215848</v>
      </c>
      <c r="M2176">
        <v>21.385432545537899</v>
      </c>
      <c r="N2176">
        <v>47.519456405919101</v>
      </c>
      <c r="O2176">
        <v>46.780764563747702</v>
      </c>
      <c r="P2176">
        <v>-0.106359848845264</v>
      </c>
      <c r="Q2176">
        <v>6.9371960199446497E-2</v>
      </c>
      <c r="R2176">
        <v>0.93277162565485705</v>
      </c>
      <c r="S2176" t="s">
        <v>8487</v>
      </c>
      <c r="T2176" t="s">
        <v>12620</v>
      </c>
      <c r="U2176" t="s">
        <v>12620</v>
      </c>
      <c r="V2176" t="s">
        <v>12620</v>
      </c>
      <c r="W2176" t="s">
        <v>14756</v>
      </c>
      <c r="X2176">
        <v>33</v>
      </c>
      <c r="Y2176" t="s">
        <v>20949</v>
      </c>
      <c r="Z2176" t="s">
        <v>27123</v>
      </c>
      <c r="AA2176">
        <v>0.30401156934217038</v>
      </c>
      <c r="AB2176" t="str">
        <f>HYPERLINK("Melting_Curves/meltCurve_P43246_MSH2.pdf", "Melting_Curves/meltCurve_P43246_MSH2.pdf")</f>
        <v>Melting_Curves/meltCurve_P43246_MSH2.pdf</v>
      </c>
    </row>
    <row r="2177" spans="1:28" x14ac:dyDescent="0.25">
      <c r="A2177" t="s">
        <v>2181</v>
      </c>
      <c r="B2177">
        <v>0.99987803227770999</v>
      </c>
      <c r="C2177">
        <v>0.80924142633257901</v>
      </c>
      <c r="D2177">
        <v>0.61882253144791599</v>
      </c>
      <c r="E2177">
        <v>0.57591376138814998</v>
      </c>
      <c r="F2177">
        <v>0.36450964720569701</v>
      </c>
      <c r="G2177">
        <v>0.192870997788642</v>
      </c>
      <c r="H2177">
        <v>0.146843669110686</v>
      </c>
      <c r="I2177">
        <v>0.105006798122687</v>
      </c>
      <c r="J2177">
        <v>8.3551979133333606E-2</v>
      </c>
      <c r="K2177">
        <v>7.1053606855358498E-2</v>
      </c>
      <c r="L2177">
        <v>496.304606332682</v>
      </c>
      <c r="M2177">
        <v>9.9603414522666096</v>
      </c>
      <c r="N2177">
        <v>49.922484775861797</v>
      </c>
      <c r="O2177">
        <v>47.944395226534603</v>
      </c>
      <c r="P2177">
        <v>-5.1477770541366201E-2</v>
      </c>
      <c r="Q2177">
        <v>9.3302096460335694E-3</v>
      </c>
      <c r="R2177">
        <v>0.97913459785568702</v>
      </c>
      <c r="S2177" t="s">
        <v>8488</v>
      </c>
      <c r="T2177" t="s">
        <v>12620</v>
      </c>
      <c r="U2177" t="s">
        <v>12620</v>
      </c>
      <c r="V2177" t="s">
        <v>12620</v>
      </c>
      <c r="W2177" t="s">
        <v>14757</v>
      </c>
      <c r="X2177">
        <v>2</v>
      </c>
      <c r="Y2177" t="s">
        <v>20950</v>
      </c>
      <c r="Z2177" t="s">
        <v>27124</v>
      </c>
      <c r="AA2177">
        <v>0.37953435889006332</v>
      </c>
      <c r="AB2177" t="str">
        <f>HYPERLINK("Melting_Curves/meltCurve_P43353_ALDH3B1.pdf", "Melting_Curves/meltCurve_P43353_ALDH3B1.pdf")</f>
        <v>Melting_Curves/meltCurve_P43353_ALDH3B1.pdf</v>
      </c>
    </row>
    <row r="2178" spans="1:28" x14ac:dyDescent="0.25">
      <c r="A2178" t="s">
        <v>2182</v>
      </c>
      <c r="B2178">
        <v>0.99987803227770999</v>
      </c>
      <c r="C2178">
        <v>0.86707785491892098</v>
      </c>
      <c r="D2178">
        <v>0.54795359156031498</v>
      </c>
      <c r="E2178">
        <v>0.33795576297554097</v>
      </c>
      <c r="F2178">
        <v>0.22089405062951201</v>
      </c>
      <c r="G2178">
        <v>0.12931143822615099</v>
      </c>
      <c r="H2178">
        <v>8.8939181250396696E-2</v>
      </c>
      <c r="I2178">
        <v>7.8681967716124304E-2</v>
      </c>
      <c r="J2178">
        <v>7.6916923144355206E-2</v>
      </c>
      <c r="K2178">
        <v>6.0246500148919503E-2</v>
      </c>
      <c r="L2178">
        <v>773.80762999922604</v>
      </c>
      <c r="M2178">
        <v>16.509895460535098</v>
      </c>
      <c r="N2178">
        <v>47.326665085771801</v>
      </c>
      <c r="O2178">
        <v>46.197899301743803</v>
      </c>
      <c r="P2178">
        <v>-8.2761160947266196E-2</v>
      </c>
      <c r="Q2178">
        <v>7.3737120204595399E-2</v>
      </c>
      <c r="R2178">
        <v>0.991770113233715</v>
      </c>
      <c r="S2178" t="s">
        <v>8489</v>
      </c>
      <c r="T2178" t="s">
        <v>12620</v>
      </c>
      <c r="U2178" t="s">
        <v>12620</v>
      </c>
      <c r="V2178" t="s">
        <v>12620</v>
      </c>
      <c r="W2178" t="s">
        <v>14758</v>
      </c>
      <c r="X2178">
        <v>8</v>
      </c>
      <c r="Y2178" t="s">
        <v>20951</v>
      </c>
      <c r="Z2178" t="s">
        <v>27125</v>
      </c>
      <c r="AA2178">
        <v>0.30657001250557309</v>
      </c>
      <c r="AB2178" t="str">
        <f>HYPERLINK("Melting_Curves/meltCurve_P43378_PTPN9.pdf", "Melting_Curves/meltCurve_P43378_PTPN9.pdf")</f>
        <v>Melting_Curves/meltCurve_P43378_PTPN9.pdf</v>
      </c>
    </row>
    <row r="2179" spans="1:28" x14ac:dyDescent="0.25">
      <c r="A2179" t="s">
        <v>2183</v>
      </c>
      <c r="B2179">
        <v>0.99987803227770999</v>
      </c>
      <c r="C2179">
        <v>0.72555990176039598</v>
      </c>
      <c r="D2179">
        <v>0.94185812409012803</v>
      </c>
      <c r="E2179">
        <v>0.80274034209492995</v>
      </c>
      <c r="F2179">
        <v>0.89277003807392497</v>
      </c>
      <c r="G2179">
        <v>0.65615757666426799</v>
      </c>
      <c r="H2179">
        <v>0.70858588657183996</v>
      </c>
      <c r="I2179">
        <v>0.60946704613751801</v>
      </c>
      <c r="J2179">
        <v>0.69030975652005599</v>
      </c>
      <c r="K2179">
        <v>0.59876528855530398</v>
      </c>
      <c r="L2179">
        <v>194.0024298509</v>
      </c>
      <c r="M2179">
        <v>2.4563727268553102</v>
      </c>
      <c r="O2179">
        <v>52.773300620367699</v>
      </c>
      <c r="P2179">
        <v>-1.1423634040762199E-2</v>
      </c>
      <c r="Q2179">
        <v>6.8236820694110398E-2</v>
      </c>
      <c r="R2179">
        <v>0.62841483682338195</v>
      </c>
      <c r="S2179" t="s">
        <v>8490</v>
      </c>
      <c r="T2179" t="s">
        <v>12620</v>
      </c>
      <c r="U2179" t="s">
        <v>12620</v>
      </c>
      <c r="V2179" t="s">
        <v>12620</v>
      </c>
      <c r="W2179" t="s">
        <v>14759</v>
      </c>
      <c r="X2179">
        <v>15</v>
      </c>
      <c r="Y2179" t="s">
        <v>20952</v>
      </c>
      <c r="Z2179" t="s">
        <v>27126</v>
      </c>
      <c r="AA2179">
        <v>0.76346813515944933</v>
      </c>
      <c r="AB2179" t="str">
        <f>HYPERLINK("Melting_Curves/meltCurve_P43487_RANBP1.pdf", "Melting_Curves/meltCurve_P43487_RANBP1.pdf")</f>
        <v>Melting_Curves/meltCurve_P43487_RANBP1.pdf</v>
      </c>
    </row>
    <row r="2180" spans="1:28" x14ac:dyDescent="0.25">
      <c r="A2180" t="s">
        <v>2184</v>
      </c>
      <c r="B2180">
        <v>0.99987803227770999</v>
      </c>
      <c r="C2180">
        <v>1.0861709564815101</v>
      </c>
      <c r="D2180">
        <v>1.02547576043302</v>
      </c>
      <c r="E2180">
        <v>1.15767671715639</v>
      </c>
      <c r="F2180">
        <v>0.91436867949408496</v>
      </c>
      <c r="G2180">
        <v>0.95236182999403296</v>
      </c>
      <c r="H2180">
        <v>0.26498349431924501</v>
      </c>
      <c r="I2180">
        <v>0.15038554613277599</v>
      </c>
      <c r="J2180">
        <v>7.5561733054635094E-2</v>
      </c>
      <c r="K2180">
        <v>5.5505219733823698E-2</v>
      </c>
      <c r="L2180">
        <v>3513.7251916627802</v>
      </c>
      <c r="M2180">
        <v>58.956095209821399</v>
      </c>
      <c r="N2180">
        <v>59.789969656072898</v>
      </c>
      <c r="O2180">
        <v>59.530557294039099</v>
      </c>
      <c r="P2180">
        <v>-0.22633932695690501</v>
      </c>
      <c r="Q2180">
        <v>8.5821359112975698E-2</v>
      </c>
      <c r="R2180">
        <v>0.97753767328492203</v>
      </c>
      <c r="S2180" t="s">
        <v>8491</v>
      </c>
      <c r="T2180" t="s">
        <v>12620</v>
      </c>
      <c r="U2180" t="s">
        <v>12620</v>
      </c>
      <c r="V2180" t="s">
        <v>12620</v>
      </c>
      <c r="W2180" t="s">
        <v>14760</v>
      </c>
      <c r="X2180">
        <v>30</v>
      </c>
      <c r="Y2180" t="s">
        <v>20953</v>
      </c>
      <c r="Z2180" t="s">
        <v>27127</v>
      </c>
      <c r="AA2180">
        <v>0.68477363996747165</v>
      </c>
      <c r="AB2180" t="str">
        <f>HYPERLINK("Melting_Curves/meltCurve_P43490_NAMPT.pdf", "Melting_Curves/meltCurve_P43490_NAMPT.pdf")</f>
        <v>Melting_Curves/meltCurve_P43490_NAMPT.pdf</v>
      </c>
    </row>
    <row r="2181" spans="1:28" x14ac:dyDescent="0.25">
      <c r="A2181" t="s">
        <v>2185</v>
      </c>
      <c r="B2181">
        <v>0.99987803227770999</v>
      </c>
      <c r="C2181">
        <v>0.81610582211459204</v>
      </c>
      <c r="D2181">
        <v>0.68959160534768904</v>
      </c>
      <c r="E2181">
        <v>1.01957033284316</v>
      </c>
      <c r="F2181">
        <v>0.78000213073284397</v>
      </c>
      <c r="G2181">
        <v>0.46329483826892898</v>
      </c>
      <c r="H2181">
        <v>0.17572163881597999</v>
      </c>
      <c r="I2181">
        <v>0.13528223566561801</v>
      </c>
      <c r="J2181">
        <v>0.104409310678225</v>
      </c>
      <c r="K2181">
        <v>6.8147569742065095E-2</v>
      </c>
      <c r="L2181">
        <v>1191.3624032198099</v>
      </c>
      <c r="M2181">
        <v>21.228015080920599</v>
      </c>
      <c r="N2181">
        <v>56.462794831057401</v>
      </c>
      <c r="O2181">
        <v>55.631255604015998</v>
      </c>
      <c r="P2181">
        <v>-8.9664743030735794E-2</v>
      </c>
      <c r="Q2181">
        <v>6.01035676284635E-2</v>
      </c>
      <c r="R2181">
        <v>0.898509008976354</v>
      </c>
      <c r="S2181" t="s">
        <v>8492</v>
      </c>
      <c r="T2181" t="s">
        <v>12620</v>
      </c>
      <c r="U2181" t="s">
        <v>12620</v>
      </c>
      <c r="V2181" t="s">
        <v>12620</v>
      </c>
      <c r="W2181" t="s">
        <v>14761</v>
      </c>
      <c r="X2181">
        <v>27</v>
      </c>
      <c r="Y2181" t="s">
        <v>20954</v>
      </c>
      <c r="Z2181" t="s">
        <v>27128</v>
      </c>
      <c r="AA2181">
        <v>0.57629953332394324</v>
      </c>
      <c r="AB2181" t="str">
        <f>HYPERLINK("Melting_Curves/meltCurve_P43686_PSMC4.pdf", "Melting_Curves/meltCurve_P43686_PSMC4.pdf")</f>
        <v>Melting_Curves/meltCurve_P43686_PSMC4.pdf</v>
      </c>
    </row>
    <row r="2182" spans="1:28" x14ac:dyDescent="0.25">
      <c r="A2182" t="s">
        <v>2186</v>
      </c>
      <c r="B2182">
        <v>0.99987803227770999</v>
      </c>
      <c r="C2182">
        <v>0.67379254011957601</v>
      </c>
      <c r="D2182">
        <v>0.37929222327020901</v>
      </c>
      <c r="E2182">
        <v>0.198301735923789</v>
      </c>
      <c r="F2182">
        <v>0.12161469470795599</v>
      </c>
      <c r="G2182">
        <v>7.4190012959985799E-2</v>
      </c>
      <c r="H2182">
        <v>5.9958272296411402E-2</v>
      </c>
      <c r="I2182">
        <v>4.9407239997194999E-2</v>
      </c>
      <c r="J2182">
        <v>4.2250852265297699E-2</v>
      </c>
      <c r="K2182">
        <v>3.2992631278430697E-2</v>
      </c>
      <c r="L2182">
        <v>891.43069592249105</v>
      </c>
      <c r="M2182">
        <v>19.959496031317901</v>
      </c>
      <c r="N2182">
        <v>44.934232040974301</v>
      </c>
      <c r="O2182">
        <v>44.220912402180097</v>
      </c>
      <c r="P2182">
        <v>-0.106416525183889</v>
      </c>
      <c r="Q2182">
        <v>5.6953859131612897E-2</v>
      </c>
      <c r="R2182">
        <v>0.98762948684443397</v>
      </c>
      <c r="S2182" t="s">
        <v>8493</v>
      </c>
      <c r="T2182" t="s">
        <v>12620</v>
      </c>
      <c r="U2182" t="s">
        <v>12620</v>
      </c>
      <c r="V2182" t="s">
        <v>12620</v>
      </c>
      <c r="W2182" t="s">
        <v>14762</v>
      </c>
      <c r="X2182">
        <v>9</v>
      </c>
      <c r="Y2182" t="s">
        <v>20955</v>
      </c>
      <c r="Z2182" t="s">
        <v>27129</v>
      </c>
      <c r="AA2182">
        <v>0.2202139054878515</v>
      </c>
      <c r="AB2182" t="str">
        <f>HYPERLINK("Melting_Curves/meltCurve_P43897_TSFM.pdf", "Melting_Curves/meltCurve_P43897_TSFM.pdf")</f>
        <v>Melting_Curves/meltCurve_P43897_TSFM.pdf</v>
      </c>
    </row>
    <row r="2183" spans="1:28" x14ac:dyDescent="0.25">
      <c r="A2183" t="s">
        <v>2187</v>
      </c>
      <c r="B2183">
        <v>0.99987803227770999</v>
      </c>
      <c r="C2183">
        <v>0.876941074271124</v>
      </c>
      <c r="D2183">
        <v>1.01446693934514</v>
      </c>
      <c r="E2183">
        <v>0.68844634198461996</v>
      </c>
      <c r="F2183">
        <v>0.25864853129354798</v>
      </c>
      <c r="G2183">
        <v>0.108187397564785</v>
      </c>
      <c r="H2183">
        <v>4.7260268783370703E-2</v>
      </c>
      <c r="I2183">
        <v>3.9123693664531597E-2</v>
      </c>
      <c r="J2183">
        <v>2.1701305222902201E-2</v>
      </c>
      <c r="K2183">
        <v>1.6635844507201E-2</v>
      </c>
      <c r="L2183">
        <v>1664.6881504211001</v>
      </c>
      <c r="M2183">
        <v>32.554430779140297</v>
      </c>
      <c r="N2183">
        <v>51.2562419976909</v>
      </c>
      <c r="O2183">
        <v>50.943736946080399</v>
      </c>
      <c r="P2183">
        <v>-0.153861340492745</v>
      </c>
      <c r="Q2183">
        <v>3.6907191847977097E-2</v>
      </c>
      <c r="R2183">
        <v>0.989085408984129</v>
      </c>
      <c r="S2183" t="s">
        <v>8494</v>
      </c>
      <c r="T2183" t="s">
        <v>12620</v>
      </c>
      <c r="U2183" t="s">
        <v>12620</v>
      </c>
      <c r="V2183" t="s">
        <v>12620</v>
      </c>
      <c r="W2183" t="s">
        <v>14763</v>
      </c>
      <c r="X2183">
        <v>1</v>
      </c>
      <c r="Y2183" t="s">
        <v>20956</v>
      </c>
      <c r="Z2183" t="s">
        <v>27130</v>
      </c>
      <c r="AA2183">
        <v>0.3995440935380048</v>
      </c>
      <c r="AB2183" t="str">
        <f>HYPERLINK("Melting_Curves/meltCurve_P45877_PPIC.pdf", "Melting_Curves/meltCurve_P45877_PPIC.pdf")</f>
        <v>Melting_Curves/meltCurve_P45877_PPIC.pdf</v>
      </c>
    </row>
    <row r="2184" spans="1:28" x14ac:dyDescent="0.25">
      <c r="A2184" t="s">
        <v>2188</v>
      </c>
      <c r="B2184">
        <v>0.99987803227770999</v>
      </c>
      <c r="C2184">
        <v>0.93787594237772198</v>
      </c>
      <c r="D2184">
        <v>0.72541023305340502</v>
      </c>
      <c r="E2184">
        <v>0.40941104629423403</v>
      </c>
      <c r="F2184">
        <v>0.220183873866547</v>
      </c>
      <c r="G2184">
        <v>0.17295775600876601</v>
      </c>
      <c r="H2184">
        <v>0.12213836606193</v>
      </c>
      <c r="I2184">
        <v>7.4369619570685594E-2</v>
      </c>
      <c r="J2184">
        <v>4.6346220419647803E-2</v>
      </c>
      <c r="K2184">
        <v>3.44681321400385E-2</v>
      </c>
      <c r="L2184">
        <v>840.67503728472298</v>
      </c>
      <c r="M2184">
        <v>17.3266263725397</v>
      </c>
      <c r="N2184">
        <v>48.892959376559197</v>
      </c>
      <c r="O2184">
        <v>47.886788748046499</v>
      </c>
      <c r="P2184">
        <v>-8.4851070560754999E-2</v>
      </c>
      <c r="Q2184">
        <v>6.2018831341998801E-2</v>
      </c>
      <c r="R2184">
        <v>0.99496969907608701</v>
      </c>
      <c r="S2184" t="s">
        <v>8495</v>
      </c>
      <c r="T2184" t="s">
        <v>12620</v>
      </c>
      <c r="U2184" t="s">
        <v>12620</v>
      </c>
      <c r="V2184" t="s">
        <v>12620</v>
      </c>
      <c r="W2184" t="s">
        <v>14764</v>
      </c>
      <c r="X2184">
        <v>8</v>
      </c>
      <c r="Y2184" t="s">
        <v>20957</v>
      </c>
      <c r="Z2184" t="s">
        <v>27131</v>
      </c>
      <c r="AA2184">
        <v>0.34611585336243511</v>
      </c>
      <c r="AB2184" t="str">
        <f>HYPERLINK("Melting_Curves/meltCurve_P45954_ACADSB.pdf", "Melting_Curves/meltCurve_P45954_ACADSB.pdf")</f>
        <v>Melting_Curves/meltCurve_P45954_ACADSB.pdf</v>
      </c>
    </row>
    <row r="2185" spans="1:28" x14ac:dyDescent="0.25">
      <c r="A2185" t="s">
        <v>2189</v>
      </c>
      <c r="B2185">
        <v>0.99987803227770999</v>
      </c>
      <c r="C2185">
        <v>0.84345021849433599</v>
      </c>
      <c r="D2185">
        <v>1.0004981131802999</v>
      </c>
      <c r="E2185">
        <v>0.81451516639021504</v>
      </c>
      <c r="F2185">
        <v>0.87368766296814204</v>
      </c>
      <c r="G2185">
        <v>0.57138869946340798</v>
      </c>
      <c r="H2185">
        <v>0.55068105605791995</v>
      </c>
      <c r="I2185">
        <v>0.50306946345152903</v>
      </c>
      <c r="J2185">
        <v>0.54893550973481398</v>
      </c>
      <c r="K2185">
        <v>0.48528660382155597</v>
      </c>
      <c r="L2185">
        <v>765.65801619367801</v>
      </c>
      <c r="M2185">
        <v>14.193370730432701</v>
      </c>
      <c r="N2185">
        <v>67.571428666097304</v>
      </c>
      <c r="O2185">
        <v>52.907792871427297</v>
      </c>
      <c r="P2185">
        <v>-3.5453762188615803E-2</v>
      </c>
      <c r="Q2185">
        <v>0.47143070459077002</v>
      </c>
      <c r="R2185">
        <v>0.887235043312814</v>
      </c>
      <c r="S2185" t="s">
        <v>8496</v>
      </c>
      <c r="T2185" t="s">
        <v>12620</v>
      </c>
      <c r="U2185" t="s">
        <v>12620</v>
      </c>
      <c r="V2185" t="s">
        <v>12620</v>
      </c>
      <c r="W2185" t="s">
        <v>14765</v>
      </c>
      <c r="X2185">
        <v>8</v>
      </c>
      <c r="Y2185" t="s">
        <v>20958</v>
      </c>
      <c r="Z2185" t="s">
        <v>27132</v>
      </c>
      <c r="AA2185">
        <v>0.72875253917730187</v>
      </c>
      <c r="AB2185" t="str">
        <f>HYPERLINK("Melting_Curves/meltCurve_P45973_CBX5.pdf", "Melting_Curves/meltCurve_P45973_CBX5.pdf")</f>
        <v>Melting_Curves/meltCurve_P45973_CBX5.pdf</v>
      </c>
    </row>
    <row r="2186" spans="1:28" x14ac:dyDescent="0.25">
      <c r="A2186" t="s">
        <v>2190</v>
      </c>
      <c r="B2186">
        <v>0.99987803227770999</v>
      </c>
      <c r="C2186">
        <v>1.08003909057329</v>
      </c>
      <c r="D2186">
        <v>1.0393547635215299</v>
      </c>
      <c r="E2186">
        <v>1.1141614633664001</v>
      </c>
      <c r="F2186">
        <v>0.90920914661793695</v>
      </c>
      <c r="G2186">
        <v>0.48763008926386198</v>
      </c>
      <c r="H2186">
        <v>0.167440602161537</v>
      </c>
      <c r="I2186">
        <v>0.12735380775826699</v>
      </c>
      <c r="J2186">
        <v>8.3372819971722106E-2</v>
      </c>
      <c r="K2186">
        <v>5.6671406791385603E-2</v>
      </c>
      <c r="L2186">
        <v>1957.88935499492</v>
      </c>
      <c r="M2186">
        <v>34.561150956486003</v>
      </c>
      <c r="N2186">
        <v>56.9530182008587</v>
      </c>
      <c r="O2186">
        <v>56.461352391747297</v>
      </c>
      <c r="P2186">
        <v>-0.14017881981362099</v>
      </c>
      <c r="Q2186">
        <v>8.3982361115416695E-2</v>
      </c>
      <c r="R2186">
        <v>0.98699825950642694</v>
      </c>
      <c r="S2186" t="s">
        <v>8497</v>
      </c>
      <c r="T2186" t="s">
        <v>12620</v>
      </c>
      <c r="U2186" t="s">
        <v>12620</v>
      </c>
      <c r="V2186" t="s">
        <v>12620</v>
      </c>
      <c r="W2186" t="s">
        <v>14766</v>
      </c>
      <c r="X2186">
        <v>33</v>
      </c>
      <c r="Y2186" t="s">
        <v>20959</v>
      </c>
      <c r="Z2186" t="s">
        <v>27133</v>
      </c>
      <c r="AA2186">
        <v>0.59707983322127134</v>
      </c>
      <c r="AB2186" t="str">
        <f>HYPERLINK("Melting_Curves/meltCurve_P45974_2_USP5.pdf", "Melting_Curves/meltCurve_P45974_2_USP5.pdf")</f>
        <v>Melting_Curves/meltCurve_P45974_2_USP5.pdf</v>
      </c>
    </row>
    <row r="2187" spans="1:28" x14ac:dyDescent="0.25">
      <c r="A2187" t="s">
        <v>2191</v>
      </c>
      <c r="B2187">
        <v>0.99987803227770999</v>
      </c>
      <c r="C2187">
        <v>0.87116370812121802</v>
      </c>
      <c r="D2187">
        <v>0.64103645750813498</v>
      </c>
      <c r="E2187">
        <v>0.30746137926536998</v>
      </c>
      <c r="F2187">
        <v>0.22233393740856</v>
      </c>
      <c r="G2187">
        <v>0.132770213555577</v>
      </c>
      <c r="H2187">
        <v>6.0029278287276E-2</v>
      </c>
      <c r="I2187">
        <v>5.1523722419080299E-2</v>
      </c>
      <c r="J2187">
        <v>4.3564368358146401E-2</v>
      </c>
      <c r="K2187">
        <v>2.7320078079596199E-2</v>
      </c>
      <c r="L2187">
        <v>787.22266080834902</v>
      </c>
      <c r="M2187">
        <v>16.559926250881102</v>
      </c>
      <c r="N2187">
        <v>47.795075095414198</v>
      </c>
      <c r="O2187">
        <v>46.860831278500697</v>
      </c>
      <c r="P2187">
        <v>-8.4585102264078796E-2</v>
      </c>
      <c r="Q2187">
        <v>4.26394380833627E-2</v>
      </c>
      <c r="R2187">
        <v>0.99567075718389697</v>
      </c>
      <c r="S2187" t="s">
        <v>8498</v>
      </c>
      <c r="T2187" t="s">
        <v>12620</v>
      </c>
      <c r="U2187" t="s">
        <v>12620</v>
      </c>
      <c r="V2187" t="s">
        <v>12620</v>
      </c>
      <c r="W2187" t="s">
        <v>14767</v>
      </c>
      <c r="X2187">
        <v>5</v>
      </c>
      <c r="Y2187" t="s">
        <v>20960</v>
      </c>
      <c r="Z2187" t="s">
        <v>27134</v>
      </c>
      <c r="AA2187">
        <v>0.30376210355995009</v>
      </c>
      <c r="AB2187" t="str">
        <f>HYPERLINK("Melting_Curves/meltCurve_P45983_3_MAPK8.pdf", "Melting_Curves/meltCurve_P45983_3_MAPK8.pdf")</f>
        <v>Melting_Curves/meltCurve_P45983_3_MAPK8.pdf</v>
      </c>
    </row>
    <row r="2188" spans="1:28" x14ac:dyDescent="0.25">
      <c r="A2188" t="s">
        <v>2192</v>
      </c>
      <c r="B2188">
        <v>0.99987803227770999</v>
      </c>
      <c r="C2188">
        <v>1.04917385482332</v>
      </c>
      <c r="D2188">
        <v>1.0356017352511</v>
      </c>
      <c r="E2188">
        <v>1.0354455393878901</v>
      </c>
      <c r="F2188">
        <v>0.92549933358065595</v>
      </c>
      <c r="G2188">
        <v>0.34680031406109402</v>
      </c>
      <c r="H2188">
        <v>0.221715424110557</v>
      </c>
      <c r="I2188">
        <v>0.15922135577209201</v>
      </c>
      <c r="J2188">
        <v>0.104861220308227</v>
      </c>
      <c r="K2188">
        <v>7.9978027800690799E-2</v>
      </c>
      <c r="L2188">
        <v>2481.1720912558699</v>
      </c>
      <c r="M2188">
        <v>44.573075878268597</v>
      </c>
      <c r="N2188">
        <v>56.057329523803702</v>
      </c>
      <c r="O2188">
        <v>55.5535435810405</v>
      </c>
      <c r="P2188">
        <v>-0.173723518537657</v>
      </c>
      <c r="Q2188">
        <v>0.13392127229227599</v>
      </c>
      <c r="R2188">
        <v>0.99155647682902104</v>
      </c>
      <c r="S2188" t="s">
        <v>8499</v>
      </c>
      <c r="T2188" t="s">
        <v>12620</v>
      </c>
      <c r="U2188" t="s">
        <v>12620</v>
      </c>
      <c r="V2188" t="s">
        <v>12620</v>
      </c>
      <c r="W2188" t="s">
        <v>14768</v>
      </c>
      <c r="X2188">
        <v>7</v>
      </c>
      <c r="Y2188" t="s">
        <v>20961</v>
      </c>
      <c r="Z2188" t="s">
        <v>27135</v>
      </c>
      <c r="AA2188">
        <v>0.58883965816574368</v>
      </c>
      <c r="AB2188" t="str">
        <f>HYPERLINK("Melting_Curves/meltCurve_P45984_2_MAPK9.pdf", "Melting_Curves/meltCurve_P45984_2_MAPK9.pdf")</f>
        <v>Melting_Curves/meltCurve_P45984_2_MAPK9.pdf</v>
      </c>
    </row>
    <row r="2189" spans="1:28" x14ac:dyDescent="0.25">
      <c r="A2189" t="s">
        <v>2193</v>
      </c>
      <c r="B2189">
        <v>0.99987803227770999</v>
      </c>
      <c r="C2189">
        <v>1.0881520256380699</v>
      </c>
      <c r="D2189">
        <v>0.450999523945387</v>
      </c>
      <c r="E2189">
        <v>0.456309763896806</v>
      </c>
      <c r="F2189">
        <v>0.16897177961816001</v>
      </c>
      <c r="G2189">
        <v>0.133789729279193</v>
      </c>
      <c r="H2189">
        <v>7.6505606277434093E-2</v>
      </c>
      <c r="I2189">
        <v>7.0850784590289595E-2</v>
      </c>
      <c r="J2189">
        <v>5.18645557811791E-2</v>
      </c>
      <c r="K2189">
        <v>4.0071417631453901E-2</v>
      </c>
      <c r="L2189">
        <v>848.34860401546803</v>
      </c>
      <c r="M2189">
        <v>17.871145228129102</v>
      </c>
      <c r="N2189">
        <v>47.831030449499998</v>
      </c>
      <c r="O2189">
        <v>46.887862671489103</v>
      </c>
      <c r="P2189">
        <v>-8.9283667529560101E-2</v>
      </c>
      <c r="Q2189">
        <v>6.30461194347397E-2</v>
      </c>
      <c r="R2189">
        <v>0.92415854862281199</v>
      </c>
      <c r="S2189" t="s">
        <v>8500</v>
      </c>
      <c r="T2189" t="s">
        <v>12620</v>
      </c>
      <c r="U2189" t="s">
        <v>12620</v>
      </c>
      <c r="V2189" t="s">
        <v>12620</v>
      </c>
      <c r="W2189" t="s">
        <v>14769</v>
      </c>
      <c r="X2189">
        <v>11</v>
      </c>
      <c r="Y2189" t="s">
        <v>20962</v>
      </c>
      <c r="Z2189" t="s">
        <v>27136</v>
      </c>
      <c r="AA2189">
        <v>0.31355043227306251</v>
      </c>
      <c r="AB2189" t="str">
        <f>HYPERLINK("Melting_Curves/meltCurve_P45985_MAP2K4.pdf", "Melting_Curves/meltCurve_P45985_MAP2K4.pdf")</f>
        <v>Melting_Curves/meltCurve_P45985_MAP2K4.pdf</v>
      </c>
    </row>
    <row r="2190" spans="1:28" x14ac:dyDescent="0.25">
      <c r="A2190" t="s">
        <v>2194</v>
      </c>
      <c r="B2190">
        <v>0.99987803227770999</v>
      </c>
      <c r="C2190">
        <v>0.83805776410257204</v>
      </c>
      <c r="D2190">
        <v>1.00985887426482</v>
      </c>
      <c r="E2190">
        <v>0.84593759741640195</v>
      </c>
      <c r="F2190">
        <v>1.0495957321960101</v>
      </c>
      <c r="G2190">
        <v>0.905074149668877</v>
      </c>
      <c r="H2190">
        <v>0.91654115554717697</v>
      </c>
      <c r="I2190">
        <v>0.87292679362570103</v>
      </c>
      <c r="J2190">
        <v>0.84464205693602901</v>
      </c>
      <c r="K2190">
        <v>0.69507134283751204</v>
      </c>
      <c r="L2190">
        <v>500.20299758089698</v>
      </c>
      <c r="M2190">
        <v>6.0706091049107496</v>
      </c>
      <c r="Q2190">
        <v>0</v>
      </c>
      <c r="R2190">
        <v>0.415064178094674</v>
      </c>
      <c r="S2190" t="s">
        <v>8501</v>
      </c>
      <c r="T2190" t="s">
        <v>12620</v>
      </c>
      <c r="U2190" t="s">
        <v>12620</v>
      </c>
      <c r="V2190" t="s">
        <v>12620</v>
      </c>
      <c r="W2190" t="s">
        <v>14770</v>
      </c>
      <c r="X2190">
        <v>142</v>
      </c>
      <c r="Y2190" t="s">
        <v>20963</v>
      </c>
      <c r="Z2190" t="s">
        <v>27137</v>
      </c>
      <c r="AA2190">
        <v>0.92490031999601741</v>
      </c>
      <c r="AB2190" t="str">
        <f>HYPERLINK("Melting_Curves/meltCurve_P46013_MKI67.pdf", "Melting_Curves/meltCurve_P46013_MKI67.pdf")</f>
        <v>Melting_Curves/meltCurve_P46013_MKI67.pdf</v>
      </c>
    </row>
    <row r="2191" spans="1:28" x14ac:dyDescent="0.25">
      <c r="A2191" t="s">
        <v>2195</v>
      </c>
      <c r="B2191">
        <v>0.99987803227770999</v>
      </c>
      <c r="C2191">
        <v>0.76833806738057897</v>
      </c>
      <c r="D2191">
        <v>0.71947605221042099</v>
      </c>
      <c r="E2191">
        <v>0.48942175984168201</v>
      </c>
      <c r="F2191">
        <v>0.46571780941517799</v>
      </c>
      <c r="G2191">
        <v>0.35531882652517699</v>
      </c>
      <c r="H2191">
        <v>0.318843378777659</v>
      </c>
      <c r="I2191">
        <v>0.30012362790885699</v>
      </c>
      <c r="J2191">
        <v>0.28758790026860598</v>
      </c>
      <c r="K2191">
        <v>0.246751273900461</v>
      </c>
      <c r="L2191">
        <v>544.80147348963203</v>
      </c>
      <c r="M2191">
        <v>11.4663347017991</v>
      </c>
      <c r="N2191">
        <v>50.6975306048055</v>
      </c>
      <c r="O2191">
        <v>46.136878079310499</v>
      </c>
      <c r="P2191">
        <v>-4.6197510643095401E-2</v>
      </c>
      <c r="Q2191">
        <v>0.25667742358187501</v>
      </c>
      <c r="R2191">
        <v>0.97566641234958196</v>
      </c>
      <c r="S2191" t="s">
        <v>8502</v>
      </c>
      <c r="T2191" t="s">
        <v>12620</v>
      </c>
      <c r="U2191" t="s">
        <v>12620</v>
      </c>
      <c r="V2191" t="s">
        <v>12620</v>
      </c>
      <c r="W2191" t="s">
        <v>14771</v>
      </c>
      <c r="X2191">
        <v>126</v>
      </c>
      <c r="Y2191" t="s">
        <v>20963</v>
      </c>
      <c r="Z2191" t="s">
        <v>27138</v>
      </c>
      <c r="AA2191">
        <v>0.47542953258853521</v>
      </c>
      <c r="AB2191" t="str">
        <f>HYPERLINK("Melting_Curves/meltCurve_P46013_2_MKI67.pdf", "Melting_Curves/meltCurve_P46013_2_MKI67.pdf")</f>
        <v>Melting_Curves/meltCurve_P46013_2_MKI67.pdf</v>
      </c>
    </row>
    <row r="2192" spans="1:28" x14ac:dyDescent="0.25">
      <c r="A2192" t="s">
        <v>2196</v>
      </c>
      <c r="B2192">
        <v>0.99987803227770999</v>
      </c>
      <c r="C2192">
        <v>0.94478693115981405</v>
      </c>
      <c r="D2192">
        <v>0.83373626987243699</v>
      </c>
      <c r="E2192">
        <v>0.818772749733363</v>
      </c>
      <c r="F2192">
        <v>0.40527029065492198</v>
      </c>
      <c r="G2192">
        <v>0.25660262704595899</v>
      </c>
      <c r="H2192">
        <v>0.17123920709090201</v>
      </c>
      <c r="I2192">
        <v>0.12986418620853599</v>
      </c>
      <c r="J2192">
        <v>7.1714775336985698E-2</v>
      </c>
      <c r="K2192">
        <v>4.5086299098342698E-2</v>
      </c>
      <c r="L2192">
        <v>832.84867181729805</v>
      </c>
      <c r="M2192">
        <v>15.875867535588901</v>
      </c>
      <c r="N2192">
        <v>52.8203256190518</v>
      </c>
      <c r="O2192">
        <v>51.648856806616202</v>
      </c>
      <c r="P2192">
        <v>-7.2907744678709502E-2</v>
      </c>
      <c r="Q2192">
        <v>5.1315548005453397E-2</v>
      </c>
      <c r="R2192">
        <v>0.97869128386855297</v>
      </c>
      <c r="S2192" t="s">
        <v>8503</v>
      </c>
      <c r="T2192" t="s">
        <v>12620</v>
      </c>
      <c r="U2192" t="s">
        <v>12620</v>
      </c>
      <c r="V2192" t="s">
        <v>12620</v>
      </c>
      <c r="W2192" t="s">
        <v>14772</v>
      </c>
      <c r="X2192">
        <v>3</v>
      </c>
      <c r="Y2192" t="s">
        <v>20964</v>
      </c>
      <c r="Z2192" t="s">
        <v>27139</v>
      </c>
      <c r="AA2192">
        <v>0.46449529446098392</v>
      </c>
      <c r="AB2192" t="str">
        <f>HYPERLINK("Melting_Curves/meltCurve_P46019_PHKA2.pdf", "Melting_Curves/meltCurve_P46019_PHKA2.pdf")</f>
        <v>Melting_Curves/meltCurve_P46019_PHKA2.pdf</v>
      </c>
    </row>
    <row r="2193" spans="1:28" x14ac:dyDescent="0.25">
      <c r="A2193" t="s">
        <v>2197</v>
      </c>
      <c r="B2193">
        <v>0.99987803227770999</v>
      </c>
      <c r="C2193">
        <v>1.0067794120351199</v>
      </c>
      <c r="D2193">
        <v>0.72970283225078802</v>
      </c>
      <c r="E2193">
        <v>0.47889128971258998</v>
      </c>
      <c r="F2193">
        <v>0.25687268792183898</v>
      </c>
      <c r="G2193">
        <v>0.18219752625149299</v>
      </c>
      <c r="H2193">
        <v>0.10130277001563</v>
      </c>
      <c r="I2193">
        <v>9.9003443561631405E-2</v>
      </c>
      <c r="J2193">
        <v>5.6165987836197001E-2</v>
      </c>
      <c r="K2193">
        <v>3.9582151909251698E-2</v>
      </c>
      <c r="L2193">
        <v>840.62505105214802</v>
      </c>
      <c r="M2193">
        <v>17.0938394774439</v>
      </c>
      <c r="N2193">
        <v>49.5676873687853</v>
      </c>
      <c r="O2193">
        <v>48.5188490925715</v>
      </c>
      <c r="P2193">
        <v>-8.2533232250796507E-2</v>
      </c>
      <c r="Q2193">
        <v>6.3013341997372893E-2</v>
      </c>
      <c r="R2193">
        <v>0.99084209509080701</v>
      </c>
      <c r="S2193" t="s">
        <v>8504</v>
      </c>
      <c r="T2193" t="s">
        <v>12620</v>
      </c>
      <c r="U2193" t="s">
        <v>12620</v>
      </c>
      <c r="V2193" t="s">
        <v>12620</v>
      </c>
      <c r="W2193" t="s">
        <v>14773</v>
      </c>
      <c r="X2193">
        <v>10</v>
      </c>
      <c r="Y2193" t="s">
        <v>20965</v>
      </c>
      <c r="Z2193" t="s">
        <v>27140</v>
      </c>
      <c r="AA2193">
        <v>0.36754453938250092</v>
      </c>
      <c r="AB2193" t="str">
        <f>HYPERLINK("Melting_Curves/meltCurve_P46020_2_PHKA1.pdf", "Melting_Curves/meltCurve_P46020_2_PHKA1.pdf")</f>
        <v>Melting_Curves/meltCurve_P46020_2_PHKA1.pdf</v>
      </c>
    </row>
    <row r="2194" spans="1:28" x14ac:dyDescent="0.25">
      <c r="A2194" t="s">
        <v>2198</v>
      </c>
      <c r="B2194">
        <v>0.99987803227770999</v>
      </c>
      <c r="C2194">
        <v>1.0574950545466699</v>
      </c>
      <c r="D2194">
        <v>1.01216799501022</v>
      </c>
      <c r="E2194">
        <v>0.94624927056274699</v>
      </c>
      <c r="F2194">
        <v>0.394486653052883</v>
      </c>
      <c r="G2194">
        <v>0.21181304410308699</v>
      </c>
      <c r="H2194">
        <v>0.11886785148658099</v>
      </c>
      <c r="I2194">
        <v>9.2742430623187599E-2</v>
      </c>
      <c r="J2194">
        <v>7.5301809145368603E-2</v>
      </c>
      <c r="K2194">
        <v>5.0088212459560702E-2</v>
      </c>
      <c r="L2194">
        <v>2740.6426896029702</v>
      </c>
      <c r="M2194">
        <v>52.390042765091103</v>
      </c>
      <c r="N2194">
        <v>52.550610017033101</v>
      </c>
      <c r="O2194">
        <v>52.236231008485198</v>
      </c>
      <c r="P2194">
        <v>-0.224223383521305</v>
      </c>
      <c r="Q2194">
        <v>0.105740308321534</v>
      </c>
      <c r="R2194">
        <v>0.99049308712283901</v>
      </c>
      <c r="S2194" t="s">
        <v>8505</v>
      </c>
      <c r="T2194" t="s">
        <v>12620</v>
      </c>
      <c r="U2194" t="s">
        <v>12620</v>
      </c>
      <c r="V2194" t="s">
        <v>12620</v>
      </c>
      <c r="W2194" t="s">
        <v>14774</v>
      </c>
      <c r="X2194">
        <v>19</v>
      </c>
      <c r="Y2194" t="s">
        <v>20966</v>
      </c>
      <c r="Z2194" t="s">
        <v>27141</v>
      </c>
      <c r="AA2194">
        <v>0.47463138742593469</v>
      </c>
      <c r="AB2194" t="str">
        <f>HYPERLINK("Melting_Curves/meltCurve_P46060_RANGAP1.pdf", "Melting_Curves/meltCurve_P46060_RANGAP1.pdf")</f>
        <v>Melting_Curves/meltCurve_P46060_RANGAP1.pdf</v>
      </c>
    </row>
    <row r="2195" spans="1:28" x14ac:dyDescent="0.25">
      <c r="A2195" t="s">
        <v>2199</v>
      </c>
      <c r="B2195">
        <v>0.99987803227770999</v>
      </c>
      <c r="C2195">
        <v>1.0373766190890501</v>
      </c>
      <c r="D2195">
        <v>0.84064753934157399</v>
      </c>
      <c r="E2195">
        <v>0.652194554062836</v>
      </c>
      <c r="F2195">
        <v>0.210028324706306</v>
      </c>
      <c r="G2195">
        <v>0.13656490788162901</v>
      </c>
      <c r="H2195">
        <v>9.7739492106362694E-2</v>
      </c>
      <c r="I2195">
        <v>7.9018606869685606E-2</v>
      </c>
      <c r="J2195">
        <v>6.8172359649336198E-2</v>
      </c>
      <c r="K2195">
        <v>4.6958681773013398E-2</v>
      </c>
      <c r="L2195">
        <v>1312.5219447725599</v>
      </c>
      <c r="M2195">
        <v>26.013845842272499</v>
      </c>
      <c r="N2195">
        <v>50.737337576919003</v>
      </c>
      <c r="O2195">
        <v>50.159419062712701</v>
      </c>
      <c r="P2195">
        <v>-0.120913071907054</v>
      </c>
      <c r="Q2195">
        <v>6.7441274758359399E-2</v>
      </c>
      <c r="R2195">
        <v>0.98710240124019999</v>
      </c>
      <c r="S2195" t="s">
        <v>8506</v>
      </c>
      <c r="T2195" t="s">
        <v>12620</v>
      </c>
      <c r="U2195" t="s">
        <v>12620</v>
      </c>
      <c r="V2195" t="s">
        <v>12620</v>
      </c>
      <c r="W2195" t="s">
        <v>14775</v>
      </c>
      <c r="X2195">
        <v>26</v>
      </c>
      <c r="Y2195" t="s">
        <v>20967</v>
      </c>
      <c r="Z2195" t="s">
        <v>27142</v>
      </c>
      <c r="AA2195">
        <v>0.40016647569265679</v>
      </c>
      <c r="AB2195" t="str">
        <f>HYPERLINK("Melting_Curves/meltCurve_P46063_RECQL.pdf", "Melting_Curves/meltCurve_P46063_RECQL.pdf")</f>
        <v>Melting_Curves/meltCurve_P46063_RECQL.pdf</v>
      </c>
    </row>
    <row r="2196" spans="1:28" x14ac:dyDescent="0.25">
      <c r="A2196" t="s">
        <v>2200</v>
      </c>
      <c r="B2196">
        <v>0.99987803227770999</v>
      </c>
      <c r="C2196">
        <v>0.96781523216826604</v>
      </c>
      <c r="D2196">
        <v>1.1162336208324199</v>
      </c>
      <c r="E2196">
        <v>0.97069859662794999</v>
      </c>
      <c r="F2196">
        <v>1.1297972319784499</v>
      </c>
      <c r="G2196">
        <v>0.84570415513509201</v>
      </c>
      <c r="H2196">
        <v>0.84627979362134997</v>
      </c>
      <c r="I2196">
        <v>0.78413225792769503</v>
      </c>
      <c r="J2196">
        <v>0.82710975959918898</v>
      </c>
      <c r="K2196">
        <v>0.70076127692882695</v>
      </c>
      <c r="L2196">
        <v>14192.364990713</v>
      </c>
      <c r="M2196">
        <v>250</v>
      </c>
      <c r="O2196">
        <v>56.765827110828504</v>
      </c>
      <c r="P2196">
        <v>-0.23168564200679001</v>
      </c>
      <c r="Q2196">
        <v>0.78957076673769</v>
      </c>
      <c r="R2196">
        <v>0.75094487431248802</v>
      </c>
      <c r="S2196" t="s">
        <v>8507</v>
      </c>
      <c r="T2196" t="s">
        <v>12620</v>
      </c>
      <c r="U2196" t="s">
        <v>12620</v>
      </c>
      <c r="V2196" t="s">
        <v>12620</v>
      </c>
      <c r="W2196" t="s">
        <v>14776</v>
      </c>
      <c r="X2196">
        <v>15</v>
      </c>
      <c r="Y2196" t="s">
        <v>20968</v>
      </c>
      <c r="Z2196" t="s">
        <v>27143</v>
      </c>
      <c r="AA2196">
        <v>0.90721788510778689</v>
      </c>
      <c r="AB2196" t="str">
        <f>HYPERLINK("Melting_Curves/meltCurve_P46087_NOP2.pdf", "Melting_Curves/meltCurve_P46087_NOP2.pdf")</f>
        <v>Melting_Curves/meltCurve_P46087_NOP2.pdf</v>
      </c>
    </row>
    <row r="2197" spans="1:28" x14ac:dyDescent="0.25">
      <c r="A2197" t="s">
        <v>2201</v>
      </c>
      <c r="B2197">
        <v>0.99987803227770999</v>
      </c>
      <c r="C2197">
        <v>1.02349674196205</v>
      </c>
      <c r="D2197">
        <v>0.97035049778905902</v>
      </c>
      <c r="E2197">
        <v>0.89156172161946401</v>
      </c>
      <c r="F2197">
        <v>0.79994785376884603</v>
      </c>
      <c r="G2197">
        <v>0.638523026804653</v>
      </c>
      <c r="H2197">
        <v>0.637027742963025</v>
      </c>
      <c r="I2197">
        <v>0.54550710523282098</v>
      </c>
      <c r="J2197">
        <v>0.61658628495567802</v>
      </c>
      <c r="K2197">
        <v>0.47405826730063899</v>
      </c>
      <c r="L2197">
        <v>826.91389584586102</v>
      </c>
      <c r="M2197">
        <v>15.3238213540219</v>
      </c>
      <c r="O2197">
        <v>53.068719564209303</v>
      </c>
      <c r="P2197">
        <v>-3.4253156211627903E-2</v>
      </c>
      <c r="Q2197">
        <v>0.52554877570352998</v>
      </c>
      <c r="R2197">
        <v>0.964169152858391</v>
      </c>
      <c r="S2197" t="s">
        <v>8508</v>
      </c>
      <c r="T2197" t="s">
        <v>12620</v>
      </c>
      <c r="U2197" t="s">
        <v>12620</v>
      </c>
      <c r="V2197" t="s">
        <v>12620</v>
      </c>
      <c r="W2197" t="s">
        <v>14777</v>
      </c>
      <c r="X2197">
        <v>15</v>
      </c>
      <c r="Y2197" t="s">
        <v>20969</v>
      </c>
      <c r="Z2197" t="s">
        <v>27144</v>
      </c>
      <c r="AA2197">
        <v>0.7558635462716955</v>
      </c>
      <c r="AB2197" t="str">
        <f>HYPERLINK("Melting_Curves/meltCurve_P46100_4_ATRX.pdf", "Melting_Curves/meltCurve_P46100_4_ATRX.pdf")</f>
        <v>Melting_Curves/meltCurve_P46100_4_ATRX.pdf</v>
      </c>
    </row>
    <row r="2198" spans="1:28" x14ac:dyDescent="0.25">
      <c r="A2198" t="s">
        <v>2202</v>
      </c>
      <c r="B2198">
        <v>0.99987803227770999</v>
      </c>
      <c r="C2198">
        <v>0.87733334349237602</v>
      </c>
      <c r="D2198">
        <v>1.0415926054817599</v>
      </c>
      <c r="E2198">
        <v>0.90352450428533904</v>
      </c>
      <c r="F2198">
        <v>0.99953997866324096</v>
      </c>
      <c r="G2198">
        <v>0.50640402806318696</v>
      </c>
      <c r="H2198">
        <v>0.32427926798455797</v>
      </c>
      <c r="I2198">
        <v>0.22821549264890501</v>
      </c>
      <c r="J2198">
        <v>0.148773714154393</v>
      </c>
      <c r="K2198">
        <v>0.108738694451136</v>
      </c>
      <c r="L2198">
        <v>1543.35644297315</v>
      </c>
      <c r="M2198">
        <v>27.089870332133799</v>
      </c>
      <c r="N2198">
        <v>57.723759025790798</v>
      </c>
      <c r="O2198">
        <v>56.6639782490371</v>
      </c>
      <c r="P2198">
        <v>-0.101749849820448</v>
      </c>
      <c r="Q2198">
        <v>0.14868623164441</v>
      </c>
      <c r="R2198">
        <v>0.96786050748692098</v>
      </c>
      <c r="S2198" t="s">
        <v>8509</v>
      </c>
      <c r="T2198" t="s">
        <v>12620</v>
      </c>
      <c r="U2198" t="s">
        <v>12620</v>
      </c>
      <c r="V2198" t="s">
        <v>12620</v>
      </c>
      <c r="W2198" t="s">
        <v>14778</v>
      </c>
      <c r="X2198">
        <v>21</v>
      </c>
      <c r="Y2198" t="s">
        <v>20970</v>
      </c>
      <c r="Z2198" t="s">
        <v>27145</v>
      </c>
      <c r="AA2198">
        <v>0.63704355249948941</v>
      </c>
      <c r="AB2198" t="str">
        <f>HYPERLINK("Melting_Curves/meltCurve_P46108_CRK.pdf", "Melting_Curves/meltCurve_P46108_CRK.pdf")</f>
        <v>Melting_Curves/meltCurve_P46108_CRK.pdf</v>
      </c>
    </row>
    <row r="2199" spans="1:28" x14ac:dyDescent="0.25">
      <c r="A2199" t="s">
        <v>2203</v>
      </c>
      <c r="B2199">
        <v>0.99987803227770999</v>
      </c>
      <c r="C2199">
        <v>0.90729040051662702</v>
      </c>
      <c r="D2199">
        <v>1.02546305861364</v>
      </c>
      <c r="E2199">
        <v>0.94065675138460303</v>
      </c>
      <c r="F2199">
        <v>0.98242716784671402</v>
      </c>
      <c r="G2199">
        <v>0.72493338213304803</v>
      </c>
      <c r="H2199">
        <v>0.56744316794426197</v>
      </c>
      <c r="I2199">
        <v>0.41800309778917799</v>
      </c>
      <c r="J2199">
        <v>0.215981214626078</v>
      </c>
      <c r="K2199">
        <v>0.148478730957296</v>
      </c>
      <c r="L2199">
        <v>910.41208184152902</v>
      </c>
      <c r="M2199">
        <v>14.709311259023799</v>
      </c>
      <c r="N2199">
        <v>61.893596431783003</v>
      </c>
      <c r="O2199">
        <v>60.7834140748339</v>
      </c>
      <c r="P2199">
        <v>-6.0505490958684703E-2</v>
      </c>
      <c r="Q2199">
        <v>0</v>
      </c>
      <c r="R2199">
        <v>0.98090660449502398</v>
      </c>
      <c r="S2199" t="s">
        <v>8510</v>
      </c>
      <c r="T2199" t="s">
        <v>12620</v>
      </c>
      <c r="U2199" t="s">
        <v>12620</v>
      </c>
      <c r="V2199" t="s">
        <v>12620</v>
      </c>
      <c r="W2199" t="s">
        <v>14779</v>
      </c>
      <c r="X2199">
        <v>12</v>
      </c>
      <c r="Y2199" t="s">
        <v>20971</v>
      </c>
      <c r="Z2199" t="s">
        <v>27146</v>
      </c>
      <c r="AA2199">
        <v>0.72700096019185023</v>
      </c>
      <c r="AB2199" t="str">
        <f>HYPERLINK("Melting_Curves/meltCurve_P46109_CRKL.pdf", "Melting_Curves/meltCurve_P46109_CRKL.pdf")</f>
        <v>Melting_Curves/meltCurve_P46109_CRKL.pdf</v>
      </c>
    </row>
    <row r="2200" spans="1:28" x14ac:dyDescent="0.25">
      <c r="A2200" t="s">
        <v>2204</v>
      </c>
      <c r="B2200">
        <v>0.99987803227770999</v>
      </c>
      <c r="C2200">
        <v>0.69107970011560704</v>
      </c>
      <c r="D2200">
        <v>0.44586691297756098</v>
      </c>
      <c r="E2200">
        <v>0.266050910399244</v>
      </c>
      <c r="F2200">
        <v>0.18433260965215501</v>
      </c>
      <c r="G2200">
        <v>0.106496624593425</v>
      </c>
      <c r="H2200">
        <v>7.8850336035225205E-2</v>
      </c>
      <c r="I2200">
        <v>8.2328843478046504E-2</v>
      </c>
      <c r="J2200">
        <v>8.2360634234609806E-2</v>
      </c>
      <c r="K2200">
        <v>5.9824406811045699E-2</v>
      </c>
      <c r="L2200">
        <v>762.41960587710196</v>
      </c>
      <c r="M2200">
        <v>16.872278987934202</v>
      </c>
      <c r="N2200">
        <v>45.660501798537503</v>
      </c>
      <c r="O2200">
        <v>44.567246749092298</v>
      </c>
      <c r="P2200">
        <v>-8.7064829168676403E-2</v>
      </c>
      <c r="Q2200">
        <v>8.0149700773852903E-2</v>
      </c>
      <c r="R2200">
        <v>0.98460901529842404</v>
      </c>
      <c r="S2200" t="s">
        <v>8511</v>
      </c>
      <c r="T2200" t="s">
        <v>12620</v>
      </c>
      <c r="U2200" t="s">
        <v>12620</v>
      </c>
      <c r="V2200" t="s">
        <v>12620</v>
      </c>
      <c r="W2200" t="s">
        <v>14780</v>
      </c>
      <c r="X2200">
        <v>4</v>
      </c>
      <c r="Y2200" t="s">
        <v>20972</v>
      </c>
      <c r="Z2200" t="s">
        <v>27147</v>
      </c>
      <c r="AA2200">
        <v>0.2616799930177251</v>
      </c>
      <c r="AB2200" t="str">
        <f>HYPERLINK("Melting_Curves/meltCurve_P46199_MTIF2.pdf", "Melting_Curves/meltCurve_P46199_MTIF2.pdf")</f>
        <v>Melting_Curves/meltCurve_P46199_MTIF2.pdf</v>
      </c>
    </row>
    <row r="2201" spans="1:28" x14ac:dyDescent="0.25">
      <c r="A2201" t="s">
        <v>2205</v>
      </c>
      <c r="B2201">
        <v>0.99987803227770999</v>
      </c>
      <c r="C2201">
        <v>0.94839897908080495</v>
      </c>
      <c r="D2201">
        <v>0.97967125316511605</v>
      </c>
      <c r="E2201">
        <v>0.92824581196473999</v>
      </c>
      <c r="F2201">
        <v>0.92021445760031995</v>
      </c>
      <c r="G2201">
        <v>0.83414630928376898</v>
      </c>
      <c r="H2201">
        <v>1.0089784223606699</v>
      </c>
      <c r="I2201">
        <v>0.96253169026666996</v>
      </c>
      <c r="J2201">
        <v>0.98275599807729597</v>
      </c>
      <c r="K2201">
        <v>0.85729574002671005</v>
      </c>
      <c r="L2201">
        <v>803.85460317880597</v>
      </c>
      <c r="M2201">
        <v>18.284395862352198</v>
      </c>
      <c r="O2201">
        <v>43.448225955842297</v>
      </c>
      <c r="P2201">
        <v>-7.5667518692542996E-3</v>
      </c>
      <c r="Q2201">
        <v>0.928081500270449</v>
      </c>
      <c r="R2201">
        <v>0.14541068832568099</v>
      </c>
      <c r="S2201" t="s">
        <v>8512</v>
      </c>
      <c r="T2201" t="s">
        <v>12620</v>
      </c>
      <c r="U2201" t="s">
        <v>12620</v>
      </c>
      <c r="V2201" t="s">
        <v>12620</v>
      </c>
      <c r="W2201" t="s">
        <v>14781</v>
      </c>
      <c r="X2201">
        <v>7</v>
      </c>
      <c r="Y2201" t="s">
        <v>20973</v>
      </c>
      <c r="Z2201" t="s">
        <v>27148</v>
      </c>
      <c r="AA2201">
        <v>0.9393056997782977</v>
      </c>
      <c r="AB2201" t="str">
        <f>HYPERLINK("Melting_Curves/meltCurve_P46527_CDKN1B.pdf", "Melting_Curves/meltCurve_P46527_CDKN1B.pdf")</f>
        <v>Melting_Curves/meltCurve_P46527_CDKN1B.pdf</v>
      </c>
    </row>
    <row r="2202" spans="1:28" x14ac:dyDescent="0.25">
      <c r="A2202" t="s">
        <v>2206</v>
      </c>
      <c r="B2202">
        <v>0.99987803227770999</v>
      </c>
      <c r="C2202">
        <v>0.69695554024485296</v>
      </c>
      <c r="D2202">
        <v>0.53093730708898101</v>
      </c>
      <c r="E2202">
        <v>0.17192201473917201</v>
      </c>
      <c r="F2202">
        <v>9.0813990687567694E-2</v>
      </c>
      <c r="G2202">
        <v>6.3371028238469407E-2</v>
      </c>
      <c r="H2202">
        <v>4.2491172933415498E-2</v>
      </c>
      <c r="I2202">
        <v>3.6767018116251701E-2</v>
      </c>
      <c r="J2202">
        <v>3.15616159447367E-2</v>
      </c>
      <c r="K2202">
        <v>2.26786247672775E-2</v>
      </c>
      <c r="L2202">
        <v>829.69242561485805</v>
      </c>
      <c r="M2202">
        <v>18.1677400304348</v>
      </c>
      <c r="N2202">
        <v>45.810748380228098</v>
      </c>
      <c r="O2202">
        <v>45.125924190554301</v>
      </c>
      <c r="P2202">
        <v>-9.7893430321710995E-2</v>
      </c>
      <c r="Q2202">
        <v>2.7436240961449899E-2</v>
      </c>
      <c r="R2202">
        <v>0.98785461106134898</v>
      </c>
      <c r="S2202" t="s">
        <v>8513</v>
      </c>
      <c r="T2202" t="s">
        <v>12620</v>
      </c>
      <c r="U2202" t="s">
        <v>12620</v>
      </c>
      <c r="V2202" t="s">
        <v>12620</v>
      </c>
      <c r="W2202" t="s">
        <v>14782</v>
      </c>
      <c r="X2202">
        <v>9</v>
      </c>
      <c r="Y2202" t="s">
        <v>20974</v>
      </c>
      <c r="Z2202" t="s">
        <v>27149</v>
      </c>
      <c r="AA2202">
        <v>0.23041397849909681</v>
      </c>
      <c r="AB2202" t="str">
        <f>HYPERLINK("Melting_Curves/meltCurve_P46734_MAP2K3.pdf", "Melting_Curves/meltCurve_P46734_MAP2K3.pdf")</f>
        <v>Melting_Curves/meltCurve_P46734_MAP2K3.pdf</v>
      </c>
    </row>
    <row r="2203" spans="1:28" x14ac:dyDescent="0.25">
      <c r="A2203" t="s">
        <v>2207</v>
      </c>
      <c r="B2203">
        <v>0.99987803227770999</v>
      </c>
      <c r="C2203">
        <v>1.1104382528749701</v>
      </c>
      <c r="D2203">
        <v>0.90889549145009396</v>
      </c>
      <c r="E2203">
        <v>1.15801320971301</v>
      </c>
      <c r="F2203">
        <v>0.73962080707420397</v>
      </c>
      <c r="G2203">
        <v>0.76063188340165799</v>
      </c>
      <c r="H2203">
        <v>0.54413086614724604</v>
      </c>
      <c r="I2203">
        <v>0.23760898613694101</v>
      </c>
      <c r="J2203">
        <v>0.15018914420085799</v>
      </c>
      <c r="K2203">
        <v>8.4953425417059206E-2</v>
      </c>
      <c r="L2203">
        <v>1020.53898968619</v>
      </c>
      <c r="M2203">
        <v>16.849548253076101</v>
      </c>
      <c r="N2203">
        <v>60.567736010348</v>
      </c>
      <c r="O2203">
        <v>59.733902304771497</v>
      </c>
      <c r="P2203">
        <v>-7.0523714620488204E-2</v>
      </c>
      <c r="Q2203">
        <v>0</v>
      </c>
      <c r="R2203">
        <v>0.933685003899139</v>
      </c>
      <c r="S2203" t="s">
        <v>8514</v>
      </c>
      <c r="T2203" t="s">
        <v>12620</v>
      </c>
      <c r="U2203" t="s">
        <v>12620</v>
      </c>
      <c r="V2203" t="s">
        <v>12620</v>
      </c>
      <c r="W2203" t="s">
        <v>14783</v>
      </c>
      <c r="X2203">
        <v>6</v>
      </c>
      <c r="Y2203" t="s">
        <v>20975</v>
      </c>
      <c r="Z2203" t="s">
        <v>27150</v>
      </c>
      <c r="AA2203">
        <v>0.69168585017240813</v>
      </c>
      <c r="AB2203" t="str">
        <f>HYPERLINK("Melting_Curves/meltCurve_P46736_2_BRCC3.pdf", "Melting_Curves/meltCurve_P46736_2_BRCC3.pdf")</f>
        <v>Melting_Curves/meltCurve_P46736_2_BRCC3.pdf</v>
      </c>
    </row>
    <row r="2204" spans="1:28" x14ac:dyDescent="0.25">
      <c r="A2204" t="s">
        <v>2208</v>
      </c>
      <c r="B2204">
        <v>0.99987803227770999</v>
      </c>
      <c r="C2204">
        <v>1.18764679634626</v>
      </c>
      <c r="D2204">
        <v>0.58218527338104598</v>
      </c>
      <c r="E2204">
        <v>0.62622390666736105</v>
      </c>
      <c r="F2204">
        <v>0.19722409844234701</v>
      </c>
      <c r="G2204">
        <v>0.12351826675149501</v>
      </c>
      <c r="H2204">
        <v>7.9475018595166994E-2</v>
      </c>
      <c r="I2204">
        <v>7.0283683294525195E-2</v>
      </c>
      <c r="J2204">
        <v>5.49842913558291E-2</v>
      </c>
      <c r="K2204">
        <v>4.21925811908117E-2</v>
      </c>
      <c r="L2204">
        <v>873.76293471284896</v>
      </c>
      <c r="M2204">
        <v>17.6332710098539</v>
      </c>
      <c r="N2204">
        <v>49.796133750221898</v>
      </c>
      <c r="O2204">
        <v>48.9278225349168</v>
      </c>
      <c r="P2204">
        <v>-8.6371337247179894E-2</v>
      </c>
      <c r="Q2204">
        <v>4.1417672956473597E-2</v>
      </c>
      <c r="R2204">
        <v>0.91675246638098495</v>
      </c>
      <c r="S2204" t="s">
        <v>8515</v>
      </c>
      <c r="T2204" t="s">
        <v>12620</v>
      </c>
      <c r="U2204" t="s">
        <v>12620</v>
      </c>
      <c r="V2204" t="s">
        <v>12620</v>
      </c>
      <c r="W2204" t="s">
        <v>14784</v>
      </c>
      <c r="X2204">
        <v>16</v>
      </c>
      <c r="Y2204" t="s">
        <v>20976</v>
      </c>
      <c r="Z2204" t="s">
        <v>27151</v>
      </c>
      <c r="AA2204">
        <v>0.36374739865414729</v>
      </c>
      <c r="AB2204" t="str">
        <f>HYPERLINK("Melting_Curves/meltCurve_P46777_RPL5.pdf", "Melting_Curves/meltCurve_P46777_RPL5.pdf")</f>
        <v>Melting_Curves/meltCurve_P46777_RPL5.pdf</v>
      </c>
    </row>
    <row r="2205" spans="1:28" x14ac:dyDescent="0.25">
      <c r="A2205" t="s">
        <v>2209</v>
      </c>
      <c r="B2205">
        <v>0.99987803227770999</v>
      </c>
      <c r="C2205">
        <v>1.1578644577252299</v>
      </c>
      <c r="D2205">
        <v>0.94520590570229601</v>
      </c>
      <c r="E2205">
        <v>0.76972653672998503</v>
      </c>
      <c r="F2205">
        <v>0.36289581323748599</v>
      </c>
      <c r="G2205">
        <v>0.14943235601598101</v>
      </c>
      <c r="H2205">
        <v>0.109019232956578</v>
      </c>
      <c r="I2205">
        <v>9.9990574041208105E-2</v>
      </c>
      <c r="J2205">
        <v>0.121718241226814</v>
      </c>
      <c r="K2205">
        <v>9.4215320656214602E-2</v>
      </c>
      <c r="L2205">
        <v>1683.24968960351</v>
      </c>
      <c r="M2205">
        <v>32.640340906890003</v>
      </c>
      <c r="N2205">
        <v>51.945491970066698</v>
      </c>
      <c r="O2205">
        <v>51.377199474229101</v>
      </c>
      <c r="P2205">
        <v>-0.14212161192238801</v>
      </c>
      <c r="Q2205">
        <v>0.10518385571999</v>
      </c>
      <c r="R2205">
        <v>0.98407435216817696</v>
      </c>
      <c r="S2205" t="s">
        <v>8516</v>
      </c>
      <c r="T2205" t="s">
        <v>12620</v>
      </c>
      <c r="U2205" t="s">
        <v>12620</v>
      </c>
      <c r="V2205" t="s">
        <v>12620</v>
      </c>
      <c r="W2205" t="s">
        <v>14785</v>
      </c>
      <c r="X2205">
        <v>5</v>
      </c>
      <c r="Y2205" t="s">
        <v>20977</v>
      </c>
      <c r="Z2205" t="s">
        <v>27152</v>
      </c>
      <c r="AA2205">
        <v>0.45507086236612682</v>
      </c>
      <c r="AB2205" t="str">
        <f>HYPERLINK("Melting_Curves/meltCurve_P46778_RPL21.pdf", "Melting_Curves/meltCurve_P46778_RPL21.pdf")</f>
        <v>Melting_Curves/meltCurve_P46778_RPL21.pdf</v>
      </c>
    </row>
    <row r="2206" spans="1:28" x14ac:dyDescent="0.25">
      <c r="A2206" t="s">
        <v>2210</v>
      </c>
      <c r="B2206">
        <v>0.99987803227770999</v>
      </c>
      <c r="C2206">
        <v>0.93055236707528699</v>
      </c>
      <c r="D2206">
        <v>0.78811497724308199</v>
      </c>
      <c r="E2206">
        <v>0.67381488683211399</v>
      </c>
      <c r="F2206">
        <v>0.45263441998141402</v>
      </c>
      <c r="G2206">
        <v>0.24076777605191399</v>
      </c>
      <c r="H2206">
        <v>0.14291431915539499</v>
      </c>
      <c r="I2206">
        <v>0.10021017112654899</v>
      </c>
      <c r="J2206">
        <v>0.11744267280211999</v>
      </c>
      <c r="K2206">
        <v>8.8732282022796094E-2</v>
      </c>
      <c r="L2206">
        <v>674.47422078051295</v>
      </c>
      <c r="M2206">
        <v>13.0516348487815</v>
      </c>
      <c r="N2206">
        <v>52.064655692523999</v>
      </c>
      <c r="O2206">
        <v>50.5093479038851</v>
      </c>
      <c r="P2206">
        <v>-6.1622402438543701E-2</v>
      </c>
      <c r="Q2206">
        <v>4.6260167643795903E-2</v>
      </c>
      <c r="R2206">
        <v>0.99368052962058695</v>
      </c>
      <c r="S2206" t="s">
        <v>8517</v>
      </c>
      <c r="T2206" t="s">
        <v>12620</v>
      </c>
      <c r="U2206" t="s">
        <v>12620</v>
      </c>
      <c r="V2206" t="s">
        <v>12620</v>
      </c>
      <c r="W2206" t="s">
        <v>14786</v>
      </c>
      <c r="X2206">
        <v>9</v>
      </c>
      <c r="Y2206" t="s">
        <v>20978</v>
      </c>
      <c r="Z2206" t="s">
        <v>27153</v>
      </c>
      <c r="AA2206">
        <v>0.44405287633409318</v>
      </c>
      <c r="AB2206" t="str">
        <f>HYPERLINK("Melting_Curves/meltCurve_P46779_RPL28.pdf", "Melting_Curves/meltCurve_P46779_RPL28.pdf")</f>
        <v>Melting_Curves/meltCurve_P46779_RPL28.pdf</v>
      </c>
    </row>
    <row r="2207" spans="1:28" x14ac:dyDescent="0.25">
      <c r="A2207" t="s">
        <v>2211</v>
      </c>
      <c r="B2207">
        <v>0.99987803227770999</v>
      </c>
      <c r="C2207">
        <v>0.99572710666808395</v>
      </c>
      <c r="D2207">
        <v>0.83445107706523802</v>
      </c>
      <c r="E2207">
        <v>0.76022794812401895</v>
      </c>
      <c r="F2207">
        <v>0.44005862165881399</v>
      </c>
      <c r="G2207">
        <v>0.19389514928003301</v>
      </c>
      <c r="H2207">
        <v>9.2623307777798702E-2</v>
      </c>
      <c r="I2207">
        <v>6.5191038672417295E-2</v>
      </c>
      <c r="J2207">
        <v>5.8239441106136901E-2</v>
      </c>
      <c r="K2207">
        <v>4.1281899800235299E-2</v>
      </c>
      <c r="L2207">
        <v>929.52800033963695</v>
      </c>
      <c r="M2207">
        <v>17.7769073451297</v>
      </c>
      <c r="N2207">
        <v>52.455483626101703</v>
      </c>
      <c r="O2207">
        <v>51.6403002063754</v>
      </c>
      <c r="P2207">
        <v>-8.3698522362357405E-2</v>
      </c>
      <c r="Q2207">
        <v>2.7503998092976802E-2</v>
      </c>
      <c r="R2207">
        <v>0.99207387178288298</v>
      </c>
      <c r="S2207" t="s">
        <v>8518</v>
      </c>
      <c r="T2207" t="s">
        <v>12620</v>
      </c>
      <c r="U2207" t="s">
        <v>12620</v>
      </c>
      <c r="V2207" t="s">
        <v>12620</v>
      </c>
      <c r="W2207" t="s">
        <v>14787</v>
      </c>
      <c r="X2207">
        <v>15</v>
      </c>
      <c r="Y2207" t="s">
        <v>20979</v>
      </c>
      <c r="Z2207" t="s">
        <v>27154</v>
      </c>
      <c r="AA2207">
        <v>0.44231044945140302</v>
      </c>
      <c r="AB2207" t="str">
        <f>HYPERLINK("Melting_Curves/meltCurve_P46781_RPS9.pdf", "Melting_Curves/meltCurve_P46781_RPS9.pdf")</f>
        <v>Melting_Curves/meltCurve_P46781_RPS9.pdf</v>
      </c>
    </row>
    <row r="2208" spans="1:28" x14ac:dyDescent="0.25">
      <c r="A2208" t="s">
        <v>2212</v>
      </c>
      <c r="B2208">
        <v>0.99987803227770999</v>
      </c>
      <c r="C2208">
        <v>0.74387136750545702</v>
      </c>
      <c r="D2208">
        <v>0.67637561537891999</v>
      </c>
      <c r="E2208">
        <v>0.534327646615117</v>
      </c>
      <c r="F2208">
        <v>0.52833218656771097</v>
      </c>
      <c r="G2208">
        <v>0.41164647344889199</v>
      </c>
      <c r="H2208">
        <v>0.43299958735482003</v>
      </c>
      <c r="I2208">
        <v>0.42110807057878102</v>
      </c>
      <c r="J2208">
        <v>0.41287710501328001</v>
      </c>
      <c r="K2208">
        <v>0.36560780800304699</v>
      </c>
      <c r="L2208">
        <v>600.92017319120396</v>
      </c>
      <c r="M2208">
        <v>13.2208358457946</v>
      </c>
      <c r="N2208">
        <v>51.685246159359899</v>
      </c>
      <c r="O2208">
        <v>44.450372891879503</v>
      </c>
      <c r="P2208">
        <v>-4.4735175395526898E-2</v>
      </c>
      <c r="Q2208">
        <v>0.398475064482883</v>
      </c>
      <c r="R2208">
        <v>0.952950029973754</v>
      </c>
      <c r="S2208" t="s">
        <v>8519</v>
      </c>
      <c r="T2208" t="s">
        <v>12620</v>
      </c>
      <c r="U2208" t="s">
        <v>12620</v>
      </c>
      <c r="V2208" t="s">
        <v>12620</v>
      </c>
      <c r="W2208" t="s">
        <v>14788</v>
      </c>
      <c r="X2208">
        <v>12</v>
      </c>
      <c r="Y2208" t="s">
        <v>20980</v>
      </c>
      <c r="Z2208" t="s">
        <v>27155</v>
      </c>
      <c r="AA2208">
        <v>0.53168184309587685</v>
      </c>
      <c r="AB2208" t="str">
        <f>HYPERLINK("Melting_Curves/meltCurve_P46783_RPS10.pdf", "Melting_Curves/meltCurve_P46783_RPS10.pdf")</f>
        <v>Melting_Curves/meltCurve_P46783_RPS10.pdf</v>
      </c>
    </row>
    <row r="2209" spans="1:28" x14ac:dyDescent="0.25">
      <c r="A2209" t="s">
        <v>2213</v>
      </c>
      <c r="B2209">
        <v>0.99987803227770999</v>
      </c>
      <c r="C2209">
        <v>1.15663818237421</v>
      </c>
      <c r="D2209">
        <v>0.99530313174126595</v>
      </c>
      <c r="E2209">
        <v>1.14582613922809</v>
      </c>
      <c r="F2209">
        <v>0.89131979921027704</v>
      </c>
      <c r="G2209">
        <v>1.0780927001115701</v>
      </c>
      <c r="H2209">
        <v>0.80695304151745795</v>
      </c>
      <c r="I2209">
        <v>0.63439715668713603</v>
      </c>
      <c r="J2209">
        <v>0.66254213283685504</v>
      </c>
      <c r="K2209">
        <v>0.53349181976959803</v>
      </c>
      <c r="L2209">
        <v>4302.4007886770696</v>
      </c>
      <c r="M2209">
        <v>70.432972182355002</v>
      </c>
      <c r="O2209">
        <v>61.035851442648202</v>
      </c>
      <c r="P2209">
        <v>-0.11426400163657099</v>
      </c>
      <c r="Q2209">
        <v>0.60392419950893295</v>
      </c>
      <c r="R2209">
        <v>0.83706330235364701</v>
      </c>
      <c r="S2209" t="s">
        <v>8520</v>
      </c>
      <c r="T2209" t="s">
        <v>12620</v>
      </c>
      <c r="U2209" t="s">
        <v>12620</v>
      </c>
      <c r="V2209" t="s">
        <v>12620</v>
      </c>
      <c r="W2209" t="s">
        <v>14789</v>
      </c>
      <c r="X2209">
        <v>103</v>
      </c>
      <c r="Y2209" t="s">
        <v>20981</v>
      </c>
      <c r="Z2209" t="s">
        <v>27156</v>
      </c>
      <c r="AA2209">
        <v>0.88283433261217259</v>
      </c>
      <c r="AB2209" t="str">
        <f>HYPERLINK("Melting_Curves/meltCurve_P46821_MAP1B.pdf", "Melting_Curves/meltCurve_P46821_MAP1B.pdf")</f>
        <v>Melting_Curves/meltCurve_P46821_MAP1B.pdf</v>
      </c>
    </row>
    <row r="2210" spans="1:28" x14ac:dyDescent="0.25">
      <c r="A2210" t="s">
        <v>2214</v>
      </c>
      <c r="B2210">
        <v>0.99987803227770999</v>
      </c>
      <c r="C2210">
        <v>1.15685818994792</v>
      </c>
      <c r="D2210">
        <v>0.93936413686758902</v>
      </c>
      <c r="E2210">
        <v>1.1489299688983301</v>
      </c>
      <c r="F2210">
        <v>0.856664797429321</v>
      </c>
      <c r="G2210">
        <v>0.99913969532175095</v>
      </c>
      <c r="H2210">
        <v>1.2823117776999799</v>
      </c>
      <c r="I2210">
        <v>1.15344495078385</v>
      </c>
      <c r="J2210">
        <v>0.54950609048426702</v>
      </c>
      <c r="K2210">
        <v>9.9476531630766099E-2</v>
      </c>
      <c r="L2210">
        <v>15000</v>
      </c>
      <c r="M2210">
        <v>223.88140715839501</v>
      </c>
      <c r="N2210">
        <v>67.066161580981401</v>
      </c>
      <c r="O2210">
        <v>66.994407985779304</v>
      </c>
      <c r="P2210">
        <v>-0.75239533544615</v>
      </c>
      <c r="Q2210">
        <v>9.9411010672467104E-2</v>
      </c>
      <c r="R2210">
        <v>0.84466182779680399</v>
      </c>
      <c r="S2210" t="s">
        <v>8521</v>
      </c>
      <c r="T2210" t="s">
        <v>12620</v>
      </c>
      <c r="U2210" t="s">
        <v>12620</v>
      </c>
      <c r="V2210" t="s">
        <v>12620</v>
      </c>
      <c r="W2210" t="s">
        <v>14790</v>
      </c>
      <c r="X2210">
        <v>12</v>
      </c>
      <c r="Y2210" t="s">
        <v>20982</v>
      </c>
      <c r="Z2210" t="s">
        <v>27157</v>
      </c>
      <c r="AA2210">
        <v>0.91006520026653182</v>
      </c>
      <c r="AB2210" t="str">
        <f>HYPERLINK("Melting_Curves/meltCurve_P46926_GNPDA1.pdf", "Melting_Curves/meltCurve_P46926_GNPDA1.pdf")</f>
        <v>Melting_Curves/meltCurve_P46926_GNPDA1.pdf</v>
      </c>
    </row>
    <row r="2211" spans="1:28" x14ac:dyDescent="0.25">
      <c r="A2211" t="s">
        <v>2215</v>
      </c>
      <c r="B2211">
        <v>0.99987803227770999</v>
      </c>
      <c r="C2211">
        <v>0.67373478215198301</v>
      </c>
      <c r="D2211">
        <v>1.39765843343025</v>
      </c>
      <c r="E2211">
        <v>0.74288461452200905</v>
      </c>
      <c r="F2211">
        <v>0.97353850589273006</v>
      </c>
      <c r="G2211">
        <v>0.66462364670491803</v>
      </c>
      <c r="H2211">
        <v>0.74698305721218305</v>
      </c>
      <c r="I2211">
        <v>0.74405852665579897</v>
      </c>
      <c r="J2211">
        <v>0.83891796440867705</v>
      </c>
      <c r="K2211">
        <v>0.69187840584529703</v>
      </c>
      <c r="L2211">
        <v>1384.2212509252299</v>
      </c>
      <c r="M2211">
        <v>26.789116358027599</v>
      </c>
      <c r="O2211">
        <v>51.385679951001698</v>
      </c>
      <c r="P2211">
        <v>-3.32997491376988E-2</v>
      </c>
      <c r="Q2211">
        <v>0.744506281664438</v>
      </c>
      <c r="R2211">
        <v>0.24918129199664399</v>
      </c>
      <c r="S2211" t="s">
        <v>8522</v>
      </c>
      <c r="T2211" t="s">
        <v>12620</v>
      </c>
      <c r="U2211" t="s">
        <v>12620</v>
      </c>
      <c r="V2211" t="s">
        <v>12620</v>
      </c>
      <c r="W2211" t="s">
        <v>14791</v>
      </c>
      <c r="X2211">
        <v>19</v>
      </c>
      <c r="Y2211" t="s">
        <v>20983</v>
      </c>
      <c r="Z2211" t="s">
        <v>27158</v>
      </c>
      <c r="AA2211">
        <v>0.8459334886455856</v>
      </c>
      <c r="AB2211" t="str">
        <f>HYPERLINK("Melting_Curves/meltCurve_P46934_2_NEDD4.pdf", "Melting_Curves/meltCurve_P46934_2_NEDD4.pdf")</f>
        <v>Melting_Curves/meltCurve_P46934_2_NEDD4.pdf</v>
      </c>
    </row>
    <row r="2212" spans="1:28" x14ac:dyDescent="0.25">
      <c r="A2212" t="s">
        <v>2216</v>
      </c>
      <c r="B2212">
        <v>0.99987803227770999</v>
      </c>
      <c r="C2212">
        <v>1.0379682407878501</v>
      </c>
      <c r="D2212">
        <v>1.03587940672459</v>
      </c>
      <c r="E2212">
        <v>0.92985373314518105</v>
      </c>
      <c r="F2212">
        <v>0.39055503903739602</v>
      </c>
      <c r="G2212">
        <v>0.21890369232890899</v>
      </c>
      <c r="H2212">
        <v>0.12244158629547799</v>
      </c>
      <c r="I2212">
        <v>9.8921526196127804E-2</v>
      </c>
      <c r="J2212">
        <v>7.0022615560421206E-2</v>
      </c>
      <c r="K2212">
        <v>4.9623407911221599E-2</v>
      </c>
      <c r="L2212">
        <v>2535.9409835032502</v>
      </c>
      <c r="M2212">
        <v>48.531569143754197</v>
      </c>
      <c r="N2212">
        <v>52.513096492058601</v>
      </c>
      <c r="O2212">
        <v>52.1649240933044</v>
      </c>
      <c r="P2212">
        <v>-0.207775656381672</v>
      </c>
      <c r="Q2212">
        <v>0.10667679678125901</v>
      </c>
      <c r="R2212">
        <v>0.99011589621773799</v>
      </c>
      <c r="S2212" t="s">
        <v>8523</v>
      </c>
      <c r="T2212" t="s">
        <v>12620</v>
      </c>
      <c r="U2212" t="s">
        <v>12620</v>
      </c>
      <c r="V2212" t="s">
        <v>12620</v>
      </c>
      <c r="W2212" t="s">
        <v>14792</v>
      </c>
      <c r="X2212">
        <v>23</v>
      </c>
      <c r="Y2212" t="s">
        <v>20983</v>
      </c>
      <c r="Z2212" t="s">
        <v>27159</v>
      </c>
      <c r="AA2212">
        <v>0.47373860923754629</v>
      </c>
      <c r="AB2212" t="str">
        <f>HYPERLINK("Melting_Curves/meltCurve_P46934_4_NEDD4.pdf", "Melting_Curves/meltCurve_P46934_4_NEDD4.pdf")</f>
        <v>Melting_Curves/meltCurve_P46934_4_NEDD4.pdf</v>
      </c>
    </row>
    <row r="2213" spans="1:28" x14ac:dyDescent="0.25">
      <c r="A2213" t="s">
        <v>2217</v>
      </c>
      <c r="B2213">
        <v>0.99987803227770999</v>
      </c>
      <c r="C2213">
        <v>0.92876031360059497</v>
      </c>
      <c r="D2213">
        <v>0.97434064913184404</v>
      </c>
      <c r="E2213">
        <v>0.82959328477551897</v>
      </c>
      <c r="F2213">
        <v>0.96236226726761898</v>
      </c>
      <c r="G2213">
        <v>0.82145396018900696</v>
      </c>
      <c r="H2213">
        <v>0.92478978302609904</v>
      </c>
      <c r="I2213">
        <v>0.91303708969229502</v>
      </c>
      <c r="J2213">
        <v>0.87165448924923805</v>
      </c>
      <c r="K2213">
        <v>0.71985956777859195</v>
      </c>
      <c r="L2213">
        <v>188.33811380033001</v>
      </c>
      <c r="M2213">
        <v>1.2346404924684</v>
      </c>
      <c r="O2213">
        <v>64.601031807949596</v>
      </c>
      <c r="P2213">
        <v>-5.9727437466534101E-3</v>
      </c>
      <c r="Q2213">
        <v>0</v>
      </c>
      <c r="R2213">
        <v>0.42695877529077603</v>
      </c>
      <c r="S2213" t="s">
        <v>8524</v>
      </c>
      <c r="T2213" t="s">
        <v>12620</v>
      </c>
      <c r="U2213" t="s">
        <v>12620</v>
      </c>
      <c r="V2213" t="s">
        <v>12620</v>
      </c>
      <c r="W2213" t="s">
        <v>14793</v>
      </c>
      <c r="X2213">
        <v>12</v>
      </c>
      <c r="Y2213" t="s">
        <v>20984</v>
      </c>
      <c r="Z2213" t="s">
        <v>27160</v>
      </c>
      <c r="AA2213">
        <v>0.89640420298404322</v>
      </c>
      <c r="AB2213" t="str">
        <f>HYPERLINK("Melting_Curves/meltCurve_P46937_YAP1.pdf", "Melting_Curves/meltCurve_P46937_YAP1.pdf")</f>
        <v>Melting_Curves/meltCurve_P46937_YAP1.pdf</v>
      </c>
    </row>
    <row r="2214" spans="1:28" x14ac:dyDescent="0.25">
      <c r="A2214" t="s">
        <v>2218</v>
      </c>
      <c r="B2214">
        <v>0.99987803227770999</v>
      </c>
      <c r="C2214">
        <v>1.02868621096017</v>
      </c>
      <c r="D2214">
        <v>0.97106344953295598</v>
      </c>
      <c r="E2214">
        <v>0.87395012573044994</v>
      </c>
      <c r="F2214">
        <v>0.76003221579096703</v>
      </c>
      <c r="G2214">
        <v>0.41375569632195203</v>
      </c>
      <c r="H2214">
        <v>0.56132895465113497</v>
      </c>
      <c r="I2214">
        <v>0.42679766358141102</v>
      </c>
      <c r="J2214">
        <v>0.512367499783143</v>
      </c>
      <c r="K2214">
        <v>0.54426266848565097</v>
      </c>
      <c r="L2214">
        <v>1796.54095521861</v>
      </c>
      <c r="M2214">
        <v>34.185341064296097</v>
      </c>
      <c r="N2214">
        <v>59.264744655826597</v>
      </c>
      <c r="O2214">
        <v>52.374108533443099</v>
      </c>
      <c r="P2214">
        <v>-8.3288877466116296E-2</v>
      </c>
      <c r="Q2214">
        <v>0.48958666638425202</v>
      </c>
      <c r="R2214">
        <v>0.94323477049499804</v>
      </c>
      <c r="S2214" t="s">
        <v>8525</v>
      </c>
      <c r="T2214" t="s">
        <v>12620</v>
      </c>
      <c r="U2214" t="s">
        <v>12620</v>
      </c>
      <c r="V2214" t="s">
        <v>12620</v>
      </c>
      <c r="W2214" t="s">
        <v>14794</v>
      </c>
      <c r="X2214">
        <v>12</v>
      </c>
      <c r="Y2214" t="s">
        <v>20984</v>
      </c>
      <c r="Z2214" t="s">
        <v>27161</v>
      </c>
      <c r="AA2214">
        <v>0.7056979074392371</v>
      </c>
      <c r="AB2214" t="str">
        <f>HYPERLINK("Melting_Curves/meltCurve_P46937_2_YAP1.pdf", "Melting_Curves/meltCurve_P46937_2_YAP1.pdf")</f>
        <v>Melting_Curves/meltCurve_P46937_2_YAP1.pdf</v>
      </c>
    </row>
    <row r="2215" spans="1:28" x14ac:dyDescent="0.25">
      <c r="A2215" t="s">
        <v>2219</v>
      </c>
      <c r="B2215">
        <v>0.99987803227770999</v>
      </c>
      <c r="C2215">
        <v>1.0572426210810599</v>
      </c>
      <c r="D2215">
        <v>0.90811830867653798</v>
      </c>
      <c r="E2215">
        <v>0.66839953000044405</v>
      </c>
      <c r="F2215">
        <v>0.33583952004193701</v>
      </c>
      <c r="G2215">
        <v>0.24465170932868899</v>
      </c>
      <c r="H2215">
        <v>0.167772240271406</v>
      </c>
      <c r="I2215">
        <v>0.141757332409231</v>
      </c>
      <c r="J2215">
        <v>0.10918877812821499</v>
      </c>
      <c r="K2215">
        <v>8.6909378702178894E-2</v>
      </c>
      <c r="L2215">
        <v>1146.10240223497</v>
      </c>
      <c r="M2215">
        <v>22.520415703728901</v>
      </c>
      <c r="N2215">
        <v>51.540010992738701</v>
      </c>
      <c r="O2215">
        <v>50.495525745289598</v>
      </c>
      <c r="P2215">
        <v>-9.7746717368309505E-2</v>
      </c>
      <c r="Q2215">
        <v>0.123342740445943</v>
      </c>
      <c r="R2215">
        <v>0.99122122161632797</v>
      </c>
      <c r="S2215" t="s">
        <v>8526</v>
      </c>
      <c r="T2215" t="s">
        <v>12620</v>
      </c>
      <c r="U2215" t="s">
        <v>12620</v>
      </c>
      <c r="V2215" t="s">
        <v>12620</v>
      </c>
      <c r="W2215" t="s">
        <v>14795</v>
      </c>
      <c r="X2215">
        <v>39</v>
      </c>
      <c r="Y2215" t="s">
        <v>20985</v>
      </c>
      <c r="Z2215" t="s">
        <v>27162</v>
      </c>
      <c r="AA2215">
        <v>0.45132238247631778</v>
      </c>
      <c r="AB2215" t="str">
        <f>HYPERLINK("Melting_Curves/meltCurve_P46939_UTRN.pdf", "Melting_Curves/meltCurve_P46939_UTRN.pdf")</f>
        <v>Melting_Curves/meltCurve_P46939_UTRN.pdf</v>
      </c>
    </row>
    <row r="2216" spans="1:28" x14ac:dyDescent="0.25">
      <c r="A2216" t="s">
        <v>2220</v>
      </c>
      <c r="B2216">
        <v>0.99987803227770999</v>
      </c>
      <c r="C2216">
        <v>1.06888770781453</v>
      </c>
      <c r="D2216">
        <v>0.89561982654124805</v>
      </c>
      <c r="E2216">
        <v>1.1305120719988899</v>
      </c>
      <c r="F2216">
        <v>0.48992899551101199</v>
      </c>
      <c r="G2216">
        <v>0.233051789470755</v>
      </c>
      <c r="H2216">
        <v>0.12662905182304701</v>
      </c>
      <c r="I2216">
        <v>0.109391201331514</v>
      </c>
      <c r="J2216">
        <v>7.9862393964476697E-2</v>
      </c>
      <c r="K2216">
        <v>5.9168682441065601E-2</v>
      </c>
      <c r="L2216">
        <v>13232.741676419901</v>
      </c>
      <c r="M2216">
        <v>250</v>
      </c>
      <c r="N2216">
        <v>52.990042787278902</v>
      </c>
      <c r="O2216">
        <v>52.9275860187822</v>
      </c>
      <c r="P2216">
        <v>-1.0372420956691699</v>
      </c>
      <c r="Q2216">
        <v>0.12162058556864</v>
      </c>
      <c r="R2216">
        <v>0.97260029151987104</v>
      </c>
      <c r="S2216" t="s">
        <v>8527</v>
      </c>
      <c r="T2216" t="s">
        <v>12620</v>
      </c>
      <c r="U2216" t="s">
        <v>12620</v>
      </c>
      <c r="V2216" t="s">
        <v>12620</v>
      </c>
      <c r="W2216" t="s">
        <v>14796</v>
      </c>
      <c r="X2216">
        <v>80</v>
      </c>
      <c r="Y2216" t="s">
        <v>20986</v>
      </c>
      <c r="Z2216" t="s">
        <v>27163</v>
      </c>
      <c r="AA2216">
        <v>0.50031201298647199</v>
      </c>
      <c r="AB2216" t="str">
        <f>HYPERLINK("Melting_Curves/meltCurve_P46940_IQGAP1.pdf", "Melting_Curves/meltCurve_P46940_IQGAP1.pdf")</f>
        <v>Melting_Curves/meltCurve_P46940_IQGAP1.pdf</v>
      </c>
    </row>
    <row r="2217" spans="1:28" x14ac:dyDescent="0.25">
      <c r="A2217" t="s">
        <v>2221</v>
      </c>
      <c r="B2217">
        <v>0.99987803227770999</v>
      </c>
      <c r="C2217">
        <v>1.08149536814771</v>
      </c>
      <c r="D2217">
        <v>1.09296395716623</v>
      </c>
      <c r="E2217">
        <v>1.17786320820971</v>
      </c>
      <c r="F2217">
        <v>1.05511560100173</v>
      </c>
      <c r="G2217">
        <v>0.77204465839156999</v>
      </c>
      <c r="H2217">
        <v>0.74205394062530305</v>
      </c>
      <c r="I2217">
        <v>0.46189552123116001</v>
      </c>
      <c r="J2217">
        <v>0.24060582795439101</v>
      </c>
      <c r="K2217">
        <v>0.12342023616905499</v>
      </c>
      <c r="L2217">
        <v>1257.24087451781</v>
      </c>
      <c r="M2217">
        <v>19.824456964829299</v>
      </c>
      <c r="N2217">
        <v>63.418681705254002</v>
      </c>
      <c r="O2217">
        <v>62.783950842317601</v>
      </c>
      <c r="P2217">
        <v>-7.8941850907464098E-2</v>
      </c>
      <c r="Q2217">
        <v>0</v>
      </c>
      <c r="R2217">
        <v>0.94205577703903798</v>
      </c>
      <c r="S2217" t="s">
        <v>8528</v>
      </c>
      <c r="T2217" t="s">
        <v>12620</v>
      </c>
      <c r="U2217" t="s">
        <v>12620</v>
      </c>
      <c r="V2217" t="s">
        <v>12620</v>
      </c>
      <c r="W2217" t="s">
        <v>14797</v>
      </c>
      <c r="X2217">
        <v>6</v>
      </c>
      <c r="Y2217" t="s">
        <v>20987</v>
      </c>
      <c r="Z2217" t="s">
        <v>27164</v>
      </c>
      <c r="AA2217">
        <v>0.77762227393009598</v>
      </c>
      <c r="AB2217" t="str">
        <f>HYPERLINK("Melting_Curves/meltCurve_P46976_2_GYG1.pdf", "Melting_Curves/meltCurve_P46976_2_GYG1.pdf")</f>
        <v>Melting_Curves/meltCurve_P46976_2_GYG1.pdf</v>
      </c>
    </row>
    <row r="2218" spans="1:28" x14ac:dyDescent="0.25">
      <c r="A2218" t="s">
        <v>2222</v>
      </c>
      <c r="B2218">
        <v>0.99987803227770999</v>
      </c>
      <c r="C2218">
        <v>0.96648337642501903</v>
      </c>
      <c r="D2218">
        <v>0.93862702955820099</v>
      </c>
      <c r="E2218">
        <v>0.90216826736660505</v>
      </c>
      <c r="F2218">
        <v>0.98770498108191895</v>
      </c>
      <c r="G2218">
        <v>0.60882277147791897</v>
      </c>
      <c r="H2218">
        <v>0.69879056463287004</v>
      </c>
      <c r="I2218">
        <v>0.71126157942938295</v>
      </c>
      <c r="J2218">
        <v>0.51234415728605598</v>
      </c>
      <c r="K2218">
        <v>0.37752009484349403</v>
      </c>
      <c r="L2218">
        <v>465.62644276630601</v>
      </c>
      <c r="M2218">
        <v>6.8972724982455196</v>
      </c>
      <c r="N2218">
        <v>67.508778695613202</v>
      </c>
      <c r="O2218">
        <v>62.518324479766498</v>
      </c>
      <c r="P2218">
        <v>-2.7634981731444599E-2</v>
      </c>
      <c r="Q2218">
        <v>0</v>
      </c>
      <c r="R2218">
        <v>0.856485562355493</v>
      </c>
      <c r="S2218" t="s">
        <v>8529</v>
      </c>
      <c r="T2218" t="s">
        <v>12620</v>
      </c>
      <c r="U2218" t="s">
        <v>12620</v>
      </c>
      <c r="V2218" t="s">
        <v>12620</v>
      </c>
      <c r="W2218" t="s">
        <v>14798</v>
      </c>
      <c r="X2218">
        <v>4</v>
      </c>
      <c r="Y2218" t="s">
        <v>20988</v>
      </c>
      <c r="Z2218" t="s">
        <v>27165</v>
      </c>
      <c r="AA2218">
        <v>0.78469727945649459</v>
      </c>
      <c r="AB2218" t="str">
        <f>HYPERLINK("Melting_Curves/meltCurve_P47224_RABIF.pdf", "Melting_Curves/meltCurve_P47224_RABIF.pdf")</f>
        <v>Melting_Curves/meltCurve_P47224_RABIF.pdf</v>
      </c>
    </row>
    <row r="2219" spans="1:28" x14ac:dyDescent="0.25">
      <c r="A2219" t="s">
        <v>2223</v>
      </c>
      <c r="B2219">
        <v>0.99987803227770999</v>
      </c>
      <c r="C2219">
        <v>0.98792956038964197</v>
      </c>
      <c r="D2219">
        <v>1.24763512776879</v>
      </c>
      <c r="E2219">
        <v>1.5774564640376401</v>
      </c>
      <c r="F2219">
        <v>1.03925899774409</v>
      </c>
      <c r="G2219">
        <v>19.443924414097101</v>
      </c>
      <c r="H2219">
        <v>0.43652502317110198</v>
      </c>
      <c r="I2219">
        <v>6.9774228003324898</v>
      </c>
      <c r="J2219">
        <v>0.189246148995905</v>
      </c>
      <c r="K2219">
        <v>0.246317066109944</v>
      </c>
      <c r="S2219" t="s">
        <v>8530</v>
      </c>
      <c r="T2219" t="s">
        <v>12620</v>
      </c>
      <c r="U2219" t="s">
        <v>12621</v>
      </c>
      <c r="V2219" t="s">
        <v>12620</v>
      </c>
      <c r="W2219" t="s">
        <v>14799</v>
      </c>
      <c r="X2219">
        <v>12</v>
      </c>
      <c r="Y2219" t="s">
        <v>20989</v>
      </c>
      <c r="Z2219" t="s">
        <v>27166</v>
      </c>
      <c r="AB2219" t="str">
        <f>HYPERLINK("Melting_Curves/meltCurve_P47710_2_CSN1S1.pdf", "Melting_Curves/meltCurve_P47710_2_CSN1S1.pdf")</f>
        <v>Melting_Curves/meltCurve_P47710_2_CSN1S1.pdf</v>
      </c>
    </row>
    <row r="2220" spans="1:28" x14ac:dyDescent="0.25">
      <c r="A2220" t="s">
        <v>2224</v>
      </c>
      <c r="B2220">
        <v>0.99987803227770999</v>
      </c>
      <c r="C2220">
        <v>1.1141318337008801</v>
      </c>
      <c r="D2220">
        <v>0.99031381271827401</v>
      </c>
      <c r="E2220">
        <v>0.96710777606040899</v>
      </c>
      <c r="F2220">
        <v>0.60318214677612902</v>
      </c>
      <c r="G2220">
        <v>0.384013886449036</v>
      </c>
      <c r="H2220">
        <v>0.27233290426187501</v>
      </c>
      <c r="I2220">
        <v>0.23865268107559101</v>
      </c>
      <c r="J2220">
        <v>0.25283100120808399</v>
      </c>
      <c r="K2220">
        <v>0.207147374646201</v>
      </c>
      <c r="L2220">
        <v>1624.9841059861899</v>
      </c>
      <c r="M2220">
        <v>30.513790516917702</v>
      </c>
      <c r="N2220">
        <v>54.452777587002402</v>
      </c>
      <c r="O2220">
        <v>53.026940154529498</v>
      </c>
      <c r="P2220">
        <v>-0.10867487921246601</v>
      </c>
      <c r="Q2220">
        <v>0.244582827070744</v>
      </c>
      <c r="R2220">
        <v>0.98193712876172501</v>
      </c>
      <c r="S2220" t="s">
        <v>8531</v>
      </c>
      <c r="T2220" t="s">
        <v>12620</v>
      </c>
      <c r="U2220" t="s">
        <v>12620</v>
      </c>
      <c r="V2220" t="s">
        <v>12620</v>
      </c>
      <c r="W2220" t="s">
        <v>14800</v>
      </c>
      <c r="X2220">
        <v>4</v>
      </c>
      <c r="Y2220" t="s">
        <v>20990</v>
      </c>
      <c r="Z2220" t="s">
        <v>27167</v>
      </c>
      <c r="AA2220">
        <v>0.58308385629878823</v>
      </c>
      <c r="AB2220" t="str">
        <f>HYPERLINK("Melting_Curves/meltCurve_P47712_PLA2G4A.pdf", "Melting_Curves/meltCurve_P47712_PLA2G4A.pdf")</f>
        <v>Melting_Curves/meltCurve_P47712_PLA2G4A.pdf</v>
      </c>
    </row>
    <row r="2221" spans="1:28" x14ac:dyDescent="0.25">
      <c r="A2221" t="s">
        <v>2225</v>
      </c>
      <c r="B2221">
        <v>0.99987803227770999</v>
      </c>
      <c r="C2221">
        <v>0.93812157860827405</v>
      </c>
      <c r="D2221">
        <v>0.89973384360171305</v>
      </c>
      <c r="E2221">
        <v>0.67427043981546397</v>
      </c>
      <c r="F2221">
        <v>0.58020592159107698</v>
      </c>
      <c r="G2221">
        <v>0.49665246858880502</v>
      </c>
      <c r="H2221">
        <v>0.46660246734182798</v>
      </c>
      <c r="I2221">
        <v>0.45941772847866902</v>
      </c>
      <c r="J2221">
        <v>0.41995644868996501</v>
      </c>
      <c r="K2221">
        <v>0.33412972167798</v>
      </c>
      <c r="L2221">
        <v>696.27180851606101</v>
      </c>
      <c r="M2221">
        <v>13.867322148100399</v>
      </c>
      <c r="N2221">
        <v>56.392204426485897</v>
      </c>
      <c r="O2221">
        <v>49.1999748277496</v>
      </c>
      <c r="P2221">
        <v>-4.2940741127479601E-2</v>
      </c>
      <c r="Q2221">
        <v>0.39068466058385898</v>
      </c>
      <c r="R2221">
        <v>0.98121763467826595</v>
      </c>
      <c r="S2221" t="s">
        <v>8532</v>
      </c>
      <c r="T2221" t="s">
        <v>12620</v>
      </c>
      <c r="U2221" t="s">
        <v>12620</v>
      </c>
      <c r="V2221" t="s">
        <v>12620</v>
      </c>
      <c r="W2221" t="s">
        <v>14801</v>
      </c>
      <c r="X2221">
        <v>7</v>
      </c>
      <c r="Y2221" t="s">
        <v>20991</v>
      </c>
      <c r="Z2221" t="s">
        <v>27168</v>
      </c>
      <c r="AA2221">
        <v>0.61455620328611327</v>
      </c>
      <c r="AB2221" t="str">
        <f>HYPERLINK("Melting_Curves/meltCurve_P47736_RAP1GAP.pdf", "Melting_Curves/meltCurve_P47736_RAP1GAP.pdf")</f>
        <v>Melting_Curves/meltCurve_P47736_RAP1GAP.pdf</v>
      </c>
    </row>
    <row r="2222" spans="1:28" x14ac:dyDescent="0.25">
      <c r="A2222" t="s">
        <v>2226</v>
      </c>
      <c r="B2222">
        <v>0.99987803227770999</v>
      </c>
      <c r="C2222">
        <v>1.0281378545861199</v>
      </c>
      <c r="D2222">
        <v>0.99869070694927897</v>
      </c>
      <c r="E2222">
        <v>1.15361366983322</v>
      </c>
      <c r="F2222">
        <v>1.0446085443548301</v>
      </c>
      <c r="G2222">
        <v>0.86235824462322197</v>
      </c>
      <c r="H2222">
        <v>0.33928994457907802</v>
      </c>
      <c r="I2222">
        <v>0.17228575248736</v>
      </c>
      <c r="J2222">
        <v>9.8341433529868696E-2</v>
      </c>
      <c r="K2222">
        <v>7.1913241451871293E-2</v>
      </c>
      <c r="L2222">
        <v>2312.2853540122601</v>
      </c>
      <c r="M2222">
        <v>38.8222376144695</v>
      </c>
      <c r="N2222">
        <v>59.856900120912002</v>
      </c>
      <c r="O2222">
        <v>59.403451347941903</v>
      </c>
      <c r="P2222">
        <v>-0.149112587249279</v>
      </c>
      <c r="Q2222">
        <v>8.7349434813132495E-2</v>
      </c>
      <c r="R2222">
        <v>0.98419293131563101</v>
      </c>
      <c r="S2222" t="s">
        <v>8533</v>
      </c>
      <c r="T2222" t="s">
        <v>12620</v>
      </c>
      <c r="U2222" t="s">
        <v>12620</v>
      </c>
      <c r="V2222" t="s">
        <v>12620</v>
      </c>
      <c r="W2222" t="s">
        <v>14802</v>
      </c>
      <c r="X2222">
        <v>15</v>
      </c>
      <c r="Y2222" t="s">
        <v>20992</v>
      </c>
      <c r="Z2222" t="s">
        <v>27169</v>
      </c>
      <c r="AA2222">
        <v>0.68620545730481985</v>
      </c>
      <c r="AB2222" t="str">
        <f>HYPERLINK("Melting_Curves/meltCurve_P47755_CAPZA2.pdf", "Melting_Curves/meltCurve_P47755_CAPZA2.pdf")</f>
        <v>Melting_Curves/meltCurve_P47755_CAPZA2.pdf</v>
      </c>
    </row>
    <row r="2223" spans="1:28" x14ac:dyDescent="0.25">
      <c r="A2223" t="s">
        <v>2227</v>
      </c>
      <c r="B2223">
        <v>0.99987803227770999</v>
      </c>
      <c r="C2223">
        <v>1.0358985491281201</v>
      </c>
      <c r="D2223">
        <v>0.98557044789292103</v>
      </c>
      <c r="E2223">
        <v>1.11610435472172</v>
      </c>
      <c r="F2223">
        <v>0.99894201556615503</v>
      </c>
      <c r="G2223">
        <v>0.88952086255220897</v>
      </c>
      <c r="H2223">
        <v>0.52464767632146903</v>
      </c>
      <c r="I2223">
        <v>0.219683709704978</v>
      </c>
      <c r="J2223">
        <v>0.108614987270511</v>
      </c>
      <c r="K2223">
        <v>8.3007464634619901E-2</v>
      </c>
      <c r="L2223">
        <v>1930.9879410149199</v>
      </c>
      <c r="M2223">
        <v>31.720853999294999</v>
      </c>
      <c r="N2223">
        <v>61.132515144214103</v>
      </c>
      <c r="O2223">
        <v>60.6340159572839</v>
      </c>
      <c r="P2223">
        <v>-0.122591533797775</v>
      </c>
      <c r="Q2223">
        <v>6.2676451867963501E-2</v>
      </c>
      <c r="R2223">
        <v>0.99009793116315004</v>
      </c>
      <c r="S2223" t="s">
        <v>8534</v>
      </c>
      <c r="T2223" t="s">
        <v>12620</v>
      </c>
      <c r="U2223" t="s">
        <v>12620</v>
      </c>
      <c r="V2223" t="s">
        <v>12620</v>
      </c>
      <c r="W2223" t="s">
        <v>14803</v>
      </c>
      <c r="X2223">
        <v>25</v>
      </c>
      <c r="Y2223" t="s">
        <v>20993</v>
      </c>
      <c r="Z2223" t="s">
        <v>27170</v>
      </c>
      <c r="AA2223">
        <v>0.7198237759879389</v>
      </c>
      <c r="AB2223" t="str">
        <f>HYPERLINK("Melting_Curves/meltCurve_P47756_2_CAPZB.pdf", "Melting_Curves/meltCurve_P47756_2_CAPZB.pdf")</f>
        <v>Melting_Curves/meltCurve_P47756_2_CAPZB.pdf</v>
      </c>
    </row>
    <row r="2224" spans="1:28" x14ac:dyDescent="0.25">
      <c r="A2224" t="s">
        <v>2228</v>
      </c>
      <c r="B2224">
        <v>0.99987803227770999</v>
      </c>
      <c r="C2224">
        <v>0.753688903087119</v>
      </c>
      <c r="D2224">
        <v>0.996865784802898</v>
      </c>
      <c r="E2224">
        <v>0.80541802395846396</v>
      </c>
      <c r="F2224">
        <v>1.01912907216124</v>
      </c>
      <c r="G2224">
        <v>0.75827198770692406</v>
      </c>
      <c r="H2224">
        <v>0.50775681146433205</v>
      </c>
      <c r="I2224">
        <v>0.27930094073413497</v>
      </c>
      <c r="J2224">
        <v>0.20508128324345701</v>
      </c>
      <c r="K2224">
        <v>0.150255536249219</v>
      </c>
      <c r="L2224">
        <v>1142.7551755038701</v>
      </c>
      <c r="M2224">
        <v>18.958133514320298</v>
      </c>
      <c r="N2224">
        <v>60.838765316295202</v>
      </c>
      <c r="O2224">
        <v>59.619165844357902</v>
      </c>
      <c r="P2224">
        <v>-7.3125390184356806E-2</v>
      </c>
      <c r="Q2224">
        <v>8.0183863275657699E-2</v>
      </c>
      <c r="R2224">
        <v>0.90316780938590502</v>
      </c>
      <c r="S2224" t="s">
        <v>8535</v>
      </c>
      <c r="T2224" t="s">
        <v>12620</v>
      </c>
      <c r="U2224" t="s">
        <v>12620</v>
      </c>
      <c r="V2224" t="s">
        <v>12620</v>
      </c>
      <c r="W2224" t="s">
        <v>14804</v>
      </c>
      <c r="X2224">
        <v>9</v>
      </c>
      <c r="Y2224" t="s">
        <v>20994</v>
      </c>
      <c r="Z2224" t="s">
        <v>27171</v>
      </c>
      <c r="AA2224">
        <v>0.7090018838856138</v>
      </c>
      <c r="AB2224" t="str">
        <f>HYPERLINK("Melting_Curves/meltCurve_P47813_EIF1AX.pdf", "Melting_Curves/meltCurve_P47813_EIF1AX.pdf")</f>
        <v>Melting_Curves/meltCurve_P47813_EIF1AX.pdf</v>
      </c>
    </row>
    <row r="2225" spans="1:28" x14ac:dyDescent="0.25">
      <c r="A2225" t="s">
        <v>2229</v>
      </c>
      <c r="B2225">
        <v>0.99987803227770999</v>
      </c>
      <c r="C2225">
        <v>0.86979070000694403</v>
      </c>
      <c r="D2225">
        <v>0.670202769622395</v>
      </c>
      <c r="E2225">
        <v>0.68259170252811296</v>
      </c>
      <c r="F2225">
        <v>0.41390718281670202</v>
      </c>
      <c r="G2225">
        <v>0.35494121672252799</v>
      </c>
      <c r="H2225">
        <v>0.28032083142520398</v>
      </c>
      <c r="I2225">
        <v>0.16951567187382</v>
      </c>
      <c r="J2225">
        <v>8.9741954215062605E-2</v>
      </c>
      <c r="K2225">
        <v>5.6579809350124799E-2</v>
      </c>
      <c r="L2225">
        <v>454.77178954785097</v>
      </c>
      <c r="M2225">
        <v>8.6964537316065496</v>
      </c>
      <c r="N2225">
        <v>52.293932896138799</v>
      </c>
      <c r="O2225">
        <v>49.749563297418099</v>
      </c>
      <c r="P2225">
        <v>-4.3737285952034702E-2</v>
      </c>
      <c r="Q2225">
        <v>0</v>
      </c>
      <c r="R2225">
        <v>0.96833628202405697</v>
      </c>
      <c r="S2225" t="s">
        <v>8536</v>
      </c>
      <c r="T2225" t="s">
        <v>12620</v>
      </c>
      <c r="U2225" t="s">
        <v>12620</v>
      </c>
      <c r="V2225" t="s">
        <v>12620</v>
      </c>
      <c r="W2225" t="s">
        <v>14805</v>
      </c>
      <c r="X2225">
        <v>9</v>
      </c>
      <c r="Y2225" t="s">
        <v>20995</v>
      </c>
      <c r="Z2225" t="s">
        <v>27172</v>
      </c>
      <c r="AA2225">
        <v>0.45196323012919881</v>
      </c>
      <c r="AB2225" t="str">
        <f>HYPERLINK("Melting_Curves/meltCurve_P47895_ALDH1A3.pdf", "Melting_Curves/meltCurve_P47895_ALDH1A3.pdf")</f>
        <v>Melting_Curves/meltCurve_P47895_ALDH1A3.pdf</v>
      </c>
    </row>
    <row r="2226" spans="1:28" x14ac:dyDescent="0.25">
      <c r="A2226" t="s">
        <v>2230</v>
      </c>
      <c r="B2226">
        <v>0.99987803227770999</v>
      </c>
      <c r="C2226">
        <v>0.79278230737342703</v>
      </c>
      <c r="D2226">
        <v>0.85751797932582197</v>
      </c>
      <c r="E2226">
        <v>0.62764250098539598</v>
      </c>
      <c r="F2226">
        <v>0.30286762571383902</v>
      </c>
      <c r="G2226">
        <v>0.14128601578821201</v>
      </c>
      <c r="H2226">
        <v>8.0964141510312906E-2</v>
      </c>
      <c r="I2226">
        <v>7.0905528562380707E-2</v>
      </c>
      <c r="J2226">
        <v>6.1748955605999099E-2</v>
      </c>
      <c r="K2226">
        <v>4.2100236109585701E-2</v>
      </c>
      <c r="L2226">
        <v>774.33345951188801</v>
      </c>
      <c r="M2226">
        <v>15.2952739639766</v>
      </c>
      <c r="N2226">
        <v>50.769853060475398</v>
      </c>
      <c r="O2226">
        <v>49.783954283888498</v>
      </c>
      <c r="P2226">
        <v>-7.5182602204938095E-2</v>
      </c>
      <c r="Q2226">
        <v>2.12566465138877E-2</v>
      </c>
      <c r="R2226">
        <v>0.97558941189307002</v>
      </c>
      <c r="S2226" t="s">
        <v>8537</v>
      </c>
      <c r="T2226" t="s">
        <v>12620</v>
      </c>
      <c r="U2226" t="s">
        <v>12620</v>
      </c>
      <c r="V2226" t="s">
        <v>12620</v>
      </c>
      <c r="W2226" t="s">
        <v>14806</v>
      </c>
      <c r="X2226">
        <v>20</v>
      </c>
      <c r="Y2226" t="s">
        <v>20996</v>
      </c>
      <c r="Z2226" t="s">
        <v>27173</v>
      </c>
      <c r="AA2226">
        <v>0.39004918031923658</v>
      </c>
      <c r="AB2226" t="str">
        <f>HYPERLINK("Melting_Curves/meltCurve_P47897_QARS.pdf", "Melting_Curves/meltCurve_P47897_QARS.pdf")</f>
        <v>Melting_Curves/meltCurve_P47897_QARS.pdf</v>
      </c>
    </row>
    <row r="2227" spans="1:28" x14ac:dyDescent="0.25">
      <c r="A2227" t="s">
        <v>2231</v>
      </c>
      <c r="B2227">
        <v>0.99987803227770999</v>
      </c>
      <c r="C2227">
        <v>1.2572203084111799</v>
      </c>
      <c r="D2227">
        <v>1.21565569751074</v>
      </c>
      <c r="E2227">
        <v>1.37143106343358</v>
      </c>
      <c r="F2227">
        <v>1.1151240060922301</v>
      </c>
      <c r="G2227">
        <v>0.70511191475121504</v>
      </c>
      <c r="H2227">
        <v>0.56640652324646601</v>
      </c>
      <c r="I2227">
        <v>0.46493787480919702</v>
      </c>
      <c r="J2227">
        <v>0.54289399578243103</v>
      </c>
      <c r="K2227">
        <v>0.26642593534955999</v>
      </c>
      <c r="L2227">
        <v>3283.2527137903699</v>
      </c>
      <c r="M2227">
        <v>57.651714734296199</v>
      </c>
      <c r="N2227">
        <v>59.430329602261502</v>
      </c>
      <c r="O2227">
        <v>56.881386899627699</v>
      </c>
      <c r="P2227">
        <v>-0.13811399133161401</v>
      </c>
      <c r="Q2227">
        <v>0.45492610395634903</v>
      </c>
      <c r="R2227">
        <v>0.76325154112248805</v>
      </c>
      <c r="S2227" t="s">
        <v>8538</v>
      </c>
      <c r="T2227" t="s">
        <v>12620</v>
      </c>
      <c r="U2227" t="s">
        <v>12620</v>
      </c>
      <c r="V2227" t="s">
        <v>12620</v>
      </c>
      <c r="W2227" t="s">
        <v>14807</v>
      </c>
      <c r="X2227">
        <v>6</v>
      </c>
      <c r="Y2227" t="s">
        <v>20997</v>
      </c>
      <c r="Z2227" t="s">
        <v>27174</v>
      </c>
      <c r="AA2227">
        <v>0.76391681321731264</v>
      </c>
      <c r="AB2227" t="str">
        <f>HYPERLINK("Melting_Curves/meltCurve_P47914_RPL29.pdf", "Melting_Curves/meltCurve_P47914_RPL29.pdf")</f>
        <v>Melting_Curves/meltCurve_P47914_RPL29.pdf</v>
      </c>
    </row>
    <row r="2228" spans="1:28" x14ac:dyDescent="0.25">
      <c r="A2228" t="s">
        <v>2232</v>
      </c>
      <c r="B2228">
        <v>0.99987803227770999</v>
      </c>
      <c r="C2228">
        <v>0.76603886843176505</v>
      </c>
      <c r="D2228">
        <v>6.5382644791930797</v>
      </c>
      <c r="E2228">
        <v>0.72350229919479103</v>
      </c>
      <c r="F2228">
        <v>0.56644191030458302</v>
      </c>
      <c r="G2228">
        <v>0.29865720424826497</v>
      </c>
      <c r="H2228">
        <v>0.22934223851452501</v>
      </c>
      <c r="I2228">
        <v>0.191854631563186</v>
      </c>
      <c r="J2228">
        <v>0.134789659867316</v>
      </c>
      <c r="K2228">
        <v>9.1350406123540007E-2</v>
      </c>
      <c r="L2228">
        <v>2380.5240614223399</v>
      </c>
      <c r="M2228">
        <v>45.137334286460401</v>
      </c>
      <c r="N2228">
        <v>53.2779954228306</v>
      </c>
      <c r="O2228">
        <v>52.636373815523797</v>
      </c>
      <c r="P2228">
        <v>-0.175121130798126</v>
      </c>
      <c r="Q2228">
        <v>0.183139221509586</v>
      </c>
      <c r="R2228">
        <v>0.101234498874055</v>
      </c>
      <c r="S2228" t="s">
        <v>8539</v>
      </c>
      <c r="T2228" t="s">
        <v>12620</v>
      </c>
      <c r="U2228" t="s">
        <v>12620</v>
      </c>
      <c r="V2228" t="s">
        <v>12620</v>
      </c>
      <c r="W2228" t="s">
        <v>14808</v>
      </c>
      <c r="X2228">
        <v>1</v>
      </c>
      <c r="Y2228" t="s">
        <v>20998</v>
      </c>
      <c r="Z2228" t="s">
        <v>27175</v>
      </c>
      <c r="AA2228">
        <v>0.53235528036625046</v>
      </c>
      <c r="AB2228" t="str">
        <f>HYPERLINK("Melting_Curves/meltCurve_P47929_LGALS7.pdf", "Melting_Curves/meltCurve_P47929_LGALS7.pdf")</f>
        <v>Melting_Curves/meltCurve_P47929_LGALS7.pdf</v>
      </c>
    </row>
    <row r="2229" spans="1:28" x14ac:dyDescent="0.25">
      <c r="A2229" t="s">
        <v>2233</v>
      </c>
      <c r="B2229">
        <v>0.99987803227770999</v>
      </c>
      <c r="C2229">
        <v>0.85323471349243496</v>
      </c>
      <c r="D2229">
        <v>0.84987669250871201</v>
      </c>
      <c r="E2229">
        <v>0.77608629917087602</v>
      </c>
      <c r="F2229">
        <v>0.988186992466633</v>
      </c>
      <c r="G2229">
        <v>0.65646324122330102</v>
      </c>
      <c r="H2229">
        <v>0.919809178681955</v>
      </c>
      <c r="I2229">
        <v>0.95146367185297698</v>
      </c>
      <c r="J2229">
        <v>0.91732659256761495</v>
      </c>
      <c r="K2229">
        <v>0.79405326670763798</v>
      </c>
      <c r="L2229">
        <v>10268.170270340201</v>
      </c>
      <c r="M2229">
        <v>250</v>
      </c>
      <c r="O2229">
        <v>41.070052823260703</v>
      </c>
      <c r="P2229">
        <v>-0.21871550015069</v>
      </c>
      <c r="Q2229">
        <v>0.85627748628081302</v>
      </c>
      <c r="R2229">
        <v>0.18007646514997799</v>
      </c>
      <c r="S2229" t="s">
        <v>8540</v>
      </c>
      <c r="T2229" t="s">
        <v>12620</v>
      </c>
      <c r="U2229" t="s">
        <v>12620</v>
      </c>
      <c r="V2229" t="s">
        <v>12620</v>
      </c>
      <c r="W2229" t="s">
        <v>14809</v>
      </c>
      <c r="X2229">
        <v>4</v>
      </c>
      <c r="Y2229" t="s">
        <v>20999</v>
      </c>
      <c r="Z2229" t="s">
        <v>27176</v>
      </c>
      <c r="AA2229">
        <v>0.86142770082536735</v>
      </c>
      <c r="AB2229" t="str">
        <f>HYPERLINK("Melting_Curves/meltCurve_P47974_ZFP36L2.pdf", "Melting_Curves/meltCurve_P47974_ZFP36L2.pdf")</f>
        <v>Melting_Curves/meltCurve_P47974_ZFP36L2.pdf</v>
      </c>
    </row>
    <row r="2230" spans="1:28" x14ac:dyDescent="0.25">
      <c r="A2230" t="s">
        <v>2234</v>
      </c>
      <c r="B2230">
        <v>0.99987803227770999</v>
      </c>
      <c r="C2230">
        <v>0.881283519275742</v>
      </c>
      <c r="D2230">
        <v>0.84220926698078402</v>
      </c>
      <c r="E2230">
        <v>0.74255112047705096</v>
      </c>
      <c r="F2230">
        <v>0.67518589317357003</v>
      </c>
      <c r="G2230">
        <v>0.44822253732573802</v>
      </c>
      <c r="H2230">
        <v>0.43421804232000899</v>
      </c>
      <c r="I2230">
        <v>0.35538369830917999</v>
      </c>
      <c r="J2230">
        <v>0.34927100502890202</v>
      </c>
      <c r="K2230">
        <v>0.266434438973986</v>
      </c>
      <c r="L2230">
        <v>453.02777546365201</v>
      </c>
      <c r="M2230">
        <v>8.3297360982614901</v>
      </c>
      <c r="N2230">
        <v>57.383094246876098</v>
      </c>
      <c r="O2230">
        <v>51.522849661867902</v>
      </c>
      <c r="P2230">
        <v>-3.3322439961447702E-2</v>
      </c>
      <c r="Q2230">
        <v>0.176348699899466</v>
      </c>
      <c r="R2230">
        <v>0.98236390996050504</v>
      </c>
      <c r="S2230" t="s">
        <v>8541</v>
      </c>
      <c r="T2230" t="s">
        <v>12620</v>
      </c>
      <c r="U2230" t="s">
        <v>12620</v>
      </c>
      <c r="V2230" t="s">
        <v>12620</v>
      </c>
      <c r="W2230" t="s">
        <v>14810</v>
      </c>
      <c r="X2230">
        <v>4</v>
      </c>
      <c r="Y2230" t="s">
        <v>21000</v>
      </c>
      <c r="Z2230" t="s">
        <v>27177</v>
      </c>
      <c r="AA2230">
        <v>0.59692133580186668</v>
      </c>
      <c r="AB2230" t="str">
        <f>HYPERLINK("Melting_Curves/meltCurve_P47985_UQCRFS1.pdf", "Melting_Curves/meltCurve_P47985_UQCRFS1.pdf")</f>
        <v>Melting_Curves/meltCurve_P47985_UQCRFS1.pdf</v>
      </c>
    </row>
    <row r="2231" spans="1:28" x14ac:dyDescent="0.25">
      <c r="A2231" t="s">
        <v>2235</v>
      </c>
      <c r="B2231">
        <v>0.99987803227770999</v>
      </c>
      <c r="C2231">
        <v>1.0329455040647699</v>
      </c>
      <c r="D2231">
        <v>1.0279421808611899</v>
      </c>
      <c r="E2231">
        <v>1.0529223769432901</v>
      </c>
      <c r="F2231">
        <v>1.2025360569196599</v>
      </c>
      <c r="G2231">
        <v>1.16300305838353</v>
      </c>
      <c r="H2231">
        <v>0.78245763414882097</v>
      </c>
      <c r="I2231">
        <v>0.39735982391954899</v>
      </c>
      <c r="J2231">
        <v>0.18729792589952499</v>
      </c>
      <c r="K2231">
        <v>9.6702043348234706E-2</v>
      </c>
      <c r="L2231">
        <v>2700.2316517321501</v>
      </c>
      <c r="M2231">
        <v>42.956010892977901</v>
      </c>
      <c r="N2231">
        <v>63.2146878840814</v>
      </c>
      <c r="O2231">
        <v>62.724613614858796</v>
      </c>
      <c r="P2231">
        <v>-0.152893287103083</v>
      </c>
      <c r="Q2231">
        <v>0.106978750705884</v>
      </c>
      <c r="R2231">
        <v>0.94941089561588998</v>
      </c>
      <c r="S2231" t="s">
        <v>8542</v>
      </c>
      <c r="T2231" t="s">
        <v>12620</v>
      </c>
      <c r="U2231" t="s">
        <v>12620</v>
      </c>
      <c r="V2231" t="s">
        <v>12620</v>
      </c>
      <c r="W2231" t="s">
        <v>14811</v>
      </c>
      <c r="X2231">
        <v>25</v>
      </c>
      <c r="Y2231" t="s">
        <v>21001</v>
      </c>
      <c r="Z2231" t="s">
        <v>27178</v>
      </c>
      <c r="AA2231">
        <v>0.79012466802209047</v>
      </c>
      <c r="AB2231" t="str">
        <f>HYPERLINK("Melting_Curves/meltCurve_P48059_LIMS1.pdf", "Melting_Curves/meltCurve_P48059_LIMS1.pdf")</f>
        <v>Melting_Curves/meltCurve_P48059_LIMS1.pdf</v>
      </c>
    </row>
    <row r="2232" spans="1:28" x14ac:dyDescent="0.25">
      <c r="A2232" t="s">
        <v>2236</v>
      </c>
      <c r="B2232">
        <v>0.99987803227770999</v>
      </c>
      <c r="C2232">
        <v>1.0605069956039599</v>
      </c>
      <c r="D2232">
        <v>1.0066752656553</v>
      </c>
      <c r="E2232">
        <v>0.78445647375974703</v>
      </c>
      <c r="F2232">
        <v>0.27974475718552999</v>
      </c>
      <c r="G2232">
        <v>0.18290625644410799</v>
      </c>
      <c r="H2232">
        <v>0.12745634072946299</v>
      </c>
      <c r="I2232">
        <v>0.118071563649789</v>
      </c>
      <c r="J2232">
        <v>8.2679079336343803E-2</v>
      </c>
      <c r="K2232">
        <v>5.8574747697388602E-2</v>
      </c>
      <c r="L2232">
        <v>2197.82762934724</v>
      </c>
      <c r="M2232">
        <v>42.838721497702402</v>
      </c>
      <c r="N2232">
        <v>51.6029448791638</v>
      </c>
      <c r="O2232">
        <v>51.193280123320903</v>
      </c>
      <c r="P2232">
        <v>-0.186259088259079</v>
      </c>
      <c r="Q2232">
        <v>0.10966551543338</v>
      </c>
      <c r="R2232">
        <v>0.99327701138763103</v>
      </c>
      <c r="S2232" t="s">
        <v>8543</v>
      </c>
      <c r="T2232" t="s">
        <v>12620</v>
      </c>
      <c r="U2232" t="s">
        <v>12620</v>
      </c>
      <c r="V2232" t="s">
        <v>12620</v>
      </c>
      <c r="W2232" t="s">
        <v>14812</v>
      </c>
      <c r="X2232">
        <v>26</v>
      </c>
      <c r="Y2232" t="s">
        <v>21002</v>
      </c>
      <c r="Z2232" t="s">
        <v>27179</v>
      </c>
      <c r="AA2232">
        <v>0.44791407556097912</v>
      </c>
      <c r="AB2232" t="str">
        <f>HYPERLINK("Melting_Curves/meltCurve_P48147_PREP.pdf", "Melting_Curves/meltCurve_P48147_PREP.pdf")</f>
        <v>Melting_Curves/meltCurve_P48147_PREP.pdf</v>
      </c>
    </row>
    <row r="2233" spans="1:28" x14ac:dyDescent="0.25">
      <c r="A2233" t="s">
        <v>2237</v>
      </c>
      <c r="B2233">
        <v>0.99987803227770999</v>
      </c>
      <c r="C2233">
        <v>1.23736339857212</v>
      </c>
      <c r="D2233">
        <v>0.94952374754366997</v>
      </c>
      <c r="E2233">
        <v>1.2657222202618199</v>
      </c>
      <c r="F2233">
        <v>0.94311754223474897</v>
      </c>
      <c r="G2233">
        <v>0.88457998529838</v>
      </c>
      <c r="H2233">
        <v>0.32613549991871599</v>
      </c>
      <c r="I2233">
        <v>0.160598104895359</v>
      </c>
      <c r="J2233">
        <v>7.2488239060751206E-2</v>
      </c>
      <c r="K2233">
        <v>4.9746046870587902E-2</v>
      </c>
      <c r="L2233">
        <v>2346.0896433006601</v>
      </c>
      <c r="M2233">
        <v>39.324589405452997</v>
      </c>
      <c r="N2233">
        <v>59.871679650743403</v>
      </c>
      <c r="O2233">
        <v>59.505979939219301</v>
      </c>
      <c r="P2233">
        <v>-0.154472295328416</v>
      </c>
      <c r="Q2233">
        <v>6.5012378306035096E-2</v>
      </c>
      <c r="R2233">
        <v>0.93606902771485401</v>
      </c>
      <c r="S2233" t="s">
        <v>8544</v>
      </c>
      <c r="T2233" t="s">
        <v>12620</v>
      </c>
      <c r="U2233" t="s">
        <v>12620</v>
      </c>
      <c r="V2233" t="s">
        <v>12620</v>
      </c>
      <c r="W2233" t="s">
        <v>14813</v>
      </c>
      <c r="X2233">
        <v>20</v>
      </c>
      <c r="Y2233" t="s">
        <v>21003</v>
      </c>
      <c r="Z2233" t="s">
        <v>27180</v>
      </c>
      <c r="AA2233">
        <v>0.6815126227725723</v>
      </c>
      <c r="AB2233" t="str">
        <f>HYPERLINK("Melting_Curves/meltCurve_P48163_ME1.pdf", "Melting_Curves/meltCurve_P48163_ME1.pdf")</f>
        <v>Melting_Curves/meltCurve_P48163_ME1.pdf</v>
      </c>
    </row>
    <row r="2234" spans="1:28" x14ac:dyDescent="0.25">
      <c r="A2234" t="s">
        <v>2238</v>
      </c>
      <c r="B2234">
        <v>0.99987803227770999</v>
      </c>
      <c r="C2234">
        <v>1.0650338510658599</v>
      </c>
      <c r="D2234">
        <v>0.923323538281272</v>
      </c>
      <c r="E2234">
        <v>0.94078164741387904</v>
      </c>
      <c r="F2234">
        <v>0.85182021619968395</v>
      </c>
      <c r="G2234">
        <v>0.58749773331426403</v>
      </c>
      <c r="H2234">
        <v>0.83044541931053195</v>
      </c>
      <c r="I2234">
        <v>0.92929035507480295</v>
      </c>
      <c r="J2234">
        <v>0.93243244228760402</v>
      </c>
      <c r="K2234">
        <v>0.68271037200657203</v>
      </c>
      <c r="L2234">
        <v>2338.58397839482</v>
      </c>
      <c r="M2234">
        <v>45.768918111033997</v>
      </c>
      <c r="O2234">
        <v>50.998203998454699</v>
      </c>
      <c r="P2234">
        <v>-4.5782000882370603E-2</v>
      </c>
      <c r="Q2234">
        <v>0.79594912082338198</v>
      </c>
      <c r="R2234">
        <v>0.43748763237593802</v>
      </c>
      <c r="S2234" t="s">
        <v>8545</v>
      </c>
      <c r="T2234" t="s">
        <v>12620</v>
      </c>
      <c r="U2234" t="s">
        <v>12620</v>
      </c>
      <c r="V2234" t="s">
        <v>12620</v>
      </c>
      <c r="W2234" t="s">
        <v>14814</v>
      </c>
      <c r="X2234">
        <v>1</v>
      </c>
      <c r="Y2234" t="s">
        <v>21004</v>
      </c>
      <c r="Z2234" t="s">
        <v>27181</v>
      </c>
      <c r="AA2234">
        <v>0.87196648249733977</v>
      </c>
      <c r="AB2234" t="str">
        <f>HYPERLINK("Melting_Curves/meltCurve_P48169_GABRA4.pdf", "Melting_Curves/meltCurve_P48169_GABRA4.pdf")</f>
        <v>Melting_Curves/meltCurve_P48169_GABRA4.pdf</v>
      </c>
    </row>
    <row r="2235" spans="1:28" x14ac:dyDescent="0.25">
      <c r="A2235" t="s">
        <v>2239</v>
      </c>
      <c r="B2235">
        <v>0.99987803227770999</v>
      </c>
      <c r="C2235">
        <v>1.1023779090265</v>
      </c>
      <c r="D2235">
        <v>0.88968623688719195</v>
      </c>
      <c r="E2235">
        <v>0.35410733429959401</v>
      </c>
      <c r="F2235">
        <v>0.22111399438231499</v>
      </c>
      <c r="G2235">
        <v>0.12925750036408401</v>
      </c>
      <c r="H2235">
        <v>0.124393657558359</v>
      </c>
      <c r="I2235">
        <v>0.121972259139845</v>
      </c>
      <c r="J2235">
        <v>8.6615985728352995E-2</v>
      </c>
      <c r="K2235">
        <v>5.6736365030468701E-2</v>
      </c>
      <c r="L2235">
        <v>1615.0880800596001</v>
      </c>
      <c r="M2235">
        <v>33.152042350185603</v>
      </c>
      <c r="N2235">
        <v>49.083170793802999</v>
      </c>
      <c r="O2235">
        <v>48.541342881384402</v>
      </c>
      <c r="P2235">
        <v>-0.15206341865426301</v>
      </c>
      <c r="Q2235">
        <v>0.10939620493431799</v>
      </c>
      <c r="R2235">
        <v>0.98735079909118495</v>
      </c>
      <c r="S2235" t="s">
        <v>8546</v>
      </c>
      <c r="T2235" t="s">
        <v>12620</v>
      </c>
      <c r="U2235" t="s">
        <v>12620</v>
      </c>
      <c r="V2235" t="s">
        <v>12620</v>
      </c>
      <c r="W2235" t="s">
        <v>14815</v>
      </c>
      <c r="X2235">
        <v>12</v>
      </c>
      <c r="Y2235" t="s">
        <v>21005</v>
      </c>
      <c r="Z2235" t="s">
        <v>27182</v>
      </c>
      <c r="AA2235">
        <v>0.37259543313187932</v>
      </c>
      <c r="AB2235" t="str">
        <f>HYPERLINK("Melting_Curves/meltCurve_P48200_IREB2.pdf", "Melting_Curves/meltCurve_P48200_IREB2.pdf")</f>
        <v>Melting_Curves/meltCurve_P48200_IREB2.pdf</v>
      </c>
    </row>
    <row r="2236" spans="1:28" x14ac:dyDescent="0.25">
      <c r="A2236" t="s">
        <v>2240</v>
      </c>
      <c r="B2236">
        <v>0.99987803227770999</v>
      </c>
      <c r="C2236">
        <v>0.84561789467603399</v>
      </c>
      <c r="D2236">
        <v>0.99443050663196597</v>
      </c>
      <c r="E2236">
        <v>0.96545974107249</v>
      </c>
      <c r="F2236">
        <v>0.62158926547626903</v>
      </c>
      <c r="G2236">
        <v>0.42960341183095002</v>
      </c>
      <c r="H2236">
        <v>9.5347625660983606E-2</v>
      </c>
      <c r="I2236">
        <v>7.2799382765947399E-2</v>
      </c>
      <c r="J2236">
        <v>6.2689806378796398E-2</v>
      </c>
      <c r="K2236">
        <v>6.38529122431961E-2</v>
      </c>
      <c r="L2236">
        <v>1120.13074213906</v>
      </c>
      <c r="M2236">
        <v>20.323969433482901</v>
      </c>
      <c r="N2236">
        <v>55.282011126487099</v>
      </c>
      <c r="O2236">
        <v>54.588548096540997</v>
      </c>
      <c r="P2236">
        <v>-9.0289324938208501E-2</v>
      </c>
      <c r="Q2236">
        <v>2.9990520270058E-2</v>
      </c>
      <c r="R2236">
        <v>0.97235993357037398</v>
      </c>
      <c r="S2236" t="s">
        <v>8547</v>
      </c>
      <c r="T2236" t="s">
        <v>12620</v>
      </c>
      <c r="U2236" t="s">
        <v>12620</v>
      </c>
      <c r="V2236" t="s">
        <v>12620</v>
      </c>
      <c r="W2236" t="s">
        <v>14816</v>
      </c>
      <c r="X2236">
        <v>1</v>
      </c>
      <c r="Y2236" t="s">
        <v>21006</v>
      </c>
      <c r="Z2236" t="s">
        <v>27183</v>
      </c>
      <c r="AA2236">
        <v>0.53124479232853039</v>
      </c>
      <c r="AB2236" t="str">
        <f>HYPERLINK("Melting_Curves/meltCurve_P48380_3_RFX3.pdf", "Melting_Curves/meltCurve_P48380_3_RFX3.pdf")</f>
        <v>Melting_Curves/meltCurve_P48380_3_RFX3.pdf</v>
      </c>
    </row>
    <row r="2237" spans="1:28" x14ac:dyDescent="0.25">
      <c r="A2237" t="s">
        <v>2241</v>
      </c>
      <c r="B2237">
        <v>0.99987803227770999</v>
      </c>
      <c r="C2237">
        <v>0.93002605252665105</v>
      </c>
      <c r="D2237">
        <v>1.0702147001206901</v>
      </c>
      <c r="E2237">
        <v>1.0216448053265801</v>
      </c>
      <c r="F2237">
        <v>1.1544521955498701</v>
      </c>
      <c r="G2237">
        <v>0.97675054329894695</v>
      </c>
      <c r="H2237">
        <v>1.0376855755447101</v>
      </c>
      <c r="I2237">
        <v>0.99069009960075904</v>
      </c>
      <c r="J2237">
        <v>0.89545170667092</v>
      </c>
      <c r="K2237">
        <v>0.69118873566172101</v>
      </c>
      <c r="L2237">
        <v>4443.3113586464196</v>
      </c>
      <c r="M2237">
        <v>65.4616754840835</v>
      </c>
      <c r="O2237">
        <v>67.813269892402403</v>
      </c>
      <c r="P2237">
        <v>-8.4751850671277107E-2</v>
      </c>
      <c r="Q2237">
        <v>0.64881446239574003</v>
      </c>
      <c r="R2237">
        <v>0.73644846425377897</v>
      </c>
      <c r="S2237" t="s">
        <v>8548</v>
      </c>
      <c r="T2237" t="s">
        <v>12620</v>
      </c>
      <c r="U2237" t="s">
        <v>12620</v>
      </c>
      <c r="V2237" t="s">
        <v>12620</v>
      </c>
      <c r="W2237" t="s">
        <v>14817</v>
      </c>
      <c r="X2237">
        <v>6</v>
      </c>
      <c r="Y2237" t="s">
        <v>21007</v>
      </c>
      <c r="Z2237" t="s">
        <v>27184</v>
      </c>
      <c r="AA2237">
        <v>0.97403690765906759</v>
      </c>
      <c r="AB2237" t="str">
        <f>HYPERLINK("Melting_Curves/meltCurve_P48436_SOX9.pdf", "Melting_Curves/meltCurve_P48436_SOX9.pdf")</f>
        <v>Melting_Curves/meltCurve_P48436_SOX9.pdf</v>
      </c>
    </row>
    <row r="2238" spans="1:28" x14ac:dyDescent="0.25">
      <c r="A2238" t="s">
        <v>2242</v>
      </c>
      <c r="B2238">
        <v>0.99987803227770999</v>
      </c>
      <c r="C2238">
        <v>0.88922724802049102</v>
      </c>
      <c r="D2238">
        <v>0.89768872319029602</v>
      </c>
      <c r="E2238">
        <v>0.99300608846181704</v>
      </c>
      <c r="F2238">
        <v>0.79259409711361595</v>
      </c>
      <c r="G2238">
        <v>0.419303419283512</v>
      </c>
      <c r="H2238">
        <v>0.17518095321411301</v>
      </c>
      <c r="I2238">
        <v>0.12679871989038</v>
      </c>
      <c r="J2238">
        <v>0.10116995970428699</v>
      </c>
      <c r="K2238">
        <v>6.8044704685500002E-2</v>
      </c>
      <c r="L2238">
        <v>1383.12271524742</v>
      </c>
      <c r="M2238">
        <v>24.795730784675602</v>
      </c>
      <c r="N2238">
        <v>56.168405440900003</v>
      </c>
      <c r="O2238">
        <v>55.421673944995398</v>
      </c>
      <c r="P2238">
        <v>-0.103053746702747</v>
      </c>
      <c r="Q2238">
        <v>7.8659016839083204E-2</v>
      </c>
      <c r="R2238">
        <v>0.98355073798742498</v>
      </c>
      <c r="S2238" t="s">
        <v>8549</v>
      </c>
      <c r="T2238" t="s">
        <v>12620</v>
      </c>
      <c r="U2238" t="s">
        <v>12620</v>
      </c>
      <c r="V2238" t="s">
        <v>12620</v>
      </c>
      <c r="W2238" t="s">
        <v>14818</v>
      </c>
      <c r="X2238">
        <v>27</v>
      </c>
      <c r="Y2238" t="s">
        <v>21008</v>
      </c>
      <c r="Z2238" t="s">
        <v>27185</v>
      </c>
      <c r="AA2238">
        <v>0.57190176017345962</v>
      </c>
      <c r="AB2238" t="str">
        <f>HYPERLINK("Melting_Curves/meltCurve_P48444_ARCN1.pdf", "Melting_Curves/meltCurve_P48444_ARCN1.pdf")</f>
        <v>Melting_Curves/meltCurve_P48444_ARCN1.pdf</v>
      </c>
    </row>
    <row r="2239" spans="1:28" x14ac:dyDescent="0.25">
      <c r="A2239" t="s">
        <v>2243</v>
      </c>
      <c r="B2239">
        <v>0.99987803227770999</v>
      </c>
      <c r="C2239">
        <v>1.0533770874683399</v>
      </c>
      <c r="D2239">
        <v>0.93261455423188</v>
      </c>
      <c r="E2239">
        <v>0.91864494817363196</v>
      </c>
      <c r="F2239">
        <v>0.93861909557651402</v>
      </c>
      <c r="G2239">
        <v>0.81327580005977396</v>
      </c>
      <c r="H2239">
        <v>0.35797307545581197</v>
      </c>
      <c r="I2239">
        <v>0.205215301958315</v>
      </c>
      <c r="J2239">
        <v>9.0320148599537103E-2</v>
      </c>
      <c r="K2239">
        <v>5.4134586052712E-2</v>
      </c>
      <c r="L2239">
        <v>1564.1769024293999</v>
      </c>
      <c r="M2239">
        <v>26.212162197342799</v>
      </c>
      <c r="N2239">
        <v>59.867856147107503</v>
      </c>
      <c r="O2239">
        <v>59.329635221511502</v>
      </c>
      <c r="P2239">
        <v>-0.105952111971734</v>
      </c>
      <c r="Q2239">
        <v>4.07460371416003E-2</v>
      </c>
      <c r="R2239">
        <v>0.98916484305253005</v>
      </c>
      <c r="S2239" t="s">
        <v>8550</v>
      </c>
      <c r="T2239" t="s">
        <v>12620</v>
      </c>
      <c r="U2239" t="s">
        <v>12620</v>
      </c>
      <c r="V2239" t="s">
        <v>12620</v>
      </c>
      <c r="W2239" t="s">
        <v>14819</v>
      </c>
      <c r="X2239">
        <v>6</v>
      </c>
      <c r="Y2239" t="s">
        <v>21009</v>
      </c>
      <c r="Z2239" t="s">
        <v>27186</v>
      </c>
      <c r="AA2239">
        <v>0.6768525558605506</v>
      </c>
      <c r="AB2239" t="str">
        <f>HYPERLINK("Melting_Curves/meltCurve_P48454_2_PPP3CC.pdf", "Melting_Curves/meltCurve_P48454_2_PPP3CC.pdf")</f>
        <v>Melting_Curves/meltCurve_P48454_2_PPP3CC.pdf</v>
      </c>
    </row>
    <row r="2240" spans="1:28" x14ac:dyDescent="0.25">
      <c r="A2240" t="s">
        <v>2244</v>
      </c>
      <c r="B2240">
        <v>0.99987803227770999</v>
      </c>
      <c r="C2240">
        <v>0.91512607143769698</v>
      </c>
      <c r="D2240">
        <v>1.0163577084063999</v>
      </c>
      <c r="E2240">
        <v>0.77342835981095304</v>
      </c>
      <c r="F2240">
        <v>0.26914986150134701</v>
      </c>
      <c r="G2240">
        <v>0.158113922830246</v>
      </c>
      <c r="H2240">
        <v>0.11409401631709699</v>
      </c>
      <c r="I2240">
        <v>0.107951190332483</v>
      </c>
      <c r="J2240">
        <v>7.5495907173414201E-2</v>
      </c>
      <c r="K2240">
        <v>5.6999560057530201E-2</v>
      </c>
      <c r="L2240">
        <v>2190.8850599956399</v>
      </c>
      <c r="M2240">
        <v>42.739145098394197</v>
      </c>
      <c r="N2240">
        <v>51.526823599844498</v>
      </c>
      <c r="O2240">
        <v>51.149951477793998</v>
      </c>
      <c r="P2240">
        <v>-0.18827927427618699</v>
      </c>
      <c r="Q2240">
        <v>9.8675568579200998E-2</v>
      </c>
      <c r="R2240">
        <v>0.99207227410395504</v>
      </c>
      <c r="S2240" t="s">
        <v>8551</v>
      </c>
      <c r="T2240" t="s">
        <v>12620</v>
      </c>
      <c r="U2240" t="s">
        <v>12620</v>
      </c>
      <c r="V2240" t="s">
        <v>12620</v>
      </c>
      <c r="W2240" t="s">
        <v>14820</v>
      </c>
      <c r="X2240">
        <v>30</v>
      </c>
      <c r="Y2240" t="s">
        <v>21010</v>
      </c>
      <c r="Z2240" t="s">
        <v>27187</v>
      </c>
      <c r="AA2240">
        <v>0.43982097557255212</v>
      </c>
      <c r="AB2240" t="str">
        <f>HYPERLINK("Melting_Curves/meltCurve_P48506_GCLC.pdf", "Melting_Curves/meltCurve_P48506_GCLC.pdf")</f>
        <v>Melting_Curves/meltCurve_P48506_GCLC.pdf</v>
      </c>
    </row>
    <row r="2241" spans="1:28" x14ac:dyDescent="0.25">
      <c r="A2241" t="s">
        <v>2245</v>
      </c>
      <c r="B2241">
        <v>0.99987803227770999</v>
      </c>
      <c r="C2241">
        <v>0.80686784565881897</v>
      </c>
      <c r="D2241">
        <v>0.94789616044931202</v>
      </c>
      <c r="E2241">
        <v>0.64766686274102703</v>
      </c>
      <c r="F2241">
        <v>0.33631586498698002</v>
      </c>
      <c r="G2241">
        <v>0.16043137102302399</v>
      </c>
      <c r="H2241">
        <v>0.12162717942496</v>
      </c>
      <c r="I2241">
        <v>9.6470609111296193E-2</v>
      </c>
      <c r="J2241">
        <v>9.6541103748711304E-2</v>
      </c>
      <c r="K2241">
        <v>6.6794821027376494E-2</v>
      </c>
      <c r="L2241">
        <v>1061.94557182617</v>
      </c>
      <c r="M2241">
        <v>20.860104157910101</v>
      </c>
      <c r="N2241">
        <v>51.331277431951399</v>
      </c>
      <c r="O2241">
        <v>50.447051681156601</v>
      </c>
      <c r="P2241">
        <v>-9.5210002869629801E-2</v>
      </c>
      <c r="Q2241">
        <v>7.9020596599844298E-2</v>
      </c>
      <c r="R2241">
        <v>0.97436625967400503</v>
      </c>
      <c r="S2241" t="s">
        <v>8552</v>
      </c>
      <c r="T2241" t="s">
        <v>12620</v>
      </c>
      <c r="U2241" t="s">
        <v>12620</v>
      </c>
      <c r="V2241" t="s">
        <v>12620</v>
      </c>
      <c r="W2241" t="s">
        <v>14821</v>
      </c>
      <c r="X2241">
        <v>13</v>
      </c>
      <c r="Y2241" t="s">
        <v>21011</v>
      </c>
      <c r="Z2241" t="s">
        <v>27188</v>
      </c>
      <c r="AA2241">
        <v>0.4256968869048296</v>
      </c>
      <c r="AB2241" t="str">
        <f>HYPERLINK("Melting_Curves/meltCurve_P48507_GCLM.pdf", "Melting_Curves/meltCurve_P48507_GCLM.pdf")</f>
        <v>Melting_Curves/meltCurve_P48507_GCLM.pdf</v>
      </c>
    </row>
    <row r="2242" spans="1:28" x14ac:dyDescent="0.25">
      <c r="A2242" t="s">
        <v>2246</v>
      </c>
      <c r="B2242">
        <v>0.99987803227770999</v>
      </c>
      <c r="C2242">
        <v>1.1588929459128401</v>
      </c>
      <c r="D2242">
        <v>1.1785653250609001</v>
      </c>
      <c r="E2242">
        <v>0.85603796637071405</v>
      </c>
      <c r="F2242">
        <v>0.93956070609945297</v>
      </c>
      <c r="G2242">
        <v>0.74379064501750103</v>
      </c>
      <c r="H2242">
        <v>0.853991330396075</v>
      </c>
      <c r="I2242">
        <v>0.80467049101879995</v>
      </c>
      <c r="J2242">
        <v>0.68343293446100795</v>
      </c>
      <c r="K2242">
        <v>0.54220991627396997</v>
      </c>
      <c r="L2242">
        <v>511.94398298686099</v>
      </c>
      <c r="M2242">
        <v>6.9630619790845296</v>
      </c>
      <c r="O2242">
        <v>68.178080025616595</v>
      </c>
      <c r="P2242">
        <v>-2.5580890078552201E-2</v>
      </c>
      <c r="Q2242">
        <v>0</v>
      </c>
      <c r="R2242">
        <v>0.71070252287495095</v>
      </c>
      <c r="S2242" t="s">
        <v>8553</v>
      </c>
      <c r="T2242" t="s">
        <v>12620</v>
      </c>
      <c r="U2242" t="s">
        <v>12620</v>
      </c>
      <c r="V2242" t="s">
        <v>12620</v>
      </c>
      <c r="W2242" t="s">
        <v>14822</v>
      </c>
      <c r="X2242">
        <v>2</v>
      </c>
      <c r="Y2242" t="s">
        <v>21012</v>
      </c>
      <c r="Z2242" t="s">
        <v>27189</v>
      </c>
      <c r="AA2242">
        <v>0.86792763436929965</v>
      </c>
      <c r="AB2242" t="str">
        <f>HYPERLINK("Melting_Curves/meltCurve_P48552_NRIP1.pdf", "Melting_Curves/meltCurve_P48552_NRIP1.pdf")</f>
        <v>Melting_Curves/meltCurve_P48552_NRIP1.pdf</v>
      </c>
    </row>
    <row r="2243" spans="1:28" x14ac:dyDescent="0.25">
      <c r="A2243" t="s">
        <v>2247</v>
      </c>
      <c r="B2243">
        <v>0.99987803227770999</v>
      </c>
      <c r="C2243">
        <v>0.96036938812649497</v>
      </c>
      <c r="D2243">
        <v>0.83130156392528098</v>
      </c>
      <c r="E2243">
        <v>1.05145747452919</v>
      </c>
      <c r="F2243">
        <v>0.49671760667318499</v>
      </c>
      <c r="G2243">
        <v>0.260732962618553</v>
      </c>
      <c r="H2243">
        <v>0.137279446503871</v>
      </c>
      <c r="I2243">
        <v>0.130913337421839</v>
      </c>
      <c r="J2243">
        <v>9.8953535926977504E-2</v>
      </c>
      <c r="K2243">
        <v>6.9831915272380501E-2</v>
      </c>
      <c r="L2243">
        <v>13231.825027991301</v>
      </c>
      <c r="M2243">
        <v>250</v>
      </c>
      <c r="N2243">
        <v>52.996673620530999</v>
      </c>
      <c r="O2243">
        <v>52.923926074890502</v>
      </c>
      <c r="P2243">
        <v>-1.01614955528444</v>
      </c>
      <c r="Q2243">
        <v>0.13954222777883099</v>
      </c>
      <c r="R2243">
        <v>0.96511335411143795</v>
      </c>
      <c r="S2243" t="s">
        <v>8554</v>
      </c>
      <c r="T2243" t="s">
        <v>12620</v>
      </c>
      <c r="U2243" t="s">
        <v>12620</v>
      </c>
      <c r="V2243" t="s">
        <v>12620</v>
      </c>
      <c r="W2243" t="s">
        <v>14823</v>
      </c>
      <c r="X2243">
        <v>2</v>
      </c>
      <c r="Y2243" t="s">
        <v>21013</v>
      </c>
      <c r="Z2243" t="s">
        <v>27190</v>
      </c>
      <c r="AA2243">
        <v>0.51040201460458456</v>
      </c>
      <c r="AB2243" t="str">
        <f>HYPERLINK("Melting_Curves/meltCurve_P48553_TRAPPC10.pdf", "Melting_Curves/meltCurve_P48553_TRAPPC10.pdf")</f>
        <v>Melting_Curves/meltCurve_P48553_TRAPPC10.pdf</v>
      </c>
    </row>
    <row r="2244" spans="1:28" x14ac:dyDescent="0.25">
      <c r="A2244" t="s">
        <v>2248</v>
      </c>
      <c r="B2244">
        <v>0.99987803227770999</v>
      </c>
      <c r="C2244">
        <v>0.91129353331815799</v>
      </c>
      <c r="D2244">
        <v>1.0655589929937499</v>
      </c>
      <c r="E2244">
        <v>0.96282150473167705</v>
      </c>
      <c r="F2244">
        <v>1.0947896512175701</v>
      </c>
      <c r="G2244">
        <v>0.99526890547479796</v>
      </c>
      <c r="H2244">
        <v>1.0162034692969599</v>
      </c>
      <c r="I2244">
        <v>0.98113491476382098</v>
      </c>
      <c r="J2244">
        <v>0.91465610043145096</v>
      </c>
      <c r="K2244">
        <v>0.76504063922733401</v>
      </c>
      <c r="L2244">
        <v>2916.2156039680999</v>
      </c>
      <c r="M2244">
        <v>42.426015423601001</v>
      </c>
      <c r="O2244">
        <v>68.584299060176605</v>
      </c>
      <c r="P2244">
        <v>-5.3216285906300398E-2</v>
      </c>
      <c r="Q2244">
        <v>0.65589074281519899</v>
      </c>
      <c r="R2244">
        <v>0.70290462785039098</v>
      </c>
      <c r="S2244" t="s">
        <v>8555</v>
      </c>
      <c r="T2244" t="s">
        <v>12620</v>
      </c>
      <c r="U2244" t="s">
        <v>12620</v>
      </c>
      <c r="V2244" t="s">
        <v>12620</v>
      </c>
      <c r="W2244" t="s">
        <v>14824</v>
      </c>
      <c r="X2244">
        <v>48</v>
      </c>
      <c r="Y2244" t="s">
        <v>21014</v>
      </c>
      <c r="Z2244" t="s">
        <v>27191</v>
      </c>
      <c r="AA2244">
        <v>0.97917929395953751</v>
      </c>
      <c r="AB2244" t="str">
        <f>HYPERLINK("Melting_Curves/meltCurve_P48634_PRRC2A.pdf", "Melting_Curves/meltCurve_P48634_PRRC2A.pdf")</f>
        <v>Melting_Curves/meltCurve_P48634_PRRC2A.pdf</v>
      </c>
    </row>
    <row r="2245" spans="1:28" x14ac:dyDescent="0.25">
      <c r="A2245" t="s">
        <v>2249</v>
      </c>
      <c r="B2245">
        <v>0.99987803227770999</v>
      </c>
      <c r="C2245">
        <v>1.0073847578639901</v>
      </c>
      <c r="D2245">
        <v>0.95101894518337204</v>
      </c>
      <c r="E2245">
        <v>1.05467657252969</v>
      </c>
      <c r="F2245">
        <v>1.02440748828453</v>
      </c>
      <c r="G2245">
        <v>1.24720094010829</v>
      </c>
      <c r="H2245">
        <v>0.94649690724550195</v>
      </c>
      <c r="I2245">
        <v>0.29356202063401798</v>
      </c>
      <c r="J2245">
        <v>7.0589875717878003E-2</v>
      </c>
      <c r="K2245">
        <v>5.7917311101622397E-2</v>
      </c>
      <c r="L2245">
        <v>5134.9293182761703</v>
      </c>
      <c r="M2245">
        <v>81.340180332713999</v>
      </c>
      <c r="N2245">
        <v>63.228179801767503</v>
      </c>
      <c r="O2245">
        <v>63.090935140078003</v>
      </c>
      <c r="P2245">
        <v>-0.30301743553100202</v>
      </c>
      <c r="Q2245">
        <v>5.9866806405582999E-2</v>
      </c>
      <c r="R2245">
        <v>0.96200639082176198</v>
      </c>
      <c r="S2245" t="s">
        <v>8556</v>
      </c>
      <c r="T2245" t="s">
        <v>12620</v>
      </c>
      <c r="U2245" t="s">
        <v>12620</v>
      </c>
      <c r="V2245" t="s">
        <v>12620</v>
      </c>
      <c r="W2245" t="s">
        <v>14825</v>
      </c>
      <c r="X2245">
        <v>37</v>
      </c>
      <c r="Y2245" t="s">
        <v>21015</v>
      </c>
      <c r="Z2245" t="s">
        <v>27192</v>
      </c>
      <c r="AA2245">
        <v>0.78565540561725866</v>
      </c>
      <c r="AB2245" t="str">
        <f>HYPERLINK("Melting_Curves/meltCurve_P48637_GSS.pdf", "Melting_Curves/meltCurve_P48637_GSS.pdf")</f>
        <v>Melting_Curves/meltCurve_P48637_GSS.pdf</v>
      </c>
    </row>
    <row r="2246" spans="1:28" x14ac:dyDescent="0.25">
      <c r="A2246" t="s">
        <v>2250</v>
      </c>
      <c r="B2246">
        <v>0.99987803227770999</v>
      </c>
      <c r="C2246">
        <v>0.83746544271884904</v>
      </c>
      <c r="D2246">
        <v>0.88043910561247496</v>
      </c>
      <c r="E2246">
        <v>1.27874533957906</v>
      </c>
      <c r="F2246">
        <v>1.0969413273258199</v>
      </c>
      <c r="G2246">
        <v>0.63683528049785298</v>
      </c>
      <c r="H2246">
        <v>0.19094517034599001</v>
      </c>
      <c r="I2246">
        <v>0.128907936918562</v>
      </c>
      <c r="J2246">
        <v>9.7353545421716994E-2</v>
      </c>
      <c r="K2246">
        <v>6.4255652907930602E-2</v>
      </c>
      <c r="L2246">
        <v>2864.6199315626</v>
      </c>
      <c r="M2246">
        <v>49.801780473178802</v>
      </c>
      <c r="N2246">
        <v>57.793203910736402</v>
      </c>
      <c r="O2246">
        <v>57.427914127504899</v>
      </c>
      <c r="P2246">
        <v>-0.19409463945284999</v>
      </c>
      <c r="Q2246">
        <v>0.104735572741017</v>
      </c>
      <c r="R2246">
        <v>0.93033194415984799</v>
      </c>
      <c r="S2246" t="s">
        <v>8557</v>
      </c>
      <c r="T2246" t="s">
        <v>12620</v>
      </c>
      <c r="U2246" t="s">
        <v>12620</v>
      </c>
      <c r="V2246" t="s">
        <v>12620</v>
      </c>
      <c r="W2246" t="s">
        <v>14826</v>
      </c>
      <c r="X2246">
        <v>36</v>
      </c>
      <c r="Y2246" t="s">
        <v>21016</v>
      </c>
      <c r="Z2246" t="s">
        <v>27193</v>
      </c>
      <c r="AA2246">
        <v>0.62986513732147775</v>
      </c>
      <c r="AB2246" t="str">
        <f>HYPERLINK("Melting_Curves/meltCurve_P48643_CCT5.pdf", "Melting_Curves/meltCurve_P48643_CCT5.pdf")</f>
        <v>Melting_Curves/meltCurve_P48643_CCT5.pdf</v>
      </c>
    </row>
    <row r="2247" spans="1:28" x14ac:dyDescent="0.25">
      <c r="A2247" t="s">
        <v>2251</v>
      </c>
      <c r="B2247">
        <v>0.99987803227770999</v>
      </c>
      <c r="C2247">
        <v>0.92735690936495496</v>
      </c>
      <c r="D2247">
        <v>0.97438397667519805</v>
      </c>
      <c r="E2247">
        <v>0.96119219376625697</v>
      </c>
      <c r="F2247">
        <v>1.03980278036426</v>
      </c>
      <c r="G2247">
        <v>0.93690737051151896</v>
      </c>
      <c r="H2247">
        <v>0.94777695833562003</v>
      </c>
      <c r="I2247">
        <v>0.93671035505989997</v>
      </c>
      <c r="J2247">
        <v>0.84339731690690201</v>
      </c>
      <c r="K2247">
        <v>0.66703290908047097</v>
      </c>
      <c r="L2247">
        <v>1324.3120510057499</v>
      </c>
      <c r="M2247">
        <v>18.1854372150346</v>
      </c>
      <c r="Q2247">
        <v>0</v>
      </c>
      <c r="R2247">
        <v>0.86237487377045197</v>
      </c>
      <c r="S2247" t="s">
        <v>8558</v>
      </c>
      <c r="T2247" t="s">
        <v>12620</v>
      </c>
      <c r="U2247" t="s">
        <v>12620</v>
      </c>
      <c r="V2247" t="s">
        <v>12620</v>
      </c>
      <c r="W2247" t="s">
        <v>14827</v>
      </c>
      <c r="X2247">
        <v>12</v>
      </c>
      <c r="Y2247" t="s">
        <v>21017</v>
      </c>
      <c r="Z2247" t="s">
        <v>27194</v>
      </c>
      <c r="AA2247">
        <v>0.95648073170621162</v>
      </c>
      <c r="AB2247" t="str">
        <f>HYPERLINK("Melting_Curves/meltCurve_P48681_NES.pdf", "Melting_Curves/meltCurve_P48681_NES.pdf")</f>
        <v>Melting_Curves/meltCurve_P48681_NES.pdf</v>
      </c>
    </row>
    <row r="2248" spans="1:28" x14ac:dyDescent="0.25">
      <c r="A2248" t="s">
        <v>2252</v>
      </c>
      <c r="B2248">
        <v>0.99987803227770999</v>
      </c>
      <c r="C2248">
        <v>0.95945503833429102</v>
      </c>
      <c r="D2248">
        <v>0.95805086706630205</v>
      </c>
      <c r="E2248">
        <v>0.62077995526239305</v>
      </c>
      <c r="F2248">
        <v>0.44254120096479799</v>
      </c>
      <c r="G2248">
        <v>0.267929636838596</v>
      </c>
      <c r="H2248">
        <v>0.1803378720713</v>
      </c>
      <c r="I2248">
        <v>0.16505967212525499</v>
      </c>
      <c r="J2248">
        <v>0.10399253506996201</v>
      </c>
      <c r="K2248">
        <v>8.0607228654306598E-2</v>
      </c>
      <c r="L2248">
        <v>876.91704392349197</v>
      </c>
      <c r="M2248">
        <v>17.039077975581499</v>
      </c>
      <c r="N2248">
        <v>52.186194994513897</v>
      </c>
      <c r="O2248">
        <v>50.771859804473102</v>
      </c>
      <c r="P2248">
        <v>-7.51042304883551E-2</v>
      </c>
      <c r="Q2248">
        <v>0.104893363698013</v>
      </c>
      <c r="R2248">
        <v>0.99315992876532599</v>
      </c>
      <c r="S2248" t="s">
        <v>8559</v>
      </c>
      <c r="T2248" t="s">
        <v>12620</v>
      </c>
      <c r="U2248" t="s">
        <v>12620</v>
      </c>
      <c r="V2248" t="s">
        <v>12620</v>
      </c>
      <c r="W2248" t="s">
        <v>14828</v>
      </c>
      <c r="X2248">
        <v>3</v>
      </c>
      <c r="Y2248" t="s">
        <v>21018</v>
      </c>
      <c r="Z2248" t="s">
        <v>27195</v>
      </c>
      <c r="AA2248">
        <v>0.46347269819651549</v>
      </c>
      <c r="AB2248" t="str">
        <f>HYPERLINK("Melting_Curves/meltCurve_P48723_HSPA13.pdf", "Melting_Curves/meltCurve_P48723_HSPA13.pdf")</f>
        <v>Melting_Curves/meltCurve_P48723_HSPA13.pdf</v>
      </c>
    </row>
    <row r="2249" spans="1:28" x14ac:dyDescent="0.25">
      <c r="A2249" t="s">
        <v>2253</v>
      </c>
      <c r="B2249">
        <v>0.99987803227770999</v>
      </c>
      <c r="C2249">
        <v>1.0897533946061799</v>
      </c>
      <c r="D2249">
        <v>0.91170270779263396</v>
      </c>
      <c r="E2249">
        <v>0.83821518044450904</v>
      </c>
      <c r="F2249">
        <v>0.309802344936151</v>
      </c>
      <c r="G2249">
        <v>0.22600527376972299</v>
      </c>
      <c r="H2249">
        <v>9.8255270593284705E-2</v>
      </c>
      <c r="I2249">
        <v>7.6285369791873697E-2</v>
      </c>
      <c r="J2249">
        <v>4.3113780559460801E-2</v>
      </c>
      <c r="K2249">
        <v>4.0871878443182803E-2</v>
      </c>
      <c r="L2249">
        <v>1957.86082198555</v>
      </c>
      <c r="M2249">
        <v>37.847114274015297</v>
      </c>
      <c r="N2249">
        <v>51.989392500278001</v>
      </c>
      <c r="O2249">
        <v>51.586992237557901</v>
      </c>
      <c r="P2249">
        <v>-0.16767727898064699</v>
      </c>
      <c r="Q2249">
        <v>8.5801459957364407E-2</v>
      </c>
      <c r="R2249">
        <v>0.98043659857587095</v>
      </c>
      <c r="S2249" t="s">
        <v>8560</v>
      </c>
      <c r="T2249" t="s">
        <v>12620</v>
      </c>
      <c r="U2249" t="s">
        <v>12620</v>
      </c>
      <c r="V2249" t="s">
        <v>12620</v>
      </c>
      <c r="W2249" t="s">
        <v>14829</v>
      </c>
      <c r="X2249">
        <v>13</v>
      </c>
      <c r="Y2249" t="s">
        <v>21019</v>
      </c>
      <c r="Z2249" t="s">
        <v>27196</v>
      </c>
      <c r="AA2249">
        <v>0.44692938150292882</v>
      </c>
      <c r="AB2249" t="str">
        <f>HYPERLINK("Melting_Curves/meltCurve_P48729_CSNK1A1.pdf", "Melting_Curves/meltCurve_P48729_CSNK1A1.pdf")</f>
        <v>Melting_Curves/meltCurve_P48729_CSNK1A1.pdf</v>
      </c>
    </row>
    <row r="2250" spans="1:28" x14ac:dyDescent="0.25">
      <c r="A2250" t="s">
        <v>2254</v>
      </c>
      <c r="B2250">
        <v>0.99987803227770999</v>
      </c>
      <c r="C2250">
        <v>1.0578852948564099</v>
      </c>
      <c r="D2250">
        <v>1.0167838655030701</v>
      </c>
      <c r="E2250">
        <v>0.84376096101114095</v>
      </c>
      <c r="F2250">
        <v>0.76060992846666997</v>
      </c>
      <c r="G2250">
        <v>0.51598591577941799</v>
      </c>
      <c r="H2250">
        <v>0.62858421779219897</v>
      </c>
      <c r="I2250">
        <v>0.62231265597432295</v>
      </c>
      <c r="J2250">
        <v>0.72896835262597204</v>
      </c>
      <c r="K2250">
        <v>0.57807959960144195</v>
      </c>
      <c r="L2250">
        <v>1647.41809537308</v>
      </c>
      <c r="M2250">
        <v>32.252094383404803</v>
      </c>
      <c r="O2250">
        <v>50.884243164437798</v>
      </c>
      <c r="P2250">
        <v>-6.0450761387488602E-2</v>
      </c>
      <c r="Q2250">
        <v>0.61850835245660396</v>
      </c>
      <c r="R2250">
        <v>0.89926435270342997</v>
      </c>
      <c r="S2250" t="s">
        <v>8561</v>
      </c>
      <c r="T2250" t="s">
        <v>12620</v>
      </c>
      <c r="U2250" t="s">
        <v>12620</v>
      </c>
      <c r="V2250" t="s">
        <v>12620</v>
      </c>
      <c r="W2250" t="s">
        <v>14830</v>
      </c>
      <c r="X2250">
        <v>3</v>
      </c>
      <c r="Y2250" t="s">
        <v>21020</v>
      </c>
      <c r="Z2250" t="s">
        <v>27197</v>
      </c>
      <c r="AA2250">
        <v>0.76147574160447007</v>
      </c>
      <c r="AB2250" t="str">
        <f>HYPERLINK("Melting_Curves/meltCurve_P48730_2_CSNK1D.pdf", "Melting_Curves/meltCurve_P48730_2_CSNK1D.pdf")</f>
        <v>Melting_Curves/meltCurve_P48730_2_CSNK1D.pdf</v>
      </c>
    </row>
    <row r="2251" spans="1:28" x14ac:dyDescent="0.25">
      <c r="A2251" t="s">
        <v>2255</v>
      </c>
      <c r="B2251">
        <v>0.99987803227770999</v>
      </c>
      <c r="C2251">
        <v>0.72624762793387598</v>
      </c>
      <c r="D2251">
        <v>0.34693060014638</v>
      </c>
      <c r="E2251">
        <v>0.300705044969513</v>
      </c>
      <c r="F2251">
        <v>0.18298675672626399</v>
      </c>
      <c r="G2251">
        <v>0.105639245405571</v>
      </c>
      <c r="H2251">
        <v>9.0180792450710104E-2</v>
      </c>
      <c r="I2251">
        <v>7.3855840989044394E-2</v>
      </c>
      <c r="J2251">
        <v>5.98306204890467E-2</v>
      </c>
      <c r="K2251">
        <v>4.72804815355354E-2</v>
      </c>
      <c r="L2251">
        <v>839.871001764173</v>
      </c>
      <c r="M2251">
        <v>18.7391731901957</v>
      </c>
      <c r="N2251">
        <v>45.280186414393299</v>
      </c>
      <c r="O2251">
        <v>44.317955135555003</v>
      </c>
      <c r="P2251">
        <v>-9.6528792089325993E-2</v>
      </c>
      <c r="Q2251">
        <v>8.6879972303223293E-2</v>
      </c>
      <c r="R2251">
        <v>0.96783728898038601</v>
      </c>
      <c r="S2251" t="s">
        <v>8562</v>
      </c>
      <c r="T2251" t="s">
        <v>12620</v>
      </c>
      <c r="U2251" t="s">
        <v>12620</v>
      </c>
      <c r="V2251" t="s">
        <v>12620</v>
      </c>
      <c r="W2251" t="s">
        <v>14831</v>
      </c>
      <c r="X2251">
        <v>16</v>
      </c>
      <c r="Y2251" t="s">
        <v>21021</v>
      </c>
      <c r="Z2251" t="s">
        <v>27198</v>
      </c>
      <c r="AA2251">
        <v>0.25191096131630608</v>
      </c>
      <c r="AB2251" t="str">
        <f>HYPERLINK("Melting_Curves/meltCurve_P48735_IDH2.pdf", "Melting_Curves/meltCurve_P48735_IDH2.pdf")</f>
        <v>Melting_Curves/meltCurve_P48735_IDH2.pdf</v>
      </c>
    </row>
    <row r="2252" spans="1:28" x14ac:dyDescent="0.25">
      <c r="A2252" t="s">
        <v>2256</v>
      </c>
      <c r="B2252">
        <v>0.99987803227770999</v>
      </c>
      <c r="C2252">
        <v>0.73801140127023301</v>
      </c>
      <c r="D2252">
        <v>0.97995639910867804</v>
      </c>
      <c r="E2252">
        <v>0.79599771648095197</v>
      </c>
      <c r="F2252">
        <v>1.00886981495573</v>
      </c>
      <c r="G2252">
        <v>0.77892715035309301</v>
      </c>
      <c r="H2252">
        <v>0.31670162031183802</v>
      </c>
      <c r="I2252">
        <v>0.177032938000421</v>
      </c>
      <c r="J2252">
        <v>0.112782325956216</v>
      </c>
      <c r="K2252">
        <v>7.11129237362014E-2</v>
      </c>
      <c r="L2252">
        <v>1814.30823065288</v>
      </c>
      <c r="M2252">
        <v>30.719143647900498</v>
      </c>
      <c r="N2252">
        <v>59.399170918354102</v>
      </c>
      <c r="O2252">
        <v>58.812583450515703</v>
      </c>
      <c r="P2252">
        <v>-0.120110082690203</v>
      </c>
      <c r="Q2252">
        <v>8.0190473118658401E-2</v>
      </c>
      <c r="R2252">
        <v>0.91664663806188296</v>
      </c>
      <c r="S2252" t="s">
        <v>8563</v>
      </c>
      <c r="T2252" t="s">
        <v>12620</v>
      </c>
      <c r="U2252" t="s">
        <v>12620</v>
      </c>
      <c r="V2252" t="s">
        <v>12620</v>
      </c>
      <c r="W2252" t="s">
        <v>14832</v>
      </c>
      <c r="X2252">
        <v>29</v>
      </c>
      <c r="Y2252" t="s">
        <v>21022</v>
      </c>
      <c r="Z2252" t="s">
        <v>27199</v>
      </c>
      <c r="AA2252">
        <v>0.67028233510541069</v>
      </c>
      <c r="AB2252" t="str">
        <f>HYPERLINK("Melting_Curves/meltCurve_P48739_PITPNB.pdf", "Melting_Curves/meltCurve_P48739_PITPNB.pdf")</f>
        <v>Melting_Curves/meltCurve_P48739_PITPNB.pdf</v>
      </c>
    </row>
    <row r="2253" spans="1:28" x14ac:dyDescent="0.25">
      <c r="A2253" t="s">
        <v>2257</v>
      </c>
      <c r="B2253">
        <v>0.99987803227770999</v>
      </c>
      <c r="C2253">
        <v>1.08043709793412</v>
      </c>
      <c r="D2253">
        <v>0.98704820354425105</v>
      </c>
      <c r="E2253">
        <v>0.81761186220047199</v>
      </c>
      <c r="F2253">
        <v>0.463985863635624</v>
      </c>
      <c r="G2253">
        <v>0.30945952073988298</v>
      </c>
      <c r="H2253">
        <v>0.26078753918870601</v>
      </c>
      <c r="I2253">
        <v>0.16853034877711401</v>
      </c>
      <c r="J2253">
        <v>8.2929378985597907E-2</v>
      </c>
      <c r="K2253">
        <v>5.0164821996072903E-2</v>
      </c>
      <c r="L2253">
        <v>1020.71996963708</v>
      </c>
      <c r="M2253">
        <v>19.309243953767801</v>
      </c>
      <c r="N2253">
        <v>53.538156152736804</v>
      </c>
      <c r="O2253">
        <v>52.304548500769101</v>
      </c>
      <c r="P2253">
        <v>-8.2305579244162499E-2</v>
      </c>
      <c r="Q2253">
        <v>0.10824160697346601</v>
      </c>
      <c r="R2253">
        <v>0.97823768569684799</v>
      </c>
      <c r="S2253" t="s">
        <v>8564</v>
      </c>
      <c r="T2253" t="s">
        <v>12620</v>
      </c>
      <c r="U2253" t="s">
        <v>12620</v>
      </c>
      <c r="V2253" t="s">
        <v>12620</v>
      </c>
      <c r="W2253" t="s">
        <v>14833</v>
      </c>
      <c r="X2253">
        <v>14</v>
      </c>
      <c r="Y2253" t="s">
        <v>21023</v>
      </c>
      <c r="Z2253" t="s">
        <v>27200</v>
      </c>
      <c r="AA2253">
        <v>0.50359631973519847</v>
      </c>
      <c r="AB2253" t="str">
        <f>HYPERLINK("Melting_Curves/meltCurve_P49005_POLD2.pdf", "Melting_Curves/meltCurve_P49005_POLD2.pdf")</f>
        <v>Melting_Curves/meltCurve_P49005_POLD2.pdf</v>
      </c>
    </row>
    <row r="2254" spans="1:28" x14ac:dyDescent="0.25">
      <c r="A2254" t="s">
        <v>2258</v>
      </c>
      <c r="B2254">
        <v>0.99987803227770999</v>
      </c>
      <c r="C2254">
        <v>0.81347190903663702</v>
      </c>
      <c r="D2254">
        <v>1.0138013342860901</v>
      </c>
      <c r="E2254">
        <v>0.94245087294741603</v>
      </c>
      <c r="F2254">
        <v>1.3020545620886499</v>
      </c>
      <c r="G2254">
        <v>0.87332865426389195</v>
      </c>
      <c r="H2254">
        <v>1.1875833849298401</v>
      </c>
      <c r="I2254">
        <v>1.2638316418943201</v>
      </c>
      <c r="J2254">
        <v>1.48970429234848</v>
      </c>
      <c r="K2254">
        <v>1.2667994328866501</v>
      </c>
      <c r="L2254">
        <v>3599.5822444763098</v>
      </c>
      <c r="M2254">
        <v>58.909044348835302</v>
      </c>
      <c r="O2254">
        <v>61.0337753265594</v>
      </c>
      <c r="P2254">
        <v>8.4996632683387099E-2</v>
      </c>
      <c r="Q2254">
        <v>1.3522489848194099</v>
      </c>
      <c r="R2254">
        <v>0.58395816978164705</v>
      </c>
      <c r="S2254" t="s">
        <v>8565</v>
      </c>
      <c r="T2254" t="s">
        <v>12620</v>
      </c>
      <c r="U2254" t="s">
        <v>12620</v>
      </c>
      <c r="V2254" t="s">
        <v>12620</v>
      </c>
      <c r="W2254" t="s">
        <v>14834</v>
      </c>
      <c r="X2254">
        <v>5</v>
      </c>
      <c r="Y2254" t="s">
        <v>21024</v>
      </c>
      <c r="Z2254" t="s">
        <v>27201</v>
      </c>
      <c r="AA2254">
        <v>1.103779201422497</v>
      </c>
      <c r="AB2254" t="str">
        <f>HYPERLINK("Melting_Curves/meltCurve_P49006_MARCKSL1.pdf", "Melting_Curves/meltCurve_P49006_MARCKSL1.pdf")</f>
        <v>Melting_Curves/meltCurve_P49006_MARCKSL1.pdf</v>
      </c>
    </row>
    <row r="2255" spans="1:28" x14ac:dyDescent="0.25">
      <c r="A2255" t="s">
        <v>2259</v>
      </c>
      <c r="B2255">
        <v>0.99987803227770999</v>
      </c>
      <c r="C2255">
        <v>0.90245289879998403</v>
      </c>
      <c r="D2255">
        <v>0.915202982056738</v>
      </c>
      <c r="E2255">
        <v>0.73198698247236504</v>
      </c>
      <c r="F2255">
        <v>0.75297223198788199</v>
      </c>
      <c r="G2255">
        <v>0.540276306773399</v>
      </c>
      <c r="H2255">
        <v>0.435371691016396</v>
      </c>
      <c r="I2255">
        <v>0.35720036840477198</v>
      </c>
      <c r="J2255">
        <v>0.31151275024293701</v>
      </c>
      <c r="K2255">
        <v>0.204504282280556</v>
      </c>
      <c r="L2255">
        <v>438.70996621606201</v>
      </c>
      <c r="M2255">
        <v>7.4558605648657004</v>
      </c>
      <c r="N2255">
        <v>58.840957247087999</v>
      </c>
      <c r="O2255">
        <v>55.053620175435903</v>
      </c>
      <c r="P2255">
        <v>-3.39070244943597E-2</v>
      </c>
      <c r="Q2255">
        <v>0</v>
      </c>
      <c r="R2255">
        <v>0.98403462057774405</v>
      </c>
      <c r="S2255" t="s">
        <v>8566</v>
      </c>
      <c r="T2255" t="s">
        <v>12620</v>
      </c>
      <c r="U2255" t="s">
        <v>12620</v>
      </c>
      <c r="V2255" t="s">
        <v>12620</v>
      </c>
      <c r="W2255" t="s">
        <v>14835</v>
      </c>
      <c r="X2255">
        <v>4</v>
      </c>
      <c r="Y2255" t="s">
        <v>21025</v>
      </c>
      <c r="Z2255" t="s">
        <v>27202</v>
      </c>
      <c r="AA2255">
        <v>0.62078641708467375</v>
      </c>
      <c r="AB2255" t="str">
        <f>HYPERLINK("Melting_Curves/meltCurve_P49116_NR2C2.pdf", "Melting_Curves/meltCurve_P49116_NR2C2.pdf")</f>
        <v>Melting_Curves/meltCurve_P49116_NR2C2.pdf</v>
      </c>
    </row>
    <row r="2256" spans="1:28" x14ac:dyDescent="0.25">
      <c r="A2256" t="s">
        <v>2260</v>
      </c>
      <c r="B2256">
        <v>0.99987803227770999</v>
      </c>
      <c r="C2256">
        <v>0.95741151332725405</v>
      </c>
      <c r="D2256">
        <v>0.94451498235423803</v>
      </c>
      <c r="E2256">
        <v>0.66845639505511101</v>
      </c>
      <c r="F2256">
        <v>0.25908733233133602</v>
      </c>
      <c r="G2256">
        <v>0.13340744105365901</v>
      </c>
      <c r="H2256">
        <v>8.5622756668827099E-2</v>
      </c>
      <c r="I2256">
        <v>7.4298371970705504E-2</v>
      </c>
      <c r="J2256">
        <v>6.0678960570645403E-2</v>
      </c>
      <c r="K2256">
        <v>4.6740849296949598E-2</v>
      </c>
      <c r="L2256">
        <v>1529.8011553734</v>
      </c>
      <c r="M2256">
        <v>30.077262227071198</v>
      </c>
      <c r="N2256">
        <v>51.1129777657315</v>
      </c>
      <c r="O2256">
        <v>50.639130530566803</v>
      </c>
      <c r="P2256">
        <v>-0.13831009001012301</v>
      </c>
      <c r="Q2256">
        <v>6.8551221504589102E-2</v>
      </c>
      <c r="R2256">
        <v>0.99731294570621198</v>
      </c>
      <c r="S2256" t="s">
        <v>8567</v>
      </c>
      <c r="T2256" t="s">
        <v>12620</v>
      </c>
      <c r="U2256" t="s">
        <v>12620</v>
      </c>
      <c r="V2256" t="s">
        <v>12620</v>
      </c>
      <c r="W2256" t="s">
        <v>14836</v>
      </c>
      <c r="X2256">
        <v>7</v>
      </c>
      <c r="Y2256" t="s">
        <v>21026</v>
      </c>
      <c r="Z2256" t="s">
        <v>27203</v>
      </c>
      <c r="AA2256">
        <v>0.41162272537840472</v>
      </c>
      <c r="AB2256" t="str">
        <f>HYPERLINK("Melting_Curves/meltCurve_P49137_MAPKAPK2.pdf", "Melting_Curves/meltCurve_P49137_MAPKAPK2.pdf")</f>
        <v>Melting_Curves/meltCurve_P49137_MAPKAPK2.pdf</v>
      </c>
    </row>
    <row r="2257" spans="1:28" x14ac:dyDescent="0.25">
      <c r="A2257" t="s">
        <v>2261</v>
      </c>
      <c r="B2257">
        <v>0.99987803227770999</v>
      </c>
      <c r="C2257">
        <v>1.10412097465783</v>
      </c>
      <c r="D2257">
        <v>0.97209228137787695</v>
      </c>
      <c r="E2257">
        <v>0.83954014550689504</v>
      </c>
      <c r="F2257">
        <v>0.44777020831131698</v>
      </c>
      <c r="G2257">
        <v>0.237917493415469</v>
      </c>
      <c r="H2257">
        <v>0.11185369219105699</v>
      </c>
      <c r="I2257">
        <v>7.9877505201015095E-2</v>
      </c>
      <c r="J2257">
        <v>5.3831249631346403E-2</v>
      </c>
      <c r="K2257">
        <v>3.8658208158801298E-2</v>
      </c>
      <c r="L2257">
        <v>1299.9349767501201</v>
      </c>
      <c r="M2257">
        <v>24.674997489983799</v>
      </c>
      <c r="N2257">
        <v>52.977740322504701</v>
      </c>
      <c r="O2257">
        <v>52.339897849619099</v>
      </c>
      <c r="P2257">
        <v>-0.110284502403644</v>
      </c>
      <c r="Q2257">
        <v>6.4283734522365896E-2</v>
      </c>
      <c r="R2257">
        <v>0.98922088987732804</v>
      </c>
      <c r="S2257" t="s">
        <v>8568</v>
      </c>
      <c r="T2257" t="s">
        <v>12620</v>
      </c>
      <c r="U2257" t="s">
        <v>12620</v>
      </c>
      <c r="V2257" t="s">
        <v>12620</v>
      </c>
      <c r="W2257" t="s">
        <v>14837</v>
      </c>
      <c r="X2257">
        <v>19</v>
      </c>
      <c r="Y2257" t="s">
        <v>21027</v>
      </c>
      <c r="Z2257" t="s">
        <v>27204</v>
      </c>
      <c r="AA2257">
        <v>0.46866051760377841</v>
      </c>
      <c r="AB2257" t="str">
        <f>HYPERLINK("Melting_Curves/meltCurve_P49189_ALDH9A1.pdf", "Melting_Curves/meltCurve_P49189_ALDH9A1.pdf")</f>
        <v>Melting_Curves/meltCurve_P49189_ALDH9A1.pdf</v>
      </c>
    </row>
    <row r="2258" spans="1:28" x14ac:dyDescent="0.25">
      <c r="A2258" t="s">
        <v>2262</v>
      </c>
      <c r="B2258">
        <v>0.99987803227770999</v>
      </c>
      <c r="C2258">
        <v>1.33446340846643</v>
      </c>
      <c r="D2258">
        <v>1.29024787100834</v>
      </c>
      <c r="E2258">
        <v>1.19937555841595</v>
      </c>
      <c r="F2258">
        <v>0.79422926477728395</v>
      </c>
      <c r="G2258">
        <v>0.45551549092948401</v>
      </c>
      <c r="H2258">
        <v>0.30439322325458801</v>
      </c>
      <c r="I2258">
        <v>0.30362819299810601</v>
      </c>
      <c r="J2258">
        <v>0.236414880828967</v>
      </c>
      <c r="K2258">
        <v>0.15768430625096</v>
      </c>
      <c r="L2258">
        <v>1872.19582695185</v>
      </c>
      <c r="M2258">
        <v>33.841609597890603</v>
      </c>
      <c r="N2258">
        <v>56.4130609096676</v>
      </c>
      <c r="O2258">
        <v>55.130187944041403</v>
      </c>
      <c r="P2258">
        <v>-0.116615514218894</v>
      </c>
      <c r="Q2258">
        <v>0.24010581660559699</v>
      </c>
      <c r="R2258">
        <v>0.86859610034369705</v>
      </c>
      <c r="S2258" t="s">
        <v>8569</v>
      </c>
      <c r="T2258" t="s">
        <v>12620</v>
      </c>
      <c r="U2258" t="s">
        <v>12620</v>
      </c>
      <c r="V2258" t="s">
        <v>12620</v>
      </c>
      <c r="W2258" t="s">
        <v>14838</v>
      </c>
      <c r="X2258">
        <v>3</v>
      </c>
      <c r="Y2258" t="s">
        <v>21028</v>
      </c>
      <c r="Z2258" t="s">
        <v>27205</v>
      </c>
      <c r="AA2258">
        <v>0.63223267058708055</v>
      </c>
      <c r="AB2258" t="str">
        <f>HYPERLINK("Melting_Curves/meltCurve_P49207_RPL34.pdf", "Melting_Curves/meltCurve_P49207_RPL34.pdf")</f>
        <v>Melting_Curves/meltCurve_P49207_RPL34.pdf</v>
      </c>
    </row>
    <row r="2259" spans="1:28" x14ac:dyDescent="0.25">
      <c r="A2259" t="s">
        <v>2263</v>
      </c>
      <c r="B2259">
        <v>0.99987803227770999</v>
      </c>
      <c r="C2259">
        <v>0.995923118792575</v>
      </c>
      <c r="D2259">
        <v>0.97951255740385501</v>
      </c>
      <c r="E2259">
        <v>1.0305209912833699</v>
      </c>
      <c r="F2259">
        <v>1.0311827639203599</v>
      </c>
      <c r="G2259">
        <v>1.5365458031125701</v>
      </c>
      <c r="H2259">
        <v>1.3725379585789199</v>
      </c>
      <c r="I2259">
        <v>0.91254132456231896</v>
      </c>
      <c r="J2259">
        <v>0.76146444737657004</v>
      </c>
      <c r="K2259">
        <v>0.49113690902219498</v>
      </c>
      <c r="L2259">
        <v>3675.7483990585301</v>
      </c>
      <c r="M2259">
        <v>54.579563804767403</v>
      </c>
      <c r="N2259">
        <v>69.835235276860303</v>
      </c>
      <c r="O2259">
        <v>67.256382974530098</v>
      </c>
      <c r="P2259">
        <v>-0.11594425205157299</v>
      </c>
      <c r="Q2259">
        <v>0.42850509020552102</v>
      </c>
      <c r="R2259">
        <v>0.42267956067074502</v>
      </c>
      <c r="S2259" t="s">
        <v>8570</v>
      </c>
      <c r="T2259" t="s">
        <v>12620</v>
      </c>
      <c r="U2259" t="s">
        <v>12620</v>
      </c>
      <c r="V2259" t="s">
        <v>12620</v>
      </c>
      <c r="W2259" t="s">
        <v>14839</v>
      </c>
      <c r="X2259">
        <v>14</v>
      </c>
      <c r="Y2259" t="s">
        <v>21029</v>
      </c>
      <c r="Z2259" t="s">
        <v>27206</v>
      </c>
      <c r="AA2259">
        <v>0.94772979262815216</v>
      </c>
      <c r="AB2259" t="str">
        <f>HYPERLINK("Melting_Curves/meltCurve_P49247_RPIA.pdf", "Melting_Curves/meltCurve_P49247_RPIA.pdf")</f>
        <v>Melting_Curves/meltCurve_P49247_RPIA.pdf</v>
      </c>
    </row>
    <row r="2260" spans="1:28" x14ac:dyDescent="0.25">
      <c r="A2260" t="s">
        <v>2264</v>
      </c>
      <c r="B2260">
        <v>0.99987803227770999</v>
      </c>
      <c r="C2260">
        <v>0.67671870908577003</v>
      </c>
      <c r="D2260">
        <v>0.97298885832383397</v>
      </c>
      <c r="E2260">
        <v>0.72389815737615304</v>
      </c>
      <c r="F2260">
        <v>1.1834282632358299</v>
      </c>
      <c r="G2260">
        <v>0.72970707708980997</v>
      </c>
      <c r="H2260">
        <v>1.07548871642802</v>
      </c>
      <c r="I2260">
        <v>0.94021455270167098</v>
      </c>
      <c r="J2260">
        <v>1.03643563938317</v>
      </c>
      <c r="K2260">
        <v>0.86610090693499697</v>
      </c>
      <c r="S2260" t="s">
        <v>8571</v>
      </c>
      <c r="T2260" t="s">
        <v>12620</v>
      </c>
      <c r="U2260" t="s">
        <v>12621</v>
      </c>
      <c r="V2260" t="s">
        <v>12620</v>
      </c>
      <c r="W2260" t="s">
        <v>14840</v>
      </c>
      <c r="X2260">
        <v>37</v>
      </c>
      <c r="Y2260" t="s">
        <v>21030</v>
      </c>
      <c r="Z2260" t="s">
        <v>27207</v>
      </c>
      <c r="AB2260" t="str">
        <f>HYPERLINK("Melting_Curves/meltCurve_P49321_NASP.pdf", "Melting_Curves/meltCurve_P49321_NASP.pdf")</f>
        <v>Melting_Curves/meltCurve_P49321_NASP.pdf</v>
      </c>
    </row>
    <row r="2261" spans="1:28" x14ac:dyDescent="0.25">
      <c r="A2261" t="s">
        <v>2265</v>
      </c>
      <c r="B2261">
        <v>0.99987803227770999</v>
      </c>
      <c r="C2261">
        <v>0.99262370898475805</v>
      </c>
      <c r="D2261">
        <v>0.74592177108010305</v>
      </c>
      <c r="E2261">
        <v>0.93403045430951803</v>
      </c>
      <c r="F2261">
        <v>0.232057215422494</v>
      </c>
      <c r="G2261">
        <v>0.14401692479144099</v>
      </c>
      <c r="H2261">
        <v>8.8330436950871394E-2</v>
      </c>
      <c r="I2261">
        <v>7.6236561796784799E-2</v>
      </c>
      <c r="J2261">
        <v>5.5706673874328698E-2</v>
      </c>
      <c r="K2261">
        <v>4.03536028859715E-2</v>
      </c>
      <c r="L2261">
        <v>3637.1792443028899</v>
      </c>
      <c r="M2261">
        <v>70.231981458359598</v>
      </c>
      <c r="N2261">
        <v>51.9175317152174</v>
      </c>
      <c r="O2261">
        <v>51.746137691553997</v>
      </c>
      <c r="P2261">
        <v>-0.31205916051110499</v>
      </c>
      <c r="Q2261">
        <v>8.0313443196350698E-2</v>
      </c>
      <c r="R2261">
        <v>0.95714438585402295</v>
      </c>
      <c r="S2261" t="s">
        <v>8572</v>
      </c>
      <c r="T2261" t="s">
        <v>12620</v>
      </c>
      <c r="U2261" t="s">
        <v>12620</v>
      </c>
      <c r="V2261" t="s">
        <v>12620</v>
      </c>
      <c r="W2261" t="s">
        <v>14841</v>
      </c>
      <c r="X2261">
        <v>110</v>
      </c>
      <c r="Y2261" t="s">
        <v>21031</v>
      </c>
      <c r="Z2261" t="s">
        <v>27208</v>
      </c>
      <c r="AA2261">
        <v>0.44275318952252612</v>
      </c>
      <c r="AB2261" t="str">
        <f>HYPERLINK("Melting_Curves/meltCurve_P49327_FASN.pdf", "Melting_Curves/meltCurve_P49327_FASN.pdf")</f>
        <v>Melting_Curves/meltCurve_P49327_FASN.pdf</v>
      </c>
    </row>
    <row r="2262" spans="1:28" x14ac:dyDescent="0.25">
      <c r="A2262" t="s">
        <v>2266</v>
      </c>
      <c r="B2262">
        <v>0.99987803227770999</v>
      </c>
      <c r="C2262">
        <v>1.1361413574074299</v>
      </c>
      <c r="D2262">
        <v>1.0398528002502601</v>
      </c>
      <c r="E2262">
        <v>0.921935890110955</v>
      </c>
      <c r="F2262">
        <v>0.60733210650367397</v>
      </c>
      <c r="G2262">
        <v>0.36722727327036597</v>
      </c>
      <c r="H2262">
        <v>0.16570484337253599</v>
      </c>
      <c r="I2262">
        <v>0.13627336639637</v>
      </c>
      <c r="J2262">
        <v>8.3231939441295297E-2</v>
      </c>
      <c r="K2262">
        <v>5.5195432437972897E-2</v>
      </c>
      <c r="L2262">
        <v>1151.64396638004</v>
      </c>
      <c r="M2262">
        <v>21.144449679674899</v>
      </c>
      <c r="N2262">
        <v>54.883666397773702</v>
      </c>
      <c r="O2262">
        <v>53.9853969060132</v>
      </c>
      <c r="P2262">
        <v>-9.0635812791178494E-2</v>
      </c>
      <c r="Q2262">
        <v>7.43892505236073E-2</v>
      </c>
      <c r="R2262">
        <v>0.98222813995264202</v>
      </c>
      <c r="S2262" t="s">
        <v>8573</v>
      </c>
      <c r="T2262" t="s">
        <v>12620</v>
      </c>
      <c r="U2262" t="s">
        <v>12620</v>
      </c>
      <c r="V2262" t="s">
        <v>12620</v>
      </c>
      <c r="W2262" t="s">
        <v>14842</v>
      </c>
      <c r="X2262">
        <v>14</v>
      </c>
      <c r="Y2262" t="s">
        <v>21032</v>
      </c>
      <c r="Z2262" t="s">
        <v>27209</v>
      </c>
      <c r="AA2262">
        <v>0.53212269916424537</v>
      </c>
      <c r="AB2262" t="str">
        <f>HYPERLINK("Melting_Curves/meltCurve_P49354_FNTA.pdf", "Melting_Curves/meltCurve_P49354_FNTA.pdf")</f>
        <v>Melting_Curves/meltCurve_P49354_FNTA.pdf</v>
      </c>
    </row>
    <row r="2263" spans="1:28" x14ac:dyDescent="0.25">
      <c r="A2263" t="s">
        <v>2267</v>
      </c>
      <c r="B2263">
        <v>0.99987803227770999</v>
      </c>
      <c r="C2263">
        <v>1.21708964839001</v>
      </c>
      <c r="D2263">
        <v>1.0251881483224099</v>
      </c>
      <c r="E2263">
        <v>1.24082284263681</v>
      </c>
      <c r="F2263">
        <v>0.97002169587058895</v>
      </c>
      <c r="G2263">
        <v>1.06931216597589</v>
      </c>
      <c r="H2263">
        <v>0.75260502954029795</v>
      </c>
      <c r="I2263">
        <v>0.48279675932948202</v>
      </c>
      <c r="J2263">
        <v>0.24846290474830801</v>
      </c>
      <c r="K2263">
        <v>0.12722437876336301</v>
      </c>
      <c r="L2263">
        <v>1983.3585591055501</v>
      </c>
      <c r="M2263">
        <v>31.328544371406601</v>
      </c>
      <c r="N2263">
        <v>63.749444597303103</v>
      </c>
      <c r="O2263">
        <v>63.052079998011401</v>
      </c>
      <c r="P2263">
        <v>-0.11211372074334899</v>
      </c>
      <c r="Q2263">
        <v>9.7441050162737602E-2</v>
      </c>
      <c r="R2263">
        <v>0.916962789346769</v>
      </c>
      <c r="S2263" t="s">
        <v>8574</v>
      </c>
      <c r="T2263" t="s">
        <v>12620</v>
      </c>
      <c r="U2263" t="s">
        <v>12620</v>
      </c>
      <c r="V2263" t="s">
        <v>12620</v>
      </c>
      <c r="W2263" t="s">
        <v>14843</v>
      </c>
      <c r="X2263">
        <v>11</v>
      </c>
      <c r="Y2263" t="s">
        <v>21033</v>
      </c>
      <c r="Z2263" t="s">
        <v>27210</v>
      </c>
      <c r="AA2263">
        <v>0.80123569237302272</v>
      </c>
      <c r="AB2263" t="str">
        <f>HYPERLINK("Melting_Curves/meltCurve_P49366_DHPS.pdf", "Melting_Curves/meltCurve_P49366_DHPS.pdf")</f>
        <v>Melting_Curves/meltCurve_P49366_DHPS.pdf</v>
      </c>
    </row>
    <row r="2264" spans="1:28" x14ac:dyDescent="0.25">
      <c r="A2264" t="s">
        <v>2268</v>
      </c>
      <c r="B2264">
        <v>0.99987803227770999</v>
      </c>
      <c r="C2264">
        <v>0.75740750063481799</v>
      </c>
      <c r="D2264">
        <v>0.69991653246013896</v>
      </c>
      <c r="E2264">
        <v>1.3628077305086601</v>
      </c>
      <c r="F2264">
        <v>1.08744691513629</v>
      </c>
      <c r="G2264">
        <v>0.70796421706483104</v>
      </c>
      <c r="H2264">
        <v>0.15166299845949399</v>
      </c>
      <c r="I2264">
        <v>0.119189729882686</v>
      </c>
      <c r="J2264">
        <v>7.9141310183976896E-2</v>
      </c>
      <c r="K2264">
        <v>5.3087625848733402E-2</v>
      </c>
      <c r="L2264">
        <v>3105.3895289418101</v>
      </c>
      <c r="M2264">
        <v>53.684907499688201</v>
      </c>
      <c r="N2264">
        <v>58.046936732790897</v>
      </c>
      <c r="O2264">
        <v>57.764627175375701</v>
      </c>
      <c r="P2264">
        <v>-0.212529582046354</v>
      </c>
      <c r="Q2264">
        <v>8.5278288040601405E-2</v>
      </c>
      <c r="R2264">
        <v>0.85620176492328404</v>
      </c>
      <c r="S2264" t="s">
        <v>8575</v>
      </c>
      <c r="T2264" t="s">
        <v>12620</v>
      </c>
      <c r="U2264" t="s">
        <v>12620</v>
      </c>
      <c r="V2264" t="s">
        <v>12620</v>
      </c>
      <c r="W2264" t="s">
        <v>14844</v>
      </c>
      <c r="X2264">
        <v>33</v>
      </c>
      <c r="Y2264" t="s">
        <v>21034</v>
      </c>
      <c r="Z2264" t="s">
        <v>27211</v>
      </c>
      <c r="AA2264">
        <v>0.63139586838695994</v>
      </c>
      <c r="AB2264" t="str">
        <f>HYPERLINK("Melting_Curves/meltCurve_P49368_CCT3.pdf", "Melting_Curves/meltCurve_P49368_CCT3.pdf")</f>
        <v>Melting_Curves/meltCurve_P49368_CCT3.pdf</v>
      </c>
    </row>
    <row r="2265" spans="1:28" x14ac:dyDescent="0.25">
      <c r="A2265" t="s">
        <v>2269</v>
      </c>
      <c r="B2265">
        <v>0.99987803227770999</v>
      </c>
      <c r="C2265">
        <v>0.79330331846966395</v>
      </c>
      <c r="D2265">
        <v>0.276319185055179</v>
      </c>
      <c r="E2265">
        <v>0.27619750819873501</v>
      </c>
      <c r="F2265">
        <v>0.17529059766117999</v>
      </c>
      <c r="G2265">
        <v>0.12700418445415201</v>
      </c>
      <c r="H2265">
        <v>9.7714810968558594E-2</v>
      </c>
      <c r="I2265">
        <v>8.9556298772381193E-2</v>
      </c>
      <c r="J2265">
        <v>6.1048091321605803E-2</v>
      </c>
      <c r="K2265">
        <v>4.84433683507694E-2</v>
      </c>
      <c r="L2265">
        <v>1528.88985710317</v>
      </c>
      <c r="M2265">
        <v>34.527908858326803</v>
      </c>
      <c r="N2265">
        <v>44.629848468125303</v>
      </c>
      <c r="O2265">
        <v>44.132085066028701</v>
      </c>
      <c r="P2265">
        <v>-0.172394758780891</v>
      </c>
      <c r="Q2265">
        <v>0.118613073941889</v>
      </c>
      <c r="R2265">
        <v>0.96551621571472901</v>
      </c>
      <c r="S2265" t="s">
        <v>8576</v>
      </c>
      <c r="T2265" t="s">
        <v>12620</v>
      </c>
      <c r="U2265" t="s">
        <v>12620</v>
      </c>
      <c r="V2265" t="s">
        <v>12620</v>
      </c>
      <c r="W2265" t="s">
        <v>14845</v>
      </c>
      <c r="X2265">
        <v>1</v>
      </c>
      <c r="Y2265" t="s">
        <v>21035</v>
      </c>
      <c r="Z2265" t="s">
        <v>27212</v>
      </c>
      <c r="AA2265">
        <v>0.2487031380779359</v>
      </c>
      <c r="AB2265" t="str">
        <f>HYPERLINK("Melting_Curves/meltCurve_P49406_MRPL19.pdf", "Melting_Curves/meltCurve_P49406_MRPL19.pdf")</f>
        <v>Melting_Curves/meltCurve_P49406_MRPL19.pdf</v>
      </c>
    </row>
    <row r="2266" spans="1:28" x14ac:dyDescent="0.25">
      <c r="A2266" t="s">
        <v>2270</v>
      </c>
      <c r="B2266">
        <v>0.99987803227770999</v>
      </c>
      <c r="C2266">
        <v>0.90200221523118296</v>
      </c>
      <c r="D2266">
        <v>1.0138435644459001</v>
      </c>
      <c r="E2266">
        <v>0.91405574130077205</v>
      </c>
      <c r="F2266">
        <v>1.00312366515242</v>
      </c>
      <c r="G2266">
        <v>0.58527623649162097</v>
      </c>
      <c r="H2266">
        <v>0.23022632315908301</v>
      </c>
      <c r="I2266">
        <v>0.18317788982054301</v>
      </c>
      <c r="J2266">
        <v>0.18500019125377201</v>
      </c>
      <c r="K2266">
        <v>0.15265661879508599</v>
      </c>
      <c r="L2266">
        <v>2576.1738439283399</v>
      </c>
      <c r="M2266">
        <v>45.179168960441203</v>
      </c>
      <c r="N2266">
        <v>57.570218885228797</v>
      </c>
      <c r="O2266">
        <v>56.909886543835697</v>
      </c>
      <c r="P2266">
        <v>-0.16373611786110501</v>
      </c>
      <c r="Q2266">
        <v>0.17500088594423099</v>
      </c>
      <c r="R2266">
        <v>0.98635730689107304</v>
      </c>
      <c r="S2266" t="s">
        <v>8577</v>
      </c>
      <c r="T2266" t="s">
        <v>12620</v>
      </c>
      <c r="U2266" t="s">
        <v>12620</v>
      </c>
      <c r="V2266" t="s">
        <v>12620</v>
      </c>
      <c r="W2266" t="s">
        <v>14846</v>
      </c>
      <c r="X2266">
        <v>9</v>
      </c>
      <c r="Y2266" t="s">
        <v>21036</v>
      </c>
      <c r="Z2266" t="s">
        <v>27213</v>
      </c>
      <c r="AA2266">
        <v>0.64561747142211634</v>
      </c>
      <c r="AB2266" t="str">
        <f>HYPERLINK("Melting_Curves/meltCurve_P49407_2_ARRB1.pdf", "Melting_Curves/meltCurve_P49407_2_ARRB1.pdf")</f>
        <v>Melting_Curves/meltCurve_P49407_2_ARRB1.pdf</v>
      </c>
    </row>
    <row r="2267" spans="1:28" x14ac:dyDescent="0.25">
      <c r="A2267" t="s">
        <v>2271</v>
      </c>
      <c r="B2267">
        <v>0.99987803227770999</v>
      </c>
      <c r="C2267">
        <v>0.98235421486621799</v>
      </c>
      <c r="D2267">
        <v>0.76678715426256905</v>
      </c>
      <c r="E2267">
        <v>0.324472020574747</v>
      </c>
      <c r="F2267">
        <v>0.16461061303320901</v>
      </c>
      <c r="G2267">
        <v>0.107809259408013</v>
      </c>
      <c r="H2267">
        <v>7.8142576205124298E-2</v>
      </c>
      <c r="I2267">
        <v>7.0136777314734403E-2</v>
      </c>
      <c r="J2267">
        <v>4.9995194389463801E-2</v>
      </c>
      <c r="K2267">
        <v>3.6275198776322098E-2</v>
      </c>
      <c r="L2267">
        <v>1175.75071458927</v>
      </c>
      <c r="M2267">
        <v>24.421077474505399</v>
      </c>
      <c r="N2267">
        <v>48.4128485423239</v>
      </c>
      <c r="O2267">
        <v>47.825577498656102</v>
      </c>
      <c r="P2267">
        <v>-0.11958964116939499</v>
      </c>
      <c r="Q2267">
        <v>6.3209499989780898E-2</v>
      </c>
      <c r="R2267">
        <v>0.99814161059108197</v>
      </c>
      <c r="S2267" t="s">
        <v>8578</v>
      </c>
      <c r="T2267" t="s">
        <v>12620</v>
      </c>
      <c r="U2267" t="s">
        <v>12620</v>
      </c>
      <c r="V2267" t="s">
        <v>12620</v>
      </c>
      <c r="W2267" t="s">
        <v>14847</v>
      </c>
      <c r="X2267">
        <v>26</v>
      </c>
      <c r="Y2267" t="s">
        <v>21037</v>
      </c>
      <c r="Z2267" t="s">
        <v>27214</v>
      </c>
      <c r="AA2267">
        <v>0.32624412690773158</v>
      </c>
      <c r="AB2267" t="str">
        <f>HYPERLINK("Melting_Curves/meltCurve_P49411_TUFM.pdf", "Melting_Curves/meltCurve_P49411_TUFM.pdf")</f>
        <v>Melting_Curves/meltCurve_P49411_TUFM.pdf</v>
      </c>
    </row>
    <row r="2268" spans="1:28" x14ac:dyDescent="0.25">
      <c r="A2268" t="s">
        <v>2272</v>
      </c>
      <c r="B2268">
        <v>0.99987803227770999</v>
      </c>
      <c r="C2268">
        <v>0.69659537642268499</v>
      </c>
      <c r="D2268">
        <v>1.3447312737617301</v>
      </c>
      <c r="E2268">
        <v>0.70672688336077305</v>
      </c>
      <c r="F2268">
        <v>0.262387169492794</v>
      </c>
      <c r="G2268">
        <v>0.122118355519303</v>
      </c>
      <c r="H2268">
        <v>7.6369679685057298E-2</v>
      </c>
      <c r="I2268">
        <v>6.7482470464353503E-2</v>
      </c>
      <c r="J2268">
        <v>5.3818808813224997E-2</v>
      </c>
      <c r="K2268">
        <v>3.7494779284228501E-2</v>
      </c>
      <c r="L2268">
        <v>2172.3425147824801</v>
      </c>
      <c r="M2268">
        <v>42.497428841954303</v>
      </c>
      <c r="N2268">
        <v>51.302786015093297</v>
      </c>
      <c r="O2268">
        <v>51.004236100372097</v>
      </c>
      <c r="P2268">
        <v>-0.19345038266760201</v>
      </c>
      <c r="Q2268">
        <v>7.13063628171694E-2</v>
      </c>
      <c r="R2268">
        <v>0.88851395013117396</v>
      </c>
      <c r="S2268" t="s">
        <v>8579</v>
      </c>
      <c r="T2268" t="s">
        <v>12620</v>
      </c>
      <c r="U2268" t="s">
        <v>12620</v>
      </c>
      <c r="V2268" t="s">
        <v>12620</v>
      </c>
      <c r="W2268" t="s">
        <v>14848</v>
      </c>
      <c r="X2268">
        <v>24</v>
      </c>
      <c r="Y2268" t="s">
        <v>21038</v>
      </c>
      <c r="Z2268" t="s">
        <v>27215</v>
      </c>
      <c r="AA2268">
        <v>0.41835464999615107</v>
      </c>
      <c r="AB2268" t="str">
        <f>HYPERLINK("Melting_Curves/meltCurve_P49419_2_ALDH7A1.pdf", "Melting_Curves/meltCurve_P49419_2_ALDH7A1.pdf")</f>
        <v>Melting_Curves/meltCurve_P49419_2_ALDH7A1.pdf</v>
      </c>
    </row>
    <row r="2269" spans="1:28" x14ac:dyDescent="0.25">
      <c r="A2269" t="s">
        <v>2273</v>
      </c>
      <c r="B2269">
        <v>0.99987803227770999</v>
      </c>
      <c r="C2269">
        <v>0.87607290052290199</v>
      </c>
      <c r="D2269">
        <v>1.00575035344698</v>
      </c>
      <c r="E2269">
        <v>0.67479901134017894</v>
      </c>
      <c r="F2269">
        <v>0.39881421883988399</v>
      </c>
      <c r="G2269">
        <v>0.19844276769969199</v>
      </c>
      <c r="H2269">
        <v>0.146873494032636</v>
      </c>
      <c r="I2269">
        <v>0.119962593710972</v>
      </c>
      <c r="J2269">
        <v>9.8573262256300906E-2</v>
      </c>
      <c r="K2269">
        <v>5.6728659552890498E-2</v>
      </c>
      <c r="L2269">
        <v>1133.06250850727</v>
      </c>
      <c r="M2269">
        <v>22.019123055785901</v>
      </c>
      <c r="N2269">
        <v>51.948414585335797</v>
      </c>
      <c r="O2269">
        <v>51.039330706852198</v>
      </c>
      <c r="P2269">
        <v>-9.7736532608808602E-2</v>
      </c>
      <c r="Q2269">
        <v>9.3824849215720998E-2</v>
      </c>
      <c r="R2269">
        <v>0.98556181650663899</v>
      </c>
      <c r="S2269" t="s">
        <v>8580</v>
      </c>
      <c r="T2269" t="s">
        <v>12620</v>
      </c>
      <c r="U2269" t="s">
        <v>12620</v>
      </c>
      <c r="V2269" t="s">
        <v>12620</v>
      </c>
      <c r="W2269" t="s">
        <v>14849</v>
      </c>
      <c r="X2269">
        <v>9</v>
      </c>
      <c r="Y2269" t="s">
        <v>21039</v>
      </c>
      <c r="Z2269" t="s">
        <v>27216</v>
      </c>
      <c r="AA2269">
        <v>0.45042748026737739</v>
      </c>
      <c r="AB2269" t="str">
        <f>HYPERLINK("Melting_Curves/meltCurve_P49427_CDC34.pdf", "Melting_Curves/meltCurve_P49427_CDC34.pdf")</f>
        <v>Melting_Curves/meltCurve_P49427_CDC34.pdf</v>
      </c>
    </row>
    <row r="2270" spans="1:28" x14ac:dyDescent="0.25">
      <c r="A2270" t="s">
        <v>2274</v>
      </c>
      <c r="B2270">
        <v>0.99987803227770999</v>
      </c>
      <c r="C2270">
        <v>0.82933369836920201</v>
      </c>
      <c r="D2270">
        <v>0.97323784694290305</v>
      </c>
      <c r="E2270">
        <v>0.73593350717901995</v>
      </c>
      <c r="F2270">
        <v>0.34829833842109698</v>
      </c>
      <c r="G2270">
        <v>0.137112903838747</v>
      </c>
      <c r="H2270">
        <v>9.20397017458644E-2</v>
      </c>
      <c r="I2270">
        <v>7.6674356147125797E-2</v>
      </c>
      <c r="J2270">
        <v>5.6330823127752602E-2</v>
      </c>
      <c r="K2270">
        <v>4.0803573824130301E-2</v>
      </c>
      <c r="L2270">
        <v>1402.47310195819</v>
      </c>
      <c r="M2270">
        <v>27.195735549050902</v>
      </c>
      <c r="N2270">
        <v>51.820115978728197</v>
      </c>
      <c r="O2270">
        <v>51.293162464787699</v>
      </c>
      <c r="P2270">
        <v>-0.12438709948306299</v>
      </c>
      <c r="Q2270">
        <v>6.1595708681289198E-2</v>
      </c>
      <c r="R2270">
        <v>0.98030718631720504</v>
      </c>
      <c r="S2270" t="s">
        <v>8581</v>
      </c>
      <c r="T2270" t="s">
        <v>12620</v>
      </c>
      <c r="U2270" t="s">
        <v>12620</v>
      </c>
      <c r="V2270" t="s">
        <v>12620</v>
      </c>
      <c r="W2270" t="s">
        <v>14850</v>
      </c>
      <c r="X2270">
        <v>7</v>
      </c>
      <c r="Y2270" t="s">
        <v>21040</v>
      </c>
      <c r="Z2270" t="s">
        <v>27217</v>
      </c>
      <c r="AA2270">
        <v>0.43072784957746979</v>
      </c>
      <c r="AB2270" t="str">
        <f>HYPERLINK("Melting_Curves/meltCurve_P49441_INPP1.pdf", "Melting_Curves/meltCurve_P49441_INPP1.pdf")</f>
        <v>Melting_Curves/meltCurve_P49441_INPP1.pdf</v>
      </c>
    </row>
    <row r="2271" spans="1:28" x14ac:dyDescent="0.25">
      <c r="A2271" t="s">
        <v>2275</v>
      </c>
      <c r="B2271">
        <v>0.99987803227770999</v>
      </c>
      <c r="C2271">
        <v>1.1943112604954</v>
      </c>
      <c r="D2271">
        <v>0.91960498467141005</v>
      </c>
      <c r="E2271">
        <v>1.1186090587047499</v>
      </c>
      <c r="F2271">
        <v>0.79210546800074</v>
      </c>
      <c r="G2271">
        <v>0.90762769041731595</v>
      </c>
      <c r="H2271">
        <v>1.09177982435763</v>
      </c>
      <c r="I2271">
        <v>0.97360754463587995</v>
      </c>
      <c r="J2271">
        <v>1.0620727767927001</v>
      </c>
      <c r="K2271">
        <v>0.64587401575875303</v>
      </c>
      <c r="L2271">
        <v>15000</v>
      </c>
      <c r="M2271">
        <v>213.68471824985301</v>
      </c>
      <c r="Q2271">
        <v>0</v>
      </c>
      <c r="R2271">
        <v>0.48687548533147101</v>
      </c>
      <c r="S2271" t="s">
        <v>8582</v>
      </c>
      <c r="T2271" t="s">
        <v>12620</v>
      </c>
      <c r="U2271" t="s">
        <v>12620</v>
      </c>
      <c r="V2271" t="s">
        <v>12620</v>
      </c>
      <c r="W2271" t="s">
        <v>14851</v>
      </c>
      <c r="X2271">
        <v>99</v>
      </c>
      <c r="Y2271" t="s">
        <v>21041</v>
      </c>
      <c r="Z2271" t="s">
        <v>27218</v>
      </c>
      <c r="AA2271">
        <v>0.99528888052535747</v>
      </c>
      <c r="AB2271" t="str">
        <f>HYPERLINK("Melting_Curves/meltCurve_P49454_CENPF.pdf", "Melting_Curves/meltCurve_P49454_CENPF.pdf")</f>
        <v>Melting_Curves/meltCurve_P49454_CENPF.pdf</v>
      </c>
    </row>
    <row r="2272" spans="1:28" x14ac:dyDescent="0.25">
      <c r="A2272" t="s">
        <v>2276</v>
      </c>
      <c r="B2272">
        <v>0.99987803227770999</v>
      </c>
      <c r="C2272">
        <v>1.03329383967139</v>
      </c>
      <c r="D2272">
        <v>1.0502675789601801</v>
      </c>
      <c r="E2272">
        <v>1.13990414035932</v>
      </c>
      <c r="F2272">
        <v>0.95674612002000103</v>
      </c>
      <c r="G2272">
        <v>0.75998370326886799</v>
      </c>
      <c r="H2272">
        <v>0.72096888265664705</v>
      </c>
      <c r="I2272">
        <v>0.51169505946544902</v>
      </c>
      <c r="J2272">
        <v>0.30563023886588397</v>
      </c>
      <c r="K2272">
        <v>0.19794296913571399</v>
      </c>
      <c r="L2272">
        <v>980.21015084358305</v>
      </c>
      <c r="M2272">
        <v>15.352078264230499</v>
      </c>
      <c r="N2272">
        <v>63.848694269644</v>
      </c>
      <c r="O2272">
        <v>62.794781677601797</v>
      </c>
      <c r="P2272">
        <v>-6.1125700257036397E-2</v>
      </c>
      <c r="Q2272">
        <v>0</v>
      </c>
      <c r="R2272">
        <v>0.95763448692748199</v>
      </c>
      <c r="S2272" t="s">
        <v>8583</v>
      </c>
      <c r="T2272" t="s">
        <v>12620</v>
      </c>
      <c r="U2272" t="s">
        <v>12620</v>
      </c>
      <c r="V2272" t="s">
        <v>12620</v>
      </c>
      <c r="W2272" t="s">
        <v>14852</v>
      </c>
      <c r="X2272">
        <v>8</v>
      </c>
      <c r="Y2272" t="s">
        <v>21042</v>
      </c>
      <c r="Z2272" t="s">
        <v>27219</v>
      </c>
      <c r="AA2272">
        <v>0.78055662626921696</v>
      </c>
      <c r="AB2272" t="str">
        <f>HYPERLINK("Melting_Curves/meltCurve_P49458_SRP9.pdf", "Melting_Curves/meltCurve_P49458_SRP9.pdf")</f>
        <v>Melting_Curves/meltCurve_P49458_SRP9.pdf</v>
      </c>
    </row>
    <row r="2273" spans="1:28" x14ac:dyDescent="0.25">
      <c r="A2273" t="s">
        <v>2277</v>
      </c>
      <c r="B2273">
        <v>0.99987803227770999</v>
      </c>
      <c r="C2273">
        <v>0.95863332925413003</v>
      </c>
      <c r="D2273">
        <v>1.10097026541193</v>
      </c>
      <c r="E2273">
        <v>1.10947250155638</v>
      </c>
      <c r="F2273">
        <v>1.46376341231116</v>
      </c>
      <c r="G2273">
        <v>1.3026815890108301</v>
      </c>
      <c r="H2273">
        <v>0.82892121501356997</v>
      </c>
      <c r="I2273">
        <v>0.48685584756008399</v>
      </c>
      <c r="J2273">
        <v>0.23695665073467501</v>
      </c>
      <c r="K2273">
        <v>0.15833786123733201</v>
      </c>
      <c r="L2273">
        <v>2843.7712289638498</v>
      </c>
      <c r="M2273">
        <v>44.937179495082901</v>
      </c>
      <c r="N2273">
        <v>63.834381060964397</v>
      </c>
      <c r="O2273">
        <v>63.158319229069498</v>
      </c>
      <c r="P2273">
        <v>-0.14927594464836799</v>
      </c>
      <c r="Q2273">
        <v>0.16078351607748001</v>
      </c>
      <c r="R2273">
        <v>0.80567847807230997</v>
      </c>
      <c r="S2273" t="s">
        <v>8584</v>
      </c>
      <c r="T2273" t="s">
        <v>12620</v>
      </c>
      <c r="U2273" t="s">
        <v>12620</v>
      </c>
      <c r="V2273" t="s">
        <v>12620</v>
      </c>
      <c r="W2273" t="s">
        <v>14853</v>
      </c>
      <c r="X2273">
        <v>3</v>
      </c>
      <c r="Y2273" t="s">
        <v>21043</v>
      </c>
      <c r="Z2273" t="s">
        <v>27220</v>
      </c>
      <c r="AA2273">
        <v>0.81433452709061305</v>
      </c>
      <c r="AB2273" t="str">
        <f>HYPERLINK("Melting_Curves/meltCurve_P49459_UBE2A.pdf", "Melting_Curves/meltCurve_P49459_UBE2A.pdf")</f>
        <v>Melting_Curves/meltCurve_P49459_UBE2A.pdf</v>
      </c>
    </row>
    <row r="2274" spans="1:28" x14ac:dyDescent="0.25">
      <c r="A2274" t="s">
        <v>2278</v>
      </c>
      <c r="B2274">
        <v>0.99987803227770999</v>
      </c>
      <c r="C2274">
        <v>0.97909369479979702</v>
      </c>
      <c r="D2274">
        <v>1.0072985133482599</v>
      </c>
      <c r="E2274">
        <v>0.97186653481431096</v>
      </c>
      <c r="F2274">
        <v>0.94376460263094997</v>
      </c>
      <c r="G2274">
        <v>0.714810280161015</v>
      </c>
      <c r="H2274">
        <v>0.47599212897016102</v>
      </c>
      <c r="I2274">
        <v>0.25372731518318098</v>
      </c>
      <c r="J2274">
        <v>0.172063108186648</v>
      </c>
      <c r="K2274">
        <v>0.130881844358778</v>
      </c>
      <c r="L2274">
        <v>1141.51991621708</v>
      </c>
      <c r="M2274">
        <v>19.093236805687301</v>
      </c>
      <c r="N2274">
        <v>60.256430539985502</v>
      </c>
      <c r="O2274">
        <v>59.142357911339801</v>
      </c>
      <c r="P2274">
        <v>-7.5130068269788505E-2</v>
      </c>
      <c r="Q2274">
        <v>6.9158204048047997E-2</v>
      </c>
      <c r="R2274">
        <v>0.99776969236716095</v>
      </c>
      <c r="S2274" t="s">
        <v>8585</v>
      </c>
      <c r="T2274" t="s">
        <v>12620</v>
      </c>
      <c r="U2274" t="s">
        <v>12620</v>
      </c>
      <c r="V2274" t="s">
        <v>12620</v>
      </c>
      <c r="W2274" t="s">
        <v>14854</v>
      </c>
      <c r="X2274">
        <v>19</v>
      </c>
      <c r="Y2274" t="s">
        <v>21044</v>
      </c>
      <c r="Z2274" t="s">
        <v>27221</v>
      </c>
      <c r="AA2274">
        <v>0.69132605730348273</v>
      </c>
      <c r="AB2274" t="str">
        <f>HYPERLINK("Melting_Curves/meltCurve_P49585_PCYT1A.pdf", "Melting_Curves/meltCurve_P49585_PCYT1A.pdf")</f>
        <v>Melting_Curves/meltCurve_P49585_PCYT1A.pdf</v>
      </c>
    </row>
    <row r="2275" spans="1:28" x14ac:dyDescent="0.25">
      <c r="A2275" t="s">
        <v>2279</v>
      </c>
      <c r="B2275">
        <v>0.99987803227770999</v>
      </c>
      <c r="C2275">
        <v>0.97811520376840499</v>
      </c>
      <c r="D2275">
        <v>0.80163881951951199</v>
      </c>
      <c r="E2275">
        <v>0.83033959955513803</v>
      </c>
      <c r="F2275">
        <v>0.27771151095443097</v>
      </c>
      <c r="G2275">
        <v>0.192738687385099</v>
      </c>
      <c r="H2275">
        <v>0.119082857021085</v>
      </c>
      <c r="I2275">
        <v>9.2732435310768496E-2</v>
      </c>
      <c r="J2275">
        <v>7.1543611532016299E-2</v>
      </c>
      <c r="K2275">
        <v>4.8699924963819599E-2</v>
      </c>
      <c r="L2275">
        <v>2224.9788374038199</v>
      </c>
      <c r="M2275">
        <v>43.210624583119397</v>
      </c>
      <c r="N2275">
        <v>51.7549726348009</v>
      </c>
      <c r="O2275">
        <v>51.381558829655802</v>
      </c>
      <c r="P2275">
        <v>-0.18948648149073299</v>
      </c>
      <c r="Q2275">
        <v>9.8731297053221201E-2</v>
      </c>
      <c r="R2275">
        <v>0.96691788011056801</v>
      </c>
      <c r="S2275" t="s">
        <v>8586</v>
      </c>
      <c r="T2275" t="s">
        <v>12620</v>
      </c>
      <c r="U2275" t="s">
        <v>12620</v>
      </c>
      <c r="V2275" t="s">
        <v>12620</v>
      </c>
      <c r="W2275" t="s">
        <v>14855</v>
      </c>
      <c r="X2275">
        <v>54</v>
      </c>
      <c r="Y2275" t="s">
        <v>21045</v>
      </c>
      <c r="Z2275" t="s">
        <v>27222</v>
      </c>
      <c r="AA2275">
        <v>0.44670700522564372</v>
      </c>
      <c r="AB2275" t="str">
        <f>HYPERLINK("Melting_Curves/meltCurve_P49588_AARS.pdf", "Melting_Curves/meltCurve_P49588_AARS.pdf")</f>
        <v>Melting_Curves/meltCurve_P49588_AARS.pdf</v>
      </c>
    </row>
    <row r="2276" spans="1:28" x14ac:dyDescent="0.25">
      <c r="A2276" t="s">
        <v>2280</v>
      </c>
      <c r="B2276">
        <v>0.99987803227770999</v>
      </c>
      <c r="C2276">
        <v>1.20290213328845</v>
      </c>
      <c r="D2276">
        <v>0.98160775432819303</v>
      </c>
      <c r="E2276">
        <v>1.32725645639002</v>
      </c>
      <c r="F2276">
        <v>0.92330163712291202</v>
      </c>
      <c r="G2276">
        <v>0.22945302883706101</v>
      </c>
      <c r="H2276">
        <v>0.16479577559924699</v>
      </c>
      <c r="I2276">
        <v>0.13276246402434999</v>
      </c>
      <c r="J2276">
        <v>0.109784157307208</v>
      </c>
      <c r="K2276">
        <v>8.1728328966046301E-2</v>
      </c>
      <c r="L2276">
        <v>3432.8414125558402</v>
      </c>
      <c r="M2276">
        <v>62.220839905271099</v>
      </c>
      <c r="N2276">
        <v>55.421125120043001</v>
      </c>
      <c r="O2276">
        <v>55.114983479709203</v>
      </c>
      <c r="P2276">
        <v>-0.24779012875720299</v>
      </c>
      <c r="Q2276">
        <v>0.122034068961513</v>
      </c>
      <c r="R2276">
        <v>0.93490841943880298</v>
      </c>
      <c r="S2276" t="s">
        <v>8587</v>
      </c>
      <c r="T2276" t="s">
        <v>12620</v>
      </c>
      <c r="U2276" t="s">
        <v>12620</v>
      </c>
      <c r="V2276" t="s">
        <v>12620</v>
      </c>
      <c r="W2276" t="s">
        <v>14856</v>
      </c>
      <c r="X2276">
        <v>32</v>
      </c>
      <c r="Y2276" t="s">
        <v>21046</v>
      </c>
      <c r="Z2276" t="s">
        <v>27223</v>
      </c>
      <c r="AA2276">
        <v>0.56742446304158423</v>
      </c>
      <c r="AB2276" t="str">
        <f>HYPERLINK("Melting_Curves/meltCurve_P49589_3_CARS.pdf", "Melting_Curves/meltCurve_P49589_3_CARS.pdf")</f>
        <v>Melting_Curves/meltCurve_P49589_3_CARS.pdf</v>
      </c>
    </row>
    <row r="2277" spans="1:28" x14ac:dyDescent="0.25">
      <c r="A2277" t="s">
        <v>2281</v>
      </c>
      <c r="B2277">
        <v>0.99987803227770999</v>
      </c>
      <c r="C2277">
        <v>1.20873760753781</v>
      </c>
      <c r="D2277">
        <v>1.0090175111047199</v>
      </c>
      <c r="E2277">
        <v>1.1308265969722999</v>
      </c>
      <c r="F2277">
        <v>0.57043790214477696</v>
      </c>
      <c r="G2277">
        <v>0.26721328853540299</v>
      </c>
      <c r="H2277">
        <v>0.144240838252985</v>
      </c>
      <c r="I2277">
        <v>0.12747836979928601</v>
      </c>
      <c r="J2277">
        <v>0.10066187839989101</v>
      </c>
      <c r="K2277">
        <v>7.4820295008254906E-2</v>
      </c>
      <c r="L2277">
        <v>13249.751823783399</v>
      </c>
      <c r="M2277">
        <v>250</v>
      </c>
      <c r="N2277">
        <v>53.070454704407098</v>
      </c>
      <c r="O2277">
        <v>52.9956157380199</v>
      </c>
      <c r="P2277">
        <v>-1.0108348944119301</v>
      </c>
      <c r="Q2277">
        <v>0.142882919233186</v>
      </c>
      <c r="R2277">
        <v>0.95924948182341996</v>
      </c>
      <c r="S2277" t="s">
        <v>8588</v>
      </c>
      <c r="T2277" t="s">
        <v>12620</v>
      </c>
      <c r="U2277" t="s">
        <v>12620</v>
      </c>
      <c r="V2277" t="s">
        <v>12620</v>
      </c>
      <c r="W2277" t="s">
        <v>14857</v>
      </c>
      <c r="X2277">
        <v>23</v>
      </c>
      <c r="Y2277" t="s">
        <v>21047</v>
      </c>
      <c r="Z2277" t="s">
        <v>27224</v>
      </c>
      <c r="AA2277">
        <v>0.5143516813005774</v>
      </c>
      <c r="AB2277" t="str">
        <f>HYPERLINK("Melting_Curves/meltCurve_P49591_SARS.pdf", "Melting_Curves/meltCurve_P49591_SARS.pdf")</f>
        <v>Melting_Curves/meltCurve_P49591_SARS.pdf</v>
      </c>
    </row>
    <row r="2278" spans="1:28" x14ac:dyDescent="0.25">
      <c r="A2278" t="s">
        <v>2282</v>
      </c>
      <c r="B2278">
        <v>0.99987803227770999</v>
      </c>
      <c r="C2278">
        <v>0.96562803728454205</v>
      </c>
      <c r="D2278">
        <v>0.68389275312929598</v>
      </c>
      <c r="E2278">
        <v>0.61644055522649399</v>
      </c>
      <c r="F2278">
        <v>0.199416545815292</v>
      </c>
      <c r="G2278">
        <v>0.123654057814109</v>
      </c>
      <c r="H2278">
        <v>0.104040962458969</v>
      </c>
      <c r="I2278">
        <v>0.115482351373128</v>
      </c>
      <c r="J2278">
        <v>5.8947571430489301E-2</v>
      </c>
      <c r="K2278">
        <v>4.2371208811557599E-2</v>
      </c>
      <c r="L2278">
        <v>802.42495808274396</v>
      </c>
      <c r="M2278">
        <v>16.2146391453098</v>
      </c>
      <c r="N2278">
        <v>49.799499044297399</v>
      </c>
      <c r="O2278">
        <v>48.7533270563383</v>
      </c>
      <c r="P2278">
        <v>-7.9138640599056495E-2</v>
      </c>
      <c r="Q2278">
        <v>4.8271182052902803E-2</v>
      </c>
      <c r="R2278">
        <v>0.96960673490607896</v>
      </c>
      <c r="S2278" t="s">
        <v>8589</v>
      </c>
      <c r="T2278" t="s">
        <v>12620</v>
      </c>
      <c r="U2278" t="s">
        <v>12620</v>
      </c>
      <c r="V2278" t="s">
        <v>12620</v>
      </c>
      <c r="W2278" t="s">
        <v>14858</v>
      </c>
      <c r="X2278">
        <v>10</v>
      </c>
      <c r="Y2278" t="s">
        <v>21048</v>
      </c>
      <c r="Z2278" t="s">
        <v>27225</v>
      </c>
      <c r="AA2278">
        <v>0.36923629779120781</v>
      </c>
      <c r="AB2278" t="str">
        <f>HYPERLINK("Melting_Curves/meltCurve_P49642_PRIM1.pdf", "Melting_Curves/meltCurve_P49642_PRIM1.pdf")</f>
        <v>Melting_Curves/meltCurve_P49642_PRIM1.pdf</v>
      </c>
    </row>
    <row r="2279" spans="1:28" x14ac:dyDescent="0.25">
      <c r="A2279" t="s">
        <v>2283</v>
      </c>
      <c r="B2279">
        <v>0.99987803227770999</v>
      </c>
      <c r="C2279">
        <v>1.0475410954680899</v>
      </c>
      <c r="D2279">
        <v>0.81351319506961195</v>
      </c>
      <c r="E2279">
        <v>0.74318522298068801</v>
      </c>
      <c r="F2279">
        <v>0.21405446189050101</v>
      </c>
      <c r="G2279">
        <v>0.15065673945680899</v>
      </c>
      <c r="H2279">
        <v>0.100894020394509</v>
      </c>
      <c r="I2279">
        <v>8.0002379605537396E-2</v>
      </c>
      <c r="J2279">
        <v>5.9836407347782998E-2</v>
      </c>
      <c r="K2279">
        <v>4.6502622110830297E-2</v>
      </c>
      <c r="L2279">
        <v>1977.2013527372601</v>
      </c>
      <c r="M2279">
        <v>38.770770827603101</v>
      </c>
      <c r="N2279">
        <v>51.225617855654903</v>
      </c>
      <c r="O2279">
        <v>50.862109092393602</v>
      </c>
      <c r="P2279">
        <v>-0.175442462824138</v>
      </c>
      <c r="Q2279">
        <v>7.9373198285062299E-2</v>
      </c>
      <c r="R2279">
        <v>0.97493675208781005</v>
      </c>
      <c r="S2279" t="s">
        <v>8590</v>
      </c>
      <c r="T2279" t="s">
        <v>12620</v>
      </c>
      <c r="U2279" t="s">
        <v>12620</v>
      </c>
      <c r="V2279" t="s">
        <v>12620</v>
      </c>
      <c r="W2279" t="s">
        <v>14859</v>
      </c>
      <c r="X2279">
        <v>9</v>
      </c>
      <c r="Y2279" t="s">
        <v>21049</v>
      </c>
      <c r="Z2279" t="s">
        <v>27226</v>
      </c>
      <c r="AA2279">
        <v>0.42030656907002661</v>
      </c>
      <c r="AB2279" t="str">
        <f>HYPERLINK("Melting_Curves/meltCurve_P49643_PRIM2.pdf", "Melting_Curves/meltCurve_P49643_PRIM2.pdf")</f>
        <v>Melting_Curves/meltCurve_P49643_PRIM2.pdf</v>
      </c>
    </row>
    <row r="2280" spans="1:28" x14ac:dyDescent="0.25">
      <c r="A2280" t="s">
        <v>2284</v>
      </c>
      <c r="B2280">
        <v>0.99987803227770999</v>
      </c>
      <c r="C2280">
        <v>0.88178056927704895</v>
      </c>
      <c r="D2280">
        <v>0.90178826244237198</v>
      </c>
      <c r="E2280">
        <v>0.74794392047823199</v>
      </c>
      <c r="F2280">
        <v>0.64372822031697097</v>
      </c>
      <c r="G2280">
        <v>0.28648196173040202</v>
      </c>
      <c r="H2280">
        <v>0.20142474143424199</v>
      </c>
      <c r="I2280">
        <v>0.19447900338236401</v>
      </c>
      <c r="J2280">
        <v>0.12471360795667299</v>
      </c>
      <c r="K2280">
        <v>7.57924694710847E-2</v>
      </c>
      <c r="L2280">
        <v>704.85513747146797</v>
      </c>
      <c r="M2280">
        <v>13.0793643952967</v>
      </c>
      <c r="N2280">
        <v>54.285438926068601</v>
      </c>
      <c r="O2280">
        <v>52.677542958772598</v>
      </c>
      <c r="P2280">
        <v>-5.9266766306038603E-2</v>
      </c>
      <c r="Q2280">
        <v>4.5369790907940903E-2</v>
      </c>
      <c r="R2280">
        <v>0.98329765362437305</v>
      </c>
      <c r="S2280" t="s">
        <v>8591</v>
      </c>
      <c r="T2280" t="s">
        <v>12620</v>
      </c>
      <c r="U2280" t="s">
        <v>12620</v>
      </c>
      <c r="V2280" t="s">
        <v>12620</v>
      </c>
      <c r="W2280" t="s">
        <v>14860</v>
      </c>
      <c r="X2280">
        <v>1</v>
      </c>
      <c r="Y2280" t="s">
        <v>21050</v>
      </c>
      <c r="Z2280" t="s">
        <v>27227</v>
      </c>
      <c r="AA2280">
        <v>0.51048408054072969</v>
      </c>
      <c r="AB2280" t="str">
        <f>HYPERLINK("Melting_Curves/meltCurve_P49662_2_CASP4.pdf", "Melting_Curves/meltCurve_P49662_2_CASP4.pdf")</f>
        <v>Melting_Curves/meltCurve_P49662_2_CASP4.pdf</v>
      </c>
    </row>
    <row r="2281" spans="1:28" x14ac:dyDescent="0.25">
      <c r="A2281" t="s">
        <v>2285</v>
      </c>
      <c r="B2281">
        <v>0.99987803227770999</v>
      </c>
      <c r="C2281">
        <v>0.77679013829547305</v>
      </c>
      <c r="D2281">
        <v>0.82765740788083098</v>
      </c>
      <c r="E2281">
        <v>0.62428104867095102</v>
      </c>
      <c r="F2281">
        <v>0.99791079673787697</v>
      </c>
      <c r="G2281">
        <v>0.68587916128676996</v>
      </c>
      <c r="H2281">
        <v>0.815388573876908</v>
      </c>
      <c r="I2281">
        <v>0.82590765916139197</v>
      </c>
      <c r="J2281">
        <v>1.1517916267931101</v>
      </c>
      <c r="K2281">
        <v>1.0416284473081601</v>
      </c>
      <c r="L2281">
        <v>10233.3722865871</v>
      </c>
      <c r="M2281">
        <v>250</v>
      </c>
      <c r="O2281">
        <v>40.930869488626101</v>
      </c>
      <c r="P2281">
        <v>-0.212547553589049</v>
      </c>
      <c r="Q2281">
        <v>0.86080390071354695</v>
      </c>
      <c r="R2281">
        <v>6.9197797485097703E-2</v>
      </c>
      <c r="S2281" t="s">
        <v>8592</v>
      </c>
      <c r="T2281" t="s">
        <v>12620</v>
      </c>
      <c r="U2281" t="s">
        <v>12620</v>
      </c>
      <c r="V2281" t="s">
        <v>12620</v>
      </c>
      <c r="W2281" t="s">
        <v>14861</v>
      </c>
      <c r="X2281">
        <v>2</v>
      </c>
      <c r="Y2281" t="s">
        <v>21051</v>
      </c>
      <c r="Z2281" t="s">
        <v>27228</v>
      </c>
      <c r="AA2281">
        <v>0.86514727127501134</v>
      </c>
      <c r="AB2281" t="str">
        <f>HYPERLINK("Melting_Curves/meltCurve_P49674_CSNK1E.pdf", "Melting_Curves/meltCurve_P49674_CSNK1E.pdf")</f>
        <v>Melting_Curves/meltCurve_P49674_CSNK1E.pdf</v>
      </c>
    </row>
    <row r="2282" spans="1:28" x14ac:dyDescent="0.25">
      <c r="A2282" t="s">
        <v>2286</v>
      </c>
      <c r="B2282">
        <v>0.99987803227770999</v>
      </c>
      <c r="C2282">
        <v>1.1870147840916401</v>
      </c>
      <c r="D2282">
        <v>1.08197593590236</v>
      </c>
      <c r="E2282">
        <v>1.29092114342703</v>
      </c>
      <c r="F2282">
        <v>1.04536192440311</v>
      </c>
      <c r="G2282">
        <v>0.90856209164711199</v>
      </c>
      <c r="H2282">
        <v>0.90511605295161801</v>
      </c>
      <c r="I2282">
        <v>0.69493497901369805</v>
      </c>
      <c r="J2282">
        <v>0.70103292164256403</v>
      </c>
      <c r="K2282">
        <v>0.49716048851497002</v>
      </c>
      <c r="L2282">
        <v>1172.1194851852799</v>
      </c>
      <c r="M2282">
        <v>17.7929439715051</v>
      </c>
      <c r="O2282">
        <v>65.060319218828596</v>
      </c>
      <c r="P2282">
        <v>-4.3928310697405701E-2</v>
      </c>
      <c r="Q2282">
        <v>0.35753356841161199</v>
      </c>
      <c r="R2282">
        <v>0.72960663113121904</v>
      </c>
      <c r="S2282" t="s">
        <v>8593</v>
      </c>
      <c r="T2282" t="s">
        <v>12620</v>
      </c>
      <c r="U2282" t="s">
        <v>12620</v>
      </c>
      <c r="V2282" t="s">
        <v>12620</v>
      </c>
      <c r="W2282" t="s">
        <v>14862</v>
      </c>
      <c r="X2282">
        <v>11</v>
      </c>
      <c r="Y2282" t="s">
        <v>21052</v>
      </c>
      <c r="Z2282" t="s">
        <v>27229</v>
      </c>
      <c r="AA2282">
        <v>0.89580683246549053</v>
      </c>
      <c r="AB2282" t="str">
        <f>HYPERLINK("Melting_Curves/meltCurve_P49711_CTCF.pdf", "Melting_Curves/meltCurve_P49711_CTCF.pdf")</f>
        <v>Melting_Curves/meltCurve_P49711_CTCF.pdf</v>
      </c>
    </row>
    <row r="2283" spans="1:28" x14ac:dyDescent="0.25">
      <c r="A2283" t="s">
        <v>2287</v>
      </c>
      <c r="B2283">
        <v>0.99987803227770999</v>
      </c>
      <c r="C2283">
        <v>0.91004298718123899</v>
      </c>
      <c r="D2283">
        <v>0.83382304547685604</v>
      </c>
      <c r="E2283">
        <v>1.6128770147859299</v>
      </c>
      <c r="F2283">
        <v>1.2921519890247599</v>
      </c>
      <c r="G2283">
        <v>1.5013039738930001</v>
      </c>
      <c r="H2283">
        <v>1.4858873069588201</v>
      </c>
      <c r="I2283">
        <v>1.6071511915160199</v>
      </c>
      <c r="J2283">
        <v>2.1065537797972098</v>
      </c>
      <c r="K2283">
        <v>1.2803113438032201</v>
      </c>
      <c r="L2283">
        <v>11990.4262676613</v>
      </c>
      <c r="M2283">
        <v>250</v>
      </c>
      <c r="O2283">
        <v>47.958635983168399</v>
      </c>
      <c r="P2283">
        <v>0.65160318865436695</v>
      </c>
      <c r="Q2283">
        <v>1.5</v>
      </c>
      <c r="R2283">
        <v>0.61174457816304895</v>
      </c>
      <c r="S2283" t="s">
        <v>8594</v>
      </c>
      <c r="T2283" t="s">
        <v>12620</v>
      </c>
      <c r="U2283" t="s">
        <v>12620</v>
      </c>
      <c r="V2283" t="s">
        <v>12620</v>
      </c>
      <c r="W2283" t="s">
        <v>14863</v>
      </c>
      <c r="X2283">
        <v>11</v>
      </c>
      <c r="Y2283" t="s">
        <v>21053</v>
      </c>
      <c r="Z2283" t="s">
        <v>27230</v>
      </c>
      <c r="AA2283">
        <v>1.367262829466271</v>
      </c>
      <c r="AB2283" t="str">
        <f>HYPERLINK("Melting_Curves/meltCurve_P49720_PSMB3.pdf", "Melting_Curves/meltCurve_P49720_PSMB3.pdf")</f>
        <v>Melting_Curves/meltCurve_P49720_PSMB3.pdf</v>
      </c>
    </row>
    <row r="2284" spans="1:28" x14ac:dyDescent="0.25">
      <c r="A2284" t="s">
        <v>2288</v>
      </c>
      <c r="B2284">
        <v>0.99987803227770999</v>
      </c>
      <c r="C2284">
        <v>0.93769037820786805</v>
      </c>
      <c r="D2284">
        <v>0.84006885352159999</v>
      </c>
      <c r="E2284">
        <v>1.3935296647251501</v>
      </c>
      <c r="F2284">
        <v>1.2856923350694101</v>
      </c>
      <c r="G2284">
        <v>1.4672675814955101</v>
      </c>
      <c r="H2284">
        <v>1.4511199791317799</v>
      </c>
      <c r="I2284">
        <v>1.5601004786500301</v>
      </c>
      <c r="J2284">
        <v>2.1678007574621501</v>
      </c>
      <c r="K2284">
        <v>1.3002003276363101</v>
      </c>
      <c r="L2284">
        <v>4393.5433752992503</v>
      </c>
      <c r="M2284">
        <v>89.131064319526601</v>
      </c>
      <c r="O2284">
        <v>49.268265363890599</v>
      </c>
      <c r="P2284">
        <v>0.22613711976960299</v>
      </c>
      <c r="Q2284">
        <v>1.5</v>
      </c>
      <c r="R2284">
        <v>0.56194293977354304</v>
      </c>
      <c r="S2284" t="s">
        <v>8595</v>
      </c>
      <c r="T2284" t="s">
        <v>12620</v>
      </c>
      <c r="U2284" t="s">
        <v>12620</v>
      </c>
      <c r="V2284" t="s">
        <v>12620</v>
      </c>
      <c r="W2284" t="s">
        <v>14864</v>
      </c>
      <c r="X2284">
        <v>18</v>
      </c>
      <c r="Y2284" t="s">
        <v>21054</v>
      </c>
      <c r="Z2284" t="s">
        <v>27231</v>
      </c>
      <c r="AA2284">
        <v>1.344774767851161</v>
      </c>
      <c r="AB2284" t="str">
        <f>HYPERLINK("Melting_Curves/meltCurve_P49721_PSMB2.pdf", "Melting_Curves/meltCurve_P49721_PSMB2.pdf")</f>
        <v>Melting_Curves/meltCurve_P49721_PSMB2.pdf</v>
      </c>
    </row>
    <row r="2285" spans="1:28" x14ac:dyDescent="0.25">
      <c r="A2285" t="s">
        <v>2289</v>
      </c>
      <c r="B2285">
        <v>0.99987803227770999</v>
      </c>
      <c r="C2285">
        <v>0.99847610121900598</v>
      </c>
      <c r="D2285">
        <v>0.92038886387002905</v>
      </c>
      <c r="E2285">
        <v>1.1587504036980201</v>
      </c>
      <c r="F2285">
        <v>0.30009519058061201</v>
      </c>
      <c r="G2285">
        <v>0.196633137812703</v>
      </c>
      <c r="H2285">
        <v>0.129606649061074</v>
      </c>
      <c r="I2285">
        <v>0.117684089686019</v>
      </c>
      <c r="J2285">
        <v>9.4068351817793106E-2</v>
      </c>
      <c r="K2285">
        <v>6.6613783253993697E-2</v>
      </c>
      <c r="L2285">
        <v>13177.7834411491</v>
      </c>
      <c r="M2285">
        <v>250</v>
      </c>
      <c r="N2285">
        <v>52.769574083892898</v>
      </c>
      <c r="O2285">
        <v>52.707760707987802</v>
      </c>
      <c r="P2285">
        <v>-1.0423974613456499</v>
      </c>
      <c r="Q2285">
        <v>0.120921027520196</v>
      </c>
      <c r="R2285">
        <v>0.97813967626155396</v>
      </c>
      <c r="S2285" t="s">
        <v>8596</v>
      </c>
      <c r="T2285" t="s">
        <v>12620</v>
      </c>
      <c r="U2285" t="s">
        <v>12620</v>
      </c>
      <c r="V2285" t="s">
        <v>12620</v>
      </c>
      <c r="W2285" t="s">
        <v>14865</v>
      </c>
      <c r="X2285">
        <v>37</v>
      </c>
      <c r="Y2285" t="s">
        <v>21055</v>
      </c>
      <c r="Z2285" t="s">
        <v>27232</v>
      </c>
      <c r="AA2285">
        <v>0.49347202896606912</v>
      </c>
      <c r="AB2285" t="str">
        <f>HYPERLINK("Melting_Curves/meltCurve_P49736_MCM2.pdf", "Melting_Curves/meltCurve_P49736_MCM2.pdf")</f>
        <v>Melting_Curves/meltCurve_P49736_MCM2.pdf</v>
      </c>
    </row>
    <row r="2286" spans="1:28" x14ac:dyDescent="0.25">
      <c r="A2286" t="s">
        <v>2290</v>
      </c>
      <c r="B2286">
        <v>0.99987803227770999</v>
      </c>
      <c r="C2286">
        <v>1.18917950328101</v>
      </c>
      <c r="D2286">
        <v>1.0185192614565399</v>
      </c>
      <c r="E2286">
        <v>1.1543309768902501</v>
      </c>
      <c r="F2286">
        <v>0.88826591555018297</v>
      </c>
      <c r="G2286">
        <v>0.61012042187221904</v>
      </c>
      <c r="H2286">
        <v>0.30596093028799798</v>
      </c>
      <c r="I2286">
        <v>0.16990066441299301</v>
      </c>
      <c r="J2286">
        <v>0.10583145383010401</v>
      </c>
      <c r="K2286">
        <v>7.7131387817444302E-2</v>
      </c>
      <c r="L2286">
        <v>1442.6990953980801</v>
      </c>
      <c r="M2286">
        <v>24.905786129556802</v>
      </c>
      <c r="N2286">
        <v>58.3335807821393</v>
      </c>
      <c r="O2286">
        <v>57.556689752903999</v>
      </c>
      <c r="P2286">
        <v>-9.9546430133773206E-2</v>
      </c>
      <c r="Q2286">
        <v>7.9814668950687104E-2</v>
      </c>
      <c r="R2286">
        <v>0.96299141951221501</v>
      </c>
      <c r="S2286" t="s">
        <v>8597</v>
      </c>
      <c r="T2286" t="s">
        <v>12620</v>
      </c>
      <c r="U2286" t="s">
        <v>12620</v>
      </c>
      <c r="V2286" t="s">
        <v>12620</v>
      </c>
      <c r="W2286" t="s">
        <v>14866</v>
      </c>
      <c r="X2286">
        <v>26</v>
      </c>
      <c r="Y2286" t="s">
        <v>21056</v>
      </c>
      <c r="Z2286" t="s">
        <v>27233</v>
      </c>
      <c r="AA2286">
        <v>0.63773712315231945</v>
      </c>
      <c r="AB2286" t="str">
        <f>HYPERLINK("Melting_Curves/meltCurve_P49748_ACADVL.pdf", "Melting_Curves/meltCurve_P49748_ACADVL.pdf")</f>
        <v>Melting_Curves/meltCurve_P49748_ACADVL.pdf</v>
      </c>
    </row>
    <row r="2287" spans="1:28" x14ac:dyDescent="0.25">
      <c r="A2287" t="s">
        <v>2291</v>
      </c>
      <c r="B2287">
        <v>0.99987803227770999</v>
      </c>
      <c r="C2287">
        <v>0.96293673306191596</v>
      </c>
      <c r="D2287">
        <v>1.01184866388276</v>
      </c>
      <c r="E2287">
        <v>0.81545802381336696</v>
      </c>
      <c r="F2287">
        <v>0.84983969637257095</v>
      </c>
      <c r="G2287">
        <v>0.68986109931858697</v>
      </c>
      <c r="H2287">
        <v>0.70016716934203505</v>
      </c>
      <c r="I2287">
        <v>0.56636442227976302</v>
      </c>
      <c r="J2287">
        <v>0.61363217656261804</v>
      </c>
      <c r="K2287">
        <v>0.46544871700302698</v>
      </c>
      <c r="L2287">
        <v>452.18870722423202</v>
      </c>
      <c r="M2287">
        <v>7.5261386804526298</v>
      </c>
      <c r="O2287">
        <v>56.279727137615097</v>
      </c>
      <c r="P2287">
        <v>-2.2028143503618001E-2</v>
      </c>
      <c r="Q2287">
        <v>0.342036698728102</v>
      </c>
      <c r="R2287">
        <v>0.93258784152655405</v>
      </c>
      <c r="S2287" t="s">
        <v>8598</v>
      </c>
      <c r="T2287" t="s">
        <v>12620</v>
      </c>
      <c r="U2287" t="s">
        <v>12620</v>
      </c>
      <c r="V2287" t="s">
        <v>12620</v>
      </c>
      <c r="W2287" t="s">
        <v>14867</v>
      </c>
      <c r="X2287">
        <v>34</v>
      </c>
      <c r="Y2287" t="s">
        <v>21057</v>
      </c>
      <c r="Z2287" t="s">
        <v>27234</v>
      </c>
      <c r="AA2287">
        <v>0.76957014209719432</v>
      </c>
      <c r="AB2287" t="str">
        <f>HYPERLINK("Melting_Curves/meltCurve_P49750_4_YLPM1.pdf", "Melting_Curves/meltCurve_P49750_4_YLPM1.pdf")</f>
        <v>Melting_Curves/meltCurve_P49750_4_YLPM1.pdf</v>
      </c>
    </row>
    <row r="2288" spans="1:28" x14ac:dyDescent="0.25">
      <c r="A2288" t="s">
        <v>2292</v>
      </c>
      <c r="B2288">
        <v>0.99987803227770999</v>
      </c>
      <c r="C2288">
        <v>1.03118326945363</v>
      </c>
      <c r="D2288">
        <v>1.0724759379852</v>
      </c>
      <c r="E2288">
        <v>1.3378728647820499</v>
      </c>
      <c r="F2288">
        <v>1.3183113809557401</v>
      </c>
      <c r="G2288">
        <v>0.75648055911624601</v>
      </c>
      <c r="H2288">
        <v>0.83347908943023996</v>
      </c>
      <c r="I2288">
        <v>0.93822412210679096</v>
      </c>
      <c r="J2288">
        <v>0.46554474811623697</v>
      </c>
      <c r="K2288">
        <v>0.35032174825543499</v>
      </c>
      <c r="L2288">
        <v>1501.5109992631601</v>
      </c>
      <c r="M2288">
        <v>22.1778431551495</v>
      </c>
      <c r="N2288">
        <v>67.703179624518398</v>
      </c>
      <c r="O2288">
        <v>67.159951870884001</v>
      </c>
      <c r="P2288">
        <v>-8.2557834829383503E-2</v>
      </c>
      <c r="Q2288">
        <v>0</v>
      </c>
      <c r="R2288">
        <v>0.66374332052236096</v>
      </c>
      <c r="S2288" t="s">
        <v>8599</v>
      </c>
      <c r="T2288" t="s">
        <v>12620</v>
      </c>
      <c r="U2288" t="s">
        <v>12620</v>
      </c>
      <c r="V2288" t="s">
        <v>12620</v>
      </c>
      <c r="W2288" t="s">
        <v>14868</v>
      </c>
      <c r="X2288">
        <v>17</v>
      </c>
      <c r="Y2288" t="s">
        <v>21058</v>
      </c>
      <c r="Z2288" t="s">
        <v>27235</v>
      </c>
      <c r="AA2288">
        <v>0.8908983328190675</v>
      </c>
      <c r="AB2288" t="str">
        <f>HYPERLINK("Melting_Curves/meltCurve_P49756_RBM25.pdf", "Melting_Curves/meltCurve_P49756_RBM25.pdf")</f>
        <v>Melting_Curves/meltCurve_P49756_RBM25.pdf</v>
      </c>
    </row>
    <row r="2289" spans="1:28" x14ac:dyDescent="0.25">
      <c r="A2289" t="s">
        <v>2293</v>
      </c>
      <c r="B2289">
        <v>0.99987803227770999</v>
      </c>
      <c r="C2289">
        <v>0.87048533689226404</v>
      </c>
      <c r="D2289">
        <v>0.89902878145087595</v>
      </c>
      <c r="E2289">
        <v>0.75028934374528</v>
      </c>
      <c r="F2289">
        <v>0.60556279120945999</v>
      </c>
      <c r="G2289">
        <v>0.35224515631870401</v>
      </c>
      <c r="H2289">
        <v>0.28256430090278201</v>
      </c>
      <c r="I2289">
        <v>0.25777647658439801</v>
      </c>
      <c r="J2289">
        <v>0.227053443040277</v>
      </c>
      <c r="K2289">
        <v>0.18239471041539501</v>
      </c>
      <c r="L2289">
        <v>660.47360577761697</v>
      </c>
      <c r="M2289">
        <v>12.4559165895135</v>
      </c>
      <c r="N2289">
        <v>54.603104374167202</v>
      </c>
      <c r="O2289">
        <v>51.713807117014198</v>
      </c>
      <c r="P2289">
        <v>-5.1123613441894797E-2</v>
      </c>
      <c r="Q2289">
        <v>0.15116795780776601</v>
      </c>
      <c r="R2289">
        <v>0.98637169978355899</v>
      </c>
      <c r="S2289" t="s">
        <v>8600</v>
      </c>
      <c r="T2289" t="s">
        <v>12620</v>
      </c>
      <c r="U2289" t="s">
        <v>12620</v>
      </c>
      <c r="V2289" t="s">
        <v>12620</v>
      </c>
      <c r="W2289" t="s">
        <v>14869</v>
      </c>
      <c r="X2289">
        <v>17</v>
      </c>
      <c r="Y2289" t="s">
        <v>21059</v>
      </c>
      <c r="Z2289" t="s">
        <v>27236</v>
      </c>
      <c r="AA2289">
        <v>0.54281955158753947</v>
      </c>
      <c r="AB2289" t="str">
        <f>HYPERLINK("Melting_Curves/meltCurve_P49757_4_NUMB.pdf", "Melting_Curves/meltCurve_P49757_4_NUMB.pdf")</f>
        <v>Melting_Curves/meltCurve_P49757_4_NUMB.pdf</v>
      </c>
    </row>
    <row r="2290" spans="1:28" x14ac:dyDescent="0.25">
      <c r="A2290" t="s">
        <v>2294</v>
      </c>
      <c r="B2290">
        <v>0.99987803227770999</v>
      </c>
      <c r="C2290">
        <v>0.89541962450300505</v>
      </c>
      <c r="D2290">
        <v>1.0166987775299501</v>
      </c>
      <c r="E2290">
        <v>1.0249136973664399</v>
      </c>
      <c r="F2290">
        <v>0.85310333107042002</v>
      </c>
      <c r="G2290">
        <v>0.25418268637075903</v>
      </c>
      <c r="H2290">
        <v>0.12427679644730601</v>
      </c>
      <c r="I2290">
        <v>0.101802700980327</v>
      </c>
      <c r="J2290">
        <v>7.3898390429470898E-2</v>
      </c>
      <c r="K2290">
        <v>5.0838306538467999E-2</v>
      </c>
      <c r="L2290">
        <v>2367.09011189794</v>
      </c>
      <c r="M2290">
        <v>42.9773636355986</v>
      </c>
      <c r="N2290">
        <v>55.310566526515203</v>
      </c>
      <c r="O2290">
        <v>54.958753694155597</v>
      </c>
      <c r="P2290">
        <v>-0.179313188892536</v>
      </c>
      <c r="Q2290">
        <v>8.2790267519702504E-2</v>
      </c>
      <c r="R2290">
        <v>0.99182655593157898</v>
      </c>
      <c r="S2290" t="s">
        <v>8601</v>
      </c>
      <c r="T2290" t="s">
        <v>12620</v>
      </c>
      <c r="U2290" t="s">
        <v>12620</v>
      </c>
      <c r="V2290" t="s">
        <v>12620</v>
      </c>
      <c r="W2290" t="s">
        <v>14870</v>
      </c>
      <c r="X2290">
        <v>15</v>
      </c>
      <c r="Y2290" t="s">
        <v>21060</v>
      </c>
      <c r="Z2290" t="s">
        <v>27237</v>
      </c>
      <c r="AA2290">
        <v>0.54678276294782291</v>
      </c>
      <c r="AB2290" t="str">
        <f>HYPERLINK("Melting_Curves/meltCurve_P49770_EIF2B2.pdf", "Melting_Curves/meltCurve_P49770_EIF2B2.pdf")</f>
        <v>Melting_Curves/meltCurve_P49770_EIF2B2.pdf</v>
      </c>
    </row>
    <row r="2291" spans="1:28" x14ac:dyDescent="0.25">
      <c r="A2291" t="s">
        <v>2295</v>
      </c>
      <c r="B2291">
        <v>0.99987803227770999</v>
      </c>
      <c r="C2291">
        <v>0.82764309494334198</v>
      </c>
      <c r="D2291">
        <v>1.0239689862070001</v>
      </c>
      <c r="E2291">
        <v>0.81647742841680004</v>
      </c>
      <c r="F2291">
        <v>1.0534369082960999</v>
      </c>
      <c r="G2291">
        <v>0.74249316793923303</v>
      </c>
      <c r="H2291">
        <v>0.62744942278735005</v>
      </c>
      <c r="I2291">
        <v>0.491898023925812</v>
      </c>
      <c r="J2291">
        <v>0.50515037526697504</v>
      </c>
      <c r="K2291">
        <v>0.40329557047397202</v>
      </c>
      <c r="L2291">
        <v>957.15378089621697</v>
      </c>
      <c r="M2291">
        <v>16.160776214080201</v>
      </c>
      <c r="N2291">
        <v>64.850878770823797</v>
      </c>
      <c r="O2291">
        <v>58.342363091004998</v>
      </c>
      <c r="P2291">
        <v>-4.3153947189850703E-2</v>
      </c>
      <c r="Q2291">
        <v>0.37688304769883801</v>
      </c>
      <c r="R2291">
        <v>0.84663440280825697</v>
      </c>
      <c r="S2291" t="s">
        <v>8602</v>
      </c>
      <c r="T2291" t="s">
        <v>12620</v>
      </c>
      <c r="U2291" t="s">
        <v>12620</v>
      </c>
      <c r="V2291" t="s">
        <v>12620</v>
      </c>
      <c r="W2291" t="s">
        <v>14871</v>
      </c>
      <c r="X2291">
        <v>10</v>
      </c>
      <c r="Y2291" t="s">
        <v>21061</v>
      </c>
      <c r="Z2291" t="s">
        <v>27238</v>
      </c>
      <c r="AA2291">
        <v>0.78251517205809051</v>
      </c>
      <c r="AB2291" t="str">
        <f>HYPERLINK("Melting_Curves/meltCurve_P49773_HINT1.pdf", "Melting_Curves/meltCurve_P49773_HINT1.pdf")</f>
        <v>Melting_Curves/meltCurve_P49773_HINT1.pdf</v>
      </c>
    </row>
    <row r="2292" spans="1:28" x14ac:dyDescent="0.25">
      <c r="A2292" t="s">
        <v>2296</v>
      </c>
      <c r="B2292">
        <v>0.99987803227770999</v>
      </c>
      <c r="C2292">
        <v>0.78318432580777497</v>
      </c>
      <c r="D2292">
        <v>0.78162862789669696</v>
      </c>
      <c r="E2292">
        <v>0.75216487978112101</v>
      </c>
      <c r="F2292">
        <v>0.70386174337545804</v>
      </c>
      <c r="G2292">
        <v>0.57285955186761595</v>
      </c>
      <c r="H2292">
        <v>0.50018238898820899</v>
      </c>
      <c r="I2292">
        <v>0.46349848025595902</v>
      </c>
      <c r="J2292">
        <v>0.25991279308392901</v>
      </c>
      <c r="K2292">
        <v>0.19987772859990099</v>
      </c>
      <c r="L2292">
        <v>344.400689105852</v>
      </c>
      <c r="M2292">
        <v>5.8404732026836603</v>
      </c>
      <c r="N2292">
        <v>58.967963400791</v>
      </c>
      <c r="O2292">
        <v>53.1589457693009</v>
      </c>
      <c r="P2292">
        <v>-2.7564930717566102E-2</v>
      </c>
      <c r="Q2292">
        <v>0</v>
      </c>
      <c r="R2292">
        <v>0.92324252244074001</v>
      </c>
      <c r="S2292" t="s">
        <v>8603</v>
      </c>
      <c r="T2292" t="s">
        <v>12620</v>
      </c>
      <c r="U2292" t="s">
        <v>12620</v>
      </c>
      <c r="V2292" t="s">
        <v>12620</v>
      </c>
      <c r="W2292" t="s">
        <v>14872</v>
      </c>
      <c r="X2292">
        <v>1</v>
      </c>
      <c r="Y2292" t="s">
        <v>21062</v>
      </c>
      <c r="Z2292" t="s">
        <v>27239</v>
      </c>
      <c r="AA2292">
        <v>0.61006277603864689</v>
      </c>
      <c r="AB2292" t="str">
        <f>HYPERLINK("Melting_Curves/meltCurve_P49789_FHIT.pdf", "Melting_Curves/meltCurve_P49789_FHIT.pdf")</f>
        <v>Melting_Curves/meltCurve_P49789_FHIT.pdf</v>
      </c>
    </row>
    <row r="2293" spans="1:28" x14ac:dyDescent="0.25">
      <c r="A2293" t="s">
        <v>2297</v>
      </c>
      <c r="B2293">
        <v>0.99987803227770999</v>
      </c>
      <c r="C2293">
        <v>1.00322767013499</v>
      </c>
      <c r="D2293">
        <v>0.96321305273652702</v>
      </c>
      <c r="E2293">
        <v>1.25037601037044</v>
      </c>
      <c r="F2293">
        <v>1.09415976316801</v>
      </c>
      <c r="G2293">
        <v>1.1474746196709</v>
      </c>
      <c r="H2293">
        <v>1.0843702691906101</v>
      </c>
      <c r="I2293">
        <v>0.97462026135394397</v>
      </c>
      <c r="J2293">
        <v>0.83943613549146101</v>
      </c>
      <c r="K2293">
        <v>0.68942789304756602</v>
      </c>
      <c r="L2293">
        <v>4125.3801769820902</v>
      </c>
      <c r="M2293">
        <v>61.507292998582699</v>
      </c>
      <c r="O2293">
        <v>67.000608074483594</v>
      </c>
      <c r="P2293">
        <v>-7.6655744004742801E-2</v>
      </c>
      <c r="Q2293">
        <v>0.66599216069048195</v>
      </c>
      <c r="R2293">
        <v>0.54560727345361104</v>
      </c>
      <c r="S2293" t="s">
        <v>8604</v>
      </c>
      <c r="T2293" t="s">
        <v>12620</v>
      </c>
      <c r="U2293" t="s">
        <v>12620</v>
      </c>
      <c r="V2293" t="s">
        <v>12620</v>
      </c>
      <c r="W2293" t="s">
        <v>14873</v>
      </c>
      <c r="X2293">
        <v>37</v>
      </c>
      <c r="Y2293" t="s">
        <v>21063</v>
      </c>
      <c r="Z2293" t="s">
        <v>27240</v>
      </c>
      <c r="AA2293">
        <v>0.96703828729974595</v>
      </c>
      <c r="AB2293" t="str">
        <f>HYPERLINK("Melting_Curves/meltCurve_P49790_NUP153.pdf", "Melting_Curves/meltCurve_P49790_NUP153.pdf")</f>
        <v>Melting_Curves/meltCurve_P49790_NUP153.pdf</v>
      </c>
    </row>
    <row r="2294" spans="1:28" x14ac:dyDescent="0.25">
      <c r="A2294" t="s">
        <v>2298</v>
      </c>
      <c r="B2294">
        <v>0.99987803227770999</v>
      </c>
      <c r="C2294">
        <v>1.0110680527685001</v>
      </c>
      <c r="D2294">
        <v>0.87300502094824906</v>
      </c>
      <c r="E2294">
        <v>0.87214619979591501</v>
      </c>
      <c r="F2294">
        <v>0.583302039343225</v>
      </c>
      <c r="G2294">
        <v>0.47455937768138901</v>
      </c>
      <c r="H2294">
        <v>0.368570313860279</v>
      </c>
      <c r="I2294">
        <v>0.27537951058014098</v>
      </c>
      <c r="J2294">
        <v>0.23789512944996999</v>
      </c>
      <c r="K2294">
        <v>0.177906937755476</v>
      </c>
      <c r="L2294">
        <v>659.87282347025405</v>
      </c>
      <c r="M2294">
        <v>12.053589787858099</v>
      </c>
      <c r="N2294">
        <v>56.341609018660797</v>
      </c>
      <c r="O2294">
        <v>53.3034190031061</v>
      </c>
      <c r="P2294">
        <v>-4.8365091548989603E-2</v>
      </c>
      <c r="Q2294">
        <v>0.144681681659588</v>
      </c>
      <c r="R2294">
        <v>0.98201087914292395</v>
      </c>
      <c r="S2294" t="s">
        <v>8605</v>
      </c>
      <c r="T2294" t="s">
        <v>12620</v>
      </c>
      <c r="U2294" t="s">
        <v>12620</v>
      </c>
      <c r="V2294" t="s">
        <v>12620</v>
      </c>
      <c r="W2294" t="s">
        <v>14874</v>
      </c>
      <c r="X2294">
        <v>62</v>
      </c>
      <c r="Y2294" t="s">
        <v>21064</v>
      </c>
      <c r="Z2294" t="s">
        <v>27241</v>
      </c>
      <c r="AA2294">
        <v>0.58566833132268881</v>
      </c>
      <c r="AB2294" t="str">
        <f>HYPERLINK("Melting_Curves/meltCurve_P49792_RANBP2.pdf", "Melting_Curves/meltCurve_P49792_RANBP2.pdf")</f>
        <v>Melting_Curves/meltCurve_P49792_RANBP2.pdf</v>
      </c>
    </row>
    <row r="2295" spans="1:28" x14ac:dyDescent="0.25">
      <c r="A2295" t="s">
        <v>2299</v>
      </c>
      <c r="B2295">
        <v>0.99987803227770999</v>
      </c>
      <c r="C2295">
        <v>1.0915291155156199</v>
      </c>
      <c r="D2295">
        <v>0.74715436667719104</v>
      </c>
      <c r="E2295">
        <v>0.63116923824502702</v>
      </c>
      <c r="F2295">
        <v>0.39585911819591402</v>
      </c>
      <c r="G2295">
        <v>0.432859494808155</v>
      </c>
      <c r="H2295">
        <v>0.123888605101556</v>
      </c>
      <c r="I2295">
        <v>0.10422897590934201</v>
      </c>
      <c r="J2295">
        <v>5.1516526064034097E-2</v>
      </c>
      <c r="K2295">
        <v>4.3486939901039398E-2</v>
      </c>
      <c r="L2295">
        <v>606.06767639293605</v>
      </c>
      <c r="M2295">
        <v>11.5501254157445</v>
      </c>
      <c r="N2295">
        <v>52.472816651518301</v>
      </c>
      <c r="O2295">
        <v>50.973836887237397</v>
      </c>
      <c r="P2295">
        <v>-5.6663142013194001E-2</v>
      </c>
      <c r="Q2295">
        <v>0</v>
      </c>
      <c r="R2295">
        <v>0.95331282297696696</v>
      </c>
      <c r="S2295" t="s">
        <v>8606</v>
      </c>
      <c r="T2295" t="s">
        <v>12620</v>
      </c>
      <c r="U2295" t="s">
        <v>12620</v>
      </c>
      <c r="V2295" t="s">
        <v>12620</v>
      </c>
      <c r="W2295" t="s">
        <v>14875</v>
      </c>
      <c r="X2295">
        <v>4</v>
      </c>
      <c r="Y2295" t="s">
        <v>21065</v>
      </c>
      <c r="Z2295" t="s">
        <v>27242</v>
      </c>
      <c r="AA2295">
        <v>0.44674950798193719</v>
      </c>
      <c r="AB2295" t="str">
        <f>HYPERLINK("Melting_Curves/meltCurve_P49821_2_NDUFV1.pdf", "Melting_Curves/meltCurve_P49821_2_NDUFV1.pdf")</f>
        <v>Melting_Curves/meltCurve_P49821_2_NDUFV1.pdf</v>
      </c>
    </row>
    <row r="2296" spans="1:28" x14ac:dyDescent="0.25">
      <c r="A2296" t="s">
        <v>2300</v>
      </c>
      <c r="B2296">
        <v>0.99987803227770999</v>
      </c>
      <c r="C2296">
        <v>0.91381613649007498</v>
      </c>
      <c r="D2296">
        <v>0.95512026219035695</v>
      </c>
      <c r="E2296">
        <v>0.68712602312690396</v>
      </c>
      <c r="F2296">
        <v>0.32861165138878601</v>
      </c>
      <c r="G2296">
        <v>0.220784728480932</v>
      </c>
      <c r="H2296">
        <v>0.13588853106118701</v>
      </c>
      <c r="I2296">
        <v>0.120861014255165</v>
      </c>
      <c r="J2296">
        <v>5.6660311934738299E-2</v>
      </c>
      <c r="K2296">
        <v>5.1802473794119099E-2</v>
      </c>
      <c r="L2296">
        <v>1125.4685136416099</v>
      </c>
      <c r="M2296">
        <v>21.971445163180601</v>
      </c>
      <c r="N2296">
        <v>51.657605602782702</v>
      </c>
      <c r="O2296">
        <v>50.805469744586901</v>
      </c>
      <c r="P2296">
        <v>-9.9016121363450504E-2</v>
      </c>
      <c r="Q2296">
        <v>8.4184381118180995E-2</v>
      </c>
      <c r="R2296">
        <v>0.98928396668065899</v>
      </c>
      <c r="S2296" t="s">
        <v>8607</v>
      </c>
      <c r="T2296" t="s">
        <v>12620</v>
      </c>
      <c r="U2296" t="s">
        <v>12620</v>
      </c>
      <c r="V2296" t="s">
        <v>12620</v>
      </c>
      <c r="W2296" t="s">
        <v>14876</v>
      </c>
      <c r="X2296">
        <v>14</v>
      </c>
      <c r="Y2296" t="s">
        <v>21066</v>
      </c>
      <c r="Z2296" t="s">
        <v>27243</v>
      </c>
      <c r="AA2296">
        <v>0.4374722501631339</v>
      </c>
      <c r="AB2296" t="str">
        <f>HYPERLINK("Melting_Curves/meltCurve_P49840_GSK3A.pdf", "Melting_Curves/meltCurve_P49840_GSK3A.pdf")</f>
        <v>Melting_Curves/meltCurve_P49840_GSK3A.pdf</v>
      </c>
    </row>
    <row r="2297" spans="1:28" x14ac:dyDescent="0.25">
      <c r="A2297" t="s">
        <v>2301</v>
      </c>
      <c r="B2297">
        <v>0.99987803227770999</v>
      </c>
      <c r="C2297">
        <v>0.84749203107006599</v>
      </c>
      <c r="D2297">
        <v>0.91358219294763998</v>
      </c>
      <c r="E2297">
        <v>0.57860838373337498</v>
      </c>
      <c r="F2297">
        <v>0.25586476801195401</v>
      </c>
      <c r="G2297">
        <v>0.13003800404968399</v>
      </c>
      <c r="H2297">
        <v>6.6901975292163393E-2</v>
      </c>
      <c r="I2297">
        <v>5.2281495669569002E-2</v>
      </c>
      <c r="J2297">
        <v>3.9960722402134302E-2</v>
      </c>
      <c r="K2297">
        <v>2.7700046059237399E-2</v>
      </c>
      <c r="L2297">
        <v>1032.50971836397</v>
      </c>
      <c r="M2297">
        <v>20.4878930122733</v>
      </c>
      <c r="N2297">
        <v>50.569271192494298</v>
      </c>
      <c r="O2297">
        <v>49.9233369023016</v>
      </c>
      <c r="P2297">
        <v>-9.9123815212450603E-2</v>
      </c>
      <c r="Q2297">
        <v>3.3879139989392203E-2</v>
      </c>
      <c r="R2297">
        <v>0.98669755805595005</v>
      </c>
      <c r="S2297" t="s">
        <v>8608</v>
      </c>
      <c r="T2297" t="s">
        <v>12620</v>
      </c>
      <c r="U2297" t="s">
        <v>12620</v>
      </c>
      <c r="V2297" t="s">
        <v>12620</v>
      </c>
      <c r="W2297" t="s">
        <v>14877</v>
      </c>
      <c r="X2297">
        <v>14</v>
      </c>
      <c r="Y2297" t="s">
        <v>21067</v>
      </c>
      <c r="Z2297" t="s">
        <v>27244</v>
      </c>
      <c r="AA2297">
        <v>0.38149829122387141</v>
      </c>
      <c r="AB2297" t="str">
        <f>HYPERLINK("Melting_Curves/meltCurve_P49841_GSK3B.pdf", "Melting_Curves/meltCurve_P49841_GSK3B.pdf")</f>
        <v>Melting_Curves/meltCurve_P49841_GSK3B.pdf</v>
      </c>
    </row>
    <row r="2298" spans="1:28" x14ac:dyDescent="0.25">
      <c r="A2298" t="s">
        <v>2302</v>
      </c>
      <c r="B2298">
        <v>0.99987803227770999</v>
      </c>
      <c r="C2298">
        <v>0.94831923906779203</v>
      </c>
      <c r="D2298">
        <v>0.63481593712009099</v>
      </c>
      <c r="E2298">
        <v>0.40383477584924599</v>
      </c>
      <c r="F2298">
        <v>0.32069653938068698</v>
      </c>
      <c r="G2298">
        <v>0.19668914463362</v>
      </c>
      <c r="H2298">
        <v>0.16341111225903801</v>
      </c>
      <c r="I2298">
        <v>0.154449192799159</v>
      </c>
      <c r="J2298">
        <v>0.14710387600321401</v>
      </c>
      <c r="K2298">
        <v>0.124038923964606</v>
      </c>
      <c r="L2298">
        <v>806.75176018933803</v>
      </c>
      <c r="M2298">
        <v>16.945241539287402</v>
      </c>
      <c r="N2298">
        <v>48.5839564311039</v>
      </c>
      <c r="O2298">
        <v>46.9611285466491</v>
      </c>
      <c r="P2298">
        <v>-7.7215485067897105E-2</v>
      </c>
      <c r="Q2298">
        <v>0.14409042076637699</v>
      </c>
      <c r="R2298">
        <v>0.98863052373261895</v>
      </c>
      <c r="S2298" t="s">
        <v>8609</v>
      </c>
      <c r="T2298" t="s">
        <v>12620</v>
      </c>
      <c r="U2298" t="s">
        <v>12620</v>
      </c>
      <c r="V2298" t="s">
        <v>12620</v>
      </c>
      <c r="W2298" t="s">
        <v>14878</v>
      </c>
      <c r="X2298">
        <v>7</v>
      </c>
      <c r="Y2298" t="s">
        <v>21068</v>
      </c>
      <c r="Z2298" t="s">
        <v>27245</v>
      </c>
      <c r="AA2298">
        <v>0.37866396685201392</v>
      </c>
      <c r="AB2298" t="str">
        <f>HYPERLINK("Melting_Curves/meltCurve_P49848_TAF6.pdf", "Melting_Curves/meltCurve_P49848_TAF6.pdf")</f>
        <v>Melting_Curves/meltCurve_P49848_TAF6.pdf</v>
      </c>
    </row>
    <row r="2299" spans="1:28" x14ac:dyDescent="0.25">
      <c r="A2299" t="s">
        <v>2303</v>
      </c>
      <c r="B2299">
        <v>0.99987803227770999</v>
      </c>
      <c r="C2299">
        <v>1.10569718847299</v>
      </c>
      <c r="D2299">
        <v>0.951893304506363</v>
      </c>
      <c r="E2299">
        <v>1.1647496127986401</v>
      </c>
      <c r="F2299">
        <v>0.90600045818803399</v>
      </c>
      <c r="G2299">
        <v>0.96810376044753899</v>
      </c>
      <c r="H2299">
        <v>0.36476306215818899</v>
      </c>
      <c r="I2299">
        <v>0.16075161778476499</v>
      </c>
      <c r="J2299">
        <v>9.2377767354282103E-2</v>
      </c>
      <c r="K2299">
        <v>6.4574895561592599E-2</v>
      </c>
      <c r="L2299">
        <v>3133.5681165665301</v>
      </c>
      <c r="M2299">
        <v>52.153810965697197</v>
      </c>
      <c r="N2299">
        <v>60.312272297339</v>
      </c>
      <c r="O2299">
        <v>59.995080406877896</v>
      </c>
      <c r="P2299">
        <v>-0.197798885664387</v>
      </c>
      <c r="Q2299">
        <v>8.9849960860232003E-2</v>
      </c>
      <c r="R2299">
        <v>0.97159416639667395</v>
      </c>
      <c r="S2299" t="s">
        <v>8610</v>
      </c>
      <c r="T2299" t="s">
        <v>12620</v>
      </c>
      <c r="U2299" t="s">
        <v>12620</v>
      </c>
      <c r="V2299" t="s">
        <v>12620</v>
      </c>
      <c r="W2299" t="s">
        <v>14879</v>
      </c>
      <c r="X2299">
        <v>18</v>
      </c>
      <c r="Y2299" t="s">
        <v>21069</v>
      </c>
      <c r="Z2299" t="s">
        <v>27246</v>
      </c>
      <c r="AA2299">
        <v>0.70132626510866425</v>
      </c>
      <c r="AB2299" t="str">
        <f>HYPERLINK("Melting_Curves/meltCurve_P49902_NT5C2.pdf", "Melting_Curves/meltCurve_P49902_NT5C2.pdf")</f>
        <v>Melting_Curves/meltCurve_P49902_NT5C2.pdf</v>
      </c>
    </row>
    <row r="2300" spans="1:28" x14ac:dyDescent="0.25">
      <c r="A2300" t="s">
        <v>2304</v>
      </c>
      <c r="B2300">
        <v>0.99987803227770999</v>
      </c>
      <c r="C2300">
        <v>1.03949380190025</v>
      </c>
      <c r="D2300">
        <v>1.0576569929140001</v>
      </c>
      <c r="E2300">
        <v>1.0691457815091501</v>
      </c>
      <c r="F2300">
        <v>1.0282645051609001</v>
      </c>
      <c r="G2300">
        <v>0.97109175718163199</v>
      </c>
      <c r="H2300">
        <v>1.1366864360782301</v>
      </c>
      <c r="I2300">
        <v>0.99031224989572997</v>
      </c>
      <c r="J2300">
        <v>0.95584596365563301</v>
      </c>
      <c r="K2300">
        <v>0.70601554856542004</v>
      </c>
      <c r="L2300">
        <v>4721.0680661496099</v>
      </c>
      <c r="M2300">
        <v>68.345184264238398</v>
      </c>
      <c r="O2300">
        <v>69.0177280440153</v>
      </c>
      <c r="P2300">
        <v>-0.102328454267008</v>
      </c>
      <c r="Q2300">
        <v>0.58665832705990095</v>
      </c>
      <c r="R2300">
        <v>0.74579776130688202</v>
      </c>
      <c r="S2300" t="s">
        <v>8611</v>
      </c>
      <c r="T2300" t="s">
        <v>12620</v>
      </c>
      <c r="U2300" t="s">
        <v>12620</v>
      </c>
      <c r="V2300" t="s">
        <v>12620</v>
      </c>
      <c r="W2300" t="s">
        <v>14880</v>
      </c>
      <c r="X2300">
        <v>13</v>
      </c>
      <c r="Y2300" t="s">
        <v>21070</v>
      </c>
      <c r="Z2300" t="s">
        <v>27247</v>
      </c>
      <c r="AA2300">
        <v>0.98291464560990005</v>
      </c>
      <c r="AB2300" t="str">
        <f>HYPERLINK("Melting_Curves/meltCurve_P49903_SEPHS1.pdf", "Melting_Curves/meltCurve_P49903_SEPHS1.pdf")</f>
        <v>Melting_Curves/meltCurve_P49903_SEPHS1.pdf</v>
      </c>
    </row>
    <row r="2301" spans="1:28" x14ac:dyDescent="0.25">
      <c r="A2301" t="s">
        <v>2305</v>
      </c>
      <c r="B2301">
        <v>0.99987803227770999</v>
      </c>
      <c r="C2301">
        <v>0.80358165039077101</v>
      </c>
      <c r="D2301">
        <v>0.913646064281875</v>
      </c>
      <c r="E2301">
        <v>0.38538437141121501</v>
      </c>
      <c r="F2301">
        <v>0.15198008282962799</v>
      </c>
      <c r="G2301">
        <v>9.5526433238617897E-2</v>
      </c>
      <c r="H2301">
        <v>7.4960516455404205E-2</v>
      </c>
      <c r="I2301">
        <v>6.7844177829487207E-2</v>
      </c>
      <c r="J2301">
        <v>4.96795905962399E-2</v>
      </c>
      <c r="K2301">
        <v>3.0714868932542001E-2</v>
      </c>
      <c r="L2301">
        <v>1317.84891605455</v>
      </c>
      <c r="M2301">
        <v>26.921962534717</v>
      </c>
      <c r="N2301">
        <v>49.165705154741197</v>
      </c>
      <c r="O2301">
        <v>48.683021744799198</v>
      </c>
      <c r="P2301">
        <v>-0.130575215724998</v>
      </c>
      <c r="Q2301">
        <v>5.5532350553139903E-2</v>
      </c>
      <c r="R2301">
        <v>0.97447252475061696</v>
      </c>
      <c r="S2301" t="s">
        <v>8612</v>
      </c>
      <c r="T2301" t="s">
        <v>12620</v>
      </c>
      <c r="U2301" t="s">
        <v>12620</v>
      </c>
      <c r="V2301" t="s">
        <v>12620</v>
      </c>
      <c r="W2301" t="s">
        <v>14881</v>
      </c>
      <c r="X2301">
        <v>9</v>
      </c>
      <c r="Y2301" t="s">
        <v>21071</v>
      </c>
      <c r="Z2301" t="s">
        <v>27248</v>
      </c>
      <c r="AA2301">
        <v>0.34450217329732941</v>
      </c>
      <c r="AB2301" t="str">
        <f>HYPERLINK("Melting_Curves/meltCurve_P49914_MTHFS.pdf", "Melting_Curves/meltCurve_P49914_MTHFS.pdf")</f>
        <v>Melting_Curves/meltCurve_P49914_MTHFS.pdf</v>
      </c>
    </row>
    <row r="2302" spans="1:28" x14ac:dyDescent="0.25">
      <c r="A2302" t="s">
        <v>2306</v>
      </c>
      <c r="B2302">
        <v>0.99987803227770999</v>
      </c>
      <c r="C2302">
        <v>0.789304818891022</v>
      </c>
      <c r="D2302">
        <v>1.0709908383190401</v>
      </c>
      <c r="E2302">
        <v>0.79302863815848701</v>
      </c>
      <c r="F2302">
        <v>0.21188193948586301</v>
      </c>
      <c r="G2302">
        <v>0.118614303433906</v>
      </c>
      <c r="H2302">
        <v>7.4686982209856104E-2</v>
      </c>
      <c r="I2302">
        <v>6.3775604230754804E-2</v>
      </c>
      <c r="J2302">
        <v>5.2107508800204601E-2</v>
      </c>
      <c r="K2302">
        <v>3.32103589708065E-2</v>
      </c>
      <c r="L2302">
        <v>2595.3500547355602</v>
      </c>
      <c r="M2302">
        <v>50.644271306481301</v>
      </c>
      <c r="N2302">
        <v>51.392355452326697</v>
      </c>
      <c r="O2302">
        <v>51.166951348685203</v>
      </c>
      <c r="P2302">
        <v>-0.23090014297132999</v>
      </c>
      <c r="Q2302">
        <v>6.6868055793887701E-2</v>
      </c>
      <c r="R2302">
        <v>0.968612998307534</v>
      </c>
      <c r="S2302" t="s">
        <v>8613</v>
      </c>
      <c r="T2302" t="s">
        <v>12620</v>
      </c>
      <c r="U2302" t="s">
        <v>12620</v>
      </c>
      <c r="V2302" t="s">
        <v>12620</v>
      </c>
      <c r="W2302" t="s">
        <v>14882</v>
      </c>
      <c r="X2302">
        <v>38</v>
      </c>
      <c r="Y2302" t="s">
        <v>21072</v>
      </c>
      <c r="Z2302" t="s">
        <v>27249</v>
      </c>
      <c r="AA2302">
        <v>0.41874450151239179</v>
      </c>
      <c r="AB2302" t="str">
        <f>HYPERLINK("Melting_Curves/meltCurve_P49915_GMPS.pdf", "Melting_Curves/meltCurve_P49915_GMPS.pdf")</f>
        <v>Melting_Curves/meltCurve_P49915_GMPS.pdf</v>
      </c>
    </row>
    <row r="2303" spans="1:28" x14ac:dyDescent="0.25">
      <c r="A2303" t="s">
        <v>2307</v>
      </c>
      <c r="B2303">
        <v>0.99987803227770999</v>
      </c>
      <c r="C2303">
        <v>0.88218676722661504</v>
      </c>
      <c r="D2303">
        <v>0.71373094663744097</v>
      </c>
      <c r="E2303">
        <v>0.48299116455315999</v>
      </c>
      <c r="F2303">
        <v>0.35993268470157203</v>
      </c>
      <c r="G2303">
        <v>0.22415781071608301</v>
      </c>
      <c r="H2303">
        <v>0.171949837460005</v>
      </c>
      <c r="I2303">
        <v>0.17481951773110399</v>
      </c>
      <c r="J2303">
        <v>0.144238487136751</v>
      </c>
      <c r="K2303">
        <v>0.115782558372702</v>
      </c>
      <c r="L2303">
        <v>665.01080636291601</v>
      </c>
      <c r="M2303">
        <v>13.6377667250726</v>
      </c>
      <c r="N2303">
        <v>49.782868028982001</v>
      </c>
      <c r="O2303">
        <v>47.7498232172494</v>
      </c>
      <c r="P2303">
        <v>-6.2704981426031897E-2</v>
      </c>
      <c r="Q2303">
        <v>0.121934477880102</v>
      </c>
      <c r="R2303">
        <v>0.99667803551446899</v>
      </c>
      <c r="S2303" t="s">
        <v>8614</v>
      </c>
      <c r="T2303" t="s">
        <v>12620</v>
      </c>
      <c r="U2303" t="s">
        <v>12620</v>
      </c>
      <c r="V2303" t="s">
        <v>12620</v>
      </c>
      <c r="W2303" t="s">
        <v>14883</v>
      </c>
      <c r="X2303">
        <v>8</v>
      </c>
      <c r="Y2303" t="s">
        <v>21073</v>
      </c>
      <c r="Z2303" t="s">
        <v>27250</v>
      </c>
      <c r="AA2303">
        <v>0.40452238038113231</v>
      </c>
      <c r="AB2303" t="str">
        <f>HYPERLINK("Melting_Curves/meltCurve_P49916_LIG3.pdf", "Melting_Curves/meltCurve_P49916_LIG3.pdf")</f>
        <v>Melting_Curves/meltCurve_P49916_LIG3.pdf</v>
      </c>
    </row>
    <row r="2304" spans="1:28" x14ac:dyDescent="0.25">
      <c r="A2304" t="s">
        <v>2308</v>
      </c>
      <c r="B2304">
        <v>0.99987803227770999</v>
      </c>
      <c r="C2304">
        <v>1.1346538207236301</v>
      </c>
      <c r="D2304">
        <v>0.86543530676088798</v>
      </c>
      <c r="E2304">
        <v>0.95682938099216497</v>
      </c>
      <c r="F2304">
        <v>0.72932292854380898</v>
      </c>
      <c r="G2304">
        <v>0.575412585899719</v>
      </c>
      <c r="H2304">
        <v>0.415814611288578</v>
      </c>
      <c r="I2304">
        <v>0.27581303251006301</v>
      </c>
      <c r="J2304">
        <v>0.20434419176322999</v>
      </c>
      <c r="K2304">
        <v>0.16517817234120599</v>
      </c>
      <c r="L2304">
        <v>728.32204268269197</v>
      </c>
      <c r="M2304">
        <v>12.5898954546893</v>
      </c>
      <c r="N2304">
        <v>58.553379564030202</v>
      </c>
      <c r="O2304">
        <v>56.448422547517303</v>
      </c>
      <c r="P2304">
        <v>-5.1854311530226002E-2</v>
      </c>
      <c r="Q2304">
        <v>7.0204053765192898E-2</v>
      </c>
      <c r="R2304">
        <v>0.96541284132983196</v>
      </c>
      <c r="S2304" t="s">
        <v>8615</v>
      </c>
      <c r="T2304" t="s">
        <v>12620</v>
      </c>
      <c r="U2304" t="s">
        <v>12620</v>
      </c>
      <c r="V2304" t="s">
        <v>12620</v>
      </c>
      <c r="W2304" t="s">
        <v>13149</v>
      </c>
      <c r="X2304">
        <v>23</v>
      </c>
      <c r="Y2304" t="s">
        <v>19398</v>
      </c>
      <c r="Z2304" t="s">
        <v>27251</v>
      </c>
      <c r="AA2304">
        <v>0.63615158806701033</v>
      </c>
      <c r="AB2304" t="str">
        <f>HYPERLINK("Melting_Curves/meltCurve_P49959_MRE11A.pdf", "Melting_Curves/meltCurve_P49959_MRE11A.pdf")</f>
        <v>Melting_Curves/meltCurve_P49959_MRE11A.pdf</v>
      </c>
    </row>
    <row r="2305" spans="1:28" x14ac:dyDescent="0.25">
      <c r="A2305" t="s">
        <v>2309</v>
      </c>
      <c r="B2305">
        <v>0.99987803227770999</v>
      </c>
      <c r="C2305">
        <v>0.98546009525643596</v>
      </c>
      <c r="D2305">
        <v>0.98861326431876495</v>
      </c>
      <c r="E2305">
        <v>0.93490578068329899</v>
      </c>
      <c r="F2305">
        <v>0.87454485676289495</v>
      </c>
      <c r="G2305">
        <v>0.74601577995384305</v>
      </c>
      <c r="H2305">
        <v>0.79817185200115404</v>
      </c>
      <c r="I2305">
        <v>0.68768554150130201</v>
      </c>
      <c r="J2305">
        <v>0.44087195777676103</v>
      </c>
      <c r="K2305">
        <v>0.15421437173410299</v>
      </c>
      <c r="L2305">
        <v>934.87526535427196</v>
      </c>
      <c r="M2305">
        <v>14.2876653143098</v>
      </c>
      <c r="N2305">
        <v>65.432332386548694</v>
      </c>
      <c r="O2305">
        <v>64.190561688701194</v>
      </c>
      <c r="P2305">
        <v>-5.5652304216476503E-2</v>
      </c>
      <c r="Q2305">
        <v>0</v>
      </c>
      <c r="R2305">
        <v>0.90414326633809095</v>
      </c>
      <c r="S2305" t="s">
        <v>8616</v>
      </c>
      <c r="T2305" t="s">
        <v>12620</v>
      </c>
      <c r="U2305" t="s">
        <v>12620</v>
      </c>
      <c r="V2305" t="s">
        <v>12620</v>
      </c>
      <c r="W2305" t="s">
        <v>14884</v>
      </c>
      <c r="X2305">
        <v>9</v>
      </c>
      <c r="Y2305" t="s">
        <v>21074</v>
      </c>
      <c r="Z2305" t="s">
        <v>27252</v>
      </c>
      <c r="AA2305">
        <v>0.81497160722366213</v>
      </c>
      <c r="AB2305" t="str">
        <f>HYPERLINK("Melting_Curves/meltCurve_P50053_KHK.pdf", "Melting_Curves/meltCurve_P50053_KHK.pdf")</f>
        <v>Melting_Curves/meltCurve_P50053_KHK.pdf</v>
      </c>
    </row>
    <row r="2306" spans="1:28" x14ac:dyDescent="0.25">
      <c r="A2306" t="s">
        <v>2310</v>
      </c>
      <c r="B2306">
        <v>0.99987803227770999</v>
      </c>
      <c r="C2306">
        <v>0.81691821122047303</v>
      </c>
      <c r="D2306">
        <v>1.0222331526142101</v>
      </c>
      <c r="E2306">
        <v>0.816140675893821</v>
      </c>
      <c r="F2306">
        <v>0.74927492902550996</v>
      </c>
      <c r="G2306">
        <v>0.24208309781985099</v>
      </c>
      <c r="H2306">
        <v>0.15496272933838801</v>
      </c>
      <c r="I2306">
        <v>0.13793157610638801</v>
      </c>
      <c r="J2306">
        <v>0.10198219136126201</v>
      </c>
      <c r="K2306">
        <v>7.7956609517664699E-2</v>
      </c>
      <c r="L2306">
        <v>1376.4600813145501</v>
      </c>
      <c r="M2306">
        <v>25.377773090133601</v>
      </c>
      <c r="N2306">
        <v>54.673725246778901</v>
      </c>
      <c r="O2306">
        <v>53.9053861085969</v>
      </c>
      <c r="P2306">
        <v>-0.106939643439729</v>
      </c>
      <c r="Q2306">
        <v>9.1401898291342196E-2</v>
      </c>
      <c r="R2306">
        <v>0.96410025548900802</v>
      </c>
      <c r="S2306" t="s">
        <v>8617</v>
      </c>
      <c r="T2306" t="s">
        <v>12620</v>
      </c>
      <c r="U2306" t="s">
        <v>12620</v>
      </c>
      <c r="V2306" t="s">
        <v>12620</v>
      </c>
      <c r="W2306" t="s">
        <v>14885</v>
      </c>
      <c r="X2306">
        <v>2</v>
      </c>
      <c r="Y2306" t="s">
        <v>21075</v>
      </c>
      <c r="Z2306" t="s">
        <v>27253</v>
      </c>
      <c r="AA2306">
        <v>0.53083358536655179</v>
      </c>
      <c r="AB2306" t="str">
        <f>HYPERLINK("Melting_Curves/meltCurve_P50135_HNMT.pdf", "Melting_Curves/meltCurve_P50135_HNMT.pdf")</f>
        <v>Melting_Curves/meltCurve_P50135_HNMT.pdf</v>
      </c>
    </row>
    <row r="2307" spans="1:28" x14ac:dyDescent="0.25">
      <c r="A2307" t="s">
        <v>2311</v>
      </c>
      <c r="B2307">
        <v>0.99987803227770999</v>
      </c>
      <c r="C2307">
        <v>0.80632338106101598</v>
      </c>
      <c r="D2307">
        <v>0.69724775207963996</v>
      </c>
      <c r="E2307">
        <v>0.474642816228459</v>
      </c>
      <c r="F2307">
        <v>0.22739216165784301</v>
      </c>
      <c r="G2307">
        <v>0.14627612861578301</v>
      </c>
      <c r="H2307">
        <v>7.9895142547234302E-2</v>
      </c>
      <c r="I2307">
        <v>5.1414348253331701E-2</v>
      </c>
      <c r="J2307">
        <v>3.9379017322436101E-2</v>
      </c>
      <c r="K2307">
        <v>2.7482565363176701E-2</v>
      </c>
      <c r="L2307">
        <v>635.89124215069</v>
      </c>
      <c r="M2307">
        <v>13.0165761672265</v>
      </c>
      <c r="N2307">
        <v>48.912064339577597</v>
      </c>
      <c r="O2307">
        <v>47.742510386845701</v>
      </c>
      <c r="P2307">
        <v>-6.7635349521668206E-2</v>
      </c>
      <c r="Q2307">
        <v>7.8761694742143402E-3</v>
      </c>
      <c r="R2307">
        <v>0.99193186708555403</v>
      </c>
      <c r="S2307" t="s">
        <v>8618</v>
      </c>
      <c r="T2307" t="s">
        <v>12620</v>
      </c>
      <c r="U2307" t="s">
        <v>12620</v>
      </c>
      <c r="V2307" t="s">
        <v>12620</v>
      </c>
      <c r="W2307" t="s">
        <v>14886</v>
      </c>
      <c r="X2307">
        <v>12</v>
      </c>
      <c r="Y2307" t="s">
        <v>21076</v>
      </c>
      <c r="Z2307" t="s">
        <v>27254</v>
      </c>
      <c r="AA2307">
        <v>0.33258192816098142</v>
      </c>
      <c r="AB2307" t="str">
        <f>HYPERLINK("Melting_Curves/meltCurve_P50213_IDH3A.pdf", "Melting_Curves/meltCurve_P50213_IDH3A.pdf")</f>
        <v>Melting_Curves/meltCurve_P50213_IDH3A.pdf</v>
      </c>
    </row>
    <row r="2308" spans="1:28" x14ac:dyDescent="0.25">
      <c r="A2308" t="s">
        <v>2312</v>
      </c>
      <c r="B2308">
        <v>0.99987803227770999</v>
      </c>
      <c r="C2308">
        <v>0.97845865503711804</v>
      </c>
      <c r="D2308">
        <v>1.0672131649730501</v>
      </c>
      <c r="E2308">
        <v>0.769240064437412</v>
      </c>
      <c r="F2308">
        <v>0.78460112131562398</v>
      </c>
      <c r="G2308">
        <v>0.63112815674977396</v>
      </c>
      <c r="H2308">
        <v>0.58199184586199204</v>
      </c>
      <c r="I2308">
        <v>0.669740153171408</v>
      </c>
      <c r="J2308">
        <v>0.35321159101410898</v>
      </c>
      <c r="K2308">
        <v>0.29731081812347998</v>
      </c>
      <c r="L2308">
        <v>439.20552994636301</v>
      </c>
      <c r="M2308">
        <v>6.8925771880570501</v>
      </c>
      <c r="N2308">
        <v>63.721524916351697</v>
      </c>
      <c r="O2308">
        <v>59.005373474967001</v>
      </c>
      <c r="P2308">
        <v>-2.9260468594736098E-2</v>
      </c>
      <c r="Q2308">
        <v>0</v>
      </c>
      <c r="R2308">
        <v>0.88554847026231698</v>
      </c>
      <c r="S2308" t="s">
        <v>8619</v>
      </c>
      <c r="T2308" t="s">
        <v>12620</v>
      </c>
      <c r="U2308" t="s">
        <v>12620</v>
      </c>
      <c r="V2308" t="s">
        <v>12620</v>
      </c>
      <c r="W2308" t="s">
        <v>14887</v>
      </c>
      <c r="X2308">
        <v>1</v>
      </c>
      <c r="Y2308" t="s">
        <v>21077</v>
      </c>
      <c r="Z2308" t="s">
        <v>27255</v>
      </c>
      <c r="AA2308">
        <v>0.71817299646520683</v>
      </c>
      <c r="AB2308" t="str">
        <f>HYPERLINK("Melting_Curves/meltCurve_P50219_MNX1.pdf", "Melting_Curves/meltCurve_P50219_MNX1.pdf")</f>
        <v>Melting_Curves/meltCurve_P50219_MNX1.pdf</v>
      </c>
    </row>
    <row r="2309" spans="1:28" x14ac:dyDescent="0.25">
      <c r="A2309" t="s">
        <v>2313</v>
      </c>
      <c r="B2309">
        <v>0.99987803227770999</v>
      </c>
      <c r="C2309">
        <v>0.74064999290165101</v>
      </c>
      <c r="D2309">
        <v>0.47070299035741597</v>
      </c>
      <c r="E2309">
        <v>0.27016841175856199</v>
      </c>
      <c r="F2309">
        <v>0.18260799164021899</v>
      </c>
      <c r="G2309">
        <v>0.12793127639569901</v>
      </c>
      <c r="H2309">
        <v>8.4095520085674905E-2</v>
      </c>
      <c r="I2309">
        <v>7.1599390673428395E-2</v>
      </c>
      <c r="J2309">
        <v>5.64010042204975E-2</v>
      </c>
      <c r="K2309">
        <v>4.2133711021335299E-2</v>
      </c>
      <c r="L2309">
        <v>755.22485563541102</v>
      </c>
      <c r="M2309">
        <v>16.537100104826099</v>
      </c>
      <c r="N2309">
        <v>46.080564580246602</v>
      </c>
      <c r="O2309">
        <v>45.016401762896301</v>
      </c>
      <c r="P2309">
        <v>-8.5533128515330403E-2</v>
      </c>
      <c r="Q2309">
        <v>6.8729812952503702E-2</v>
      </c>
      <c r="R2309">
        <v>0.98829635858713105</v>
      </c>
      <c r="S2309" t="s">
        <v>8620</v>
      </c>
      <c r="T2309" t="s">
        <v>12620</v>
      </c>
      <c r="U2309" t="s">
        <v>12620</v>
      </c>
      <c r="V2309" t="s">
        <v>12620</v>
      </c>
      <c r="W2309" t="s">
        <v>14888</v>
      </c>
      <c r="X2309">
        <v>5</v>
      </c>
      <c r="Y2309" t="s">
        <v>21078</v>
      </c>
      <c r="Z2309" t="s">
        <v>27256</v>
      </c>
      <c r="AA2309">
        <v>0.26738328986888421</v>
      </c>
      <c r="AB2309" t="str">
        <f>HYPERLINK("Melting_Curves/meltCurve_P50224_SULT1A3.pdf", "Melting_Curves/meltCurve_P50224_SULT1A3.pdf")</f>
        <v>Melting_Curves/meltCurve_P50224_SULT1A3.pdf</v>
      </c>
    </row>
    <row r="2310" spans="1:28" x14ac:dyDescent="0.25">
      <c r="A2310" t="s">
        <v>2314</v>
      </c>
      <c r="B2310">
        <v>0.99987803227770999</v>
      </c>
      <c r="C2310">
        <v>0.77821465827208403</v>
      </c>
      <c r="D2310">
        <v>0.95490576731580801</v>
      </c>
      <c r="E2310">
        <v>0.757225902936842</v>
      </c>
      <c r="F2310">
        <v>1.10197290872287</v>
      </c>
      <c r="G2310">
        <v>0.77911963792710803</v>
      </c>
      <c r="H2310">
        <v>0.97754420817293397</v>
      </c>
      <c r="I2310">
        <v>0.78002418198053003</v>
      </c>
      <c r="J2310">
        <v>1.0530355750734499</v>
      </c>
      <c r="K2310">
        <v>0.84528138839003297</v>
      </c>
      <c r="L2310">
        <v>10225.4290453166</v>
      </c>
      <c r="M2310">
        <v>250</v>
      </c>
      <c r="O2310">
        <v>40.899081854013097</v>
      </c>
      <c r="P2310">
        <v>-0.165154886899712</v>
      </c>
      <c r="Q2310">
        <v>0.89192502340394497</v>
      </c>
      <c r="R2310">
        <v>6.9754500749395404E-2</v>
      </c>
      <c r="S2310" t="s">
        <v>8621</v>
      </c>
      <c r="T2310" t="s">
        <v>12620</v>
      </c>
      <c r="U2310" t="s">
        <v>12620</v>
      </c>
      <c r="V2310" t="s">
        <v>12620</v>
      </c>
      <c r="W2310" t="s">
        <v>14889</v>
      </c>
      <c r="X2310">
        <v>8</v>
      </c>
      <c r="Y2310" t="s">
        <v>21079</v>
      </c>
      <c r="Z2310" t="s">
        <v>27257</v>
      </c>
      <c r="AA2310">
        <v>0.89518320525167594</v>
      </c>
      <c r="AB2310" t="str">
        <f>HYPERLINK("Melting_Curves/meltCurve_P50238_CRIP1.pdf", "Melting_Curves/meltCurve_P50238_CRIP1.pdf")</f>
        <v>Melting_Curves/meltCurve_P50238_CRIP1.pdf</v>
      </c>
    </row>
    <row r="2311" spans="1:28" x14ac:dyDescent="0.25">
      <c r="A2311" t="s">
        <v>2315</v>
      </c>
      <c r="B2311">
        <v>0.99987803227770999</v>
      </c>
      <c r="C2311">
        <v>0.99753864005847703</v>
      </c>
      <c r="D2311">
        <v>0.83695290486929297</v>
      </c>
      <c r="E2311">
        <v>0.57655737365478499</v>
      </c>
      <c r="F2311">
        <v>0.30631225151480801</v>
      </c>
      <c r="G2311">
        <v>0.19991929269102901</v>
      </c>
      <c r="H2311">
        <v>0.13160574087257301</v>
      </c>
      <c r="I2311">
        <v>0.111695124713759</v>
      </c>
      <c r="J2311">
        <v>8.2304254831215201E-2</v>
      </c>
      <c r="K2311">
        <v>6.5156775833282804E-2</v>
      </c>
      <c r="L2311">
        <v>925.22634812655701</v>
      </c>
      <c r="M2311">
        <v>18.425951774891999</v>
      </c>
      <c r="N2311">
        <v>50.714498542820401</v>
      </c>
      <c r="O2311">
        <v>49.6330151568716</v>
      </c>
      <c r="P2311">
        <v>-8.5088061594273401E-2</v>
      </c>
      <c r="Q2311">
        <v>8.3252765739634096E-2</v>
      </c>
      <c r="R2311">
        <v>0.99669997577541303</v>
      </c>
      <c r="S2311" t="s">
        <v>8622</v>
      </c>
      <c r="T2311" t="s">
        <v>12620</v>
      </c>
      <c r="U2311" t="s">
        <v>12620</v>
      </c>
      <c r="V2311" t="s">
        <v>12620</v>
      </c>
      <c r="W2311" t="s">
        <v>14890</v>
      </c>
      <c r="X2311">
        <v>4</v>
      </c>
      <c r="Y2311" t="s">
        <v>21080</v>
      </c>
      <c r="Z2311" t="s">
        <v>27258</v>
      </c>
      <c r="AA2311">
        <v>0.41026954585265141</v>
      </c>
      <c r="AB2311" t="str">
        <f>HYPERLINK("Melting_Curves/meltCurve_P50336_PPOX.pdf", "Melting_Curves/meltCurve_P50336_PPOX.pdf")</f>
        <v>Melting_Curves/meltCurve_P50336_PPOX.pdf</v>
      </c>
    </row>
    <row r="2312" spans="1:28" x14ac:dyDescent="0.25">
      <c r="A2312" t="s">
        <v>2316</v>
      </c>
      <c r="B2312">
        <v>0.99987803227770999</v>
      </c>
      <c r="C2312">
        <v>0.89354853968762904</v>
      </c>
      <c r="D2312">
        <v>1.0750454171388399</v>
      </c>
      <c r="E2312">
        <v>0.97793321706221004</v>
      </c>
      <c r="F2312">
        <v>0.98817680572800903</v>
      </c>
      <c r="G2312">
        <v>0.72835310694494904</v>
      </c>
      <c r="H2312">
        <v>0.166084407973941</v>
      </c>
      <c r="I2312">
        <v>0.11190604826964</v>
      </c>
      <c r="J2312">
        <v>6.5109069901478397E-2</v>
      </c>
      <c r="K2312">
        <v>4.8156416066605798E-2</v>
      </c>
      <c r="L2312">
        <v>2533.5131607000999</v>
      </c>
      <c r="M2312">
        <v>43.563973985816801</v>
      </c>
      <c r="N2312">
        <v>58.345020557378298</v>
      </c>
      <c r="O2312">
        <v>58.0340137620015</v>
      </c>
      <c r="P2312">
        <v>-0.17532456171834301</v>
      </c>
      <c r="Q2312">
        <v>6.5762734539137002E-2</v>
      </c>
      <c r="R2312">
        <v>0.98961888277754995</v>
      </c>
      <c r="S2312" t="s">
        <v>8623</v>
      </c>
      <c r="T2312" t="s">
        <v>12620</v>
      </c>
      <c r="U2312" t="s">
        <v>12620</v>
      </c>
      <c r="V2312" t="s">
        <v>12620</v>
      </c>
      <c r="W2312" t="s">
        <v>14891</v>
      </c>
      <c r="X2312">
        <v>48</v>
      </c>
      <c r="Y2312" t="s">
        <v>21081</v>
      </c>
      <c r="Z2312" t="s">
        <v>27259</v>
      </c>
      <c r="AA2312">
        <v>0.63429043654963435</v>
      </c>
      <c r="AB2312" t="str">
        <f>HYPERLINK("Melting_Curves/meltCurve_P50395_GDI2.pdf", "Melting_Curves/meltCurve_P50395_GDI2.pdf")</f>
        <v>Melting_Curves/meltCurve_P50395_GDI2.pdf</v>
      </c>
    </row>
    <row r="2313" spans="1:28" x14ac:dyDescent="0.25">
      <c r="A2313" t="s">
        <v>2317</v>
      </c>
      <c r="B2313">
        <v>0.99987803227770999</v>
      </c>
      <c r="C2313">
        <v>0.83632693169905403</v>
      </c>
      <c r="D2313">
        <v>0.96531598879806502</v>
      </c>
      <c r="E2313">
        <v>0.82640948752275101</v>
      </c>
      <c r="F2313">
        <v>0.91118465357743605</v>
      </c>
      <c r="G2313">
        <v>0.76224536153286304</v>
      </c>
      <c r="H2313">
        <v>0.84830621813879803</v>
      </c>
      <c r="I2313">
        <v>0.91161957350123601</v>
      </c>
      <c r="J2313">
        <v>0.93082136292320405</v>
      </c>
      <c r="K2313">
        <v>0.818476207341298</v>
      </c>
      <c r="L2313">
        <v>10243.725917932699</v>
      </c>
      <c r="M2313">
        <v>250</v>
      </c>
      <c r="O2313">
        <v>40.972281558050597</v>
      </c>
      <c r="P2313">
        <v>-0.20157516078785501</v>
      </c>
      <c r="Q2313">
        <v>0.86785609229534999</v>
      </c>
      <c r="R2313">
        <v>0.31608102692072898</v>
      </c>
      <c r="S2313" t="s">
        <v>8624</v>
      </c>
      <c r="T2313" t="s">
        <v>12620</v>
      </c>
      <c r="U2313" t="s">
        <v>12620</v>
      </c>
      <c r="V2313" t="s">
        <v>12620</v>
      </c>
      <c r="W2313" t="s">
        <v>14892</v>
      </c>
      <c r="X2313">
        <v>7</v>
      </c>
      <c r="Y2313" t="s">
        <v>21082</v>
      </c>
      <c r="Z2313" t="s">
        <v>27260</v>
      </c>
      <c r="AA2313">
        <v>0.87216138746173233</v>
      </c>
      <c r="AB2313" t="str">
        <f>HYPERLINK("Melting_Curves/meltCurve_P50402_EMD.pdf", "Melting_Curves/meltCurve_P50402_EMD.pdf")</f>
        <v>Melting_Curves/meltCurve_P50402_EMD.pdf</v>
      </c>
    </row>
    <row r="2314" spans="1:28" x14ac:dyDescent="0.25">
      <c r="A2314" t="s">
        <v>2318</v>
      </c>
      <c r="B2314">
        <v>0.99987803227770999</v>
      </c>
      <c r="C2314">
        <v>1.0533456457883199</v>
      </c>
      <c r="D2314">
        <v>1.08387926708492</v>
      </c>
      <c r="E2314">
        <v>0.97906526937581095</v>
      </c>
      <c r="F2314">
        <v>0.55999236643219896</v>
      </c>
      <c r="G2314">
        <v>0.32066908055274501</v>
      </c>
      <c r="H2314">
        <v>0.25208285533786801</v>
      </c>
      <c r="I2314">
        <v>0.20543959442374099</v>
      </c>
      <c r="J2314">
        <v>0.117920658644337</v>
      </c>
      <c r="K2314">
        <v>6.7448186336660304E-2</v>
      </c>
      <c r="L2314">
        <v>1549.9618572101599</v>
      </c>
      <c r="M2314">
        <v>29.006693138152599</v>
      </c>
      <c r="N2314">
        <v>54.1376539696588</v>
      </c>
      <c r="O2314">
        <v>53.182573406409702</v>
      </c>
      <c r="P2314">
        <v>-0.11495684510807</v>
      </c>
      <c r="Q2314">
        <v>0.156931484448881</v>
      </c>
      <c r="R2314">
        <v>0.974180029901212</v>
      </c>
      <c r="S2314" t="s">
        <v>8625</v>
      </c>
      <c r="T2314" t="s">
        <v>12620</v>
      </c>
      <c r="U2314" t="s">
        <v>12620</v>
      </c>
      <c r="V2314" t="s">
        <v>12620</v>
      </c>
      <c r="W2314" t="s">
        <v>14893</v>
      </c>
      <c r="X2314">
        <v>7</v>
      </c>
      <c r="Y2314" t="s">
        <v>21083</v>
      </c>
      <c r="Z2314" t="s">
        <v>27261</v>
      </c>
      <c r="AA2314">
        <v>0.54034605740386243</v>
      </c>
      <c r="AB2314" t="str">
        <f>HYPERLINK("Melting_Curves/meltCurve_P50440_2_GATM.pdf", "Melting_Curves/meltCurve_P50440_2_GATM.pdf")</f>
        <v>Melting_Curves/meltCurve_P50440_2_GATM.pdf</v>
      </c>
    </row>
    <row r="2315" spans="1:28" x14ac:dyDescent="0.25">
      <c r="A2315" t="s">
        <v>2319</v>
      </c>
      <c r="B2315">
        <v>0.99987803227770999</v>
      </c>
      <c r="C2315">
        <v>0.860264752021622</v>
      </c>
      <c r="D2315">
        <v>0.92538349232084205</v>
      </c>
      <c r="E2315">
        <v>0.97115167649556</v>
      </c>
      <c r="F2315">
        <v>0.97546445522955305</v>
      </c>
      <c r="G2315">
        <v>1.3828199840209401</v>
      </c>
      <c r="H2315">
        <v>0.97814646361143498</v>
      </c>
      <c r="I2315">
        <v>0.78336214036192497</v>
      </c>
      <c r="J2315">
        <v>0.54280193102730301</v>
      </c>
      <c r="K2315">
        <v>0.33449639651207302</v>
      </c>
      <c r="L2315">
        <v>2505.7629620912198</v>
      </c>
      <c r="M2315">
        <v>38.088687959706697</v>
      </c>
      <c r="N2315">
        <v>67.223029062545706</v>
      </c>
      <c r="O2315">
        <v>65.607007017218393</v>
      </c>
      <c r="P2315">
        <v>-0.10474617052325599</v>
      </c>
      <c r="Q2315">
        <v>0.27830879719893598</v>
      </c>
      <c r="R2315">
        <v>0.75397216028902703</v>
      </c>
      <c r="S2315" t="s">
        <v>8626</v>
      </c>
      <c r="T2315" t="s">
        <v>12620</v>
      </c>
      <c r="U2315" t="s">
        <v>12620</v>
      </c>
      <c r="V2315" t="s">
        <v>12620</v>
      </c>
      <c r="W2315" t="s">
        <v>14894</v>
      </c>
      <c r="X2315">
        <v>6</v>
      </c>
      <c r="Y2315" t="s">
        <v>21084</v>
      </c>
      <c r="Z2315" t="s">
        <v>27262</v>
      </c>
      <c r="AA2315">
        <v>0.89747570652513009</v>
      </c>
      <c r="AB2315" t="str">
        <f>HYPERLINK("Melting_Curves/meltCurve_P50452_SERPINB8.pdf", "Melting_Curves/meltCurve_P50452_SERPINB8.pdf")</f>
        <v>Melting_Curves/meltCurve_P50452_SERPINB8.pdf</v>
      </c>
    </row>
    <row r="2316" spans="1:28" x14ac:dyDescent="0.25">
      <c r="A2316" t="s">
        <v>2320</v>
      </c>
      <c r="B2316">
        <v>0.99987803227770999</v>
      </c>
      <c r="C2316">
        <v>0.92873519529728399</v>
      </c>
      <c r="D2316">
        <v>1.03544287416269</v>
      </c>
      <c r="E2316">
        <v>0.94377710154440597</v>
      </c>
      <c r="F2316">
        <v>1.0823746193311801</v>
      </c>
      <c r="G2316">
        <v>0.67257694510661603</v>
      </c>
      <c r="H2316">
        <v>0.15924170009872199</v>
      </c>
      <c r="I2316">
        <v>0.123861552437585</v>
      </c>
      <c r="J2316">
        <v>8.7610617553413997E-2</v>
      </c>
      <c r="K2316">
        <v>6.5541428710598607E-2</v>
      </c>
      <c r="L2316">
        <v>3012.6452455079502</v>
      </c>
      <c r="M2316">
        <v>52.247059754876801</v>
      </c>
      <c r="N2316">
        <v>57.894006654257502</v>
      </c>
      <c r="O2316">
        <v>57.577239490454701</v>
      </c>
      <c r="P2316">
        <v>-0.205389792851322</v>
      </c>
      <c r="Q2316">
        <v>9.4627035581177896E-2</v>
      </c>
      <c r="R2316">
        <v>0.98899046047060402</v>
      </c>
      <c r="S2316" t="s">
        <v>8627</v>
      </c>
      <c r="T2316" t="s">
        <v>12620</v>
      </c>
      <c r="U2316" t="s">
        <v>12620</v>
      </c>
      <c r="V2316" t="s">
        <v>12620</v>
      </c>
      <c r="W2316" t="s">
        <v>14895</v>
      </c>
      <c r="X2316">
        <v>21</v>
      </c>
      <c r="Y2316" t="s">
        <v>21085</v>
      </c>
      <c r="Z2316" t="s">
        <v>27263</v>
      </c>
      <c r="AA2316">
        <v>0.62973881911974872</v>
      </c>
      <c r="AB2316" t="str">
        <f>HYPERLINK("Melting_Curves/meltCurve_P50453_SERPINB9.pdf", "Melting_Curves/meltCurve_P50453_SERPINB9.pdf")</f>
        <v>Melting_Curves/meltCurve_P50453_SERPINB9.pdf</v>
      </c>
    </row>
    <row r="2317" spans="1:28" x14ac:dyDescent="0.25">
      <c r="A2317" t="s">
        <v>2321</v>
      </c>
      <c r="B2317">
        <v>0.99987803227770999</v>
      </c>
      <c r="C2317">
        <v>0.74850918816754797</v>
      </c>
      <c r="D2317">
        <v>1.03856717091995</v>
      </c>
      <c r="E2317">
        <v>0.77694483645905499</v>
      </c>
      <c r="F2317">
        <v>0.40657725720967303</v>
      </c>
      <c r="G2317">
        <v>0.17266016572766399</v>
      </c>
      <c r="H2317">
        <v>0.146735709680266</v>
      </c>
      <c r="I2317">
        <v>0.18312803081272899</v>
      </c>
      <c r="J2317">
        <v>7.3316088394296E-2</v>
      </c>
      <c r="K2317">
        <v>4.6957350176422497E-2</v>
      </c>
      <c r="L2317">
        <v>1531.4044767471901</v>
      </c>
      <c r="M2317">
        <v>29.540678724951398</v>
      </c>
      <c r="N2317">
        <v>52.275389450752101</v>
      </c>
      <c r="O2317">
        <v>51.604708017207599</v>
      </c>
      <c r="P2317">
        <v>-0.127521376100213</v>
      </c>
      <c r="Q2317">
        <v>0.10893614705381401</v>
      </c>
      <c r="R2317">
        <v>0.94466374192649005</v>
      </c>
      <c r="S2317" t="s">
        <v>8628</v>
      </c>
      <c r="T2317" t="s">
        <v>12620</v>
      </c>
      <c r="U2317" t="s">
        <v>12620</v>
      </c>
      <c r="V2317" t="s">
        <v>12620</v>
      </c>
      <c r="W2317" t="s">
        <v>14896</v>
      </c>
      <c r="X2317">
        <v>13</v>
      </c>
      <c r="Y2317" t="s">
        <v>21086</v>
      </c>
      <c r="Z2317" t="s">
        <v>27264</v>
      </c>
      <c r="AA2317">
        <v>0.46648076804607352</v>
      </c>
      <c r="AB2317" t="str">
        <f>HYPERLINK("Melting_Curves/meltCurve_P50454_SERPINH1.pdf", "Melting_Curves/meltCurve_P50454_SERPINH1.pdf")</f>
        <v>Melting_Curves/meltCurve_P50454_SERPINH1.pdf</v>
      </c>
    </row>
    <row r="2318" spans="1:28" x14ac:dyDescent="0.25">
      <c r="A2318" t="s">
        <v>2322</v>
      </c>
      <c r="B2318">
        <v>0.99987803227770999</v>
      </c>
      <c r="C2318">
        <v>1.0262681312189701</v>
      </c>
      <c r="D2318">
        <v>1.0360949591523301</v>
      </c>
      <c r="E2318">
        <v>1.05344831105908</v>
      </c>
      <c r="F2318">
        <v>1.09097363088389</v>
      </c>
      <c r="G2318">
        <v>0.65388261027046302</v>
      </c>
      <c r="H2318">
        <v>0.363021014942987</v>
      </c>
      <c r="I2318">
        <v>0.27784160883721398</v>
      </c>
      <c r="J2318">
        <v>0.26088412329405603</v>
      </c>
      <c r="K2318">
        <v>0.218976323170263</v>
      </c>
      <c r="L2318">
        <v>2605.3197444971702</v>
      </c>
      <c r="M2318">
        <v>45.461678611335998</v>
      </c>
      <c r="N2318">
        <v>58.273463545520499</v>
      </c>
      <c r="O2318">
        <v>57.197461746670697</v>
      </c>
      <c r="P2318">
        <v>-0.14613494905142699</v>
      </c>
      <c r="Q2318">
        <v>0.26456380222525999</v>
      </c>
      <c r="R2318">
        <v>0.98279618936354496</v>
      </c>
      <c r="S2318" t="s">
        <v>8629</v>
      </c>
      <c r="T2318" t="s">
        <v>12620</v>
      </c>
      <c r="U2318" t="s">
        <v>12620</v>
      </c>
      <c r="V2318" t="s">
        <v>12620</v>
      </c>
      <c r="W2318" t="s">
        <v>14897</v>
      </c>
      <c r="X2318">
        <v>15</v>
      </c>
      <c r="Y2318" t="s">
        <v>21087</v>
      </c>
      <c r="Z2318" t="s">
        <v>27265</v>
      </c>
      <c r="AA2318">
        <v>0.69110109071404702</v>
      </c>
      <c r="AB2318" t="str">
        <f>HYPERLINK("Melting_Curves/meltCurve_P50502_ST13.pdf", "Melting_Curves/meltCurve_P50502_ST13.pdf")</f>
        <v>Melting_Curves/meltCurve_P50502_ST13.pdf</v>
      </c>
    </row>
    <row r="2319" spans="1:28" x14ac:dyDescent="0.25">
      <c r="A2319" t="s">
        <v>2323</v>
      </c>
      <c r="B2319">
        <v>0.99987803227770999</v>
      </c>
      <c r="C2319">
        <v>1.0695862762208499</v>
      </c>
      <c r="D2319">
        <v>1.0032392971272399</v>
      </c>
      <c r="E2319">
        <v>0.660823186107942</v>
      </c>
      <c r="F2319">
        <v>0.40153930323088399</v>
      </c>
      <c r="G2319">
        <v>0.27958734441504102</v>
      </c>
      <c r="H2319">
        <v>0.267870541982763</v>
      </c>
      <c r="I2319">
        <v>0.225292828132786</v>
      </c>
      <c r="J2319">
        <v>0.20344788834973801</v>
      </c>
      <c r="K2319">
        <v>0.17120075239132701</v>
      </c>
      <c r="L2319">
        <v>1447.7163051227501</v>
      </c>
      <c r="M2319">
        <v>28.577203865426899</v>
      </c>
      <c r="N2319">
        <v>51.7169648806005</v>
      </c>
      <c r="O2319">
        <v>50.413704394601901</v>
      </c>
      <c r="P2319">
        <v>-0.110366721272774</v>
      </c>
      <c r="Q2319">
        <v>0.221204241703257</v>
      </c>
      <c r="R2319">
        <v>0.98921834872439396</v>
      </c>
      <c r="S2319" t="s">
        <v>8630</v>
      </c>
      <c r="T2319" t="s">
        <v>12620</v>
      </c>
      <c r="U2319" t="s">
        <v>12620</v>
      </c>
      <c r="V2319" t="s">
        <v>12620</v>
      </c>
      <c r="W2319" t="s">
        <v>14898</v>
      </c>
      <c r="X2319">
        <v>10</v>
      </c>
      <c r="Y2319" t="s">
        <v>21088</v>
      </c>
      <c r="Z2319" t="s">
        <v>27266</v>
      </c>
      <c r="AA2319">
        <v>0.50330013666039797</v>
      </c>
      <c r="AB2319" t="str">
        <f>HYPERLINK("Melting_Curves/meltCurve_P50542_PEX5.pdf", "Melting_Curves/meltCurve_P50542_PEX5.pdf")</f>
        <v>Melting_Curves/meltCurve_P50542_PEX5.pdf</v>
      </c>
    </row>
    <row r="2320" spans="1:28" x14ac:dyDescent="0.25">
      <c r="A2320" t="s">
        <v>2324</v>
      </c>
      <c r="B2320">
        <v>0.99987803227770999</v>
      </c>
      <c r="C2320">
        <v>0.99303237947152301</v>
      </c>
      <c r="D2320">
        <v>0.95611412111607996</v>
      </c>
      <c r="E2320">
        <v>0.93059733552886104</v>
      </c>
      <c r="F2320">
        <v>0.71149559345462499</v>
      </c>
      <c r="G2320">
        <v>0.42276658121677202</v>
      </c>
      <c r="H2320">
        <v>0.24494970812486799</v>
      </c>
      <c r="I2320">
        <v>0.185413802557193</v>
      </c>
      <c r="J2320">
        <v>0.15533485258900701</v>
      </c>
      <c r="K2320">
        <v>0.12133442817229199</v>
      </c>
      <c r="L2320">
        <v>1088.88957489213</v>
      </c>
      <c r="M2320">
        <v>19.750040919343299</v>
      </c>
      <c r="N2320">
        <v>55.941488398793602</v>
      </c>
      <c r="O2320">
        <v>54.5776210717178</v>
      </c>
      <c r="P2320">
        <v>-7.9244877581610196E-2</v>
      </c>
      <c r="Q2320">
        <v>0.124082855537942</v>
      </c>
      <c r="R2320">
        <v>0.99813602123808298</v>
      </c>
      <c r="S2320" t="s">
        <v>8631</v>
      </c>
      <c r="T2320" t="s">
        <v>12620</v>
      </c>
      <c r="U2320" t="s">
        <v>12620</v>
      </c>
      <c r="V2320" t="s">
        <v>12620</v>
      </c>
      <c r="W2320" t="s">
        <v>14899</v>
      </c>
      <c r="X2320">
        <v>20</v>
      </c>
      <c r="Y2320" t="s">
        <v>21089</v>
      </c>
      <c r="Z2320" t="s">
        <v>27267</v>
      </c>
      <c r="AA2320">
        <v>0.57777800816453584</v>
      </c>
      <c r="AB2320" t="str">
        <f>HYPERLINK("Melting_Curves/meltCurve_P50552_VASP.pdf", "Melting_Curves/meltCurve_P50552_VASP.pdf")</f>
        <v>Melting_Curves/meltCurve_P50552_VASP.pdf</v>
      </c>
    </row>
    <row r="2321" spans="1:28" x14ac:dyDescent="0.25">
      <c r="A2321" t="s">
        <v>2325</v>
      </c>
      <c r="B2321">
        <v>0.99987803227770999</v>
      </c>
      <c r="C2321">
        <v>1.1651014426458399</v>
      </c>
      <c r="D2321">
        <v>0.93235358737514695</v>
      </c>
      <c r="E2321">
        <v>0.83714617019858395</v>
      </c>
      <c r="F2321">
        <v>0.208352452870678</v>
      </c>
      <c r="G2321">
        <v>0.162394417804164</v>
      </c>
      <c r="H2321">
        <v>9.44612398552791E-2</v>
      </c>
      <c r="I2321">
        <v>9.1627594393600006E-2</v>
      </c>
      <c r="J2321">
        <v>6.99662424821762E-2</v>
      </c>
      <c r="K2321">
        <v>3.64632482579633E-2</v>
      </c>
      <c r="L2321">
        <v>2958.2047892053902</v>
      </c>
      <c r="M2321">
        <v>57.663333121989801</v>
      </c>
      <c r="N2321">
        <v>51.4775245010064</v>
      </c>
      <c r="O2321">
        <v>51.239723280275797</v>
      </c>
      <c r="P2321">
        <v>-0.25614352141452501</v>
      </c>
      <c r="Q2321">
        <v>8.9562387765741894E-2</v>
      </c>
      <c r="R2321">
        <v>0.97910296504265903</v>
      </c>
      <c r="S2321" t="s">
        <v>8632</v>
      </c>
      <c r="T2321" t="s">
        <v>12620</v>
      </c>
      <c r="U2321" t="s">
        <v>12620</v>
      </c>
      <c r="V2321" t="s">
        <v>12620</v>
      </c>
      <c r="W2321" t="s">
        <v>14900</v>
      </c>
      <c r="X2321">
        <v>31</v>
      </c>
      <c r="Y2321" t="s">
        <v>21090</v>
      </c>
      <c r="Z2321" t="s">
        <v>27268</v>
      </c>
      <c r="AA2321">
        <v>0.43408064488322268</v>
      </c>
      <c r="AB2321" t="str">
        <f>HYPERLINK("Melting_Curves/meltCurve_P50570_2_DNM2.pdf", "Melting_Curves/meltCurve_P50570_2_DNM2.pdf")</f>
        <v>Melting_Curves/meltCurve_P50570_2_DNM2.pdf</v>
      </c>
    </row>
    <row r="2322" spans="1:28" x14ac:dyDescent="0.25">
      <c r="A2322" t="s">
        <v>2326</v>
      </c>
      <c r="B2322">
        <v>0.99987803227770999</v>
      </c>
      <c r="C2322">
        <v>1.05471002761563</v>
      </c>
      <c r="D2322">
        <v>0.88885698927120704</v>
      </c>
      <c r="E2322">
        <v>0.66700852957995505</v>
      </c>
      <c r="F2322">
        <v>0.32652497680464199</v>
      </c>
      <c r="G2322">
        <v>0.17810033822468099</v>
      </c>
      <c r="H2322">
        <v>0.116232174399473</v>
      </c>
      <c r="I2322">
        <v>0.10223239986982501</v>
      </c>
      <c r="J2322">
        <v>7.7128409241593296E-2</v>
      </c>
      <c r="K2322">
        <v>6.05932299601857E-2</v>
      </c>
      <c r="L2322">
        <v>1153.97298770108</v>
      </c>
      <c r="M2322">
        <v>22.630500137773801</v>
      </c>
      <c r="N2322">
        <v>51.393837332118999</v>
      </c>
      <c r="O2322">
        <v>50.598766883598202</v>
      </c>
      <c r="P2322">
        <v>-0.10274764816549101</v>
      </c>
      <c r="Q2322">
        <v>8.1098251060383097E-2</v>
      </c>
      <c r="R2322">
        <v>0.99425709982086297</v>
      </c>
      <c r="S2322" t="s">
        <v>8633</v>
      </c>
      <c r="T2322" t="s">
        <v>12620</v>
      </c>
      <c r="U2322" t="s">
        <v>12620</v>
      </c>
      <c r="V2322" t="s">
        <v>12620</v>
      </c>
      <c r="W2322" t="s">
        <v>14901</v>
      </c>
      <c r="X2322">
        <v>31</v>
      </c>
      <c r="Y2322" t="s">
        <v>21090</v>
      </c>
      <c r="Z2322" t="s">
        <v>27269</v>
      </c>
      <c r="AA2322">
        <v>0.42786295146987291</v>
      </c>
      <c r="AB2322" t="str">
        <f>HYPERLINK("Melting_Curves/meltCurve_P50570_3_DNM2.pdf", "Melting_Curves/meltCurve_P50570_3_DNM2.pdf")</f>
        <v>Melting_Curves/meltCurve_P50570_3_DNM2.pdf</v>
      </c>
    </row>
    <row r="2323" spans="1:28" x14ac:dyDescent="0.25">
      <c r="A2323" t="s">
        <v>2327</v>
      </c>
      <c r="B2323">
        <v>0.99987803227770999</v>
      </c>
      <c r="C2323">
        <v>0.89647279418092596</v>
      </c>
      <c r="D2323">
        <v>0.966580511886731</v>
      </c>
      <c r="E2323">
        <v>0.88351608429355699</v>
      </c>
      <c r="F2323">
        <v>0.95404009807197199</v>
      </c>
      <c r="G2323">
        <v>0.84539849445431403</v>
      </c>
      <c r="H2323">
        <v>0.78278518435218902</v>
      </c>
      <c r="I2323">
        <v>0.61292160421533604</v>
      </c>
      <c r="J2323">
        <v>0.33467661948482103</v>
      </c>
      <c r="K2323">
        <v>0.12611090135193101</v>
      </c>
      <c r="L2323">
        <v>1293.07792428516</v>
      </c>
      <c r="M2323">
        <v>19.9718912835826</v>
      </c>
      <c r="N2323">
        <v>64.744877839363994</v>
      </c>
      <c r="O2323">
        <v>64.106240924864196</v>
      </c>
      <c r="P2323">
        <v>-7.7888428355807199E-2</v>
      </c>
      <c r="Q2323">
        <v>0</v>
      </c>
      <c r="R2323">
        <v>0.94773322398624305</v>
      </c>
      <c r="S2323" t="s">
        <v>8634</v>
      </c>
      <c r="T2323" t="s">
        <v>12620</v>
      </c>
      <c r="U2323" t="s">
        <v>12620</v>
      </c>
      <c r="V2323" t="s">
        <v>12620</v>
      </c>
      <c r="W2323" t="s">
        <v>14902</v>
      </c>
      <c r="X2323">
        <v>21</v>
      </c>
      <c r="Y2323" t="s">
        <v>19370</v>
      </c>
      <c r="Z2323" t="s">
        <v>27270</v>
      </c>
      <c r="AA2323">
        <v>0.81431583083231662</v>
      </c>
      <c r="AB2323" t="str">
        <f>HYPERLINK("Melting_Curves/meltCurve_P50579_METAP2.pdf", "Melting_Curves/meltCurve_P50579_METAP2.pdf")</f>
        <v>Melting_Curves/meltCurve_P50579_METAP2.pdf</v>
      </c>
    </row>
    <row r="2324" spans="1:28" x14ac:dyDescent="0.25">
      <c r="A2324" t="s">
        <v>2328</v>
      </c>
      <c r="B2324">
        <v>0.99987803227770999</v>
      </c>
      <c r="C2324">
        <v>0.831199320315537</v>
      </c>
      <c r="D2324">
        <v>0.89621250884155401</v>
      </c>
      <c r="E2324">
        <v>0.573567122137983</v>
      </c>
      <c r="F2324">
        <v>0.22996942157233199</v>
      </c>
      <c r="G2324">
        <v>0.16810274755732399</v>
      </c>
      <c r="H2324">
        <v>0.11007854489380201</v>
      </c>
      <c r="I2324">
        <v>0.119746893212879</v>
      </c>
      <c r="J2324">
        <v>6.8940479960096501E-2</v>
      </c>
      <c r="K2324">
        <v>5.1308668687406002E-2</v>
      </c>
      <c r="L2324">
        <v>1012.91767822526</v>
      </c>
      <c r="M2324">
        <v>20.274215232526998</v>
      </c>
      <c r="N2324">
        <v>50.364313120659901</v>
      </c>
      <c r="O2324">
        <v>49.482415403069901</v>
      </c>
      <c r="P2324">
        <v>-9.4757061309444196E-2</v>
      </c>
      <c r="Q2324">
        <v>7.4949989413172602E-2</v>
      </c>
      <c r="R2324">
        <v>0.97807107050328002</v>
      </c>
      <c r="S2324" t="s">
        <v>8635</v>
      </c>
      <c r="T2324" t="s">
        <v>12620</v>
      </c>
      <c r="U2324" t="s">
        <v>12620</v>
      </c>
      <c r="V2324" t="s">
        <v>12620</v>
      </c>
      <c r="W2324" t="s">
        <v>14903</v>
      </c>
      <c r="X2324">
        <v>4</v>
      </c>
      <c r="Y2324" t="s">
        <v>21091</v>
      </c>
      <c r="Z2324" t="s">
        <v>27271</v>
      </c>
      <c r="AA2324">
        <v>0.39463503731412092</v>
      </c>
      <c r="AB2324" t="str">
        <f>HYPERLINK("Melting_Curves/meltCurve_P50583_NUDT2.pdf", "Melting_Curves/meltCurve_P50583_NUDT2.pdf")</f>
        <v>Melting_Curves/meltCurve_P50583_NUDT2.pdf</v>
      </c>
    </row>
    <row r="2325" spans="1:28" x14ac:dyDescent="0.25">
      <c r="A2325" t="s">
        <v>2329</v>
      </c>
      <c r="B2325">
        <v>0.99987803227770999</v>
      </c>
      <c r="C2325">
        <v>1.1631855989039901</v>
      </c>
      <c r="D2325">
        <v>1.1489913267334499</v>
      </c>
      <c r="E2325">
        <v>1.20560120838645</v>
      </c>
      <c r="F2325">
        <v>1.12983548697172</v>
      </c>
      <c r="G2325">
        <v>0.54602099430673001</v>
      </c>
      <c r="H2325">
        <v>0.20071305115069099</v>
      </c>
      <c r="I2325">
        <v>0.16610941969594201</v>
      </c>
      <c r="J2325">
        <v>0.105708657539413</v>
      </c>
      <c r="K2325">
        <v>6.9501225969073099E-2</v>
      </c>
      <c r="L2325">
        <v>5948.6151538859003</v>
      </c>
      <c r="M2325">
        <v>104.45946016556</v>
      </c>
      <c r="N2325">
        <v>57.1190743028762</v>
      </c>
      <c r="O2325">
        <v>56.925777679445702</v>
      </c>
      <c r="P2325">
        <v>-0.39671428641387901</v>
      </c>
      <c r="Q2325">
        <v>0.13523322123722401</v>
      </c>
      <c r="R2325">
        <v>0.94734659797472298</v>
      </c>
      <c r="S2325" t="s">
        <v>8636</v>
      </c>
      <c r="T2325" t="s">
        <v>12620</v>
      </c>
      <c r="U2325" t="s">
        <v>12620</v>
      </c>
      <c r="V2325" t="s">
        <v>12620</v>
      </c>
      <c r="W2325" t="s">
        <v>14904</v>
      </c>
      <c r="X2325">
        <v>9</v>
      </c>
      <c r="Y2325" t="s">
        <v>21092</v>
      </c>
      <c r="Z2325" t="s">
        <v>27272</v>
      </c>
      <c r="AA2325">
        <v>0.62422510590922331</v>
      </c>
      <c r="AB2325" t="str">
        <f>HYPERLINK("Melting_Curves/meltCurve_P50613_CDK7.pdf", "Melting_Curves/meltCurve_P50613_CDK7.pdf")</f>
        <v>Melting_Curves/meltCurve_P50613_CDK7.pdf</v>
      </c>
    </row>
    <row r="2326" spans="1:28" x14ac:dyDescent="0.25">
      <c r="A2326" t="s">
        <v>2330</v>
      </c>
      <c r="B2326">
        <v>0.99987803227770999</v>
      </c>
      <c r="C2326">
        <v>1.0332402060224599</v>
      </c>
      <c r="D2326">
        <v>0.963195658145927</v>
      </c>
      <c r="E2326">
        <v>0.76909657015286104</v>
      </c>
      <c r="F2326">
        <v>0.43213653807142199</v>
      </c>
      <c r="G2326">
        <v>0.24549270139150201</v>
      </c>
      <c r="H2326">
        <v>0.16113735785344999</v>
      </c>
      <c r="I2326">
        <v>0.12376925308003001</v>
      </c>
      <c r="J2326">
        <v>0.104622377651598</v>
      </c>
      <c r="K2326">
        <v>7.7750087092142997E-2</v>
      </c>
      <c r="L2326">
        <v>1196.5842301448199</v>
      </c>
      <c r="M2326">
        <v>22.9788363915441</v>
      </c>
      <c r="N2326">
        <v>52.626407174836402</v>
      </c>
      <c r="O2326">
        <v>51.683769094338899</v>
      </c>
      <c r="P2326">
        <v>-9.9228854768925095E-2</v>
      </c>
      <c r="Q2326">
        <v>0.107278884775003</v>
      </c>
      <c r="R2326">
        <v>0.99621314181528098</v>
      </c>
      <c r="S2326" t="s">
        <v>8637</v>
      </c>
      <c r="T2326" t="s">
        <v>12620</v>
      </c>
      <c r="U2326" t="s">
        <v>12620</v>
      </c>
      <c r="V2326" t="s">
        <v>12620</v>
      </c>
      <c r="W2326" t="s">
        <v>14905</v>
      </c>
      <c r="X2326">
        <v>5</v>
      </c>
      <c r="Y2326" t="s">
        <v>21093</v>
      </c>
      <c r="Z2326" t="s">
        <v>27273</v>
      </c>
      <c r="AA2326">
        <v>0.47612201475500898</v>
      </c>
      <c r="AB2326" t="str">
        <f>HYPERLINK("Melting_Curves/meltCurve_P50747_HLCS.pdf", "Melting_Curves/meltCurve_P50747_HLCS.pdf")</f>
        <v>Melting_Curves/meltCurve_P50747_HLCS.pdf</v>
      </c>
    </row>
    <row r="2327" spans="1:28" x14ac:dyDescent="0.25">
      <c r="A2327" t="s">
        <v>2331</v>
      </c>
      <c r="B2327">
        <v>0.99987803227770999</v>
      </c>
      <c r="C2327">
        <v>0.87967425656661602</v>
      </c>
      <c r="D2327">
        <v>0.75063695373170003</v>
      </c>
      <c r="E2327">
        <v>1.29993497113982</v>
      </c>
      <c r="F2327">
        <v>0.39322325835388799</v>
      </c>
      <c r="G2327">
        <v>0.21976848025429399</v>
      </c>
      <c r="H2327">
        <v>0.15084532026880501</v>
      </c>
      <c r="I2327">
        <v>0.13775102790073601</v>
      </c>
      <c r="J2327">
        <v>8.5494395818848004E-2</v>
      </c>
      <c r="K2327">
        <v>6.8174379580629899E-2</v>
      </c>
      <c r="L2327">
        <v>13205.2501390385</v>
      </c>
      <c r="M2327">
        <v>250</v>
      </c>
      <c r="N2327">
        <v>52.8860799496548</v>
      </c>
      <c r="O2327">
        <v>52.817599217648599</v>
      </c>
      <c r="P2327">
        <v>-1.02663820961827</v>
      </c>
      <c r="Q2327">
        <v>0.13240660355831199</v>
      </c>
      <c r="R2327">
        <v>0.89936536459315697</v>
      </c>
      <c r="S2327" t="s">
        <v>8638</v>
      </c>
      <c r="T2327" t="s">
        <v>12620</v>
      </c>
      <c r="U2327" t="s">
        <v>12620</v>
      </c>
      <c r="V2327" t="s">
        <v>12620</v>
      </c>
      <c r="W2327" t="s">
        <v>14906</v>
      </c>
      <c r="X2327">
        <v>25</v>
      </c>
      <c r="Y2327" t="s">
        <v>21094</v>
      </c>
      <c r="Z2327" t="s">
        <v>27274</v>
      </c>
      <c r="AA2327">
        <v>0.5032675434387206</v>
      </c>
      <c r="AB2327" t="str">
        <f>HYPERLINK("Melting_Curves/meltCurve_P50748_KNTC1.pdf", "Melting_Curves/meltCurve_P50748_KNTC1.pdf")</f>
        <v>Melting_Curves/meltCurve_P50748_KNTC1.pdf</v>
      </c>
    </row>
    <row r="2328" spans="1:28" x14ac:dyDescent="0.25">
      <c r="A2328" t="s">
        <v>2332</v>
      </c>
      <c r="B2328">
        <v>0.99987803227770999</v>
      </c>
      <c r="C2328">
        <v>1.0134788088126301</v>
      </c>
      <c r="D2328">
        <v>0.84736955455502105</v>
      </c>
      <c r="E2328">
        <v>0.413181427207992</v>
      </c>
      <c r="F2328">
        <v>0.17844232853776501</v>
      </c>
      <c r="G2328">
        <v>0.12717966690901</v>
      </c>
      <c r="H2328">
        <v>8.6391008394678503E-2</v>
      </c>
      <c r="I2328">
        <v>7.7401142033043296E-2</v>
      </c>
      <c r="J2328">
        <v>6.4580775532614001E-2</v>
      </c>
      <c r="K2328">
        <v>5.4266796735607997E-2</v>
      </c>
      <c r="L2328">
        <v>1284.3380633940501</v>
      </c>
      <c r="M2328">
        <v>26.2377812985319</v>
      </c>
      <c r="N2328">
        <v>49.2534005302577</v>
      </c>
      <c r="O2328">
        <v>48.668263783973501</v>
      </c>
      <c r="P2328">
        <v>-0.124721477912412</v>
      </c>
      <c r="Q2328">
        <v>7.46307086005423E-2</v>
      </c>
      <c r="R2328">
        <v>0.99806190588568999</v>
      </c>
      <c r="S2328" t="s">
        <v>8639</v>
      </c>
      <c r="T2328" t="s">
        <v>12620</v>
      </c>
      <c r="U2328" t="s">
        <v>12620</v>
      </c>
      <c r="V2328" t="s">
        <v>12620</v>
      </c>
      <c r="W2328" t="s">
        <v>14907</v>
      </c>
      <c r="X2328">
        <v>9</v>
      </c>
      <c r="Y2328" t="s">
        <v>21095</v>
      </c>
      <c r="Z2328" t="s">
        <v>27275</v>
      </c>
      <c r="AA2328">
        <v>0.35811741249840051</v>
      </c>
      <c r="AB2328" t="str">
        <f>HYPERLINK("Melting_Curves/meltCurve_P50749_RASSF2.pdf", "Melting_Curves/meltCurve_P50749_RASSF2.pdf")</f>
        <v>Melting_Curves/meltCurve_P50749_RASSF2.pdf</v>
      </c>
    </row>
    <row r="2329" spans="1:28" x14ac:dyDescent="0.25">
      <c r="A2329" t="s">
        <v>2333</v>
      </c>
      <c r="B2329">
        <v>0.99987803227770999</v>
      </c>
      <c r="C2329">
        <v>0.97474810597411998</v>
      </c>
      <c r="D2329">
        <v>0.96115820087070902</v>
      </c>
      <c r="E2329">
        <v>0.92450892178320898</v>
      </c>
      <c r="F2329">
        <v>0.55505471842996801</v>
      </c>
      <c r="G2329">
        <v>0.292283669738367</v>
      </c>
      <c r="H2329">
        <v>0.242472914878062</v>
      </c>
      <c r="I2329">
        <v>0.217277448088811</v>
      </c>
      <c r="J2329">
        <v>0.171712185470943</v>
      </c>
      <c r="K2329">
        <v>8.7541554317150994E-2</v>
      </c>
      <c r="L2329">
        <v>1509.3461474723499</v>
      </c>
      <c r="M2329">
        <v>28.454642048473101</v>
      </c>
      <c r="N2329">
        <v>53.8496764264194</v>
      </c>
      <c r="O2329">
        <v>52.7840239212873</v>
      </c>
      <c r="P2329">
        <v>-0.111405980139674</v>
      </c>
      <c r="Q2329">
        <v>0.17336398463255201</v>
      </c>
      <c r="R2329">
        <v>0.98726537439011697</v>
      </c>
      <c r="S2329" t="s">
        <v>8640</v>
      </c>
      <c r="T2329" t="s">
        <v>12620</v>
      </c>
      <c r="U2329" t="s">
        <v>12620</v>
      </c>
      <c r="V2329" t="s">
        <v>12620</v>
      </c>
      <c r="W2329" t="s">
        <v>14908</v>
      </c>
      <c r="X2329">
        <v>5</v>
      </c>
      <c r="Y2329" t="s">
        <v>21096</v>
      </c>
      <c r="Z2329" t="s">
        <v>27276</v>
      </c>
      <c r="AA2329">
        <v>0.53872982906366262</v>
      </c>
      <c r="AB2329" t="str">
        <f>HYPERLINK("Melting_Curves/meltCurve_P50750_CDK9.pdf", "Melting_Curves/meltCurve_P50750_CDK9.pdf")</f>
        <v>Melting_Curves/meltCurve_P50750_CDK9.pdf</v>
      </c>
    </row>
    <row r="2330" spans="1:28" x14ac:dyDescent="0.25">
      <c r="A2330" t="s">
        <v>2334</v>
      </c>
      <c r="B2330">
        <v>0.99987803227770999</v>
      </c>
      <c r="C2330">
        <v>1.2404048320008201</v>
      </c>
      <c r="D2330">
        <v>0.90989770336425402</v>
      </c>
      <c r="E2330">
        <v>1.18223783232368</v>
      </c>
      <c r="F2330">
        <v>0.50091608772526097</v>
      </c>
      <c r="G2330">
        <v>0.306854652060013</v>
      </c>
      <c r="H2330">
        <v>0.175952344128494</v>
      </c>
      <c r="I2330">
        <v>0.140507301766327</v>
      </c>
      <c r="J2330">
        <v>0.109951178712237</v>
      </c>
      <c r="K2330">
        <v>8.5165318512864602E-2</v>
      </c>
      <c r="L2330">
        <v>13229.223614529001</v>
      </c>
      <c r="M2330">
        <v>250</v>
      </c>
      <c r="N2330">
        <v>53.000967785218698</v>
      </c>
      <c r="O2330">
        <v>52.913530002363999</v>
      </c>
      <c r="P2330">
        <v>-0.987831252439208</v>
      </c>
      <c r="Q2330">
        <v>0.163686126670501</v>
      </c>
      <c r="R2330">
        <v>0.93482504334804895</v>
      </c>
      <c r="S2330" t="s">
        <v>8641</v>
      </c>
      <c r="T2330" t="s">
        <v>12620</v>
      </c>
      <c r="U2330" t="s">
        <v>12620</v>
      </c>
      <c r="V2330" t="s">
        <v>12620</v>
      </c>
      <c r="W2330" t="s">
        <v>14909</v>
      </c>
      <c r="X2330">
        <v>52</v>
      </c>
      <c r="Y2330" t="s">
        <v>21097</v>
      </c>
      <c r="Z2330" t="s">
        <v>27277</v>
      </c>
      <c r="AA2330">
        <v>0.52384972826194542</v>
      </c>
      <c r="AB2330" t="str">
        <f>HYPERLINK("Melting_Curves/meltCurve_P50851_LRBA.pdf", "Melting_Curves/meltCurve_P50851_LRBA.pdf")</f>
        <v>Melting_Curves/meltCurve_P50851_LRBA.pdf</v>
      </c>
    </row>
    <row r="2331" spans="1:28" x14ac:dyDescent="0.25">
      <c r="A2331" t="s">
        <v>2335</v>
      </c>
      <c r="B2331">
        <v>0.99987803227770999</v>
      </c>
      <c r="C2331">
        <v>0.98855802643829405</v>
      </c>
      <c r="D2331">
        <v>1.0106376277274001</v>
      </c>
      <c r="E2331">
        <v>0.93677571138131099</v>
      </c>
      <c r="F2331">
        <v>0.89776962577988995</v>
      </c>
      <c r="G2331">
        <v>0.80878444844465402</v>
      </c>
      <c r="H2331">
        <v>0.80338037106210503</v>
      </c>
      <c r="I2331">
        <v>0.78749860364455704</v>
      </c>
      <c r="J2331">
        <v>0.66600625614043596</v>
      </c>
      <c r="K2331">
        <v>0.52784507833356598</v>
      </c>
      <c r="L2331">
        <v>466.21504530581302</v>
      </c>
      <c r="M2331">
        <v>6.3423747162588304</v>
      </c>
      <c r="O2331">
        <v>67.217524000948401</v>
      </c>
      <c r="P2331">
        <v>-2.36515959068897E-2</v>
      </c>
      <c r="Q2331">
        <v>0</v>
      </c>
      <c r="R2331">
        <v>0.94356264767212095</v>
      </c>
      <c r="S2331" t="s">
        <v>8642</v>
      </c>
      <c r="T2331" t="s">
        <v>12620</v>
      </c>
      <c r="U2331" t="s">
        <v>12620</v>
      </c>
      <c r="V2331" t="s">
        <v>12620</v>
      </c>
      <c r="W2331" t="s">
        <v>14910</v>
      </c>
      <c r="X2331">
        <v>16</v>
      </c>
      <c r="Y2331" t="s">
        <v>21098</v>
      </c>
      <c r="Z2331" t="s">
        <v>27278</v>
      </c>
      <c r="AA2331">
        <v>0.8545459630099107</v>
      </c>
      <c r="AB2331" t="str">
        <f>HYPERLINK("Melting_Curves/meltCurve_P50895_BCAM.pdf", "Melting_Curves/meltCurve_P50895_BCAM.pdf")</f>
        <v>Melting_Curves/meltCurve_P50895_BCAM.pdf</v>
      </c>
    </row>
    <row r="2332" spans="1:28" x14ac:dyDescent="0.25">
      <c r="A2332" t="s">
        <v>2336</v>
      </c>
      <c r="B2332">
        <v>0.99987803227770999</v>
      </c>
      <c r="C2332">
        <v>0.82452054252218399</v>
      </c>
      <c r="D2332">
        <v>0.691816702878292</v>
      </c>
      <c r="E2332">
        <v>0.33654043716104598</v>
      </c>
      <c r="F2332">
        <v>0.13686965717383601</v>
      </c>
      <c r="G2332">
        <v>8.7570448499082798E-2</v>
      </c>
      <c r="H2332">
        <v>4.7013479879860501E-2</v>
      </c>
      <c r="I2332">
        <v>3.6728161236723997E-2</v>
      </c>
      <c r="J2332">
        <v>3.1696707894897001E-2</v>
      </c>
      <c r="K2332">
        <v>2.2026410920195499E-2</v>
      </c>
      <c r="L2332">
        <v>825.655916552505</v>
      </c>
      <c r="M2332">
        <v>17.3003804090561</v>
      </c>
      <c r="N2332">
        <v>47.845371133398402</v>
      </c>
      <c r="O2332">
        <v>47.100766808133997</v>
      </c>
      <c r="P2332">
        <v>-8.9871828527503E-2</v>
      </c>
      <c r="Q2332">
        <v>2.13422429278835E-2</v>
      </c>
      <c r="R2332">
        <v>0.995245447318308</v>
      </c>
      <c r="S2332" t="s">
        <v>8643</v>
      </c>
      <c r="T2332" t="s">
        <v>12620</v>
      </c>
      <c r="U2332" t="s">
        <v>12620</v>
      </c>
      <c r="V2332" t="s">
        <v>12620</v>
      </c>
      <c r="W2332" t="s">
        <v>14911</v>
      </c>
      <c r="X2332">
        <v>3</v>
      </c>
      <c r="Y2332" t="s">
        <v>21099</v>
      </c>
      <c r="Z2332" t="s">
        <v>27279</v>
      </c>
      <c r="AA2332">
        <v>0.29238225483397912</v>
      </c>
      <c r="AB2332" t="str">
        <f>HYPERLINK("Melting_Curves/meltCurve_P50897_PPT1.pdf", "Melting_Curves/meltCurve_P50897_PPT1.pdf")</f>
        <v>Melting_Curves/meltCurve_P50897_PPT1.pdf</v>
      </c>
    </row>
    <row r="2333" spans="1:28" x14ac:dyDescent="0.25">
      <c r="A2333" t="s">
        <v>2337</v>
      </c>
      <c r="B2333">
        <v>0.99987803227770999</v>
      </c>
      <c r="C2333">
        <v>0.81400657171938295</v>
      </c>
      <c r="D2333">
        <v>0.87685163076550199</v>
      </c>
      <c r="E2333">
        <v>1.29245058343747</v>
      </c>
      <c r="F2333">
        <v>1.07727140572154</v>
      </c>
      <c r="G2333">
        <v>0.69387914252730898</v>
      </c>
      <c r="H2333">
        <v>0.21204358222153699</v>
      </c>
      <c r="I2333">
        <v>0.15995965975037299</v>
      </c>
      <c r="J2333">
        <v>0.125576596447012</v>
      </c>
      <c r="K2333">
        <v>8.3313854988824806E-2</v>
      </c>
      <c r="L2333">
        <v>2716.0555088421102</v>
      </c>
      <c r="M2333">
        <v>46.960086571788501</v>
      </c>
      <c r="N2333">
        <v>58.189384473317702</v>
      </c>
      <c r="O2333">
        <v>57.732946071678697</v>
      </c>
      <c r="P2333">
        <v>-0.17821687806827399</v>
      </c>
      <c r="Q2333">
        <v>0.123598467963676</v>
      </c>
      <c r="R2333">
        <v>0.91969496368250403</v>
      </c>
      <c r="S2333" t="s">
        <v>8644</v>
      </c>
      <c r="T2333" t="s">
        <v>12620</v>
      </c>
      <c r="U2333" t="s">
        <v>12620</v>
      </c>
      <c r="V2333" t="s">
        <v>12620</v>
      </c>
      <c r="W2333" t="s">
        <v>14912</v>
      </c>
      <c r="X2333">
        <v>45</v>
      </c>
      <c r="Y2333" t="s">
        <v>21100</v>
      </c>
      <c r="Z2333" t="s">
        <v>27280</v>
      </c>
      <c r="AA2333">
        <v>0.64721389974142651</v>
      </c>
      <c r="AB2333" t="str">
        <f>HYPERLINK("Melting_Curves/meltCurve_P50990_CCT8.pdf", "Melting_Curves/meltCurve_P50990_CCT8.pdf")</f>
        <v>Melting_Curves/meltCurve_P50990_CCT8.pdf</v>
      </c>
    </row>
    <row r="2334" spans="1:28" x14ac:dyDescent="0.25">
      <c r="A2334" t="s">
        <v>2338</v>
      </c>
      <c r="B2334">
        <v>0.99987803227770999</v>
      </c>
      <c r="C2334">
        <v>0.83169319371581496</v>
      </c>
      <c r="D2334">
        <v>0.60312682558021902</v>
      </c>
      <c r="E2334">
        <v>0.89703262249387095</v>
      </c>
      <c r="F2334">
        <v>0.77992792199735494</v>
      </c>
      <c r="G2334">
        <v>0.44583969389414602</v>
      </c>
      <c r="H2334">
        <v>0.101882045606474</v>
      </c>
      <c r="I2334">
        <v>7.8357094795859006E-2</v>
      </c>
      <c r="J2334">
        <v>6.0169934696487702E-2</v>
      </c>
      <c r="K2334">
        <v>4.0501150583888298E-2</v>
      </c>
      <c r="L2334">
        <v>916.76261811092297</v>
      </c>
      <c r="M2334">
        <v>16.448997737375901</v>
      </c>
      <c r="N2334">
        <v>55.733650600112597</v>
      </c>
      <c r="O2334">
        <v>54.929443731384303</v>
      </c>
      <c r="P2334">
        <v>-7.4869478673217305E-2</v>
      </c>
      <c r="Q2334">
        <v>0</v>
      </c>
      <c r="R2334">
        <v>0.86749641901011798</v>
      </c>
      <c r="S2334" t="s">
        <v>8645</v>
      </c>
      <c r="T2334" t="s">
        <v>12620</v>
      </c>
      <c r="U2334" t="s">
        <v>12620</v>
      </c>
      <c r="V2334" t="s">
        <v>12620</v>
      </c>
      <c r="W2334" t="s">
        <v>14913</v>
      </c>
      <c r="X2334">
        <v>35</v>
      </c>
      <c r="Y2334" t="s">
        <v>21101</v>
      </c>
      <c r="Z2334" t="s">
        <v>27281</v>
      </c>
      <c r="AA2334">
        <v>0.54104763963945712</v>
      </c>
      <c r="AB2334" t="str">
        <f>HYPERLINK("Melting_Curves/meltCurve_P50991_CCT4.pdf", "Melting_Curves/meltCurve_P50991_CCT4.pdf")</f>
        <v>Melting_Curves/meltCurve_P50991_CCT4.pdf</v>
      </c>
    </row>
    <row r="2335" spans="1:28" x14ac:dyDescent="0.25">
      <c r="A2335" t="s">
        <v>2339</v>
      </c>
      <c r="B2335">
        <v>0.99987803227770999</v>
      </c>
      <c r="C2335">
        <v>0.92782289907478599</v>
      </c>
      <c r="D2335">
        <v>0.98486312770877205</v>
      </c>
      <c r="E2335">
        <v>0.77351649285690105</v>
      </c>
      <c r="F2335">
        <v>0.31200206608775199</v>
      </c>
      <c r="G2335">
        <v>0.193661910673396</v>
      </c>
      <c r="H2335">
        <v>0.12477563817406601</v>
      </c>
      <c r="I2335">
        <v>0.103942309235216</v>
      </c>
      <c r="J2335">
        <v>8.5907612585423301E-2</v>
      </c>
      <c r="K2335">
        <v>5.6656568531674299E-2</v>
      </c>
      <c r="L2335">
        <v>1823.0457653724</v>
      </c>
      <c r="M2335">
        <v>35.452716722921203</v>
      </c>
      <c r="N2335">
        <v>51.760689581238097</v>
      </c>
      <c r="O2335">
        <v>51.259107394609302</v>
      </c>
      <c r="P2335">
        <v>-0.155005250030954</v>
      </c>
      <c r="Q2335">
        <v>0.10354919494561</v>
      </c>
      <c r="R2335">
        <v>0.99169094404336</v>
      </c>
      <c r="S2335" t="s">
        <v>8646</v>
      </c>
      <c r="T2335" t="s">
        <v>12620</v>
      </c>
      <c r="U2335" t="s">
        <v>12620</v>
      </c>
      <c r="V2335" t="s">
        <v>12620</v>
      </c>
      <c r="W2335" t="s">
        <v>14914</v>
      </c>
      <c r="X2335">
        <v>25</v>
      </c>
      <c r="Y2335" t="s">
        <v>21102</v>
      </c>
      <c r="Z2335" t="s">
        <v>27282</v>
      </c>
      <c r="AA2335">
        <v>0.44891579688329059</v>
      </c>
      <c r="AB2335" t="str">
        <f>HYPERLINK("Melting_Curves/meltCurve_P51003_PAPOLA.pdf", "Melting_Curves/meltCurve_P51003_PAPOLA.pdf")</f>
        <v>Melting_Curves/meltCurve_P51003_PAPOLA.pdf</v>
      </c>
    </row>
    <row r="2336" spans="1:28" x14ac:dyDescent="0.25">
      <c r="A2336" t="s">
        <v>2340</v>
      </c>
      <c r="B2336">
        <v>0.99987803227770999</v>
      </c>
      <c r="C2336">
        <v>0.94568355823101302</v>
      </c>
      <c r="D2336">
        <v>0.86867637184742397</v>
      </c>
      <c r="E2336">
        <v>0.56330057919175902</v>
      </c>
      <c r="F2336">
        <v>0.43501832876319801</v>
      </c>
      <c r="G2336">
        <v>0.31087224718359002</v>
      </c>
      <c r="H2336">
        <v>0.27819130551647597</v>
      </c>
      <c r="I2336">
        <v>0.27839558153079802</v>
      </c>
      <c r="J2336">
        <v>0.25321851496154102</v>
      </c>
      <c r="K2336">
        <v>0.19380220594626399</v>
      </c>
      <c r="L2336">
        <v>874.03811910454294</v>
      </c>
      <c r="M2336">
        <v>17.631607121584299</v>
      </c>
      <c r="N2336">
        <v>51.458190880167599</v>
      </c>
      <c r="O2336">
        <v>48.947736659648498</v>
      </c>
      <c r="P2336">
        <v>-6.8625641670933102E-2</v>
      </c>
      <c r="Q2336">
        <v>0.23798436815056201</v>
      </c>
      <c r="R2336">
        <v>0.99442421324367203</v>
      </c>
      <c r="S2336" t="s">
        <v>8647</v>
      </c>
      <c r="T2336" t="s">
        <v>12620</v>
      </c>
      <c r="U2336" t="s">
        <v>12620</v>
      </c>
      <c r="V2336" t="s">
        <v>12620</v>
      </c>
      <c r="W2336" t="s">
        <v>14915</v>
      </c>
      <c r="X2336">
        <v>10</v>
      </c>
      <c r="Y2336" t="s">
        <v>21103</v>
      </c>
      <c r="Z2336" t="s">
        <v>27283</v>
      </c>
      <c r="AA2336">
        <v>0.49473023186719689</v>
      </c>
      <c r="AB2336" t="str">
        <f>HYPERLINK("Melting_Curves/meltCurve_P51116_FXR2.pdf", "Melting_Curves/meltCurve_P51116_FXR2.pdf")</f>
        <v>Melting_Curves/meltCurve_P51116_FXR2.pdf</v>
      </c>
    </row>
    <row r="2337" spans="1:28" x14ac:dyDescent="0.25">
      <c r="A2337" t="s">
        <v>2341</v>
      </c>
      <c r="B2337">
        <v>0.99987803227770999</v>
      </c>
      <c r="C2337">
        <v>1.0329418380572</v>
      </c>
      <c r="D2337">
        <v>1.0369291638243501</v>
      </c>
      <c r="E2337">
        <v>1.0500894237210701</v>
      </c>
      <c r="F2337">
        <v>1.0341529230972299</v>
      </c>
      <c r="G2337">
        <v>0.82918138625256599</v>
      </c>
      <c r="H2337">
        <v>0.33580641372898901</v>
      </c>
      <c r="I2337">
        <v>0.20703413289768899</v>
      </c>
      <c r="J2337">
        <v>9.7601643566813098E-2</v>
      </c>
      <c r="K2337">
        <v>7.1944456750957397E-2</v>
      </c>
      <c r="L2337">
        <v>2043.7210638184499</v>
      </c>
      <c r="M2337">
        <v>34.388646979219999</v>
      </c>
      <c r="N2337">
        <v>59.768278909150197</v>
      </c>
      <c r="O2337">
        <v>59.230217388678703</v>
      </c>
      <c r="P2337">
        <v>-0.13231691020181499</v>
      </c>
      <c r="Q2337">
        <v>8.8405000341977097E-2</v>
      </c>
      <c r="R2337">
        <v>0.99379564932948194</v>
      </c>
      <c r="S2337" t="s">
        <v>8648</v>
      </c>
      <c r="T2337" t="s">
        <v>12620</v>
      </c>
      <c r="U2337" t="s">
        <v>12620</v>
      </c>
      <c r="V2337" t="s">
        <v>12620</v>
      </c>
      <c r="W2337" t="s">
        <v>14916</v>
      </c>
      <c r="X2337">
        <v>12</v>
      </c>
      <c r="Y2337" t="s">
        <v>21104</v>
      </c>
      <c r="Z2337" t="s">
        <v>27284</v>
      </c>
      <c r="AA2337">
        <v>0.68346742052347287</v>
      </c>
      <c r="AB2337" t="str">
        <f>HYPERLINK("Melting_Curves/meltCurve_P51148_RAB5C.pdf", "Melting_Curves/meltCurve_P51148_RAB5C.pdf")</f>
        <v>Melting_Curves/meltCurve_P51148_RAB5C.pdf</v>
      </c>
    </row>
    <row r="2338" spans="1:28" x14ac:dyDescent="0.25">
      <c r="A2338" t="s">
        <v>2342</v>
      </c>
      <c r="B2338">
        <v>0.99987803227770999</v>
      </c>
      <c r="C2338">
        <v>0.97080574674102005</v>
      </c>
      <c r="D2338">
        <v>1.03992534708253</v>
      </c>
      <c r="E2338">
        <v>0.97122601655007501</v>
      </c>
      <c r="F2338">
        <v>1.0144722626998199</v>
      </c>
      <c r="G2338">
        <v>0.667321113554039</v>
      </c>
      <c r="H2338">
        <v>0.325888406977134</v>
      </c>
      <c r="I2338">
        <v>0.22648383333711899</v>
      </c>
      <c r="J2338">
        <v>0.15626597446603499</v>
      </c>
      <c r="K2338">
        <v>9.3225379709243605E-2</v>
      </c>
      <c r="L2338">
        <v>1594.85784757028</v>
      </c>
      <c r="M2338">
        <v>27.346134102102699</v>
      </c>
      <c r="N2338">
        <v>58.918973806239698</v>
      </c>
      <c r="O2338">
        <v>58.011941155227902</v>
      </c>
      <c r="P2338">
        <v>-0.10357066760910701</v>
      </c>
      <c r="Q2338">
        <v>0.121151257697081</v>
      </c>
      <c r="R2338">
        <v>0.99252559377495797</v>
      </c>
      <c r="S2338" t="s">
        <v>8649</v>
      </c>
      <c r="T2338" t="s">
        <v>12620</v>
      </c>
      <c r="U2338" t="s">
        <v>12620</v>
      </c>
      <c r="V2338" t="s">
        <v>12620</v>
      </c>
      <c r="W2338" t="s">
        <v>14917</v>
      </c>
      <c r="X2338">
        <v>10</v>
      </c>
      <c r="Y2338" t="s">
        <v>21105</v>
      </c>
      <c r="Z2338" t="s">
        <v>27285</v>
      </c>
      <c r="AA2338">
        <v>0.6644999977543975</v>
      </c>
      <c r="AB2338" t="str">
        <f>HYPERLINK("Melting_Curves/meltCurve_P51149_RAB7A.pdf", "Melting_Curves/meltCurve_P51149_RAB7A.pdf")</f>
        <v>Melting_Curves/meltCurve_P51149_RAB7A.pdf</v>
      </c>
    </row>
    <row r="2339" spans="1:28" x14ac:dyDescent="0.25">
      <c r="A2339" t="s">
        <v>2343</v>
      </c>
      <c r="B2339">
        <v>0.99987803227770999</v>
      </c>
      <c r="C2339">
        <v>0.95736253560852802</v>
      </c>
      <c r="D2339">
        <v>0.84500999093218498</v>
      </c>
      <c r="E2339">
        <v>0.73798127398128599</v>
      </c>
      <c r="F2339">
        <v>0.46872827659433303</v>
      </c>
      <c r="G2339">
        <v>0.19823238380114899</v>
      </c>
      <c r="H2339">
        <v>0.11248030823374799</v>
      </c>
      <c r="I2339">
        <v>9.7150939262240596E-2</v>
      </c>
      <c r="J2339">
        <v>6.4285138350324206E-2</v>
      </c>
      <c r="K2339">
        <v>6.2460611048594697E-2</v>
      </c>
      <c r="L2339">
        <v>866.86991150288895</v>
      </c>
      <c r="M2339">
        <v>16.5875235335754</v>
      </c>
      <c r="N2339">
        <v>52.517568021733098</v>
      </c>
      <c r="O2339">
        <v>51.518528181056197</v>
      </c>
      <c r="P2339">
        <v>-7.7357971111185794E-2</v>
      </c>
      <c r="Q2339">
        <v>3.9013418526899699E-2</v>
      </c>
      <c r="R2339">
        <v>0.994197199524533</v>
      </c>
      <c r="S2339" t="s">
        <v>8650</v>
      </c>
      <c r="T2339" t="s">
        <v>12620</v>
      </c>
      <c r="U2339" t="s">
        <v>12620</v>
      </c>
      <c r="V2339" t="s">
        <v>12620</v>
      </c>
      <c r="W2339" t="s">
        <v>14918</v>
      </c>
      <c r="X2339">
        <v>4</v>
      </c>
      <c r="Y2339" t="s">
        <v>21106</v>
      </c>
      <c r="Z2339" t="s">
        <v>27286</v>
      </c>
      <c r="AA2339">
        <v>0.44996543558160429</v>
      </c>
      <c r="AB2339" t="str">
        <f>HYPERLINK("Melting_Curves/meltCurve_P51151_RAB9A.pdf", "Melting_Curves/meltCurve_P51151_RAB9A.pdf")</f>
        <v>Melting_Curves/meltCurve_P51151_RAB9A.pdf</v>
      </c>
    </row>
    <row r="2340" spans="1:28" x14ac:dyDescent="0.25">
      <c r="A2340" t="s">
        <v>2344</v>
      </c>
      <c r="B2340">
        <v>0.99987803227770999</v>
      </c>
      <c r="C2340">
        <v>0.87549936498249203</v>
      </c>
      <c r="D2340">
        <v>0.67463090251140401</v>
      </c>
      <c r="E2340">
        <v>0.42602690147205802</v>
      </c>
      <c r="F2340">
        <v>0.233986485404762</v>
      </c>
      <c r="G2340">
        <v>0.17820908918783801</v>
      </c>
      <c r="H2340">
        <v>0.10068443899094</v>
      </c>
      <c r="I2340">
        <v>6.0759445746842902E-2</v>
      </c>
      <c r="J2340">
        <v>4.2009919091883202E-2</v>
      </c>
      <c r="K2340">
        <v>2.7986433240620098E-2</v>
      </c>
      <c r="L2340">
        <v>687.96750842484801</v>
      </c>
      <c r="M2340">
        <v>14.179864450513101</v>
      </c>
      <c r="N2340">
        <v>48.7625059028747</v>
      </c>
      <c r="O2340">
        <v>47.5828532467565</v>
      </c>
      <c r="P2340">
        <v>-7.1945570732174599E-2</v>
      </c>
      <c r="Q2340">
        <v>3.4421061741988897E-2</v>
      </c>
      <c r="R2340">
        <v>0.99544339886455802</v>
      </c>
      <c r="S2340" t="s">
        <v>8651</v>
      </c>
      <c r="T2340" t="s">
        <v>12620</v>
      </c>
      <c r="U2340" t="s">
        <v>12620</v>
      </c>
      <c r="V2340" t="s">
        <v>12620</v>
      </c>
      <c r="W2340" t="s">
        <v>14919</v>
      </c>
      <c r="X2340">
        <v>7</v>
      </c>
      <c r="Y2340" t="s">
        <v>21107</v>
      </c>
      <c r="Z2340" t="s">
        <v>27287</v>
      </c>
      <c r="AA2340">
        <v>0.33559230378657479</v>
      </c>
      <c r="AB2340" t="str">
        <f>HYPERLINK("Melting_Curves/meltCurve_P51153_RAB13.pdf", "Melting_Curves/meltCurve_P51153_RAB13.pdf")</f>
        <v>Melting_Curves/meltCurve_P51153_RAB13.pdf</v>
      </c>
    </row>
    <row r="2341" spans="1:28" x14ac:dyDescent="0.25">
      <c r="A2341" t="s">
        <v>2345</v>
      </c>
      <c r="B2341">
        <v>0.99987803227770999</v>
      </c>
      <c r="C2341">
        <v>0.87089402543042904</v>
      </c>
      <c r="D2341">
        <v>0.72318353066928698</v>
      </c>
      <c r="E2341">
        <v>0.3893562129325</v>
      </c>
      <c r="F2341">
        <v>0.225551176064167</v>
      </c>
      <c r="G2341">
        <v>0.18634350232709501</v>
      </c>
      <c r="H2341">
        <v>9.0655167597495895E-2</v>
      </c>
      <c r="I2341">
        <v>0.121284639146354</v>
      </c>
      <c r="J2341">
        <v>6.3311372790162801E-2</v>
      </c>
      <c r="K2341">
        <v>5.28672123559649E-2</v>
      </c>
      <c r="L2341">
        <v>791.89285764254305</v>
      </c>
      <c r="M2341">
        <v>16.441549871412899</v>
      </c>
      <c r="N2341">
        <v>48.6350813126096</v>
      </c>
      <c r="O2341">
        <v>47.468529996944099</v>
      </c>
      <c r="P2341">
        <v>-8.0225284363225902E-2</v>
      </c>
      <c r="Q2341">
        <v>7.3589048060099305E-2</v>
      </c>
      <c r="R2341">
        <v>0.99453834794239104</v>
      </c>
      <c r="S2341" t="s">
        <v>8652</v>
      </c>
      <c r="T2341" t="s">
        <v>12620</v>
      </c>
      <c r="U2341" t="s">
        <v>12620</v>
      </c>
      <c r="V2341" t="s">
        <v>12620</v>
      </c>
      <c r="W2341" t="s">
        <v>14920</v>
      </c>
      <c r="X2341">
        <v>5</v>
      </c>
      <c r="Y2341" t="s">
        <v>21108</v>
      </c>
      <c r="Z2341" t="s">
        <v>27288</v>
      </c>
      <c r="AA2341">
        <v>0.34539850680319878</v>
      </c>
      <c r="AB2341" t="str">
        <f>HYPERLINK("Melting_Curves/meltCurve_P51157_3_RAB28.pdf", "Melting_Curves/meltCurve_P51157_3_RAB28.pdf")</f>
        <v>Melting_Curves/meltCurve_P51157_3_RAB28.pdf</v>
      </c>
    </row>
    <row r="2342" spans="1:28" x14ac:dyDescent="0.25">
      <c r="A2342" t="s">
        <v>2346</v>
      </c>
      <c r="B2342">
        <v>0.99987803227770999</v>
      </c>
      <c r="C2342">
        <v>0.97618108469409004</v>
      </c>
      <c r="D2342">
        <v>1.0676247569119399</v>
      </c>
      <c r="E2342">
        <v>0.95908587365846298</v>
      </c>
      <c r="F2342">
        <v>1.09257569022184</v>
      </c>
      <c r="G2342">
        <v>0.81337379568497803</v>
      </c>
      <c r="H2342">
        <v>0.69218015055861704</v>
      </c>
      <c r="I2342">
        <v>0.63697697129867303</v>
      </c>
      <c r="J2342">
        <v>0.53686805902642198</v>
      </c>
      <c r="K2342">
        <v>0.504107623324761</v>
      </c>
      <c r="L2342">
        <v>1324.2093103397301</v>
      </c>
      <c r="M2342">
        <v>22.196455007521301</v>
      </c>
      <c r="O2342">
        <v>59.180695355163003</v>
      </c>
      <c r="P2342">
        <v>-4.6418448150395898E-2</v>
      </c>
      <c r="Q2342">
        <v>0.50496299907763698</v>
      </c>
      <c r="R2342">
        <v>0.93981910826924597</v>
      </c>
      <c r="S2342" t="s">
        <v>8653</v>
      </c>
      <c r="T2342" t="s">
        <v>12620</v>
      </c>
      <c r="U2342" t="s">
        <v>12620</v>
      </c>
      <c r="V2342" t="s">
        <v>12620</v>
      </c>
      <c r="W2342" t="s">
        <v>14921</v>
      </c>
      <c r="X2342">
        <v>1</v>
      </c>
      <c r="Y2342" t="s">
        <v>21109</v>
      </c>
      <c r="Z2342" t="s">
        <v>27289</v>
      </c>
      <c r="AA2342">
        <v>0.83357779826392908</v>
      </c>
      <c r="AB2342" t="str">
        <f>HYPERLINK("Melting_Curves/meltCurve_P51161_FABP6.pdf", "Melting_Curves/meltCurve_P51161_FABP6.pdf")</f>
        <v>Melting_Curves/meltCurve_P51161_FABP6.pdf</v>
      </c>
    </row>
    <row r="2343" spans="1:28" x14ac:dyDescent="0.25">
      <c r="A2343" t="s">
        <v>2347</v>
      </c>
      <c r="B2343">
        <v>0.99987803227770999</v>
      </c>
      <c r="C2343">
        <v>0.98494740316810703</v>
      </c>
      <c r="D2343">
        <v>0.82223515770565103</v>
      </c>
      <c r="E2343">
        <v>0.79488986517877602</v>
      </c>
      <c r="F2343">
        <v>0.422757153648464</v>
      </c>
      <c r="G2343">
        <v>0.56282423367023704</v>
      </c>
      <c r="H2343">
        <v>0.183608089823763</v>
      </c>
      <c r="I2343">
        <v>0.486328601866159</v>
      </c>
      <c r="J2343">
        <v>6.6888968721928593E-2</v>
      </c>
      <c r="K2343">
        <v>2.9475983071459301E-2</v>
      </c>
      <c r="L2343">
        <v>502.56210099649098</v>
      </c>
      <c r="M2343">
        <v>9.0912895476172793</v>
      </c>
      <c r="N2343">
        <v>55.279517637867201</v>
      </c>
      <c r="O2343">
        <v>52.801753228478603</v>
      </c>
      <c r="P2343">
        <v>-4.3074533546153197E-2</v>
      </c>
      <c r="Q2343">
        <v>0</v>
      </c>
      <c r="R2343">
        <v>0.86478444837657598</v>
      </c>
      <c r="S2343" t="s">
        <v>8654</v>
      </c>
      <c r="T2343" t="s">
        <v>12620</v>
      </c>
      <c r="U2343" t="s">
        <v>12620</v>
      </c>
      <c r="V2343" t="s">
        <v>12620</v>
      </c>
      <c r="W2343" t="s">
        <v>14922</v>
      </c>
      <c r="X2343">
        <v>3</v>
      </c>
      <c r="Y2343" t="s">
        <v>21110</v>
      </c>
      <c r="Z2343" t="s">
        <v>27290</v>
      </c>
      <c r="AA2343">
        <v>0.53439870273461054</v>
      </c>
      <c r="AB2343" t="str">
        <f>HYPERLINK("Melting_Curves/meltCurve_P51178_PLCD1.pdf", "Melting_Curves/meltCurve_P51178_PLCD1.pdf")</f>
        <v>Melting_Curves/meltCurve_P51178_PLCD1.pdf</v>
      </c>
    </row>
    <row r="2344" spans="1:28" x14ac:dyDescent="0.25">
      <c r="A2344" t="s">
        <v>2348</v>
      </c>
      <c r="B2344">
        <v>0.99987803227770999</v>
      </c>
      <c r="C2344">
        <v>1.17643758577062</v>
      </c>
      <c r="D2344">
        <v>1.1234994934829201</v>
      </c>
      <c r="E2344">
        <v>1.1025072907214699</v>
      </c>
      <c r="F2344">
        <v>0.77513464463542803</v>
      </c>
      <c r="G2344">
        <v>0.657332655143957</v>
      </c>
      <c r="H2344">
        <v>0.44857355165732299</v>
      </c>
      <c r="I2344">
        <v>0.57744052941299295</v>
      </c>
      <c r="J2344">
        <v>0.55298129147809705</v>
      </c>
      <c r="K2344">
        <v>0.38372155244927098</v>
      </c>
      <c r="L2344">
        <v>1651.70636882698</v>
      </c>
      <c r="M2344">
        <v>30.2670216472828</v>
      </c>
      <c r="N2344">
        <v>63.035757664493197</v>
      </c>
      <c r="O2344">
        <v>54.334598864072397</v>
      </c>
      <c r="P2344">
        <v>-7.0827419089803403E-2</v>
      </c>
      <c r="Q2344">
        <v>0.49141277454680699</v>
      </c>
      <c r="R2344">
        <v>0.876162775314553</v>
      </c>
      <c r="S2344" t="s">
        <v>8655</v>
      </c>
      <c r="T2344" t="s">
        <v>12620</v>
      </c>
      <c r="U2344" t="s">
        <v>12620</v>
      </c>
      <c r="V2344" t="s">
        <v>12620</v>
      </c>
      <c r="W2344" t="s">
        <v>14923</v>
      </c>
      <c r="X2344">
        <v>2</v>
      </c>
      <c r="Y2344" t="s">
        <v>21111</v>
      </c>
      <c r="Z2344" t="s">
        <v>27291</v>
      </c>
      <c r="AA2344">
        <v>0.74174088070951349</v>
      </c>
      <c r="AB2344" t="str">
        <f>HYPERLINK("Melting_Curves/meltCurve_P51397_DAP.pdf", "Melting_Curves/meltCurve_P51397_DAP.pdf")</f>
        <v>Melting_Curves/meltCurve_P51397_DAP.pdf</v>
      </c>
    </row>
    <row r="2345" spans="1:28" x14ac:dyDescent="0.25">
      <c r="A2345" t="s">
        <v>2349</v>
      </c>
      <c r="B2345">
        <v>0.99987803227770999</v>
      </c>
      <c r="C2345">
        <v>0.97995966044204197</v>
      </c>
      <c r="D2345">
        <v>0.85578757113181203</v>
      </c>
      <c r="E2345">
        <v>0.73883234710129098</v>
      </c>
      <c r="F2345">
        <v>0.40148780299745401</v>
      </c>
      <c r="G2345">
        <v>0.24570900595657799</v>
      </c>
      <c r="H2345">
        <v>0.189087413909207</v>
      </c>
      <c r="I2345">
        <v>0.16172176936140101</v>
      </c>
      <c r="J2345">
        <v>7.9555491455374397E-2</v>
      </c>
      <c r="K2345">
        <v>5.2870747850620903E-2</v>
      </c>
      <c r="L2345">
        <v>837.12264505716098</v>
      </c>
      <c r="M2345">
        <v>16.138651151333299</v>
      </c>
      <c r="N2345">
        <v>52.408146574045297</v>
      </c>
      <c r="O2345">
        <v>51.093881166183003</v>
      </c>
      <c r="P2345">
        <v>-7.2948537110119394E-2</v>
      </c>
      <c r="Q2345">
        <v>7.6269748332747703E-2</v>
      </c>
      <c r="R2345">
        <v>0.98896977088927396</v>
      </c>
      <c r="S2345" t="s">
        <v>8656</v>
      </c>
      <c r="T2345" t="s">
        <v>12620</v>
      </c>
      <c r="U2345" t="s">
        <v>12620</v>
      </c>
      <c r="V2345" t="s">
        <v>12620</v>
      </c>
      <c r="W2345" t="s">
        <v>14924</v>
      </c>
      <c r="X2345">
        <v>3</v>
      </c>
      <c r="Y2345" t="s">
        <v>21112</v>
      </c>
      <c r="Z2345" t="s">
        <v>27292</v>
      </c>
      <c r="AA2345">
        <v>0.46025638676240738</v>
      </c>
      <c r="AB2345" t="str">
        <f>HYPERLINK("Melting_Curves/meltCurve_P51398_2_DAP3.pdf", "Melting_Curves/meltCurve_P51398_2_DAP3.pdf")</f>
        <v>Melting_Curves/meltCurve_P51398_2_DAP3.pdf</v>
      </c>
    </row>
    <row r="2346" spans="1:28" x14ac:dyDescent="0.25">
      <c r="A2346" t="s">
        <v>2350</v>
      </c>
      <c r="B2346">
        <v>0.99987803227770999</v>
      </c>
      <c r="C2346">
        <v>0.83753618717169898</v>
      </c>
      <c r="D2346">
        <v>1.01778946201562</v>
      </c>
      <c r="E2346">
        <v>0.86293095374159401</v>
      </c>
      <c r="F2346">
        <v>0.92789432812669403</v>
      </c>
      <c r="G2346">
        <v>0.38831703896807501</v>
      </c>
      <c r="H2346">
        <v>0.13176404630425101</v>
      </c>
      <c r="I2346">
        <v>0.100583475714224</v>
      </c>
      <c r="J2346">
        <v>5.8829784618038297E-2</v>
      </c>
      <c r="K2346">
        <v>4.2889364677907597E-2</v>
      </c>
      <c r="L2346">
        <v>1915.0771697678999</v>
      </c>
      <c r="M2346">
        <v>34.157027406142298</v>
      </c>
      <c r="N2346">
        <v>56.289413627035003</v>
      </c>
      <c r="O2346">
        <v>55.875725558839903</v>
      </c>
      <c r="P2346">
        <v>-0.14317337321183499</v>
      </c>
      <c r="Q2346">
        <v>6.3163802449482997E-2</v>
      </c>
      <c r="R2346">
        <v>0.97264733186757801</v>
      </c>
      <c r="S2346" t="s">
        <v>8657</v>
      </c>
      <c r="T2346" t="s">
        <v>12620</v>
      </c>
      <c r="U2346" t="s">
        <v>12620</v>
      </c>
      <c r="V2346" t="s">
        <v>12620</v>
      </c>
      <c r="W2346" t="s">
        <v>14925</v>
      </c>
      <c r="X2346">
        <v>6</v>
      </c>
      <c r="Y2346" t="s">
        <v>21113</v>
      </c>
      <c r="Z2346" t="s">
        <v>27293</v>
      </c>
      <c r="AA2346">
        <v>0.56979835813864377</v>
      </c>
      <c r="AB2346" t="str">
        <f>HYPERLINK("Melting_Curves/meltCurve_P51452_DUSP3.pdf", "Melting_Curves/meltCurve_P51452_DUSP3.pdf")</f>
        <v>Melting_Curves/meltCurve_P51452_DUSP3.pdf</v>
      </c>
    </row>
    <row r="2347" spans="1:28" x14ac:dyDescent="0.25">
      <c r="A2347" t="s">
        <v>2351</v>
      </c>
      <c r="B2347">
        <v>0.99987803227770999</v>
      </c>
      <c r="C2347">
        <v>0.85445654733157805</v>
      </c>
      <c r="D2347">
        <v>0.89874821049667197</v>
      </c>
      <c r="E2347">
        <v>0.760141217293961</v>
      </c>
      <c r="F2347">
        <v>0.73717664672799599</v>
      </c>
      <c r="G2347">
        <v>0.314360674165648</v>
      </c>
      <c r="H2347">
        <v>0.215730946051713</v>
      </c>
      <c r="I2347">
        <v>0.172959829690434</v>
      </c>
      <c r="J2347">
        <v>0.14991175319556699</v>
      </c>
      <c r="K2347">
        <v>0.124213279019182</v>
      </c>
      <c r="L2347">
        <v>749.44214679894696</v>
      </c>
      <c r="M2347">
        <v>13.775551548252</v>
      </c>
      <c r="N2347">
        <v>54.980523448198298</v>
      </c>
      <c r="O2347">
        <v>53.295756682630497</v>
      </c>
      <c r="P2347">
        <v>-6.0279800662126903E-2</v>
      </c>
      <c r="Q2347">
        <v>6.7273764687961396E-2</v>
      </c>
      <c r="R2347">
        <v>0.96648126817915403</v>
      </c>
      <c r="S2347" t="s">
        <v>8658</v>
      </c>
      <c r="T2347" t="s">
        <v>12620</v>
      </c>
      <c r="U2347" t="s">
        <v>12620</v>
      </c>
      <c r="V2347" t="s">
        <v>12620</v>
      </c>
      <c r="W2347" t="s">
        <v>14926</v>
      </c>
      <c r="X2347">
        <v>5</v>
      </c>
      <c r="Y2347" t="s">
        <v>21114</v>
      </c>
      <c r="Z2347" t="s">
        <v>27294</v>
      </c>
      <c r="AA2347">
        <v>0.53565246836301128</v>
      </c>
      <c r="AB2347" t="str">
        <f>HYPERLINK("Melting_Curves/meltCurve_P51513_4_NOVA1.pdf", "Melting_Curves/meltCurve_P51513_4_NOVA1.pdf")</f>
        <v>Melting_Curves/meltCurve_P51513_4_NOVA1.pdf</v>
      </c>
    </row>
    <row r="2348" spans="1:28" x14ac:dyDescent="0.25">
      <c r="A2348" t="s">
        <v>2352</v>
      </c>
      <c r="B2348">
        <v>0.99987803227770999</v>
      </c>
      <c r="C2348">
        <v>0.76940983862307299</v>
      </c>
      <c r="D2348">
        <v>0.61039353352527204</v>
      </c>
      <c r="E2348">
        <v>0.561267988165009</v>
      </c>
      <c r="F2348">
        <v>0.37902494276300502</v>
      </c>
      <c r="G2348">
        <v>0.63442165783475302</v>
      </c>
      <c r="H2348">
        <v>0.14241722241572799</v>
      </c>
      <c r="I2348">
        <v>0.39047324852776799</v>
      </c>
      <c r="J2348">
        <v>6.6600740967803898E-2</v>
      </c>
      <c r="K2348">
        <v>3.1837403776641397E-2</v>
      </c>
      <c r="L2348">
        <v>353.081006855586</v>
      </c>
      <c r="M2348">
        <v>6.7929511330733803</v>
      </c>
      <c r="N2348">
        <v>51.9775565021543</v>
      </c>
      <c r="O2348">
        <v>48.030784153286703</v>
      </c>
      <c r="P2348">
        <v>-3.5430436090215497E-2</v>
      </c>
      <c r="Q2348">
        <v>0</v>
      </c>
      <c r="R2348">
        <v>0.79802109795384002</v>
      </c>
      <c r="S2348" t="s">
        <v>8659</v>
      </c>
      <c r="T2348" t="s">
        <v>12620</v>
      </c>
      <c r="U2348" t="s">
        <v>12620</v>
      </c>
      <c r="V2348" t="s">
        <v>12620</v>
      </c>
      <c r="W2348" t="s">
        <v>14927</v>
      </c>
      <c r="X2348">
        <v>2</v>
      </c>
      <c r="Y2348" t="s">
        <v>21115</v>
      </c>
      <c r="Z2348" t="s">
        <v>27295</v>
      </c>
      <c r="AA2348">
        <v>0.45299631799596179</v>
      </c>
      <c r="AB2348" t="str">
        <f>HYPERLINK("Melting_Curves/meltCurve_P51530_3_DNA2.pdf", "Melting_Curves/meltCurve_P51530_3_DNA2.pdf")</f>
        <v>Melting_Curves/meltCurve_P51530_3_DNA2.pdf</v>
      </c>
    </row>
    <row r="2349" spans="1:28" x14ac:dyDescent="0.25">
      <c r="A2349" t="s">
        <v>2353</v>
      </c>
      <c r="B2349">
        <v>0.99987803227770999</v>
      </c>
      <c r="C2349">
        <v>0.93181844851745799</v>
      </c>
      <c r="D2349">
        <v>0.82696111656116</v>
      </c>
      <c r="E2349">
        <v>0.64557865267495596</v>
      </c>
      <c r="F2349">
        <v>0.60377585938707101</v>
      </c>
      <c r="G2349">
        <v>0.42544843951310402</v>
      </c>
      <c r="H2349">
        <v>0.39944781154459702</v>
      </c>
      <c r="I2349">
        <v>0.36330754656193898</v>
      </c>
      <c r="J2349">
        <v>0.30322962090593403</v>
      </c>
      <c r="K2349">
        <v>0.24606216669377501</v>
      </c>
      <c r="L2349">
        <v>519.57824236762201</v>
      </c>
      <c r="M2349">
        <v>10.0187416045398</v>
      </c>
      <c r="N2349">
        <v>55.2713387048437</v>
      </c>
      <c r="O2349">
        <v>49.9215103934879</v>
      </c>
      <c r="P2349">
        <v>-3.8623584710628898E-2</v>
      </c>
      <c r="Q2349">
        <v>0.23055526101866</v>
      </c>
      <c r="R2349">
        <v>0.98740472723592698</v>
      </c>
      <c r="S2349" t="s">
        <v>8660</v>
      </c>
      <c r="T2349" t="s">
        <v>12620</v>
      </c>
      <c r="U2349" t="s">
        <v>12620</v>
      </c>
      <c r="V2349" t="s">
        <v>12620</v>
      </c>
      <c r="W2349" t="s">
        <v>14928</v>
      </c>
      <c r="X2349">
        <v>16</v>
      </c>
      <c r="Y2349" t="s">
        <v>21116</v>
      </c>
      <c r="Z2349" t="s">
        <v>27296</v>
      </c>
      <c r="AA2349">
        <v>0.56430324037869772</v>
      </c>
      <c r="AB2349" t="str">
        <f>HYPERLINK("Melting_Curves/meltCurve_P51531_2_SMARCA2.pdf", "Melting_Curves/meltCurve_P51531_2_SMARCA2.pdf")</f>
        <v>Melting_Curves/meltCurve_P51531_2_SMARCA2.pdf</v>
      </c>
    </row>
    <row r="2350" spans="1:28" x14ac:dyDescent="0.25">
      <c r="A2350" t="s">
        <v>2354</v>
      </c>
      <c r="B2350">
        <v>0.99987803227770999</v>
      </c>
      <c r="C2350">
        <v>0.94986263015433403</v>
      </c>
      <c r="D2350">
        <v>0.73937485335116004</v>
      </c>
      <c r="E2350">
        <v>0.79985581780122195</v>
      </c>
      <c r="F2350">
        <v>0.43780465178896399</v>
      </c>
      <c r="G2350">
        <v>0.27040994284571701</v>
      </c>
      <c r="H2350">
        <v>0.123721643666512</v>
      </c>
      <c r="I2350">
        <v>6.9816044420097104E-2</v>
      </c>
      <c r="J2350">
        <v>5.5341033873836799E-2</v>
      </c>
      <c r="K2350">
        <v>4.6656258282273801E-2</v>
      </c>
      <c r="L2350">
        <v>693.83370837132497</v>
      </c>
      <c r="M2350">
        <v>13.169226229513299</v>
      </c>
      <c r="N2350">
        <v>52.686001972447798</v>
      </c>
      <c r="O2350">
        <v>51.515561358584897</v>
      </c>
      <c r="P2350">
        <v>-6.3919707144918694E-2</v>
      </c>
      <c r="Q2350">
        <v>0</v>
      </c>
      <c r="R2350">
        <v>0.97263600918513404</v>
      </c>
      <c r="S2350" t="s">
        <v>8661</v>
      </c>
      <c r="T2350" t="s">
        <v>12620</v>
      </c>
      <c r="U2350" t="s">
        <v>12620</v>
      </c>
      <c r="V2350" t="s">
        <v>12620</v>
      </c>
      <c r="W2350" t="s">
        <v>14929</v>
      </c>
      <c r="X2350">
        <v>4</v>
      </c>
      <c r="Y2350" t="s">
        <v>21117</v>
      </c>
      <c r="Z2350" t="s">
        <v>27297</v>
      </c>
      <c r="AA2350">
        <v>0.44888234570133778</v>
      </c>
      <c r="AB2350" t="str">
        <f>HYPERLINK("Melting_Curves/meltCurve_P51553_IDH3G.pdf", "Melting_Curves/meltCurve_P51553_IDH3G.pdf")</f>
        <v>Melting_Curves/meltCurve_P51553_IDH3G.pdf</v>
      </c>
    </row>
    <row r="2351" spans="1:28" x14ac:dyDescent="0.25">
      <c r="A2351" t="s">
        <v>2355</v>
      </c>
      <c r="B2351">
        <v>0.99987803227770999</v>
      </c>
      <c r="C2351">
        <v>0.92364381416186703</v>
      </c>
      <c r="D2351">
        <v>0.99981975127304001</v>
      </c>
      <c r="E2351">
        <v>0.64147311172243804</v>
      </c>
      <c r="F2351">
        <v>0.24835440365693601</v>
      </c>
      <c r="G2351">
        <v>0.13371964473690201</v>
      </c>
      <c r="H2351">
        <v>9.1358345935596594E-2</v>
      </c>
      <c r="I2351">
        <v>8.5376753406628106E-2</v>
      </c>
      <c r="J2351">
        <v>5.2322002382904E-2</v>
      </c>
      <c r="K2351">
        <v>3.8029207530916799E-2</v>
      </c>
      <c r="L2351">
        <v>1654.5684328316499</v>
      </c>
      <c r="M2351">
        <v>32.618116342319297</v>
      </c>
      <c r="N2351">
        <v>50.970774596371101</v>
      </c>
      <c r="O2351">
        <v>50.535922675283203</v>
      </c>
      <c r="P2351">
        <v>-0.14963980213494299</v>
      </c>
      <c r="Q2351">
        <v>7.2644160089647802E-2</v>
      </c>
      <c r="R2351">
        <v>0.99382037131516898</v>
      </c>
      <c r="S2351" t="s">
        <v>8662</v>
      </c>
      <c r="T2351" t="s">
        <v>12620</v>
      </c>
      <c r="U2351" t="s">
        <v>12620</v>
      </c>
      <c r="V2351" t="s">
        <v>12620</v>
      </c>
      <c r="W2351" t="s">
        <v>14930</v>
      </c>
      <c r="X2351">
        <v>15</v>
      </c>
      <c r="Y2351" t="s">
        <v>21118</v>
      </c>
      <c r="Z2351" t="s">
        <v>27298</v>
      </c>
      <c r="AA2351">
        <v>0.40909297632725927</v>
      </c>
      <c r="AB2351" t="str">
        <f>HYPERLINK("Melting_Curves/meltCurve_P51570_GALK1.pdf", "Melting_Curves/meltCurve_P51570_GALK1.pdf")</f>
        <v>Melting_Curves/meltCurve_P51570_GALK1.pdf</v>
      </c>
    </row>
    <row r="2352" spans="1:28" x14ac:dyDescent="0.25">
      <c r="A2352" t="s">
        <v>2356</v>
      </c>
      <c r="B2352">
        <v>0.99987803227770999</v>
      </c>
      <c r="C2352">
        <v>0.86005307716271095</v>
      </c>
      <c r="D2352">
        <v>1.06311599125489</v>
      </c>
      <c r="E2352">
        <v>0.83331466519127495</v>
      </c>
      <c r="F2352">
        <v>0.90900304218072403</v>
      </c>
      <c r="G2352">
        <v>0.51404600020560598</v>
      </c>
      <c r="H2352">
        <v>0.15127071083350499</v>
      </c>
      <c r="I2352">
        <v>8.37905890972446E-2</v>
      </c>
      <c r="J2352">
        <v>6.9933894219276996E-2</v>
      </c>
      <c r="K2352">
        <v>5.0268740302124797E-2</v>
      </c>
      <c r="L2352">
        <v>1472.0303368738601</v>
      </c>
      <c r="M2352">
        <v>25.890317053146699</v>
      </c>
      <c r="N2352">
        <v>57.0251989573567</v>
      </c>
      <c r="O2352">
        <v>56.520455721339601</v>
      </c>
      <c r="P2352">
        <v>-0.110294599967923</v>
      </c>
      <c r="Q2352">
        <v>3.6886557467285398E-2</v>
      </c>
      <c r="R2352">
        <v>0.97190980154066098</v>
      </c>
      <c r="S2352" t="s">
        <v>8663</v>
      </c>
      <c r="T2352" t="s">
        <v>12620</v>
      </c>
      <c r="U2352" t="s">
        <v>12620</v>
      </c>
      <c r="V2352" t="s">
        <v>12620</v>
      </c>
      <c r="W2352" t="s">
        <v>14931</v>
      </c>
      <c r="X2352">
        <v>6</v>
      </c>
      <c r="Y2352" t="s">
        <v>21119</v>
      </c>
      <c r="Z2352" t="s">
        <v>27299</v>
      </c>
      <c r="AA2352">
        <v>0.58627760700007847</v>
      </c>
      <c r="AB2352" t="str">
        <f>HYPERLINK("Melting_Curves/meltCurve_P51580_TPMT.pdf", "Melting_Curves/meltCurve_P51580_TPMT.pdf")</f>
        <v>Melting_Curves/meltCurve_P51580_TPMT.pdf</v>
      </c>
    </row>
    <row r="2353" spans="1:28" x14ac:dyDescent="0.25">
      <c r="A2353" t="s">
        <v>2357</v>
      </c>
      <c r="B2353">
        <v>0.99987803227770999</v>
      </c>
      <c r="C2353">
        <v>0.95664850010940194</v>
      </c>
      <c r="D2353">
        <v>0.90887867369725595</v>
      </c>
      <c r="E2353">
        <v>0.89060389730977996</v>
      </c>
      <c r="F2353">
        <v>0.81628822812053403</v>
      </c>
      <c r="G2353">
        <v>0.65187658001037996</v>
      </c>
      <c r="H2353">
        <v>0.69187738300333801</v>
      </c>
      <c r="I2353">
        <v>0.58384824728145102</v>
      </c>
      <c r="J2353">
        <v>0.452812853106067</v>
      </c>
      <c r="K2353">
        <v>0.35734565659223599</v>
      </c>
      <c r="L2353">
        <v>413.52267166650699</v>
      </c>
      <c r="M2353">
        <v>6.3031438192508604</v>
      </c>
      <c r="N2353">
        <v>65.605780769064495</v>
      </c>
      <c r="O2353">
        <v>59.931136426090298</v>
      </c>
      <c r="P2353">
        <v>-2.6364632453658499E-2</v>
      </c>
      <c r="Q2353">
        <v>0</v>
      </c>
      <c r="R2353">
        <v>0.96316538347617198</v>
      </c>
      <c r="S2353" t="s">
        <v>8664</v>
      </c>
      <c r="T2353" t="s">
        <v>12620</v>
      </c>
      <c r="U2353" t="s">
        <v>12620</v>
      </c>
      <c r="V2353" t="s">
        <v>12620</v>
      </c>
      <c r="W2353" t="s">
        <v>14932</v>
      </c>
      <c r="X2353">
        <v>2</v>
      </c>
      <c r="Y2353" t="s">
        <v>21120</v>
      </c>
      <c r="Z2353" t="s">
        <v>27300</v>
      </c>
      <c r="AA2353">
        <v>0.74211086692781569</v>
      </c>
      <c r="AB2353" t="str">
        <f>HYPERLINK("Melting_Curves/meltCurve_P51587_BRCA2.pdf", "Melting_Curves/meltCurve_P51587_BRCA2.pdf")</f>
        <v>Melting_Curves/meltCurve_P51587_BRCA2.pdf</v>
      </c>
    </row>
    <row r="2354" spans="1:28" x14ac:dyDescent="0.25">
      <c r="A2354" t="s">
        <v>2358</v>
      </c>
      <c r="B2354">
        <v>0.99987803227770999</v>
      </c>
      <c r="C2354">
        <v>1.0209975332150401</v>
      </c>
      <c r="D2354">
        <v>1.0271147808760299</v>
      </c>
      <c r="E2354">
        <v>1.14409528938535</v>
      </c>
      <c r="F2354">
        <v>0.87305005600931396</v>
      </c>
      <c r="G2354">
        <v>0.49054156279599298</v>
      </c>
      <c r="H2354">
        <v>0.17796680764832301</v>
      </c>
      <c r="I2354">
        <v>0.15801994736078501</v>
      </c>
      <c r="J2354">
        <v>9.7225745790606999E-2</v>
      </c>
      <c r="K2354">
        <v>7.8839327963602407E-2</v>
      </c>
      <c r="L2354">
        <v>1841.8142162178499</v>
      </c>
      <c r="M2354">
        <v>32.589063637682997</v>
      </c>
      <c r="N2354">
        <v>56.915963629082597</v>
      </c>
      <c r="O2354">
        <v>56.304797750813897</v>
      </c>
      <c r="P2354">
        <v>-0.12990195197840401</v>
      </c>
      <c r="Q2354">
        <v>0.102267091736957</v>
      </c>
      <c r="R2354">
        <v>0.98387602417572995</v>
      </c>
      <c r="S2354" t="s">
        <v>8665</v>
      </c>
      <c r="T2354" t="s">
        <v>12620</v>
      </c>
      <c r="U2354" t="s">
        <v>12620</v>
      </c>
      <c r="V2354" t="s">
        <v>12620</v>
      </c>
      <c r="W2354" t="s">
        <v>14933</v>
      </c>
      <c r="X2354">
        <v>1</v>
      </c>
      <c r="Y2354" t="s">
        <v>21121</v>
      </c>
      <c r="Z2354" t="s">
        <v>27301</v>
      </c>
      <c r="AA2354">
        <v>0.60165566103255741</v>
      </c>
      <c r="AB2354" t="str">
        <f>HYPERLINK("Melting_Curves/meltCurve_P51589_CYP2J2.pdf", "Melting_Curves/meltCurve_P51589_CYP2J2.pdf")</f>
        <v>Melting_Curves/meltCurve_P51589_CYP2J2.pdf</v>
      </c>
    </row>
    <row r="2355" spans="1:28" x14ac:dyDescent="0.25">
      <c r="A2355" t="s">
        <v>2359</v>
      </c>
      <c r="B2355">
        <v>0.99987803227770999</v>
      </c>
      <c r="C2355">
        <v>0.79008291142507503</v>
      </c>
      <c r="D2355">
        <v>0.96507428428389197</v>
      </c>
      <c r="E2355">
        <v>0.80899597946554502</v>
      </c>
      <c r="F2355">
        <v>1.19694895050043</v>
      </c>
      <c r="G2355">
        <v>1.10231105587165</v>
      </c>
      <c r="H2355">
        <v>1.15292545306766</v>
      </c>
      <c r="I2355">
        <v>1.08279310396096</v>
      </c>
      <c r="J2355">
        <v>1.19432198650287</v>
      </c>
      <c r="K2355">
        <v>0.97367495846658103</v>
      </c>
      <c r="L2355">
        <v>4068.93340625461</v>
      </c>
      <c r="M2355">
        <v>78.630670479160401</v>
      </c>
      <c r="O2355">
        <v>51.713965943867301</v>
      </c>
      <c r="P2355">
        <v>4.3943481691248801E-2</v>
      </c>
      <c r="Q2355">
        <v>1.1156033076485501</v>
      </c>
      <c r="R2355">
        <v>0.36208099538190702</v>
      </c>
      <c r="S2355" t="s">
        <v>8666</v>
      </c>
      <c r="T2355" t="s">
        <v>12620</v>
      </c>
      <c r="U2355" t="s">
        <v>12620</v>
      </c>
      <c r="V2355" t="s">
        <v>12620</v>
      </c>
      <c r="W2355" t="s">
        <v>14934</v>
      </c>
      <c r="X2355">
        <v>3</v>
      </c>
      <c r="Y2355" t="s">
        <v>21122</v>
      </c>
      <c r="Z2355" t="s">
        <v>27302</v>
      </c>
      <c r="AA2355">
        <v>1.0702289902277411</v>
      </c>
      <c r="AB2355" t="str">
        <f>HYPERLINK("Melting_Curves/meltCurve_P51608_MECP2.pdf", "Melting_Curves/meltCurve_P51608_MECP2.pdf")</f>
        <v>Melting_Curves/meltCurve_P51608_MECP2.pdf</v>
      </c>
    </row>
    <row r="2356" spans="1:28" x14ac:dyDescent="0.25">
      <c r="A2356" t="s">
        <v>2360</v>
      </c>
      <c r="B2356">
        <v>0.99987803227770999</v>
      </c>
      <c r="C2356">
        <v>1.0067130300062901</v>
      </c>
      <c r="D2356">
        <v>0.99912358206384599</v>
      </c>
      <c r="E2356">
        <v>0.72022150220369996</v>
      </c>
      <c r="F2356">
        <v>0.67172142997542506</v>
      </c>
      <c r="G2356">
        <v>0.55741489981608205</v>
      </c>
      <c r="H2356">
        <v>0.48922939709872698</v>
      </c>
      <c r="I2356">
        <v>0.18903345475875499</v>
      </c>
      <c r="J2356">
        <v>0</v>
      </c>
      <c r="K2356">
        <v>0.18324518823376701</v>
      </c>
      <c r="L2356">
        <v>617.54058112744701</v>
      </c>
      <c r="M2356">
        <v>10.786588264008399</v>
      </c>
      <c r="N2356">
        <v>57.250778895344702</v>
      </c>
      <c r="O2356">
        <v>55.388384570559197</v>
      </c>
      <c r="P2356">
        <v>-4.8703862521267398E-2</v>
      </c>
      <c r="Q2356">
        <v>0</v>
      </c>
      <c r="R2356">
        <v>0.93555794735865105</v>
      </c>
      <c r="S2356" t="s">
        <v>8667</v>
      </c>
      <c r="T2356" t="s">
        <v>12620</v>
      </c>
      <c r="U2356" t="s">
        <v>12620</v>
      </c>
      <c r="V2356" t="s">
        <v>12620</v>
      </c>
      <c r="W2356" t="s">
        <v>14935</v>
      </c>
      <c r="X2356">
        <v>41</v>
      </c>
      <c r="Y2356" t="s">
        <v>21123</v>
      </c>
      <c r="Z2356" t="s">
        <v>27303</v>
      </c>
      <c r="AA2356">
        <v>0.59025781291701063</v>
      </c>
      <c r="AB2356" t="str">
        <f>HYPERLINK("Melting_Curves/meltCurve_P51610_HCFC1.pdf", "Melting_Curves/meltCurve_P51610_HCFC1.pdf")</f>
        <v>Melting_Curves/meltCurve_P51610_HCFC1.pdf</v>
      </c>
    </row>
    <row r="2357" spans="1:28" x14ac:dyDescent="0.25">
      <c r="A2357" t="s">
        <v>2361</v>
      </c>
      <c r="B2357">
        <v>0.99987803227770999</v>
      </c>
      <c r="C2357">
        <v>1.0835436562232199</v>
      </c>
      <c r="D2357">
        <v>0.98447789900977301</v>
      </c>
      <c r="E2357">
        <v>0.96339058532098598</v>
      </c>
      <c r="F2357">
        <v>0.85632496818542903</v>
      </c>
      <c r="G2357">
        <v>0.59531283479151198</v>
      </c>
      <c r="H2357">
        <v>0.35428972455136098</v>
      </c>
      <c r="I2357">
        <v>0.27342467105499801</v>
      </c>
      <c r="J2357">
        <v>0.22042527225427799</v>
      </c>
      <c r="K2357">
        <v>0.16798467480436699</v>
      </c>
      <c r="L2357">
        <v>1113.52597146209</v>
      </c>
      <c r="M2357">
        <v>19.440347656933799</v>
      </c>
      <c r="N2357">
        <v>58.461528965173301</v>
      </c>
      <c r="O2357">
        <v>56.683354734114403</v>
      </c>
      <c r="P2357">
        <v>-7.1806434940097794E-2</v>
      </c>
      <c r="Q2357">
        <v>0.162549667071964</v>
      </c>
      <c r="R2357">
        <v>0.99333388194889205</v>
      </c>
      <c r="S2357" t="s">
        <v>8668</v>
      </c>
      <c r="T2357" t="s">
        <v>12620</v>
      </c>
      <c r="U2357" t="s">
        <v>12620</v>
      </c>
      <c r="V2357" t="s">
        <v>12620</v>
      </c>
      <c r="W2357" t="s">
        <v>14936</v>
      </c>
      <c r="X2357">
        <v>43</v>
      </c>
      <c r="Y2357" t="s">
        <v>21123</v>
      </c>
      <c r="Z2357" t="s">
        <v>27304</v>
      </c>
      <c r="AA2357">
        <v>0.65527931501465397</v>
      </c>
      <c r="AB2357" t="str">
        <f>HYPERLINK("Melting_Curves/meltCurve_P51610_4_HCFC1.pdf", "Melting_Curves/meltCurve_P51610_4_HCFC1.pdf")</f>
        <v>Melting_Curves/meltCurve_P51610_4_HCFC1.pdf</v>
      </c>
    </row>
    <row r="2358" spans="1:28" x14ac:dyDescent="0.25">
      <c r="A2358" t="s">
        <v>2362</v>
      </c>
      <c r="B2358">
        <v>0.99987803227770999</v>
      </c>
      <c r="C2358">
        <v>0.81753695541869298</v>
      </c>
      <c r="D2358">
        <v>0.42562398883906699</v>
      </c>
      <c r="E2358">
        <v>0.293449940436315</v>
      </c>
      <c r="F2358">
        <v>0.17429748978937501</v>
      </c>
      <c r="G2358">
        <v>0.122391623004266</v>
      </c>
      <c r="H2358">
        <v>7.7879644799212597E-2</v>
      </c>
      <c r="I2358">
        <v>7.0727172592325596E-2</v>
      </c>
      <c r="J2358">
        <v>5.0546704103229603E-2</v>
      </c>
      <c r="K2358">
        <v>4.15261381547046E-2</v>
      </c>
      <c r="L2358">
        <v>833.88201494813097</v>
      </c>
      <c r="M2358">
        <v>18.2413357539656</v>
      </c>
      <c r="N2358">
        <v>46.1130451688135</v>
      </c>
      <c r="O2358">
        <v>45.175096019026597</v>
      </c>
      <c r="P2358">
        <v>-9.3579578980530306E-2</v>
      </c>
      <c r="Q2358">
        <v>7.3035306692121493E-2</v>
      </c>
      <c r="R2358">
        <v>0.98164107607216999</v>
      </c>
      <c r="S2358" t="s">
        <v>8669</v>
      </c>
      <c r="T2358" t="s">
        <v>12620</v>
      </c>
      <c r="U2358" t="s">
        <v>12620</v>
      </c>
      <c r="V2358" t="s">
        <v>12620</v>
      </c>
      <c r="W2358" t="s">
        <v>14937</v>
      </c>
      <c r="X2358">
        <v>4</v>
      </c>
      <c r="Y2358" t="s">
        <v>21124</v>
      </c>
      <c r="Z2358" t="s">
        <v>27305</v>
      </c>
      <c r="AA2358">
        <v>0.26766202031518971</v>
      </c>
      <c r="AB2358" t="str">
        <f>HYPERLINK("Melting_Curves/meltCurve_P51617_IRAK1.pdf", "Melting_Curves/meltCurve_P51617_IRAK1.pdf")</f>
        <v>Melting_Curves/meltCurve_P51617_IRAK1.pdf</v>
      </c>
    </row>
    <row r="2359" spans="1:28" x14ac:dyDescent="0.25">
      <c r="A2359" t="s">
        <v>2363</v>
      </c>
      <c r="B2359">
        <v>0.99987803227770999</v>
      </c>
      <c r="C2359">
        <v>1.1599998803667</v>
      </c>
      <c r="D2359">
        <v>0.91567542235310595</v>
      </c>
      <c r="E2359">
        <v>1.1984687953819</v>
      </c>
      <c r="F2359">
        <v>0.83873333620551604</v>
      </c>
      <c r="G2359">
        <v>0.37309206804137002</v>
      </c>
      <c r="H2359">
        <v>0.110146438174011</v>
      </c>
      <c r="I2359">
        <v>8.3900934724143506E-2</v>
      </c>
      <c r="J2359">
        <v>6.2152250529377E-2</v>
      </c>
      <c r="K2359">
        <v>4.5625796633217003E-2</v>
      </c>
      <c r="L2359">
        <v>2037.9397572166599</v>
      </c>
      <c r="M2359">
        <v>36.494315927506101</v>
      </c>
      <c r="N2359">
        <v>56.048999938226402</v>
      </c>
      <c r="O2359">
        <v>55.675781620980999</v>
      </c>
      <c r="P2359">
        <v>-0.15356977866024099</v>
      </c>
      <c r="Q2359">
        <v>6.2857703209923399E-2</v>
      </c>
      <c r="R2359">
        <v>0.96258898060030895</v>
      </c>
      <c r="S2359" t="s">
        <v>8670</v>
      </c>
      <c r="T2359" t="s">
        <v>12620</v>
      </c>
      <c r="U2359" t="s">
        <v>12620</v>
      </c>
      <c r="V2359" t="s">
        <v>12620</v>
      </c>
      <c r="W2359" t="s">
        <v>14938</v>
      </c>
      <c r="X2359">
        <v>9</v>
      </c>
      <c r="Y2359" t="s">
        <v>21125</v>
      </c>
      <c r="Z2359" t="s">
        <v>27306</v>
      </c>
      <c r="AA2359">
        <v>0.56205644863733861</v>
      </c>
      <c r="AB2359" t="str">
        <f>HYPERLINK("Melting_Curves/meltCurve_P51649_ALDH5A1.pdf", "Melting_Curves/meltCurve_P51649_ALDH5A1.pdf")</f>
        <v>Melting_Curves/meltCurve_P51649_ALDH5A1.pdf</v>
      </c>
    </row>
    <row r="2360" spans="1:28" x14ac:dyDescent="0.25">
      <c r="A2360" t="s">
        <v>2364</v>
      </c>
      <c r="B2360">
        <v>0.99987803227770999</v>
      </c>
      <c r="C2360">
        <v>0.99467463263342504</v>
      </c>
      <c r="D2360">
        <v>0.91731705767405103</v>
      </c>
      <c r="E2360">
        <v>0.835675135969283</v>
      </c>
      <c r="F2360">
        <v>0.65871298226409902</v>
      </c>
      <c r="G2360">
        <v>0.56166493901530801</v>
      </c>
      <c r="H2360">
        <v>0.41477794207344298</v>
      </c>
      <c r="I2360">
        <v>0.31433477800519599</v>
      </c>
      <c r="J2360">
        <v>0.21451871648200299</v>
      </c>
      <c r="K2360">
        <v>0.119692376514204</v>
      </c>
      <c r="L2360">
        <v>553.36965229357895</v>
      </c>
      <c r="M2360">
        <v>9.5313165414300691</v>
      </c>
      <c r="N2360">
        <v>58.0580499231217</v>
      </c>
      <c r="O2360">
        <v>55.674769764387797</v>
      </c>
      <c r="P2360">
        <v>-4.2824085758703299E-2</v>
      </c>
      <c r="Q2360">
        <v>0</v>
      </c>
      <c r="R2360">
        <v>0.99208856735425099</v>
      </c>
      <c r="S2360" t="s">
        <v>8671</v>
      </c>
      <c r="T2360" t="s">
        <v>12620</v>
      </c>
      <c r="U2360" t="s">
        <v>12620</v>
      </c>
      <c r="V2360" t="s">
        <v>12620</v>
      </c>
      <c r="W2360" t="s">
        <v>14939</v>
      </c>
      <c r="X2360">
        <v>9</v>
      </c>
      <c r="Y2360" t="s">
        <v>21126</v>
      </c>
      <c r="Z2360" t="s">
        <v>27307</v>
      </c>
      <c r="AA2360">
        <v>0.61036307873400075</v>
      </c>
      <c r="AB2360" t="str">
        <f>HYPERLINK("Melting_Curves/meltCurve_P51659_HSD17B4.pdf", "Melting_Curves/meltCurve_P51659_HSD17B4.pdf")</f>
        <v>Melting_Curves/meltCurve_P51659_HSD17B4.pdf</v>
      </c>
    </row>
    <row r="2361" spans="1:28" x14ac:dyDescent="0.25">
      <c r="A2361" t="s">
        <v>2365</v>
      </c>
      <c r="B2361">
        <v>0.99987803227770999</v>
      </c>
      <c r="C2361">
        <v>0.98549923191975897</v>
      </c>
      <c r="D2361">
        <v>0.844729097321678</v>
      </c>
      <c r="E2361">
        <v>1.3269091440540299</v>
      </c>
      <c r="F2361">
        <v>0.91201551459179997</v>
      </c>
      <c r="G2361">
        <v>0.47246788631306802</v>
      </c>
      <c r="H2361">
        <v>0.21945059573376099</v>
      </c>
      <c r="I2361">
        <v>0.17117269331851501</v>
      </c>
      <c r="J2361">
        <v>0.136086245116781</v>
      </c>
      <c r="K2361">
        <v>8.4805118768935803E-2</v>
      </c>
      <c r="L2361">
        <v>2252.0355239208302</v>
      </c>
      <c r="M2361">
        <v>39.922130720340199</v>
      </c>
      <c r="N2361">
        <v>56.872606682571202</v>
      </c>
      <c r="O2361">
        <v>56.269716589755298</v>
      </c>
      <c r="P2361">
        <v>-0.15281143183193699</v>
      </c>
      <c r="Q2361">
        <v>0.13845900985231899</v>
      </c>
      <c r="R2361">
        <v>0.92268193640934804</v>
      </c>
      <c r="S2361" t="s">
        <v>8672</v>
      </c>
      <c r="T2361" t="s">
        <v>12620</v>
      </c>
      <c r="U2361" t="s">
        <v>12620</v>
      </c>
      <c r="V2361" t="s">
        <v>12620</v>
      </c>
      <c r="W2361" t="s">
        <v>14940</v>
      </c>
      <c r="X2361">
        <v>9</v>
      </c>
      <c r="Y2361" t="s">
        <v>21127</v>
      </c>
      <c r="Z2361" t="s">
        <v>27308</v>
      </c>
      <c r="AA2361">
        <v>0.6130870010261088</v>
      </c>
      <c r="AB2361" t="str">
        <f>HYPERLINK("Melting_Curves/meltCurve_P51665_PSMD7.pdf", "Melting_Curves/meltCurve_P51665_PSMD7.pdf")</f>
        <v>Melting_Curves/meltCurve_P51665_PSMD7.pdf</v>
      </c>
    </row>
    <row r="2362" spans="1:28" x14ac:dyDescent="0.25">
      <c r="A2362" t="s">
        <v>2366</v>
      </c>
      <c r="B2362">
        <v>0.99987803227770999</v>
      </c>
      <c r="C2362">
        <v>0.88778957966747396</v>
      </c>
      <c r="D2362">
        <v>1.00229086507799</v>
      </c>
      <c r="E2362">
        <v>0.80025033564132397</v>
      </c>
      <c r="F2362">
        <v>0.623292979511061</v>
      </c>
      <c r="G2362">
        <v>0.13791638480577501</v>
      </c>
      <c r="H2362">
        <v>7.0627985947140995E-2</v>
      </c>
      <c r="I2362">
        <v>4.3515544929804001E-2</v>
      </c>
      <c r="J2362">
        <v>3.0433033595751901E-2</v>
      </c>
      <c r="K2362">
        <v>2.1055448082515901E-2</v>
      </c>
      <c r="L2362">
        <v>1353.75685632254</v>
      </c>
      <c r="M2362">
        <v>25.304968980449299</v>
      </c>
      <c r="N2362">
        <v>53.576841288147399</v>
      </c>
      <c r="O2362">
        <v>53.1669287500997</v>
      </c>
      <c r="P2362">
        <v>-0.116806160440786</v>
      </c>
      <c r="Q2362">
        <v>1.8351725554556199E-2</v>
      </c>
      <c r="R2362">
        <v>0.98731205141693801</v>
      </c>
      <c r="S2362" t="s">
        <v>8673</v>
      </c>
      <c r="T2362" t="s">
        <v>12620</v>
      </c>
      <c r="U2362" t="s">
        <v>12620</v>
      </c>
      <c r="V2362" t="s">
        <v>12620</v>
      </c>
      <c r="W2362" t="s">
        <v>14941</v>
      </c>
      <c r="X2362">
        <v>2</v>
      </c>
      <c r="Y2362" t="s">
        <v>21128</v>
      </c>
      <c r="Z2362" t="s">
        <v>27309</v>
      </c>
      <c r="AA2362">
        <v>0.46888136258245439</v>
      </c>
      <c r="AB2362" t="str">
        <f>HYPERLINK("Melting_Curves/meltCurve_P51668_UBE2D1.pdf", "Melting_Curves/meltCurve_P51668_UBE2D1.pdf")</f>
        <v>Melting_Curves/meltCurve_P51668_UBE2D1.pdf</v>
      </c>
    </row>
    <row r="2363" spans="1:28" x14ac:dyDescent="0.25">
      <c r="A2363" t="s">
        <v>2367</v>
      </c>
      <c r="B2363">
        <v>0.99987803227770999</v>
      </c>
      <c r="C2363">
        <v>1.0576532353508401</v>
      </c>
      <c r="D2363">
        <v>0.87029825926543403</v>
      </c>
      <c r="E2363">
        <v>1.0626062052198399</v>
      </c>
      <c r="F2363">
        <v>0.92693393402205604</v>
      </c>
      <c r="G2363">
        <v>1.1195540794396299</v>
      </c>
      <c r="H2363">
        <v>1.1166214099606699</v>
      </c>
      <c r="I2363">
        <v>0.98933746796039801</v>
      </c>
      <c r="J2363">
        <v>0.75058127835108801</v>
      </c>
      <c r="K2363">
        <v>0.55047519643279297</v>
      </c>
      <c r="L2363">
        <v>5999.1200863959402</v>
      </c>
      <c r="M2363">
        <v>89.720814404449598</v>
      </c>
      <c r="O2363">
        <v>66.831109490684696</v>
      </c>
      <c r="P2363">
        <v>-0.15357297655854399</v>
      </c>
      <c r="Q2363">
        <v>0.54242717860718603</v>
      </c>
      <c r="R2363">
        <v>0.80285683403913199</v>
      </c>
      <c r="S2363" t="s">
        <v>8674</v>
      </c>
      <c r="T2363" t="s">
        <v>12620</v>
      </c>
      <c r="U2363" t="s">
        <v>12620</v>
      </c>
      <c r="V2363" t="s">
        <v>12620</v>
      </c>
      <c r="W2363" t="s">
        <v>14942</v>
      </c>
      <c r="X2363">
        <v>4</v>
      </c>
      <c r="Y2363" t="s">
        <v>21129</v>
      </c>
      <c r="Z2363" t="s">
        <v>27310</v>
      </c>
      <c r="AA2363">
        <v>0.95236332342740748</v>
      </c>
      <c r="AB2363" t="str">
        <f>HYPERLINK("Melting_Curves/meltCurve_P51688_SGSH.pdf", "Melting_Curves/meltCurve_P51688_SGSH.pdf")</f>
        <v>Melting_Curves/meltCurve_P51688_SGSH.pdf</v>
      </c>
    </row>
    <row r="2364" spans="1:28" x14ac:dyDescent="0.25">
      <c r="A2364" t="s">
        <v>2368</v>
      </c>
      <c r="B2364">
        <v>0.99987803227770999</v>
      </c>
      <c r="C2364">
        <v>0.98336554597465997</v>
      </c>
      <c r="D2364">
        <v>0.96312193639933097</v>
      </c>
      <c r="E2364">
        <v>0.51664286929127201</v>
      </c>
      <c r="F2364">
        <v>0.16379807681075101</v>
      </c>
      <c r="G2364">
        <v>9.5427606869328802E-2</v>
      </c>
      <c r="H2364">
        <v>5.8021922140578802E-2</v>
      </c>
      <c r="I2364">
        <v>5.5137620083167103E-2</v>
      </c>
      <c r="J2364">
        <v>4.6840695036751999E-2</v>
      </c>
      <c r="K2364">
        <v>3.4220856682826102E-2</v>
      </c>
      <c r="L2364">
        <v>1734.1987624201299</v>
      </c>
      <c r="M2364">
        <v>34.721096676831998</v>
      </c>
      <c r="N2364">
        <v>50.112119194289498</v>
      </c>
      <c r="O2364">
        <v>49.781754753813502</v>
      </c>
      <c r="P2364">
        <v>-0.16491778836068099</v>
      </c>
      <c r="Q2364">
        <v>5.4193081731315297E-2</v>
      </c>
      <c r="R2364">
        <v>0.99907434054273003</v>
      </c>
      <c r="S2364" t="s">
        <v>8675</v>
      </c>
      <c r="T2364" t="s">
        <v>12620</v>
      </c>
      <c r="U2364" t="s">
        <v>12620</v>
      </c>
      <c r="V2364" t="s">
        <v>12620</v>
      </c>
      <c r="W2364" t="s">
        <v>14943</v>
      </c>
      <c r="X2364">
        <v>13</v>
      </c>
      <c r="Y2364" t="s">
        <v>21130</v>
      </c>
      <c r="Z2364" t="s">
        <v>27311</v>
      </c>
      <c r="AA2364">
        <v>0.37212474712474852</v>
      </c>
      <c r="AB2364" t="str">
        <f>HYPERLINK("Melting_Curves/meltCurve_P51692_STAT5B.pdf", "Melting_Curves/meltCurve_P51692_STAT5B.pdf")</f>
        <v>Melting_Curves/meltCurve_P51692_STAT5B.pdf</v>
      </c>
    </row>
    <row r="2365" spans="1:28" x14ac:dyDescent="0.25">
      <c r="A2365" t="s">
        <v>2369</v>
      </c>
      <c r="B2365">
        <v>0.99987803227770999</v>
      </c>
      <c r="C2365">
        <v>0.86903338046590695</v>
      </c>
      <c r="D2365">
        <v>1.0312133515951101</v>
      </c>
      <c r="E2365">
        <v>0.65565703670921205</v>
      </c>
      <c r="F2365">
        <v>1.2395498329464001</v>
      </c>
      <c r="G2365">
        <v>0.81696685839461403</v>
      </c>
      <c r="H2365">
        <v>0.43774652989725998</v>
      </c>
      <c r="I2365">
        <v>0.27871247746897998</v>
      </c>
      <c r="J2365">
        <v>0.19914409442318001</v>
      </c>
      <c r="K2365">
        <v>0.121589935275817</v>
      </c>
      <c r="L2365">
        <v>1887.7947877772301</v>
      </c>
      <c r="M2365">
        <v>31.577334577932501</v>
      </c>
      <c r="N2365">
        <v>60.480211015831699</v>
      </c>
      <c r="O2365">
        <v>59.544992975139998</v>
      </c>
      <c r="P2365">
        <v>-0.112357586026093</v>
      </c>
      <c r="Q2365">
        <v>0.15251923604717499</v>
      </c>
      <c r="R2365">
        <v>0.84917230630372698</v>
      </c>
      <c r="S2365" t="s">
        <v>8676</v>
      </c>
      <c r="T2365" t="s">
        <v>12620</v>
      </c>
      <c r="U2365" t="s">
        <v>12620</v>
      </c>
      <c r="V2365" t="s">
        <v>12620</v>
      </c>
      <c r="W2365" t="s">
        <v>14944</v>
      </c>
      <c r="X2365">
        <v>2</v>
      </c>
      <c r="Y2365" t="s">
        <v>21131</v>
      </c>
      <c r="Z2365" t="s">
        <v>27312</v>
      </c>
      <c r="AA2365">
        <v>0.71624628037724059</v>
      </c>
      <c r="AB2365" t="str">
        <f>HYPERLINK("Melting_Curves/meltCurve_P51808_DYNLT3.pdf", "Melting_Curves/meltCurve_P51808_DYNLT3.pdf")</f>
        <v>Melting_Curves/meltCurve_P51808_DYNLT3.pdf</v>
      </c>
    </row>
    <row r="2366" spans="1:28" x14ac:dyDescent="0.25">
      <c r="A2366" t="s">
        <v>2370</v>
      </c>
      <c r="B2366">
        <v>0.99987803227770999</v>
      </c>
      <c r="C2366">
        <v>1.0910519942035399</v>
      </c>
      <c r="D2366">
        <v>0.94803173748363301</v>
      </c>
      <c r="E2366">
        <v>0.69713574209015405</v>
      </c>
      <c r="F2366">
        <v>0.22252873475971</v>
      </c>
      <c r="G2366">
        <v>0.12665260277634299</v>
      </c>
      <c r="H2366">
        <v>7.7284220670771897E-2</v>
      </c>
      <c r="I2366">
        <v>6.6919445218192E-2</v>
      </c>
      <c r="J2366">
        <v>4.8368884847928603E-2</v>
      </c>
      <c r="K2366">
        <v>3.4506239606438803E-2</v>
      </c>
      <c r="L2366">
        <v>1909.44630420626</v>
      </c>
      <c r="M2366">
        <v>37.500643631734299</v>
      </c>
      <c r="N2366">
        <v>51.106231093922197</v>
      </c>
      <c r="O2366">
        <v>50.773557170839403</v>
      </c>
      <c r="P2366">
        <v>-0.17271871522552501</v>
      </c>
      <c r="Q2366">
        <v>6.4600722636124805E-2</v>
      </c>
      <c r="R2366">
        <v>0.99253219491096301</v>
      </c>
      <c r="S2366" t="s">
        <v>8677</v>
      </c>
      <c r="T2366" t="s">
        <v>12620</v>
      </c>
      <c r="U2366" t="s">
        <v>12620</v>
      </c>
      <c r="V2366" t="s">
        <v>12620</v>
      </c>
      <c r="W2366" t="s">
        <v>14945</v>
      </c>
      <c r="X2366">
        <v>34</v>
      </c>
      <c r="Y2366" t="s">
        <v>21132</v>
      </c>
      <c r="Z2366" t="s">
        <v>27313</v>
      </c>
      <c r="AA2366">
        <v>0.40876328499543269</v>
      </c>
      <c r="AB2366" t="str">
        <f>HYPERLINK("Melting_Curves/meltCurve_P51812_RPS6KA3.pdf", "Melting_Curves/meltCurve_P51812_RPS6KA3.pdf")</f>
        <v>Melting_Curves/meltCurve_P51812_RPS6KA3.pdf</v>
      </c>
    </row>
    <row r="2367" spans="1:28" x14ac:dyDescent="0.25">
      <c r="A2367" t="s">
        <v>2371</v>
      </c>
      <c r="B2367">
        <v>0.99987803227770999</v>
      </c>
      <c r="C2367">
        <v>0.98195993816913896</v>
      </c>
      <c r="D2367">
        <v>0.65087557339799795</v>
      </c>
      <c r="E2367">
        <v>0.34062206136198803</v>
      </c>
      <c r="F2367">
        <v>0.208296720915085</v>
      </c>
      <c r="G2367">
        <v>0.156043557305797</v>
      </c>
      <c r="H2367">
        <v>0.115729274173639</v>
      </c>
      <c r="I2367">
        <v>0.11407860690081099</v>
      </c>
      <c r="J2367">
        <v>6.6145568736342406E-2</v>
      </c>
      <c r="K2367">
        <v>5.0568917247989197E-2</v>
      </c>
      <c r="L2367">
        <v>974.39850248846096</v>
      </c>
      <c r="M2367">
        <v>20.491794708481901</v>
      </c>
      <c r="N2367">
        <v>48.032220637920098</v>
      </c>
      <c r="O2367">
        <v>47.104793043392597</v>
      </c>
      <c r="P2367">
        <v>-9.8660626933739795E-2</v>
      </c>
      <c r="Q2367">
        <v>9.2856622966029201E-2</v>
      </c>
      <c r="R2367">
        <v>0.99028062616437296</v>
      </c>
      <c r="S2367" t="s">
        <v>8678</v>
      </c>
      <c r="T2367" t="s">
        <v>12620</v>
      </c>
      <c r="U2367" t="s">
        <v>12620</v>
      </c>
      <c r="V2367" t="s">
        <v>12620</v>
      </c>
      <c r="W2367" t="s">
        <v>14946</v>
      </c>
      <c r="X2367">
        <v>4</v>
      </c>
      <c r="Y2367" t="s">
        <v>21133</v>
      </c>
      <c r="Z2367" t="s">
        <v>27314</v>
      </c>
      <c r="AA2367">
        <v>0.33354085256247579</v>
      </c>
      <c r="AB2367" t="str">
        <f>HYPERLINK("Melting_Curves/meltCurve_P51817_PRKX.pdf", "Melting_Curves/meltCurve_P51817_PRKX.pdf")</f>
        <v>Melting_Curves/meltCurve_P51817_PRKX.pdf</v>
      </c>
    </row>
    <row r="2368" spans="1:28" x14ac:dyDescent="0.25">
      <c r="A2368" t="s">
        <v>2372</v>
      </c>
      <c r="B2368">
        <v>0.99987803227770999</v>
      </c>
      <c r="C2368">
        <v>0.922745255934869</v>
      </c>
      <c r="D2368">
        <v>0.96801299351922399</v>
      </c>
      <c r="E2368">
        <v>0.83686275991985004</v>
      </c>
      <c r="F2368">
        <v>0.73339630058929395</v>
      </c>
      <c r="G2368">
        <v>0.66318934392404205</v>
      </c>
      <c r="H2368">
        <v>0.55189588075977603</v>
      </c>
      <c r="I2368">
        <v>0.58827276960033004</v>
      </c>
      <c r="J2368">
        <v>0.54369746743429503</v>
      </c>
      <c r="K2368">
        <v>0.39862809980334202</v>
      </c>
      <c r="L2368">
        <v>464.15506995383703</v>
      </c>
      <c r="M2368">
        <v>8.1809864997823691</v>
      </c>
      <c r="N2368">
        <v>66.355943797698302</v>
      </c>
      <c r="O2368">
        <v>53.648211807313203</v>
      </c>
      <c r="P2368">
        <v>-2.49093933954289E-2</v>
      </c>
      <c r="Q2368">
        <v>0.34728851500833102</v>
      </c>
      <c r="R2368">
        <v>0.95760169967624598</v>
      </c>
      <c r="S2368" t="s">
        <v>8679</v>
      </c>
      <c r="T2368" t="s">
        <v>12620</v>
      </c>
      <c r="U2368" t="s">
        <v>12620</v>
      </c>
      <c r="V2368" t="s">
        <v>12620</v>
      </c>
      <c r="W2368" t="s">
        <v>14947</v>
      </c>
      <c r="X2368">
        <v>3</v>
      </c>
      <c r="Y2368" t="s">
        <v>21134</v>
      </c>
      <c r="Z2368" t="s">
        <v>27315</v>
      </c>
      <c r="AA2368">
        <v>0.72090042734333182</v>
      </c>
      <c r="AB2368" t="str">
        <f>HYPERLINK("Melting_Curves/meltCurve_P51825_2_AFF1.pdf", "Melting_Curves/meltCurve_P51825_2_AFF1.pdf")</f>
        <v>Melting_Curves/meltCurve_P51825_2_AFF1.pdf</v>
      </c>
    </row>
    <row r="2369" spans="1:28" x14ac:dyDescent="0.25">
      <c r="A2369" t="s">
        <v>2373</v>
      </c>
      <c r="B2369">
        <v>0.99987803227770999</v>
      </c>
      <c r="C2369">
        <v>0.94718567914582796</v>
      </c>
      <c r="D2369">
        <v>1.01959097192226</v>
      </c>
      <c r="E2369">
        <v>0.66669188457613704</v>
      </c>
      <c r="F2369">
        <v>0.20108467967750501</v>
      </c>
      <c r="G2369">
        <v>9.9427474899599105E-2</v>
      </c>
      <c r="H2369">
        <v>7.4375374123700003E-2</v>
      </c>
      <c r="I2369">
        <v>6.3827964656474306E-2</v>
      </c>
      <c r="J2369">
        <v>5.4170159210368003E-2</v>
      </c>
      <c r="K2369">
        <v>4.2495684633208797E-2</v>
      </c>
      <c r="L2369">
        <v>2097.25926824723</v>
      </c>
      <c r="M2369">
        <v>41.3390279947889</v>
      </c>
      <c r="N2369">
        <v>50.903258802206103</v>
      </c>
      <c r="O2369">
        <v>50.614864087659001</v>
      </c>
      <c r="P2369">
        <v>-0.19101194965961801</v>
      </c>
      <c r="Q2369">
        <v>6.4513406620294103E-2</v>
      </c>
      <c r="R2369">
        <v>0.99700178708731502</v>
      </c>
      <c r="S2369" t="s">
        <v>8680</v>
      </c>
      <c r="T2369" t="s">
        <v>12620</v>
      </c>
      <c r="U2369" t="s">
        <v>12620</v>
      </c>
      <c r="V2369" t="s">
        <v>12620</v>
      </c>
      <c r="W2369" t="s">
        <v>14948</v>
      </c>
      <c r="X2369">
        <v>2</v>
      </c>
      <c r="Y2369" t="s">
        <v>21135</v>
      </c>
      <c r="Z2369" t="s">
        <v>27316</v>
      </c>
      <c r="AA2369">
        <v>0.40227422180600952</v>
      </c>
      <c r="AB2369" t="str">
        <f>HYPERLINK("Melting_Curves/meltCurve_P51857_2_AKR1D1.pdf", "Melting_Curves/meltCurve_P51857_2_AKR1D1.pdf")</f>
        <v>Melting_Curves/meltCurve_P51857_2_AKR1D1.pdf</v>
      </c>
    </row>
    <row r="2370" spans="1:28" x14ac:dyDescent="0.25">
      <c r="A2370" t="s">
        <v>2374</v>
      </c>
      <c r="B2370">
        <v>0.99987803227770999</v>
      </c>
      <c r="C2370">
        <v>0.78615877547166702</v>
      </c>
      <c r="D2370">
        <v>0.97695387246139698</v>
      </c>
      <c r="E2370">
        <v>0.83729517536248099</v>
      </c>
      <c r="F2370">
        <v>1.1167919278489</v>
      </c>
      <c r="G2370">
        <v>0.94618995536267703</v>
      </c>
      <c r="H2370">
        <v>0.96457771899977696</v>
      </c>
      <c r="I2370">
        <v>0.93870571012039805</v>
      </c>
      <c r="J2370">
        <v>0.93417465036824199</v>
      </c>
      <c r="K2370">
        <v>0.80007551439769498</v>
      </c>
      <c r="L2370">
        <v>58.2429783976838</v>
      </c>
      <c r="M2370">
        <v>1.0000000000000001E-5</v>
      </c>
      <c r="Q2370">
        <v>0.72457455533773896</v>
      </c>
      <c r="R2370">
        <v>7.9529021469153492E-3</v>
      </c>
      <c r="S2370" t="s">
        <v>8681</v>
      </c>
      <c r="T2370" t="s">
        <v>12620</v>
      </c>
      <c r="U2370" t="s">
        <v>12620</v>
      </c>
      <c r="V2370" t="s">
        <v>12620</v>
      </c>
      <c r="W2370" t="s">
        <v>14949</v>
      </c>
      <c r="X2370">
        <v>21</v>
      </c>
      <c r="Y2370" t="s">
        <v>21136</v>
      </c>
      <c r="Z2370" t="s">
        <v>27317</v>
      </c>
      <c r="AA2370">
        <v>0.93011292358914477</v>
      </c>
      <c r="AB2370" t="str">
        <f>HYPERLINK("Melting_Curves/meltCurve_P51858_HDGF.pdf", "Melting_Curves/meltCurve_P51858_HDGF.pdf")</f>
        <v>Melting_Curves/meltCurve_P51858_HDGF.pdf</v>
      </c>
    </row>
    <row r="2371" spans="1:28" x14ac:dyDescent="0.25">
      <c r="A2371" t="s">
        <v>2375</v>
      </c>
      <c r="B2371">
        <v>0.99987803227770999</v>
      </c>
      <c r="C2371">
        <v>1.0280394276793401</v>
      </c>
      <c r="D2371">
        <v>1.11506788009362</v>
      </c>
      <c r="E2371">
        <v>1.1504246583889399</v>
      </c>
      <c r="F2371">
        <v>1.15015031494098</v>
      </c>
      <c r="G2371">
        <v>0.87472647573055895</v>
      </c>
      <c r="H2371">
        <v>0.45601181885515102</v>
      </c>
      <c r="I2371">
        <v>0.41837718165816901</v>
      </c>
      <c r="J2371">
        <v>0.35643327839290201</v>
      </c>
      <c r="K2371">
        <v>0.32593492574208999</v>
      </c>
      <c r="L2371">
        <v>2787.3554540713499</v>
      </c>
      <c r="M2371">
        <v>47.394630942107803</v>
      </c>
      <c r="N2371">
        <v>60.437257044039001</v>
      </c>
      <c r="O2371">
        <v>58.707215396886397</v>
      </c>
      <c r="P2371">
        <v>-0.12911642208924201</v>
      </c>
      <c r="Q2371">
        <v>0.360260281166559</v>
      </c>
      <c r="R2371">
        <v>0.94348714894999597</v>
      </c>
      <c r="S2371" t="s">
        <v>8682</v>
      </c>
      <c r="T2371" t="s">
        <v>12620</v>
      </c>
      <c r="U2371" t="s">
        <v>12620</v>
      </c>
      <c r="V2371" t="s">
        <v>12620</v>
      </c>
      <c r="W2371" t="s">
        <v>14950</v>
      </c>
      <c r="X2371">
        <v>7</v>
      </c>
      <c r="Y2371" t="s">
        <v>21137</v>
      </c>
      <c r="Z2371" t="s">
        <v>27318</v>
      </c>
      <c r="AA2371">
        <v>0.76323982670786672</v>
      </c>
      <c r="AB2371" t="str">
        <f>HYPERLINK("Melting_Curves/meltCurve_P51948_MNAT1.pdf", "Melting_Curves/meltCurve_P51948_MNAT1.pdf")</f>
        <v>Melting_Curves/meltCurve_P51948_MNAT1.pdf</v>
      </c>
    </row>
    <row r="2372" spans="1:28" x14ac:dyDescent="0.25">
      <c r="A2372" t="s">
        <v>2376</v>
      </c>
      <c r="B2372">
        <v>0.99987803227770999</v>
      </c>
      <c r="C2372">
        <v>0.32912920625750303</v>
      </c>
      <c r="D2372">
        <v>1.2094638652390399</v>
      </c>
      <c r="E2372">
        <v>0.81601648598592702</v>
      </c>
      <c r="F2372">
        <v>0.62685916383734297</v>
      </c>
      <c r="G2372">
        <v>0.38802666787587697</v>
      </c>
      <c r="H2372">
        <v>0.24706906911894799</v>
      </c>
      <c r="I2372">
        <v>0.23521772131527499</v>
      </c>
      <c r="J2372">
        <v>0.226246787008276</v>
      </c>
      <c r="K2372">
        <v>0.19657973900169101</v>
      </c>
      <c r="L2372">
        <v>1036.1213749405499</v>
      </c>
      <c r="M2372">
        <v>19.378841013740001</v>
      </c>
      <c r="N2372">
        <v>54.879866001324501</v>
      </c>
      <c r="O2372">
        <v>52.907024948617199</v>
      </c>
      <c r="P2372">
        <v>-7.3584786114525194E-2</v>
      </c>
      <c r="Q2372">
        <v>0.196441044157249</v>
      </c>
      <c r="R2372">
        <v>0.58412363720582605</v>
      </c>
      <c r="S2372" t="s">
        <v>8683</v>
      </c>
      <c r="T2372" t="s">
        <v>12620</v>
      </c>
      <c r="U2372" t="s">
        <v>12620</v>
      </c>
      <c r="V2372" t="s">
        <v>12620</v>
      </c>
      <c r="W2372" t="s">
        <v>14951</v>
      </c>
      <c r="X2372">
        <v>10</v>
      </c>
      <c r="Y2372" t="s">
        <v>21138</v>
      </c>
      <c r="Z2372" t="s">
        <v>27319</v>
      </c>
      <c r="AA2372">
        <v>0.5687361656073584</v>
      </c>
      <c r="AB2372" t="str">
        <f>HYPERLINK("Melting_Curves/meltCurve_P51991_HNRNPA3.pdf", "Melting_Curves/meltCurve_P51991_HNRNPA3.pdf")</f>
        <v>Melting_Curves/meltCurve_P51991_HNRNPA3.pdf</v>
      </c>
    </row>
    <row r="2373" spans="1:28" x14ac:dyDescent="0.25">
      <c r="A2373" t="s">
        <v>2377</v>
      </c>
      <c r="B2373">
        <v>0.99987803227770999</v>
      </c>
      <c r="C2373">
        <v>0.77606310102612797</v>
      </c>
      <c r="D2373">
        <v>1.1008049972027401</v>
      </c>
      <c r="E2373">
        <v>0.73495862244347099</v>
      </c>
      <c r="F2373">
        <v>0.71266102338978599</v>
      </c>
      <c r="G2373">
        <v>0.56574652342641996</v>
      </c>
      <c r="H2373">
        <v>0.39349084619202002</v>
      </c>
      <c r="I2373">
        <v>0.41255073331917802</v>
      </c>
      <c r="J2373">
        <v>0.31481230924667197</v>
      </c>
      <c r="K2373">
        <v>0.25847547148452199</v>
      </c>
      <c r="L2373">
        <v>533.90109501747804</v>
      </c>
      <c r="M2373">
        <v>9.4750461322761304</v>
      </c>
      <c r="N2373">
        <v>58.740358160438099</v>
      </c>
      <c r="O2373">
        <v>54.009347034657701</v>
      </c>
      <c r="P2373">
        <v>-3.68598456564182E-2</v>
      </c>
      <c r="Q2373">
        <v>0.16007267513902301</v>
      </c>
      <c r="R2373">
        <v>0.89317695407196196</v>
      </c>
      <c r="S2373" t="s">
        <v>8684</v>
      </c>
      <c r="T2373" t="s">
        <v>12620</v>
      </c>
      <c r="U2373" t="s">
        <v>12620</v>
      </c>
      <c r="V2373" t="s">
        <v>12620</v>
      </c>
      <c r="W2373" t="s">
        <v>14952</v>
      </c>
      <c r="X2373">
        <v>41</v>
      </c>
      <c r="Y2373" t="s">
        <v>19699</v>
      </c>
      <c r="Z2373" t="s">
        <v>27320</v>
      </c>
      <c r="AA2373">
        <v>0.63376454422340811</v>
      </c>
      <c r="AB2373" t="str">
        <f>HYPERLINK("Melting_Curves/meltCurve_P52272_2_HNRNPM.pdf", "Melting_Curves/meltCurve_P52272_2_HNRNPM.pdf")</f>
        <v>Melting_Curves/meltCurve_P52272_2_HNRNPM.pdf</v>
      </c>
    </row>
    <row r="2374" spans="1:28" x14ac:dyDescent="0.25">
      <c r="A2374" t="s">
        <v>2378</v>
      </c>
      <c r="B2374">
        <v>0.99987803227770999</v>
      </c>
      <c r="C2374">
        <v>1.0547898568065599</v>
      </c>
      <c r="D2374">
        <v>0.53381841717434197</v>
      </c>
      <c r="E2374">
        <v>0.32653546833552799</v>
      </c>
      <c r="F2374">
        <v>0.17929001426733199</v>
      </c>
      <c r="G2374">
        <v>0.110713139527194</v>
      </c>
      <c r="H2374">
        <v>7.6649472689131706E-2</v>
      </c>
      <c r="I2374">
        <v>6.9364217976475698E-2</v>
      </c>
      <c r="J2374">
        <v>5.0154170127230301E-2</v>
      </c>
      <c r="K2374">
        <v>3.8891000612988398E-2</v>
      </c>
      <c r="L2374">
        <v>1034.7422977607901</v>
      </c>
      <c r="M2374">
        <v>21.997175450619501</v>
      </c>
      <c r="N2374">
        <v>47.378607883698898</v>
      </c>
      <c r="O2374">
        <v>46.656195668793799</v>
      </c>
      <c r="P2374">
        <v>-0.10929225181772401</v>
      </c>
      <c r="Q2374">
        <v>7.2781536188587001E-2</v>
      </c>
      <c r="R2374">
        <v>0.96824359411570204</v>
      </c>
      <c r="S2374" t="s">
        <v>8685</v>
      </c>
      <c r="T2374" t="s">
        <v>12620</v>
      </c>
      <c r="U2374" t="s">
        <v>12620</v>
      </c>
      <c r="V2374" t="s">
        <v>12620</v>
      </c>
      <c r="W2374" t="s">
        <v>14953</v>
      </c>
      <c r="X2374">
        <v>18</v>
      </c>
      <c r="Y2374" t="s">
        <v>21139</v>
      </c>
      <c r="Z2374" t="s">
        <v>27321</v>
      </c>
      <c r="AA2374">
        <v>0.30134008067616708</v>
      </c>
      <c r="AB2374" t="str">
        <f>HYPERLINK("Melting_Curves/meltCurve_P52292_KPNA2.pdf", "Melting_Curves/meltCurve_P52292_KPNA2.pdf")</f>
        <v>Melting_Curves/meltCurve_P52292_KPNA2.pdf</v>
      </c>
    </row>
    <row r="2375" spans="1:28" x14ac:dyDescent="0.25">
      <c r="A2375" t="s">
        <v>2379</v>
      </c>
      <c r="B2375">
        <v>0.99987803227770999</v>
      </c>
      <c r="C2375">
        <v>1.05847472566499</v>
      </c>
      <c r="D2375">
        <v>0.87498099829079301</v>
      </c>
      <c r="E2375">
        <v>0.699016182546634</v>
      </c>
      <c r="F2375">
        <v>0.24154367292030701</v>
      </c>
      <c r="G2375">
        <v>0.15702928724781401</v>
      </c>
      <c r="H2375">
        <v>0.12721106904936</v>
      </c>
      <c r="I2375">
        <v>0.107169733689376</v>
      </c>
      <c r="J2375">
        <v>0.107258429725264</v>
      </c>
      <c r="K2375">
        <v>8.0696479605804602E-2</v>
      </c>
      <c r="L2375">
        <v>1741.06093286804</v>
      </c>
      <c r="M2375">
        <v>34.298305461468701</v>
      </c>
      <c r="N2375">
        <v>51.121003081138099</v>
      </c>
      <c r="O2375">
        <v>50.590644684065502</v>
      </c>
      <c r="P2375">
        <v>-0.15136412503543301</v>
      </c>
      <c r="Q2375">
        <v>0.10694330104411399</v>
      </c>
      <c r="R2375">
        <v>0.98832355186473997</v>
      </c>
      <c r="S2375" t="s">
        <v>8686</v>
      </c>
      <c r="T2375" t="s">
        <v>12620</v>
      </c>
      <c r="U2375" t="s">
        <v>12620</v>
      </c>
      <c r="V2375" t="s">
        <v>12620</v>
      </c>
      <c r="W2375" t="s">
        <v>14954</v>
      </c>
      <c r="X2375">
        <v>14</v>
      </c>
      <c r="Y2375" t="s">
        <v>21140</v>
      </c>
      <c r="Z2375" t="s">
        <v>27322</v>
      </c>
      <c r="AA2375">
        <v>0.43159373974729498</v>
      </c>
      <c r="AB2375" t="str">
        <f>HYPERLINK("Melting_Curves/meltCurve_P52294_KPNA1.pdf", "Melting_Curves/meltCurve_P52294_KPNA1.pdf")</f>
        <v>Melting_Curves/meltCurve_P52294_KPNA1.pdf</v>
      </c>
    </row>
    <row r="2376" spans="1:28" x14ac:dyDescent="0.25">
      <c r="A2376" t="s">
        <v>2380</v>
      </c>
      <c r="B2376">
        <v>0.99987803227770999</v>
      </c>
      <c r="C2376">
        <v>1.0618675197649401</v>
      </c>
      <c r="D2376">
        <v>0.91314611995537898</v>
      </c>
      <c r="E2376">
        <v>1.0159523317753401</v>
      </c>
      <c r="F2376">
        <v>0.41005189310287599</v>
      </c>
      <c r="G2376">
        <v>0.24582848103775301</v>
      </c>
      <c r="H2376">
        <v>0.16276839904187199</v>
      </c>
      <c r="I2376">
        <v>0.155268540051369</v>
      </c>
      <c r="J2376">
        <v>0.10703452736663099</v>
      </c>
      <c r="K2376">
        <v>8.1292838302925399E-2</v>
      </c>
      <c r="L2376">
        <v>13206.4954353333</v>
      </c>
      <c r="M2376">
        <v>250</v>
      </c>
      <c r="N2376">
        <v>52.901741476362801</v>
      </c>
      <c r="O2376">
        <v>52.822619144128701</v>
      </c>
      <c r="P2376">
        <v>-1.0052059049648301</v>
      </c>
      <c r="Q2376">
        <v>0.15043854873630699</v>
      </c>
      <c r="R2376">
        <v>0.98314173407676098</v>
      </c>
      <c r="S2376" t="s">
        <v>8687</v>
      </c>
      <c r="T2376" t="s">
        <v>12620</v>
      </c>
      <c r="U2376" t="s">
        <v>12620</v>
      </c>
      <c r="V2376" t="s">
        <v>12620</v>
      </c>
      <c r="W2376" t="s">
        <v>14955</v>
      </c>
      <c r="X2376">
        <v>8</v>
      </c>
      <c r="Y2376" t="s">
        <v>21141</v>
      </c>
      <c r="Z2376" t="s">
        <v>27323</v>
      </c>
      <c r="AA2376">
        <v>0.51373263260671087</v>
      </c>
      <c r="AB2376" t="str">
        <f>HYPERLINK("Melting_Curves/meltCurve_P52298_NCBP2.pdf", "Melting_Curves/meltCurve_P52298_NCBP2.pdf")</f>
        <v>Melting_Curves/meltCurve_P52298_NCBP2.pdf</v>
      </c>
    </row>
    <row r="2377" spans="1:28" x14ac:dyDescent="0.25">
      <c r="A2377" t="s">
        <v>2381</v>
      </c>
      <c r="B2377">
        <v>0.99987803227770999</v>
      </c>
      <c r="C2377">
        <v>0.99342549152138904</v>
      </c>
      <c r="D2377">
        <v>1.0649318115862401</v>
      </c>
      <c r="E2377">
        <v>0.99456397573774902</v>
      </c>
      <c r="F2377">
        <v>0.65662123101619896</v>
      </c>
      <c r="G2377">
        <v>0.29081736838100802</v>
      </c>
      <c r="H2377">
        <v>0.16746684638350401</v>
      </c>
      <c r="I2377">
        <v>0.12808632585075899</v>
      </c>
      <c r="J2377">
        <v>8.9916643905955093E-2</v>
      </c>
      <c r="K2377">
        <v>5.8382278249772199E-2</v>
      </c>
      <c r="L2377">
        <v>1577.0631996783</v>
      </c>
      <c r="M2377">
        <v>29.080499466268499</v>
      </c>
      <c r="N2377">
        <v>54.646924118846201</v>
      </c>
      <c r="O2377">
        <v>53.9764474285926</v>
      </c>
      <c r="P2377">
        <v>-0.121318656505591</v>
      </c>
      <c r="Q2377">
        <v>9.9286199718363305E-2</v>
      </c>
      <c r="R2377">
        <v>0.99160750217284999</v>
      </c>
      <c r="S2377" t="s">
        <v>8688</v>
      </c>
      <c r="T2377" t="s">
        <v>12620</v>
      </c>
      <c r="U2377" t="s">
        <v>12620</v>
      </c>
      <c r="V2377" t="s">
        <v>12620</v>
      </c>
      <c r="W2377" t="s">
        <v>14956</v>
      </c>
      <c r="X2377">
        <v>21</v>
      </c>
      <c r="Y2377" t="s">
        <v>21142</v>
      </c>
      <c r="Z2377" t="s">
        <v>27324</v>
      </c>
      <c r="AA2377">
        <v>0.53284911967923909</v>
      </c>
      <c r="AB2377" t="str">
        <f>HYPERLINK("Melting_Curves/meltCurve_P52306_RAP1GDS1.pdf", "Melting_Curves/meltCurve_P52306_RAP1GDS1.pdf")</f>
        <v>Melting_Curves/meltCurve_P52306_RAP1GDS1.pdf</v>
      </c>
    </row>
    <row r="2378" spans="1:28" x14ac:dyDescent="0.25">
      <c r="A2378" t="s">
        <v>2382</v>
      </c>
      <c r="B2378">
        <v>0.99987803227770999</v>
      </c>
      <c r="C2378">
        <v>0.95597980026676199</v>
      </c>
      <c r="D2378">
        <v>1.17791615720929</v>
      </c>
      <c r="E2378">
        <v>0.83495972756319603</v>
      </c>
      <c r="F2378">
        <v>0.47835549815612399</v>
      </c>
      <c r="G2378">
        <v>0.28207875464890603</v>
      </c>
      <c r="H2378">
        <v>0.21471526243803399</v>
      </c>
      <c r="I2378">
        <v>0.14911101695523199</v>
      </c>
      <c r="J2378">
        <v>0.118511917314881</v>
      </c>
      <c r="K2378">
        <v>7.9369518563572605E-2</v>
      </c>
      <c r="L2378">
        <v>1513.92925437081</v>
      </c>
      <c r="M2378">
        <v>28.8367843414925</v>
      </c>
      <c r="N2378">
        <v>53.123858376511201</v>
      </c>
      <c r="O2378">
        <v>52.249402358302099</v>
      </c>
      <c r="P2378">
        <v>-0.118157897566304</v>
      </c>
      <c r="Q2378">
        <v>0.14364481352695699</v>
      </c>
      <c r="R2378">
        <v>0.96770137910741605</v>
      </c>
      <c r="S2378" t="s">
        <v>8689</v>
      </c>
      <c r="T2378" t="s">
        <v>12620</v>
      </c>
      <c r="U2378" t="s">
        <v>12620</v>
      </c>
      <c r="V2378" t="s">
        <v>12620</v>
      </c>
      <c r="W2378" t="s">
        <v>14957</v>
      </c>
      <c r="X2378">
        <v>21</v>
      </c>
      <c r="Y2378" t="s">
        <v>21142</v>
      </c>
      <c r="Z2378" t="s">
        <v>27325</v>
      </c>
      <c r="AA2378">
        <v>0.50641677056812029</v>
      </c>
      <c r="AB2378" t="str">
        <f>HYPERLINK("Melting_Curves/meltCurve_P52306_4_RAP1GDS1.pdf", "Melting_Curves/meltCurve_P52306_4_RAP1GDS1.pdf")</f>
        <v>Melting_Curves/meltCurve_P52306_4_RAP1GDS1.pdf</v>
      </c>
    </row>
    <row r="2379" spans="1:28" x14ac:dyDescent="0.25">
      <c r="A2379" t="s">
        <v>2383</v>
      </c>
      <c r="B2379">
        <v>0.99987803227770999</v>
      </c>
      <c r="C2379">
        <v>0.86091764372207902</v>
      </c>
      <c r="D2379">
        <v>0.97810254423256104</v>
      </c>
      <c r="E2379">
        <v>0.69177886506268904</v>
      </c>
      <c r="F2379">
        <v>0.38015248296017001</v>
      </c>
      <c r="G2379">
        <v>0.106207699573065</v>
      </c>
      <c r="H2379">
        <v>7.7640537440865895E-2</v>
      </c>
      <c r="I2379">
        <v>6.2841920033520696E-2</v>
      </c>
      <c r="J2379">
        <v>5.3895262735617899E-2</v>
      </c>
      <c r="K2379">
        <v>3.8519360216011503E-2</v>
      </c>
      <c r="L2379">
        <v>1257.0562272865</v>
      </c>
      <c r="M2379">
        <v>24.380655193951899</v>
      </c>
      <c r="N2379">
        <v>51.761639345265401</v>
      </c>
      <c r="O2379">
        <v>51.2164583989207</v>
      </c>
      <c r="P2379">
        <v>-0.113607493096218</v>
      </c>
      <c r="Q2379">
        <v>4.5392851491134298E-2</v>
      </c>
      <c r="R2379">
        <v>0.98758113796958702</v>
      </c>
      <c r="S2379" t="s">
        <v>8690</v>
      </c>
      <c r="T2379" t="s">
        <v>12620</v>
      </c>
      <c r="U2379" t="s">
        <v>12620</v>
      </c>
      <c r="V2379" t="s">
        <v>12620</v>
      </c>
      <c r="W2379" t="s">
        <v>14958</v>
      </c>
      <c r="X2379">
        <v>11</v>
      </c>
      <c r="Y2379" t="s">
        <v>21143</v>
      </c>
      <c r="Z2379" t="s">
        <v>27326</v>
      </c>
      <c r="AA2379">
        <v>0.4223295600754618</v>
      </c>
      <c r="AB2379" t="str">
        <f>HYPERLINK("Melting_Curves/meltCurve_P52564_MAP2K6.pdf", "Melting_Curves/meltCurve_P52564_MAP2K6.pdf")</f>
        <v>Melting_Curves/meltCurve_P52564_MAP2K6.pdf</v>
      </c>
    </row>
    <row r="2380" spans="1:28" x14ac:dyDescent="0.25">
      <c r="A2380" t="s">
        <v>2384</v>
      </c>
      <c r="B2380">
        <v>0.99987803227770999</v>
      </c>
      <c r="C2380">
        <v>0.82212982620309705</v>
      </c>
      <c r="D2380">
        <v>1.10156782037205</v>
      </c>
      <c r="E2380">
        <v>0.860602329513382</v>
      </c>
      <c r="F2380">
        <v>0.87314633473793701</v>
      </c>
      <c r="G2380">
        <v>0.34201577540510197</v>
      </c>
      <c r="H2380">
        <v>0.14567295981377901</v>
      </c>
      <c r="I2380">
        <v>0.10963829883743401</v>
      </c>
      <c r="J2380">
        <v>8.5266737946384702E-2</v>
      </c>
      <c r="K2380">
        <v>5.7924465423234102E-2</v>
      </c>
      <c r="L2380">
        <v>1721.1838088357399</v>
      </c>
      <c r="M2380">
        <v>31.000000017558499</v>
      </c>
      <c r="N2380">
        <v>55.828717045565803</v>
      </c>
      <c r="O2380">
        <v>55.292549977384901</v>
      </c>
      <c r="P2380">
        <v>-0.12919159419794701</v>
      </c>
      <c r="Q2380">
        <v>7.8284964143365499E-2</v>
      </c>
      <c r="R2380">
        <v>0.96474748128867005</v>
      </c>
      <c r="S2380" t="s">
        <v>8691</v>
      </c>
      <c r="T2380" t="s">
        <v>12620</v>
      </c>
      <c r="U2380" t="s">
        <v>12620</v>
      </c>
      <c r="V2380" t="s">
        <v>12620</v>
      </c>
      <c r="W2380" t="s">
        <v>14959</v>
      </c>
      <c r="X2380">
        <v>15</v>
      </c>
      <c r="Y2380" t="s">
        <v>21144</v>
      </c>
      <c r="Z2380" t="s">
        <v>27327</v>
      </c>
      <c r="AA2380">
        <v>0.56095199540914842</v>
      </c>
      <c r="AB2380" t="str">
        <f>HYPERLINK("Melting_Curves/meltCurve_P52565_ARHGDIA.pdf", "Melting_Curves/meltCurve_P52565_ARHGDIA.pdf")</f>
        <v>Melting_Curves/meltCurve_P52565_ARHGDIA.pdf</v>
      </c>
    </row>
    <row r="2381" spans="1:28" x14ac:dyDescent="0.25">
      <c r="A2381" t="s">
        <v>2385</v>
      </c>
      <c r="B2381">
        <v>0.99987803227770999</v>
      </c>
      <c r="C2381">
        <v>0.87819278891775998</v>
      </c>
      <c r="D2381">
        <v>1.11646153562255</v>
      </c>
      <c r="E2381">
        <v>0.91063098001662002</v>
      </c>
      <c r="F2381">
        <v>1.10411037226151</v>
      </c>
      <c r="G2381">
        <v>0.93417560589405102</v>
      </c>
      <c r="H2381">
        <v>0.61343986724341404</v>
      </c>
      <c r="I2381">
        <v>0.31328124966436499</v>
      </c>
      <c r="J2381">
        <v>0.177850181015306</v>
      </c>
      <c r="K2381">
        <v>0.105365064459273</v>
      </c>
      <c r="L2381">
        <v>1955.3746896799</v>
      </c>
      <c r="M2381">
        <v>31.7375374199082</v>
      </c>
      <c r="N2381">
        <v>62.041689611132597</v>
      </c>
      <c r="O2381">
        <v>61.367706653109302</v>
      </c>
      <c r="P2381">
        <v>-0.116504066525776</v>
      </c>
      <c r="Q2381">
        <v>9.8915219947164706E-2</v>
      </c>
      <c r="R2381">
        <v>0.96364753126404301</v>
      </c>
      <c r="S2381" t="s">
        <v>8692</v>
      </c>
      <c r="T2381" t="s">
        <v>12620</v>
      </c>
      <c r="U2381" t="s">
        <v>12620</v>
      </c>
      <c r="V2381" t="s">
        <v>12620</v>
      </c>
      <c r="W2381" t="s">
        <v>14960</v>
      </c>
      <c r="X2381">
        <v>13</v>
      </c>
      <c r="Y2381" t="s">
        <v>21145</v>
      </c>
      <c r="Z2381" t="s">
        <v>27328</v>
      </c>
      <c r="AA2381">
        <v>0.75235615437327441</v>
      </c>
      <c r="AB2381" t="str">
        <f>HYPERLINK("Melting_Curves/meltCurve_P52594_2_AGFG1.pdf", "Melting_Curves/meltCurve_P52594_2_AGFG1.pdf")</f>
        <v>Melting_Curves/meltCurve_P52594_2_AGFG1.pdf</v>
      </c>
    </row>
    <row r="2382" spans="1:28" x14ac:dyDescent="0.25">
      <c r="A2382" t="s">
        <v>2386</v>
      </c>
      <c r="B2382">
        <v>0.99987803227770999</v>
      </c>
      <c r="C2382">
        <v>0.560605599845998</v>
      </c>
      <c r="D2382">
        <v>1.2604117451286601</v>
      </c>
      <c r="E2382">
        <v>0.76634006381794695</v>
      </c>
      <c r="F2382">
        <v>0.64862755771209701</v>
      </c>
      <c r="G2382">
        <v>0.33917347709590101</v>
      </c>
      <c r="H2382">
        <v>0.19780542505554199</v>
      </c>
      <c r="I2382">
        <v>0.16473671966855899</v>
      </c>
      <c r="J2382">
        <v>0.12180394026036701</v>
      </c>
      <c r="K2382">
        <v>9.6606394678453694E-2</v>
      </c>
      <c r="L2382">
        <v>1041.2334009870799</v>
      </c>
      <c r="M2382">
        <v>19.283453935160601</v>
      </c>
      <c r="N2382">
        <v>54.657529908270298</v>
      </c>
      <c r="O2382">
        <v>53.425575276351204</v>
      </c>
      <c r="P2382">
        <v>-8.0849373073225497E-2</v>
      </c>
      <c r="Q2382">
        <v>0.104048082456266</v>
      </c>
      <c r="R2382">
        <v>0.80859828768577902</v>
      </c>
      <c r="S2382" t="s">
        <v>8693</v>
      </c>
      <c r="T2382" t="s">
        <v>12620</v>
      </c>
      <c r="U2382" t="s">
        <v>12620</v>
      </c>
      <c r="V2382" t="s">
        <v>12620</v>
      </c>
      <c r="W2382" t="s">
        <v>14961</v>
      </c>
      <c r="X2382">
        <v>15</v>
      </c>
      <c r="Y2382" t="s">
        <v>21146</v>
      </c>
      <c r="Z2382" t="s">
        <v>27329</v>
      </c>
      <c r="AA2382">
        <v>0.53495096612820736</v>
      </c>
      <c r="AB2382" t="str">
        <f>HYPERLINK("Melting_Curves/meltCurve_P52597_HNRNPF.pdf", "Melting_Curves/meltCurve_P52597_HNRNPF.pdf")</f>
        <v>Melting_Curves/meltCurve_P52597_HNRNPF.pdf</v>
      </c>
    </row>
    <row r="2383" spans="1:28" x14ac:dyDescent="0.25">
      <c r="A2383" t="s">
        <v>2387</v>
      </c>
      <c r="B2383">
        <v>0.99987803227770999</v>
      </c>
      <c r="C2383">
        <v>1.0744023930270801</v>
      </c>
      <c r="D2383">
        <v>0.89637678671107501</v>
      </c>
      <c r="E2383">
        <v>0.670675187097586</v>
      </c>
      <c r="F2383">
        <v>0.38031163461720902</v>
      </c>
      <c r="G2383">
        <v>0.258900396627472</v>
      </c>
      <c r="H2383">
        <v>0.180554890897834</v>
      </c>
      <c r="I2383">
        <v>0.17155446904148999</v>
      </c>
      <c r="J2383">
        <v>0.12678756332045199</v>
      </c>
      <c r="K2383">
        <v>9.4155465818733602E-2</v>
      </c>
      <c r="L2383">
        <v>1048.3226266700101</v>
      </c>
      <c r="M2383">
        <v>20.533545015064</v>
      </c>
      <c r="N2383">
        <v>51.838385192137103</v>
      </c>
      <c r="O2383">
        <v>50.577314043380497</v>
      </c>
      <c r="P2383">
        <v>-8.7947643197742703E-2</v>
      </c>
      <c r="Q2383">
        <v>0.13351053070041799</v>
      </c>
      <c r="R2383">
        <v>0.98962923913660195</v>
      </c>
      <c r="S2383" t="s">
        <v>8694</v>
      </c>
      <c r="T2383" t="s">
        <v>12620</v>
      </c>
      <c r="U2383" t="s">
        <v>12620</v>
      </c>
      <c r="V2383" t="s">
        <v>12620</v>
      </c>
      <c r="W2383" t="s">
        <v>14962</v>
      </c>
      <c r="X2383">
        <v>11</v>
      </c>
      <c r="Y2383" t="s">
        <v>21147</v>
      </c>
      <c r="Z2383" t="s">
        <v>27330</v>
      </c>
      <c r="AA2383">
        <v>0.4642345659777532</v>
      </c>
      <c r="AB2383" t="str">
        <f>HYPERLINK("Melting_Curves/meltCurve_P52630_4_STAT2.pdf", "Melting_Curves/meltCurve_P52630_4_STAT2.pdf")</f>
        <v>Melting_Curves/meltCurve_P52630_4_STAT2.pdf</v>
      </c>
    </row>
    <row r="2384" spans="1:28" x14ac:dyDescent="0.25">
      <c r="A2384" t="s">
        <v>2388</v>
      </c>
      <c r="B2384">
        <v>0.99987803227770999</v>
      </c>
      <c r="C2384">
        <v>1.0386204290597401</v>
      </c>
      <c r="D2384">
        <v>1.0441125934811799</v>
      </c>
      <c r="E2384">
        <v>0.96218111465562095</v>
      </c>
      <c r="F2384">
        <v>0.99142958328938202</v>
      </c>
      <c r="G2384">
        <v>0.90303465951277095</v>
      </c>
      <c r="H2384">
        <v>0.79336653162381898</v>
      </c>
      <c r="I2384">
        <v>0.87771631369548297</v>
      </c>
      <c r="J2384">
        <v>0.57960570899473496</v>
      </c>
      <c r="K2384">
        <v>0.48254639765624202</v>
      </c>
      <c r="L2384">
        <v>873.32415943709805</v>
      </c>
      <c r="M2384">
        <v>12.5183089011528</v>
      </c>
      <c r="N2384">
        <v>69.763748617109897</v>
      </c>
      <c r="O2384">
        <v>68.055251081175399</v>
      </c>
      <c r="P2384">
        <v>-4.5995243128269803E-2</v>
      </c>
      <c r="Q2384">
        <v>0</v>
      </c>
      <c r="R2384">
        <v>0.91883988668016603</v>
      </c>
      <c r="S2384" t="s">
        <v>8695</v>
      </c>
      <c r="T2384" t="s">
        <v>12620</v>
      </c>
      <c r="U2384" t="s">
        <v>12620</v>
      </c>
      <c r="V2384" t="s">
        <v>12620</v>
      </c>
      <c r="W2384" t="s">
        <v>14963</v>
      </c>
      <c r="X2384">
        <v>5</v>
      </c>
      <c r="Y2384" t="s">
        <v>21148</v>
      </c>
      <c r="Z2384" t="s">
        <v>27331</v>
      </c>
      <c r="AA2384">
        <v>0.88681025491809506</v>
      </c>
      <c r="AB2384" t="str">
        <f>HYPERLINK("Melting_Curves/meltCurve_P52655_GTF2A1.pdf", "Melting_Curves/meltCurve_P52655_GTF2A1.pdf")</f>
        <v>Melting_Curves/meltCurve_P52655_GTF2A1.pdf</v>
      </c>
    </row>
    <row r="2385" spans="1:28" x14ac:dyDescent="0.25">
      <c r="A2385" t="s">
        <v>2389</v>
      </c>
      <c r="B2385">
        <v>0.99987803227770999</v>
      </c>
      <c r="C2385">
        <v>0.77229481070344796</v>
      </c>
      <c r="D2385">
        <v>0.92709180814664705</v>
      </c>
      <c r="E2385">
        <v>0.78554865633725002</v>
      </c>
      <c r="F2385">
        <v>1.0887127152727001</v>
      </c>
      <c r="G2385">
        <v>0.473344542535163</v>
      </c>
      <c r="H2385">
        <v>0.86098390049734796</v>
      </c>
      <c r="I2385">
        <v>0.56172114704990195</v>
      </c>
      <c r="J2385">
        <v>0.57484480480328404</v>
      </c>
      <c r="K2385">
        <v>0.163401111774158</v>
      </c>
      <c r="L2385">
        <v>498.298032773682</v>
      </c>
      <c r="M2385">
        <v>7.6235474814869502</v>
      </c>
      <c r="N2385">
        <v>65.363012441806006</v>
      </c>
      <c r="O2385">
        <v>61.320649031020501</v>
      </c>
      <c r="P2385">
        <v>-3.1122731553918401E-2</v>
      </c>
      <c r="Q2385">
        <v>0</v>
      </c>
      <c r="R2385">
        <v>0.56239335806153601</v>
      </c>
      <c r="S2385" t="s">
        <v>8696</v>
      </c>
      <c r="T2385" t="s">
        <v>12620</v>
      </c>
      <c r="U2385" t="s">
        <v>12620</v>
      </c>
      <c r="V2385" t="s">
        <v>12620</v>
      </c>
      <c r="W2385" t="s">
        <v>14964</v>
      </c>
      <c r="X2385">
        <v>4</v>
      </c>
      <c r="Y2385" t="s">
        <v>21149</v>
      </c>
      <c r="Z2385" t="s">
        <v>27332</v>
      </c>
      <c r="AA2385">
        <v>0.7595566522110363</v>
      </c>
      <c r="AB2385" t="str">
        <f>HYPERLINK("Melting_Curves/meltCurve_P52657_GTF2A2.pdf", "Melting_Curves/meltCurve_P52657_GTF2A2.pdf")</f>
        <v>Melting_Curves/meltCurve_P52657_GTF2A2.pdf</v>
      </c>
    </row>
    <row r="2386" spans="1:28" x14ac:dyDescent="0.25">
      <c r="A2386" t="s">
        <v>2390</v>
      </c>
      <c r="B2386">
        <v>0.99987803227770999</v>
      </c>
      <c r="C2386">
        <v>0.88318081627100598</v>
      </c>
      <c r="D2386">
        <v>0.34589170517432499</v>
      </c>
      <c r="E2386">
        <v>0.31845775684517702</v>
      </c>
      <c r="F2386">
        <v>0.20046087157690801</v>
      </c>
      <c r="G2386">
        <v>0.12740416226284201</v>
      </c>
      <c r="H2386">
        <v>9.4757254658203005E-2</v>
      </c>
      <c r="I2386">
        <v>9.1177795734682598E-2</v>
      </c>
      <c r="J2386">
        <v>8.0070239481626407E-2</v>
      </c>
      <c r="K2386">
        <v>6.2616694042512397E-2</v>
      </c>
      <c r="L2386">
        <v>1444.5083574186899</v>
      </c>
      <c r="M2386">
        <v>32.172095793692698</v>
      </c>
      <c r="N2386">
        <v>45.316941010384497</v>
      </c>
      <c r="O2386">
        <v>44.727016091889801</v>
      </c>
      <c r="P2386">
        <v>-0.15676115920749401</v>
      </c>
      <c r="Q2386">
        <v>0.12826029559357299</v>
      </c>
      <c r="R2386">
        <v>0.95831558440611597</v>
      </c>
      <c r="S2386" t="s">
        <v>8697</v>
      </c>
      <c r="T2386" t="s">
        <v>12620</v>
      </c>
      <c r="U2386" t="s">
        <v>12620</v>
      </c>
      <c r="V2386" t="s">
        <v>12620</v>
      </c>
      <c r="W2386" t="s">
        <v>14965</v>
      </c>
      <c r="X2386">
        <v>36</v>
      </c>
      <c r="Y2386" t="s">
        <v>21150</v>
      </c>
      <c r="Z2386" t="s">
        <v>27333</v>
      </c>
      <c r="AA2386">
        <v>0.2754181831639354</v>
      </c>
      <c r="AB2386" t="str">
        <f>HYPERLINK("Melting_Curves/meltCurve_P52701_MSH6.pdf", "Melting_Curves/meltCurve_P52701_MSH6.pdf")</f>
        <v>Melting_Curves/meltCurve_P52701_MSH6.pdf</v>
      </c>
    </row>
    <row r="2387" spans="1:28" x14ac:dyDescent="0.25">
      <c r="A2387" t="s">
        <v>2391</v>
      </c>
      <c r="B2387">
        <v>0.99987803227770999</v>
      </c>
      <c r="C2387">
        <v>1.08349781223203</v>
      </c>
      <c r="D2387">
        <v>0.57311202912437098</v>
      </c>
      <c r="E2387">
        <v>0.505060383344345</v>
      </c>
      <c r="F2387">
        <v>0.28894510597565398</v>
      </c>
      <c r="G2387">
        <v>0.20992511214677501</v>
      </c>
      <c r="H2387">
        <v>0.13673990069922701</v>
      </c>
      <c r="I2387">
        <v>0.10977671635891099</v>
      </c>
      <c r="J2387">
        <v>0.104411384261984</v>
      </c>
      <c r="K2387">
        <v>7.6049003962301701E-2</v>
      </c>
      <c r="L2387">
        <v>765.26010413895403</v>
      </c>
      <c r="M2387">
        <v>15.743858228830501</v>
      </c>
      <c r="N2387">
        <v>49.281068066321097</v>
      </c>
      <c r="O2387">
        <v>47.842941471821703</v>
      </c>
      <c r="P2387">
        <v>-7.4304323259712493E-2</v>
      </c>
      <c r="Q2387">
        <v>9.6881567659445403E-2</v>
      </c>
      <c r="R2387">
        <v>0.94765155676783297</v>
      </c>
      <c r="S2387" t="s">
        <v>8698</v>
      </c>
      <c r="T2387" t="s">
        <v>12620</v>
      </c>
      <c r="U2387" t="s">
        <v>12620</v>
      </c>
      <c r="V2387" t="s">
        <v>12620</v>
      </c>
      <c r="W2387" t="s">
        <v>14966</v>
      </c>
      <c r="X2387">
        <v>23</v>
      </c>
      <c r="Y2387" t="s">
        <v>21151</v>
      </c>
      <c r="Z2387" t="s">
        <v>27334</v>
      </c>
      <c r="AA2387">
        <v>0.3765879398140356</v>
      </c>
      <c r="AB2387" t="str">
        <f>HYPERLINK("Melting_Curves/meltCurve_P52732_KIF11.pdf", "Melting_Curves/meltCurve_P52732_KIF11.pdf")</f>
        <v>Melting_Curves/meltCurve_P52732_KIF11.pdf</v>
      </c>
    </row>
    <row r="2388" spans="1:28" x14ac:dyDescent="0.25">
      <c r="A2388" t="s">
        <v>2392</v>
      </c>
      <c r="B2388">
        <v>0.99987803227770999</v>
      </c>
      <c r="C2388">
        <v>0.68849556483848395</v>
      </c>
      <c r="D2388">
        <v>1.23929806143836</v>
      </c>
      <c r="E2388">
        <v>0.82880551708835903</v>
      </c>
      <c r="F2388">
        <v>0.225637234565399</v>
      </c>
      <c r="G2388">
        <v>0.14941748522450099</v>
      </c>
      <c r="H2388">
        <v>9.8209469652515799E-2</v>
      </c>
      <c r="I2388">
        <v>8.6307727225041903E-2</v>
      </c>
      <c r="J2388">
        <v>7.4404132634060996E-2</v>
      </c>
      <c r="K2388">
        <v>5.5643541129462598E-2</v>
      </c>
      <c r="L2388">
        <v>2876.19408787575</v>
      </c>
      <c r="M2388">
        <v>56.032395537094303</v>
      </c>
      <c r="N2388">
        <v>51.518066072527297</v>
      </c>
      <c r="O2388">
        <v>51.2656554988639</v>
      </c>
      <c r="P2388">
        <v>-0.24808342243072301</v>
      </c>
      <c r="Q2388">
        <v>9.2085766455076101E-2</v>
      </c>
      <c r="R2388">
        <v>0.912256786258695</v>
      </c>
      <c r="S2388" t="s">
        <v>8699</v>
      </c>
      <c r="T2388" t="s">
        <v>12620</v>
      </c>
      <c r="U2388" t="s">
        <v>12620</v>
      </c>
      <c r="V2388" t="s">
        <v>12620</v>
      </c>
      <c r="W2388" t="s">
        <v>14967</v>
      </c>
      <c r="X2388">
        <v>19</v>
      </c>
      <c r="Y2388" t="s">
        <v>21152</v>
      </c>
      <c r="Z2388" t="s">
        <v>27335</v>
      </c>
      <c r="AA2388">
        <v>0.43663740307361282</v>
      </c>
      <c r="AB2388" t="str">
        <f>HYPERLINK("Melting_Curves/meltCurve_P52735_3_VAV2.pdf", "Melting_Curves/meltCurve_P52735_3_VAV2.pdf")</f>
        <v>Melting_Curves/meltCurve_P52735_3_VAV2.pdf</v>
      </c>
    </row>
    <row r="2389" spans="1:28" x14ac:dyDescent="0.25">
      <c r="A2389" t="s">
        <v>2393</v>
      </c>
      <c r="B2389">
        <v>0.99987803227770999</v>
      </c>
      <c r="C2389">
        <v>0.88247138331919694</v>
      </c>
      <c r="D2389">
        <v>0.87181566923826503</v>
      </c>
      <c r="E2389">
        <v>0.81443826287646204</v>
      </c>
      <c r="F2389">
        <v>0.88566024348247596</v>
      </c>
      <c r="G2389">
        <v>0.66351812164248103</v>
      </c>
      <c r="H2389">
        <v>0.64620143102938599</v>
      </c>
      <c r="I2389">
        <v>0.49123544141467601</v>
      </c>
      <c r="J2389">
        <v>0.43169958230399003</v>
      </c>
      <c r="K2389">
        <v>0.26819369132116</v>
      </c>
      <c r="L2389">
        <v>438.732745375467</v>
      </c>
      <c r="M2389">
        <v>6.89571771542583</v>
      </c>
      <c r="N2389">
        <v>63.623942072078002</v>
      </c>
      <c r="O2389">
        <v>58.918793411564501</v>
      </c>
      <c r="P2389">
        <v>-2.93167232268364E-2</v>
      </c>
      <c r="Q2389">
        <v>0</v>
      </c>
      <c r="R2389">
        <v>0.93305997847264899</v>
      </c>
      <c r="S2389" t="s">
        <v>8700</v>
      </c>
      <c r="T2389" t="s">
        <v>12620</v>
      </c>
      <c r="U2389" t="s">
        <v>12620</v>
      </c>
      <c r="V2389" t="s">
        <v>12620</v>
      </c>
      <c r="W2389" t="s">
        <v>14968</v>
      </c>
      <c r="X2389">
        <v>4</v>
      </c>
      <c r="Y2389" t="s">
        <v>21153</v>
      </c>
      <c r="Z2389" t="s">
        <v>27336</v>
      </c>
      <c r="AA2389">
        <v>0.71635869691474219</v>
      </c>
      <c r="AB2389" t="str">
        <f>HYPERLINK("Melting_Curves/meltCurve_P52739_2_ZNF131.pdf", "Melting_Curves/meltCurve_P52739_2_ZNF131.pdf")</f>
        <v>Melting_Curves/meltCurve_P52739_2_ZNF131.pdf</v>
      </c>
    </row>
    <row r="2390" spans="1:28" x14ac:dyDescent="0.25">
      <c r="A2390" t="s">
        <v>2394</v>
      </c>
      <c r="B2390">
        <v>0.99987803227770999</v>
      </c>
      <c r="C2390">
        <v>0.91925453950278402</v>
      </c>
      <c r="D2390">
        <v>1.0140240452733</v>
      </c>
      <c r="E2390">
        <v>0.84545878875566605</v>
      </c>
      <c r="F2390">
        <v>0.89348849165567401</v>
      </c>
      <c r="G2390">
        <v>0.60903703740360804</v>
      </c>
      <c r="H2390">
        <v>0.63753035185628304</v>
      </c>
      <c r="I2390">
        <v>0.64346373473067098</v>
      </c>
      <c r="J2390">
        <v>0.63989691776558999</v>
      </c>
      <c r="K2390">
        <v>0.50365567854389603</v>
      </c>
      <c r="L2390">
        <v>828.84865680166695</v>
      </c>
      <c r="M2390">
        <v>15.389653659517499</v>
      </c>
      <c r="O2390">
        <v>52.972729733490098</v>
      </c>
      <c r="P2390">
        <v>-3.1673445659554503E-2</v>
      </c>
      <c r="Q2390">
        <v>0.56394714761770703</v>
      </c>
      <c r="R2390">
        <v>0.88502024651946298</v>
      </c>
      <c r="S2390" t="s">
        <v>8701</v>
      </c>
      <c r="T2390" t="s">
        <v>12620</v>
      </c>
      <c r="U2390" t="s">
        <v>12620</v>
      </c>
      <c r="V2390" t="s">
        <v>12620</v>
      </c>
      <c r="W2390" t="s">
        <v>14969</v>
      </c>
      <c r="X2390">
        <v>6</v>
      </c>
      <c r="Y2390" t="s">
        <v>21154</v>
      </c>
      <c r="Z2390" t="s">
        <v>27337</v>
      </c>
      <c r="AA2390">
        <v>0.77409091841653466</v>
      </c>
      <c r="AB2390" t="str">
        <f>HYPERLINK("Melting_Curves/meltCurve_P52747_2_ZNF143.pdf", "Melting_Curves/meltCurve_P52747_2_ZNF143.pdf")</f>
        <v>Melting_Curves/meltCurve_P52747_2_ZNF143.pdf</v>
      </c>
    </row>
    <row r="2391" spans="1:28" x14ac:dyDescent="0.25">
      <c r="A2391" t="s">
        <v>2395</v>
      </c>
      <c r="B2391">
        <v>0.99987803227770999</v>
      </c>
      <c r="C2391">
        <v>0.78077656966882303</v>
      </c>
      <c r="D2391">
        <v>0.83901663558186901</v>
      </c>
      <c r="E2391">
        <v>0.80817545045664696</v>
      </c>
      <c r="F2391">
        <v>0.99343105201916104</v>
      </c>
      <c r="G2391">
        <v>1.11909631994768</v>
      </c>
      <c r="H2391">
        <v>0.84211683287262595</v>
      </c>
      <c r="I2391">
        <v>0.63012652155076398</v>
      </c>
      <c r="J2391">
        <v>0.59572126980689699</v>
      </c>
      <c r="K2391">
        <v>0.388289599028178</v>
      </c>
      <c r="L2391">
        <v>1871.0192196154901</v>
      </c>
      <c r="M2391">
        <v>29.435838103484301</v>
      </c>
      <c r="N2391">
        <v>67.272761288338501</v>
      </c>
      <c r="O2391">
        <v>63.271432628778598</v>
      </c>
      <c r="P2391">
        <v>-6.9623844837807605E-2</v>
      </c>
      <c r="Q2391">
        <v>0.40138691651477498</v>
      </c>
      <c r="R2391">
        <v>0.66413812021073104</v>
      </c>
      <c r="S2391" t="s">
        <v>8702</v>
      </c>
      <c r="T2391" t="s">
        <v>12620</v>
      </c>
      <c r="U2391" t="s">
        <v>12620</v>
      </c>
      <c r="V2391" t="s">
        <v>12620</v>
      </c>
      <c r="W2391" t="s">
        <v>14970</v>
      </c>
      <c r="X2391">
        <v>7</v>
      </c>
      <c r="Y2391" t="s">
        <v>21155</v>
      </c>
      <c r="Z2391" t="s">
        <v>27338</v>
      </c>
      <c r="AA2391">
        <v>0.87277830213619845</v>
      </c>
      <c r="AB2391" t="str">
        <f>HYPERLINK("Melting_Curves/meltCurve_P52758_HRSP12.pdf", "Melting_Curves/meltCurve_P52758_HRSP12.pdf")</f>
        <v>Melting_Curves/meltCurve_P52758_HRSP12.pdf</v>
      </c>
    </row>
    <row r="2392" spans="1:28" x14ac:dyDescent="0.25">
      <c r="A2392" t="s">
        <v>2396</v>
      </c>
      <c r="B2392">
        <v>0.99987803227770999</v>
      </c>
      <c r="C2392">
        <v>1.0700580009881899</v>
      </c>
      <c r="D2392">
        <v>1.12348342420363</v>
      </c>
      <c r="E2392">
        <v>1.09267866260752</v>
      </c>
      <c r="F2392">
        <v>1.04549927937353</v>
      </c>
      <c r="G2392">
        <v>0.84729123654430405</v>
      </c>
      <c r="H2392">
        <v>0.25574969971293798</v>
      </c>
      <c r="I2392">
        <v>0.140190461314954</v>
      </c>
      <c r="J2392">
        <v>8.86655637796121E-2</v>
      </c>
      <c r="K2392">
        <v>6.48424221835779E-2</v>
      </c>
      <c r="L2392">
        <v>2654.80355855688</v>
      </c>
      <c r="M2392">
        <v>44.954956549661901</v>
      </c>
      <c r="N2392">
        <v>59.3012741711171</v>
      </c>
      <c r="O2392">
        <v>58.938245318690903</v>
      </c>
      <c r="P2392">
        <v>-0.17443443967554201</v>
      </c>
      <c r="Q2392">
        <v>8.5231331949820799E-2</v>
      </c>
      <c r="R2392">
        <v>0.98354204282040303</v>
      </c>
      <c r="S2392" t="s">
        <v>8703</v>
      </c>
      <c r="T2392" t="s">
        <v>12620</v>
      </c>
      <c r="U2392" t="s">
        <v>12620</v>
      </c>
      <c r="V2392" t="s">
        <v>12620</v>
      </c>
      <c r="W2392" t="s">
        <v>14971</v>
      </c>
      <c r="X2392">
        <v>23</v>
      </c>
      <c r="Y2392" t="s">
        <v>21156</v>
      </c>
      <c r="Z2392" t="s">
        <v>27339</v>
      </c>
      <c r="AA2392">
        <v>0.6691531954415324</v>
      </c>
      <c r="AB2392" t="str">
        <f>HYPERLINK("Melting_Curves/meltCurve_P52788_SMS.pdf", "Melting_Curves/meltCurve_P52788_SMS.pdf")</f>
        <v>Melting_Curves/meltCurve_P52788_SMS.pdf</v>
      </c>
    </row>
    <row r="2393" spans="1:28" x14ac:dyDescent="0.25">
      <c r="A2393" t="s">
        <v>2397</v>
      </c>
      <c r="B2393">
        <v>0.99987803227770999</v>
      </c>
      <c r="C2393">
        <v>0.90021944880003102</v>
      </c>
      <c r="D2393">
        <v>1.00840599764915</v>
      </c>
      <c r="E2393">
        <v>0.89789619041134805</v>
      </c>
      <c r="F2393">
        <v>1.0158531026915101</v>
      </c>
      <c r="G2393">
        <v>0.70305934208261101</v>
      </c>
      <c r="H2393">
        <v>0.75411976062658503</v>
      </c>
      <c r="I2393">
        <v>0.75240598465001196</v>
      </c>
      <c r="J2393">
        <v>0.68888880100747096</v>
      </c>
      <c r="K2393">
        <v>0.48898466603037399</v>
      </c>
      <c r="L2393">
        <v>424.647293902981</v>
      </c>
      <c r="M2393">
        <v>5.8261700870774202</v>
      </c>
      <c r="O2393">
        <v>65.676313522292105</v>
      </c>
      <c r="P2393">
        <v>-2.225732883924E-2</v>
      </c>
      <c r="Q2393">
        <v>0</v>
      </c>
      <c r="R2393">
        <v>0.79905643546421501</v>
      </c>
      <c r="S2393" t="s">
        <v>8704</v>
      </c>
      <c r="T2393" t="s">
        <v>12620</v>
      </c>
      <c r="U2393" t="s">
        <v>12620</v>
      </c>
      <c r="V2393" t="s">
        <v>12620</v>
      </c>
      <c r="W2393" t="s">
        <v>14972</v>
      </c>
      <c r="X2393">
        <v>7</v>
      </c>
      <c r="Y2393" t="s">
        <v>21157</v>
      </c>
      <c r="Z2393" t="s">
        <v>27340</v>
      </c>
      <c r="AA2393">
        <v>0.83483488048326204</v>
      </c>
      <c r="AB2393" t="str">
        <f>HYPERLINK("Melting_Curves/meltCurve_P52815_MRPL12.pdf", "Melting_Curves/meltCurve_P52815_MRPL12.pdf")</f>
        <v>Melting_Curves/meltCurve_P52815_MRPL12.pdf</v>
      </c>
    </row>
    <row r="2394" spans="1:28" x14ac:dyDescent="0.25">
      <c r="A2394" t="s">
        <v>2398</v>
      </c>
      <c r="B2394">
        <v>0.99987803227770999</v>
      </c>
      <c r="C2394">
        <v>0.95324506265993902</v>
      </c>
      <c r="D2394">
        <v>0.79436027450134705</v>
      </c>
      <c r="E2394">
        <v>0.384291269398913</v>
      </c>
      <c r="F2394">
        <v>0.27777005939544802</v>
      </c>
      <c r="G2394">
        <v>0.17112718816918801</v>
      </c>
      <c r="H2394">
        <v>0.13151704502919501</v>
      </c>
      <c r="I2394">
        <v>0.22349812431958799</v>
      </c>
      <c r="J2394">
        <v>0.15049551813109899</v>
      </c>
      <c r="K2394">
        <v>0.11615495933244201</v>
      </c>
      <c r="L2394">
        <v>1118.1150378208599</v>
      </c>
      <c r="M2394">
        <v>23.225130482765401</v>
      </c>
      <c r="N2394">
        <v>48.925546594969397</v>
      </c>
      <c r="O2394">
        <v>47.789813882746998</v>
      </c>
      <c r="P2394">
        <v>-0.102638292148405</v>
      </c>
      <c r="Q2394">
        <v>0.155229476210829</v>
      </c>
      <c r="R2394">
        <v>0.99247508972104503</v>
      </c>
      <c r="S2394" t="s">
        <v>8705</v>
      </c>
      <c r="T2394" t="s">
        <v>12620</v>
      </c>
      <c r="U2394" t="s">
        <v>12620</v>
      </c>
      <c r="V2394" t="s">
        <v>12620</v>
      </c>
      <c r="W2394" t="s">
        <v>14973</v>
      </c>
      <c r="X2394">
        <v>3</v>
      </c>
      <c r="Y2394" t="s">
        <v>21158</v>
      </c>
      <c r="Z2394" t="s">
        <v>27341</v>
      </c>
      <c r="AA2394">
        <v>0.3932377050893599</v>
      </c>
      <c r="AB2394" t="str">
        <f>HYPERLINK("Melting_Curves/meltCurve_P52824_DGKQ.pdf", "Melting_Curves/meltCurve_P52824_DGKQ.pdf")</f>
        <v>Melting_Curves/meltCurve_P52824_DGKQ.pdf</v>
      </c>
    </row>
    <row r="2395" spans="1:28" x14ac:dyDescent="0.25">
      <c r="A2395" t="s">
        <v>2399</v>
      </c>
      <c r="B2395">
        <v>0.99987803227770999</v>
      </c>
      <c r="C2395">
        <v>1.05711009539233</v>
      </c>
      <c r="D2395">
        <v>0.89664805283010596</v>
      </c>
      <c r="E2395">
        <v>0.94068500087202001</v>
      </c>
      <c r="F2395">
        <v>0.84275125306449294</v>
      </c>
      <c r="G2395">
        <v>0.80812624587341697</v>
      </c>
      <c r="H2395">
        <v>0.64253912111738998</v>
      </c>
      <c r="I2395">
        <v>0.23204814348716399</v>
      </c>
      <c r="J2395">
        <v>0.10023838324147601</v>
      </c>
      <c r="K2395">
        <v>7.0666395621456199E-2</v>
      </c>
      <c r="L2395">
        <v>1333.73031467693</v>
      </c>
      <c r="M2395">
        <v>21.716100072389501</v>
      </c>
      <c r="N2395">
        <v>61.4166732023834</v>
      </c>
      <c r="O2395">
        <v>60.902970947643297</v>
      </c>
      <c r="P2395">
        <v>-8.9144297294651301E-2</v>
      </c>
      <c r="Q2395">
        <v>0</v>
      </c>
      <c r="R2395">
        <v>0.96145380669472102</v>
      </c>
      <c r="S2395" t="s">
        <v>8706</v>
      </c>
      <c r="T2395" t="s">
        <v>12620</v>
      </c>
      <c r="U2395" t="s">
        <v>12620</v>
      </c>
      <c r="V2395" t="s">
        <v>12620</v>
      </c>
      <c r="W2395" t="s">
        <v>14974</v>
      </c>
      <c r="X2395">
        <v>38</v>
      </c>
      <c r="Y2395" t="s">
        <v>21159</v>
      </c>
      <c r="Z2395" t="s">
        <v>27342</v>
      </c>
      <c r="AA2395">
        <v>0.7193008854857067</v>
      </c>
      <c r="AB2395" t="str">
        <f>HYPERLINK("Melting_Curves/meltCurve_P52888_THOP1.pdf", "Melting_Curves/meltCurve_P52888_THOP1.pdf")</f>
        <v>Melting_Curves/meltCurve_P52888_THOP1.pdf</v>
      </c>
    </row>
    <row r="2396" spans="1:28" x14ac:dyDescent="0.25">
      <c r="A2396" t="s">
        <v>2400</v>
      </c>
      <c r="B2396">
        <v>0.99987803227770999</v>
      </c>
      <c r="C2396">
        <v>0.91249741847336197</v>
      </c>
      <c r="D2396">
        <v>0.62476581205771498</v>
      </c>
      <c r="E2396">
        <v>0.36768559288060099</v>
      </c>
      <c r="F2396">
        <v>0.25640512726008402</v>
      </c>
      <c r="G2396">
        <v>0.178141170548719</v>
      </c>
      <c r="H2396">
        <v>0.14498735790096201</v>
      </c>
      <c r="I2396">
        <v>0.12661069889172799</v>
      </c>
      <c r="J2396">
        <v>8.9802148099614107E-2</v>
      </c>
      <c r="K2396">
        <v>6.5432727285810399E-2</v>
      </c>
      <c r="L2396">
        <v>797.39115650790995</v>
      </c>
      <c r="M2396">
        <v>16.8024116043057</v>
      </c>
      <c r="N2396">
        <v>48.119880330707701</v>
      </c>
      <c r="O2396">
        <v>46.799997393421002</v>
      </c>
      <c r="P2396">
        <v>-8.0487896164848097E-2</v>
      </c>
      <c r="Q2396">
        <v>0.103321196848187</v>
      </c>
      <c r="R2396">
        <v>0.99194014952322396</v>
      </c>
      <c r="S2396" t="s">
        <v>8707</v>
      </c>
      <c r="T2396" t="s">
        <v>12620</v>
      </c>
      <c r="U2396" t="s">
        <v>12620</v>
      </c>
      <c r="V2396" t="s">
        <v>12620</v>
      </c>
      <c r="W2396" t="s">
        <v>14975</v>
      </c>
      <c r="X2396">
        <v>25</v>
      </c>
      <c r="Y2396" t="s">
        <v>21160</v>
      </c>
      <c r="Z2396" t="s">
        <v>27343</v>
      </c>
      <c r="AA2396">
        <v>0.34496621223450302</v>
      </c>
      <c r="AB2396" t="str">
        <f>HYPERLINK("Melting_Curves/meltCurve_P52895_AKR1C2.pdf", "Melting_Curves/meltCurve_P52895_AKR1C2.pdf")</f>
        <v>Melting_Curves/meltCurve_P52895_AKR1C2.pdf</v>
      </c>
    </row>
    <row r="2397" spans="1:28" x14ac:dyDescent="0.25">
      <c r="A2397" t="s">
        <v>2401</v>
      </c>
      <c r="B2397">
        <v>0.99987803227770999</v>
      </c>
      <c r="C2397">
        <v>1.0545691919682201</v>
      </c>
      <c r="D2397">
        <v>0.95986139956933103</v>
      </c>
      <c r="E2397">
        <v>1.12420043580684</v>
      </c>
      <c r="F2397">
        <v>0.97836205441160595</v>
      </c>
      <c r="G2397">
        <v>0.93024712879121196</v>
      </c>
      <c r="H2397">
        <v>0.65700134676191402</v>
      </c>
      <c r="I2397">
        <v>0.24092992585369299</v>
      </c>
      <c r="J2397">
        <v>9.9241063845897703E-2</v>
      </c>
      <c r="K2397">
        <v>6.6728419235315306E-2</v>
      </c>
      <c r="L2397">
        <v>2353.7647462124</v>
      </c>
      <c r="M2397">
        <v>38.080133934901099</v>
      </c>
      <c r="N2397">
        <v>61.985296522223301</v>
      </c>
      <c r="O2397">
        <v>61.641111132957498</v>
      </c>
      <c r="P2397">
        <v>-0.14659484449703999</v>
      </c>
      <c r="Q2397">
        <v>5.0817815787178401E-2</v>
      </c>
      <c r="R2397">
        <v>0.98601055750158995</v>
      </c>
      <c r="S2397" t="s">
        <v>8708</v>
      </c>
      <c r="T2397" t="s">
        <v>12620</v>
      </c>
      <c r="U2397" t="s">
        <v>12620</v>
      </c>
      <c r="V2397" t="s">
        <v>12620</v>
      </c>
      <c r="W2397" t="s">
        <v>14976</v>
      </c>
      <c r="X2397">
        <v>15</v>
      </c>
      <c r="Y2397" t="s">
        <v>21161</v>
      </c>
      <c r="Z2397" t="s">
        <v>27344</v>
      </c>
      <c r="AA2397">
        <v>0.74456859498869121</v>
      </c>
      <c r="AB2397" t="str">
        <f>HYPERLINK("Melting_Curves/meltCurve_P52907_CAPZA1.pdf", "Melting_Curves/meltCurve_P52907_CAPZA1.pdf")</f>
        <v>Melting_Curves/meltCurve_P52907_CAPZA1.pdf</v>
      </c>
    </row>
    <row r="2398" spans="1:28" x14ac:dyDescent="0.25">
      <c r="A2398" t="s">
        <v>2402</v>
      </c>
      <c r="B2398">
        <v>0.99987803227770999</v>
      </c>
      <c r="C2398">
        <v>0.76759813959881595</v>
      </c>
      <c r="D2398">
        <v>0.96338084139089097</v>
      </c>
      <c r="E2398">
        <v>0.76638759494918196</v>
      </c>
      <c r="F2398">
        <v>1.02306218080776</v>
      </c>
      <c r="G2398">
        <v>0.69862861684128696</v>
      </c>
      <c r="H2398">
        <v>0.74985944801055404</v>
      </c>
      <c r="I2398">
        <v>0.65016115248731599</v>
      </c>
      <c r="J2398">
        <v>0.90593771748270902</v>
      </c>
      <c r="K2398">
        <v>0.80560526938892196</v>
      </c>
      <c r="L2398">
        <v>331.56820596251202</v>
      </c>
      <c r="M2398">
        <v>7.2636559633183397</v>
      </c>
      <c r="O2398">
        <v>42.569006337878797</v>
      </c>
      <c r="P2398">
        <v>-1.0283464078089199E-2</v>
      </c>
      <c r="Q2398">
        <v>0.75932256874088599</v>
      </c>
      <c r="R2398">
        <v>0.190857875267476</v>
      </c>
      <c r="S2398" t="s">
        <v>8709</v>
      </c>
      <c r="T2398" t="s">
        <v>12620</v>
      </c>
      <c r="U2398" t="s">
        <v>12620</v>
      </c>
      <c r="V2398" t="s">
        <v>12620</v>
      </c>
      <c r="W2398" t="s">
        <v>14977</v>
      </c>
      <c r="X2398">
        <v>6</v>
      </c>
      <c r="Y2398" t="s">
        <v>21162</v>
      </c>
      <c r="Z2398" t="s">
        <v>27345</v>
      </c>
      <c r="AA2398">
        <v>0.82916741057214405</v>
      </c>
      <c r="AB2398" t="str">
        <f>HYPERLINK("Melting_Curves/meltCurve_P52943_CRIP2.pdf", "Melting_Curves/meltCurve_P52943_CRIP2.pdf")</f>
        <v>Melting_Curves/meltCurve_P52943_CRIP2.pdf</v>
      </c>
    </row>
    <row r="2399" spans="1:28" x14ac:dyDescent="0.25">
      <c r="A2399" t="s">
        <v>2403</v>
      </c>
      <c r="B2399">
        <v>0.99987803227770999</v>
      </c>
      <c r="C2399">
        <v>0.87507355478001803</v>
      </c>
      <c r="D2399">
        <v>0.85179371102840895</v>
      </c>
      <c r="E2399">
        <v>0.63110634017612799</v>
      </c>
      <c r="F2399">
        <v>0.48528946107212001</v>
      </c>
      <c r="G2399">
        <v>0.33447334785454003</v>
      </c>
      <c r="H2399">
        <v>0.33057255328316798</v>
      </c>
      <c r="I2399">
        <v>0.33868291529889399</v>
      </c>
      <c r="J2399">
        <v>0.31526585429430598</v>
      </c>
      <c r="K2399">
        <v>0.28909031534180801</v>
      </c>
      <c r="L2399">
        <v>741.99789546617501</v>
      </c>
      <c r="M2399">
        <v>14.989243830927199</v>
      </c>
      <c r="N2399">
        <v>52.542122918914899</v>
      </c>
      <c r="O2399">
        <v>48.646015197506301</v>
      </c>
      <c r="P2399">
        <v>-5.4701977092479898E-2</v>
      </c>
      <c r="Q2399">
        <v>0.28995392653101199</v>
      </c>
      <c r="R2399">
        <v>0.98891278091429602</v>
      </c>
      <c r="S2399" t="s">
        <v>8710</v>
      </c>
      <c r="T2399" t="s">
        <v>12620</v>
      </c>
      <c r="U2399" t="s">
        <v>12620</v>
      </c>
      <c r="V2399" t="s">
        <v>12620</v>
      </c>
      <c r="W2399" t="s">
        <v>14978</v>
      </c>
      <c r="X2399">
        <v>21</v>
      </c>
      <c r="Y2399" t="s">
        <v>21163</v>
      </c>
      <c r="Z2399" t="s">
        <v>27346</v>
      </c>
      <c r="AA2399">
        <v>0.53208594158618383</v>
      </c>
      <c r="AB2399" t="str">
        <f>HYPERLINK("Melting_Curves/meltCurve_P52948_5_NUP98.pdf", "Melting_Curves/meltCurve_P52948_5_NUP98.pdf")</f>
        <v>Melting_Curves/meltCurve_P52948_5_NUP98.pdf</v>
      </c>
    </row>
    <row r="2400" spans="1:28" x14ac:dyDescent="0.25">
      <c r="A2400" t="s">
        <v>2404</v>
      </c>
      <c r="B2400">
        <v>0.99987803227770999</v>
      </c>
      <c r="C2400">
        <v>0.88080996625631303</v>
      </c>
      <c r="D2400">
        <v>1.02549245590309</v>
      </c>
      <c r="E2400">
        <v>0.80975224565973203</v>
      </c>
      <c r="F2400">
        <v>0.42318929921477999</v>
      </c>
      <c r="G2400">
        <v>0.14886003859289401</v>
      </c>
      <c r="H2400">
        <v>8.3743312529956607E-2</v>
      </c>
      <c r="I2400">
        <v>7.9275574907631305E-2</v>
      </c>
      <c r="J2400">
        <v>6.18389498383832E-2</v>
      </c>
      <c r="K2400">
        <v>4.4402778786009602E-2</v>
      </c>
      <c r="L2400">
        <v>1580.49903478847</v>
      </c>
      <c r="M2400">
        <v>30.260954291519699</v>
      </c>
      <c r="N2400">
        <v>52.4720863792801</v>
      </c>
      <c r="O2400">
        <v>52.0024981310562</v>
      </c>
      <c r="P2400">
        <v>-0.13596409842343801</v>
      </c>
      <c r="Q2400">
        <v>6.5405867250796196E-2</v>
      </c>
      <c r="R2400">
        <v>0.98986713125038295</v>
      </c>
      <c r="S2400" t="s">
        <v>8711</v>
      </c>
      <c r="T2400" t="s">
        <v>12620</v>
      </c>
      <c r="U2400" t="s">
        <v>12620</v>
      </c>
      <c r="V2400" t="s">
        <v>12620</v>
      </c>
      <c r="W2400" t="s">
        <v>14979</v>
      </c>
      <c r="X2400">
        <v>12</v>
      </c>
      <c r="Y2400" t="s">
        <v>21164</v>
      </c>
      <c r="Z2400" t="s">
        <v>27347</v>
      </c>
      <c r="AA2400">
        <v>0.45226801172259168</v>
      </c>
      <c r="AB2400" t="str">
        <f>HYPERLINK("Melting_Curves/meltCurve_P53004_BLVRA.pdf", "Melting_Curves/meltCurve_P53004_BLVRA.pdf")</f>
        <v>Melting_Curves/meltCurve_P53004_BLVRA.pdf</v>
      </c>
    </row>
    <row r="2401" spans="1:28" x14ac:dyDescent="0.25">
      <c r="A2401" t="s">
        <v>2405</v>
      </c>
      <c r="B2401">
        <v>0.99987803227770999</v>
      </c>
      <c r="C2401">
        <v>0.91978133821096897</v>
      </c>
      <c r="D2401">
        <v>0.75807202997574996</v>
      </c>
      <c r="E2401">
        <v>0.60881182267422496</v>
      </c>
      <c r="F2401">
        <v>0.32167894723914198</v>
      </c>
      <c r="G2401">
        <v>0.17035963715022101</v>
      </c>
      <c r="H2401">
        <v>9.8453132994539699E-2</v>
      </c>
      <c r="I2401">
        <v>0.100719216768494</v>
      </c>
      <c r="J2401">
        <v>5.8773835205724698E-2</v>
      </c>
      <c r="K2401">
        <v>4.3733578071412801E-2</v>
      </c>
      <c r="L2401">
        <v>715.40149724789705</v>
      </c>
      <c r="M2401">
        <v>14.1866531752403</v>
      </c>
      <c r="N2401">
        <v>50.645025837196499</v>
      </c>
      <c r="O2401">
        <v>49.4575255860426</v>
      </c>
      <c r="P2401">
        <v>-6.9603161596053106E-2</v>
      </c>
      <c r="Q2401">
        <v>2.9519386028545501E-2</v>
      </c>
      <c r="R2401">
        <v>0.99313158202160901</v>
      </c>
      <c r="S2401" t="s">
        <v>8712</v>
      </c>
      <c r="T2401" t="s">
        <v>12620</v>
      </c>
      <c r="U2401" t="s">
        <v>12620</v>
      </c>
      <c r="V2401" t="s">
        <v>12620</v>
      </c>
      <c r="W2401" t="s">
        <v>14980</v>
      </c>
      <c r="X2401">
        <v>8</v>
      </c>
      <c r="Y2401" t="s">
        <v>21165</v>
      </c>
      <c r="Z2401" t="s">
        <v>27348</v>
      </c>
      <c r="AA2401">
        <v>0.39194685728428541</v>
      </c>
      <c r="AB2401" t="str">
        <f>HYPERLINK("Melting_Curves/meltCurve_P53350_PLK1.pdf", "Melting_Curves/meltCurve_P53350_PLK1.pdf")</f>
        <v>Melting_Curves/meltCurve_P53350_PLK1.pdf</v>
      </c>
    </row>
    <row r="2402" spans="1:28" x14ac:dyDescent="0.25">
      <c r="A2402" t="s">
        <v>2406</v>
      </c>
      <c r="B2402">
        <v>0.99987803227770999</v>
      </c>
      <c r="C2402">
        <v>0.86345657762157801</v>
      </c>
      <c r="D2402">
        <v>0.96688233555302205</v>
      </c>
      <c r="E2402">
        <v>0.82517157727915103</v>
      </c>
      <c r="F2402">
        <v>0.36621313413292</v>
      </c>
      <c r="G2402">
        <v>0.16738086846452899</v>
      </c>
      <c r="H2402">
        <v>9.6959237109132401E-2</v>
      </c>
      <c r="I2402">
        <v>7.3958658545780001E-2</v>
      </c>
      <c r="J2402">
        <v>6.0533237051152697E-2</v>
      </c>
      <c r="K2402">
        <v>4.2377645736531903E-2</v>
      </c>
      <c r="L2402">
        <v>1716.2388546709701</v>
      </c>
      <c r="M2402">
        <v>33.0266214043925</v>
      </c>
      <c r="N2402">
        <v>52.217927748190696</v>
      </c>
      <c r="O2402">
        <v>51.775907704384601</v>
      </c>
      <c r="P2402">
        <v>-0.147697076875734</v>
      </c>
      <c r="Q2402">
        <v>7.3823972927746298E-2</v>
      </c>
      <c r="R2402">
        <v>0.98474692802172703</v>
      </c>
      <c r="S2402" t="s">
        <v>8713</v>
      </c>
      <c r="T2402" t="s">
        <v>12620</v>
      </c>
      <c r="U2402" t="s">
        <v>12620</v>
      </c>
      <c r="V2402" t="s">
        <v>12620</v>
      </c>
      <c r="W2402" t="s">
        <v>14981</v>
      </c>
      <c r="X2402">
        <v>13</v>
      </c>
      <c r="Y2402" t="s">
        <v>21166</v>
      </c>
      <c r="Z2402" t="s">
        <v>27349</v>
      </c>
      <c r="AA2402">
        <v>0.44810754031405159</v>
      </c>
      <c r="AB2402" t="str">
        <f>HYPERLINK("Melting_Curves/meltCurve_P53365_ARFIP2.pdf", "Melting_Curves/meltCurve_P53365_ARFIP2.pdf")</f>
        <v>Melting_Curves/meltCurve_P53365_ARFIP2.pdf</v>
      </c>
    </row>
    <row r="2403" spans="1:28" x14ac:dyDescent="0.25">
      <c r="A2403" t="s">
        <v>2407</v>
      </c>
      <c r="B2403">
        <v>0.99987803227770999</v>
      </c>
      <c r="C2403">
        <v>1.00191862260961</v>
      </c>
      <c r="D2403">
        <v>1.0051077179544301</v>
      </c>
      <c r="E2403">
        <v>0.74284278106442603</v>
      </c>
      <c r="F2403">
        <v>0.31069062420944998</v>
      </c>
      <c r="G2403">
        <v>0.22128795138696</v>
      </c>
      <c r="H2403">
        <v>0.167146764383278</v>
      </c>
      <c r="I2403">
        <v>0.147464802914307</v>
      </c>
      <c r="J2403">
        <v>0.116145807643736</v>
      </c>
      <c r="K2403">
        <v>8.3752794824388604E-2</v>
      </c>
      <c r="L2403">
        <v>1866.85244065604</v>
      </c>
      <c r="M2403">
        <v>36.509209357791903</v>
      </c>
      <c r="N2403">
        <v>51.598744143838204</v>
      </c>
      <c r="O2403">
        <v>50.981059058374903</v>
      </c>
      <c r="P2403">
        <v>-0.15393539212700499</v>
      </c>
      <c r="Q2403">
        <v>0.140187863159557</v>
      </c>
      <c r="R2403">
        <v>0.99401715886660302</v>
      </c>
      <c r="S2403" t="s">
        <v>8714</v>
      </c>
      <c r="T2403" t="s">
        <v>12620</v>
      </c>
      <c r="U2403" t="s">
        <v>12620</v>
      </c>
      <c r="V2403" t="s">
        <v>12620</v>
      </c>
      <c r="W2403" t="s">
        <v>14982</v>
      </c>
      <c r="X2403">
        <v>13</v>
      </c>
      <c r="Y2403" t="s">
        <v>21167</v>
      </c>
      <c r="Z2403" t="s">
        <v>27350</v>
      </c>
      <c r="AA2403">
        <v>0.462937473545047</v>
      </c>
      <c r="AB2403" t="str">
        <f>HYPERLINK("Melting_Curves/meltCurve_P53367_ARFIP1.pdf", "Melting_Curves/meltCurve_P53367_ARFIP1.pdf")</f>
        <v>Melting_Curves/meltCurve_P53367_ARFIP1.pdf</v>
      </c>
    </row>
    <row r="2404" spans="1:28" x14ac:dyDescent="0.25">
      <c r="A2404" t="s">
        <v>2408</v>
      </c>
      <c r="B2404">
        <v>0.99987803227770999</v>
      </c>
      <c r="C2404">
        <v>0.95278947534458003</v>
      </c>
      <c r="D2404">
        <v>0.94560582204161503</v>
      </c>
      <c r="E2404">
        <v>0.80843934011826801</v>
      </c>
      <c r="F2404">
        <v>0.61638389707128804</v>
      </c>
      <c r="G2404">
        <v>0.63991697818589999</v>
      </c>
      <c r="H2404">
        <v>0.39487254383085801</v>
      </c>
      <c r="I2404">
        <v>0.38341222402835301</v>
      </c>
      <c r="J2404">
        <v>0.33444191969374198</v>
      </c>
      <c r="K2404">
        <v>0.275210555025791</v>
      </c>
      <c r="L2404">
        <v>540.38937190510399</v>
      </c>
      <c r="M2404">
        <v>9.6698207944408594</v>
      </c>
      <c r="N2404">
        <v>58.7260188893285</v>
      </c>
      <c r="O2404">
        <v>53.6510692423251</v>
      </c>
      <c r="P2404">
        <v>-3.6659551677534603E-2</v>
      </c>
      <c r="Q2404">
        <v>0.186856904280364</v>
      </c>
      <c r="R2404">
        <v>0.97471588266290898</v>
      </c>
      <c r="S2404" t="s">
        <v>8715</v>
      </c>
      <c r="T2404" t="s">
        <v>12620</v>
      </c>
      <c r="U2404" t="s">
        <v>12620</v>
      </c>
      <c r="V2404" t="s">
        <v>12620</v>
      </c>
      <c r="W2404" t="s">
        <v>14983</v>
      </c>
      <c r="X2404">
        <v>13</v>
      </c>
      <c r="Y2404" t="s">
        <v>21167</v>
      </c>
      <c r="Z2404" t="s">
        <v>27351</v>
      </c>
      <c r="AA2404">
        <v>0.63502085215872262</v>
      </c>
      <c r="AB2404" t="str">
        <f>HYPERLINK("Melting_Curves/meltCurve_P53367_2_ARFIP1.pdf", "Melting_Curves/meltCurve_P53367_2_ARFIP1.pdf")</f>
        <v>Melting_Curves/meltCurve_P53367_2_ARFIP1.pdf</v>
      </c>
    </row>
    <row r="2405" spans="1:28" x14ac:dyDescent="0.25">
      <c r="A2405" t="s">
        <v>2409</v>
      </c>
      <c r="B2405">
        <v>0.99987803227770999</v>
      </c>
      <c r="C2405">
        <v>0.86032804288821096</v>
      </c>
      <c r="D2405">
        <v>0.96828058887652102</v>
      </c>
      <c r="E2405">
        <v>0.66961567319781301</v>
      </c>
      <c r="F2405">
        <v>0.487258710809503</v>
      </c>
      <c r="G2405">
        <v>0.26521990540142998</v>
      </c>
      <c r="H2405">
        <v>0.181675500754236</v>
      </c>
      <c r="I2405">
        <v>0.14807977784788401</v>
      </c>
      <c r="J2405">
        <v>0.1142032541045</v>
      </c>
      <c r="K2405">
        <v>8.6728831411365906E-2</v>
      </c>
      <c r="L2405">
        <v>805.49289270315001</v>
      </c>
      <c r="M2405">
        <v>15.4545466651018</v>
      </c>
      <c r="N2405">
        <v>52.751781064025202</v>
      </c>
      <c r="O2405">
        <v>51.270836847599</v>
      </c>
      <c r="P2405">
        <v>-6.8998095689004904E-2</v>
      </c>
      <c r="Q2405">
        <v>8.4470484695100406E-2</v>
      </c>
      <c r="R2405">
        <v>0.98538399257034304</v>
      </c>
      <c r="S2405" t="s">
        <v>8716</v>
      </c>
      <c r="T2405" t="s">
        <v>12620</v>
      </c>
      <c r="U2405" t="s">
        <v>12620</v>
      </c>
      <c r="V2405" t="s">
        <v>12620</v>
      </c>
      <c r="W2405" t="s">
        <v>14984</v>
      </c>
      <c r="X2405">
        <v>7</v>
      </c>
      <c r="Y2405" t="s">
        <v>21168</v>
      </c>
      <c r="Z2405" t="s">
        <v>27352</v>
      </c>
      <c r="AA2405">
        <v>0.47382092938437143</v>
      </c>
      <c r="AB2405" t="str">
        <f>HYPERLINK("Melting_Curves/meltCurve_P53384_2_NUBP1.pdf", "Melting_Curves/meltCurve_P53384_2_NUBP1.pdf")</f>
        <v>Melting_Curves/meltCurve_P53384_2_NUBP1.pdf</v>
      </c>
    </row>
    <row r="2406" spans="1:28" x14ac:dyDescent="0.25">
      <c r="A2406" t="s">
        <v>2410</v>
      </c>
      <c r="B2406">
        <v>0.99987803227770999</v>
      </c>
      <c r="C2406">
        <v>1.0573515717325299</v>
      </c>
      <c r="D2406">
        <v>0.71141559487573303</v>
      </c>
      <c r="E2406">
        <v>1.0016480026744901</v>
      </c>
      <c r="F2406">
        <v>0.25459722461567702</v>
      </c>
      <c r="G2406">
        <v>0.13873663206862699</v>
      </c>
      <c r="H2406">
        <v>8.9748834227926899E-2</v>
      </c>
      <c r="I2406">
        <v>8.3289738838312602E-2</v>
      </c>
      <c r="J2406">
        <v>5.8570611300890398E-2</v>
      </c>
      <c r="K2406">
        <v>4.2838188893382999E-2</v>
      </c>
      <c r="L2406">
        <v>13172.267009380599</v>
      </c>
      <c r="M2406">
        <v>250</v>
      </c>
      <c r="N2406">
        <v>52.7271576565565</v>
      </c>
      <c r="O2406">
        <v>52.6856964345031</v>
      </c>
      <c r="P2406">
        <v>-1.08824983383907</v>
      </c>
      <c r="Q2406">
        <v>8.2636797400946205E-2</v>
      </c>
      <c r="R2406">
        <v>0.947819033523705</v>
      </c>
      <c r="S2406" t="s">
        <v>8717</v>
      </c>
      <c r="T2406" t="s">
        <v>12620</v>
      </c>
      <c r="U2406" t="s">
        <v>12620</v>
      </c>
      <c r="V2406" t="s">
        <v>12620</v>
      </c>
      <c r="W2406" t="s">
        <v>14985</v>
      </c>
      <c r="X2406">
        <v>69</v>
      </c>
      <c r="Y2406" t="s">
        <v>21169</v>
      </c>
      <c r="Z2406" t="s">
        <v>27353</v>
      </c>
      <c r="AA2406">
        <v>0.47073776102505382</v>
      </c>
      <c r="AB2406" t="str">
        <f>HYPERLINK("Melting_Curves/meltCurve_P53396_ACLY.pdf", "Melting_Curves/meltCurve_P53396_ACLY.pdf")</f>
        <v>Melting_Curves/meltCurve_P53396_ACLY.pdf</v>
      </c>
    </row>
    <row r="2407" spans="1:28" x14ac:dyDescent="0.25">
      <c r="A2407" t="s">
        <v>2411</v>
      </c>
      <c r="B2407">
        <v>0.99987803227770999</v>
      </c>
      <c r="C2407">
        <v>1.4648903672170399</v>
      </c>
      <c r="D2407">
        <v>0.84913017273762104</v>
      </c>
      <c r="E2407">
        <v>1.3474052187308301</v>
      </c>
      <c r="F2407">
        <v>0.212139141658722</v>
      </c>
      <c r="G2407">
        <v>0.12701759658262901</v>
      </c>
      <c r="H2407">
        <v>9.7771516096289104E-2</v>
      </c>
      <c r="I2407">
        <v>0.15263934622641701</v>
      </c>
      <c r="J2407">
        <v>8.2136696343036802E-2</v>
      </c>
      <c r="K2407">
        <v>5.87068495342725E-2</v>
      </c>
      <c r="L2407">
        <v>13144.9217376219</v>
      </c>
      <c r="M2407">
        <v>250</v>
      </c>
      <c r="N2407">
        <v>52.628593435750297</v>
      </c>
      <c r="O2407">
        <v>52.576322999717</v>
      </c>
      <c r="P2407">
        <v>-1.06553067871145</v>
      </c>
      <c r="Q2407">
        <v>0.103653052613136</v>
      </c>
      <c r="R2407">
        <v>0.87321968414312101</v>
      </c>
      <c r="S2407" t="s">
        <v>8718</v>
      </c>
      <c r="T2407" t="s">
        <v>12620</v>
      </c>
      <c r="U2407" t="s">
        <v>12620</v>
      </c>
      <c r="V2407" t="s">
        <v>12620</v>
      </c>
      <c r="W2407" t="s">
        <v>14986</v>
      </c>
      <c r="X2407">
        <v>68</v>
      </c>
      <c r="Y2407" t="s">
        <v>21169</v>
      </c>
      <c r="Z2407" t="s">
        <v>27354</v>
      </c>
      <c r="AA2407">
        <v>0.4795945643062226</v>
      </c>
      <c r="AB2407" t="str">
        <f>HYPERLINK("Melting_Curves/meltCurve_P53396_2_ACLY.pdf", "Melting_Curves/meltCurve_P53396_2_ACLY.pdf")</f>
        <v>Melting_Curves/meltCurve_P53396_2_ACLY.pdf</v>
      </c>
    </row>
    <row r="2408" spans="1:28" x14ac:dyDescent="0.25">
      <c r="A2408" t="s">
        <v>2412</v>
      </c>
      <c r="B2408">
        <v>0.99987803227770999</v>
      </c>
      <c r="C2408">
        <v>0.77777174827486595</v>
      </c>
      <c r="D2408">
        <v>0.43307991958374498</v>
      </c>
      <c r="E2408">
        <v>0.26872046162149199</v>
      </c>
      <c r="F2408">
        <v>0.19174356273692</v>
      </c>
      <c r="G2408">
        <v>0.126825018660257</v>
      </c>
      <c r="H2408">
        <v>0.11041678128030399</v>
      </c>
      <c r="I2408">
        <v>9.7022563490231306E-2</v>
      </c>
      <c r="J2408">
        <v>9.0418624209622198E-2</v>
      </c>
      <c r="K2408">
        <v>6.7528149891555506E-2</v>
      </c>
      <c r="L2408">
        <v>887.11815158801699</v>
      </c>
      <c r="M2408">
        <v>19.595163909307701</v>
      </c>
      <c r="N2408">
        <v>45.814593265866897</v>
      </c>
      <c r="O2408">
        <v>44.8087062528978</v>
      </c>
      <c r="P2408">
        <v>-9.8014490358208597E-2</v>
      </c>
      <c r="Q2408">
        <v>0.103503799531102</v>
      </c>
      <c r="R2408">
        <v>0.98775834262018702</v>
      </c>
      <c r="S2408" t="s">
        <v>8719</v>
      </c>
      <c r="T2408" t="s">
        <v>12620</v>
      </c>
      <c r="U2408" t="s">
        <v>12620</v>
      </c>
      <c r="V2408" t="s">
        <v>12620</v>
      </c>
      <c r="W2408" t="s">
        <v>14987</v>
      </c>
      <c r="X2408">
        <v>3</v>
      </c>
      <c r="Y2408" t="s">
        <v>21170</v>
      </c>
      <c r="Z2408" t="s">
        <v>27355</v>
      </c>
      <c r="AA2408">
        <v>0.27651604520497047</v>
      </c>
      <c r="AB2408" t="str">
        <f>HYPERLINK("Melting_Curves/meltCurve_P53582_METAP1.pdf", "Melting_Curves/meltCurve_P53582_METAP1.pdf")</f>
        <v>Melting_Curves/meltCurve_P53582_METAP1.pdf</v>
      </c>
    </row>
    <row r="2409" spans="1:28" x14ac:dyDescent="0.25">
      <c r="A2409" t="s">
        <v>2413</v>
      </c>
      <c r="B2409">
        <v>0.99987803227770999</v>
      </c>
      <c r="C2409">
        <v>1.0508206081939899</v>
      </c>
      <c r="D2409">
        <v>0.96089291248624498</v>
      </c>
      <c r="E2409">
        <v>0.68134564712770396</v>
      </c>
      <c r="F2409">
        <v>0.24356930374466401</v>
      </c>
      <c r="G2409">
        <v>0.135246432579579</v>
      </c>
      <c r="H2409">
        <v>9.0649632608848299E-2</v>
      </c>
      <c r="I2409">
        <v>6.5849384496036403E-2</v>
      </c>
      <c r="J2409">
        <v>6.03009887731107E-2</v>
      </c>
      <c r="K2409">
        <v>4.3825336531003699E-2</v>
      </c>
      <c r="L2409">
        <v>1749.8853481998499</v>
      </c>
      <c r="M2409">
        <v>34.387459390719798</v>
      </c>
      <c r="N2409">
        <v>51.116900478111297</v>
      </c>
      <c r="O2409">
        <v>50.716146887036999</v>
      </c>
      <c r="P2409">
        <v>-0.157381587279283</v>
      </c>
      <c r="Q2409">
        <v>7.1550313326565598E-2</v>
      </c>
      <c r="R2409">
        <v>0.99637748260112402</v>
      </c>
      <c r="S2409" t="s">
        <v>8720</v>
      </c>
      <c r="T2409" t="s">
        <v>12620</v>
      </c>
      <c r="U2409" t="s">
        <v>12620</v>
      </c>
      <c r="V2409" t="s">
        <v>12620</v>
      </c>
      <c r="W2409" t="s">
        <v>14988</v>
      </c>
      <c r="X2409">
        <v>9</v>
      </c>
      <c r="Y2409" t="s">
        <v>21171</v>
      </c>
      <c r="Z2409" t="s">
        <v>27356</v>
      </c>
      <c r="AA2409">
        <v>0.41292289972372981</v>
      </c>
      <c r="AB2409" t="str">
        <f>HYPERLINK("Melting_Curves/meltCurve_P53597_SUCLG1.pdf", "Melting_Curves/meltCurve_P53597_SUCLG1.pdf")</f>
        <v>Melting_Curves/meltCurve_P53597_SUCLG1.pdf</v>
      </c>
    </row>
    <row r="2410" spans="1:28" x14ac:dyDescent="0.25">
      <c r="A2410" t="s">
        <v>2414</v>
      </c>
      <c r="B2410">
        <v>0.99987803227770999</v>
      </c>
      <c r="C2410">
        <v>1.07705739004753</v>
      </c>
      <c r="D2410">
        <v>1.0775202302672899</v>
      </c>
      <c r="E2410">
        <v>0.94190126581668299</v>
      </c>
      <c r="F2410">
        <v>0.420720758724973</v>
      </c>
      <c r="G2410">
        <v>0.18618332734728599</v>
      </c>
      <c r="H2410">
        <v>0.116150211277724</v>
      </c>
      <c r="I2410">
        <v>8.9066305660418899E-2</v>
      </c>
      <c r="J2410">
        <v>6.7393266416820904E-2</v>
      </c>
      <c r="K2410">
        <v>4.6817513686434803E-2</v>
      </c>
      <c r="L2410">
        <v>2555.63481454778</v>
      </c>
      <c r="M2410">
        <v>48.737005831168403</v>
      </c>
      <c r="N2410">
        <v>52.667025623789499</v>
      </c>
      <c r="O2410">
        <v>52.349199164749201</v>
      </c>
      <c r="P2410">
        <v>-0.210460500276898</v>
      </c>
      <c r="Q2410">
        <v>9.57648858900913E-2</v>
      </c>
      <c r="R2410">
        <v>0.98883086677523502</v>
      </c>
      <c r="S2410" t="s">
        <v>8721</v>
      </c>
      <c r="T2410" t="s">
        <v>12620</v>
      </c>
      <c r="U2410" t="s">
        <v>12620</v>
      </c>
      <c r="V2410" t="s">
        <v>12620</v>
      </c>
      <c r="W2410" t="s">
        <v>14989</v>
      </c>
      <c r="X2410">
        <v>13</v>
      </c>
      <c r="Y2410" t="s">
        <v>21172</v>
      </c>
      <c r="Z2410" t="s">
        <v>27357</v>
      </c>
      <c r="AA2410">
        <v>0.4728400033620348</v>
      </c>
      <c r="AB2410" t="str">
        <f>HYPERLINK("Melting_Curves/meltCurve_P53602_MVD.pdf", "Melting_Curves/meltCurve_P53602_MVD.pdf")</f>
        <v>Melting_Curves/meltCurve_P53602_MVD.pdf</v>
      </c>
    </row>
    <row r="2411" spans="1:28" x14ac:dyDescent="0.25">
      <c r="A2411" t="s">
        <v>2415</v>
      </c>
      <c r="B2411">
        <v>0.99987803227770999</v>
      </c>
      <c r="C2411">
        <v>1.0693029600306101</v>
      </c>
      <c r="D2411">
        <v>1.0271211074748301</v>
      </c>
      <c r="E2411">
        <v>0.95695236793405203</v>
      </c>
      <c r="F2411">
        <v>0.68107974361730605</v>
      </c>
      <c r="G2411">
        <v>0.34562722267892299</v>
      </c>
      <c r="H2411">
        <v>0.15987092694782101</v>
      </c>
      <c r="I2411">
        <v>0.14052162308965199</v>
      </c>
      <c r="J2411">
        <v>0.104451031489214</v>
      </c>
      <c r="K2411">
        <v>7.6098064557664297E-2</v>
      </c>
      <c r="L2411">
        <v>1364.56420545437</v>
      </c>
      <c r="M2411">
        <v>24.986576069630502</v>
      </c>
      <c r="N2411">
        <v>55.087726953955602</v>
      </c>
      <c r="O2411">
        <v>54.265691645525102</v>
      </c>
      <c r="P2411">
        <v>-0.103940512865388</v>
      </c>
      <c r="Q2411">
        <v>9.7062712759938094E-2</v>
      </c>
      <c r="R2411">
        <v>0.99404567104741404</v>
      </c>
      <c r="S2411" t="s">
        <v>8722</v>
      </c>
      <c r="T2411" t="s">
        <v>12620</v>
      </c>
      <c r="U2411" t="s">
        <v>12620</v>
      </c>
      <c r="V2411" t="s">
        <v>12620</v>
      </c>
      <c r="W2411" t="s">
        <v>14990</v>
      </c>
      <c r="X2411">
        <v>9</v>
      </c>
      <c r="Y2411" t="s">
        <v>21173</v>
      </c>
      <c r="Z2411" t="s">
        <v>27358</v>
      </c>
      <c r="AA2411">
        <v>0.54521889231439324</v>
      </c>
      <c r="AB2411" t="str">
        <f>HYPERLINK("Melting_Curves/meltCurve_P53609_PGGT1B.pdf", "Melting_Curves/meltCurve_P53609_PGGT1B.pdf")</f>
        <v>Melting_Curves/meltCurve_P53609_PGGT1B.pdf</v>
      </c>
    </row>
    <row r="2412" spans="1:28" x14ac:dyDescent="0.25">
      <c r="A2412" t="s">
        <v>2416</v>
      </c>
      <c r="B2412">
        <v>0.99987803227770999</v>
      </c>
      <c r="C2412">
        <v>1.0287335719520001</v>
      </c>
      <c r="D2412">
        <v>1.02027790683316</v>
      </c>
      <c r="E2412">
        <v>0.78723186940388901</v>
      </c>
      <c r="F2412">
        <v>0.49032277057777501</v>
      </c>
      <c r="G2412">
        <v>0.28645778909592101</v>
      </c>
      <c r="H2412">
        <v>0.12590923090167999</v>
      </c>
      <c r="I2412">
        <v>9.8382333578373907E-2</v>
      </c>
      <c r="J2412">
        <v>5.6092442987520801E-2</v>
      </c>
      <c r="K2412">
        <v>4.1778851110429102E-2</v>
      </c>
      <c r="L2412">
        <v>1060.94949495947</v>
      </c>
      <c r="M2412">
        <v>19.998080210525</v>
      </c>
      <c r="N2412">
        <v>53.3656394212544</v>
      </c>
      <c r="O2412">
        <v>52.530615970677097</v>
      </c>
      <c r="P2412">
        <v>-8.9908729909193699E-2</v>
      </c>
      <c r="Q2412">
        <v>5.53478390380416E-2</v>
      </c>
      <c r="R2412">
        <v>0.99411928007471195</v>
      </c>
      <c r="S2412" t="s">
        <v>8723</v>
      </c>
      <c r="T2412" t="s">
        <v>12620</v>
      </c>
      <c r="U2412" t="s">
        <v>12620</v>
      </c>
      <c r="V2412" t="s">
        <v>12620</v>
      </c>
      <c r="W2412" t="s">
        <v>14991</v>
      </c>
      <c r="X2412">
        <v>4</v>
      </c>
      <c r="Y2412" t="s">
        <v>21174</v>
      </c>
      <c r="Z2412" t="s">
        <v>27359</v>
      </c>
      <c r="AA2412">
        <v>0.47934112371545923</v>
      </c>
      <c r="AB2412" t="str">
        <f>HYPERLINK("Melting_Curves/meltCurve_P53611_RABGGTB.pdf", "Melting_Curves/meltCurve_P53611_RABGGTB.pdf")</f>
        <v>Melting_Curves/meltCurve_P53611_RABGGTB.pdf</v>
      </c>
    </row>
    <row r="2413" spans="1:28" x14ac:dyDescent="0.25">
      <c r="A2413" t="s">
        <v>2417</v>
      </c>
      <c r="B2413">
        <v>0.99987803227770999</v>
      </c>
      <c r="C2413">
        <v>0.94177111201674801</v>
      </c>
      <c r="D2413">
        <v>0.84704711793054599</v>
      </c>
      <c r="E2413">
        <v>1.08779917551342</v>
      </c>
      <c r="F2413">
        <v>0.55301109412226201</v>
      </c>
      <c r="G2413">
        <v>0.33379505097220802</v>
      </c>
      <c r="H2413">
        <v>0.17889592759218301</v>
      </c>
      <c r="I2413">
        <v>0.150274370913799</v>
      </c>
      <c r="J2413">
        <v>0.13131236770645</v>
      </c>
      <c r="K2413">
        <v>7.3695058979721506E-2</v>
      </c>
      <c r="L2413">
        <v>1708.96242983197</v>
      </c>
      <c r="M2413">
        <v>31.8801335463524</v>
      </c>
      <c r="N2413">
        <v>54.160147472745003</v>
      </c>
      <c r="O2413">
        <v>53.396273956621599</v>
      </c>
      <c r="P2413">
        <v>-0.128486683473757</v>
      </c>
      <c r="Q2413">
        <v>0.13919120498038901</v>
      </c>
      <c r="R2413">
        <v>0.95005076808488698</v>
      </c>
      <c r="S2413" t="s">
        <v>8724</v>
      </c>
      <c r="T2413" t="s">
        <v>12620</v>
      </c>
      <c r="U2413" t="s">
        <v>12620</v>
      </c>
      <c r="V2413" t="s">
        <v>12620</v>
      </c>
      <c r="W2413" t="s">
        <v>14650</v>
      </c>
      <c r="X2413">
        <v>32</v>
      </c>
      <c r="Y2413" t="s">
        <v>21175</v>
      </c>
      <c r="Z2413" t="s">
        <v>27360</v>
      </c>
      <c r="AA2413">
        <v>0.53459093499605481</v>
      </c>
      <c r="AB2413" t="str">
        <f>HYPERLINK("Melting_Curves/meltCurve_P53618_COPB1.pdf", "Melting_Curves/meltCurve_P53618_COPB1.pdf")</f>
        <v>Melting_Curves/meltCurve_P53618_COPB1.pdf</v>
      </c>
    </row>
    <row r="2414" spans="1:28" x14ac:dyDescent="0.25">
      <c r="A2414" t="s">
        <v>2418</v>
      </c>
      <c r="B2414">
        <v>0.99987803227770999</v>
      </c>
      <c r="C2414">
        <v>0.84052651004771495</v>
      </c>
      <c r="D2414">
        <v>0.785810502186152</v>
      </c>
      <c r="E2414">
        <v>1.1945121122228901</v>
      </c>
      <c r="F2414">
        <v>0.58193708385237397</v>
      </c>
      <c r="G2414">
        <v>0.25055577129232398</v>
      </c>
      <c r="H2414">
        <v>0.124222809351511</v>
      </c>
      <c r="I2414">
        <v>9.7200243687149995E-2</v>
      </c>
      <c r="J2414">
        <v>8.1278379350600602E-2</v>
      </c>
      <c r="K2414">
        <v>5.65946249497985E-2</v>
      </c>
      <c r="L2414">
        <v>13255.0627369391</v>
      </c>
      <c r="M2414">
        <v>250</v>
      </c>
      <c r="N2414">
        <v>53.079629924451901</v>
      </c>
      <c r="O2414">
        <v>53.016855459037302</v>
      </c>
      <c r="P2414">
        <v>-1.0350830933644899</v>
      </c>
      <c r="Q2414">
        <v>0.12197034687578499</v>
      </c>
      <c r="R2414">
        <v>0.92102022112187298</v>
      </c>
      <c r="S2414" t="s">
        <v>8725</v>
      </c>
      <c r="T2414" t="s">
        <v>12620</v>
      </c>
      <c r="U2414" t="s">
        <v>12620</v>
      </c>
      <c r="V2414" t="s">
        <v>12620</v>
      </c>
      <c r="W2414" t="s">
        <v>14992</v>
      </c>
      <c r="X2414">
        <v>37</v>
      </c>
      <c r="Y2414" t="s">
        <v>21176</v>
      </c>
      <c r="Z2414" t="s">
        <v>27361</v>
      </c>
      <c r="AA2414">
        <v>0.50312426139326949</v>
      </c>
      <c r="AB2414" t="str">
        <f>HYPERLINK("Melting_Curves/meltCurve_P53621_COPA.pdf", "Melting_Curves/meltCurve_P53621_COPA.pdf")</f>
        <v>Melting_Curves/meltCurve_P53621_COPA.pdf</v>
      </c>
    </row>
    <row r="2415" spans="1:28" x14ac:dyDescent="0.25">
      <c r="A2415" t="s">
        <v>2419</v>
      </c>
      <c r="B2415">
        <v>0.99987803227770999</v>
      </c>
      <c r="C2415">
        <v>0.98340933924011997</v>
      </c>
      <c r="D2415">
        <v>0.98368632155872304</v>
      </c>
      <c r="E2415">
        <v>0.97641915004571</v>
      </c>
      <c r="F2415">
        <v>1.02155500318867</v>
      </c>
      <c r="G2415">
        <v>0.87676944860930395</v>
      </c>
      <c r="H2415">
        <v>0.729645493412865</v>
      </c>
      <c r="I2415">
        <v>0.63082430666934797</v>
      </c>
      <c r="J2415">
        <v>0.496970867449883</v>
      </c>
      <c r="K2415">
        <v>0.32651352678657303</v>
      </c>
      <c r="L2415">
        <v>849.52242417547302</v>
      </c>
      <c r="M2415">
        <v>12.7856153779735</v>
      </c>
      <c r="N2415">
        <v>66.4436290787459</v>
      </c>
      <c r="O2415">
        <v>64.881135364395206</v>
      </c>
      <c r="P2415">
        <v>-4.92748203247452E-2</v>
      </c>
      <c r="Q2415">
        <v>0</v>
      </c>
      <c r="R2415">
        <v>0.988971656014206</v>
      </c>
      <c r="S2415" t="s">
        <v>8726</v>
      </c>
      <c r="T2415" t="s">
        <v>12620</v>
      </c>
      <c r="U2415" t="s">
        <v>12620</v>
      </c>
      <c r="V2415" t="s">
        <v>12620</v>
      </c>
      <c r="W2415" t="s">
        <v>14993</v>
      </c>
      <c r="X2415">
        <v>8</v>
      </c>
      <c r="Y2415" t="s">
        <v>21177</v>
      </c>
      <c r="Z2415" t="s">
        <v>27362</v>
      </c>
      <c r="AA2415">
        <v>0.82896317982113588</v>
      </c>
      <c r="AB2415" t="str">
        <f>HYPERLINK("Melting_Curves/meltCurve_P53634_CTSC.pdf", "Melting_Curves/meltCurve_P53634_CTSC.pdf")</f>
        <v>Melting_Curves/meltCurve_P53634_CTSC.pdf</v>
      </c>
    </row>
    <row r="2416" spans="1:28" x14ac:dyDescent="0.25">
      <c r="A2416" t="s">
        <v>2420</v>
      </c>
      <c r="B2416">
        <v>0.99987803227770999</v>
      </c>
      <c r="C2416">
        <v>1.54230016014626</v>
      </c>
      <c r="D2416">
        <v>0.88270450374753495</v>
      </c>
      <c r="E2416">
        <v>1.36870761592304</v>
      </c>
      <c r="F2416">
        <v>0.295889908363351</v>
      </c>
      <c r="G2416">
        <v>0.181791020270995</v>
      </c>
      <c r="H2416">
        <v>7.81918089808704E-2</v>
      </c>
      <c r="I2416">
        <v>8.8592139691683794E-2</v>
      </c>
      <c r="J2416">
        <v>5.5619805777728397E-2</v>
      </c>
      <c r="K2416">
        <v>3.56982254992129E-2</v>
      </c>
      <c r="L2416">
        <v>13185.3502694906</v>
      </c>
      <c r="M2416">
        <v>250</v>
      </c>
      <c r="N2416">
        <v>52.782261110058997</v>
      </c>
      <c r="O2416">
        <v>52.738025998336802</v>
      </c>
      <c r="P2416">
        <v>-1.0808397822175899</v>
      </c>
      <c r="Q2416">
        <v>8.7978296864596406E-2</v>
      </c>
      <c r="R2416">
        <v>0.85334292985999505</v>
      </c>
      <c r="S2416" t="s">
        <v>8727</v>
      </c>
      <c r="T2416" t="s">
        <v>12620</v>
      </c>
      <c r="U2416" t="s">
        <v>12620</v>
      </c>
      <c r="V2416" t="s">
        <v>12620</v>
      </c>
      <c r="W2416" t="s">
        <v>14994</v>
      </c>
      <c r="X2416">
        <v>19</v>
      </c>
      <c r="Y2416" t="s">
        <v>21178</v>
      </c>
      <c r="Z2416" t="s">
        <v>27363</v>
      </c>
      <c r="AA2416">
        <v>0.47541052428356928</v>
      </c>
      <c r="AB2416" t="str">
        <f>HYPERLINK("Melting_Curves/meltCurve_P53675_2_CLTCL1.pdf", "Melting_Curves/meltCurve_P53675_2_CLTCL1.pdf")</f>
        <v>Melting_Curves/meltCurve_P53675_2_CLTCL1.pdf</v>
      </c>
    </row>
    <row r="2417" spans="1:28" x14ac:dyDescent="0.25">
      <c r="A2417" t="s">
        <v>2421</v>
      </c>
      <c r="B2417">
        <v>0.99987803227770999</v>
      </c>
      <c r="C2417">
        <v>1.10098357661896</v>
      </c>
      <c r="D2417">
        <v>0.86109600454165303</v>
      </c>
      <c r="E2417">
        <v>0.95264175245540805</v>
      </c>
      <c r="F2417">
        <v>0.49218177126979801</v>
      </c>
      <c r="G2417">
        <v>0.23194266644961001</v>
      </c>
      <c r="H2417">
        <v>0.12811434890638501</v>
      </c>
      <c r="I2417">
        <v>0.12521727562309301</v>
      </c>
      <c r="J2417">
        <v>9.2959996220981903E-2</v>
      </c>
      <c r="K2417">
        <v>6.8577269614768302E-2</v>
      </c>
      <c r="L2417">
        <v>1852.50968100368</v>
      </c>
      <c r="M2417">
        <v>35.064922190730996</v>
      </c>
      <c r="N2417">
        <v>53.211532423358904</v>
      </c>
      <c r="O2417">
        <v>52.659906553033103</v>
      </c>
      <c r="P2417">
        <v>-0.14800276420969499</v>
      </c>
      <c r="Q2417">
        <v>0.110930930527244</v>
      </c>
      <c r="R2417">
        <v>0.97634694701396996</v>
      </c>
      <c r="S2417" t="s">
        <v>8728</v>
      </c>
      <c r="T2417" t="s">
        <v>12620</v>
      </c>
      <c r="U2417" t="s">
        <v>12620</v>
      </c>
      <c r="V2417" t="s">
        <v>12620</v>
      </c>
      <c r="W2417" t="s">
        <v>14995</v>
      </c>
      <c r="X2417">
        <v>4</v>
      </c>
      <c r="Y2417" t="s">
        <v>21179</v>
      </c>
      <c r="Z2417" t="s">
        <v>27364</v>
      </c>
      <c r="AA2417">
        <v>0.49540358350289371</v>
      </c>
      <c r="AB2417" t="str">
        <f>HYPERLINK("Melting_Curves/meltCurve_P53680_AP2S1.pdf", "Melting_Curves/meltCurve_P53680_AP2S1.pdf")</f>
        <v>Melting_Curves/meltCurve_P53680_AP2S1.pdf</v>
      </c>
    </row>
    <row r="2418" spans="1:28" x14ac:dyDescent="0.25">
      <c r="A2418" t="s">
        <v>2422</v>
      </c>
      <c r="B2418">
        <v>0.99987803227770999</v>
      </c>
      <c r="C2418">
        <v>1.03626730953318</v>
      </c>
      <c r="D2418">
        <v>0.99145086767271995</v>
      </c>
      <c r="E2418">
        <v>0.876625352745664</v>
      </c>
      <c r="F2418">
        <v>0.66940056297383299</v>
      </c>
      <c r="G2418">
        <v>0.34723333857913802</v>
      </c>
      <c r="H2418">
        <v>0.204356864152479</v>
      </c>
      <c r="I2418">
        <v>0.16994102870284999</v>
      </c>
      <c r="J2418">
        <v>0.111447597965611</v>
      </c>
      <c r="K2418">
        <v>8.7108547589543298E-2</v>
      </c>
      <c r="L2418">
        <v>1105.6208876780399</v>
      </c>
      <c r="M2418">
        <v>20.305705221423501</v>
      </c>
      <c r="N2418">
        <v>55.054553704868397</v>
      </c>
      <c r="O2418">
        <v>53.9289491491975</v>
      </c>
      <c r="P2418">
        <v>-8.47102788335969E-2</v>
      </c>
      <c r="Q2418">
        <v>0.10011572067088501</v>
      </c>
      <c r="R2418">
        <v>0.99763442477067699</v>
      </c>
      <c r="S2418" t="s">
        <v>8729</v>
      </c>
      <c r="T2418" t="s">
        <v>12620</v>
      </c>
      <c r="U2418" t="s">
        <v>12620</v>
      </c>
      <c r="V2418" t="s">
        <v>12620</v>
      </c>
      <c r="W2418" t="s">
        <v>14996</v>
      </c>
      <c r="X2418">
        <v>2</v>
      </c>
      <c r="Y2418" t="s">
        <v>21180</v>
      </c>
      <c r="Z2418" t="s">
        <v>27365</v>
      </c>
      <c r="AA2418">
        <v>0.54537138003573038</v>
      </c>
      <c r="AB2418" t="str">
        <f>HYPERLINK("Melting_Curves/meltCurve_P53778_MAPK12.pdf", "Melting_Curves/meltCurve_P53778_MAPK12.pdf")</f>
        <v>Melting_Curves/meltCurve_P53778_MAPK12.pdf</v>
      </c>
    </row>
    <row r="2419" spans="1:28" x14ac:dyDescent="0.25">
      <c r="A2419" t="s">
        <v>2423</v>
      </c>
      <c r="B2419">
        <v>0.99987803227770999</v>
      </c>
      <c r="C2419">
        <v>0.87750099103013102</v>
      </c>
      <c r="D2419">
        <v>0.99699421215169604</v>
      </c>
      <c r="E2419">
        <v>1.00695255910852</v>
      </c>
      <c r="F2419">
        <v>1.26217795672365</v>
      </c>
      <c r="G2419">
        <v>1.0806172271460199</v>
      </c>
      <c r="H2419">
        <v>0.91902057271134596</v>
      </c>
      <c r="I2419">
        <v>0.839208254774791</v>
      </c>
      <c r="J2419">
        <v>0.64144968615283005</v>
      </c>
      <c r="K2419">
        <v>0.45324014156582199</v>
      </c>
      <c r="L2419">
        <v>1842.4298313025099</v>
      </c>
      <c r="M2419">
        <v>27.588925252125001</v>
      </c>
      <c r="N2419">
        <v>69.109357635757704</v>
      </c>
      <c r="O2419">
        <v>66.433593171401895</v>
      </c>
      <c r="P2419">
        <v>-7.2407301949799802E-2</v>
      </c>
      <c r="Q2419">
        <v>0.30258486840826498</v>
      </c>
      <c r="R2419">
        <v>0.80053974142481998</v>
      </c>
      <c r="S2419" t="s">
        <v>8730</v>
      </c>
      <c r="T2419" t="s">
        <v>12620</v>
      </c>
      <c r="U2419" t="s">
        <v>12620</v>
      </c>
      <c r="V2419" t="s">
        <v>12620</v>
      </c>
      <c r="W2419" t="s">
        <v>14997</v>
      </c>
      <c r="X2419">
        <v>4</v>
      </c>
      <c r="Y2419" t="s">
        <v>21181</v>
      </c>
      <c r="Z2419" t="s">
        <v>27366</v>
      </c>
      <c r="AA2419">
        <v>0.91528102755928453</v>
      </c>
      <c r="AB2419" t="str">
        <f>HYPERLINK("Melting_Curves/meltCurve_P53803_POLR2K.pdf", "Melting_Curves/meltCurve_P53803_POLR2K.pdf")</f>
        <v>Melting_Curves/meltCurve_P53803_POLR2K.pdf</v>
      </c>
    </row>
    <row r="2420" spans="1:28" x14ac:dyDescent="0.25">
      <c r="A2420" t="s">
        <v>2424</v>
      </c>
      <c r="B2420">
        <v>0.99987803227770999</v>
      </c>
      <c r="C2420">
        <v>0.887825359351335</v>
      </c>
      <c r="D2420">
        <v>0.972130373350923</v>
      </c>
      <c r="E2420">
        <v>0.81427233873721205</v>
      </c>
      <c r="F2420">
        <v>0.82741592674703801</v>
      </c>
      <c r="G2420">
        <v>0.60190070727210798</v>
      </c>
      <c r="H2420">
        <v>0.60747990923403505</v>
      </c>
      <c r="I2420">
        <v>0.62821721895774996</v>
      </c>
      <c r="J2420">
        <v>0.55388826663664803</v>
      </c>
      <c r="K2420">
        <v>0.48196774651402902</v>
      </c>
      <c r="L2420">
        <v>487.580431079069</v>
      </c>
      <c r="M2420">
        <v>8.8527553032865001</v>
      </c>
      <c r="O2420">
        <v>52.483527128305901</v>
      </c>
      <c r="P2420">
        <v>-2.3455019459653899E-2</v>
      </c>
      <c r="Q2420">
        <v>0.444217622649487</v>
      </c>
      <c r="R2420">
        <v>0.92368914682570902</v>
      </c>
      <c r="S2420" t="s">
        <v>8731</v>
      </c>
      <c r="T2420" t="s">
        <v>12620</v>
      </c>
      <c r="U2420" t="s">
        <v>12620</v>
      </c>
      <c r="V2420" t="s">
        <v>12620</v>
      </c>
      <c r="W2420" t="s">
        <v>14998</v>
      </c>
      <c r="X2420">
        <v>29</v>
      </c>
      <c r="Y2420" t="s">
        <v>21182</v>
      </c>
      <c r="Z2420" t="s">
        <v>27367</v>
      </c>
      <c r="AA2420">
        <v>0.73818177953695907</v>
      </c>
      <c r="AB2420" t="str">
        <f>HYPERLINK("Melting_Curves/meltCurve_P53814_5_SMTN.pdf", "Melting_Curves/meltCurve_P53814_5_SMTN.pdf")</f>
        <v>Melting_Curves/meltCurve_P53814_5_SMTN.pdf</v>
      </c>
    </row>
    <row r="2421" spans="1:28" x14ac:dyDescent="0.25">
      <c r="A2421" t="s">
        <v>2425</v>
      </c>
      <c r="B2421">
        <v>0.99987803227770999</v>
      </c>
      <c r="C2421">
        <v>0.875712068219062</v>
      </c>
      <c r="D2421">
        <v>1.0487226236731799</v>
      </c>
      <c r="E2421">
        <v>0.86557531688884903</v>
      </c>
      <c r="F2421">
        <v>0.61758572855431904</v>
      </c>
      <c r="G2421">
        <v>0.209305088773687</v>
      </c>
      <c r="H2421">
        <v>0.140652036239092</v>
      </c>
      <c r="I2421">
        <v>0.117049242703633</v>
      </c>
      <c r="J2421">
        <v>8.0289133122182693E-2</v>
      </c>
      <c r="K2421">
        <v>5.8087037182859E-2</v>
      </c>
      <c r="L2421">
        <v>1462.6298396454899</v>
      </c>
      <c r="M2421">
        <v>27.322031512505799</v>
      </c>
      <c r="N2421">
        <v>53.894341189641104</v>
      </c>
      <c r="O2421">
        <v>53.248645275288801</v>
      </c>
      <c r="P2421">
        <v>-0.117540585141645</v>
      </c>
      <c r="Q2421">
        <v>8.3696181562862695E-2</v>
      </c>
      <c r="R2421">
        <v>0.98626484531499803</v>
      </c>
      <c r="S2421" t="s">
        <v>8732</v>
      </c>
      <c r="T2421" t="s">
        <v>12620</v>
      </c>
      <c r="U2421" t="s">
        <v>12620</v>
      </c>
      <c r="V2421" t="s">
        <v>12620</v>
      </c>
      <c r="W2421" t="s">
        <v>14999</v>
      </c>
      <c r="X2421">
        <v>11</v>
      </c>
      <c r="Y2421" t="s">
        <v>21183</v>
      </c>
      <c r="Z2421" t="s">
        <v>27368</v>
      </c>
      <c r="AA2421">
        <v>0.50420479334612855</v>
      </c>
      <c r="AB2421" t="str">
        <f>HYPERLINK("Melting_Curves/meltCurve_P53990_2_IST1.pdf", "Melting_Curves/meltCurve_P53990_2_IST1.pdf")</f>
        <v>Melting_Curves/meltCurve_P53990_2_IST1.pdf</v>
      </c>
    </row>
    <row r="2422" spans="1:28" x14ac:dyDescent="0.25">
      <c r="A2422" t="s">
        <v>2426</v>
      </c>
      <c r="B2422">
        <v>0.99987803227770999</v>
      </c>
      <c r="C2422">
        <v>1.1041975742974901</v>
      </c>
      <c r="D2422">
        <v>0.95078323373514195</v>
      </c>
      <c r="E2422">
        <v>0.99922702157509102</v>
      </c>
      <c r="F2422">
        <v>0.29725240139754899</v>
      </c>
      <c r="G2422">
        <v>0.206422072948065</v>
      </c>
      <c r="H2422">
        <v>0.114866520480677</v>
      </c>
      <c r="I2422">
        <v>0.103476420219516</v>
      </c>
      <c r="J2422">
        <v>7.6642237803999202E-2</v>
      </c>
      <c r="K2422">
        <v>5.6105771865521001E-2</v>
      </c>
      <c r="L2422">
        <v>6147.39696429176</v>
      </c>
      <c r="M2422">
        <v>117.31841134932</v>
      </c>
      <c r="N2422">
        <v>52.512157364157801</v>
      </c>
      <c r="O2422">
        <v>52.384030823708002</v>
      </c>
      <c r="P2422">
        <v>-0.49748208973366598</v>
      </c>
      <c r="Q2422">
        <v>0.11147394387520999</v>
      </c>
      <c r="R2422">
        <v>0.985796104882524</v>
      </c>
      <c r="S2422" t="s">
        <v>8733</v>
      </c>
      <c r="T2422" t="s">
        <v>12620</v>
      </c>
      <c r="U2422" t="s">
        <v>12620</v>
      </c>
      <c r="V2422" t="s">
        <v>12620</v>
      </c>
      <c r="W2422" t="s">
        <v>15000</v>
      </c>
      <c r="X2422">
        <v>21</v>
      </c>
      <c r="Y2422" t="s">
        <v>21184</v>
      </c>
      <c r="Z2422" t="s">
        <v>27369</v>
      </c>
      <c r="AA2422">
        <v>0.47908054466602268</v>
      </c>
      <c r="AB2422" t="str">
        <f>HYPERLINK("Melting_Curves/meltCurve_P53992_SEC24C.pdf", "Melting_Curves/meltCurve_P53992_SEC24C.pdf")</f>
        <v>Melting_Curves/meltCurve_P53992_SEC24C.pdf</v>
      </c>
    </row>
    <row r="2423" spans="1:28" x14ac:dyDescent="0.25">
      <c r="A2423" t="s">
        <v>2427</v>
      </c>
      <c r="B2423">
        <v>0.99987803227770999</v>
      </c>
      <c r="C2423">
        <v>0.87525847711280003</v>
      </c>
      <c r="D2423">
        <v>1.00600266972554</v>
      </c>
      <c r="E2423">
        <v>0.86265467275913799</v>
      </c>
      <c r="F2423">
        <v>0.93005591627643003</v>
      </c>
      <c r="G2423">
        <v>0.61701451802315499</v>
      </c>
      <c r="H2423">
        <v>0.64086016302807003</v>
      </c>
      <c r="I2423">
        <v>0.52359698773625396</v>
      </c>
      <c r="J2423">
        <v>0.65656278758832498</v>
      </c>
      <c r="K2423">
        <v>0.56069009461917996</v>
      </c>
      <c r="S2423" t="s">
        <v>8734</v>
      </c>
      <c r="T2423" t="s">
        <v>12620</v>
      </c>
      <c r="U2423" t="s">
        <v>12621</v>
      </c>
      <c r="V2423" t="s">
        <v>12620</v>
      </c>
      <c r="W2423" t="s">
        <v>15001</v>
      </c>
      <c r="X2423">
        <v>11</v>
      </c>
      <c r="Y2423" t="s">
        <v>21185</v>
      </c>
      <c r="Z2423" t="s">
        <v>27370</v>
      </c>
      <c r="AB2423" t="str">
        <f>HYPERLINK("Melting_Curves/meltCurve_P53999_SUB1.pdf", "Melting_Curves/meltCurve_P53999_SUB1.pdf")</f>
        <v>Melting_Curves/meltCurve_P53999_SUB1.pdf</v>
      </c>
    </row>
    <row r="2424" spans="1:28" x14ac:dyDescent="0.25">
      <c r="A2424" t="s">
        <v>2428</v>
      </c>
      <c r="B2424">
        <v>0.99987803227770999</v>
      </c>
      <c r="C2424">
        <v>0.90784898583985696</v>
      </c>
      <c r="D2424">
        <v>0.53990340635934697</v>
      </c>
      <c r="E2424">
        <v>0.32615634564864499</v>
      </c>
      <c r="F2424">
        <v>0.18167398973135601</v>
      </c>
      <c r="G2424">
        <v>0.105844612383763</v>
      </c>
      <c r="H2424">
        <v>6.6921023351165607E-2</v>
      </c>
      <c r="I2424">
        <v>5.7227234558912203E-2</v>
      </c>
      <c r="J2424">
        <v>4.8672991855471602E-2</v>
      </c>
      <c r="K2424">
        <v>3.5154566845780499E-2</v>
      </c>
      <c r="L2424">
        <v>832.99813151438002</v>
      </c>
      <c r="M2424">
        <v>17.737528256067201</v>
      </c>
      <c r="N2424">
        <v>47.258996613379097</v>
      </c>
      <c r="O2424">
        <v>46.377748202102701</v>
      </c>
      <c r="P2424">
        <v>-9.0584167961044904E-2</v>
      </c>
      <c r="Q2424">
        <v>5.2659356661055402E-2</v>
      </c>
      <c r="R2424">
        <v>0.98975630107840296</v>
      </c>
      <c r="S2424" t="s">
        <v>8735</v>
      </c>
      <c r="T2424" t="s">
        <v>12620</v>
      </c>
      <c r="U2424" t="s">
        <v>12620</v>
      </c>
      <c r="V2424" t="s">
        <v>12620</v>
      </c>
      <c r="W2424" t="s">
        <v>15002</v>
      </c>
      <c r="X2424">
        <v>35</v>
      </c>
      <c r="Y2424" t="s">
        <v>21186</v>
      </c>
      <c r="Z2424" t="s">
        <v>27371</v>
      </c>
      <c r="AA2424">
        <v>0.29059957891196342</v>
      </c>
      <c r="AB2424" t="str">
        <f>HYPERLINK("Melting_Curves/meltCurve_P54136_RARS.pdf", "Melting_Curves/meltCurve_P54136_RARS.pdf")</f>
        <v>Melting_Curves/meltCurve_P54136_RARS.pdf</v>
      </c>
    </row>
    <row r="2425" spans="1:28" x14ac:dyDescent="0.25">
      <c r="A2425" t="s">
        <v>2429</v>
      </c>
      <c r="B2425">
        <v>0.99987803227770999</v>
      </c>
      <c r="C2425">
        <v>1.0526717120518601</v>
      </c>
      <c r="D2425">
        <v>0.92944004971683902</v>
      </c>
      <c r="E2425">
        <v>0.92409441859904395</v>
      </c>
      <c r="F2425">
        <v>0.83684229675684596</v>
      </c>
      <c r="G2425">
        <v>0.65581033516300502</v>
      </c>
      <c r="H2425">
        <v>0.45463352045892602</v>
      </c>
      <c r="I2425">
        <v>0.29264604015677398</v>
      </c>
      <c r="J2425">
        <v>0.25275926891338901</v>
      </c>
      <c r="K2425">
        <v>0.18799640159518499</v>
      </c>
      <c r="L2425">
        <v>793.30051969900796</v>
      </c>
      <c r="M2425">
        <v>13.4496320874847</v>
      </c>
      <c r="N2425">
        <v>59.834856410553598</v>
      </c>
      <c r="O2425">
        <v>57.724913246634301</v>
      </c>
      <c r="P2425">
        <v>-5.3182075325671797E-2</v>
      </c>
      <c r="Q2425">
        <v>8.7125756208055793E-2</v>
      </c>
      <c r="R2425">
        <v>0.99279985980010299</v>
      </c>
      <c r="S2425" t="s">
        <v>8736</v>
      </c>
      <c r="T2425" t="s">
        <v>12620</v>
      </c>
      <c r="U2425" t="s">
        <v>12620</v>
      </c>
      <c r="V2425" t="s">
        <v>12620</v>
      </c>
      <c r="W2425" t="s">
        <v>15003</v>
      </c>
      <c r="X2425">
        <v>1</v>
      </c>
      <c r="Y2425" t="s">
        <v>21187</v>
      </c>
      <c r="Z2425" t="s">
        <v>27372</v>
      </c>
      <c r="AA2425">
        <v>0.67360295512752999</v>
      </c>
      <c r="AB2425" t="str">
        <f>HYPERLINK("Melting_Curves/meltCurve_P54253_ATXN1.pdf", "Melting_Curves/meltCurve_P54253_ATXN1.pdf")</f>
        <v>Melting_Curves/meltCurve_P54253_ATXN1.pdf</v>
      </c>
    </row>
    <row r="2426" spans="1:28" x14ac:dyDescent="0.25">
      <c r="A2426" t="s">
        <v>2430</v>
      </c>
      <c r="B2426">
        <v>0.99987803227770999</v>
      </c>
      <c r="C2426">
        <v>0.960658000585348</v>
      </c>
      <c r="D2426">
        <v>1.05898930590444</v>
      </c>
      <c r="E2426">
        <v>0.95229653132801595</v>
      </c>
      <c r="F2426">
        <v>0.92866756585286903</v>
      </c>
      <c r="G2426">
        <v>0.71702704739019996</v>
      </c>
      <c r="H2426">
        <v>0.78870524990310298</v>
      </c>
      <c r="I2426">
        <v>0.79072706136756998</v>
      </c>
      <c r="J2426">
        <v>0.85122684900415202</v>
      </c>
      <c r="K2426">
        <v>0.75705487655568604</v>
      </c>
      <c r="L2426">
        <v>9929.8256633421806</v>
      </c>
      <c r="M2426">
        <v>186.627291127051</v>
      </c>
      <c r="O2426">
        <v>53.200609453837501</v>
      </c>
      <c r="P2426">
        <v>-0.19210797421178299</v>
      </c>
      <c r="Q2426">
        <v>0.78094819751386002</v>
      </c>
      <c r="R2426">
        <v>0.85705941693465804</v>
      </c>
      <c r="S2426" t="s">
        <v>8737</v>
      </c>
      <c r="T2426" t="s">
        <v>12620</v>
      </c>
      <c r="U2426" t="s">
        <v>12620</v>
      </c>
      <c r="V2426" t="s">
        <v>12620</v>
      </c>
      <c r="W2426" t="s">
        <v>15004</v>
      </c>
      <c r="X2426">
        <v>6</v>
      </c>
      <c r="Y2426" t="s">
        <v>21188</v>
      </c>
      <c r="Z2426" t="s">
        <v>27373</v>
      </c>
      <c r="AA2426">
        <v>0.87741675482435999</v>
      </c>
      <c r="AB2426" t="str">
        <f>HYPERLINK("Melting_Curves/meltCurve_P54259_ATN1.pdf", "Melting_Curves/meltCurve_P54259_ATN1.pdf")</f>
        <v>Melting_Curves/meltCurve_P54259_ATN1.pdf</v>
      </c>
    </row>
    <row r="2427" spans="1:28" x14ac:dyDescent="0.25">
      <c r="A2427" t="s">
        <v>2431</v>
      </c>
      <c r="B2427">
        <v>0.99987803227770999</v>
      </c>
      <c r="C2427">
        <v>0.808799985222875</v>
      </c>
      <c r="D2427">
        <v>0.65264053513354903</v>
      </c>
      <c r="E2427">
        <v>0.64732604163093899</v>
      </c>
      <c r="F2427">
        <v>0.63586560133409997</v>
      </c>
      <c r="G2427">
        <v>0.47599461025942003</v>
      </c>
      <c r="H2427">
        <v>0.36181532348619799</v>
      </c>
      <c r="I2427">
        <v>0.27658236528093599</v>
      </c>
      <c r="J2427">
        <v>0.24911088075790999</v>
      </c>
      <c r="K2427">
        <v>0.213442612325908</v>
      </c>
      <c r="L2427">
        <v>325.71928980940299</v>
      </c>
      <c r="M2427">
        <v>5.9104303194452896</v>
      </c>
      <c r="N2427">
        <v>55.109234374009198</v>
      </c>
      <c r="O2427">
        <v>49.788549259923599</v>
      </c>
      <c r="P2427">
        <v>-2.9779056486954801E-2</v>
      </c>
      <c r="Q2427">
        <v>0</v>
      </c>
      <c r="R2427">
        <v>0.95044610491421599</v>
      </c>
      <c r="S2427" t="s">
        <v>8738</v>
      </c>
      <c r="T2427" t="s">
        <v>12620</v>
      </c>
      <c r="U2427" t="s">
        <v>12620</v>
      </c>
      <c r="V2427" t="s">
        <v>12620</v>
      </c>
      <c r="W2427" t="s">
        <v>15005</v>
      </c>
      <c r="X2427">
        <v>4</v>
      </c>
      <c r="Y2427" t="s">
        <v>21189</v>
      </c>
      <c r="Z2427" t="s">
        <v>27374</v>
      </c>
      <c r="AA2427">
        <v>0.52843531612740169</v>
      </c>
      <c r="AB2427" t="str">
        <f>HYPERLINK("Melting_Curves/meltCurve_P54277_3_PMS1.pdf", "Melting_Curves/meltCurve_P54277_3_PMS1.pdf")</f>
        <v>Melting_Curves/meltCurve_P54277_3_PMS1.pdf</v>
      </c>
    </row>
    <row r="2428" spans="1:28" x14ac:dyDescent="0.25">
      <c r="A2428" t="s">
        <v>2432</v>
      </c>
      <c r="B2428">
        <v>0.99987803227770999</v>
      </c>
      <c r="C2428">
        <v>0.81763609028032802</v>
      </c>
      <c r="D2428">
        <v>0.61504397475310102</v>
      </c>
      <c r="E2428">
        <v>0.42275402931941303</v>
      </c>
      <c r="F2428">
        <v>0.25666163105768702</v>
      </c>
      <c r="G2428">
        <v>0.15848006429341799</v>
      </c>
      <c r="H2428">
        <v>0.116688330983565</v>
      </c>
      <c r="I2428">
        <v>0.110362291957981</v>
      </c>
      <c r="J2428">
        <v>8.7930827293157099E-2</v>
      </c>
      <c r="K2428">
        <v>7.1198289297938894E-2</v>
      </c>
      <c r="L2428">
        <v>649.51564441744495</v>
      </c>
      <c r="M2428">
        <v>13.6249753239242</v>
      </c>
      <c r="N2428">
        <v>48.217788677937797</v>
      </c>
      <c r="O2428">
        <v>46.679215151523401</v>
      </c>
      <c r="P2428">
        <v>-6.7757513642748998E-2</v>
      </c>
      <c r="Q2428">
        <v>7.1586641333765202E-2</v>
      </c>
      <c r="R2428">
        <v>0.99360450582473903</v>
      </c>
      <c r="S2428" t="s">
        <v>8739</v>
      </c>
      <c r="T2428" t="s">
        <v>12620</v>
      </c>
      <c r="U2428" t="s">
        <v>12620</v>
      </c>
      <c r="V2428" t="s">
        <v>12620</v>
      </c>
      <c r="W2428" t="s">
        <v>15006</v>
      </c>
      <c r="X2428">
        <v>8</v>
      </c>
      <c r="Y2428" t="s">
        <v>21190</v>
      </c>
      <c r="Z2428" t="s">
        <v>27375</v>
      </c>
      <c r="AA2428">
        <v>0.33831714094474352</v>
      </c>
      <c r="AB2428" t="str">
        <f>HYPERLINK("Melting_Curves/meltCurve_P54278_PMS2.pdf", "Melting_Curves/meltCurve_P54278_PMS2.pdf")</f>
        <v>Melting_Curves/meltCurve_P54278_PMS2.pdf</v>
      </c>
    </row>
    <row r="2429" spans="1:28" x14ac:dyDescent="0.25">
      <c r="A2429" t="s">
        <v>2433</v>
      </c>
      <c r="B2429">
        <v>0.99987803227770999</v>
      </c>
      <c r="C2429">
        <v>1.0845212975796199</v>
      </c>
      <c r="D2429">
        <v>0.79547586699497397</v>
      </c>
      <c r="E2429">
        <v>0.43260418369802001</v>
      </c>
      <c r="F2429">
        <v>0.209363969145102</v>
      </c>
      <c r="G2429">
        <v>0.136249270714669</v>
      </c>
      <c r="H2429">
        <v>8.5909048006524102E-2</v>
      </c>
      <c r="I2429">
        <v>7.04082129224404E-2</v>
      </c>
      <c r="J2429">
        <v>5.4486411824674501E-2</v>
      </c>
      <c r="K2429">
        <v>3.8121657286765698E-2</v>
      </c>
      <c r="L2429">
        <v>1133.6916903819199</v>
      </c>
      <c r="M2429">
        <v>23.112568578266</v>
      </c>
      <c r="N2429">
        <v>49.353206065632598</v>
      </c>
      <c r="O2429">
        <v>48.688101872173199</v>
      </c>
      <c r="P2429">
        <v>-0.110844972944543</v>
      </c>
      <c r="Q2429">
        <v>6.6009087292822302E-2</v>
      </c>
      <c r="R2429">
        <v>0.98864747496518102</v>
      </c>
      <c r="S2429" t="s">
        <v>8740</v>
      </c>
      <c r="T2429" t="s">
        <v>12620</v>
      </c>
      <c r="U2429" t="s">
        <v>12620</v>
      </c>
      <c r="V2429" t="s">
        <v>12620</v>
      </c>
      <c r="W2429" t="s">
        <v>15007</v>
      </c>
      <c r="X2429">
        <v>39</v>
      </c>
      <c r="Y2429" t="s">
        <v>21191</v>
      </c>
      <c r="Z2429" t="s">
        <v>27376</v>
      </c>
      <c r="AA2429">
        <v>0.35752008644240979</v>
      </c>
      <c r="AB2429" t="str">
        <f>HYPERLINK("Melting_Curves/meltCurve_P54577_YARS.pdf", "Melting_Curves/meltCurve_P54577_YARS.pdf")</f>
        <v>Melting_Curves/meltCurve_P54577_YARS.pdf</v>
      </c>
    </row>
    <row r="2430" spans="1:28" x14ac:dyDescent="0.25">
      <c r="A2430" t="s">
        <v>2434</v>
      </c>
      <c r="B2430">
        <v>0.99987803227770999</v>
      </c>
      <c r="C2430">
        <v>0.85812206720348105</v>
      </c>
      <c r="D2430">
        <v>0.97584332295229304</v>
      </c>
      <c r="E2430">
        <v>0.91442506075482599</v>
      </c>
      <c r="F2430">
        <v>0.51143854694103696</v>
      </c>
      <c r="G2430">
        <v>0.26227745889159398</v>
      </c>
      <c r="H2430">
        <v>0.16509489082480899</v>
      </c>
      <c r="I2430">
        <v>0.144345763920492</v>
      </c>
      <c r="J2430">
        <v>9.9443745210376105E-2</v>
      </c>
      <c r="K2430">
        <v>7.3277442388590699E-2</v>
      </c>
      <c r="L2430">
        <v>1472.8805108814599</v>
      </c>
      <c r="M2430">
        <v>27.790924480205899</v>
      </c>
      <c r="N2430">
        <v>53.5076022109333</v>
      </c>
      <c r="O2430">
        <v>52.7264761405036</v>
      </c>
      <c r="P2430">
        <v>-0.11646528599366</v>
      </c>
      <c r="Q2430">
        <v>0.11615032404928199</v>
      </c>
      <c r="R2430">
        <v>0.97892048955994204</v>
      </c>
      <c r="S2430" t="s">
        <v>8741</v>
      </c>
      <c r="T2430" t="s">
        <v>12620</v>
      </c>
      <c r="U2430" t="s">
        <v>12620</v>
      </c>
      <c r="V2430" t="s">
        <v>12620</v>
      </c>
      <c r="W2430" t="s">
        <v>15008</v>
      </c>
      <c r="X2430">
        <v>27</v>
      </c>
      <c r="Y2430" t="s">
        <v>21192</v>
      </c>
      <c r="Z2430" t="s">
        <v>27377</v>
      </c>
      <c r="AA2430">
        <v>0.50576242022165185</v>
      </c>
      <c r="AB2430" t="str">
        <f>HYPERLINK("Melting_Curves/meltCurve_P54578_USP14.pdf", "Melting_Curves/meltCurve_P54578_USP14.pdf")</f>
        <v>Melting_Curves/meltCurve_P54578_USP14.pdf</v>
      </c>
    </row>
    <row r="2431" spans="1:28" x14ac:dyDescent="0.25">
      <c r="A2431" t="s">
        <v>2435</v>
      </c>
      <c r="B2431">
        <v>0.99987803227770999</v>
      </c>
      <c r="C2431">
        <v>1.11496552094636</v>
      </c>
      <c r="D2431">
        <v>1.0009815739268999</v>
      </c>
      <c r="E2431">
        <v>1.1197951935520101</v>
      </c>
      <c r="F2431">
        <v>0.76422674723150097</v>
      </c>
      <c r="G2431">
        <v>0.32181686147521799</v>
      </c>
      <c r="H2431">
        <v>8.9261080758378797E-2</v>
      </c>
      <c r="I2431">
        <v>5.4629613527025098E-2</v>
      </c>
      <c r="J2431">
        <v>3.9022686369443199E-2</v>
      </c>
      <c r="K2431">
        <v>2.49134723860353E-2</v>
      </c>
      <c r="L2431">
        <v>1801.0660633744601</v>
      </c>
      <c r="M2431">
        <v>32.549998987774401</v>
      </c>
      <c r="N2431">
        <v>55.4680620784575</v>
      </c>
      <c r="O2431">
        <v>55.124707824570301</v>
      </c>
      <c r="P2431">
        <v>-0.14196791447638499</v>
      </c>
      <c r="Q2431">
        <v>3.8291631627286403E-2</v>
      </c>
      <c r="R2431">
        <v>0.98205141354458403</v>
      </c>
      <c r="S2431" t="s">
        <v>8742</v>
      </c>
      <c r="T2431" t="s">
        <v>12620</v>
      </c>
      <c r="U2431" t="s">
        <v>12620</v>
      </c>
      <c r="V2431" t="s">
        <v>12620</v>
      </c>
      <c r="W2431" t="s">
        <v>15009</v>
      </c>
      <c r="X2431">
        <v>10</v>
      </c>
      <c r="Y2431" t="s">
        <v>21193</v>
      </c>
      <c r="Z2431" t="s">
        <v>27378</v>
      </c>
      <c r="AA2431">
        <v>0.53527651832439471</v>
      </c>
      <c r="AB2431" t="str">
        <f>HYPERLINK("Melting_Curves/meltCurve_P54619_2_PRKAG1.pdf", "Melting_Curves/meltCurve_P54619_2_PRKAG1.pdf")</f>
        <v>Melting_Curves/meltCurve_P54619_2_PRKAG1.pdf</v>
      </c>
    </row>
    <row r="2432" spans="1:28" x14ac:dyDescent="0.25">
      <c r="A2432" t="s">
        <v>2436</v>
      </c>
      <c r="B2432">
        <v>0.99987803227770999</v>
      </c>
      <c r="C2432">
        <v>1.05327953281602</v>
      </c>
      <c r="D2432">
        <v>0.99932883941587902</v>
      </c>
      <c r="E2432">
        <v>0.96094319318872101</v>
      </c>
      <c r="F2432">
        <v>0.74044618556450903</v>
      </c>
      <c r="G2432">
        <v>0.30965117602654302</v>
      </c>
      <c r="H2432">
        <v>0.173760210072467</v>
      </c>
      <c r="I2432">
        <v>0.162462411565098</v>
      </c>
      <c r="J2432">
        <v>8.8671501126211305E-2</v>
      </c>
      <c r="K2432">
        <v>5.8858065864917798E-2</v>
      </c>
      <c r="L2432">
        <v>1533.40330499483</v>
      </c>
      <c r="M2432">
        <v>28.012901447166701</v>
      </c>
      <c r="N2432">
        <v>55.180476505540902</v>
      </c>
      <c r="O2432">
        <v>54.4625051450572</v>
      </c>
      <c r="P2432">
        <v>-0.115684755569994</v>
      </c>
      <c r="Q2432">
        <v>0.100353431378446</v>
      </c>
      <c r="R2432">
        <v>0.99489941200631404</v>
      </c>
      <c r="S2432" t="s">
        <v>8743</v>
      </c>
      <c r="T2432" t="s">
        <v>12620</v>
      </c>
      <c r="U2432" t="s">
        <v>12620</v>
      </c>
      <c r="V2432" t="s">
        <v>12620</v>
      </c>
      <c r="W2432" t="s">
        <v>15010</v>
      </c>
      <c r="X2432">
        <v>8</v>
      </c>
      <c r="Y2432" t="s">
        <v>21194</v>
      </c>
      <c r="Z2432" t="s">
        <v>27379</v>
      </c>
      <c r="AA2432">
        <v>0.54912861644750044</v>
      </c>
      <c r="AB2432" t="str">
        <f>HYPERLINK("Melting_Curves/meltCurve_P54646_PRKAA2.pdf", "Melting_Curves/meltCurve_P54646_PRKAA2.pdf")</f>
        <v>Melting_Curves/meltCurve_P54646_PRKAA2.pdf</v>
      </c>
    </row>
    <row r="2433" spans="1:28" x14ac:dyDescent="0.25">
      <c r="A2433" t="s">
        <v>2437</v>
      </c>
      <c r="B2433">
        <v>0.99987803227770999</v>
      </c>
      <c r="C2433">
        <v>1.01726325415301</v>
      </c>
      <c r="D2433">
        <v>1.00392247390461</v>
      </c>
      <c r="E2433">
        <v>0.92656649890921605</v>
      </c>
      <c r="F2433">
        <v>0.37587874777868902</v>
      </c>
      <c r="G2433">
        <v>0.20680465349978699</v>
      </c>
      <c r="H2433">
        <v>0.129825269556964</v>
      </c>
      <c r="I2433">
        <v>0.10920025095458499</v>
      </c>
      <c r="J2433">
        <v>8.8893426260614597E-2</v>
      </c>
      <c r="K2433">
        <v>5.9538640111369501E-2</v>
      </c>
      <c r="L2433">
        <v>2684.7370658193099</v>
      </c>
      <c r="M2433">
        <v>51.473536542221197</v>
      </c>
      <c r="N2433">
        <v>52.424274258939199</v>
      </c>
      <c r="O2433">
        <v>52.079073636136897</v>
      </c>
      <c r="P2433">
        <v>-0.218635017685857</v>
      </c>
      <c r="Q2433">
        <v>0.115172476964298</v>
      </c>
      <c r="R2433">
        <v>0.99348510375908705</v>
      </c>
      <c r="S2433" t="s">
        <v>8744</v>
      </c>
      <c r="T2433" t="s">
        <v>12620</v>
      </c>
      <c r="U2433" t="s">
        <v>12620</v>
      </c>
      <c r="V2433" t="s">
        <v>12620</v>
      </c>
      <c r="W2433" t="s">
        <v>15011</v>
      </c>
      <c r="X2433">
        <v>45</v>
      </c>
      <c r="Y2433" t="s">
        <v>21195</v>
      </c>
      <c r="Z2433" t="s">
        <v>27380</v>
      </c>
      <c r="AA2433">
        <v>0.47567242852705349</v>
      </c>
      <c r="AB2433" t="str">
        <f>HYPERLINK("Melting_Curves/meltCurve_P54652_HSPA2.pdf", "Melting_Curves/meltCurve_P54652_HSPA2.pdf")</f>
        <v>Melting_Curves/meltCurve_P54652_HSPA2.pdf</v>
      </c>
    </row>
    <row r="2434" spans="1:28" x14ac:dyDescent="0.25">
      <c r="A2434" t="s">
        <v>2438</v>
      </c>
      <c r="B2434">
        <v>0.99987803227770999</v>
      </c>
      <c r="C2434">
        <v>1.0706204951249101</v>
      </c>
      <c r="D2434">
        <v>1.0419698620892399</v>
      </c>
      <c r="E2434">
        <v>0.96585505565515495</v>
      </c>
      <c r="F2434">
        <v>0.909629366216685</v>
      </c>
      <c r="G2434">
        <v>0.80131142198343297</v>
      </c>
      <c r="H2434">
        <v>0.65917851599077804</v>
      </c>
      <c r="I2434">
        <v>0.41305294399432602</v>
      </c>
      <c r="J2434">
        <v>0.23958870683157099</v>
      </c>
      <c r="K2434">
        <v>0.110805208660555</v>
      </c>
      <c r="L2434">
        <v>1050.03287487434</v>
      </c>
      <c r="M2434">
        <v>16.774762472145799</v>
      </c>
      <c r="N2434">
        <v>62.595991103053699</v>
      </c>
      <c r="O2434">
        <v>61.726709844445899</v>
      </c>
      <c r="P2434">
        <v>-6.7944067756143894E-2</v>
      </c>
      <c r="Q2434">
        <v>0</v>
      </c>
      <c r="R2434">
        <v>0.98675372749583901</v>
      </c>
      <c r="S2434" t="s">
        <v>8745</v>
      </c>
      <c r="T2434" t="s">
        <v>12620</v>
      </c>
      <c r="U2434" t="s">
        <v>12620</v>
      </c>
      <c r="V2434" t="s">
        <v>12620</v>
      </c>
      <c r="W2434" t="s">
        <v>15012</v>
      </c>
      <c r="X2434">
        <v>8</v>
      </c>
      <c r="Y2434" t="s">
        <v>21196</v>
      </c>
      <c r="Z2434" t="s">
        <v>27381</v>
      </c>
      <c r="AA2434">
        <v>0.75023209961032344</v>
      </c>
      <c r="AB2434" t="str">
        <f>HYPERLINK("Melting_Curves/meltCurve_P54687_BCAT1.pdf", "Melting_Curves/meltCurve_P54687_BCAT1.pdf")</f>
        <v>Melting_Curves/meltCurve_P54687_BCAT1.pdf</v>
      </c>
    </row>
    <row r="2435" spans="1:28" x14ac:dyDescent="0.25">
      <c r="A2435" t="s">
        <v>2439</v>
      </c>
      <c r="B2435">
        <v>0.99987803227770999</v>
      </c>
      <c r="C2435">
        <v>0.872412243822138</v>
      </c>
      <c r="D2435">
        <v>1.00890908522885</v>
      </c>
      <c r="E2435">
        <v>0.99332228061302397</v>
      </c>
      <c r="F2435">
        <v>1.2294637606530201</v>
      </c>
      <c r="G2435">
        <v>1.1552647916851699</v>
      </c>
      <c r="H2435">
        <v>1.1676849602095201</v>
      </c>
      <c r="I2435">
        <v>1.1961521735235701</v>
      </c>
      <c r="J2435">
        <v>1.275851490567</v>
      </c>
      <c r="K2435">
        <v>0.96277459036441304</v>
      </c>
      <c r="L2435">
        <v>12808.239146608599</v>
      </c>
      <c r="M2435">
        <v>250</v>
      </c>
      <c r="O2435">
        <v>51.229684265954198</v>
      </c>
      <c r="P2435">
        <v>0.200730188270863</v>
      </c>
      <c r="Q2435">
        <v>1.1645334864599199</v>
      </c>
      <c r="R2435">
        <v>0.54091676467298599</v>
      </c>
      <c r="S2435" t="s">
        <v>8746</v>
      </c>
      <c r="T2435" t="s">
        <v>12620</v>
      </c>
      <c r="U2435" t="s">
        <v>12620</v>
      </c>
      <c r="V2435" t="s">
        <v>12620</v>
      </c>
      <c r="W2435" t="s">
        <v>15013</v>
      </c>
      <c r="X2435">
        <v>17</v>
      </c>
      <c r="Y2435" t="s">
        <v>21197</v>
      </c>
      <c r="Z2435" t="s">
        <v>27382</v>
      </c>
      <c r="AA2435">
        <v>1.1029121090731</v>
      </c>
      <c r="AB2435" t="str">
        <f>HYPERLINK("Melting_Curves/meltCurve_P54727_RAD23B.pdf", "Melting_Curves/meltCurve_P54727_RAD23B.pdf")</f>
        <v>Melting_Curves/meltCurve_P54727_RAD23B.pdf</v>
      </c>
    </row>
    <row r="2436" spans="1:28" x14ac:dyDescent="0.25">
      <c r="A2436" t="s">
        <v>2440</v>
      </c>
      <c r="B2436">
        <v>0.99987803227770999</v>
      </c>
      <c r="C2436">
        <v>1.1164565592543501</v>
      </c>
      <c r="D2436">
        <v>0.91076733360647399</v>
      </c>
      <c r="E2436">
        <v>1.2834289171483899</v>
      </c>
      <c r="F2436">
        <v>1.0492767004396999</v>
      </c>
      <c r="G2436">
        <v>0.72193797501899504</v>
      </c>
      <c r="H2436">
        <v>0.397966814047508</v>
      </c>
      <c r="I2436">
        <v>0.239950374558178</v>
      </c>
      <c r="J2436">
        <v>0.12720467347122</v>
      </c>
      <c r="K2436">
        <v>0.11299386614014199</v>
      </c>
      <c r="L2436">
        <v>1669.5146290492501</v>
      </c>
      <c r="M2436">
        <v>28.210839891059301</v>
      </c>
      <c r="N2436">
        <v>59.729659267699603</v>
      </c>
      <c r="O2436">
        <v>58.884935125490102</v>
      </c>
      <c r="P2436">
        <v>-0.106077114393014</v>
      </c>
      <c r="Q2436">
        <v>0.11434173970413</v>
      </c>
      <c r="R2436">
        <v>0.93365672211265704</v>
      </c>
      <c r="S2436" t="s">
        <v>8747</v>
      </c>
      <c r="T2436" t="s">
        <v>12620</v>
      </c>
      <c r="U2436" t="s">
        <v>12620</v>
      </c>
      <c r="V2436" t="s">
        <v>12620</v>
      </c>
      <c r="W2436" t="s">
        <v>15014</v>
      </c>
      <c r="X2436">
        <v>4</v>
      </c>
      <c r="Y2436" t="s">
        <v>21198</v>
      </c>
      <c r="Z2436" t="s">
        <v>27383</v>
      </c>
      <c r="AA2436">
        <v>0.68671629508867271</v>
      </c>
      <c r="AB2436" t="str">
        <f>HYPERLINK("Melting_Curves/meltCurve_P54802_NAGLU.pdf", "Melting_Curves/meltCurve_P54802_NAGLU.pdf")</f>
        <v>Melting_Curves/meltCurve_P54802_NAGLU.pdf</v>
      </c>
    </row>
    <row r="2437" spans="1:28" x14ac:dyDescent="0.25">
      <c r="A2437" t="s">
        <v>2441</v>
      </c>
      <c r="B2437">
        <v>0.99987803227770999</v>
      </c>
      <c r="C2437">
        <v>0.86699317415827504</v>
      </c>
      <c r="D2437">
        <v>1.0280220693320099</v>
      </c>
      <c r="E2437">
        <v>0.89738670892366601</v>
      </c>
      <c r="F2437">
        <v>1.10625580266501</v>
      </c>
      <c r="G2437">
        <v>0.91059550936799105</v>
      </c>
      <c r="H2437">
        <v>0.66966825074792102</v>
      </c>
      <c r="I2437">
        <v>0.228168089719365</v>
      </c>
      <c r="J2437">
        <v>0.13512344778833299</v>
      </c>
      <c r="K2437">
        <v>0.10065205500598901</v>
      </c>
      <c r="L2437">
        <v>2657.9923884472501</v>
      </c>
      <c r="M2437">
        <v>43.106519123507198</v>
      </c>
      <c r="N2437">
        <v>61.962614310113402</v>
      </c>
      <c r="O2437">
        <v>61.528769919229603</v>
      </c>
      <c r="P2437">
        <v>-0.15857385683736999</v>
      </c>
      <c r="Q2437">
        <v>9.4629809692022698E-2</v>
      </c>
      <c r="R2437">
        <v>0.96695142552732405</v>
      </c>
      <c r="S2437" t="s">
        <v>8748</v>
      </c>
      <c r="T2437" t="s">
        <v>12620</v>
      </c>
      <c r="U2437" t="s">
        <v>12620</v>
      </c>
      <c r="V2437" t="s">
        <v>12620</v>
      </c>
      <c r="W2437" t="s">
        <v>15015</v>
      </c>
      <c r="X2437">
        <v>13</v>
      </c>
      <c r="Y2437" t="s">
        <v>21199</v>
      </c>
      <c r="Z2437" t="s">
        <v>27384</v>
      </c>
      <c r="AA2437">
        <v>0.75131250105701652</v>
      </c>
      <c r="AB2437" t="str">
        <f>HYPERLINK("Melting_Curves/meltCurve_P54819_AK2.pdf", "Melting_Curves/meltCurve_P54819_AK2.pdf")</f>
        <v>Melting_Curves/meltCurve_P54819_AK2.pdf</v>
      </c>
    </row>
    <row r="2438" spans="1:28" x14ac:dyDescent="0.25">
      <c r="A2438" t="s">
        <v>2442</v>
      </c>
      <c r="B2438">
        <v>0.99987803227770999</v>
      </c>
      <c r="C2438">
        <v>1.1216601689491299</v>
      </c>
      <c r="D2438">
        <v>0.81925941923378498</v>
      </c>
      <c r="E2438">
        <v>0.65268996982434901</v>
      </c>
      <c r="F2438">
        <v>0.32438611727525601</v>
      </c>
      <c r="G2438">
        <v>0.19604595714900699</v>
      </c>
      <c r="H2438">
        <v>0.14681019892421501</v>
      </c>
      <c r="I2438">
        <v>0.13327473720126601</v>
      </c>
      <c r="J2438">
        <v>9.3296289368150695E-2</v>
      </c>
      <c r="K2438">
        <v>6.4543517120168897E-2</v>
      </c>
      <c r="L2438">
        <v>1033.8230928360199</v>
      </c>
      <c r="M2438">
        <v>20.3923247030475</v>
      </c>
      <c r="N2438">
        <v>51.235270024536703</v>
      </c>
      <c r="O2438">
        <v>50.216705348283902</v>
      </c>
      <c r="P2438">
        <v>-9.1730200437743395E-2</v>
      </c>
      <c r="Q2438">
        <v>9.6473862165354904E-2</v>
      </c>
      <c r="R2438">
        <v>0.97796895270121498</v>
      </c>
      <c r="S2438" t="s">
        <v>8749</v>
      </c>
      <c r="T2438" t="s">
        <v>12620</v>
      </c>
      <c r="U2438" t="s">
        <v>12620</v>
      </c>
      <c r="V2438" t="s">
        <v>12620</v>
      </c>
      <c r="W2438" t="s">
        <v>15016</v>
      </c>
      <c r="X2438">
        <v>22</v>
      </c>
      <c r="Y2438" t="s">
        <v>21200</v>
      </c>
      <c r="Z2438" t="s">
        <v>27385</v>
      </c>
      <c r="AA2438">
        <v>0.43072816549699938</v>
      </c>
      <c r="AB2438" t="str">
        <f>HYPERLINK("Melting_Curves/meltCurve_P54886_2_ALDH18A1.pdf", "Melting_Curves/meltCurve_P54886_2_ALDH18A1.pdf")</f>
        <v>Melting_Curves/meltCurve_P54886_2_ALDH18A1.pdf</v>
      </c>
    </row>
    <row r="2439" spans="1:28" x14ac:dyDescent="0.25">
      <c r="A2439" t="s">
        <v>2443</v>
      </c>
      <c r="B2439">
        <v>0.99987803227770999</v>
      </c>
      <c r="C2439">
        <v>0.82449459418775695</v>
      </c>
      <c r="D2439">
        <v>1.0197932084814101</v>
      </c>
      <c r="E2439">
        <v>0.87992728664942899</v>
      </c>
      <c r="F2439">
        <v>1.03744575623992</v>
      </c>
      <c r="G2439">
        <v>0.66175898000618005</v>
      </c>
      <c r="H2439">
        <v>0.18627983536352599</v>
      </c>
      <c r="I2439">
        <v>0.17461303312967999</v>
      </c>
      <c r="J2439">
        <v>0.12059385889549799</v>
      </c>
      <c r="K2439">
        <v>9.0217138162818206E-2</v>
      </c>
      <c r="L2439">
        <v>2746.3842495781901</v>
      </c>
      <c r="M2439">
        <v>47.6967723753081</v>
      </c>
      <c r="N2439">
        <v>57.933537356400699</v>
      </c>
      <c r="O2439">
        <v>57.479141196538201</v>
      </c>
      <c r="P2439">
        <v>-0.18126368893622899</v>
      </c>
      <c r="Q2439">
        <v>0.12624104871754199</v>
      </c>
      <c r="R2439">
        <v>0.96591556948953206</v>
      </c>
      <c r="S2439" t="s">
        <v>8750</v>
      </c>
      <c r="T2439" t="s">
        <v>12620</v>
      </c>
      <c r="U2439" t="s">
        <v>12620</v>
      </c>
      <c r="V2439" t="s">
        <v>12620</v>
      </c>
      <c r="W2439" t="s">
        <v>15017</v>
      </c>
      <c r="X2439">
        <v>21</v>
      </c>
      <c r="Y2439" t="s">
        <v>21201</v>
      </c>
      <c r="Z2439" t="s">
        <v>27386</v>
      </c>
      <c r="AA2439">
        <v>0.64069482731845007</v>
      </c>
      <c r="AB2439" t="str">
        <f>HYPERLINK("Melting_Curves/meltCurve_P54920_NAPA.pdf", "Melting_Curves/meltCurve_P54920_NAPA.pdf")</f>
        <v>Melting_Curves/meltCurve_P54920_NAPA.pdf</v>
      </c>
    </row>
    <row r="2440" spans="1:28" x14ac:dyDescent="0.25">
      <c r="A2440" t="s">
        <v>2444</v>
      </c>
      <c r="B2440">
        <v>0.99987803227770999</v>
      </c>
      <c r="C2440">
        <v>0.997811648817437</v>
      </c>
      <c r="D2440">
        <v>1.0724396398360301</v>
      </c>
      <c r="E2440">
        <v>0.870937001249389</v>
      </c>
      <c r="F2440">
        <v>0.42230632644278299</v>
      </c>
      <c r="G2440">
        <v>0.33947147504330499</v>
      </c>
      <c r="H2440">
        <v>0.25940596937689803</v>
      </c>
      <c r="I2440">
        <v>0.22688163716097701</v>
      </c>
      <c r="J2440">
        <v>0.127925372860375</v>
      </c>
      <c r="K2440">
        <v>0.102224325627704</v>
      </c>
      <c r="L2440">
        <v>1940.9898599893099</v>
      </c>
      <c r="M2440">
        <v>37.360457183206798</v>
      </c>
      <c r="N2440">
        <v>52.672836819442203</v>
      </c>
      <c r="O2440">
        <v>51.804865345013901</v>
      </c>
      <c r="P2440">
        <v>-0.14425132300299001</v>
      </c>
      <c r="Q2440">
        <v>0.19991323149978299</v>
      </c>
      <c r="R2440">
        <v>0.97225107775846697</v>
      </c>
      <c r="S2440" t="s">
        <v>8751</v>
      </c>
      <c r="T2440" t="s">
        <v>12620</v>
      </c>
      <c r="U2440" t="s">
        <v>12620</v>
      </c>
      <c r="V2440" t="s">
        <v>12620</v>
      </c>
      <c r="W2440" t="s">
        <v>15018</v>
      </c>
      <c r="X2440">
        <v>4</v>
      </c>
      <c r="Y2440" t="s">
        <v>21202</v>
      </c>
      <c r="Z2440" t="s">
        <v>27387</v>
      </c>
      <c r="AA2440">
        <v>0.52199026023158834</v>
      </c>
      <c r="AB2440" t="str">
        <f>HYPERLINK("Melting_Curves/meltCurve_P54922_ADPRH.pdf", "Melting_Curves/meltCurve_P54922_ADPRH.pdf")</f>
        <v>Melting_Curves/meltCurve_P54922_ADPRH.pdf</v>
      </c>
    </row>
    <row r="2441" spans="1:28" x14ac:dyDescent="0.25">
      <c r="A2441" t="s">
        <v>2445</v>
      </c>
      <c r="B2441">
        <v>0.99987803227770999</v>
      </c>
      <c r="C2441">
        <v>0.92890049966114396</v>
      </c>
      <c r="D2441">
        <v>0.99764083647474799</v>
      </c>
      <c r="E2441">
        <v>0.95302732474645502</v>
      </c>
      <c r="F2441">
        <v>0.65529219005043604</v>
      </c>
      <c r="G2441">
        <v>0.27131550865572701</v>
      </c>
      <c r="H2441">
        <v>0.155091645791953</v>
      </c>
      <c r="I2441">
        <v>0.106831210753514</v>
      </c>
      <c r="J2441">
        <v>8.6711010413842105E-2</v>
      </c>
      <c r="K2441">
        <v>6.2408376034867402E-2</v>
      </c>
      <c r="L2441">
        <v>1500.9390706630099</v>
      </c>
      <c r="M2441">
        <v>27.726275598526001</v>
      </c>
      <c r="N2441">
        <v>54.513199612694798</v>
      </c>
      <c r="O2441">
        <v>53.854918952982999</v>
      </c>
      <c r="P2441">
        <v>-0.117425713719971</v>
      </c>
      <c r="Q2441">
        <v>8.7667448762826894E-2</v>
      </c>
      <c r="R2441">
        <v>0.99474840058408098</v>
      </c>
      <c r="S2441" t="s">
        <v>8752</v>
      </c>
      <c r="T2441" t="s">
        <v>12620</v>
      </c>
      <c r="U2441" t="s">
        <v>12620</v>
      </c>
      <c r="V2441" t="s">
        <v>12620</v>
      </c>
      <c r="W2441" t="s">
        <v>15019</v>
      </c>
      <c r="X2441">
        <v>12</v>
      </c>
      <c r="Y2441" t="s">
        <v>21203</v>
      </c>
      <c r="Z2441" t="s">
        <v>27388</v>
      </c>
      <c r="AA2441">
        <v>0.52447696695989909</v>
      </c>
      <c r="AB2441" t="str">
        <f>HYPERLINK("Melting_Curves/meltCurve_P55010_EIF5.pdf", "Melting_Curves/meltCurve_P55010_EIF5.pdf")</f>
        <v>Melting_Curves/meltCurve_P55010_EIF5.pdf</v>
      </c>
    </row>
    <row r="2442" spans="1:28" x14ac:dyDescent="0.25">
      <c r="A2442" t="s">
        <v>2446</v>
      </c>
      <c r="B2442">
        <v>0.99987803227770999</v>
      </c>
      <c r="C2442">
        <v>0.80409275908536304</v>
      </c>
      <c r="D2442">
        <v>0.87678626635119405</v>
      </c>
      <c r="E2442">
        <v>1.0303485732200399</v>
      </c>
      <c r="F2442">
        <v>1.1393564977719</v>
      </c>
      <c r="G2442">
        <v>1.00013871773063</v>
      </c>
      <c r="H2442">
        <v>0.796513368025067</v>
      </c>
      <c r="I2442">
        <v>0.61490512703033495</v>
      </c>
      <c r="J2442">
        <v>0.51376974188609903</v>
      </c>
      <c r="K2442">
        <v>0.36678369521378201</v>
      </c>
      <c r="L2442">
        <v>1674.70814729317</v>
      </c>
      <c r="M2442">
        <v>26.475712269321601</v>
      </c>
      <c r="N2442">
        <v>66.238783358592599</v>
      </c>
      <c r="O2442">
        <v>62.896970068207402</v>
      </c>
      <c r="P2442">
        <v>-6.8580128943756702E-2</v>
      </c>
      <c r="Q2442">
        <v>0.348318272341823</v>
      </c>
      <c r="R2442">
        <v>0.85660856226050697</v>
      </c>
      <c r="S2442" t="s">
        <v>8753</v>
      </c>
      <c r="T2442" t="s">
        <v>12620</v>
      </c>
      <c r="U2442" t="s">
        <v>12620</v>
      </c>
      <c r="V2442" t="s">
        <v>12620</v>
      </c>
      <c r="W2442" t="s">
        <v>15020</v>
      </c>
      <c r="X2442">
        <v>14</v>
      </c>
      <c r="Y2442" t="s">
        <v>21204</v>
      </c>
      <c r="Z2442" t="s">
        <v>27389</v>
      </c>
      <c r="AA2442">
        <v>0.85481022891575642</v>
      </c>
      <c r="AB2442" t="str">
        <f>HYPERLINK("Melting_Curves/meltCurve_P55036_PSMD4.pdf", "Melting_Curves/meltCurve_P55036_PSMD4.pdf")</f>
        <v>Melting_Curves/meltCurve_P55036_PSMD4.pdf</v>
      </c>
    </row>
    <row r="2443" spans="1:28" x14ac:dyDescent="0.25">
      <c r="A2443" t="s">
        <v>2447</v>
      </c>
      <c r="B2443">
        <v>0.99987803227770999</v>
      </c>
      <c r="C2443">
        <v>0.71035685395425696</v>
      </c>
      <c r="D2443">
        <v>1.1128578520658601</v>
      </c>
      <c r="E2443">
        <v>0.87291315651913104</v>
      </c>
      <c r="F2443">
        <v>0.68242484883145105</v>
      </c>
      <c r="G2443">
        <v>0.19753369489952199</v>
      </c>
      <c r="H2443">
        <v>9.9083686250205305E-2</v>
      </c>
      <c r="I2443">
        <v>7.4025255054727707E-2</v>
      </c>
      <c r="J2443">
        <v>5.2427336681215998E-2</v>
      </c>
      <c r="K2443">
        <v>3.9859342719115197E-2</v>
      </c>
      <c r="L2443">
        <v>1590.4677972602501</v>
      </c>
      <c r="M2443">
        <v>29.437212328029698</v>
      </c>
      <c r="N2443">
        <v>54.229770758588202</v>
      </c>
      <c r="O2443">
        <v>53.7816613259589</v>
      </c>
      <c r="P2443">
        <v>-0.12977832454534899</v>
      </c>
      <c r="Q2443">
        <v>5.15888898551356E-2</v>
      </c>
      <c r="R2443">
        <v>0.93979201885906005</v>
      </c>
      <c r="S2443" t="s">
        <v>8754</v>
      </c>
      <c r="T2443" t="s">
        <v>12620</v>
      </c>
      <c r="U2443" t="s">
        <v>12620</v>
      </c>
      <c r="V2443" t="s">
        <v>12620</v>
      </c>
      <c r="W2443" t="s">
        <v>15021</v>
      </c>
      <c r="X2443">
        <v>15</v>
      </c>
      <c r="Y2443" t="s">
        <v>21205</v>
      </c>
      <c r="Z2443" t="s">
        <v>27390</v>
      </c>
      <c r="AA2443">
        <v>0.50156566156324922</v>
      </c>
      <c r="AB2443" t="str">
        <f>HYPERLINK("Melting_Curves/meltCurve_P55039_DRG2.pdf", "Melting_Curves/meltCurve_P55039_DRG2.pdf")</f>
        <v>Melting_Curves/meltCurve_P55039_DRG2.pdf</v>
      </c>
    </row>
    <row r="2444" spans="1:28" x14ac:dyDescent="0.25">
      <c r="A2444" t="s">
        <v>2448</v>
      </c>
      <c r="B2444">
        <v>0.99987803227770999</v>
      </c>
      <c r="C2444">
        <v>1.04793656599993</v>
      </c>
      <c r="D2444">
        <v>0.83383381375761401</v>
      </c>
      <c r="E2444">
        <v>1.0864600262438899</v>
      </c>
      <c r="F2444">
        <v>0.37643206665214302</v>
      </c>
      <c r="G2444">
        <v>0.138598201876795</v>
      </c>
      <c r="H2444">
        <v>9.3489082172393295E-2</v>
      </c>
      <c r="I2444">
        <v>8.2821870903510203E-2</v>
      </c>
      <c r="J2444">
        <v>5.64987677895556E-2</v>
      </c>
      <c r="K2444">
        <v>4.0821883837403199E-2</v>
      </c>
      <c r="L2444">
        <v>13210.148045730401</v>
      </c>
      <c r="M2444">
        <v>250</v>
      </c>
      <c r="N2444">
        <v>52.878718287623698</v>
      </c>
      <c r="O2444">
        <v>52.837212159936499</v>
      </c>
      <c r="P2444">
        <v>-1.0853549705026899</v>
      </c>
      <c r="Q2444">
        <v>8.2445932276759906E-2</v>
      </c>
      <c r="R2444">
        <v>0.97724148913494902</v>
      </c>
      <c r="S2444" t="s">
        <v>8755</v>
      </c>
      <c r="T2444" t="s">
        <v>12620</v>
      </c>
      <c r="U2444" t="s">
        <v>12620</v>
      </c>
      <c r="V2444" t="s">
        <v>12620</v>
      </c>
      <c r="W2444" t="s">
        <v>15022</v>
      </c>
      <c r="X2444">
        <v>43</v>
      </c>
      <c r="Y2444" t="s">
        <v>21206</v>
      </c>
      <c r="Z2444" t="s">
        <v>27391</v>
      </c>
      <c r="AA2444">
        <v>0.4752622740987027</v>
      </c>
      <c r="AB2444" t="str">
        <f>HYPERLINK("Melting_Curves/meltCurve_P55060_3_CSE1L.pdf", "Melting_Curves/meltCurve_P55060_3_CSE1L.pdf")</f>
        <v>Melting_Curves/meltCurve_P55060_3_CSE1L.pdf</v>
      </c>
    </row>
    <row r="2445" spans="1:28" x14ac:dyDescent="0.25">
      <c r="A2445" t="s">
        <v>2449</v>
      </c>
      <c r="B2445">
        <v>0.99987803227770999</v>
      </c>
      <c r="C2445">
        <v>0.89520146271057999</v>
      </c>
      <c r="D2445">
        <v>0.80831946040235003</v>
      </c>
      <c r="E2445">
        <v>1.4509307535182401</v>
      </c>
      <c r="F2445">
        <v>1.1536012412885199</v>
      </c>
      <c r="G2445">
        <v>1.30320929446717</v>
      </c>
      <c r="H2445">
        <v>1.1893024660974201</v>
      </c>
      <c r="I2445">
        <v>1.3099687807618401</v>
      </c>
      <c r="J2445">
        <v>1.1619665034303299</v>
      </c>
      <c r="K2445">
        <v>0.14660796841763801</v>
      </c>
      <c r="L2445">
        <v>15000</v>
      </c>
      <c r="M2445">
        <v>216.043098264023</v>
      </c>
      <c r="N2445">
        <v>69.430593686071902</v>
      </c>
      <c r="O2445">
        <v>69.424652968440896</v>
      </c>
      <c r="P2445">
        <v>-0.77797700298179595</v>
      </c>
      <c r="Q2445">
        <v>0</v>
      </c>
      <c r="R2445">
        <v>0.57516423871831102</v>
      </c>
      <c r="S2445" t="s">
        <v>8756</v>
      </c>
      <c r="T2445" t="s">
        <v>12620</v>
      </c>
      <c r="U2445" t="s">
        <v>12620</v>
      </c>
      <c r="V2445" t="s">
        <v>12620</v>
      </c>
      <c r="W2445" t="s">
        <v>15023</v>
      </c>
      <c r="X2445">
        <v>65</v>
      </c>
      <c r="Y2445" t="s">
        <v>21207</v>
      </c>
      <c r="Z2445" t="s">
        <v>27392</v>
      </c>
      <c r="AA2445">
        <v>0.97943300735573702</v>
      </c>
      <c r="AB2445" t="str">
        <f>HYPERLINK("Melting_Curves/meltCurve_P55072_VCP.pdf", "Melting_Curves/meltCurve_P55072_VCP.pdf")</f>
        <v>Melting_Curves/meltCurve_P55072_VCP.pdf</v>
      </c>
    </row>
    <row r="2446" spans="1:28" x14ac:dyDescent="0.25">
      <c r="A2446" t="s">
        <v>2450</v>
      </c>
      <c r="B2446">
        <v>0.99987803227770999</v>
      </c>
      <c r="C2446">
        <v>0.98288236858021505</v>
      </c>
      <c r="D2446">
        <v>1.0447674242364</v>
      </c>
      <c r="E2446">
        <v>1.0817778981950401</v>
      </c>
      <c r="F2446">
        <v>1.4401767557966501</v>
      </c>
      <c r="G2446">
        <v>1.2383928246437499</v>
      </c>
      <c r="H2446">
        <v>1.42360805351527</v>
      </c>
      <c r="I2446">
        <v>1.4401919884330501</v>
      </c>
      <c r="J2446">
        <v>1.40111238168802</v>
      </c>
      <c r="K2446">
        <v>1.1950836368041799</v>
      </c>
      <c r="L2446">
        <v>12560.5736906887</v>
      </c>
      <c r="M2446">
        <v>250</v>
      </c>
      <c r="O2446">
        <v>50.239079184148302</v>
      </c>
      <c r="P2446">
        <v>0.44341436206337498</v>
      </c>
      <c r="Q2446">
        <v>1.3564276704093099</v>
      </c>
      <c r="R2446">
        <v>0.80761666712741498</v>
      </c>
      <c r="S2446" t="s">
        <v>8757</v>
      </c>
      <c r="T2446" t="s">
        <v>12620</v>
      </c>
      <c r="U2446" t="s">
        <v>12620</v>
      </c>
      <c r="V2446" t="s">
        <v>12620</v>
      </c>
      <c r="W2446" t="s">
        <v>15024</v>
      </c>
      <c r="X2446">
        <v>6</v>
      </c>
      <c r="Y2446" t="s">
        <v>21208</v>
      </c>
      <c r="Z2446" t="s">
        <v>27393</v>
      </c>
      <c r="AA2446">
        <v>1.2347083338660201</v>
      </c>
      <c r="AB2446" t="str">
        <f>HYPERLINK("Melting_Curves/meltCurve_P55081_MFAP1.pdf", "Melting_Curves/meltCurve_P55081_MFAP1.pdf")</f>
        <v>Melting_Curves/meltCurve_P55081_MFAP1.pdf</v>
      </c>
    </row>
    <row r="2447" spans="1:28" x14ac:dyDescent="0.25">
      <c r="A2447" t="s">
        <v>2451</v>
      </c>
      <c r="B2447">
        <v>0.99987803227770999</v>
      </c>
      <c r="C2447">
        <v>0.69134070494061195</v>
      </c>
      <c r="D2447">
        <v>0.90222773309931403</v>
      </c>
      <c r="E2447">
        <v>0.78158555796830598</v>
      </c>
      <c r="F2447">
        <v>1.01109447268214</v>
      </c>
      <c r="G2447">
        <v>0.81535144077558297</v>
      </c>
      <c r="H2447">
        <v>0.873728656018815</v>
      </c>
      <c r="I2447">
        <v>0.84407876389737002</v>
      </c>
      <c r="J2447">
        <v>0.93963468541428097</v>
      </c>
      <c r="K2447">
        <v>0.80011578549514895</v>
      </c>
      <c r="L2447">
        <v>10226.684965996101</v>
      </c>
      <c r="M2447">
        <v>250</v>
      </c>
      <c r="O2447">
        <v>40.904140848754899</v>
      </c>
      <c r="P2447">
        <v>-0.227639505218213</v>
      </c>
      <c r="Q2447">
        <v>0.85101769381202097</v>
      </c>
      <c r="R2447">
        <v>0.219664474587038</v>
      </c>
      <c r="S2447" t="s">
        <v>8758</v>
      </c>
      <c r="T2447" t="s">
        <v>12620</v>
      </c>
      <c r="U2447" t="s">
        <v>12620</v>
      </c>
      <c r="V2447" t="s">
        <v>12620</v>
      </c>
      <c r="W2447" t="s">
        <v>15025</v>
      </c>
      <c r="X2447">
        <v>16</v>
      </c>
      <c r="Y2447" t="s">
        <v>21209</v>
      </c>
      <c r="Z2447" t="s">
        <v>27394</v>
      </c>
      <c r="AA2447">
        <v>0.85553399040148881</v>
      </c>
      <c r="AB2447" t="str">
        <f>HYPERLINK("Melting_Curves/meltCurve_P55145_MANF.pdf", "Melting_Curves/meltCurve_P55145_MANF.pdf")</f>
        <v>Melting_Curves/meltCurve_P55145_MANF.pdf</v>
      </c>
    </row>
    <row r="2448" spans="1:28" x14ac:dyDescent="0.25">
      <c r="A2448" t="s">
        <v>2452</v>
      </c>
      <c r="B2448">
        <v>0.99987803227770999</v>
      </c>
      <c r="C2448">
        <v>0.95247918252470798</v>
      </c>
      <c r="D2448">
        <v>1.0340626325637601</v>
      </c>
      <c r="E2448">
        <v>0.891383553097577</v>
      </c>
      <c r="F2448">
        <v>0.70631477416085797</v>
      </c>
      <c r="G2448">
        <v>0.51054971144822103</v>
      </c>
      <c r="H2448">
        <v>0.50349359280869999</v>
      </c>
      <c r="I2448">
        <v>0.47145423727396002</v>
      </c>
      <c r="J2448">
        <v>0.49403178026067401</v>
      </c>
      <c r="K2448">
        <v>0.41795400748709899</v>
      </c>
      <c r="L2448">
        <v>1490.7559286063199</v>
      </c>
      <c r="M2448">
        <v>28.3535004125205</v>
      </c>
      <c r="N2448">
        <v>58.085462839791902</v>
      </c>
      <c r="O2448">
        <v>52.318040384328697</v>
      </c>
      <c r="P2448">
        <v>-7.2348492288813696E-2</v>
      </c>
      <c r="Q2448">
        <v>0.46601300814721802</v>
      </c>
      <c r="R2448">
        <v>0.98546979754626496</v>
      </c>
      <c r="S2448" t="s">
        <v>8759</v>
      </c>
      <c r="T2448" t="s">
        <v>12620</v>
      </c>
      <c r="U2448" t="s">
        <v>12620</v>
      </c>
      <c r="V2448" t="s">
        <v>12620</v>
      </c>
      <c r="W2448" t="s">
        <v>15026</v>
      </c>
      <c r="X2448">
        <v>35</v>
      </c>
      <c r="Y2448" t="s">
        <v>21210</v>
      </c>
      <c r="Z2448" t="s">
        <v>27395</v>
      </c>
      <c r="AA2448">
        <v>0.69373177369056738</v>
      </c>
      <c r="AB2448" t="str">
        <f>HYPERLINK("Melting_Curves/meltCurve_P55196_MLLT4.pdf", "Melting_Curves/meltCurve_P55196_MLLT4.pdf")</f>
        <v>Melting_Curves/meltCurve_P55196_MLLT4.pdf</v>
      </c>
    </row>
    <row r="2449" spans="1:28" x14ac:dyDescent="0.25">
      <c r="A2449" t="s">
        <v>2453</v>
      </c>
      <c r="B2449">
        <v>0.99987803227770999</v>
      </c>
      <c r="C2449">
        <v>0.88716625739612098</v>
      </c>
      <c r="D2449">
        <v>0.98998983933808904</v>
      </c>
      <c r="E2449">
        <v>0.82661798984907098</v>
      </c>
      <c r="F2449">
        <v>0.64662559197997405</v>
      </c>
      <c r="G2449">
        <v>0.41615676906495702</v>
      </c>
      <c r="H2449">
        <v>0.31131998263270999</v>
      </c>
      <c r="I2449">
        <v>0.27463740668138598</v>
      </c>
      <c r="J2449">
        <v>0.18419471237205801</v>
      </c>
      <c r="K2449">
        <v>0.13932846377242999</v>
      </c>
      <c r="L2449">
        <v>743.217693819077</v>
      </c>
      <c r="M2449">
        <v>13.580675914753</v>
      </c>
      <c r="N2449">
        <v>55.893482777194997</v>
      </c>
      <c r="O2449">
        <v>53.580428061501998</v>
      </c>
      <c r="P2449">
        <v>-5.5549751518472398E-2</v>
      </c>
      <c r="Q2449">
        <v>0.123479436532287</v>
      </c>
      <c r="R2449">
        <v>0.98521478896359804</v>
      </c>
      <c r="S2449" t="s">
        <v>8760</v>
      </c>
      <c r="T2449" t="s">
        <v>12620</v>
      </c>
      <c r="U2449" t="s">
        <v>12620</v>
      </c>
      <c r="V2449" t="s">
        <v>12620</v>
      </c>
      <c r="W2449" t="s">
        <v>15027</v>
      </c>
      <c r="X2449">
        <v>33</v>
      </c>
      <c r="Y2449" t="s">
        <v>21210</v>
      </c>
      <c r="Z2449" t="s">
        <v>27396</v>
      </c>
      <c r="AA2449">
        <v>0.57282735288590692</v>
      </c>
      <c r="AB2449" t="str">
        <f>HYPERLINK("Melting_Curves/meltCurve_P55196_3_MLLT4.pdf", "Melting_Curves/meltCurve_P55196_3_MLLT4.pdf")</f>
        <v>Melting_Curves/meltCurve_P55196_3_MLLT4.pdf</v>
      </c>
    </row>
    <row r="2450" spans="1:28" x14ac:dyDescent="0.25">
      <c r="A2450" t="s">
        <v>2454</v>
      </c>
      <c r="B2450">
        <v>0.99987803227770999</v>
      </c>
      <c r="C2450">
        <v>1.00185944063175</v>
      </c>
      <c r="D2450">
        <v>1.0631905058289799</v>
      </c>
      <c r="E2450">
        <v>0.894797939676516</v>
      </c>
      <c r="F2450">
        <v>0.65792383831017398</v>
      </c>
      <c r="G2450">
        <v>0.350281803647854</v>
      </c>
      <c r="H2450">
        <v>0.30853923621795398</v>
      </c>
      <c r="I2450">
        <v>0.45546450861190202</v>
      </c>
      <c r="J2450">
        <v>0.247137567594367</v>
      </c>
      <c r="K2450">
        <v>0.209760326700627</v>
      </c>
      <c r="L2450">
        <v>1680.6523053328899</v>
      </c>
      <c r="M2450">
        <v>31.706097424879101</v>
      </c>
      <c r="N2450">
        <v>54.569105398847498</v>
      </c>
      <c r="O2450">
        <v>52.797719431227399</v>
      </c>
      <c r="P2450">
        <v>-0.105357048125174</v>
      </c>
      <c r="Q2450">
        <v>0.29823206149350701</v>
      </c>
      <c r="R2450">
        <v>0.96285570527521602</v>
      </c>
      <c r="S2450" t="s">
        <v>8761</v>
      </c>
      <c r="T2450" t="s">
        <v>12620</v>
      </c>
      <c r="U2450" t="s">
        <v>12620</v>
      </c>
      <c r="V2450" t="s">
        <v>12620</v>
      </c>
      <c r="W2450" t="s">
        <v>15028</v>
      </c>
      <c r="X2450">
        <v>4</v>
      </c>
      <c r="Y2450" t="s">
        <v>21211</v>
      </c>
      <c r="Z2450" t="s">
        <v>27397</v>
      </c>
      <c r="AA2450">
        <v>0.60658282447531697</v>
      </c>
      <c r="AB2450" t="str">
        <f>HYPERLINK("Melting_Curves/meltCurve_P55199_ELL.pdf", "Melting_Curves/meltCurve_P55199_ELL.pdf")</f>
        <v>Melting_Curves/meltCurve_P55199_ELL.pdf</v>
      </c>
    </row>
    <row r="2451" spans="1:28" x14ac:dyDescent="0.25">
      <c r="A2451" t="s">
        <v>2455</v>
      </c>
      <c r="B2451">
        <v>0.99987803227770999</v>
      </c>
      <c r="C2451">
        <v>0.91866898596999702</v>
      </c>
      <c r="D2451">
        <v>0.95029464335755698</v>
      </c>
      <c r="E2451">
        <v>0.67951234886917</v>
      </c>
      <c r="F2451">
        <v>0.61734258117285901</v>
      </c>
      <c r="G2451">
        <v>0.37304265420977401</v>
      </c>
      <c r="H2451">
        <v>0.31910578481304902</v>
      </c>
      <c r="I2451">
        <v>0.232168869186793</v>
      </c>
      <c r="J2451">
        <v>0.152188440527667</v>
      </c>
      <c r="K2451">
        <v>0.11129359109873201</v>
      </c>
      <c r="L2451">
        <v>580.97603575793596</v>
      </c>
      <c r="M2451">
        <v>10.6768902061945</v>
      </c>
      <c r="N2451">
        <v>54.961933183194503</v>
      </c>
      <c r="O2451">
        <v>52.609649731469901</v>
      </c>
      <c r="P2451">
        <v>-4.8194661737518699E-2</v>
      </c>
      <c r="Q2451">
        <v>5.0455639331420297E-2</v>
      </c>
      <c r="R2451">
        <v>0.98696767597548396</v>
      </c>
      <c r="S2451" t="s">
        <v>8762</v>
      </c>
      <c r="T2451" t="s">
        <v>12620</v>
      </c>
      <c r="U2451" t="s">
        <v>12620</v>
      </c>
      <c r="V2451" t="s">
        <v>12620</v>
      </c>
      <c r="W2451" t="s">
        <v>15029</v>
      </c>
      <c r="X2451">
        <v>12</v>
      </c>
      <c r="Y2451" t="s">
        <v>21212</v>
      </c>
      <c r="Z2451" t="s">
        <v>27398</v>
      </c>
      <c r="AA2451">
        <v>0.53264934197858727</v>
      </c>
      <c r="AB2451" t="str">
        <f>HYPERLINK("Melting_Curves/meltCurve_P55210_CASP7.pdf", "Melting_Curves/meltCurve_P55210_CASP7.pdf")</f>
        <v>Melting_Curves/meltCurve_P55210_CASP7.pdf</v>
      </c>
    </row>
    <row r="2452" spans="1:28" x14ac:dyDescent="0.25">
      <c r="A2452" t="s">
        <v>2456</v>
      </c>
      <c r="B2452">
        <v>0.99987803227770999</v>
      </c>
      <c r="C2452">
        <v>1.05032775621135</v>
      </c>
      <c r="D2452">
        <v>1.0916548969175499</v>
      </c>
      <c r="E2452">
        <v>0.770884818376114</v>
      </c>
      <c r="F2452">
        <v>0.24696143092825601</v>
      </c>
      <c r="G2452">
        <v>0.169955869077104</v>
      </c>
      <c r="H2452">
        <v>9.0678748342526705E-2</v>
      </c>
      <c r="I2452">
        <v>8.2281555082862196E-2</v>
      </c>
      <c r="J2452">
        <v>4.6765280058363799E-2</v>
      </c>
      <c r="K2452">
        <v>3.3311155794832799E-2</v>
      </c>
      <c r="L2452">
        <v>2284.6333639975801</v>
      </c>
      <c r="M2452">
        <v>44.574430828677599</v>
      </c>
      <c r="N2452">
        <v>51.458887558637599</v>
      </c>
      <c r="O2452">
        <v>51.151508615186003</v>
      </c>
      <c r="P2452">
        <v>-0.20016989972076901</v>
      </c>
      <c r="Q2452">
        <v>8.1179230908964395E-2</v>
      </c>
      <c r="R2452">
        <v>0.98851197123563805</v>
      </c>
      <c r="S2452" t="s">
        <v>8763</v>
      </c>
      <c r="T2452" t="s">
        <v>12620</v>
      </c>
      <c r="U2452" t="s">
        <v>12620</v>
      </c>
      <c r="V2452" t="s">
        <v>12620</v>
      </c>
      <c r="W2452" t="s">
        <v>15030</v>
      </c>
      <c r="X2452">
        <v>3</v>
      </c>
      <c r="Y2452" t="s">
        <v>21213</v>
      </c>
      <c r="Z2452" t="s">
        <v>27399</v>
      </c>
      <c r="AA2452">
        <v>0.42848739764368321</v>
      </c>
      <c r="AB2452" t="str">
        <f>HYPERLINK("Melting_Curves/meltCurve_P55211_2_CASP9.pdf", "Melting_Curves/meltCurve_P55211_2_CASP9.pdf")</f>
        <v>Melting_Curves/meltCurve_P55211_2_CASP9.pdf</v>
      </c>
    </row>
    <row r="2453" spans="1:28" x14ac:dyDescent="0.25">
      <c r="A2453" t="s">
        <v>2457</v>
      </c>
      <c r="B2453">
        <v>0.99987803227770999</v>
      </c>
      <c r="C2453">
        <v>0.96236351752250004</v>
      </c>
      <c r="D2453">
        <v>0.99995566602728803</v>
      </c>
      <c r="E2453">
        <v>0.82587349015072997</v>
      </c>
      <c r="F2453">
        <v>0.797992000359241</v>
      </c>
      <c r="G2453">
        <v>0.67642775097049401</v>
      </c>
      <c r="H2453">
        <v>0.67736806917579595</v>
      </c>
      <c r="I2453">
        <v>0.60905629983737897</v>
      </c>
      <c r="J2453">
        <v>0.49944196551700998</v>
      </c>
      <c r="K2453">
        <v>0.32641319656712497</v>
      </c>
      <c r="L2453">
        <v>414.19319461467501</v>
      </c>
      <c r="M2453">
        <v>6.2890105031683499</v>
      </c>
      <c r="N2453">
        <v>65.859835075220801</v>
      </c>
      <c r="O2453">
        <v>60.141131384488702</v>
      </c>
      <c r="P2453">
        <v>-2.6214239947671199E-2</v>
      </c>
      <c r="Q2453">
        <v>0</v>
      </c>
      <c r="R2453">
        <v>0.94536853275850596</v>
      </c>
      <c r="S2453" t="s">
        <v>8764</v>
      </c>
      <c r="T2453" t="s">
        <v>12620</v>
      </c>
      <c r="U2453" t="s">
        <v>12620</v>
      </c>
      <c r="V2453" t="s">
        <v>12620</v>
      </c>
      <c r="W2453" t="s">
        <v>15031</v>
      </c>
      <c r="X2453">
        <v>18</v>
      </c>
      <c r="Y2453" t="s">
        <v>21214</v>
      </c>
      <c r="Z2453" t="s">
        <v>27400</v>
      </c>
      <c r="AA2453">
        <v>0.74612614103012787</v>
      </c>
      <c r="AB2453" t="str">
        <f>HYPERLINK("Melting_Curves/meltCurve_P55212_CASP6.pdf", "Melting_Curves/meltCurve_P55212_CASP6.pdf")</f>
        <v>Melting_Curves/meltCurve_P55212_CASP6.pdf</v>
      </c>
    </row>
    <row r="2454" spans="1:28" x14ac:dyDescent="0.25">
      <c r="A2454" t="s">
        <v>2458</v>
      </c>
      <c r="B2454">
        <v>0.99987803227770999</v>
      </c>
      <c r="C2454">
        <v>0.93035382513728004</v>
      </c>
      <c r="D2454">
        <v>1.01345039974303</v>
      </c>
      <c r="E2454">
        <v>0.78956176209785101</v>
      </c>
      <c r="F2454">
        <v>0.492717372051726</v>
      </c>
      <c r="G2454">
        <v>0.15085330006535599</v>
      </c>
      <c r="H2454">
        <v>9.1268491035517693E-2</v>
      </c>
      <c r="I2454">
        <v>7.6432296960888199E-2</v>
      </c>
      <c r="J2454">
        <v>5.3988947226809601E-2</v>
      </c>
      <c r="K2454">
        <v>4.1596491548936902E-2</v>
      </c>
      <c r="L2454">
        <v>1358.0119558440499</v>
      </c>
      <c r="M2454">
        <v>25.816848212075399</v>
      </c>
      <c r="N2454">
        <v>52.831230413799503</v>
      </c>
      <c r="O2454">
        <v>52.289191860627803</v>
      </c>
      <c r="P2454">
        <v>-0.116887690997989</v>
      </c>
      <c r="Q2454">
        <v>5.3038163801044202E-2</v>
      </c>
      <c r="R2454">
        <v>0.99581046629694303</v>
      </c>
      <c r="S2454" t="s">
        <v>8765</v>
      </c>
      <c r="T2454" t="s">
        <v>12620</v>
      </c>
      <c r="U2454" t="s">
        <v>12620</v>
      </c>
      <c r="V2454" t="s">
        <v>12620</v>
      </c>
      <c r="W2454" t="s">
        <v>15032</v>
      </c>
      <c r="X2454">
        <v>16</v>
      </c>
      <c r="Y2454" t="s">
        <v>21215</v>
      </c>
      <c r="Z2454" t="s">
        <v>27401</v>
      </c>
      <c r="AA2454">
        <v>0.45899373780391511</v>
      </c>
      <c r="AB2454" t="str">
        <f>HYPERLINK("Melting_Curves/meltCurve_P55263_ADK.pdf", "Melting_Curves/meltCurve_P55263_ADK.pdf")</f>
        <v>Melting_Curves/meltCurve_P55263_ADK.pdf</v>
      </c>
    </row>
    <row r="2455" spans="1:28" x14ac:dyDescent="0.25">
      <c r="A2455" t="s">
        <v>2459</v>
      </c>
      <c r="B2455">
        <v>0.99987803227770999</v>
      </c>
      <c r="C2455">
        <v>0.95401254895046805</v>
      </c>
      <c r="D2455">
        <v>0.99882827877847802</v>
      </c>
      <c r="E2455">
        <v>0.87540800055781298</v>
      </c>
      <c r="F2455">
        <v>0.89315934955332699</v>
      </c>
      <c r="G2455">
        <v>0.624920110289933</v>
      </c>
      <c r="H2455">
        <v>0.47983018460341198</v>
      </c>
      <c r="I2455">
        <v>0.50106185869103104</v>
      </c>
      <c r="J2455">
        <v>0.42022496761672001</v>
      </c>
      <c r="K2455">
        <v>0.34634990570282698</v>
      </c>
      <c r="L2455">
        <v>855.96980574729696</v>
      </c>
      <c r="M2455">
        <v>15.1103252950175</v>
      </c>
      <c r="N2455">
        <v>61.445793322126796</v>
      </c>
      <c r="O2455">
        <v>55.683619755451303</v>
      </c>
      <c r="P2455">
        <v>-4.4348984458745903E-2</v>
      </c>
      <c r="Q2455">
        <v>0.34633582727562801</v>
      </c>
      <c r="R2455">
        <v>0.97509673075301195</v>
      </c>
      <c r="S2455" t="s">
        <v>8766</v>
      </c>
      <c r="T2455" t="s">
        <v>12620</v>
      </c>
      <c r="U2455" t="s">
        <v>12620</v>
      </c>
      <c r="V2455" t="s">
        <v>12620</v>
      </c>
      <c r="W2455" t="s">
        <v>15033</v>
      </c>
      <c r="X2455">
        <v>16</v>
      </c>
      <c r="Y2455" t="s">
        <v>21216</v>
      </c>
      <c r="Z2455" t="s">
        <v>27402</v>
      </c>
      <c r="AA2455">
        <v>0.71983672726145487</v>
      </c>
      <c r="AB2455" t="str">
        <f>HYPERLINK("Melting_Curves/meltCurve_P55265_5_ADAR.pdf", "Melting_Curves/meltCurve_P55265_5_ADAR.pdf")</f>
        <v>Melting_Curves/meltCurve_P55265_5_ADAR.pdf</v>
      </c>
    </row>
    <row r="2456" spans="1:28" x14ac:dyDescent="0.25">
      <c r="A2456" t="s">
        <v>2460</v>
      </c>
      <c r="B2456">
        <v>0.99987803227770999</v>
      </c>
      <c r="C2456">
        <v>0.97230055728396003</v>
      </c>
      <c r="D2456">
        <v>0.95564049940867202</v>
      </c>
      <c r="E2456">
        <v>0.88445254798768902</v>
      </c>
      <c r="F2456">
        <v>0.66913182896564405</v>
      </c>
      <c r="G2456">
        <v>0.31308720103597198</v>
      </c>
      <c r="H2456">
        <v>0.263643130545201</v>
      </c>
      <c r="I2456">
        <v>0.207257236324632</v>
      </c>
      <c r="J2456">
        <v>0.11980271681323799</v>
      </c>
      <c r="K2456">
        <v>8.8516904085199299E-2</v>
      </c>
      <c r="L2456">
        <v>1075.9582598973</v>
      </c>
      <c r="M2456">
        <v>19.8357085343584</v>
      </c>
      <c r="N2456">
        <v>55.010250065653402</v>
      </c>
      <c r="O2456">
        <v>53.701207233867699</v>
      </c>
      <c r="P2456">
        <v>-8.11931036878486E-2</v>
      </c>
      <c r="Q2456">
        <v>0.12077330963102299</v>
      </c>
      <c r="R2456">
        <v>0.99136688269448003</v>
      </c>
      <c r="S2456" t="s">
        <v>8767</v>
      </c>
      <c r="T2456" t="s">
        <v>12620</v>
      </c>
      <c r="U2456" t="s">
        <v>12620</v>
      </c>
      <c r="V2456" t="s">
        <v>12620</v>
      </c>
      <c r="W2456" t="s">
        <v>15034</v>
      </c>
      <c r="X2456">
        <v>2</v>
      </c>
      <c r="Y2456" t="s">
        <v>21217</v>
      </c>
      <c r="Z2456" t="s">
        <v>27403</v>
      </c>
      <c r="AA2456">
        <v>0.5502727972871978</v>
      </c>
      <c r="AB2456" t="str">
        <f>HYPERLINK("Melting_Curves/meltCurve_P55268_LAMB2.pdf", "Melting_Curves/meltCurve_P55268_LAMB2.pdf")</f>
        <v>Melting_Curves/meltCurve_P55268_LAMB2.pdf</v>
      </c>
    </row>
    <row r="2457" spans="1:28" x14ac:dyDescent="0.25">
      <c r="A2457" t="s">
        <v>2461</v>
      </c>
      <c r="B2457">
        <v>0.99987803227770999</v>
      </c>
      <c r="C2457">
        <v>0.76803818977022098</v>
      </c>
      <c r="D2457">
        <v>0.96682983617721796</v>
      </c>
      <c r="E2457">
        <v>0.85444448115078797</v>
      </c>
      <c r="F2457">
        <v>1.2904011339028001</v>
      </c>
      <c r="G2457">
        <v>1.3311412617739899</v>
      </c>
      <c r="H2457">
        <v>1.2542083469271701</v>
      </c>
      <c r="I2457">
        <v>1.48510783068487</v>
      </c>
      <c r="J2457">
        <v>1.29786480390582</v>
      </c>
      <c r="K2457">
        <v>0.96654602297616499</v>
      </c>
      <c r="L2457">
        <v>12916.7864388901</v>
      </c>
      <c r="M2457">
        <v>250</v>
      </c>
      <c r="O2457">
        <v>51.663839626975196</v>
      </c>
      <c r="P2457">
        <v>0.32778014161923802</v>
      </c>
      <c r="Q2457">
        <v>1.2709500892093799</v>
      </c>
      <c r="R2457">
        <v>0.57129133526097697</v>
      </c>
      <c r="S2457" t="s">
        <v>8768</v>
      </c>
      <c r="T2457" t="s">
        <v>12620</v>
      </c>
      <c r="U2457" t="s">
        <v>12620</v>
      </c>
      <c r="V2457" t="s">
        <v>12620</v>
      </c>
      <c r="W2457" t="s">
        <v>15035</v>
      </c>
      <c r="X2457">
        <v>14</v>
      </c>
      <c r="Y2457" t="s">
        <v>19318</v>
      </c>
      <c r="Z2457" t="s">
        <v>27404</v>
      </c>
      <c r="AA2457">
        <v>1.1655517146905101</v>
      </c>
      <c r="AB2457" t="str">
        <f>HYPERLINK("Melting_Curves/meltCurve_P55327_2_TPD52.pdf", "Melting_Curves/meltCurve_P55327_2_TPD52.pdf")</f>
        <v>Melting_Curves/meltCurve_P55327_2_TPD52.pdf</v>
      </c>
    </row>
    <row r="2458" spans="1:28" x14ac:dyDescent="0.25">
      <c r="A2458" t="s">
        <v>2462</v>
      </c>
      <c r="B2458">
        <v>0.99987803227770999</v>
      </c>
      <c r="C2458">
        <v>1.03724564293091</v>
      </c>
      <c r="D2458">
        <v>0.93727937082480395</v>
      </c>
      <c r="E2458">
        <v>0.99374877690909402</v>
      </c>
      <c r="F2458">
        <v>0.71063886583286395</v>
      </c>
      <c r="G2458">
        <v>0.62148008984352998</v>
      </c>
      <c r="H2458">
        <v>0.51605382987902704</v>
      </c>
      <c r="I2458">
        <v>0.44546240714347601</v>
      </c>
      <c r="J2458">
        <v>0.335286284186255</v>
      </c>
      <c r="K2458">
        <v>0.217578729988611</v>
      </c>
      <c r="L2458">
        <v>580.10819194957298</v>
      </c>
      <c r="M2458">
        <v>9.6341445648312103</v>
      </c>
      <c r="N2458">
        <v>61.052202844131799</v>
      </c>
      <c r="O2458">
        <v>57.791009903137798</v>
      </c>
      <c r="P2458">
        <v>-3.9116121485503003E-2</v>
      </c>
      <c r="Q2458">
        <v>6.1963762984435698E-2</v>
      </c>
      <c r="R2458">
        <v>0.96494407887542299</v>
      </c>
      <c r="S2458" t="s">
        <v>8769</v>
      </c>
      <c r="T2458" t="s">
        <v>12620</v>
      </c>
      <c r="U2458" t="s">
        <v>12620</v>
      </c>
      <c r="V2458" t="s">
        <v>12620</v>
      </c>
      <c r="W2458" t="s">
        <v>15036</v>
      </c>
      <c r="X2458">
        <v>1</v>
      </c>
      <c r="Y2458" t="s">
        <v>21218</v>
      </c>
      <c r="Z2458" t="s">
        <v>27405</v>
      </c>
      <c r="AA2458">
        <v>0.68710745791842232</v>
      </c>
      <c r="AB2458" t="str">
        <f>HYPERLINK("Melting_Curves/meltCurve_P55347_2_PKNOX1.pdf", "Melting_Curves/meltCurve_P55347_2_PKNOX1.pdf")</f>
        <v>Melting_Curves/meltCurve_P55347_2_PKNOX1.pdf</v>
      </c>
    </row>
    <row r="2459" spans="1:28" x14ac:dyDescent="0.25">
      <c r="A2459" t="s">
        <v>2463</v>
      </c>
      <c r="B2459">
        <v>0.99987803227770999</v>
      </c>
      <c r="C2459">
        <v>0.70712851052636205</v>
      </c>
      <c r="D2459">
        <v>0.76850330197340999</v>
      </c>
      <c r="E2459">
        <v>0.99039314399107004</v>
      </c>
      <c r="F2459">
        <v>0.60790206020042903</v>
      </c>
      <c r="G2459">
        <v>0.37942496553414401</v>
      </c>
      <c r="H2459">
        <v>0.14829547854910699</v>
      </c>
      <c r="I2459">
        <v>9.91847348440133E-2</v>
      </c>
      <c r="J2459">
        <v>7.4928351352996303E-2</v>
      </c>
      <c r="K2459">
        <v>5.0664108279058803E-2</v>
      </c>
      <c r="L2459">
        <v>821.74068621289496</v>
      </c>
      <c r="M2459">
        <v>14.9267149248011</v>
      </c>
      <c r="N2459">
        <v>55.051666829963501</v>
      </c>
      <c r="O2459">
        <v>54.091937998099702</v>
      </c>
      <c r="P2459">
        <v>-6.8994814105019397E-2</v>
      </c>
      <c r="Q2459">
        <v>0</v>
      </c>
      <c r="R2459">
        <v>0.88966344246122298</v>
      </c>
      <c r="S2459" t="s">
        <v>8770</v>
      </c>
      <c r="T2459" t="s">
        <v>12620</v>
      </c>
      <c r="U2459" t="s">
        <v>12620</v>
      </c>
      <c r="V2459" t="s">
        <v>12620</v>
      </c>
      <c r="W2459" t="s">
        <v>15037</v>
      </c>
      <c r="X2459">
        <v>9</v>
      </c>
      <c r="Y2459" t="s">
        <v>21219</v>
      </c>
      <c r="Z2459" t="s">
        <v>27406</v>
      </c>
      <c r="AA2459">
        <v>0.52103261145609436</v>
      </c>
      <c r="AB2459" t="str">
        <f>HYPERLINK("Melting_Curves/meltCurve_P55735_SEC13.pdf", "Melting_Curves/meltCurve_P55735_SEC13.pdf")</f>
        <v>Melting_Curves/meltCurve_P55735_SEC13.pdf</v>
      </c>
    </row>
    <row r="2460" spans="1:28" x14ac:dyDescent="0.25">
      <c r="A2460" t="s">
        <v>2464</v>
      </c>
      <c r="B2460">
        <v>0.99987803227770999</v>
      </c>
      <c r="C2460">
        <v>0.79073997903631199</v>
      </c>
      <c r="D2460">
        <v>0.86022459414606001</v>
      </c>
      <c r="E2460">
        <v>0.47010148547512298</v>
      </c>
      <c r="F2460">
        <v>0.30046718899351699</v>
      </c>
      <c r="G2460">
        <v>0.17213511700582301</v>
      </c>
      <c r="H2460">
        <v>0.12321643439713501</v>
      </c>
      <c r="I2460">
        <v>0.114891475875215</v>
      </c>
      <c r="J2460">
        <v>8.40157671979085E-2</v>
      </c>
      <c r="K2460">
        <v>5.7981903344235801E-2</v>
      </c>
      <c r="L2460">
        <v>739.03607707222795</v>
      </c>
      <c r="M2460">
        <v>14.9528406169752</v>
      </c>
      <c r="N2460">
        <v>49.878394093515404</v>
      </c>
      <c r="O2460">
        <v>48.565741657406498</v>
      </c>
      <c r="P2460">
        <v>-7.2082958343308204E-2</v>
      </c>
      <c r="Q2460">
        <v>6.3614873736762306E-2</v>
      </c>
      <c r="R2460">
        <v>0.97815690014318202</v>
      </c>
      <c r="S2460" t="s">
        <v>8771</v>
      </c>
      <c r="T2460" t="s">
        <v>12620</v>
      </c>
      <c r="U2460" t="s">
        <v>12620</v>
      </c>
      <c r="V2460" t="s">
        <v>12620</v>
      </c>
      <c r="W2460" t="s">
        <v>15038</v>
      </c>
      <c r="X2460">
        <v>3</v>
      </c>
      <c r="Y2460" t="s">
        <v>21220</v>
      </c>
      <c r="Z2460" t="s">
        <v>27407</v>
      </c>
      <c r="AA2460">
        <v>0.38067225313961051</v>
      </c>
      <c r="AB2460" t="str">
        <f>HYPERLINK("Melting_Curves/meltCurve_P55769_NHP2L1.pdf", "Melting_Curves/meltCurve_P55769_NHP2L1.pdf")</f>
        <v>Melting_Curves/meltCurve_P55769_NHP2L1.pdf</v>
      </c>
    </row>
    <row r="2461" spans="1:28" x14ac:dyDescent="0.25">
      <c r="A2461" t="s">
        <v>2465</v>
      </c>
      <c r="B2461">
        <v>0.99987803227770999</v>
      </c>
      <c r="C2461">
        <v>0.713830785334858</v>
      </c>
      <c r="D2461">
        <v>0.81608305725077301</v>
      </c>
      <c r="E2461">
        <v>0.80584160260455795</v>
      </c>
      <c r="F2461">
        <v>0.55343551835473803</v>
      </c>
      <c r="G2461">
        <v>0.60120921658690496</v>
      </c>
      <c r="H2461">
        <v>0.65575045230469997</v>
      </c>
      <c r="I2461">
        <v>0.56106283000139001</v>
      </c>
      <c r="J2461">
        <v>0.455575147153153</v>
      </c>
      <c r="K2461">
        <v>0.42125969057721202</v>
      </c>
      <c r="L2461">
        <v>214.98451101560099</v>
      </c>
      <c r="M2461">
        <v>3.3870023174107402</v>
      </c>
      <c r="N2461">
        <v>65.714589220885401</v>
      </c>
      <c r="O2461">
        <v>49.1447459991914</v>
      </c>
      <c r="P2461">
        <v>-1.6641625941216501E-2</v>
      </c>
      <c r="Q2461">
        <v>5.4545936327269999E-2</v>
      </c>
      <c r="R2461">
        <v>0.77285398542550598</v>
      </c>
      <c r="S2461" t="s">
        <v>8772</v>
      </c>
      <c r="T2461" t="s">
        <v>12620</v>
      </c>
      <c r="U2461" t="s">
        <v>12620</v>
      </c>
      <c r="V2461" t="s">
        <v>12620</v>
      </c>
      <c r="W2461" t="s">
        <v>15039</v>
      </c>
      <c r="X2461">
        <v>2</v>
      </c>
      <c r="Y2461" t="s">
        <v>21221</v>
      </c>
      <c r="Z2461" t="s">
        <v>27408</v>
      </c>
      <c r="AA2461">
        <v>0.65646485604907279</v>
      </c>
      <c r="AB2461" t="str">
        <f>HYPERLINK("Melting_Curves/meltCurve_P55789_GFER.pdf", "Melting_Curves/meltCurve_P55789_GFER.pdf")</f>
        <v>Melting_Curves/meltCurve_P55789_GFER.pdf</v>
      </c>
    </row>
    <row r="2462" spans="1:28" x14ac:dyDescent="0.25">
      <c r="A2462" t="s">
        <v>2466</v>
      </c>
      <c r="B2462">
        <v>0.99987803227770999</v>
      </c>
      <c r="C2462">
        <v>0.90305689767867303</v>
      </c>
      <c r="D2462">
        <v>0.72264588705645205</v>
      </c>
      <c r="E2462">
        <v>0.48543072676015098</v>
      </c>
      <c r="F2462">
        <v>0.40940718125326298</v>
      </c>
      <c r="G2462">
        <v>0.24468885918962199</v>
      </c>
      <c r="H2462">
        <v>0.208971458400254</v>
      </c>
      <c r="I2462">
        <v>0.20110179752367999</v>
      </c>
      <c r="J2462">
        <v>0.12329693000952301</v>
      </c>
      <c r="K2462">
        <v>9.5940167564452297E-2</v>
      </c>
      <c r="L2462">
        <v>613.68566190907904</v>
      </c>
      <c r="M2462">
        <v>12.435832262113999</v>
      </c>
      <c r="N2462">
        <v>50.369161004678503</v>
      </c>
      <c r="O2462">
        <v>48.124201896389103</v>
      </c>
      <c r="P2462">
        <v>-5.7417652933034802E-2</v>
      </c>
      <c r="Q2462">
        <v>0.111406506474482</v>
      </c>
      <c r="R2462">
        <v>0.990414024135019</v>
      </c>
      <c r="S2462" t="s">
        <v>8773</v>
      </c>
      <c r="T2462" t="s">
        <v>12620</v>
      </c>
      <c r="U2462" t="s">
        <v>12620</v>
      </c>
      <c r="V2462" t="s">
        <v>12620</v>
      </c>
      <c r="W2462" t="s">
        <v>15040</v>
      </c>
      <c r="X2462">
        <v>9</v>
      </c>
      <c r="Y2462" t="s">
        <v>21222</v>
      </c>
      <c r="Z2462" t="s">
        <v>27409</v>
      </c>
      <c r="AA2462">
        <v>0.41843290807150851</v>
      </c>
      <c r="AB2462" t="str">
        <f>HYPERLINK("Melting_Curves/meltCurve_P55795_HNRNPH2.pdf", "Melting_Curves/meltCurve_P55795_HNRNPH2.pdf")</f>
        <v>Melting_Curves/meltCurve_P55795_HNRNPH2.pdf</v>
      </c>
    </row>
    <row r="2463" spans="1:28" x14ac:dyDescent="0.25">
      <c r="A2463" t="s">
        <v>2467</v>
      </c>
      <c r="B2463">
        <v>0.99987803227770999</v>
      </c>
      <c r="C2463">
        <v>1.0583359001935</v>
      </c>
      <c r="D2463">
        <v>1.04014616420291</v>
      </c>
      <c r="E2463">
        <v>0.93882891906654997</v>
      </c>
      <c r="F2463">
        <v>0.57340665085063902</v>
      </c>
      <c r="G2463">
        <v>0.14312108981750099</v>
      </c>
      <c r="H2463">
        <v>0.100698673415078</v>
      </c>
      <c r="I2463">
        <v>7.9553076667461795E-2</v>
      </c>
      <c r="J2463">
        <v>5.7320718792395399E-2</v>
      </c>
      <c r="K2463">
        <v>3.7424611680795E-2</v>
      </c>
      <c r="L2463">
        <v>2041.01039549029</v>
      </c>
      <c r="M2463">
        <v>38.315086866742597</v>
      </c>
      <c r="N2463">
        <v>53.470783210187598</v>
      </c>
      <c r="O2463">
        <v>53.124631776714601</v>
      </c>
      <c r="P2463">
        <v>-0.16817655621531299</v>
      </c>
      <c r="Q2463">
        <v>6.7281942278719101E-2</v>
      </c>
      <c r="R2463">
        <v>0.99628069415962806</v>
      </c>
      <c r="S2463" t="s">
        <v>8774</v>
      </c>
      <c r="T2463" t="s">
        <v>12620</v>
      </c>
      <c r="U2463" t="s">
        <v>12620</v>
      </c>
      <c r="V2463" t="s">
        <v>12620</v>
      </c>
      <c r="W2463" t="s">
        <v>15041</v>
      </c>
      <c r="X2463">
        <v>2</v>
      </c>
      <c r="Y2463" t="s">
        <v>21223</v>
      </c>
      <c r="Z2463" t="s">
        <v>27410</v>
      </c>
      <c r="AA2463">
        <v>0.48356516623556489</v>
      </c>
      <c r="AB2463" t="str">
        <f>HYPERLINK("Melting_Curves/meltCurve_P55809_OXCT1.pdf", "Melting_Curves/meltCurve_P55809_OXCT1.pdf")</f>
        <v>Melting_Curves/meltCurve_P55809_OXCT1.pdf</v>
      </c>
    </row>
    <row r="2464" spans="1:28" x14ac:dyDescent="0.25">
      <c r="A2464" t="s">
        <v>2468</v>
      </c>
      <c r="B2464">
        <v>0.99987803227770999</v>
      </c>
      <c r="C2464">
        <v>0.79764434382622795</v>
      </c>
      <c r="D2464">
        <v>0.94031660069699297</v>
      </c>
      <c r="E2464">
        <v>0.80642997239916603</v>
      </c>
      <c r="F2464">
        <v>1.0031736062080301</v>
      </c>
      <c r="G2464">
        <v>0.81248728531239101</v>
      </c>
      <c r="H2464">
        <v>0.97203663279479402</v>
      </c>
      <c r="I2464">
        <v>0.84008044820711303</v>
      </c>
      <c r="J2464">
        <v>1.2180013018258899</v>
      </c>
      <c r="K2464">
        <v>0.955801421314597</v>
      </c>
      <c r="L2464">
        <v>10216.8221093517</v>
      </c>
      <c r="M2464">
        <v>250</v>
      </c>
      <c r="O2464">
        <v>40.864673218728299</v>
      </c>
      <c r="P2464">
        <v>-0.111143796173891</v>
      </c>
      <c r="Q2464">
        <v>0.92733032153994299</v>
      </c>
      <c r="R2464">
        <v>3.1537319788291197E-2</v>
      </c>
      <c r="S2464" t="s">
        <v>8775</v>
      </c>
      <c r="T2464" t="s">
        <v>12620</v>
      </c>
      <c r="U2464" t="s">
        <v>12620</v>
      </c>
      <c r="V2464" t="s">
        <v>12620</v>
      </c>
      <c r="W2464" t="s">
        <v>15042</v>
      </c>
      <c r="X2464">
        <v>3</v>
      </c>
      <c r="Y2464" t="s">
        <v>21224</v>
      </c>
      <c r="Z2464" t="s">
        <v>27411</v>
      </c>
      <c r="AA2464">
        <v>0.92943804772668648</v>
      </c>
      <c r="AB2464" t="str">
        <f>HYPERLINK("Melting_Curves/meltCurve_P55854_SUMO3.pdf", "Melting_Curves/meltCurve_P55854_SUMO3.pdf")</f>
        <v>Melting_Curves/meltCurve_P55854_SUMO3.pdf</v>
      </c>
    </row>
    <row r="2465" spans="1:28" x14ac:dyDescent="0.25">
      <c r="A2465" t="s">
        <v>2469</v>
      </c>
      <c r="B2465">
        <v>0.99987803227770999</v>
      </c>
      <c r="C2465">
        <v>0.93155058917191802</v>
      </c>
      <c r="D2465">
        <v>0.89492400862398902</v>
      </c>
      <c r="E2465">
        <v>0.83608422040116703</v>
      </c>
      <c r="F2465">
        <v>0.46305153698233098</v>
      </c>
      <c r="G2465">
        <v>0.32504183435174899</v>
      </c>
      <c r="H2465">
        <v>0.18132927893048401</v>
      </c>
      <c r="I2465">
        <v>0.13378927782897601</v>
      </c>
      <c r="J2465">
        <v>0.11117993764323</v>
      </c>
      <c r="K2465">
        <v>7.1527366558713001E-2</v>
      </c>
      <c r="L2465">
        <v>862.86658335380503</v>
      </c>
      <c r="M2465">
        <v>16.2671163591924</v>
      </c>
      <c r="N2465">
        <v>53.571635910660902</v>
      </c>
      <c r="O2465">
        <v>52.261409141352097</v>
      </c>
      <c r="P2465">
        <v>-7.2057437197222393E-2</v>
      </c>
      <c r="Q2465">
        <v>7.4071155319793899E-2</v>
      </c>
      <c r="R2465">
        <v>0.98602912232144302</v>
      </c>
      <c r="S2465" t="s">
        <v>8776</v>
      </c>
      <c r="T2465" t="s">
        <v>12620</v>
      </c>
      <c r="U2465" t="s">
        <v>12620</v>
      </c>
      <c r="V2465" t="s">
        <v>12620</v>
      </c>
      <c r="W2465" t="s">
        <v>15043</v>
      </c>
      <c r="X2465">
        <v>31</v>
      </c>
      <c r="Y2465" t="s">
        <v>21225</v>
      </c>
      <c r="Z2465" t="s">
        <v>27412</v>
      </c>
      <c r="AA2465">
        <v>0.49435710233515279</v>
      </c>
      <c r="AB2465" t="str">
        <f>HYPERLINK("Melting_Curves/meltCurve_P55884_EIF3B.pdf", "Melting_Curves/meltCurve_P55884_EIF3B.pdf")</f>
        <v>Melting_Curves/meltCurve_P55884_EIF3B.pdf</v>
      </c>
    </row>
    <row r="2466" spans="1:28" x14ac:dyDescent="0.25">
      <c r="A2466" t="s">
        <v>2470</v>
      </c>
      <c r="B2466">
        <v>0.99987803227770999</v>
      </c>
      <c r="C2466">
        <v>0.84936778633322096</v>
      </c>
      <c r="D2466">
        <v>1.01253052644074</v>
      </c>
      <c r="E2466">
        <v>0.79824823755765895</v>
      </c>
      <c r="F2466">
        <v>0.89278748718907597</v>
      </c>
      <c r="G2466">
        <v>0.74465691696667802</v>
      </c>
      <c r="H2466">
        <v>0.77537219651753297</v>
      </c>
      <c r="I2466">
        <v>0.760891533409772</v>
      </c>
      <c r="J2466">
        <v>0.72775825385325299</v>
      </c>
      <c r="K2466">
        <v>0.62219322812939803</v>
      </c>
      <c r="L2466">
        <v>224.232764803159</v>
      </c>
      <c r="M2466">
        <v>2.52359213414096</v>
      </c>
      <c r="O2466">
        <v>60.217335281281798</v>
      </c>
      <c r="P2466">
        <v>-1.09998690415576E-2</v>
      </c>
      <c r="Q2466">
        <v>0</v>
      </c>
      <c r="R2466">
        <v>0.73668081540240904</v>
      </c>
      <c r="S2466" t="s">
        <v>8777</v>
      </c>
      <c r="T2466" t="s">
        <v>12620</v>
      </c>
      <c r="U2466" t="s">
        <v>12620</v>
      </c>
      <c r="V2466" t="s">
        <v>12620</v>
      </c>
      <c r="W2466" t="s">
        <v>15044</v>
      </c>
      <c r="X2466">
        <v>10</v>
      </c>
      <c r="Y2466" t="s">
        <v>21226</v>
      </c>
      <c r="Z2466" t="s">
        <v>27413</v>
      </c>
      <c r="AA2466">
        <v>0.82037442092987523</v>
      </c>
      <c r="AB2466" t="str">
        <f>HYPERLINK("Melting_Curves/meltCurve_P56181_2_NDUFV3.pdf", "Melting_Curves/meltCurve_P56181_2_NDUFV3.pdf")</f>
        <v>Melting_Curves/meltCurve_P56181_2_NDUFV3.pdf</v>
      </c>
    </row>
    <row r="2467" spans="1:28" x14ac:dyDescent="0.25">
      <c r="A2467" t="s">
        <v>2471</v>
      </c>
      <c r="B2467">
        <v>0.99987803227770999</v>
      </c>
      <c r="C2467">
        <v>0.77786370158423501</v>
      </c>
      <c r="D2467">
        <v>0.57603825893139105</v>
      </c>
      <c r="E2467">
        <v>0.45975397478228902</v>
      </c>
      <c r="F2467">
        <v>0.29377432916492602</v>
      </c>
      <c r="G2467">
        <v>0.17166286784055801</v>
      </c>
      <c r="H2467">
        <v>0.11304052177994101</v>
      </c>
      <c r="I2467">
        <v>0.114647873738704</v>
      </c>
      <c r="J2467">
        <v>7.4069794082926396E-2</v>
      </c>
      <c r="K2467">
        <v>5.2577308503638398E-2</v>
      </c>
      <c r="L2467">
        <v>544.50980149810903</v>
      </c>
      <c r="M2467">
        <v>11.338687109329699</v>
      </c>
      <c r="N2467">
        <v>48.388929292654197</v>
      </c>
      <c r="O2467">
        <v>46.601329045676103</v>
      </c>
      <c r="P2467">
        <v>-5.8341868483815097E-2</v>
      </c>
      <c r="Q2467">
        <v>4.1161373928302103E-2</v>
      </c>
      <c r="R2467">
        <v>0.98442290216155004</v>
      </c>
      <c r="S2467" t="s">
        <v>8778</v>
      </c>
      <c r="T2467" t="s">
        <v>12620</v>
      </c>
      <c r="U2467" t="s">
        <v>12620</v>
      </c>
      <c r="V2467" t="s">
        <v>12620</v>
      </c>
      <c r="W2467" t="s">
        <v>15045</v>
      </c>
      <c r="X2467">
        <v>21</v>
      </c>
      <c r="Y2467" t="s">
        <v>21227</v>
      </c>
      <c r="Z2467" t="s">
        <v>27414</v>
      </c>
      <c r="AA2467">
        <v>0.33889616970469177</v>
      </c>
      <c r="AB2467" t="str">
        <f>HYPERLINK("Melting_Curves/meltCurve_P56192_MARS.pdf", "Melting_Curves/meltCurve_P56192_MARS.pdf")</f>
        <v>Melting_Curves/meltCurve_P56192_MARS.pdf</v>
      </c>
    </row>
    <row r="2468" spans="1:28" x14ac:dyDescent="0.25">
      <c r="A2468" t="s">
        <v>2472</v>
      </c>
      <c r="B2468">
        <v>0.99987803227770999</v>
      </c>
      <c r="C2468">
        <v>0.87821402704654705</v>
      </c>
      <c r="D2468">
        <v>0.95635753241726096</v>
      </c>
      <c r="E2468">
        <v>0.84506104481010502</v>
      </c>
      <c r="F2468">
        <v>0.98178585818354402</v>
      </c>
      <c r="G2468">
        <v>0.86643238365816</v>
      </c>
      <c r="H2468">
        <v>0.82056444584977295</v>
      </c>
      <c r="I2468">
        <v>0.60820942560503799</v>
      </c>
      <c r="J2468">
        <v>0.58041675730877795</v>
      </c>
      <c r="K2468">
        <v>0.43489969447648502</v>
      </c>
      <c r="L2468">
        <v>611.24382331294998</v>
      </c>
      <c r="M2468">
        <v>8.8981139650204799</v>
      </c>
      <c r="N2468">
        <v>68.693638409888806</v>
      </c>
      <c r="O2468">
        <v>65.489736529050703</v>
      </c>
      <c r="P2468">
        <v>-3.39933369480711E-2</v>
      </c>
      <c r="Q2468">
        <v>0</v>
      </c>
      <c r="R2468">
        <v>0.87972117122778903</v>
      </c>
      <c r="S2468" t="s">
        <v>8779</v>
      </c>
      <c r="T2468" t="s">
        <v>12620</v>
      </c>
      <c r="U2468" t="s">
        <v>12620</v>
      </c>
      <c r="V2468" t="s">
        <v>12620</v>
      </c>
      <c r="W2468" t="s">
        <v>15046</v>
      </c>
      <c r="X2468">
        <v>8</v>
      </c>
      <c r="Y2468" t="s">
        <v>21228</v>
      </c>
      <c r="Z2468" t="s">
        <v>27415</v>
      </c>
      <c r="AA2468">
        <v>0.83445745833332075</v>
      </c>
      <c r="AB2468" t="str">
        <f>HYPERLINK("Melting_Curves/meltCurve_P56211_ARPP19.pdf", "Melting_Curves/meltCurve_P56211_ARPP19.pdf")</f>
        <v>Melting_Curves/meltCurve_P56211_ARPP19.pdf</v>
      </c>
    </row>
    <row r="2469" spans="1:28" x14ac:dyDescent="0.25">
      <c r="A2469" t="s">
        <v>2473</v>
      </c>
      <c r="B2469">
        <v>0.99987803227770999</v>
      </c>
      <c r="C2469">
        <v>0.74961508753871198</v>
      </c>
      <c r="D2469">
        <v>0.91545849695810699</v>
      </c>
      <c r="E2469">
        <v>0.72347241522754901</v>
      </c>
      <c r="F2469">
        <v>1.0131260762262699</v>
      </c>
      <c r="G2469">
        <v>0.88144329863674398</v>
      </c>
      <c r="H2469">
        <v>0.93570421257212699</v>
      </c>
      <c r="I2469">
        <v>0.98121018942206195</v>
      </c>
      <c r="J2469">
        <v>1.0070866084222101</v>
      </c>
      <c r="K2469">
        <v>0.85726425311777599</v>
      </c>
      <c r="L2469">
        <v>10221.7588359116</v>
      </c>
      <c r="M2469">
        <v>250</v>
      </c>
      <c r="O2469">
        <v>40.884418856825498</v>
      </c>
      <c r="P2469">
        <v>-0.15891987307055599</v>
      </c>
      <c r="Q2469">
        <v>0.89604245366834101</v>
      </c>
      <c r="R2469">
        <v>9.9130188645969203E-2</v>
      </c>
      <c r="S2469" t="s">
        <v>8780</v>
      </c>
      <c r="T2469" t="s">
        <v>12620</v>
      </c>
      <c r="U2469" t="s">
        <v>12620</v>
      </c>
      <c r="V2469" t="s">
        <v>12620</v>
      </c>
      <c r="W2469" t="s">
        <v>15047</v>
      </c>
      <c r="X2469">
        <v>5</v>
      </c>
      <c r="Y2469" t="s">
        <v>21229</v>
      </c>
      <c r="Z2469" t="s">
        <v>27416</v>
      </c>
      <c r="AA2469">
        <v>0.89912581467393682</v>
      </c>
      <c r="AB2469" t="str">
        <f>HYPERLINK("Melting_Curves/meltCurve_P56277_CMC4.pdf", "Melting_Curves/meltCurve_P56277_CMC4.pdf")</f>
        <v>Melting_Curves/meltCurve_P56277_CMC4.pdf</v>
      </c>
    </row>
    <row r="2470" spans="1:28" x14ac:dyDescent="0.25">
      <c r="A2470" t="s">
        <v>2474</v>
      </c>
      <c r="B2470">
        <v>0.99987803227770999</v>
      </c>
      <c r="C2470">
        <v>1.0142672201360401</v>
      </c>
      <c r="D2470">
        <v>0.70964682812517199</v>
      </c>
      <c r="E2470">
        <v>0.42290632671659001</v>
      </c>
      <c r="F2470">
        <v>0.232345802028294</v>
      </c>
      <c r="G2470">
        <v>0.15258677257384701</v>
      </c>
      <c r="H2470">
        <v>7.4483837616098697E-2</v>
      </c>
      <c r="I2470">
        <v>5.0306165261501598E-2</v>
      </c>
      <c r="J2470">
        <v>3.7417485810962603E-2</v>
      </c>
      <c r="K2470">
        <v>3.4361157382959098E-2</v>
      </c>
      <c r="L2470">
        <v>877.97276554269195</v>
      </c>
      <c r="M2470">
        <v>17.988850798559699</v>
      </c>
      <c r="N2470">
        <v>49.065123020088002</v>
      </c>
      <c r="O2470">
        <v>48.215337368306798</v>
      </c>
      <c r="P2470">
        <v>-8.90589226996545E-2</v>
      </c>
      <c r="Q2470">
        <v>4.5232198230784497E-2</v>
      </c>
      <c r="R2470">
        <v>0.99082678660982204</v>
      </c>
      <c r="S2470" t="s">
        <v>8781</v>
      </c>
      <c r="T2470" t="s">
        <v>12620</v>
      </c>
      <c r="U2470" t="s">
        <v>12620</v>
      </c>
      <c r="V2470" t="s">
        <v>12620</v>
      </c>
      <c r="W2470" t="s">
        <v>15048</v>
      </c>
      <c r="X2470">
        <v>1</v>
      </c>
      <c r="Y2470" t="s">
        <v>21230</v>
      </c>
      <c r="Z2470" t="s">
        <v>27417</v>
      </c>
      <c r="AA2470">
        <v>0.34212536274276689</v>
      </c>
      <c r="AB2470" t="str">
        <f>HYPERLINK("Melting_Curves/meltCurve_P56282_2_POLE2.pdf", "Melting_Curves/meltCurve_P56282_2_POLE2.pdf")</f>
        <v>Melting_Curves/meltCurve_P56282_2_POLE2.pdf</v>
      </c>
    </row>
    <row r="2471" spans="1:28" x14ac:dyDescent="0.25">
      <c r="A2471" t="s">
        <v>2475</v>
      </c>
      <c r="B2471">
        <v>0.99987803227770999</v>
      </c>
      <c r="C2471">
        <v>1.12878295558077</v>
      </c>
      <c r="D2471">
        <v>0.78276348749945102</v>
      </c>
      <c r="E2471">
        <v>0.86302807794155301</v>
      </c>
      <c r="F2471">
        <v>0.57199631619345404</v>
      </c>
      <c r="G2471">
        <v>0.248197196493779</v>
      </c>
      <c r="H2471">
        <v>0.35505254191431002</v>
      </c>
      <c r="I2471">
        <v>0.61015762395009498</v>
      </c>
      <c r="J2471">
        <v>7.1438918522535005E-2</v>
      </c>
      <c r="K2471">
        <v>6.0971296861454402E-2</v>
      </c>
      <c r="L2471">
        <v>674.83736933450496</v>
      </c>
      <c r="M2471">
        <v>12.602086685440501</v>
      </c>
      <c r="N2471">
        <v>55.128845093012103</v>
      </c>
      <c r="O2471">
        <v>52.2548973956591</v>
      </c>
      <c r="P2471">
        <v>-5.1166969926681502E-2</v>
      </c>
      <c r="Q2471">
        <v>0.15150788272013599</v>
      </c>
      <c r="R2471">
        <v>0.80025602837628196</v>
      </c>
      <c r="S2471" t="s">
        <v>8782</v>
      </c>
      <c r="T2471" t="s">
        <v>12620</v>
      </c>
      <c r="U2471" t="s">
        <v>12620</v>
      </c>
      <c r="V2471" t="s">
        <v>12620</v>
      </c>
      <c r="W2471" t="s">
        <v>15049</v>
      </c>
      <c r="X2471">
        <v>2</v>
      </c>
      <c r="Y2471" t="s">
        <v>21231</v>
      </c>
      <c r="Z2471" t="s">
        <v>27418</v>
      </c>
      <c r="AA2471">
        <v>0.55666847191972579</v>
      </c>
      <c r="AB2471" t="str">
        <f>HYPERLINK("Melting_Curves/meltCurve_P56377_AP1S2.pdf", "Melting_Curves/meltCurve_P56377_AP1S2.pdf")</f>
        <v>Melting_Curves/meltCurve_P56377_AP1S2.pdf</v>
      </c>
    </row>
    <row r="2472" spans="1:28" x14ac:dyDescent="0.25">
      <c r="A2472" t="s">
        <v>2476</v>
      </c>
      <c r="B2472">
        <v>0.99987803227770999</v>
      </c>
      <c r="C2472">
        <v>1.1496341997067101</v>
      </c>
      <c r="D2472">
        <v>1.00021504026117</v>
      </c>
      <c r="E2472">
        <v>1.03358839955441</v>
      </c>
      <c r="F2472">
        <v>0.77471961792182398</v>
      </c>
      <c r="G2472">
        <v>0.56190572360423496</v>
      </c>
      <c r="H2472">
        <v>0.455300719278038</v>
      </c>
      <c r="I2472">
        <v>0.314731545104738</v>
      </c>
      <c r="J2472">
        <v>0.30565881869435702</v>
      </c>
      <c r="K2472">
        <v>0.23157121878845899</v>
      </c>
      <c r="L2472">
        <v>1063.3517236432101</v>
      </c>
      <c r="M2472">
        <v>18.855434219973901</v>
      </c>
      <c r="N2472">
        <v>58.568170430274698</v>
      </c>
      <c r="O2472">
        <v>55.772126700366002</v>
      </c>
      <c r="P2472">
        <v>-6.3255864438099996E-2</v>
      </c>
      <c r="Q2472">
        <v>0.25161751848957797</v>
      </c>
      <c r="R2472">
        <v>0.96267535348420497</v>
      </c>
      <c r="S2472" t="s">
        <v>8783</v>
      </c>
      <c r="T2472" t="s">
        <v>12620</v>
      </c>
      <c r="U2472" t="s">
        <v>12620</v>
      </c>
      <c r="V2472" t="s">
        <v>12620</v>
      </c>
      <c r="W2472" t="s">
        <v>15050</v>
      </c>
      <c r="X2472">
        <v>16</v>
      </c>
      <c r="Y2472" t="s">
        <v>21232</v>
      </c>
      <c r="Z2472" t="s">
        <v>27419</v>
      </c>
      <c r="AA2472">
        <v>0.67080102219615501</v>
      </c>
      <c r="AB2472" t="str">
        <f>HYPERLINK("Melting_Curves/meltCurve_P56524_HDAC4.pdf", "Melting_Curves/meltCurve_P56524_HDAC4.pdf")</f>
        <v>Melting_Curves/meltCurve_P56524_HDAC4.pdf</v>
      </c>
    </row>
    <row r="2473" spans="1:28" x14ac:dyDescent="0.25">
      <c r="A2473" t="s">
        <v>2477</v>
      </c>
      <c r="B2473">
        <v>0.99987803227770999</v>
      </c>
      <c r="C2473">
        <v>0.87061242082927104</v>
      </c>
      <c r="D2473">
        <v>1.0715415617077</v>
      </c>
      <c r="E2473">
        <v>0.92600029986007504</v>
      </c>
      <c r="F2473">
        <v>1.14720396412444</v>
      </c>
      <c r="G2473">
        <v>0.88967653014633397</v>
      </c>
      <c r="H2473">
        <v>0.41636745935312203</v>
      </c>
      <c r="I2473">
        <v>0.12600031443316501</v>
      </c>
      <c r="J2473">
        <v>5.38250360566533E-2</v>
      </c>
      <c r="K2473">
        <v>3.8032092887471503E-2</v>
      </c>
      <c r="L2473">
        <v>2335.6894853436702</v>
      </c>
      <c r="M2473">
        <v>38.730316859841601</v>
      </c>
      <c r="N2473">
        <v>60.416153044065702</v>
      </c>
      <c r="O2473">
        <v>60.146388385664402</v>
      </c>
      <c r="P2473">
        <v>-0.155520094450251</v>
      </c>
      <c r="Q2473">
        <v>3.3940260563670499E-2</v>
      </c>
      <c r="R2473">
        <v>0.97166634765114301</v>
      </c>
      <c r="S2473" t="s">
        <v>8784</v>
      </c>
      <c r="T2473" t="s">
        <v>12620</v>
      </c>
      <c r="U2473" t="s">
        <v>12620</v>
      </c>
      <c r="V2473" t="s">
        <v>12620</v>
      </c>
      <c r="W2473" t="s">
        <v>15051</v>
      </c>
      <c r="X2473">
        <v>7</v>
      </c>
      <c r="Y2473" t="s">
        <v>21233</v>
      </c>
      <c r="Z2473" t="s">
        <v>27420</v>
      </c>
      <c r="AA2473">
        <v>0.69181224759751436</v>
      </c>
      <c r="AB2473" t="str">
        <f>HYPERLINK("Melting_Curves/meltCurve_P56537_EIF6.pdf", "Melting_Curves/meltCurve_P56537_EIF6.pdf")</f>
        <v>Melting_Curves/meltCurve_P56537_EIF6.pdf</v>
      </c>
    </row>
    <row r="2474" spans="1:28" x14ac:dyDescent="0.25">
      <c r="A2474" t="s">
        <v>2478</v>
      </c>
      <c r="B2474">
        <v>0.99987803227770999</v>
      </c>
      <c r="C2474">
        <v>0.86525374008776201</v>
      </c>
      <c r="D2474">
        <v>0.89160701110988805</v>
      </c>
      <c r="E2474">
        <v>0.54741482015867404</v>
      </c>
      <c r="F2474">
        <v>0.28652109396712699</v>
      </c>
      <c r="G2474">
        <v>0.179609099097088</v>
      </c>
      <c r="H2474">
        <v>0.116525638706168</v>
      </c>
      <c r="I2474">
        <v>9.4013592049174199E-2</v>
      </c>
      <c r="J2474">
        <v>7.1727978495983002E-2</v>
      </c>
      <c r="K2474">
        <v>5.1108972754812798E-2</v>
      </c>
      <c r="L2474">
        <v>901.68668386651495</v>
      </c>
      <c r="M2474">
        <v>17.997500632948601</v>
      </c>
      <c r="N2474">
        <v>50.495567432697797</v>
      </c>
      <c r="O2474">
        <v>49.494405053610301</v>
      </c>
      <c r="P2474">
        <v>-8.4943154852545499E-2</v>
      </c>
      <c r="Q2474">
        <v>6.5647342026230501E-2</v>
      </c>
      <c r="R2474">
        <v>0.99004686597566305</v>
      </c>
      <c r="S2474" t="s">
        <v>8785</v>
      </c>
      <c r="T2474" t="s">
        <v>12620</v>
      </c>
      <c r="U2474" t="s">
        <v>12620</v>
      </c>
      <c r="V2474" t="s">
        <v>12620</v>
      </c>
      <c r="W2474" t="s">
        <v>15052</v>
      </c>
      <c r="X2474">
        <v>15</v>
      </c>
      <c r="Y2474" t="s">
        <v>21234</v>
      </c>
      <c r="Z2474" t="s">
        <v>27421</v>
      </c>
      <c r="AA2474">
        <v>0.39615084940878093</v>
      </c>
      <c r="AB2474" t="str">
        <f>HYPERLINK("Melting_Curves/meltCurve_P56545_CTBP2.pdf", "Melting_Curves/meltCurve_P56545_CTBP2.pdf")</f>
        <v>Melting_Curves/meltCurve_P56545_CTBP2.pdf</v>
      </c>
    </row>
    <row r="2475" spans="1:28" x14ac:dyDescent="0.25">
      <c r="A2475" t="s">
        <v>2479</v>
      </c>
      <c r="B2475">
        <v>0.99987803227770999</v>
      </c>
      <c r="C2475">
        <v>0.99280696417546799</v>
      </c>
      <c r="D2475">
        <v>0.96584165819072798</v>
      </c>
      <c r="E2475">
        <v>0.83843097955868995</v>
      </c>
      <c r="F2475">
        <v>0.69900765242487695</v>
      </c>
      <c r="G2475">
        <v>0.47953855462775802</v>
      </c>
      <c r="H2475">
        <v>0.43757018912192802</v>
      </c>
      <c r="I2475">
        <v>0.421119119307449</v>
      </c>
      <c r="J2475">
        <v>0.38029772987973598</v>
      </c>
      <c r="K2475">
        <v>0.30508487305437698</v>
      </c>
      <c r="L2475">
        <v>892.69444232401304</v>
      </c>
      <c r="M2475">
        <v>16.7284186653674</v>
      </c>
      <c r="N2475">
        <v>57.360803560766897</v>
      </c>
      <c r="O2475">
        <v>52.618855673602702</v>
      </c>
      <c r="P2475">
        <v>-5.21309953234338E-2</v>
      </c>
      <c r="Q2475">
        <v>0.34413579844862802</v>
      </c>
      <c r="R2475">
        <v>0.99137143764910296</v>
      </c>
      <c r="S2475" t="s">
        <v>8786</v>
      </c>
      <c r="T2475" t="s">
        <v>12620</v>
      </c>
      <c r="U2475" t="s">
        <v>12620</v>
      </c>
      <c r="V2475" t="s">
        <v>12620</v>
      </c>
      <c r="W2475" t="s">
        <v>15053</v>
      </c>
      <c r="X2475">
        <v>16</v>
      </c>
      <c r="Y2475" t="s">
        <v>21235</v>
      </c>
      <c r="Z2475" t="s">
        <v>27422</v>
      </c>
      <c r="AA2475">
        <v>0.64821353311742624</v>
      </c>
      <c r="AB2475" t="str">
        <f>HYPERLINK("Melting_Curves/meltCurve_P56945_BCAR1.pdf", "Melting_Curves/meltCurve_P56945_BCAR1.pdf")</f>
        <v>Melting_Curves/meltCurve_P56945_BCAR1.pdf</v>
      </c>
    </row>
    <row r="2476" spans="1:28" x14ac:dyDescent="0.25">
      <c r="A2476" t="s">
        <v>2480</v>
      </c>
      <c r="B2476">
        <v>0.99987803227770999</v>
      </c>
      <c r="C2476">
        <v>0.85093363377582898</v>
      </c>
      <c r="D2476">
        <v>0.91358142214050997</v>
      </c>
      <c r="E2476">
        <v>0.68755933463918195</v>
      </c>
      <c r="F2476">
        <v>0.60535879896328704</v>
      </c>
      <c r="G2476">
        <v>0.31796200445714201</v>
      </c>
      <c r="H2476">
        <v>0.20342126020021201</v>
      </c>
      <c r="I2476">
        <v>0.18647826767887701</v>
      </c>
      <c r="J2476">
        <v>0.14590330933991899</v>
      </c>
      <c r="K2476">
        <v>0.112229809488733</v>
      </c>
      <c r="L2476">
        <v>628.52672067863</v>
      </c>
      <c r="M2476">
        <v>11.7742858807978</v>
      </c>
      <c r="N2476">
        <v>53.907717672106699</v>
      </c>
      <c r="O2476">
        <v>51.911284653912801</v>
      </c>
      <c r="P2476">
        <v>-5.3638346564707201E-2</v>
      </c>
      <c r="Q2476">
        <v>5.4307585452401802E-2</v>
      </c>
      <c r="R2476">
        <v>0.98344104544519595</v>
      </c>
      <c r="S2476" t="s">
        <v>8787</v>
      </c>
      <c r="T2476" t="s">
        <v>12620</v>
      </c>
      <c r="U2476" t="s">
        <v>12620</v>
      </c>
      <c r="V2476" t="s">
        <v>12620</v>
      </c>
      <c r="W2476" t="s">
        <v>15054</v>
      </c>
      <c r="X2476">
        <v>4</v>
      </c>
      <c r="Y2476" t="s">
        <v>21236</v>
      </c>
      <c r="Z2476" t="s">
        <v>27423</v>
      </c>
      <c r="AA2476">
        <v>0.50275097952521708</v>
      </c>
      <c r="AB2476" t="str">
        <f>HYPERLINK("Melting_Curves/meltCurve_P56962_STX17.pdf", "Melting_Curves/meltCurve_P56962_STX17.pdf")</f>
        <v>Melting_Curves/meltCurve_P56962_STX17.pdf</v>
      </c>
    </row>
    <row r="2477" spans="1:28" x14ac:dyDescent="0.25">
      <c r="A2477" t="s">
        <v>2481</v>
      </c>
      <c r="B2477">
        <v>0.99987803227770999</v>
      </c>
      <c r="C2477">
        <v>0.77944625005203705</v>
      </c>
      <c r="D2477">
        <v>0.75431869016759001</v>
      </c>
      <c r="E2477">
        <v>0.54332341537090401</v>
      </c>
      <c r="F2477">
        <v>0.18947563728914399</v>
      </c>
      <c r="G2477">
        <v>0.103327432362499</v>
      </c>
      <c r="H2477">
        <v>0</v>
      </c>
      <c r="I2477">
        <v>2.8008350339480001E-2</v>
      </c>
      <c r="J2477">
        <v>3.9598103231144002E-2</v>
      </c>
      <c r="K2477">
        <v>0</v>
      </c>
      <c r="L2477">
        <v>735.00754834144595</v>
      </c>
      <c r="M2477">
        <v>14.9243026384557</v>
      </c>
      <c r="N2477">
        <v>49.249037513787599</v>
      </c>
      <c r="O2477">
        <v>48.390186412450298</v>
      </c>
      <c r="P2477">
        <v>-7.7111917912418004E-2</v>
      </c>
      <c r="Q2477">
        <v>0</v>
      </c>
      <c r="R2477">
        <v>0.97460010356469695</v>
      </c>
      <c r="S2477" t="s">
        <v>8788</v>
      </c>
      <c r="T2477" t="s">
        <v>12620</v>
      </c>
      <c r="U2477" t="s">
        <v>12620</v>
      </c>
      <c r="V2477" t="s">
        <v>12620</v>
      </c>
      <c r="W2477" t="s">
        <v>15055</v>
      </c>
      <c r="X2477">
        <v>2</v>
      </c>
      <c r="Y2477" t="s">
        <v>21237</v>
      </c>
      <c r="Z2477" t="s">
        <v>27424</v>
      </c>
      <c r="AA2477">
        <v>0.33298930717924119</v>
      </c>
      <c r="AB2477" t="str">
        <f>HYPERLINK("Melting_Curves/meltCurve_P57060_RWDD2B.pdf", "Melting_Curves/meltCurve_P57060_RWDD2B.pdf")</f>
        <v>Melting_Curves/meltCurve_P57060_RWDD2B.pdf</v>
      </c>
    </row>
    <row r="2478" spans="1:28" x14ac:dyDescent="0.25">
      <c r="A2478" t="s">
        <v>2482</v>
      </c>
      <c r="B2478">
        <v>0.99987803227770999</v>
      </c>
      <c r="C2478">
        <v>0.48009614465304201</v>
      </c>
      <c r="D2478">
        <v>0.94015892858788896</v>
      </c>
      <c r="E2478">
        <v>0.23038901366572001</v>
      </c>
      <c r="F2478">
        <v>0.117804523300184</v>
      </c>
      <c r="G2478">
        <v>7.5638436726890204E-2</v>
      </c>
      <c r="H2478">
        <v>4.9823248404003602E-2</v>
      </c>
      <c r="I2478">
        <v>3.8786345233474503E-2</v>
      </c>
      <c r="J2478">
        <v>3.4387026983217002E-2</v>
      </c>
      <c r="K2478">
        <v>2.3372990095683902E-2</v>
      </c>
      <c r="L2478">
        <v>668.31027825336105</v>
      </c>
      <c r="M2478">
        <v>14.078076133068199</v>
      </c>
      <c r="N2478">
        <v>47.471707105650601</v>
      </c>
      <c r="O2478">
        <v>46.544646808839502</v>
      </c>
      <c r="P2478">
        <v>-7.5625782227743493E-2</v>
      </c>
      <c r="Q2478">
        <v>0</v>
      </c>
      <c r="R2478">
        <v>0.81332858358826698</v>
      </c>
      <c r="S2478" t="s">
        <v>8789</v>
      </c>
      <c r="T2478" t="s">
        <v>12620</v>
      </c>
      <c r="U2478" t="s">
        <v>12620</v>
      </c>
      <c r="V2478" t="s">
        <v>12620</v>
      </c>
      <c r="W2478" t="s">
        <v>15056</v>
      </c>
      <c r="X2478">
        <v>7</v>
      </c>
      <c r="Y2478" t="s">
        <v>21238</v>
      </c>
      <c r="Z2478" t="s">
        <v>27425</v>
      </c>
      <c r="AA2478">
        <v>0.27905846739813439</v>
      </c>
      <c r="AB2478" t="str">
        <f>HYPERLINK("Melting_Curves/meltCurve_P57076_C21orf59.pdf", "Melting_Curves/meltCurve_P57076_C21orf59.pdf")</f>
        <v>Melting_Curves/meltCurve_P57076_C21orf59.pdf</v>
      </c>
    </row>
    <row r="2479" spans="1:28" x14ac:dyDescent="0.25">
      <c r="A2479" t="s">
        <v>2483</v>
      </c>
      <c r="B2479">
        <v>0.99987803227770999</v>
      </c>
      <c r="C2479">
        <v>1.2647306568387799</v>
      </c>
      <c r="D2479">
        <v>1.0657054458823201</v>
      </c>
      <c r="E2479">
        <v>1.21427426504977</v>
      </c>
      <c r="F2479">
        <v>0.86944084429249002</v>
      </c>
      <c r="G2479">
        <v>0.18149581541614099</v>
      </c>
      <c r="H2479">
        <v>0.100400343152046</v>
      </c>
      <c r="I2479">
        <v>7.6383275719082294E-2</v>
      </c>
      <c r="J2479">
        <v>6.0045867234912398E-2</v>
      </c>
      <c r="K2479">
        <v>4.5806319393520797E-2</v>
      </c>
      <c r="L2479">
        <v>3043.8980047867399</v>
      </c>
      <c r="M2479">
        <v>55.4714419496365</v>
      </c>
      <c r="N2479">
        <v>55.024844061359097</v>
      </c>
      <c r="O2479">
        <v>54.802055037322702</v>
      </c>
      <c r="P2479">
        <v>-0.23512361809788901</v>
      </c>
      <c r="Q2479">
        <v>7.0855009972164595E-2</v>
      </c>
      <c r="R2479">
        <v>0.95170716517301102</v>
      </c>
      <c r="S2479" t="s">
        <v>8790</v>
      </c>
      <c r="T2479" t="s">
        <v>12620</v>
      </c>
      <c r="U2479" t="s">
        <v>12620</v>
      </c>
      <c r="V2479" t="s">
        <v>12620</v>
      </c>
      <c r="W2479" t="s">
        <v>15057</v>
      </c>
      <c r="X2479">
        <v>13</v>
      </c>
      <c r="Y2479" t="s">
        <v>21239</v>
      </c>
      <c r="Z2479" t="s">
        <v>27426</v>
      </c>
      <c r="AA2479">
        <v>0.53332665097722964</v>
      </c>
      <c r="AB2479" t="str">
        <f>HYPERLINK("Melting_Curves/meltCurve_P57081_WDR4.pdf", "Melting_Curves/meltCurve_P57081_WDR4.pdf")</f>
        <v>Melting_Curves/meltCurve_P57081_WDR4.pdf</v>
      </c>
    </row>
    <row r="2480" spans="1:28" x14ac:dyDescent="0.25">
      <c r="A2480" t="s">
        <v>2484</v>
      </c>
      <c r="B2480">
        <v>0.99987803227770999</v>
      </c>
      <c r="C2480">
        <v>1.1093617418178801</v>
      </c>
      <c r="D2480">
        <v>0.975949856134953</v>
      </c>
      <c r="E2480">
        <v>0.92801269599034997</v>
      </c>
      <c r="F2480">
        <v>0.77507955172074094</v>
      </c>
      <c r="G2480">
        <v>0.65223297349486598</v>
      </c>
      <c r="H2480">
        <v>0.59308740541035398</v>
      </c>
      <c r="I2480">
        <v>0.54734567018553004</v>
      </c>
      <c r="J2480">
        <v>0.48092045116336701</v>
      </c>
      <c r="K2480">
        <v>0.30324173994852099</v>
      </c>
      <c r="L2480">
        <v>555.40341723181302</v>
      </c>
      <c r="M2480">
        <v>9.1742256729030807</v>
      </c>
      <c r="N2480">
        <v>63.863874530504802</v>
      </c>
      <c r="O2480">
        <v>57.871346408581303</v>
      </c>
      <c r="P2480">
        <v>-3.2129530552101999E-2</v>
      </c>
      <c r="Q2480">
        <v>0.189850173650772</v>
      </c>
      <c r="R2480">
        <v>0.94567916754714898</v>
      </c>
      <c r="S2480" t="s">
        <v>8791</v>
      </c>
      <c r="T2480" t="s">
        <v>12620</v>
      </c>
      <c r="U2480" t="s">
        <v>12620</v>
      </c>
      <c r="V2480" t="s">
        <v>12620</v>
      </c>
      <c r="W2480" t="s">
        <v>15058</v>
      </c>
      <c r="X2480">
        <v>2</v>
      </c>
      <c r="Y2480" t="s">
        <v>21240</v>
      </c>
      <c r="Z2480" t="s">
        <v>27427</v>
      </c>
      <c r="AA2480">
        <v>0.73428426927423274</v>
      </c>
      <c r="AB2480" t="str">
        <f>HYPERLINK("Melting_Curves/meltCurve_P57105_SYNJ2BP.pdf", "Melting_Curves/meltCurve_P57105_SYNJ2BP.pdf")</f>
        <v>Melting_Curves/meltCurve_P57105_SYNJ2BP.pdf</v>
      </c>
    </row>
    <row r="2481" spans="1:28" x14ac:dyDescent="0.25">
      <c r="A2481" t="s">
        <v>2485</v>
      </c>
      <c r="B2481">
        <v>0.99987803227770999</v>
      </c>
      <c r="C2481">
        <v>0.96387826233927199</v>
      </c>
      <c r="D2481">
        <v>0.70408045301585098</v>
      </c>
      <c r="E2481">
        <v>0.29222496107495699</v>
      </c>
      <c r="F2481">
        <v>0.19291014496918801</v>
      </c>
      <c r="G2481">
        <v>0.108551393087867</v>
      </c>
      <c r="H2481">
        <v>7.9261531660216294E-2</v>
      </c>
      <c r="I2481">
        <v>7.2144925796614801E-2</v>
      </c>
      <c r="J2481">
        <v>6.8442775698336206E-2</v>
      </c>
      <c r="K2481">
        <v>5.0817783745596097E-2</v>
      </c>
      <c r="L2481">
        <v>1086.7139299666901</v>
      </c>
      <c r="M2481">
        <v>22.809333093868201</v>
      </c>
      <c r="N2481">
        <v>47.976025276476499</v>
      </c>
      <c r="O2481">
        <v>47.281699765665103</v>
      </c>
      <c r="P2481">
        <v>-0.111784739331796</v>
      </c>
      <c r="Q2481">
        <v>7.3138734055860993E-2</v>
      </c>
      <c r="R2481">
        <v>0.99724118108704596</v>
      </c>
      <c r="S2481" t="s">
        <v>8792</v>
      </c>
      <c r="T2481" t="s">
        <v>12620</v>
      </c>
      <c r="U2481" t="s">
        <v>12620</v>
      </c>
      <c r="V2481" t="s">
        <v>12620</v>
      </c>
      <c r="W2481" t="s">
        <v>15059</v>
      </c>
      <c r="X2481">
        <v>14</v>
      </c>
      <c r="Y2481" t="s">
        <v>21241</v>
      </c>
      <c r="Z2481" t="s">
        <v>27428</v>
      </c>
      <c r="AA2481">
        <v>0.31928469584398522</v>
      </c>
      <c r="AB2481" t="str">
        <f>HYPERLINK("Melting_Curves/meltCurve_P57737_3_CORO7.pdf", "Melting_Curves/meltCurve_P57737_3_CORO7.pdf")</f>
        <v>Melting_Curves/meltCurve_P57737_3_CORO7.pdf</v>
      </c>
    </row>
    <row r="2482" spans="1:28" x14ac:dyDescent="0.25">
      <c r="A2482" t="s">
        <v>2486</v>
      </c>
      <c r="B2482">
        <v>0.99987803227770999</v>
      </c>
      <c r="C2482">
        <v>0.96638632482585496</v>
      </c>
      <c r="D2482">
        <v>0.85003550275022699</v>
      </c>
      <c r="E2482">
        <v>0.59016407644667901</v>
      </c>
      <c r="F2482">
        <v>0.46011364794828302</v>
      </c>
      <c r="G2482">
        <v>0.32323423658842398</v>
      </c>
      <c r="H2482">
        <v>0.30270457814491403</v>
      </c>
      <c r="I2482">
        <v>0.297440372058076</v>
      </c>
      <c r="J2482">
        <v>0.265698509915964</v>
      </c>
      <c r="K2482">
        <v>0.22924125105468199</v>
      </c>
      <c r="L2482">
        <v>848.64520305155702</v>
      </c>
      <c r="M2482">
        <v>17.092200844728399</v>
      </c>
      <c r="N2482">
        <v>51.848560528664002</v>
      </c>
      <c r="O2482">
        <v>48.986318970289098</v>
      </c>
      <c r="P2482">
        <v>-6.4754314545865096E-2</v>
      </c>
      <c r="Q2482">
        <v>0.25770036067166002</v>
      </c>
      <c r="R2482">
        <v>0.99661588063041995</v>
      </c>
      <c r="S2482" t="s">
        <v>8793</v>
      </c>
      <c r="T2482" t="s">
        <v>12620</v>
      </c>
      <c r="U2482" t="s">
        <v>12620</v>
      </c>
      <c r="V2482" t="s">
        <v>12620</v>
      </c>
      <c r="W2482" t="s">
        <v>15060</v>
      </c>
      <c r="X2482">
        <v>15</v>
      </c>
      <c r="Y2482" t="s">
        <v>21242</v>
      </c>
      <c r="Z2482" t="s">
        <v>27429</v>
      </c>
      <c r="AA2482">
        <v>0.51054544073516839</v>
      </c>
      <c r="AB2482" t="str">
        <f>HYPERLINK("Melting_Curves/meltCurve_P57740_NUP107.pdf", "Melting_Curves/meltCurve_P57740_NUP107.pdf")</f>
        <v>Melting_Curves/meltCurve_P57740_NUP107.pdf</v>
      </c>
    </row>
    <row r="2483" spans="1:28" x14ac:dyDescent="0.25">
      <c r="A2483" t="s">
        <v>2487</v>
      </c>
      <c r="B2483">
        <v>0.99987803227770999</v>
      </c>
      <c r="C2483">
        <v>0.96601853387799796</v>
      </c>
      <c r="D2483">
        <v>0.94969589754256301</v>
      </c>
      <c r="E2483">
        <v>0.69826050831511299</v>
      </c>
      <c r="F2483">
        <v>0.40360998465346498</v>
      </c>
      <c r="G2483">
        <v>0.28944054229340299</v>
      </c>
      <c r="H2483">
        <v>0.26071198237538401</v>
      </c>
      <c r="I2483">
        <v>0.26125235890017801</v>
      </c>
      <c r="J2483">
        <v>0.140812279244203</v>
      </c>
      <c r="K2483">
        <v>7.39235193379391E-2</v>
      </c>
      <c r="L2483">
        <v>997.01751369734802</v>
      </c>
      <c r="M2483">
        <v>19.448911998889301</v>
      </c>
      <c r="N2483">
        <v>52.343512429207898</v>
      </c>
      <c r="O2483">
        <v>50.730674772470003</v>
      </c>
      <c r="P2483">
        <v>-8.0005345163074601E-2</v>
      </c>
      <c r="Q2483">
        <v>0.16528437471200799</v>
      </c>
      <c r="R2483">
        <v>0.97936442046235295</v>
      </c>
      <c r="S2483" t="s">
        <v>8794</v>
      </c>
      <c r="T2483" t="s">
        <v>12620</v>
      </c>
      <c r="U2483" t="s">
        <v>12620</v>
      </c>
      <c r="V2483" t="s">
        <v>12620</v>
      </c>
      <c r="W2483" t="s">
        <v>15061</v>
      </c>
      <c r="X2483">
        <v>5</v>
      </c>
      <c r="Y2483" t="s">
        <v>21243</v>
      </c>
      <c r="Z2483" t="s">
        <v>27430</v>
      </c>
      <c r="AA2483">
        <v>0.49086686524280798</v>
      </c>
      <c r="AB2483" t="str">
        <f>HYPERLINK("Melting_Curves/meltCurve_P57764_GSDMD.pdf", "Melting_Curves/meltCurve_P57764_GSDMD.pdf")</f>
        <v>Melting_Curves/meltCurve_P57764_GSDMD.pdf</v>
      </c>
    </row>
    <row r="2484" spans="1:28" x14ac:dyDescent="0.25">
      <c r="A2484" t="s">
        <v>2488</v>
      </c>
      <c r="B2484">
        <v>0.99987803227770999</v>
      </c>
      <c r="C2484">
        <v>0.95398706624929197</v>
      </c>
      <c r="D2484">
        <v>0.99540407793679697</v>
      </c>
      <c r="E2484">
        <v>0.97047878535860899</v>
      </c>
      <c r="F2484">
        <v>0.92794768855082299</v>
      </c>
      <c r="G2484">
        <v>0.68175322053754195</v>
      </c>
      <c r="H2484">
        <v>0.47362284783879999</v>
      </c>
      <c r="I2484">
        <v>0.378943490485597</v>
      </c>
      <c r="J2484">
        <v>0.33147054805895299</v>
      </c>
      <c r="K2484">
        <v>0.21860142694623499</v>
      </c>
      <c r="L2484">
        <v>1027.0865983485701</v>
      </c>
      <c r="M2484">
        <v>17.495011847746198</v>
      </c>
      <c r="N2484">
        <v>60.630590333458002</v>
      </c>
      <c r="O2484">
        <v>57.956471838920997</v>
      </c>
      <c r="P2484">
        <v>-5.9399095895232401E-2</v>
      </c>
      <c r="Q2484">
        <v>0.21294777450862401</v>
      </c>
      <c r="R2484">
        <v>0.992211007330005</v>
      </c>
      <c r="S2484" t="s">
        <v>8795</v>
      </c>
      <c r="T2484" t="s">
        <v>12620</v>
      </c>
      <c r="U2484" t="s">
        <v>12620</v>
      </c>
      <c r="V2484" t="s">
        <v>12620</v>
      </c>
      <c r="W2484" t="s">
        <v>15062</v>
      </c>
      <c r="X2484">
        <v>1</v>
      </c>
      <c r="Y2484" t="s">
        <v>21244</v>
      </c>
      <c r="Z2484" t="s">
        <v>27431</v>
      </c>
      <c r="AA2484">
        <v>0.71261968558197564</v>
      </c>
      <c r="AB2484" t="str">
        <f>HYPERLINK("Melting_Curves/meltCurve_P57768_SNX16.pdf", "Melting_Curves/meltCurve_P57768_SNX16.pdf")</f>
        <v>Melting_Curves/meltCurve_P57768_SNX16.pdf</v>
      </c>
    </row>
    <row r="2485" spans="1:28" x14ac:dyDescent="0.25">
      <c r="A2485" t="s">
        <v>2489</v>
      </c>
      <c r="B2485">
        <v>0.99987803227770999</v>
      </c>
      <c r="C2485">
        <v>0.83346480985274596</v>
      </c>
      <c r="D2485">
        <v>0.64487590147985596</v>
      </c>
      <c r="E2485">
        <v>0.33332381083933899</v>
      </c>
      <c r="F2485">
        <v>0.21556203482487099</v>
      </c>
      <c r="G2485">
        <v>0.13150433542835299</v>
      </c>
      <c r="H2485">
        <v>8.9574426080412106E-2</v>
      </c>
      <c r="I2485">
        <v>8.0714716208965198E-2</v>
      </c>
      <c r="J2485">
        <v>7.1051825113889494E-2</v>
      </c>
      <c r="K2485">
        <v>5.5387791586392197E-2</v>
      </c>
      <c r="L2485">
        <v>768.86949767139799</v>
      </c>
      <c r="M2485">
        <v>16.237265425377601</v>
      </c>
      <c r="N2485">
        <v>47.7591501472495</v>
      </c>
      <c r="O2485">
        <v>46.6513706240465</v>
      </c>
      <c r="P2485">
        <v>-8.1397681502929406E-2</v>
      </c>
      <c r="Q2485">
        <v>6.4612380830576202E-2</v>
      </c>
      <c r="R2485">
        <v>0.99735478888927198</v>
      </c>
      <c r="S2485" t="s">
        <v>8796</v>
      </c>
      <c r="T2485" t="s">
        <v>12620</v>
      </c>
      <c r="U2485" t="s">
        <v>12620</v>
      </c>
      <c r="V2485" t="s">
        <v>12620</v>
      </c>
      <c r="W2485" t="s">
        <v>15063</v>
      </c>
      <c r="X2485">
        <v>7</v>
      </c>
      <c r="Y2485" t="s">
        <v>21245</v>
      </c>
      <c r="Z2485" t="s">
        <v>27432</v>
      </c>
      <c r="AA2485">
        <v>0.31498358552023442</v>
      </c>
      <c r="AB2485" t="str">
        <f>HYPERLINK("Melting_Curves/meltCurve_P57772_EEFSEC.pdf", "Melting_Curves/meltCurve_P57772_EEFSEC.pdf")</f>
        <v>Melting_Curves/meltCurve_P57772_EEFSEC.pdf</v>
      </c>
    </row>
    <row r="2486" spans="1:28" x14ac:dyDescent="0.25">
      <c r="A2486" t="s">
        <v>2490</v>
      </c>
      <c r="B2486">
        <v>0.99987803227770999</v>
      </c>
      <c r="C2486">
        <v>0.69681596709500304</v>
      </c>
      <c r="D2486">
        <v>0.96378947665736103</v>
      </c>
      <c r="E2486">
        <v>0.76715627207195702</v>
      </c>
      <c r="F2486">
        <v>1.0205130124517801</v>
      </c>
      <c r="G2486">
        <v>0.71997440083363196</v>
      </c>
      <c r="H2486">
        <v>0.55241075577392096</v>
      </c>
      <c r="I2486">
        <v>0.47047363941377102</v>
      </c>
      <c r="J2486">
        <v>0.488682229354792</v>
      </c>
      <c r="K2486">
        <v>0.41632886353072401</v>
      </c>
      <c r="L2486">
        <v>377.63009365269198</v>
      </c>
      <c r="M2486">
        <v>5.76352620142581</v>
      </c>
      <c r="N2486">
        <v>65.520669195914493</v>
      </c>
      <c r="O2486">
        <v>58.920354975366699</v>
      </c>
      <c r="P2486">
        <v>-2.45460929320204E-2</v>
      </c>
      <c r="Q2486">
        <v>0</v>
      </c>
      <c r="R2486">
        <v>0.71052580392835996</v>
      </c>
      <c r="S2486" t="s">
        <v>8797</v>
      </c>
      <c r="T2486" t="s">
        <v>12620</v>
      </c>
      <c r="U2486" t="s">
        <v>12620</v>
      </c>
      <c r="V2486" t="s">
        <v>12620</v>
      </c>
      <c r="W2486" t="s">
        <v>15064</v>
      </c>
      <c r="X2486">
        <v>8</v>
      </c>
      <c r="Y2486" t="s">
        <v>21246</v>
      </c>
      <c r="Z2486" t="s">
        <v>27433</v>
      </c>
      <c r="AA2486">
        <v>0.72979724252652889</v>
      </c>
      <c r="AB2486" t="str">
        <f>HYPERLINK("Melting_Curves/meltCurve_P58546_MTPN.pdf", "Melting_Curves/meltCurve_P58546_MTPN.pdf")</f>
        <v>Melting_Curves/meltCurve_P58546_MTPN.pdf</v>
      </c>
    </row>
    <row r="2487" spans="1:28" x14ac:dyDescent="0.25">
      <c r="A2487" t="s">
        <v>2491</v>
      </c>
      <c r="B2487">
        <v>0.99987803227770999</v>
      </c>
      <c r="C2487">
        <v>1.18401240871626</v>
      </c>
      <c r="D2487">
        <v>0.96669974863741803</v>
      </c>
      <c r="E2487">
        <v>1.23452485729868</v>
      </c>
      <c r="F2487">
        <v>0.43631819518290799</v>
      </c>
      <c r="G2487">
        <v>0.39533164934447901</v>
      </c>
      <c r="H2487">
        <v>0.26153971910127599</v>
      </c>
      <c r="I2487">
        <v>0.26352955290753299</v>
      </c>
      <c r="J2487">
        <v>0.19880677806469799</v>
      </c>
      <c r="K2487">
        <v>0.14500599536855199</v>
      </c>
      <c r="L2487">
        <v>13190.512887057601</v>
      </c>
      <c r="M2487">
        <v>250</v>
      </c>
      <c r="N2487">
        <v>52.911172648930702</v>
      </c>
      <c r="O2487">
        <v>52.758675118311103</v>
      </c>
      <c r="P2487">
        <v>-0.885112044183749</v>
      </c>
      <c r="Q2487">
        <v>0.252842580235903</v>
      </c>
      <c r="R2487">
        <v>0.92653854288583004</v>
      </c>
      <c r="S2487" t="s">
        <v>8798</v>
      </c>
      <c r="T2487" t="s">
        <v>12620</v>
      </c>
      <c r="U2487" t="s">
        <v>12620</v>
      </c>
      <c r="V2487" t="s">
        <v>12620</v>
      </c>
      <c r="W2487" t="s">
        <v>15065</v>
      </c>
      <c r="X2487">
        <v>4</v>
      </c>
      <c r="Y2487" t="s">
        <v>21247</v>
      </c>
      <c r="Z2487" t="s">
        <v>27434</v>
      </c>
      <c r="AA2487">
        <v>0.57075381464625219</v>
      </c>
      <c r="AB2487" t="str">
        <f>HYPERLINK("Melting_Curves/meltCurve_P59780_AP3S2.pdf", "Melting_Curves/meltCurve_P59780_AP3S2.pdf")</f>
        <v>Melting_Curves/meltCurve_P59780_AP3S2.pdf</v>
      </c>
    </row>
    <row r="2488" spans="1:28" x14ac:dyDescent="0.25">
      <c r="A2488" t="s">
        <v>2492</v>
      </c>
      <c r="B2488">
        <v>0.99987803227770999</v>
      </c>
      <c r="C2488">
        <v>1.2866464477095501</v>
      </c>
      <c r="D2488">
        <v>0.96479589055685</v>
      </c>
      <c r="E2488">
        <v>1.4441066328074701</v>
      </c>
      <c r="F2488">
        <v>0.88253507348265403</v>
      </c>
      <c r="G2488">
        <v>0.74888925151005303</v>
      </c>
      <c r="H2488">
        <v>0.47012636582390199</v>
      </c>
      <c r="I2488">
        <v>0.13836051121683299</v>
      </c>
      <c r="J2488">
        <v>5.0864594227176499E-2</v>
      </c>
      <c r="K2488">
        <v>3.4729031475018997E-2</v>
      </c>
      <c r="L2488">
        <v>1512.87118111525</v>
      </c>
      <c r="M2488">
        <v>25.1682988304945</v>
      </c>
      <c r="N2488">
        <v>60.110180403064497</v>
      </c>
      <c r="O2488">
        <v>59.734557932775701</v>
      </c>
      <c r="P2488">
        <v>-0.105335291858667</v>
      </c>
      <c r="Q2488">
        <v>0</v>
      </c>
      <c r="R2488">
        <v>0.87043967928231902</v>
      </c>
      <c r="S2488" t="s">
        <v>8799</v>
      </c>
      <c r="T2488" t="s">
        <v>12620</v>
      </c>
      <c r="U2488" t="s">
        <v>12620</v>
      </c>
      <c r="V2488" t="s">
        <v>12620</v>
      </c>
      <c r="W2488" t="s">
        <v>15066</v>
      </c>
      <c r="X2488">
        <v>13</v>
      </c>
      <c r="Y2488" t="s">
        <v>21248</v>
      </c>
      <c r="Z2488" t="s">
        <v>27435</v>
      </c>
      <c r="AA2488">
        <v>0.67761303704670439</v>
      </c>
      <c r="AB2488" t="str">
        <f>HYPERLINK("Melting_Curves/meltCurve_P59998_ARPC4.pdf", "Melting_Curves/meltCurve_P59998_ARPC4.pdf")</f>
        <v>Melting_Curves/meltCurve_P59998_ARPC4.pdf</v>
      </c>
    </row>
    <row r="2489" spans="1:28" x14ac:dyDescent="0.25">
      <c r="A2489" t="s">
        <v>2493</v>
      </c>
      <c r="B2489">
        <v>0.99987803227770999</v>
      </c>
      <c r="C2489">
        <v>1.0324885095644301</v>
      </c>
      <c r="D2489">
        <v>0.83927771841711296</v>
      </c>
      <c r="E2489">
        <v>1.0365063091090001</v>
      </c>
      <c r="F2489">
        <v>0.93246822733340995</v>
      </c>
      <c r="G2489">
        <v>0.97342846915624504</v>
      </c>
      <c r="H2489">
        <v>0.66283027768477498</v>
      </c>
      <c r="I2489">
        <v>0.32280442347000199</v>
      </c>
      <c r="J2489">
        <v>0.15698378401288701</v>
      </c>
      <c r="K2489">
        <v>0.111661041874644</v>
      </c>
      <c r="L2489">
        <v>2152.3363395913202</v>
      </c>
      <c r="M2489">
        <v>34.743291041987199</v>
      </c>
      <c r="N2489">
        <v>62.3326633856691</v>
      </c>
      <c r="O2489">
        <v>61.7455406506906</v>
      </c>
      <c r="P2489">
        <v>-0.127152127743931</v>
      </c>
      <c r="Q2489">
        <v>9.6107730160593194E-2</v>
      </c>
      <c r="R2489">
        <v>0.97373265870112002</v>
      </c>
      <c r="S2489" t="s">
        <v>8800</v>
      </c>
      <c r="T2489" t="s">
        <v>12620</v>
      </c>
      <c r="U2489" t="s">
        <v>12620</v>
      </c>
      <c r="V2489" t="s">
        <v>12620</v>
      </c>
      <c r="W2489" t="s">
        <v>15067</v>
      </c>
      <c r="X2489">
        <v>24</v>
      </c>
      <c r="Y2489" t="s">
        <v>21249</v>
      </c>
      <c r="Z2489" t="s">
        <v>27436</v>
      </c>
      <c r="AA2489">
        <v>0.76125204631301102</v>
      </c>
      <c r="AB2489" t="str">
        <f>HYPERLINK("Melting_Curves/meltCurve_P60174_1_TPI1.pdf", "Melting_Curves/meltCurve_P60174_1_TPI1.pdf")</f>
        <v>Melting_Curves/meltCurve_P60174_1_TPI1.pdf</v>
      </c>
    </row>
    <row r="2490" spans="1:28" x14ac:dyDescent="0.25">
      <c r="A2490" t="s">
        <v>2494</v>
      </c>
      <c r="B2490">
        <v>0.99987803227770999</v>
      </c>
      <c r="C2490">
        <v>0.79465661903337403</v>
      </c>
      <c r="D2490">
        <v>0.51354246389441005</v>
      </c>
      <c r="E2490">
        <v>0.458129024125151</v>
      </c>
      <c r="F2490">
        <v>0.258288058455661</v>
      </c>
      <c r="G2490">
        <v>0.153267320291575</v>
      </c>
      <c r="H2490">
        <v>0.105095445939999</v>
      </c>
      <c r="I2490">
        <v>8.2804175222932194E-2</v>
      </c>
      <c r="J2490">
        <v>6.6899334896783305E-2</v>
      </c>
      <c r="K2490">
        <v>5.0756853288314301E-2</v>
      </c>
      <c r="L2490">
        <v>567.22040916625895</v>
      </c>
      <c r="M2490">
        <v>11.928569135081499</v>
      </c>
      <c r="N2490">
        <v>47.889552093930199</v>
      </c>
      <c r="O2490">
        <v>46.274103569422401</v>
      </c>
      <c r="P2490">
        <v>-6.1857744512695198E-2</v>
      </c>
      <c r="Q2490">
        <v>4.0385715217450102E-2</v>
      </c>
      <c r="R2490">
        <v>0.97582501609982097</v>
      </c>
      <c r="S2490" t="s">
        <v>8801</v>
      </c>
      <c r="T2490" t="s">
        <v>12620</v>
      </c>
      <c r="U2490" t="s">
        <v>12620</v>
      </c>
      <c r="V2490" t="s">
        <v>12620</v>
      </c>
      <c r="W2490" t="s">
        <v>15068</v>
      </c>
      <c r="X2490">
        <v>13</v>
      </c>
      <c r="Y2490" t="s">
        <v>21250</v>
      </c>
      <c r="Z2490" t="s">
        <v>27437</v>
      </c>
      <c r="AA2490">
        <v>0.32106425217228762</v>
      </c>
      <c r="AB2490" t="str">
        <f>HYPERLINK("Melting_Curves/meltCurve_P60228_EIF3E.pdf", "Melting_Curves/meltCurve_P60228_EIF3E.pdf")</f>
        <v>Melting_Curves/meltCurve_P60228_EIF3E.pdf</v>
      </c>
    </row>
    <row r="2491" spans="1:28" x14ac:dyDescent="0.25">
      <c r="A2491" t="s">
        <v>2495</v>
      </c>
      <c r="B2491">
        <v>0.99987803227770999</v>
      </c>
      <c r="C2491">
        <v>0.75377150305329998</v>
      </c>
      <c r="D2491">
        <v>0.807892833852355</v>
      </c>
      <c r="E2491">
        <v>0.63966622895076697</v>
      </c>
      <c r="F2491">
        <v>1.01356655449681</v>
      </c>
      <c r="G2491">
        <v>0.85804279814131801</v>
      </c>
      <c r="H2491">
        <v>1.0119517259712301</v>
      </c>
      <c r="I2491">
        <v>0.91341478448285396</v>
      </c>
      <c r="J2491">
        <v>1.28181212965864</v>
      </c>
      <c r="K2491">
        <v>1.1130016869079999</v>
      </c>
      <c r="L2491">
        <v>10211.7520028901</v>
      </c>
      <c r="M2491">
        <v>250</v>
      </c>
      <c r="O2491">
        <v>40.844394083941303</v>
      </c>
      <c r="P2491">
        <v>-0.103182589699824</v>
      </c>
      <c r="Q2491">
        <v>0.93256911439466394</v>
      </c>
      <c r="R2491">
        <v>1.3123168123415E-2</v>
      </c>
      <c r="S2491" t="s">
        <v>8802</v>
      </c>
      <c r="T2491" t="s">
        <v>12620</v>
      </c>
      <c r="U2491" t="s">
        <v>12620</v>
      </c>
      <c r="V2491" t="s">
        <v>12620</v>
      </c>
      <c r="W2491" t="s">
        <v>15069</v>
      </c>
      <c r="X2491">
        <v>1</v>
      </c>
      <c r="Y2491" t="s">
        <v>21251</v>
      </c>
      <c r="Z2491" t="s">
        <v>27438</v>
      </c>
      <c r="AA2491">
        <v>0.93447951564923704</v>
      </c>
      <c r="AB2491" t="str">
        <f>HYPERLINK("Melting_Curves/meltCurve_P60468_SEC61B.pdf", "Melting_Curves/meltCurve_P60468_SEC61B.pdf")</f>
        <v>Melting_Curves/meltCurve_P60468_SEC61B.pdf</v>
      </c>
    </row>
    <row r="2492" spans="1:28" x14ac:dyDescent="0.25">
      <c r="A2492" t="s">
        <v>2496</v>
      </c>
      <c r="B2492">
        <v>0.99987803227770999</v>
      </c>
      <c r="C2492">
        <v>1.0073022434280201</v>
      </c>
      <c r="D2492">
        <v>0.94171006556827297</v>
      </c>
      <c r="E2492">
        <v>0.98363538915537096</v>
      </c>
      <c r="F2492">
        <v>0.96327510969566299</v>
      </c>
      <c r="G2492">
        <v>0.87277426704592898</v>
      </c>
      <c r="H2492">
        <v>0.80776800308142405</v>
      </c>
      <c r="I2492">
        <v>0.60804584435681497</v>
      </c>
      <c r="J2492">
        <v>0.45516273623885001</v>
      </c>
      <c r="K2492">
        <v>0.251940732398371</v>
      </c>
      <c r="L2492">
        <v>1035.9941959079699</v>
      </c>
      <c r="M2492">
        <v>15.7339931909352</v>
      </c>
      <c r="N2492">
        <v>65.844327221249998</v>
      </c>
      <c r="O2492">
        <v>64.808222295903306</v>
      </c>
      <c r="P2492">
        <v>-6.0699521004091497E-2</v>
      </c>
      <c r="Q2492">
        <v>0</v>
      </c>
      <c r="R2492">
        <v>0.98679946965614695</v>
      </c>
      <c r="S2492" t="s">
        <v>8803</v>
      </c>
      <c r="T2492" t="s">
        <v>12620</v>
      </c>
      <c r="U2492" t="s">
        <v>12620</v>
      </c>
      <c r="V2492" t="s">
        <v>12620</v>
      </c>
      <c r="W2492" t="s">
        <v>15070</v>
      </c>
      <c r="X2492">
        <v>15</v>
      </c>
      <c r="Y2492" t="s">
        <v>21252</v>
      </c>
      <c r="Z2492" t="s">
        <v>27439</v>
      </c>
      <c r="AA2492">
        <v>0.83027866997797328</v>
      </c>
      <c r="AB2492" t="str">
        <f>HYPERLINK("Melting_Curves/meltCurve_P60510_PPP4C.pdf", "Melting_Curves/meltCurve_P60510_PPP4C.pdf")</f>
        <v>Melting_Curves/meltCurve_P60510_PPP4C.pdf</v>
      </c>
    </row>
    <row r="2493" spans="1:28" x14ac:dyDescent="0.25">
      <c r="A2493" t="s">
        <v>2497</v>
      </c>
      <c r="B2493">
        <v>0.99987803227770999</v>
      </c>
      <c r="C2493">
        <v>0.92761512065500695</v>
      </c>
      <c r="D2493">
        <v>1.0031575629810701</v>
      </c>
      <c r="E2493">
        <v>0.90274485053513898</v>
      </c>
      <c r="F2493">
        <v>0.99408451101486495</v>
      </c>
      <c r="G2493">
        <v>0.79465598281766803</v>
      </c>
      <c r="H2493">
        <v>0.41548082017564397</v>
      </c>
      <c r="I2493">
        <v>0.22168429961890501</v>
      </c>
      <c r="J2493">
        <v>0.11489572928918999</v>
      </c>
      <c r="K2493">
        <v>7.1071373815379604E-2</v>
      </c>
      <c r="L2493">
        <v>1479.9610365543199</v>
      </c>
      <c r="M2493">
        <v>24.6887110547102</v>
      </c>
      <c r="N2493">
        <v>60.192461297625798</v>
      </c>
      <c r="O2493">
        <v>59.555712895663099</v>
      </c>
      <c r="P2493">
        <v>-9.8634083726192701E-2</v>
      </c>
      <c r="Q2493">
        <v>4.8287238555227999E-2</v>
      </c>
      <c r="R2493">
        <v>0.98956267486495497</v>
      </c>
      <c r="S2493" t="s">
        <v>8804</v>
      </c>
      <c r="T2493" t="s">
        <v>12620</v>
      </c>
      <c r="U2493" t="s">
        <v>12620</v>
      </c>
      <c r="V2493" t="s">
        <v>12620</v>
      </c>
      <c r="W2493" t="s">
        <v>15071</v>
      </c>
      <c r="X2493">
        <v>5</v>
      </c>
      <c r="Y2493" t="s">
        <v>21253</v>
      </c>
      <c r="Z2493" t="s">
        <v>27440</v>
      </c>
      <c r="AA2493">
        <v>0.68820260263616218</v>
      </c>
      <c r="AB2493" t="str">
        <f>HYPERLINK("Melting_Curves/meltCurve_P60520_GABARAPL2.pdf", "Melting_Curves/meltCurve_P60520_GABARAPL2.pdf")</f>
        <v>Melting_Curves/meltCurve_P60520_GABARAPL2.pdf</v>
      </c>
    </row>
    <row r="2494" spans="1:28" x14ac:dyDescent="0.25">
      <c r="A2494" t="s">
        <v>2498</v>
      </c>
      <c r="B2494">
        <v>0.99987803227770999</v>
      </c>
      <c r="C2494">
        <v>1.0204460469689101</v>
      </c>
      <c r="D2494">
        <v>0.99512356278705205</v>
      </c>
      <c r="E2494">
        <v>0.88487290421352205</v>
      </c>
      <c r="F2494">
        <v>0.67300280658793099</v>
      </c>
      <c r="G2494">
        <v>0.60412674360433105</v>
      </c>
      <c r="H2494">
        <v>0.62728480341360804</v>
      </c>
      <c r="I2494">
        <v>0.66658926768258797</v>
      </c>
      <c r="J2494">
        <v>0.4196972890026</v>
      </c>
      <c r="K2494">
        <v>0.27344242578227901</v>
      </c>
      <c r="L2494">
        <v>415.57942615338999</v>
      </c>
      <c r="M2494">
        <v>6.4857157310419797</v>
      </c>
      <c r="N2494">
        <v>64.076108663698903</v>
      </c>
      <c r="O2494">
        <v>58.800980742978403</v>
      </c>
      <c r="P2494">
        <v>-2.7642368083373201E-2</v>
      </c>
      <c r="Q2494">
        <v>0</v>
      </c>
      <c r="R2494">
        <v>0.88188647577353296</v>
      </c>
      <c r="S2494" t="s">
        <v>8805</v>
      </c>
      <c r="T2494" t="s">
        <v>12620</v>
      </c>
      <c r="U2494" t="s">
        <v>12620</v>
      </c>
      <c r="V2494" t="s">
        <v>12620</v>
      </c>
      <c r="W2494" t="s">
        <v>13174</v>
      </c>
      <c r="X2494">
        <v>12</v>
      </c>
      <c r="Y2494" t="s">
        <v>19423</v>
      </c>
      <c r="Z2494" t="s">
        <v>27441</v>
      </c>
      <c r="AA2494">
        <v>0.71841275677984484</v>
      </c>
      <c r="AB2494" t="str">
        <f>HYPERLINK("Melting_Curves/meltCurve_P60660_MYL6.pdf", "Melting_Curves/meltCurve_P60660_MYL6.pdf")</f>
        <v>Melting_Curves/meltCurve_P60660_MYL6.pdf</v>
      </c>
    </row>
    <row r="2495" spans="1:28" x14ac:dyDescent="0.25">
      <c r="A2495" t="s">
        <v>2499</v>
      </c>
      <c r="B2495">
        <v>0.99987803227770999</v>
      </c>
      <c r="C2495">
        <v>0.95920262555392899</v>
      </c>
      <c r="D2495">
        <v>0.94896722771678599</v>
      </c>
      <c r="E2495">
        <v>0.98361681758638098</v>
      </c>
      <c r="F2495">
        <v>0.96341022857185199</v>
      </c>
      <c r="G2495">
        <v>0.81166583804370096</v>
      </c>
      <c r="H2495">
        <v>0.78235227303611399</v>
      </c>
      <c r="I2495">
        <v>0.87231620781791197</v>
      </c>
      <c r="J2495">
        <v>0.531381434271602</v>
      </c>
      <c r="K2495">
        <v>0.43155761678221499</v>
      </c>
      <c r="L2495">
        <v>756.10442291604704</v>
      </c>
      <c r="M2495">
        <v>10.9382693999142</v>
      </c>
      <c r="N2495">
        <v>69.124707794182697</v>
      </c>
      <c r="O2495">
        <v>66.934756685411898</v>
      </c>
      <c r="P2495">
        <v>-4.0868318138002097E-2</v>
      </c>
      <c r="Q2495">
        <v>0</v>
      </c>
      <c r="R2495">
        <v>0.868997387861279</v>
      </c>
      <c r="S2495" t="s">
        <v>8806</v>
      </c>
      <c r="T2495" t="s">
        <v>12620</v>
      </c>
      <c r="U2495" t="s">
        <v>12620</v>
      </c>
      <c r="V2495" t="s">
        <v>12620</v>
      </c>
      <c r="W2495" t="s">
        <v>15072</v>
      </c>
      <c r="X2495">
        <v>12</v>
      </c>
      <c r="Y2495" t="s">
        <v>19423</v>
      </c>
      <c r="Z2495" t="s">
        <v>27442</v>
      </c>
      <c r="AA2495">
        <v>0.86360990928532444</v>
      </c>
      <c r="AB2495" t="str">
        <f>HYPERLINK("Melting_Curves/meltCurve_P60660_2_MYL6.pdf", "Melting_Curves/meltCurve_P60660_2_MYL6.pdf")</f>
        <v>Melting_Curves/meltCurve_P60660_2_MYL6.pdf</v>
      </c>
    </row>
    <row r="2496" spans="1:28" x14ac:dyDescent="0.25">
      <c r="A2496" t="s">
        <v>2500</v>
      </c>
      <c r="B2496">
        <v>0.99987803227770999</v>
      </c>
      <c r="C2496">
        <v>1.0329660962046401</v>
      </c>
      <c r="D2496">
        <v>0.95476849624874804</v>
      </c>
      <c r="E2496">
        <v>1.06583920215343</v>
      </c>
      <c r="F2496">
        <v>0.89944531205745204</v>
      </c>
      <c r="G2496">
        <v>0.29347676284983598</v>
      </c>
      <c r="H2496">
        <v>0.147062959141469</v>
      </c>
      <c r="I2496">
        <v>0.13530175112060899</v>
      </c>
      <c r="J2496">
        <v>7.2578029070798203E-2</v>
      </c>
      <c r="K2496">
        <v>4.7408120176188902E-2</v>
      </c>
      <c r="L2496">
        <v>2534.2879483352899</v>
      </c>
      <c r="M2496">
        <v>45.702621681887699</v>
      </c>
      <c r="N2496">
        <v>55.709904685941503</v>
      </c>
      <c r="O2496">
        <v>55.345844918404403</v>
      </c>
      <c r="P2496">
        <v>-0.18673711766873899</v>
      </c>
      <c r="Q2496">
        <v>9.5447024893837107E-2</v>
      </c>
      <c r="R2496">
        <v>0.99247340967099795</v>
      </c>
      <c r="S2496" t="s">
        <v>8807</v>
      </c>
      <c r="T2496" t="s">
        <v>12620</v>
      </c>
      <c r="U2496" t="s">
        <v>12620</v>
      </c>
      <c r="V2496" t="s">
        <v>12620</v>
      </c>
      <c r="W2496" t="s">
        <v>15073</v>
      </c>
      <c r="X2496">
        <v>41</v>
      </c>
      <c r="Y2496" t="s">
        <v>21254</v>
      </c>
      <c r="Z2496" t="s">
        <v>27443</v>
      </c>
      <c r="AA2496">
        <v>0.56398948455960818</v>
      </c>
      <c r="AB2496" t="str">
        <f>HYPERLINK("Melting_Curves/meltCurve_P60709_ACTB.pdf", "Melting_Curves/meltCurve_P60709_ACTB.pdf")</f>
        <v>Melting_Curves/meltCurve_P60709_ACTB.pdf</v>
      </c>
    </row>
    <row r="2497" spans="1:28" x14ac:dyDescent="0.25">
      <c r="A2497" t="s">
        <v>2501</v>
      </c>
      <c r="B2497">
        <v>0.99987803227770999</v>
      </c>
      <c r="C2497">
        <v>0.88773212668361501</v>
      </c>
      <c r="D2497">
        <v>0.98680919509465104</v>
      </c>
      <c r="E2497">
        <v>0.78287666469223804</v>
      </c>
      <c r="F2497">
        <v>0.48357206983650802</v>
      </c>
      <c r="G2497">
        <v>0.15506597014010101</v>
      </c>
      <c r="H2497">
        <v>6.5739271166304805E-2</v>
      </c>
      <c r="I2497">
        <v>4.6853923799208698E-2</v>
      </c>
      <c r="J2497">
        <v>4.5177850113422603E-2</v>
      </c>
      <c r="K2497">
        <v>2.9138800071797501E-2</v>
      </c>
      <c r="L2497">
        <v>1259.2512124719301</v>
      </c>
      <c r="M2497">
        <v>23.9208729269189</v>
      </c>
      <c r="N2497">
        <v>52.783651294552698</v>
      </c>
      <c r="O2497">
        <v>52.278600078171401</v>
      </c>
      <c r="P2497">
        <v>-0.11084558483253899</v>
      </c>
      <c r="Q2497">
        <v>3.1012154624253201E-2</v>
      </c>
      <c r="R2497">
        <v>0.99252082947815401</v>
      </c>
      <c r="S2497" t="s">
        <v>8808</v>
      </c>
      <c r="T2497" t="s">
        <v>12620</v>
      </c>
      <c r="U2497" t="s">
        <v>12620</v>
      </c>
      <c r="V2497" t="s">
        <v>12620</v>
      </c>
      <c r="W2497" t="s">
        <v>15074</v>
      </c>
      <c r="X2497">
        <v>8</v>
      </c>
      <c r="Y2497" t="s">
        <v>21255</v>
      </c>
      <c r="Z2497" t="s">
        <v>27444</v>
      </c>
      <c r="AA2497">
        <v>0.44902339180150752</v>
      </c>
      <c r="AB2497" t="str">
        <f>HYPERLINK("Melting_Curves/meltCurve_P60763_RAC3.pdf", "Melting_Curves/meltCurve_P60763_RAC3.pdf")</f>
        <v>Melting_Curves/meltCurve_P60763_RAC3.pdf</v>
      </c>
    </row>
    <row r="2498" spans="1:28" x14ac:dyDescent="0.25">
      <c r="A2498" t="s">
        <v>2502</v>
      </c>
      <c r="B2498">
        <v>0.99987803227770999</v>
      </c>
      <c r="C2498">
        <v>0.84812491311348004</v>
      </c>
      <c r="D2498">
        <v>0.93575114721555397</v>
      </c>
      <c r="E2498">
        <v>0.63449178616511304</v>
      </c>
      <c r="F2498">
        <v>0.21351962088302701</v>
      </c>
      <c r="G2498">
        <v>0.11379635091783</v>
      </c>
      <c r="H2498">
        <v>7.4362445167501998E-2</v>
      </c>
      <c r="I2498">
        <v>6.1837186856105099E-2</v>
      </c>
      <c r="J2498">
        <v>4.9119723016523897E-2</v>
      </c>
      <c r="K2498">
        <v>3.4724378137776603E-2</v>
      </c>
      <c r="L2498">
        <v>1514.84731826598</v>
      </c>
      <c r="M2498">
        <v>29.946368086082899</v>
      </c>
      <c r="N2498">
        <v>50.782940920722403</v>
      </c>
      <c r="O2498">
        <v>50.361372669165398</v>
      </c>
      <c r="P2498">
        <v>-0.140483134311819</v>
      </c>
      <c r="Q2498">
        <v>5.4993562649179699E-2</v>
      </c>
      <c r="R2498">
        <v>0.98309231541226405</v>
      </c>
      <c r="S2498" t="s">
        <v>8809</v>
      </c>
      <c r="T2498" t="s">
        <v>12620</v>
      </c>
      <c r="U2498" t="s">
        <v>12620</v>
      </c>
      <c r="V2498" t="s">
        <v>12620</v>
      </c>
      <c r="W2498" t="s">
        <v>15075</v>
      </c>
      <c r="X2498">
        <v>28</v>
      </c>
      <c r="Y2498" t="s">
        <v>21256</v>
      </c>
      <c r="Z2498" t="s">
        <v>27445</v>
      </c>
      <c r="AA2498">
        <v>0.39435670857524752</v>
      </c>
      <c r="AB2498" t="str">
        <f>HYPERLINK("Melting_Curves/meltCurve_P60842_EIF4A1.pdf", "Melting_Curves/meltCurve_P60842_EIF4A1.pdf")</f>
        <v>Melting_Curves/meltCurve_P60842_EIF4A1.pdf</v>
      </c>
    </row>
    <row r="2499" spans="1:28" x14ac:dyDescent="0.25">
      <c r="A2499" t="s">
        <v>2503</v>
      </c>
      <c r="B2499">
        <v>0.99987803227770999</v>
      </c>
      <c r="C2499">
        <v>0.53955721347023899</v>
      </c>
      <c r="D2499">
        <v>0.83532943603269305</v>
      </c>
      <c r="E2499">
        <v>0.42727813867302</v>
      </c>
      <c r="F2499">
        <v>0.23517113833929101</v>
      </c>
      <c r="G2499">
        <v>0.128420301401241</v>
      </c>
      <c r="H2499">
        <v>8.8118046839306102E-2</v>
      </c>
      <c r="I2499">
        <v>6.96530236021764E-2</v>
      </c>
      <c r="J2499">
        <v>5.9551500937204599E-2</v>
      </c>
      <c r="K2499">
        <v>4.5103630123572103E-2</v>
      </c>
      <c r="L2499">
        <v>524.00785022941602</v>
      </c>
      <c r="M2499">
        <v>10.820161216157601</v>
      </c>
      <c r="N2499">
        <v>48.428839581458703</v>
      </c>
      <c r="O2499">
        <v>46.862667904761302</v>
      </c>
      <c r="P2499">
        <v>-5.7743462672651999E-2</v>
      </c>
      <c r="Q2499">
        <v>0</v>
      </c>
      <c r="R2499">
        <v>0.88987722986556705</v>
      </c>
      <c r="S2499" t="s">
        <v>8810</v>
      </c>
      <c r="T2499" t="s">
        <v>12620</v>
      </c>
      <c r="U2499" t="s">
        <v>12620</v>
      </c>
      <c r="V2499" t="s">
        <v>12620</v>
      </c>
      <c r="W2499" t="s">
        <v>15076</v>
      </c>
      <c r="X2499">
        <v>7</v>
      </c>
      <c r="Y2499" t="s">
        <v>21257</v>
      </c>
      <c r="Z2499" t="s">
        <v>27446</v>
      </c>
      <c r="AA2499">
        <v>0.32621199945649298</v>
      </c>
      <c r="AB2499" t="str">
        <f>HYPERLINK("Melting_Curves/meltCurve_P60866_RPS20.pdf", "Melting_Curves/meltCurve_P60866_RPS20.pdf")</f>
        <v>Melting_Curves/meltCurve_P60866_RPS20.pdf</v>
      </c>
    </row>
    <row r="2500" spans="1:28" x14ac:dyDescent="0.25">
      <c r="A2500" t="s">
        <v>2504</v>
      </c>
      <c r="B2500">
        <v>0.99987803227770999</v>
      </c>
      <c r="C2500">
        <v>0.85182597734605303</v>
      </c>
      <c r="D2500">
        <v>0.98651562200364296</v>
      </c>
      <c r="E2500">
        <v>0.79036440433544497</v>
      </c>
      <c r="F2500">
        <v>0.95459629228159804</v>
      </c>
      <c r="G2500">
        <v>0.73179340302199103</v>
      </c>
      <c r="H2500">
        <v>0.85653658709438496</v>
      </c>
      <c r="I2500">
        <v>0.84956221622555705</v>
      </c>
      <c r="J2500">
        <v>0.83289014780466497</v>
      </c>
      <c r="K2500">
        <v>0.72053791015413904</v>
      </c>
      <c r="L2500">
        <v>247.93341188396499</v>
      </c>
      <c r="M2500">
        <v>4.5715300001251302</v>
      </c>
      <c r="O2500">
        <v>46.288553388182102</v>
      </c>
      <c r="P2500">
        <v>-7.3207886974456802E-3</v>
      </c>
      <c r="Q2500">
        <v>0.70593647306553198</v>
      </c>
      <c r="R2500">
        <v>0.39649074930584</v>
      </c>
      <c r="S2500" t="s">
        <v>8811</v>
      </c>
      <c r="T2500" t="s">
        <v>12620</v>
      </c>
      <c r="U2500" t="s">
        <v>12620</v>
      </c>
      <c r="V2500" t="s">
        <v>12620</v>
      </c>
      <c r="W2500" t="s">
        <v>15077</v>
      </c>
      <c r="X2500">
        <v>6</v>
      </c>
      <c r="Y2500" t="s">
        <v>21258</v>
      </c>
      <c r="Z2500" t="s">
        <v>27447</v>
      </c>
      <c r="AA2500">
        <v>0.8556248307704285</v>
      </c>
      <c r="AB2500" t="str">
        <f>HYPERLINK("Melting_Curves/meltCurve_P60880_2_SNAP25.pdf", "Melting_Curves/meltCurve_P60880_2_SNAP25.pdf")</f>
        <v>Melting_Curves/meltCurve_P60880_2_SNAP25.pdf</v>
      </c>
    </row>
    <row r="2501" spans="1:28" x14ac:dyDescent="0.25">
      <c r="A2501" t="s">
        <v>2505</v>
      </c>
      <c r="B2501">
        <v>0.99987803227770999</v>
      </c>
      <c r="C2501">
        <v>1.0188685440588101</v>
      </c>
      <c r="D2501">
        <v>1.1879564793534501</v>
      </c>
      <c r="E2501">
        <v>1.64082787363802</v>
      </c>
      <c r="F2501">
        <v>1.79835201272406</v>
      </c>
      <c r="G2501">
        <v>1.4654753571491701</v>
      </c>
      <c r="H2501">
        <v>0.52644526168737904</v>
      </c>
      <c r="I2501">
        <v>0.16291638414107401</v>
      </c>
      <c r="J2501">
        <v>8.5185630013186894E-2</v>
      </c>
      <c r="K2501">
        <v>5.5547940843302702E-2</v>
      </c>
      <c r="L2501">
        <v>6981.1215871602799</v>
      </c>
      <c r="M2501">
        <v>114.541053315345</v>
      </c>
      <c r="N2501">
        <v>61.067099057988599</v>
      </c>
      <c r="O2501">
        <v>60.930059543709604</v>
      </c>
      <c r="P2501">
        <v>-0.42315254992145801</v>
      </c>
      <c r="Q2501">
        <v>9.9616694734112193E-2</v>
      </c>
      <c r="R2501">
        <v>0.65999089609199102</v>
      </c>
      <c r="S2501" t="s">
        <v>8812</v>
      </c>
      <c r="T2501" t="s">
        <v>12620</v>
      </c>
      <c r="U2501" t="s">
        <v>12620</v>
      </c>
      <c r="V2501" t="s">
        <v>12620</v>
      </c>
      <c r="W2501" t="s">
        <v>15078</v>
      </c>
      <c r="X2501">
        <v>16</v>
      </c>
      <c r="Y2501" t="s">
        <v>21259</v>
      </c>
      <c r="Z2501" t="s">
        <v>27448</v>
      </c>
      <c r="AA2501">
        <v>0.72880276880352113</v>
      </c>
      <c r="AB2501" t="str">
        <f>HYPERLINK("Melting_Curves/meltCurve_P60891_PRPS1.pdf", "Melting_Curves/meltCurve_P60891_PRPS1.pdf")</f>
        <v>Melting_Curves/meltCurve_P60891_PRPS1.pdf</v>
      </c>
    </row>
    <row r="2502" spans="1:28" x14ac:dyDescent="0.25">
      <c r="A2502" t="s">
        <v>2506</v>
      </c>
      <c r="B2502">
        <v>0.99987803227770999</v>
      </c>
      <c r="C2502">
        <v>0.82989215547093298</v>
      </c>
      <c r="D2502">
        <v>0.815196452942478</v>
      </c>
      <c r="E2502">
        <v>1.3965956527334</v>
      </c>
      <c r="F2502">
        <v>1.2653370880766099</v>
      </c>
      <c r="G2502">
        <v>1.3436652755958001</v>
      </c>
      <c r="H2502">
        <v>1.5505231692514001</v>
      </c>
      <c r="I2502">
        <v>1.75237434755029</v>
      </c>
      <c r="J2502">
        <v>2.7011929523774798</v>
      </c>
      <c r="K2502">
        <v>1.60177035545864</v>
      </c>
      <c r="L2502">
        <v>4619.6938896481097</v>
      </c>
      <c r="M2502">
        <v>93.697827574377001</v>
      </c>
      <c r="O2502">
        <v>49.281724491245903</v>
      </c>
      <c r="P2502">
        <v>0.23765866567103899</v>
      </c>
      <c r="Q2502">
        <v>1.5</v>
      </c>
      <c r="R2502">
        <v>0.38954798064157597</v>
      </c>
      <c r="S2502" t="s">
        <v>8813</v>
      </c>
      <c r="T2502" t="s">
        <v>12620</v>
      </c>
      <c r="U2502" t="s">
        <v>12620</v>
      </c>
      <c r="V2502" t="s">
        <v>12620</v>
      </c>
      <c r="W2502" t="s">
        <v>15079</v>
      </c>
      <c r="X2502">
        <v>22</v>
      </c>
      <c r="Y2502" t="s">
        <v>21260</v>
      </c>
      <c r="Z2502" t="s">
        <v>27449</v>
      </c>
      <c r="AA2502">
        <v>1.344622035633934</v>
      </c>
      <c r="AB2502" t="str">
        <f>HYPERLINK("Melting_Curves/meltCurve_P60900_PSMA6.pdf", "Melting_Curves/meltCurve_P60900_PSMA6.pdf")</f>
        <v>Melting_Curves/meltCurve_P60900_PSMA6.pdf</v>
      </c>
    </row>
    <row r="2503" spans="1:28" x14ac:dyDescent="0.25">
      <c r="A2503" t="s">
        <v>2507</v>
      </c>
      <c r="B2503">
        <v>0.99987803227770999</v>
      </c>
      <c r="C2503">
        <v>0.98445889257487795</v>
      </c>
      <c r="D2503">
        <v>0.73717784695724897</v>
      </c>
      <c r="E2503">
        <v>1.06653643824749</v>
      </c>
      <c r="F2503">
        <v>0.65539795904615605</v>
      </c>
      <c r="G2503">
        <v>0.19707934792880899</v>
      </c>
      <c r="H2503">
        <v>0.17020299040523101</v>
      </c>
      <c r="I2503">
        <v>0.130808129635343</v>
      </c>
      <c r="J2503">
        <v>0.115552362533379</v>
      </c>
      <c r="K2503">
        <v>7.9801227539946604E-2</v>
      </c>
      <c r="L2503">
        <v>13271.4697821354</v>
      </c>
      <c r="M2503">
        <v>250</v>
      </c>
      <c r="N2503">
        <v>53.154952555354903</v>
      </c>
      <c r="O2503">
        <v>53.0824929121408</v>
      </c>
      <c r="P2503">
        <v>-1.0141189295436099</v>
      </c>
      <c r="Q2503">
        <v>0.138688803519807</v>
      </c>
      <c r="R2503">
        <v>0.94679759902642702</v>
      </c>
      <c r="S2503" t="s">
        <v>8814</v>
      </c>
      <c r="T2503" t="s">
        <v>12620</v>
      </c>
      <c r="U2503" t="s">
        <v>12620</v>
      </c>
      <c r="V2503" t="s">
        <v>12620</v>
      </c>
      <c r="W2503" t="s">
        <v>15080</v>
      </c>
      <c r="X2503">
        <v>10</v>
      </c>
      <c r="Y2503" t="s">
        <v>21261</v>
      </c>
      <c r="Z2503" t="s">
        <v>27450</v>
      </c>
      <c r="AA2503">
        <v>0.51446952112410094</v>
      </c>
      <c r="AB2503" t="str">
        <f>HYPERLINK("Melting_Curves/meltCurve_P60903_S100A10.pdf", "Melting_Curves/meltCurve_P60903_S100A10.pdf")</f>
        <v>Melting_Curves/meltCurve_P60903_S100A10.pdf</v>
      </c>
    </row>
    <row r="2504" spans="1:28" x14ac:dyDescent="0.25">
      <c r="A2504" t="s">
        <v>2508</v>
      </c>
      <c r="B2504">
        <v>0.99987803227770999</v>
      </c>
      <c r="C2504">
        <v>0.90690327066240595</v>
      </c>
      <c r="D2504">
        <v>1.03757725695596</v>
      </c>
      <c r="E2504">
        <v>0.92571255257304996</v>
      </c>
      <c r="F2504">
        <v>0.944736099708537</v>
      </c>
      <c r="G2504">
        <v>0.290123418547791</v>
      </c>
      <c r="H2504">
        <v>0.102864012099237</v>
      </c>
      <c r="I2504">
        <v>7.9269854693657896E-2</v>
      </c>
      <c r="J2504">
        <v>6.3019075999163607E-2</v>
      </c>
      <c r="K2504">
        <v>4.5762279581029998E-2</v>
      </c>
      <c r="L2504">
        <v>2812.9064497077602</v>
      </c>
      <c r="M2504">
        <v>50.491004902025097</v>
      </c>
      <c r="N2504">
        <v>55.874726506505503</v>
      </c>
      <c r="O2504">
        <v>55.623856604230497</v>
      </c>
      <c r="P2504">
        <v>-0.21132985684265301</v>
      </c>
      <c r="Q2504">
        <v>6.8747230605315304E-2</v>
      </c>
      <c r="R2504">
        <v>0.99107637609430499</v>
      </c>
      <c r="S2504" t="s">
        <v>8815</v>
      </c>
      <c r="T2504" t="s">
        <v>12620</v>
      </c>
      <c r="U2504" t="s">
        <v>12620</v>
      </c>
      <c r="V2504" t="s">
        <v>12620</v>
      </c>
      <c r="W2504" t="s">
        <v>15081</v>
      </c>
      <c r="X2504">
        <v>9</v>
      </c>
      <c r="Y2504" t="s">
        <v>21262</v>
      </c>
      <c r="Z2504" t="s">
        <v>27451</v>
      </c>
      <c r="AA2504">
        <v>0.55868763700732793</v>
      </c>
      <c r="AB2504" t="str">
        <f>HYPERLINK("Melting_Curves/meltCurve_P60953_CDC42.pdf", "Melting_Curves/meltCurve_P60953_CDC42.pdf")</f>
        <v>Melting_Curves/meltCurve_P60953_CDC42.pdf</v>
      </c>
    </row>
    <row r="2505" spans="1:28" x14ac:dyDescent="0.25">
      <c r="A2505" t="s">
        <v>2509</v>
      </c>
      <c r="B2505">
        <v>0.99987803227770999</v>
      </c>
      <c r="C2505">
        <v>0.72621262315673696</v>
      </c>
      <c r="D2505">
        <v>1.00794398424714</v>
      </c>
      <c r="E2505">
        <v>0.74917004487893002</v>
      </c>
      <c r="F2505">
        <v>0.68591794040663101</v>
      </c>
      <c r="G2505">
        <v>0.21842290673999101</v>
      </c>
      <c r="H2505">
        <v>0.111488710201692</v>
      </c>
      <c r="I2505">
        <v>8.7344497314348804E-2</v>
      </c>
      <c r="J2505">
        <v>6.8263379535898006E-2</v>
      </c>
      <c r="K2505">
        <v>4.77486926056866E-2</v>
      </c>
      <c r="L2505">
        <v>1013.13680273717</v>
      </c>
      <c r="M2505">
        <v>18.806368241020301</v>
      </c>
      <c r="N2505">
        <v>54.041278348808703</v>
      </c>
      <c r="O2505">
        <v>53.273973803373501</v>
      </c>
      <c r="P2505">
        <v>-8.5732410175761095E-2</v>
      </c>
      <c r="Q2505">
        <v>2.8602126413650199E-2</v>
      </c>
      <c r="R2505">
        <v>0.936298643111937</v>
      </c>
      <c r="S2505" t="s">
        <v>8816</v>
      </c>
      <c r="T2505" t="s">
        <v>12620</v>
      </c>
      <c r="U2505" t="s">
        <v>12620</v>
      </c>
      <c r="V2505" t="s">
        <v>12620</v>
      </c>
      <c r="W2505" t="s">
        <v>15082</v>
      </c>
      <c r="X2505">
        <v>19</v>
      </c>
      <c r="Y2505" t="s">
        <v>21263</v>
      </c>
      <c r="Z2505" t="s">
        <v>27452</v>
      </c>
      <c r="AA2505">
        <v>0.4923635379955435</v>
      </c>
      <c r="AB2505" t="str">
        <f>HYPERLINK("Melting_Curves/meltCurve_P60981_DSTN.pdf", "Melting_Curves/meltCurve_P60981_DSTN.pdf")</f>
        <v>Melting_Curves/meltCurve_P60981_DSTN.pdf</v>
      </c>
    </row>
    <row r="2506" spans="1:28" x14ac:dyDescent="0.25">
      <c r="A2506" t="s">
        <v>2510</v>
      </c>
      <c r="B2506">
        <v>0.99987803227770999</v>
      </c>
      <c r="C2506">
        <v>0.80747129343402102</v>
      </c>
      <c r="D2506">
        <v>1.0140078425079599</v>
      </c>
      <c r="E2506">
        <v>0.84597266909038604</v>
      </c>
      <c r="F2506">
        <v>1.1005743980932601</v>
      </c>
      <c r="G2506">
        <v>0.82092403205959896</v>
      </c>
      <c r="H2506">
        <v>0.98687887119248296</v>
      </c>
      <c r="I2506">
        <v>0.860823474404805</v>
      </c>
      <c r="J2506">
        <v>0.98527488040363798</v>
      </c>
      <c r="K2506">
        <v>0.83021409992435402</v>
      </c>
      <c r="L2506">
        <v>79.021118936286101</v>
      </c>
      <c r="M2506">
        <v>1.0000000000000001E-5</v>
      </c>
      <c r="Q2506">
        <v>0.60446402062459004</v>
      </c>
      <c r="R2506">
        <v>2.28933051635598E-2</v>
      </c>
      <c r="S2506" t="s">
        <v>8817</v>
      </c>
      <c r="T2506" t="s">
        <v>12620</v>
      </c>
      <c r="U2506" t="s">
        <v>12620</v>
      </c>
      <c r="V2506" t="s">
        <v>12620</v>
      </c>
      <c r="W2506" t="s">
        <v>15083</v>
      </c>
      <c r="X2506">
        <v>10</v>
      </c>
      <c r="Y2506" t="s">
        <v>21264</v>
      </c>
      <c r="Z2506" t="s">
        <v>27453</v>
      </c>
      <c r="AA2506">
        <v>0.92523483112815641</v>
      </c>
      <c r="AB2506" t="str">
        <f>HYPERLINK("Melting_Curves/meltCurve_P60983_GMFB.pdf", "Melting_Curves/meltCurve_P60983_GMFB.pdf")</f>
        <v>Melting_Curves/meltCurve_P60983_GMFB.pdf</v>
      </c>
    </row>
    <row r="2507" spans="1:28" x14ac:dyDescent="0.25">
      <c r="A2507" t="s">
        <v>2511</v>
      </c>
      <c r="B2507">
        <v>0.99987803227770999</v>
      </c>
      <c r="C2507">
        <v>0.949634064336212</v>
      </c>
      <c r="D2507">
        <v>0.98535997952182897</v>
      </c>
      <c r="E2507">
        <v>0.922207039412416</v>
      </c>
      <c r="F2507">
        <v>0.80509261333196103</v>
      </c>
      <c r="G2507">
        <v>0.478659435817745</v>
      </c>
      <c r="H2507">
        <v>0.296171778435876</v>
      </c>
      <c r="I2507">
        <v>0.171230125636194</v>
      </c>
      <c r="J2507">
        <v>9.4041855529402696E-2</v>
      </c>
      <c r="K2507">
        <v>6.3389143302554296E-2</v>
      </c>
      <c r="L2507">
        <v>954.26682524536704</v>
      </c>
      <c r="M2507">
        <v>16.744089595629401</v>
      </c>
      <c r="N2507">
        <v>57.1919905938733</v>
      </c>
      <c r="O2507">
        <v>56.197002180287903</v>
      </c>
      <c r="P2507">
        <v>-7.2367482627176696E-2</v>
      </c>
      <c r="Q2507">
        <v>2.85366615468618E-2</v>
      </c>
      <c r="R2507">
        <v>0.99669782982730204</v>
      </c>
      <c r="S2507" t="s">
        <v>8818</v>
      </c>
      <c r="T2507" t="s">
        <v>12620</v>
      </c>
      <c r="U2507" t="s">
        <v>12620</v>
      </c>
      <c r="V2507" t="s">
        <v>12620</v>
      </c>
      <c r="W2507" t="s">
        <v>15084</v>
      </c>
      <c r="X2507">
        <v>10</v>
      </c>
      <c r="Y2507" t="s">
        <v>21265</v>
      </c>
      <c r="Z2507" t="s">
        <v>27454</v>
      </c>
      <c r="AA2507">
        <v>0.59299256802973088</v>
      </c>
      <c r="AB2507" t="str">
        <f>HYPERLINK("Melting_Curves/meltCurve_P61006_RAB8A.pdf", "Melting_Curves/meltCurve_P61006_RAB8A.pdf")</f>
        <v>Melting_Curves/meltCurve_P61006_RAB8A.pdf</v>
      </c>
    </row>
    <row r="2508" spans="1:28" x14ac:dyDescent="0.25">
      <c r="A2508" t="s">
        <v>2512</v>
      </c>
      <c r="B2508">
        <v>0.99987803227770999</v>
      </c>
      <c r="C2508">
        <v>0.985170834959324</v>
      </c>
      <c r="D2508">
        <v>0.80463675640933197</v>
      </c>
      <c r="E2508">
        <v>0.55921077573940503</v>
      </c>
      <c r="F2508">
        <v>0.26946623559295002</v>
      </c>
      <c r="G2508">
        <v>0.68425118429892295</v>
      </c>
      <c r="H2508">
        <v>8.9198168285593696E-2</v>
      </c>
      <c r="I2508">
        <v>0.370988324666363</v>
      </c>
      <c r="J2508">
        <v>6.0748090558374601E-2</v>
      </c>
      <c r="K2508">
        <v>4.2627584015286497E-2</v>
      </c>
      <c r="L2508">
        <v>459.10954926713299</v>
      </c>
      <c r="M2508">
        <v>8.6562625963285402</v>
      </c>
      <c r="N2508">
        <v>53.037848227848599</v>
      </c>
      <c r="O2508">
        <v>50.435179238331898</v>
      </c>
      <c r="P2508">
        <v>-4.2943959843016598E-2</v>
      </c>
      <c r="Q2508">
        <v>0</v>
      </c>
      <c r="R2508">
        <v>0.80021707051801105</v>
      </c>
      <c r="S2508" t="s">
        <v>8819</v>
      </c>
      <c r="T2508" t="s">
        <v>12620</v>
      </c>
      <c r="U2508" t="s">
        <v>12620</v>
      </c>
      <c r="V2508" t="s">
        <v>12620</v>
      </c>
      <c r="W2508" t="s">
        <v>15085</v>
      </c>
      <c r="X2508">
        <v>16</v>
      </c>
      <c r="Y2508" t="s">
        <v>21266</v>
      </c>
      <c r="Z2508" t="s">
        <v>27455</v>
      </c>
      <c r="AA2508">
        <v>0.47290164165089471</v>
      </c>
      <c r="AB2508" t="str">
        <f>HYPERLINK("Melting_Curves/meltCurve_P61011_SRP54.pdf", "Melting_Curves/meltCurve_P61011_SRP54.pdf")</f>
        <v>Melting_Curves/meltCurve_P61011_SRP54.pdf</v>
      </c>
    </row>
    <row r="2509" spans="1:28" x14ac:dyDescent="0.25">
      <c r="A2509" t="s">
        <v>2513</v>
      </c>
      <c r="B2509">
        <v>0.99987803227770999</v>
      </c>
      <c r="C2509">
        <v>0.91749270514790304</v>
      </c>
      <c r="D2509">
        <v>1.017322029512</v>
      </c>
      <c r="E2509">
        <v>0.96083624331058004</v>
      </c>
      <c r="F2509">
        <v>0.99187796160650099</v>
      </c>
      <c r="G2509">
        <v>0.77852284730443599</v>
      </c>
      <c r="H2509">
        <v>0.55011634263094999</v>
      </c>
      <c r="I2509">
        <v>0.292329245053155</v>
      </c>
      <c r="J2509">
        <v>8.3691472488297003E-2</v>
      </c>
      <c r="K2509">
        <v>5.9255161999844999E-2</v>
      </c>
      <c r="L2509">
        <v>1312.2940915356</v>
      </c>
      <c r="M2509">
        <v>21.4597629229647</v>
      </c>
      <c r="N2509">
        <v>61.151392103057603</v>
      </c>
      <c r="O2509">
        <v>60.627802707729899</v>
      </c>
      <c r="P2509">
        <v>-8.8491971003345105E-2</v>
      </c>
      <c r="Q2509">
        <v>0</v>
      </c>
      <c r="R2509">
        <v>0.98887614066898399</v>
      </c>
      <c r="S2509" t="s">
        <v>8820</v>
      </c>
      <c r="T2509" t="s">
        <v>12620</v>
      </c>
      <c r="U2509" t="s">
        <v>12620</v>
      </c>
      <c r="V2509" t="s">
        <v>12620</v>
      </c>
      <c r="W2509" t="s">
        <v>15086</v>
      </c>
      <c r="X2509">
        <v>12</v>
      </c>
      <c r="Y2509" t="s">
        <v>21267</v>
      </c>
      <c r="Z2509" t="s">
        <v>27456</v>
      </c>
      <c r="AA2509">
        <v>0.71103367437353415</v>
      </c>
      <c r="AB2509" t="str">
        <f>HYPERLINK("Melting_Curves/meltCurve_P61019_RAB2A.pdf", "Melting_Curves/meltCurve_P61019_RAB2A.pdf")</f>
        <v>Melting_Curves/meltCurve_P61019_RAB2A.pdf</v>
      </c>
    </row>
    <row r="2510" spans="1:28" x14ac:dyDescent="0.25">
      <c r="A2510" t="s">
        <v>2514</v>
      </c>
      <c r="B2510">
        <v>0.99987803227770999</v>
      </c>
      <c r="C2510">
        <v>1.0514445712520999</v>
      </c>
      <c r="D2510">
        <v>1.0876802587935199</v>
      </c>
      <c r="E2510">
        <v>1.0767733756073601</v>
      </c>
      <c r="F2510">
        <v>1.0869933204785001</v>
      </c>
      <c r="G2510">
        <v>0.905260419356542</v>
      </c>
      <c r="H2510">
        <v>0.46403838456815899</v>
      </c>
      <c r="I2510">
        <v>0.30197102137547699</v>
      </c>
      <c r="J2510">
        <v>0.12663655715743799</v>
      </c>
      <c r="K2510">
        <v>9.4560186018505299E-2</v>
      </c>
      <c r="L2510">
        <v>1907.39298112458</v>
      </c>
      <c r="M2510">
        <v>31.475769466651901</v>
      </c>
      <c r="N2510">
        <v>61.028327152033803</v>
      </c>
      <c r="O2510">
        <v>60.355741182188503</v>
      </c>
      <c r="P2510">
        <v>-0.117422160312621</v>
      </c>
      <c r="Q2510">
        <v>9.9362651898474097E-2</v>
      </c>
      <c r="R2510">
        <v>0.98024041592314204</v>
      </c>
      <c r="S2510" t="s">
        <v>8821</v>
      </c>
      <c r="T2510" t="s">
        <v>12620</v>
      </c>
      <c r="U2510" t="s">
        <v>12620</v>
      </c>
      <c r="V2510" t="s">
        <v>12620</v>
      </c>
      <c r="W2510" t="s">
        <v>15087</v>
      </c>
      <c r="X2510">
        <v>8</v>
      </c>
      <c r="Y2510" t="s">
        <v>21268</v>
      </c>
      <c r="Z2510" t="s">
        <v>27457</v>
      </c>
      <c r="AA2510">
        <v>0.72268138488737754</v>
      </c>
      <c r="AB2510" t="str">
        <f>HYPERLINK("Melting_Curves/meltCurve_P61020_RAB5B.pdf", "Melting_Curves/meltCurve_P61020_RAB5B.pdf")</f>
        <v>Melting_Curves/meltCurve_P61020_RAB5B.pdf</v>
      </c>
    </row>
    <row r="2511" spans="1:28" x14ac:dyDescent="0.25">
      <c r="A2511" t="s">
        <v>2515</v>
      </c>
      <c r="B2511">
        <v>0.99987803227770999</v>
      </c>
      <c r="C2511">
        <v>0.84746998917347005</v>
      </c>
      <c r="D2511">
        <v>1.0655336241798601</v>
      </c>
      <c r="E2511">
        <v>0.83367536439780299</v>
      </c>
      <c r="F2511">
        <v>0.92784870338738801</v>
      </c>
      <c r="G2511">
        <v>0.69874677056144996</v>
      </c>
      <c r="H2511">
        <v>0.74438017952233004</v>
      </c>
      <c r="I2511">
        <v>0.73863433872846596</v>
      </c>
      <c r="J2511">
        <v>0.71009897784981602</v>
      </c>
      <c r="K2511">
        <v>0.58370489416280702</v>
      </c>
      <c r="L2511">
        <v>328.36787783402798</v>
      </c>
      <c r="M2511">
        <v>4.8991791938023397</v>
      </c>
      <c r="O2511">
        <v>58.215902588571097</v>
      </c>
      <c r="P2511">
        <v>-1.43022554773483E-2</v>
      </c>
      <c r="Q2511">
        <v>0.32463413210595199</v>
      </c>
      <c r="R2511">
        <v>0.72645911289517495</v>
      </c>
      <c r="S2511" t="s">
        <v>8822</v>
      </c>
      <c r="T2511" t="s">
        <v>12620</v>
      </c>
      <c r="U2511" t="s">
        <v>12620</v>
      </c>
      <c r="V2511" t="s">
        <v>12620</v>
      </c>
      <c r="W2511" t="s">
        <v>15088</v>
      </c>
      <c r="X2511">
        <v>2</v>
      </c>
      <c r="Y2511" t="s">
        <v>21269</v>
      </c>
      <c r="Z2511" t="s">
        <v>27458</v>
      </c>
      <c r="AA2511">
        <v>0.81888482808338758</v>
      </c>
      <c r="AB2511" t="str">
        <f>HYPERLINK("Melting_Curves/meltCurve_P61024_CKS1B.pdf", "Melting_Curves/meltCurve_P61024_CKS1B.pdf")</f>
        <v>Melting_Curves/meltCurve_P61024_CKS1B.pdf</v>
      </c>
    </row>
    <row r="2512" spans="1:28" x14ac:dyDescent="0.25">
      <c r="A2512" t="s">
        <v>2516</v>
      </c>
      <c r="B2512">
        <v>0.99987803227770999</v>
      </c>
      <c r="C2512">
        <v>0.720785525920008</v>
      </c>
      <c r="D2512">
        <v>1.3275328606574599</v>
      </c>
      <c r="E2512">
        <v>0.94617054876178197</v>
      </c>
      <c r="F2512">
        <v>0.74967468384045199</v>
      </c>
      <c r="G2512">
        <v>0.60510741884096697</v>
      </c>
      <c r="H2512">
        <v>0.209926657190877</v>
      </c>
      <c r="I2512">
        <v>0.12523526581621</v>
      </c>
      <c r="J2512">
        <v>7.8467384852130798E-2</v>
      </c>
      <c r="K2512">
        <v>4.9868736556770002E-2</v>
      </c>
      <c r="L2512">
        <v>1122.35361642064</v>
      </c>
      <c r="M2512">
        <v>19.5656775128239</v>
      </c>
      <c r="N2512">
        <v>57.452329828485396</v>
      </c>
      <c r="O2512">
        <v>56.774241123407499</v>
      </c>
      <c r="P2512">
        <v>-8.4873456865890901E-2</v>
      </c>
      <c r="Q2512">
        <v>1.4916810164009701E-2</v>
      </c>
      <c r="R2512">
        <v>0.88676334718065797</v>
      </c>
      <c r="S2512" t="s">
        <v>8823</v>
      </c>
      <c r="T2512" t="s">
        <v>12620</v>
      </c>
      <c r="U2512" t="s">
        <v>12620</v>
      </c>
      <c r="V2512" t="s">
        <v>12620</v>
      </c>
      <c r="W2512" t="s">
        <v>15089</v>
      </c>
      <c r="X2512">
        <v>10</v>
      </c>
      <c r="Y2512" t="s">
        <v>21270</v>
      </c>
      <c r="Z2512" t="s">
        <v>27459</v>
      </c>
      <c r="AA2512">
        <v>0.59711432883223003</v>
      </c>
      <c r="AB2512" t="str">
        <f>HYPERLINK("Melting_Curves/meltCurve_P61026_RAB10.pdf", "Melting_Curves/meltCurve_P61026_RAB10.pdf")</f>
        <v>Melting_Curves/meltCurve_P61026_RAB10.pdf</v>
      </c>
    </row>
    <row r="2513" spans="1:28" x14ac:dyDescent="0.25">
      <c r="A2513" t="s">
        <v>2517</v>
      </c>
      <c r="B2513">
        <v>0.99987803227770999</v>
      </c>
      <c r="C2513">
        <v>0.84336857786046504</v>
      </c>
      <c r="D2513">
        <v>1.0312480886459101</v>
      </c>
      <c r="E2513">
        <v>0.82286941095010402</v>
      </c>
      <c r="F2513">
        <v>0.70071489937521803</v>
      </c>
      <c r="G2513">
        <v>0.17733561362334899</v>
      </c>
      <c r="H2513">
        <v>9.78957195183668E-2</v>
      </c>
      <c r="I2513">
        <v>5.21429853990618E-2</v>
      </c>
      <c r="J2513">
        <v>3.7584738511706697E-2</v>
      </c>
      <c r="K2513">
        <v>2.61584879495361E-2</v>
      </c>
      <c r="L2513">
        <v>1437.6843192031299</v>
      </c>
      <c r="M2513">
        <v>26.590828195581</v>
      </c>
      <c r="N2513">
        <v>54.1919331338893</v>
      </c>
      <c r="O2513">
        <v>53.763912324506002</v>
      </c>
      <c r="P2513">
        <v>-0.11996981027510401</v>
      </c>
      <c r="Q2513">
        <v>2.9743838278141099E-2</v>
      </c>
      <c r="R2513">
        <v>0.97738359167395195</v>
      </c>
      <c r="S2513" t="s">
        <v>8824</v>
      </c>
      <c r="T2513" t="s">
        <v>12620</v>
      </c>
      <c r="U2513" t="s">
        <v>12620</v>
      </c>
      <c r="V2513" t="s">
        <v>12620</v>
      </c>
      <c r="W2513" t="s">
        <v>15090</v>
      </c>
      <c r="X2513">
        <v>3</v>
      </c>
      <c r="Y2513" t="s">
        <v>21271</v>
      </c>
      <c r="Z2513" t="s">
        <v>27460</v>
      </c>
      <c r="AA2513">
        <v>0.49271132532078971</v>
      </c>
      <c r="AB2513" t="str">
        <f>HYPERLINK("Melting_Curves/meltCurve_P61077_UBE2D3.pdf", "Melting_Curves/meltCurve_P61077_UBE2D3.pdf")</f>
        <v>Melting_Curves/meltCurve_P61077_UBE2D3.pdf</v>
      </c>
    </row>
    <row r="2514" spans="1:28" x14ac:dyDescent="0.25">
      <c r="A2514" t="s">
        <v>2518</v>
      </c>
      <c r="B2514">
        <v>0.99987803227770999</v>
      </c>
      <c r="C2514">
        <v>0.87140748451035799</v>
      </c>
      <c r="D2514">
        <v>0.97928101105981602</v>
      </c>
      <c r="E2514">
        <v>0.81298269122548406</v>
      </c>
      <c r="F2514">
        <v>0.83416971866434897</v>
      </c>
      <c r="G2514">
        <v>0.330322652324882</v>
      </c>
      <c r="H2514">
        <v>0.14281767158917599</v>
      </c>
      <c r="I2514">
        <v>0.121557025079552</v>
      </c>
      <c r="J2514">
        <v>9.5930623206139404E-2</v>
      </c>
      <c r="K2514">
        <v>6.7514605147856094E-2</v>
      </c>
      <c r="L2514">
        <v>1342.15825711311</v>
      </c>
      <c r="M2514">
        <v>24.3148476430386</v>
      </c>
      <c r="N2514">
        <v>55.548735104621201</v>
      </c>
      <c r="O2514">
        <v>54.8298101034474</v>
      </c>
      <c r="P2514">
        <v>-0.103000846614904</v>
      </c>
      <c r="Q2514">
        <v>7.0949121055157494E-2</v>
      </c>
      <c r="R2514">
        <v>0.97330665935618399</v>
      </c>
      <c r="S2514" t="s">
        <v>8825</v>
      </c>
      <c r="T2514" t="s">
        <v>12620</v>
      </c>
      <c r="U2514" t="s">
        <v>12620</v>
      </c>
      <c r="V2514" t="s">
        <v>12620</v>
      </c>
      <c r="W2514" t="s">
        <v>15091</v>
      </c>
      <c r="X2514">
        <v>12</v>
      </c>
      <c r="Y2514" t="s">
        <v>21272</v>
      </c>
      <c r="Z2514" t="s">
        <v>27461</v>
      </c>
      <c r="AA2514">
        <v>0.55064975314047215</v>
      </c>
      <c r="AB2514" t="str">
        <f>HYPERLINK("Melting_Curves/meltCurve_P61081_UBE2M.pdf", "Melting_Curves/meltCurve_P61081_UBE2M.pdf")</f>
        <v>Melting_Curves/meltCurve_P61081_UBE2M.pdf</v>
      </c>
    </row>
    <row r="2515" spans="1:28" x14ac:dyDescent="0.25">
      <c r="A2515" t="s">
        <v>2519</v>
      </c>
      <c r="B2515">
        <v>0.99987803227770999</v>
      </c>
      <c r="C2515">
        <v>0.87999236998726205</v>
      </c>
      <c r="D2515">
        <v>1.01075785516529</v>
      </c>
      <c r="E2515">
        <v>0.89693071749839803</v>
      </c>
      <c r="F2515">
        <v>1.1378924943556801</v>
      </c>
      <c r="G2515">
        <v>0.84773423564380102</v>
      </c>
      <c r="H2515">
        <v>0.448616461602248</v>
      </c>
      <c r="I2515">
        <v>0.14241250125424701</v>
      </c>
      <c r="J2515">
        <v>7.1665368771681504E-2</v>
      </c>
      <c r="K2515">
        <v>5.1629338734983599E-2</v>
      </c>
      <c r="L2515">
        <v>2031.4812189065401</v>
      </c>
      <c r="M2515">
        <v>33.669124350058802</v>
      </c>
      <c r="N2515">
        <v>60.474497028487598</v>
      </c>
      <c r="O2515">
        <v>60.124972596021003</v>
      </c>
      <c r="P2515">
        <v>-0.13482484265557801</v>
      </c>
      <c r="Q2515">
        <v>3.6944895255874799E-2</v>
      </c>
      <c r="R2515">
        <v>0.97041569715743903</v>
      </c>
      <c r="S2515" t="s">
        <v>8826</v>
      </c>
      <c r="T2515" t="s">
        <v>12620</v>
      </c>
      <c r="U2515" t="s">
        <v>12620</v>
      </c>
      <c r="V2515" t="s">
        <v>12620</v>
      </c>
      <c r="W2515" t="s">
        <v>15092</v>
      </c>
      <c r="X2515">
        <v>16</v>
      </c>
      <c r="Y2515" t="s">
        <v>21273</v>
      </c>
      <c r="Z2515" t="s">
        <v>27462</v>
      </c>
      <c r="AA2515">
        <v>0.69468395991116372</v>
      </c>
      <c r="AB2515" t="str">
        <f>HYPERLINK("Melting_Curves/meltCurve_P61086_UBE2K.pdf", "Melting_Curves/meltCurve_P61086_UBE2K.pdf")</f>
        <v>Melting_Curves/meltCurve_P61086_UBE2K.pdf</v>
      </c>
    </row>
    <row r="2516" spans="1:28" x14ac:dyDescent="0.25">
      <c r="A2516" t="s">
        <v>2520</v>
      </c>
      <c r="B2516">
        <v>0.99987803227770999</v>
      </c>
      <c r="C2516">
        <v>0.77832577038500805</v>
      </c>
      <c r="D2516">
        <v>1.0171078376562801</v>
      </c>
      <c r="E2516">
        <v>0.79989987664653495</v>
      </c>
      <c r="F2516">
        <v>1.11813982316021</v>
      </c>
      <c r="G2516">
        <v>0.69314600045186403</v>
      </c>
      <c r="H2516">
        <v>0.29547788733125901</v>
      </c>
      <c r="I2516">
        <v>0.119012381046278</v>
      </c>
      <c r="J2516">
        <v>6.7019587649409101E-2</v>
      </c>
      <c r="K2516">
        <v>4.8487009809632803E-2</v>
      </c>
      <c r="L2516">
        <v>1836.3106987835099</v>
      </c>
      <c r="M2516">
        <v>31.2831500563248</v>
      </c>
      <c r="N2516">
        <v>58.901673779119498</v>
      </c>
      <c r="O2516">
        <v>58.461365678765603</v>
      </c>
      <c r="P2516">
        <v>-0.12697320509283699</v>
      </c>
      <c r="Q2516">
        <v>5.0864548816576101E-2</v>
      </c>
      <c r="R2516">
        <v>0.92953432278600101</v>
      </c>
      <c r="S2516" t="s">
        <v>8827</v>
      </c>
      <c r="T2516" t="s">
        <v>12620</v>
      </c>
      <c r="U2516" t="s">
        <v>12620</v>
      </c>
      <c r="V2516" t="s">
        <v>12620</v>
      </c>
      <c r="W2516" t="s">
        <v>15093</v>
      </c>
      <c r="X2516">
        <v>12</v>
      </c>
      <c r="Y2516" t="s">
        <v>21274</v>
      </c>
      <c r="Z2516" t="s">
        <v>27463</v>
      </c>
      <c r="AA2516">
        <v>0.64823015488958691</v>
      </c>
      <c r="AB2516" t="str">
        <f>HYPERLINK("Melting_Curves/meltCurve_P61088_UBE2N.pdf", "Melting_Curves/meltCurve_P61088_UBE2N.pdf")</f>
        <v>Melting_Curves/meltCurve_P61088_UBE2N.pdf</v>
      </c>
    </row>
    <row r="2517" spans="1:28" x14ac:dyDescent="0.25">
      <c r="A2517" t="s">
        <v>2521</v>
      </c>
      <c r="B2517">
        <v>0.99987803227770999</v>
      </c>
      <c r="C2517">
        <v>0.91449803597658497</v>
      </c>
      <c r="D2517">
        <v>1.0212864699841999</v>
      </c>
      <c r="E2517">
        <v>0.90716298676985196</v>
      </c>
      <c r="F2517">
        <v>0.93028814126798798</v>
      </c>
      <c r="G2517">
        <v>0.65460676782761096</v>
      </c>
      <c r="H2517">
        <v>0.37711013931841603</v>
      </c>
      <c r="I2517">
        <v>0.22083441731325201</v>
      </c>
      <c r="J2517">
        <v>0.13047826509334901</v>
      </c>
      <c r="K2517">
        <v>7.1041443912427601E-2</v>
      </c>
      <c r="L2517">
        <v>1049.3252574184601</v>
      </c>
      <c r="M2517">
        <v>17.743830643582999</v>
      </c>
      <c r="N2517">
        <v>59.248822327439299</v>
      </c>
      <c r="O2517">
        <v>58.401675774110998</v>
      </c>
      <c r="P2517">
        <v>-7.4714320068324305E-2</v>
      </c>
      <c r="Q2517">
        <v>1.6398704513088301E-2</v>
      </c>
      <c r="R2517">
        <v>0.99029162651611902</v>
      </c>
      <c r="S2517" t="s">
        <v>8828</v>
      </c>
      <c r="T2517" t="s">
        <v>12620</v>
      </c>
      <c r="U2517" t="s">
        <v>12620</v>
      </c>
      <c r="V2517" t="s">
        <v>12620</v>
      </c>
      <c r="W2517" t="s">
        <v>15094</v>
      </c>
      <c r="X2517">
        <v>14</v>
      </c>
      <c r="Y2517" t="s">
        <v>21275</v>
      </c>
      <c r="Z2517" t="s">
        <v>27464</v>
      </c>
      <c r="AA2517">
        <v>0.65401704430279373</v>
      </c>
      <c r="AB2517" t="str">
        <f>HYPERLINK("Melting_Curves/meltCurve_P61106_RAB14.pdf", "Melting_Curves/meltCurve_P61106_RAB14.pdf")</f>
        <v>Melting_Curves/meltCurve_P61106_RAB14.pdf</v>
      </c>
    </row>
    <row r="2518" spans="1:28" x14ac:dyDescent="0.25">
      <c r="A2518" t="s">
        <v>2522</v>
      </c>
      <c r="B2518">
        <v>0.99987803227770999</v>
      </c>
      <c r="C2518">
        <v>1.11425262334126</v>
      </c>
      <c r="D2518">
        <v>0.95207514956415296</v>
      </c>
      <c r="E2518">
        <v>1.2451036911875299</v>
      </c>
      <c r="F2518">
        <v>0.97958427706668705</v>
      </c>
      <c r="G2518">
        <v>0.86741211009616803</v>
      </c>
      <c r="H2518">
        <v>0.60060584111957105</v>
      </c>
      <c r="I2518">
        <v>0.25481479474402002</v>
      </c>
      <c r="J2518">
        <v>0.130252014569985</v>
      </c>
      <c r="K2518">
        <v>9.8663691984992197E-2</v>
      </c>
      <c r="L2518">
        <v>1773.6994635892399</v>
      </c>
      <c r="M2518">
        <v>28.905929391896599</v>
      </c>
      <c r="N2518">
        <v>61.631954556686701</v>
      </c>
      <c r="O2518">
        <v>61.069661591986801</v>
      </c>
      <c r="P2518">
        <v>-0.111274541949831</v>
      </c>
      <c r="Q2518">
        <v>5.9646525197030099E-2</v>
      </c>
      <c r="R2518">
        <v>0.95084380185694795</v>
      </c>
      <c r="S2518" t="s">
        <v>8829</v>
      </c>
      <c r="T2518" t="s">
        <v>12620</v>
      </c>
      <c r="U2518" t="s">
        <v>12620</v>
      </c>
      <c r="V2518" t="s">
        <v>12620</v>
      </c>
      <c r="W2518" t="s">
        <v>15095</v>
      </c>
      <c r="X2518">
        <v>24</v>
      </c>
      <c r="Y2518" t="s">
        <v>21276</v>
      </c>
      <c r="Z2518" t="s">
        <v>27465</v>
      </c>
      <c r="AA2518">
        <v>0.73428617511621219</v>
      </c>
      <c r="AB2518" t="str">
        <f>HYPERLINK("Melting_Curves/meltCurve_P61158_ACTR3.pdf", "Melting_Curves/meltCurve_P61158_ACTR3.pdf")</f>
        <v>Melting_Curves/meltCurve_P61158_ACTR3.pdf</v>
      </c>
    </row>
    <row r="2519" spans="1:28" x14ac:dyDescent="0.25">
      <c r="A2519" t="s">
        <v>2523</v>
      </c>
      <c r="B2519">
        <v>0.99987803227770999</v>
      </c>
      <c r="C2519">
        <v>1.09341137720454</v>
      </c>
      <c r="D2519">
        <v>0.88356731039458203</v>
      </c>
      <c r="E2519">
        <v>1.22726678921409</v>
      </c>
      <c r="F2519">
        <v>0.77192101976471295</v>
      </c>
      <c r="G2519">
        <v>0.92435521934032105</v>
      </c>
      <c r="H2519">
        <v>0.58978259746432105</v>
      </c>
      <c r="I2519">
        <v>0.18232869520049699</v>
      </c>
      <c r="J2519">
        <v>7.33408839296434E-2</v>
      </c>
      <c r="K2519">
        <v>5.7117983182612603E-2</v>
      </c>
      <c r="L2519">
        <v>2222.5052047107501</v>
      </c>
      <c r="M2519">
        <v>36.220298914098102</v>
      </c>
      <c r="N2519">
        <v>61.4697908798951</v>
      </c>
      <c r="O2519">
        <v>61.174598236940902</v>
      </c>
      <c r="P2519">
        <v>-0.14341548289707401</v>
      </c>
      <c r="Q2519">
        <v>3.11111690858079E-2</v>
      </c>
      <c r="R2519">
        <v>0.92538709674862596</v>
      </c>
      <c r="S2519" t="s">
        <v>8830</v>
      </c>
      <c r="T2519" t="s">
        <v>12620</v>
      </c>
      <c r="U2519" t="s">
        <v>12620</v>
      </c>
      <c r="V2519" t="s">
        <v>12620</v>
      </c>
      <c r="W2519" t="s">
        <v>15096</v>
      </c>
      <c r="X2519">
        <v>21</v>
      </c>
      <c r="Y2519" t="s">
        <v>21277</v>
      </c>
      <c r="Z2519" t="s">
        <v>27466</v>
      </c>
      <c r="AA2519">
        <v>0.72514083938184315</v>
      </c>
      <c r="AB2519" t="str">
        <f>HYPERLINK("Melting_Curves/meltCurve_P61160_ACTR2.pdf", "Melting_Curves/meltCurve_P61160_ACTR2.pdf")</f>
        <v>Melting_Curves/meltCurve_P61160_ACTR2.pdf</v>
      </c>
    </row>
    <row r="2520" spans="1:28" x14ac:dyDescent="0.25">
      <c r="A2520" t="s">
        <v>2524</v>
      </c>
      <c r="B2520">
        <v>0.99987803227770999</v>
      </c>
      <c r="C2520">
        <v>0.91069583685569799</v>
      </c>
      <c r="D2520">
        <v>1.04401584260709</v>
      </c>
      <c r="E2520">
        <v>1.94993074560653</v>
      </c>
      <c r="F2520">
        <v>0.81673258714186703</v>
      </c>
      <c r="G2520">
        <v>1.17021598593648</v>
      </c>
      <c r="H2520">
        <v>0.40812528151122301</v>
      </c>
      <c r="I2520">
        <v>0.232988396926671</v>
      </c>
      <c r="J2520">
        <v>0.146565233582723</v>
      </c>
      <c r="K2520">
        <v>9.8864392929107398E-2</v>
      </c>
      <c r="L2520">
        <v>7793.1718102507002</v>
      </c>
      <c r="M2520">
        <v>128.61883302736399</v>
      </c>
      <c r="N2520">
        <v>60.772086071863797</v>
      </c>
      <c r="O2520">
        <v>60.576575984560201</v>
      </c>
      <c r="P2520">
        <v>-0.44640032557319897</v>
      </c>
      <c r="Q2520">
        <v>0.159022018482841</v>
      </c>
      <c r="R2520">
        <v>0.66756848658781298</v>
      </c>
      <c r="S2520" t="s">
        <v>8831</v>
      </c>
      <c r="T2520" t="s">
        <v>12620</v>
      </c>
      <c r="U2520" t="s">
        <v>12620</v>
      </c>
      <c r="V2520" t="s">
        <v>12620</v>
      </c>
      <c r="W2520" t="s">
        <v>15097</v>
      </c>
      <c r="X2520">
        <v>11</v>
      </c>
      <c r="Y2520" t="s">
        <v>21278</v>
      </c>
      <c r="Z2520" t="s">
        <v>27467</v>
      </c>
      <c r="AA2520">
        <v>0.73658546516129431</v>
      </c>
      <c r="AB2520" t="str">
        <f>HYPERLINK("Melting_Curves/meltCurve_P61163_ACTR1A.pdf", "Melting_Curves/meltCurve_P61163_ACTR1A.pdf")</f>
        <v>Melting_Curves/meltCurve_P61163_ACTR1A.pdf</v>
      </c>
    </row>
    <row r="2521" spans="1:28" x14ac:dyDescent="0.25">
      <c r="A2521" t="s">
        <v>2525</v>
      </c>
      <c r="B2521">
        <v>0.99987803227770999</v>
      </c>
      <c r="C2521">
        <v>1.0645227469985701</v>
      </c>
      <c r="D2521">
        <v>0.87983779640955395</v>
      </c>
      <c r="E2521">
        <v>1.2651602763980101</v>
      </c>
      <c r="F2521">
        <v>0.74935664073207797</v>
      </c>
      <c r="G2521">
        <v>0.69704790789639504</v>
      </c>
      <c r="H2521">
        <v>0.22304893654099001</v>
      </c>
      <c r="I2521">
        <v>0.13915894571843601</v>
      </c>
      <c r="J2521">
        <v>0.103723221030097</v>
      </c>
      <c r="K2521">
        <v>7.1815567165807004E-2</v>
      </c>
      <c r="L2521">
        <v>1489.8539975679</v>
      </c>
      <c r="M2521">
        <v>25.6941795875643</v>
      </c>
      <c r="N2521">
        <v>58.272260285329097</v>
      </c>
      <c r="O2521">
        <v>57.636294857337298</v>
      </c>
      <c r="P2521">
        <v>-0.104802045130496</v>
      </c>
      <c r="Q2521">
        <v>5.96580613005828E-2</v>
      </c>
      <c r="R2521">
        <v>0.92607868458878495</v>
      </c>
      <c r="S2521" t="s">
        <v>8832</v>
      </c>
      <c r="T2521" t="s">
        <v>12620</v>
      </c>
      <c r="U2521" t="s">
        <v>12620</v>
      </c>
      <c r="V2521" t="s">
        <v>12620</v>
      </c>
      <c r="W2521" t="s">
        <v>15098</v>
      </c>
      <c r="X2521">
        <v>22</v>
      </c>
      <c r="Y2521" t="s">
        <v>21279</v>
      </c>
      <c r="Z2521" t="s">
        <v>27468</v>
      </c>
      <c r="AA2521">
        <v>0.63123877790595617</v>
      </c>
      <c r="AB2521" t="str">
        <f>HYPERLINK("Melting_Curves/meltCurve_P61201_COPS2.pdf", "Melting_Curves/meltCurve_P61201_COPS2.pdf")</f>
        <v>Melting_Curves/meltCurve_P61201_COPS2.pdf</v>
      </c>
    </row>
    <row r="2522" spans="1:28" x14ac:dyDescent="0.25">
      <c r="A2522" t="s">
        <v>2526</v>
      </c>
      <c r="B2522">
        <v>0.99987803227770999</v>
      </c>
      <c r="C2522">
        <v>0.74792167657883901</v>
      </c>
      <c r="D2522">
        <v>1.19011785054902</v>
      </c>
      <c r="E2522">
        <v>1.05854649798763</v>
      </c>
      <c r="F2522">
        <v>0.79371733129161604</v>
      </c>
      <c r="G2522">
        <v>0.54279349197849303</v>
      </c>
      <c r="H2522">
        <v>0.148923960134065</v>
      </c>
      <c r="I2522">
        <v>9.5604390993681898E-2</v>
      </c>
      <c r="J2522">
        <v>6.3715732348793602E-2</v>
      </c>
      <c r="K2522">
        <v>4.7954997340952397E-2</v>
      </c>
      <c r="L2522">
        <v>1444.1305624699201</v>
      </c>
      <c r="M2522">
        <v>25.396267601665699</v>
      </c>
      <c r="N2522">
        <v>57.033726124600697</v>
      </c>
      <c r="O2522">
        <v>56.5148317726252</v>
      </c>
      <c r="P2522">
        <v>-0.108253345708896</v>
      </c>
      <c r="Q2522">
        <v>3.6418669443939101E-2</v>
      </c>
      <c r="R2522">
        <v>0.93602780142929298</v>
      </c>
      <c r="S2522" t="s">
        <v>8833</v>
      </c>
      <c r="T2522" t="s">
        <v>12620</v>
      </c>
      <c r="U2522" t="s">
        <v>12620</v>
      </c>
      <c r="V2522" t="s">
        <v>12620</v>
      </c>
      <c r="W2522" t="s">
        <v>15099</v>
      </c>
      <c r="X2522">
        <v>33</v>
      </c>
      <c r="Y2522" t="s">
        <v>21280</v>
      </c>
      <c r="Z2522" t="s">
        <v>27469</v>
      </c>
      <c r="AA2522">
        <v>0.58657316813029914</v>
      </c>
      <c r="AB2522" t="str">
        <f>HYPERLINK("Melting_Curves/meltCurve_P61221_ABCE1.pdf", "Melting_Curves/meltCurve_P61221_ABCE1.pdf")</f>
        <v>Melting_Curves/meltCurve_P61221_ABCE1.pdf</v>
      </c>
    </row>
    <row r="2523" spans="1:28" x14ac:dyDescent="0.25">
      <c r="A2523" t="s">
        <v>2527</v>
      </c>
      <c r="B2523">
        <v>0.99987803227770999</v>
      </c>
      <c r="C2523">
        <v>0.86263817777539697</v>
      </c>
      <c r="D2523">
        <v>0.995272326650537</v>
      </c>
      <c r="E2523">
        <v>0.87425125720444397</v>
      </c>
      <c r="F2523">
        <v>0.96334490053954303</v>
      </c>
      <c r="G2523">
        <v>0.835653285219631</v>
      </c>
      <c r="H2523">
        <v>0.56168356253734197</v>
      </c>
      <c r="I2523">
        <v>0.40522768699450001</v>
      </c>
      <c r="J2523">
        <v>0.25196872312628699</v>
      </c>
      <c r="K2523">
        <v>0.14822265455912301</v>
      </c>
      <c r="L2523">
        <v>963.33361306286599</v>
      </c>
      <c r="M2523">
        <v>15.466883157241099</v>
      </c>
      <c r="N2523">
        <v>62.283629111297898</v>
      </c>
      <c r="O2523">
        <v>61.2703456406798</v>
      </c>
      <c r="P2523">
        <v>-6.3114847597780396E-2</v>
      </c>
      <c r="Q2523">
        <v>0</v>
      </c>
      <c r="R2523">
        <v>0.96640137759537703</v>
      </c>
      <c r="S2523" t="s">
        <v>8834</v>
      </c>
      <c r="T2523" t="s">
        <v>12620</v>
      </c>
      <c r="U2523" t="s">
        <v>12620</v>
      </c>
      <c r="V2523" t="s">
        <v>12620</v>
      </c>
      <c r="W2523" t="s">
        <v>15100</v>
      </c>
      <c r="X2523">
        <v>10</v>
      </c>
      <c r="Y2523" t="s">
        <v>21281</v>
      </c>
      <c r="Z2523" t="s">
        <v>27470</v>
      </c>
      <c r="AA2523">
        <v>0.73924555083638788</v>
      </c>
      <c r="AB2523" t="str">
        <f>HYPERLINK("Melting_Curves/meltCurve_P61224_RAP1B.pdf", "Melting_Curves/meltCurve_P61224_RAP1B.pdf")</f>
        <v>Melting_Curves/meltCurve_P61224_RAP1B.pdf</v>
      </c>
    </row>
    <row r="2524" spans="1:28" x14ac:dyDescent="0.25">
      <c r="A2524" t="s">
        <v>2528</v>
      </c>
      <c r="B2524">
        <v>0.99987803227770999</v>
      </c>
      <c r="C2524">
        <v>1.1269842032834301</v>
      </c>
      <c r="D2524">
        <v>1.16154448749839</v>
      </c>
      <c r="E2524">
        <v>1.2703137012236301</v>
      </c>
      <c r="F2524">
        <v>1.1965603897025301</v>
      </c>
      <c r="G2524">
        <v>0.79092707618781399</v>
      </c>
      <c r="H2524">
        <v>0.39861071902795397</v>
      </c>
      <c r="I2524">
        <v>0.52216465158728398</v>
      </c>
      <c r="J2524">
        <v>0.22269021695986299</v>
      </c>
      <c r="K2524">
        <v>7.4138605720663803E-2</v>
      </c>
      <c r="L2524">
        <v>1362.3223956780701</v>
      </c>
      <c r="M2524">
        <v>22.4097833248169</v>
      </c>
      <c r="N2524">
        <v>61.506038188832697</v>
      </c>
      <c r="O2524">
        <v>60.313541919606699</v>
      </c>
      <c r="P2524">
        <v>-8.2243607615302597E-2</v>
      </c>
      <c r="Q2524">
        <v>0.11461877758394599</v>
      </c>
      <c r="R2524">
        <v>0.86442334327053605</v>
      </c>
      <c r="S2524" t="s">
        <v>8835</v>
      </c>
      <c r="T2524" t="s">
        <v>12620</v>
      </c>
      <c r="U2524" t="s">
        <v>12620</v>
      </c>
      <c r="V2524" t="s">
        <v>12620</v>
      </c>
      <c r="W2524" t="s">
        <v>15101</v>
      </c>
      <c r="X2524">
        <v>2</v>
      </c>
      <c r="Y2524" t="s">
        <v>21282</v>
      </c>
      <c r="Z2524" t="s">
        <v>27471</v>
      </c>
      <c r="AA2524">
        <v>0.73422617131336054</v>
      </c>
      <c r="AB2524" t="str">
        <f>HYPERLINK("Melting_Curves/meltCurve_P61225_RAP2B.pdf", "Melting_Curves/meltCurve_P61225_RAP2B.pdf")</f>
        <v>Melting_Curves/meltCurve_P61225_RAP2B.pdf</v>
      </c>
    </row>
    <row r="2525" spans="1:28" x14ac:dyDescent="0.25">
      <c r="A2525" t="s">
        <v>2529</v>
      </c>
      <c r="B2525">
        <v>0.99987803227770999</v>
      </c>
      <c r="C2525">
        <v>0.97223300442068294</v>
      </c>
      <c r="D2525">
        <v>1.0154092939913499</v>
      </c>
      <c r="E2525">
        <v>0.71892768424429798</v>
      </c>
      <c r="F2525">
        <v>0.82800734835186995</v>
      </c>
      <c r="G2525">
        <v>0.48012354636151999</v>
      </c>
      <c r="H2525">
        <v>0.56553919021579901</v>
      </c>
      <c r="I2525">
        <v>0.53685940856638403</v>
      </c>
      <c r="J2525">
        <v>0.68232408035051195</v>
      </c>
      <c r="K2525">
        <v>0.47095392861855601</v>
      </c>
      <c r="L2525">
        <v>1012.64390818759</v>
      </c>
      <c r="M2525">
        <v>19.831909997521699</v>
      </c>
      <c r="O2525">
        <v>50.550668762336699</v>
      </c>
      <c r="P2525">
        <v>-4.46817970408434E-2</v>
      </c>
      <c r="Q2525">
        <v>0.54444756785818005</v>
      </c>
      <c r="R2525">
        <v>0.83363956427505703</v>
      </c>
      <c r="S2525" t="s">
        <v>8836</v>
      </c>
      <c r="T2525" t="s">
        <v>12620</v>
      </c>
      <c r="U2525" t="s">
        <v>12620</v>
      </c>
      <c r="V2525" t="s">
        <v>12620</v>
      </c>
      <c r="W2525" t="s">
        <v>15102</v>
      </c>
      <c r="X2525">
        <v>2</v>
      </c>
      <c r="Y2525" t="s">
        <v>21283</v>
      </c>
      <c r="Z2525" t="s">
        <v>27472</v>
      </c>
      <c r="AA2525">
        <v>0.7188380218706385</v>
      </c>
      <c r="AB2525" t="str">
        <f>HYPERLINK("Melting_Curves/meltCurve_P61244_2_MAX.pdf", "Melting_Curves/meltCurve_P61244_2_MAX.pdf")</f>
        <v>Melting_Curves/meltCurve_P61244_2_MAX.pdf</v>
      </c>
    </row>
    <row r="2526" spans="1:28" x14ac:dyDescent="0.25">
      <c r="A2526" t="s">
        <v>2530</v>
      </c>
      <c r="B2526">
        <v>0.99987803227770999</v>
      </c>
      <c r="C2526">
        <v>1.2667734197537499</v>
      </c>
      <c r="D2526">
        <v>1.15518752591493</v>
      </c>
      <c r="E2526">
        <v>1.0940767153961699</v>
      </c>
      <c r="F2526">
        <v>0.75843595743929304</v>
      </c>
      <c r="G2526">
        <v>0.44142907151181898</v>
      </c>
      <c r="H2526">
        <v>0.207743716883034</v>
      </c>
      <c r="I2526">
        <v>0.14307336673561699</v>
      </c>
      <c r="J2526">
        <v>0.12268854152429901</v>
      </c>
      <c r="K2526">
        <v>8.2063412518881496E-2</v>
      </c>
      <c r="L2526">
        <v>1502.2049556485999</v>
      </c>
      <c r="M2526">
        <v>26.931739513614101</v>
      </c>
      <c r="N2526">
        <v>56.288705990615597</v>
      </c>
      <c r="O2526">
        <v>55.4734288252548</v>
      </c>
      <c r="P2526">
        <v>-0.10822276126892801</v>
      </c>
      <c r="Q2526">
        <v>0.108349091104322</v>
      </c>
      <c r="R2526">
        <v>0.941852670678888</v>
      </c>
      <c r="S2526" t="s">
        <v>8837</v>
      </c>
      <c r="T2526" t="s">
        <v>12620</v>
      </c>
      <c r="U2526" t="s">
        <v>12620</v>
      </c>
      <c r="V2526" t="s">
        <v>12620</v>
      </c>
      <c r="W2526" t="s">
        <v>15103</v>
      </c>
      <c r="X2526">
        <v>19</v>
      </c>
      <c r="Y2526" t="s">
        <v>21284</v>
      </c>
      <c r="Z2526" t="s">
        <v>27473</v>
      </c>
      <c r="AA2526">
        <v>0.58452395252969203</v>
      </c>
      <c r="AB2526" t="str">
        <f>HYPERLINK("Melting_Curves/meltCurve_P61247_RPS3A.pdf", "Melting_Curves/meltCurve_P61247_RPS3A.pdf")</f>
        <v>Melting_Curves/meltCurve_P61247_RPS3A.pdf</v>
      </c>
    </row>
    <row r="2527" spans="1:28" x14ac:dyDescent="0.25">
      <c r="A2527" t="s">
        <v>2531</v>
      </c>
      <c r="B2527">
        <v>0.99987803227770999</v>
      </c>
      <c r="C2527">
        <v>1.08119146764785</v>
      </c>
      <c r="D2527">
        <v>0.88980401322967895</v>
      </c>
      <c r="E2527">
        <v>0.68157562883601197</v>
      </c>
      <c r="F2527">
        <v>0.41364407969453298</v>
      </c>
      <c r="G2527">
        <v>0.23375621888099199</v>
      </c>
      <c r="H2527">
        <v>0.12635651188752001</v>
      </c>
      <c r="I2527">
        <v>0.11485472719586499</v>
      </c>
      <c r="J2527">
        <v>9.2098187443621304E-2</v>
      </c>
      <c r="K2527">
        <v>6.8253376124852397E-2</v>
      </c>
      <c r="L2527">
        <v>982.491259890533</v>
      </c>
      <c r="M2527">
        <v>19.036956612454901</v>
      </c>
      <c r="N2527">
        <v>52.096227764407097</v>
      </c>
      <c r="O2527">
        <v>51.050308034265903</v>
      </c>
      <c r="P2527">
        <v>-8.5637362150765298E-2</v>
      </c>
      <c r="Q2527">
        <v>8.1441239903710896E-2</v>
      </c>
      <c r="R2527">
        <v>0.99188535064942396</v>
      </c>
      <c r="S2527" t="s">
        <v>8838</v>
      </c>
      <c r="T2527" t="s">
        <v>12620</v>
      </c>
      <c r="U2527" t="s">
        <v>12620</v>
      </c>
      <c r="V2527" t="s">
        <v>12620</v>
      </c>
      <c r="W2527" t="s">
        <v>15104</v>
      </c>
      <c r="X2527">
        <v>7</v>
      </c>
      <c r="Y2527" t="s">
        <v>21285</v>
      </c>
      <c r="Z2527" t="s">
        <v>27474</v>
      </c>
      <c r="AA2527">
        <v>0.45083034021979718</v>
      </c>
      <c r="AB2527" t="str">
        <f>HYPERLINK("Melting_Curves/meltCurve_P61254_RPL26.pdf", "Melting_Curves/meltCurve_P61254_RPL26.pdf")</f>
        <v>Melting_Curves/meltCurve_P61254_RPL26.pdf</v>
      </c>
    </row>
    <row r="2528" spans="1:28" x14ac:dyDescent="0.25">
      <c r="A2528" t="s">
        <v>2532</v>
      </c>
      <c r="B2528">
        <v>0.99987803227770999</v>
      </c>
      <c r="C2528">
        <v>1.10893037898977</v>
      </c>
      <c r="D2528">
        <v>0.97343931705554598</v>
      </c>
      <c r="E2528">
        <v>1.1632497646408999</v>
      </c>
      <c r="F2528">
        <v>0.86512126852661397</v>
      </c>
      <c r="G2528">
        <v>0.87813086683207098</v>
      </c>
      <c r="H2528">
        <v>1.0572760072237899</v>
      </c>
      <c r="I2528">
        <v>1.00248257171434</v>
      </c>
      <c r="J2528">
        <v>0.99766924962436399</v>
      </c>
      <c r="K2528">
        <v>0.58891816278602804</v>
      </c>
      <c r="L2528">
        <v>8993.4703455629206</v>
      </c>
      <c r="M2528">
        <v>128.23819761845701</v>
      </c>
      <c r="Q2528">
        <v>6.6356459770627901E-2</v>
      </c>
      <c r="R2528">
        <v>0.67325805799585503</v>
      </c>
      <c r="S2528" t="s">
        <v>8839</v>
      </c>
      <c r="T2528" t="s">
        <v>12620</v>
      </c>
      <c r="U2528" t="s">
        <v>12620</v>
      </c>
      <c r="V2528" t="s">
        <v>12620</v>
      </c>
      <c r="W2528" t="s">
        <v>15105</v>
      </c>
      <c r="X2528">
        <v>21</v>
      </c>
      <c r="Y2528" t="s">
        <v>21286</v>
      </c>
      <c r="Z2528" t="s">
        <v>27475</v>
      </c>
      <c r="AA2528">
        <v>0.99033195828708342</v>
      </c>
      <c r="AB2528" t="str">
        <f>HYPERLINK("Melting_Curves/meltCurve_P61289_PSME3.pdf", "Melting_Curves/meltCurve_P61289_PSME3.pdf")</f>
        <v>Melting_Curves/meltCurve_P61289_PSME3.pdf</v>
      </c>
    </row>
    <row r="2529" spans="1:28" x14ac:dyDescent="0.25">
      <c r="A2529" t="s">
        <v>2533</v>
      </c>
      <c r="B2529">
        <v>0.99987803227770999</v>
      </c>
      <c r="C2529">
        <v>1.5129438128982</v>
      </c>
      <c r="D2529">
        <v>1.5583060763360901</v>
      </c>
      <c r="E2529">
        <v>1.3247740442652001</v>
      </c>
      <c r="F2529">
        <v>0.93722351976516305</v>
      </c>
      <c r="G2529">
        <v>0.389067069599416</v>
      </c>
      <c r="H2529">
        <v>0.18636723372218</v>
      </c>
      <c r="I2529">
        <v>0.15404514707992101</v>
      </c>
      <c r="J2529">
        <v>0.16238180617859199</v>
      </c>
      <c r="K2529">
        <v>0.10604673245719699</v>
      </c>
      <c r="L2529">
        <v>2903.71546746796</v>
      </c>
      <c r="M2529">
        <v>51.8721504024479</v>
      </c>
      <c r="N2529">
        <v>56.361681132669403</v>
      </c>
      <c r="O2529">
        <v>55.895278829962599</v>
      </c>
      <c r="P2529">
        <v>-0.197517913042074</v>
      </c>
      <c r="Q2529">
        <v>0.14865181826377899</v>
      </c>
      <c r="R2529">
        <v>0.78766061738280801</v>
      </c>
      <c r="S2529" t="s">
        <v>8840</v>
      </c>
      <c r="T2529" t="s">
        <v>12620</v>
      </c>
      <c r="U2529" t="s">
        <v>12620</v>
      </c>
      <c r="V2529" t="s">
        <v>12620</v>
      </c>
      <c r="W2529" t="s">
        <v>15106</v>
      </c>
      <c r="X2529">
        <v>3</v>
      </c>
      <c r="Y2529" t="s">
        <v>21287</v>
      </c>
      <c r="Z2529" t="s">
        <v>27476</v>
      </c>
      <c r="AA2529">
        <v>0.60403958222352239</v>
      </c>
      <c r="AB2529" t="str">
        <f>HYPERLINK("Melting_Curves/meltCurve_P61313_RPL15.pdf", "Melting_Curves/meltCurve_P61313_RPL15.pdf")</f>
        <v>Melting_Curves/meltCurve_P61313_RPL15.pdf</v>
      </c>
    </row>
    <row r="2530" spans="1:28" x14ac:dyDescent="0.25">
      <c r="A2530" t="s">
        <v>2534</v>
      </c>
      <c r="B2530">
        <v>0.99987803227770999</v>
      </c>
      <c r="C2530">
        <v>1.04657421009137</v>
      </c>
      <c r="D2530">
        <v>1.02619546273369</v>
      </c>
      <c r="E2530">
        <v>1.1012373099528301</v>
      </c>
      <c r="F2530">
        <v>0.68301651733845303</v>
      </c>
      <c r="G2530">
        <v>0.398776079241076</v>
      </c>
      <c r="H2530">
        <v>0.223573790561712</v>
      </c>
      <c r="I2530">
        <v>0.159968927306952</v>
      </c>
      <c r="J2530">
        <v>0.14091356956284601</v>
      </c>
      <c r="K2530">
        <v>9.4121009437122399E-2</v>
      </c>
      <c r="L2530">
        <v>1478.3423919939601</v>
      </c>
      <c r="M2530">
        <v>26.8922300090017</v>
      </c>
      <c r="N2530">
        <v>55.618426966197198</v>
      </c>
      <c r="O2530">
        <v>54.671561906638701</v>
      </c>
      <c r="P2530">
        <v>-0.106486834492157</v>
      </c>
      <c r="Q2530">
        <v>0.13406319061323099</v>
      </c>
      <c r="R2530">
        <v>0.97654936638759005</v>
      </c>
      <c r="S2530" t="s">
        <v>8841</v>
      </c>
      <c r="T2530" t="s">
        <v>12620</v>
      </c>
      <c r="U2530" t="s">
        <v>12620</v>
      </c>
      <c r="V2530" t="s">
        <v>12620</v>
      </c>
      <c r="W2530" t="s">
        <v>15107</v>
      </c>
      <c r="X2530">
        <v>6</v>
      </c>
      <c r="Y2530" t="s">
        <v>21288</v>
      </c>
      <c r="Z2530" t="s">
        <v>27477</v>
      </c>
      <c r="AA2530">
        <v>0.5732815191201116</v>
      </c>
      <c r="AB2530" t="str">
        <f>HYPERLINK("Melting_Curves/meltCurve_P61353_RPL27.pdf", "Melting_Curves/meltCurve_P61353_RPL27.pdf")</f>
        <v>Melting_Curves/meltCurve_P61353_RPL27.pdf</v>
      </c>
    </row>
    <row r="2531" spans="1:28" x14ac:dyDescent="0.25">
      <c r="A2531" t="s">
        <v>2535</v>
      </c>
      <c r="B2531">
        <v>0.99987803227770999</v>
      </c>
      <c r="C2531">
        <v>0.68536236670833195</v>
      </c>
      <c r="D2531">
        <v>0.74252741642206999</v>
      </c>
      <c r="E2531">
        <v>0.66277131090554597</v>
      </c>
      <c r="F2531">
        <v>0.95008202195480895</v>
      </c>
      <c r="G2531">
        <v>0.72589804044152995</v>
      </c>
      <c r="H2531">
        <v>1.15760196244196</v>
      </c>
      <c r="I2531">
        <v>0.79176797448928804</v>
      </c>
      <c r="J2531">
        <v>0.65938865641121103</v>
      </c>
      <c r="K2531">
        <v>0.49524202038021897</v>
      </c>
      <c r="L2531">
        <v>87.238580289698504</v>
      </c>
      <c r="M2531">
        <v>0.29912175079058401</v>
      </c>
      <c r="Q2531">
        <v>0</v>
      </c>
      <c r="R2531">
        <v>6.3796574276065596E-2</v>
      </c>
      <c r="S2531" t="s">
        <v>8842</v>
      </c>
      <c r="T2531" t="s">
        <v>12620</v>
      </c>
      <c r="U2531" t="s">
        <v>12620</v>
      </c>
      <c r="V2531" t="s">
        <v>12620</v>
      </c>
      <c r="W2531" t="s">
        <v>15108</v>
      </c>
      <c r="X2531">
        <v>9</v>
      </c>
      <c r="Y2531" t="s">
        <v>21289</v>
      </c>
      <c r="Z2531" t="s">
        <v>27478</v>
      </c>
      <c r="AA2531">
        <v>0.78722267324297135</v>
      </c>
      <c r="AB2531" t="str">
        <f>HYPERLINK("Melting_Curves/meltCurve_P61457_PCBD1.pdf", "Melting_Curves/meltCurve_P61457_PCBD1.pdf")</f>
        <v>Melting_Curves/meltCurve_P61457_PCBD1.pdf</v>
      </c>
    </row>
    <row r="2532" spans="1:28" x14ac:dyDescent="0.25">
      <c r="A2532" t="s">
        <v>2536</v>
      </c>
      <c r="B2532">
        <v>0.99987803227770999</v>
      </c>
      <c r="C2532">
        <v>0.92747009378410705</v>
      </c>
      <c r="D2532">
        <v>1.0340182565891001</v>
      </c>
      <c r="E2532">
        <v>0.92953104973815304</v>
      </c>
      <c r="F2532">
        <v>0.82472777861581703</v>
      </c>
      <c r="G2532">
        <v>0.28720553963793</v>
      </c>
      <c r="H2532">
        <v>0.159254737075883</v>
      </c>
      <c r="I2532">
        <v>0.118738066491154</v>
      </c>
      <c r="J2532">
        <v>8.6405683181921503E-2</v>
      </c>
      <c r="K2532">
        <v>6.0659469846991602E-2</v>
      </c>
      <c r="L2532">
        <v>1864.03188707041</v>
      </c>
      <c r="M2532">
        <v>33.8779849566682</v>
      </c>
      <c r="N2532">
        <v>55.356043016675898</v>
      </c>
      <c r="O2532">
        <v>54.831268828325797</v>
      </c>
      <c r="P2532">
        <v>-0.14018266043960301</v>
      </c>
      <c r="Q2532">
        <v>9.2465239977828004E-2</v>
      </c>
      <c r="R2532">
        <v>0.99297157528959001</v>
      </c>
      <c r="S2532" t="s">
        <v>8843</v>
      </c>
      <c r="T2532" t="s">
        <v>12620</v>
      </c>
      <c r="U2532" t="s">
        <v>12620</v>
      </c>
      <c r="V2532" t="s">
        <v>12620</v>
      </c>
      <c r="W2532" t="s">
        <v>15109</v>
      </c>
      <c r="X2532">
        <v>12</v>
      </c>
      <c r="Y2532" t="s">
        <v>21290</v>
      </c>
      <c r="Z2532" t="s">
        <v>27479</v>
      </c>
      <c r="AA2532">
        <v>0.55166478605041358</v>
      </c>
      <c r="AB2532" t="str">
        <f>HYPERLINK("Melting_Curves/meltCurve_P61586_RHOA.pdf", "Melting_Curves/meltCurve_P61586_RHOA.pdf")</f>
        <v>Melting_Curves/meltCurve_P61586_RHOA.pdf</v>
      </c>
    </row>
    <row r="2533" spans="1:28" x14ac:dyDescent="0.25">
      <c r="A2533" t="s">
        <v>2537</v>
      </c>
      <c r="B2533">
        <v>0.99987803227770999</v>
      </c>
      <c r="C2533">
        <v>0.90516025346712203</v>
      </c>
      <c r="D2533">
        <v>0.96086044072222998</v>
      </c>
      <c r="E2533">
        <v>0.78854402985552396</v>
      </c>
      <c r="F2533">
        <v>0.89816366524965496</v>
      </c>
      <c r="G2533">
        <v>0.70351319768683396</v>
      </c>
      <c r="H2533">
        <v>0.43344056929495101</v>
      </c>
      <c r="I2533">
        <v>0.195965912685133</v>
      </c>
      <c r="J2533">
        <v>0.10810400303977299</v>
      </c>
      <c r="K2533">
        <v>8.2478496657122799E-2</v>
      </c>
      <c r="L2533">
        <v>947.97441201276195</v>
      </c>
      <c r="M2533">
        <v>15.954437756499299</v>
      </c>
      <c r="N2533">
        <v>59.4176010270821</v>
      </c>
      <c r="O2533">
        <v>58.507629981532197</v>
      </c>
      <c r="P2533">
        <v>-6.8177873353542306E-2</v>
      </c>
      <c r="Q2533">
        <v>0</v>
      </c>
      <c r="R2533">
        <v>0.96457654037819796</v>
      </c>
      <c r="S2533" t="s">
        <v>8844</v>
      </c>
      <c r="T2533" t="s">
        <v>12620</v>
      </c>
      <c r="U2533" t="s">
        <v>12620</v>
      </c>
      <c r="V2533" t="s">
        <v>12620</v>
      </c>
      <c r="W2533" t="s">
        <v>15110</v>
      </c>
      <c r="X2533">
        <v>4</v>
      </c>
      <c r="Y2533" t="s">
        <v>21291</v>
      </c>
      <c r="Z2533" t="s">
        <v>27480</v>
      </c>
      <c r="AA2533">
        <v>0.65671216519071751</v>
      </c>
      <c r="AB2533" t="str">
        <f>HYPERLINK("Melting_Curves/meltCurve_P61587_RND3.pdf", "Melting_Curves/meltCurve_P61587_RND3.pdf")</f>
        <v>Melting_Curves/meltCurve_P61587_RND3.pdf</v>
      </c>
    </row>
    <row r="2534" spans="1:28" x14ac:dyDescent="0.25">
      <c r="A2534" t="s">
        <v>2538</v>
      </c>
      <c r="B2534">
        <v>0.99987803227770999</v>
      </c>
      <c r="C2534">
        <v>1.15535905524514</v>
      </c>
      <c r="D2534">
        <v>1.0073929739302001</v>
      </c>
      <c r="E2534">
        <v>1.18816186058211</v>
      </c>
      <c r="F2534">
        <v>0.43906783104389502</v>
      </c>
      <c r="G2534">
        <v>0.251254027717075</v>
      </c>
      <c r="H2534">
        <v>0.15765090223330899</v>
      </c>
      <c r="I2534">
        <v>0.13742229577239001</v>
      </c>
      <c r="J2534">
        <v>9.0715476764945402E-2</v>
      </c>
      <c r="K2534">
        <v>6.3552881138197598E-2</v>
      </c>
      <c r="L2534">
        <v>13216.645771466399</v>
      </c>
      <c r="M2534">
        <v>250</v>
      </c>
      <c r="N2534">
        <v>52.936215999198701</v>
      </c>
      <c r="O2534">
        <v>52.863197376170902</v>
      </c>
      <c r="P2534">
        <v>-1.0166346040701599</v>
      </c>
      <c r="Q2534">
        <v>0.140119066948381</v>
      </c>
      <c r="R2534">
        <v>0.96086396324298995</v>
      </c>
      <c r="S2534" t="s">
        <v>8845</v>
      </c>
      <c r="T2534" t="s">
        <v>12620</v>
      </c>
      <c r="U2534" t="s">
        <v>12620</v>
      </c>
      <c r="V2534" t="s">
        <v>12620</v>
      </c>
      <c r="W2534" t="s">
        <v>15111</v>
      </c>
      <c r="X2534">
        <v>4</v>
      </c>
      <c r="Y2534" t="s">
        <v>21292</v>
      </c>
      <c r="Z2534" t="s">
        <v>27481</v>
      </c>
      <c r="AA2534">
        <v>0.50898982902960943</v>
      </c>
      <c r="AB2534" t="str">
        <f>HYPERLINK("Melting_Curves/meltCurve_P61599_NAA20.pdf", "Melting_Curves/meltCurve_P61599_NAA20.pdf")</f>
        <v>Melting_Curves/meltCurve_P61599_NAA20.pdf</v>
      </c>
    </row>
    <row r="2535" spans="1:28" x14ac:dyDescent="0.25">
      <c r="A2535" t="s">
        <v>2539</v>
      </c>
      <c r="B2535">
        <v>0.99987803227770999</v>
      </c>
      <c r="C2535">
        <v>1.0290357828135801</v>
      </c>
      <c r="D2535">
        <v>1.05557665520044</v>
      </c>
      <c r="E2535">
        <v>1.0532853833865401</v>
      </c>
      <c r="F2535">
        <v>1.06032793304435</v>
      </c>
      <c r="G2535">
        <v>1.0138200622218401</v>
      </c>
      <c r="H2535">
        <v>1.2356346371976601</v>
      </c>
      <c r="I2535">
        <v>1.20406129639936</v>
      </c>
      <c r="J2535">
        <v>1.1261423453213999</v>
      </c>
      <c r="K2535">
        <v>0.94491282443053703</v>
      </c>
      <c r="L2535">
        <v>590.51746200835498</v>
      </c>
      <c r="M2535">
        <v>12.1969298362544</v>
      </c>
      <c r="O2535">
        <v>47.168949353464797</v>
      </c>
      <c r="P2535">
        <v>7.0285632717472296E-3</v>
      </c>
      <c r="Q2535">
        <v>1.1087010960380499</v>
      </c>
      <c r="R2535">
        <v>0.16406572846851999</v>
      </c>
      <c r="S2535" t="s">
        <v>8846</v>
      </c>
      <c r="T2535" t="s">
        <v>12620</v>
      </c>
      <c r="U2535" t="s">
        <v>12620</v>
      </c>
      <c r="V2535" t="s">
        <v>12620</v>
      </c>
      <c r="W2535" t="s">
        <v>15112</v>
      </c>
      <c r="X2535">
        <v>14</v>
      </c>
      <c r="Y2535" t="s">
        <v>21293</v>
      </c>
      <c r="Z2535" t="s">
        <v>27482</v>
      </c>
      <c r="AA2535">
        <v>1.07418423781683</v>
      </c>
      <c r="AB2535" t="str">
        <f>HYPERLINK("Melting_Curves/meltCurve_P61604_HSPE1.pdf", "Melting_Curves/meltCurve_P61604_HSPE1.pdf")</f>
        <v>Melting_Curves/meltCurve_P61604_HSPE1.pdf</v>
      </c>
    </row>
    <row r="2536" spans="1:28" x14ac:dyDescent="0.25">
      <c r="A2536" t="s">
        <v>2540</v>
      </c>
      <c r="B2536">
        <v>0.99987803227770999</v>
      </c>
      <c r="C2536">
        <v>1.1776612078759501</v>
      </c>
      <c r="D2536">
        <v>1.06310637236012</v>
      </c>
      <c r="E2536">
        <v>1.25820243579602</v>
      </c>
      <c r="F2536">
        <v>1.08369355096231</v>
      </c>
      <c r="G2536">
        <v>1.1457347861601801</v>
      </c>
      <c r="H2536">
        <v>1.0333733696701899</v>
      </c>
      <c r="I2536">
        <v>0.776536412735092</v>
      </c>
      <c r="J2536">
        <v>0.46064258550546799</v>
      </c>
      <c r="K2536">
        <v>0.33547636491291499</v>
      </c>
      <c r="L2536">
        <v>3457.2017078338399</v>
      </c>
      <c r="M2536">
        <v>53.207339882601097</v>
      </c>
      <c r="N2536">
        <v>66.334857012074494</v>
      </c>
      <c r="O2536">
        <v>64.884440836140001</v>
      </c>
      <c r="P2536">
        <v>-0.136970875592653</v>
      </c>
      <c r="Q2536">
        <v>0.331876192444857</v>
      </c>
      <c r="R2536">
        <v>0.84571885483131304</v>
      </c>
      <c r="S2536" t="s">
        <v>8847</v>
      </c>
      <c r="T2536" t="s">
        <v>12620</v>
      </c>
      <c r="U2536" t="s">
        <v>12620</v>
      </c>
      <c r="V2536" t="s">
        <v>12620</v>
      </c>
      <c r="W2536" t="s">
        <v>15113</v>
      </c>
      <c r="X2536">
        <v>17</v>
      </c>
      <c r="Y2536" t="s">
        <v>21294</v>
      </c>
      <c r="Z2536" t="s">
        <v>27483</v>
      </c>
      <c r="AA2536">
        <v>0.88908681505842446</v>
      </c>
      <c r="AB2536" t="str">
        <f>HYPERLINK("Melting_Curves/meltCurve_P61758_VBP1.pdf", "Melting_Curves/meltCurve_P61758_VBP1.pdf")</f>
        <v>Melting_Curves/meltCurve_P61758_VBP1.pdf</v>
      </c>
    </row>
    <row r="2537" spans="1:28" x14ac:dyDescent="0.25">
      <c r="A2537" t="s">
        <v>2541</v>
      </c>
      <c r="B2537">
        <v>0.99987803227770999</v>
      </c>
      <c r="C2537">
        <v>0.99618294924352802</v>
      </c>
      <c r="D2537">
        <v>1.0166506215397899</v>
      </c>
      <c r="E2537">
        <v>0.57962170609315899</v>
      </c>
      <c r="F2537">
        <v>0.348311851336286</v>
      </c>
      <c r="G2537">
        <v>0.23668705231958301</v>
      </c>
      <c r="H2537">
        <v>0.240613602521903</v>
      </c>
      <c r="I2537">
        <v>0.225787753183565</v>
      </c>
      <c r="J2537">
        <v>0.181262836002551</v>
      </c>
      <c r="K2537">
        <v>0.15015528744119899</v>
      </c>
      <c r="L2537">
        <v>1632.0988945383699</v>
      </c>
      <c r="M2537">
        <v>32.616504787358103</v>
      </c>
      <c r="N2537">
        <v>50.869919059983403</v>
      </c>
      <c r="O2537">
        <v>49.852074502371103</v>
      </c>
      <c r="P2537">
        <v>-0.12979053489850101</v>
      </c>
      <c r="Q2537">
        <v>0.20650024049708601</v>
      </c>
      <c r="R2537">
        <v>0.99121957205197597</v>
      </c>
      <c r="S2537" t="s">
        <v>8848</v>
      </c>
      <c r="T2537" t="s">
        <v>12620</v>
      </c>
      <c r="U2537" t="s">
        <v>12620</v>
      </c>
      <c r="V2537" t="s">
        <v>12620</v>
      </c>
      <c r="W2537" t="s">
        <v>15114</v>
      </c>
      <c r="X2537">
        <v>9</v>
      </c>
      <c r="Y2537" t="s">
        <v>21295</v>
      </c>
      <c r="Z2537" t="s">
        <v>27484</v>
      </c>
      <c r="AA2537">
        <v>0.47617971303648032</v>
      </c>
      <c r="AB2537" t="str">
        <f>HYPERLINK("Melting_Curves/meltCurve_P61764_STXBP1.pdf", "Melting_Curves/meltCurve_P61764_STXBP1.pdf")</f>
        <v>Melting_Curves/meltCurve_P61764_STXBP1.pdf</v>
      </c>
    </row>
    <row r="2538" spans="1:28" x14ac:dyDescent="0.25">
      <c r="A2538" t="s">
        <v>2542</v>
      </c>
      <c r="B2538">
        <v>0.99987803227770999</v>
      </c>
      <c r="C2538">
        <v>0.92963808726835795</v>
      </c>
      <c r="D2538">
        <v>1.04243775770634</v>
      </c>
      <c r="E2538">
        <v>1.0735123839932501</v>
      </c>
      <c r="F2538">
        <v>0.94278837221461798</v>
      </c>
      <c r="G2538">
        <v>1.11700496461196</v>
      </c>
      <c r="H2538">
        <v>0.90767360244909501</v>
      </c>
      <c r="I2538">
        <v>0.28996862112856697</v>
      </c>
      <c r="J2538">
        <v>0.15542325243347499</v>
      </c>
      <c r="K2538">
        <v>9.0420849555660099E-2</v>
      </c>
      <c r="L2538">
        <v>4599.8996152964601</v>
      </c>
      <c r="M2538">
        <v>73.269001233789297</v>
      </c>
      <c r="N2538">
        <v>63.010848022688101</v>
      </c>
      <c r="O2538">
        <v>62.734258216580201</v>
      </c>
      <c r="P2538">
        <v>-0.25774043215287501</v>
      </c>
      <c r="Q2538">
        <v>0.11727188517762401</v>
      </c>
      <c r="R2538">
        <v>0.97916805082625202</v>
      </c>
      <c r="S2538" t="s">
        <v>8849</v>
      </c>
      <c r="T2538" t="s">
        <v>12620</v>
      </c>
      <c r="U2538" t="s">
        <v>12620</v>
      </c>
      <c r="V2538" t="s">
        <v>12620</v>
      </c>
      <c r="W2538" t="s">
        <v>15115</v>
      </c>
      <c r="X2538">
        <v>6</v>
      </c>
      <c r="Y2538" t="s">
        <v>21296</v>
      </c>
      <c r="Z2538" t="s">
        <v>27485</v>
      </c>
      <c r="AA2538">
        <v>0.78870365725784142</v>
      </c>
      <c r="AB2538" t="str">
        <f>HYPERLINK("Melting_Curves/meltCurve_P61923_COPZ1.pdf", "Melting_Curves/meltCurve_P61923_COPZ1.pdf")</f>
        <v>Melting_Curves/meltCurve_P61923_COPZ1.pdf</v>
      </c>
    </row>
    <row r="2539" spans="1:28" x14ac:dyDescent="0.25">
      <c r="A2539" t="s">
        <v>2543</v>
      </c>
      <c r="B2539">
        <v>0.99987803227770999</v>
      </c>
      <c r="C2539">
        <v>2.6175256957414201</v>
      </c>
      <c r="D2539">
        <v>2.73637983731743</v>
      </c>
      <c r="E2539">
        <v>2.8908351381913602</v>
      </c>
      <c r="F2539">
        <v>0.89962359206125697</v>
      </c>
      <c r="G2539">
        <v>0.69320740380096502</v>
      </c>
      <c r="H2539">
        <v>0.99133889342265602</v>
      </c>
      <c r="I2539">
        <v>0.62240550416590901</v>
      </c>
      <c r="J2539">
        <v>0.77023164263914201</v>
      </c>
      <c r="K2539">
        <v>0.34945211663833298</v>
      </c>
      <c r="L2539">
        <v>1187.58265466899</v>
      </c>
      <c r="M2539">
        <v>17.300000023936001</v>
      </c>
      <c r="N2539">
        <v>68.646396291926706</v>
      </c>
      <c r="O2539">
        <v>67.7488647866885</v>
      </c>
      <c r="P2539">
        <v>-6.3842390221732506E-2</v>
      </c>
      <c r="Q2539">
        <v>0</v>
      </c>
      <c r="R2539">
        <v>-8.2105751131639204E-2</v>
      </c>
      <c r="S2539" t="s">
        <v>8850</v>
      </c>
      <c r="T2539" t="s">
        <v>12620</v>
      </c>
      <c r="U2539" t="s">
        <v>12620</v>
      </c>
      <c r="V2539" t="s">
        <v>12620</v>
      </c>
      <c r="W2539" t="s">
        <v>15116</v>
      </c>
      <c r="X2539">
        <v>2</v>
      </c>
      <c r="Y2539" t="s">
        <v>21297</v>
      </c>
      <c r="Z2539" t="s">
        <v>27486</v>
      </c>
      <c r="AA2539">
        <v>0.89450725876651527</v>
      </c>
      <c r="AB2539" t="str">
        <f>HYPERLINK("Melting_Curves/meltCurve_P61927_RPL37.pdf", "Melting_Curves/meltCurve_P61927_RPL37.pdf")</f>
        <v>Melting_Curves/meltCurve_P61927_RPL37.pdf</v>
      </c>
    </row>
    <row r="2540" spans="1:28" x14ac:dyDescent="0.25">
      <c r="A2540" t="s">
        <v>2544</v>
      </c>
      <c r="B2540">
        <v>0.99987803227770999</v>
      </c>
      <c r="C2540">
        <v>0.88004166585083199</v>
      </c>
      <c r="D2540">
        <v>1.0241904692756301</v>
      </c>
      <c r="E2540">
        <v>0.87646485945102404</v>
      </c>
      <c r="F2540">
        <v>1.0247710171390101</v>
      </c>
      <c r="G2540">
        <v>0.77857303741441297</v>
      </c>
      <c r="H2540">
        <v>0.73827766945683504</v>
      </c>
      <c r="I2540">
        <v>0.63171447224094202</v>
      </c>
      <c r="J2540">
        <v>0.57029475095139204</v>
      </c>
      <c r="K2540">
        <v>0.58526481421852605</v>
      </c>
      <c r="L2540">
        <v>886.64318776392395</v>
      </c>
      <c r="M2540">
        <v>15.001709734066299</v>
      </c>
      <c r="O2540">
        <v>58.082442443687299</v>
      </c>
      <c r="P2540">
        <v>-3.06679640564314E-2</v>
      </c>
      <c r="Q2540">
        <v>0.52509682914311695</v>
      </c>
      <c r="R2540">
        <v>0.86809751703530702</v>
      </c>
      <c r="S2540" t="s">
        <v>8851</v>
      </c>
      <c r="T2540" t="s">
        <v>12620</v>
      </c>
      <c r="U2540" t="s">
        <v>12620</v>
      </c>
      <c r="V2540" t="s">
        <v>12620</v>
      </c>
      <c r="W2540" t="s">
        <v>15117</v>
      </c>
      <c r="X2540">
        <v>2</v>
      </c>
      <c r="Y2540" t="s">
        <v>21298</v>
      </c>
      <c r="Z2540" t="s">
        <v>27487</v>
      </c>
      <c r="AA2540">
        <v>0.83231440501929421</v>
      </c>
      <c r="AB2540" t="str">
        <f>HYPERLINK("Melting_Curves/meltCurve_P61952_GNG11.pdf", "Melting_Curves/meltCurve_P61952_GNG11.pdf")</f>
        <v>Melting_Curves/meltCurve_P61952_GNG11.pdf</v>
      </c>
    </row>
    <row r="2541" spans="1:28" x14ac:dyDescent="0.25">
      <c r="A2541" t="s">
        <v>2545</v>
      </c>
      <c r="B2541">
        <v>0.99987803227770999</v>
      </c>
      <c r="C2541">
        <v>0.82696656380498901</v>
      </c>
      <c r="D2541">
        <v>1.0014816371355799</v>
      </c>
      <c r="E2541">
        <v>0.86205830079785595</v>
      </c>
      <c r="F2541">
        <v>1.0552183041880401</v>
      </c>
      <c r="G2541">
        <v>0.89663641357131796</v>
      </c>
      <c r="H2541">
        <v>1.08135553216437</v>
      </c>
      <c r="I2541">
        <v>1.0341938731757001</v>
      </c>
      <c r="J2541">
        <v>1.2180664602809601</v>
      </c>
      <c r="K2541">
        <v>1.00258739452713</v>
      </c>
      <c r="L2541">
        <v>15000</v>
      </c>
      <c r="M2541">
        <v>249.02037675591899</v>
      </c>
      <c r="O2541">
        <v>60.232149404749897</v>
      </c>
      <c r="P2541">
        <v>8.7803115106068003E-2</v>
      </c>
      <c r="Q2541">
        <v>1.08495000141418</v>
      </c>
      <c r="R2541">
        <v>0.23915409515272101</v>
      </c>
      <c r="S2541" t="s">
        <v>8852</v>
      </c>
      <c r="T2541" t="s">
        <v>12620</v>
      </c>
      <c r="U2541" t="s">
        <v>12620</v>
      </c>
      <c r="V2541" t="s">
        <v>12620</v>
      </c>
      <c r="W2541" t="s">
        <v>15118</v>
      </c>
      <c r="X2541">
        <v>3</v>
      </c>
      <c r="Y2541" t="s">
        <v>21299</v>
      </c>
      <c r="Z2541" t="s">
        <v>27488</v>
      </c>
      <c r="AA2541">
        <v>1.027639245007621</v>
      </c>
      <c r="AB2541" t="str">
        <f>HYPERLINK("Melting_Curves/meltCurve_P61956_SUMO2.pdf", "Melting_Curves/meltCurve_P61956_SUMO2.pdf")</f>
        <v>Melting_Curves/meltCurve_P61956_SUMO2.pdf</v>
      </c>
    </row>
    <row r="2542" spans="1:28" x14ac:dyDescent="0.25">
      <c r="A2542" t="s">
        <v>2546</v>
      </c>
      <c r="B2542">
        <v>0.99987803227770999</v>
      </c>
      <c r="C2542">
        <v>1.03370783126156</v>
      </c>
      <c r="D2542">
        <v>0.98304431471234499</v>
      </c>
      <c r="E2542">
        <v>0.94041841782276703</v>
      </c>
      <c r="F2542">
        <v>0.745194549300916</v>
      </c>
      <c r="G2542">
        <v>0.41141363787261098</v>
      </c>
      <c r="H2542">
        <v>0.226314855007681</v>
      </c>
      <c r="I2542">
        <v>0.18384553053294</v>
      </c>
      <c r="J2542">
        <v>0.11997697700069899</v>
      </c>
      <c r="K2542">
        <v>7.8646666780422606E-2</v>
      </c>
      <c r="L2542">
        <v>1154.3399340174501</v>
      </c>
      <c r="M2542">
        <v>20.8098661825661</v>
      </c>
      <c r="N2542">
        <v>56.053351504113898</v>
      </c>
      <c r="O2542">
        <v>54.966178673492301</v>
      </c>
      <c r="P2542">
        <v>-8.5447060328545696E-2</v>
      </c>
      <c r="Q2542">
        <v>9.7242115185978806E-2</v>
      </c>
      <c r="R2542">
        <v>0.99708007528689901</v>
      </c>
      <c r="S2542" t="s">
        <v>8853</v>
      </c>
      <c r="T2542" t="s">
        <v>12620</v>
      </c>
      <c r="U2542" t="s">
        <v>12620</v>
      </c>
      <c r="V2542" t="s">
        <v>12620</v>
      </c>
      <c r="W2542" t="s">
        <v>15119</v>
      </c>
      <c r="X2542">
        <v>7</v>
      </c>
      <c r="Y2542" t="s">
        <v>21300</v>
      </c>
      <c r="Z2542" t="s">
        <v>27489</v>
      </c>
      <c r="AA2542">
        <v>0.57397509364306409</v>
      </c>
      <c r="AB2542" t="str">
        <f>HYPERLINK("Melting_Curves/meltCurve_P61962_DCAF7.pdf", "Melting_Curves/meltCurve_P61962_DCAF7.pdf")</f>
        <v>Melting_Curves/meltCurve_P61962_DCAF7.pdf</v>
      </c>
    </row>
    <row r="2543" spans="1:28" x14ac:dyDescent="0.25">
      <c r="A2543" t="s">
        <v>2547</v>
      </c>
      <c r="B2543">
        <v>0.99987803227770999</v>
      </c>
      <c r="C2543">
        <v>1.07075074008728</v>
      </c>
      <c r="D2543">
        <v>0.941175236359726</v>
      </c>
      <c r="E2543">
        <v>1.01454186051839</v>
      </c>
      <c r="F2543">
        <v>0.974271614847255</v>
      </c>
      <c r="G2543">
        <v>0.95386689810706005</v>
      </c>
      <c r="H2543">
        <v>0.89396897845999901</v>
      </c>
      <c r="I2543">
        <v>0.67165766255352499</v>
      </c>
      <c r="J2543">
        <v>0.37454267510384798</v>
      </c>
      <c r="K2543">
        <v>0.18511139713178701</v>
      </c>
      <c r="L2543">
        <v>1770.3301720033301</v>
      </c>
      <c r="M2543">
        <v>27.0146187782933</v>
      </c>
      <c r="N2543">
        <v>65.718470653170499</v>
      </c>
      <c r="O2543">
        <v>65.176364532197596</v>
      </c>
      <c r="P2543">
        <v>-9.9805180677976404E-2</v>
      </c>
      <c r="Q2543">
        <v>3.6836367107895E-2</v>
      </c>
      <c r="R2543">
        <v>0.98746136522830996</v>
      </c>
      <c r="S2543" t="s">
        <v>8854</v>
      </c>
      <c r="T2543" t="s">
        <v>12620</v>
      </c>
      <c r="U2543" t="s">
        <v>12620</v>
      </c>
      <c r="V2543" t="s">
        <v>12620</v>
      </c>
      <c r="W2543" t="s">
        <v>15120</v>
      </c>
      <c r="X2543">
        <v>8</v>
      </c>
      <c r="Y2543" t="s">
        <v>21301</v>
      </c>
      <c r="Z2543" t="s">
        <v>27490</v>
      </c>
      <c r="AA2543">
        <v>0.8502774636247552</v>
      </c>
      <c r="AB2543" t="str">
        <f>HYPERLINK("Melting_Curves/meltCurve_P61964_WDR5.pdf", "Melting_Curves/meltCurve_P61964_WDR5.pdf")</f>
        <v>Melting_Curves/meltCurve_P61964_WDR5.pdf</v>
      </c>
    </row>
    <row r="2544" spans="1:28" x14ac:dyDescent="0.25">
      <c r="A2544" t="s">
        <v>2548</v>
      </c>
      <c r="B2544">
        <v>0.99987803227770999</v>
      </c>
      <c r="C2544">
        <v>1.1729976361855801</v>
      </c>
      <c r="D2544">
        <v>0.81526376437415704</v>
      </c>
      <c r="E2544">
        <v>0.80920179795261904</v>
      </c>
      <c r="F2544">
        <v>0.42480444432312298</v>
      </c>
      <c r="G2544">
        <v>0.24536017707527399</v>
      </c>
      <c r="H2544">
        <v>0.11310831075658399</v>
      </c>
      <c r="I2544">
        <v>7.6525448544289998E-2</v>
      </c>
      <c r="J2544">
        <v>6.8533507162034601E-2</v>
      </c>
      <c r="K2544">
        <v>4.2527554227538303E-2</v>
      </c>
      <c r="L2544">
        <v>1023.08215027011</v>
      </c>
      <c r="M2544">
        <v>19.496050564279901</v>
      </c>
      <c r="N2544">
        <v>52.763501390432701</v>
      </c>
      <c r="O2544">
        <v>51.933631797379597</v>
      </c>
      <c r="P2544">
        <v>-8.9130528899898906E-2</v>
      </c>
      <c r="Q2544">
        <v>5.0329646482824203E-2</v>
      </c>
      <c r="R2544">
        <v>0.96467331778879495</v>
      </c>
      <c r="S2544" t="s">
        <v>8855</v>
      </c>
      <c r="T2544" t="s">
        <v>12620</v>
      </c>
      <c r="U2544" t="s">
        <v>12620</v>
      </c>
      <c r="V2544" t="s">
        <v>12620</v>
      </c>
      <c r="W2544" t="s">
        <v>15121</v>
      </c>
      <c r="X2544">
        <v>2</v>
      </c>
      <c r="Y2544" t="s">
        <v>21302</v>
      </c>
      <c r="Z2544" t="s">
        <v>27491</v>
      </c>
      <c r="AA2544">
        <v>0.45898468193731501</v>
      </c>
      <c r="AB2544" t="str">
        <f>HYPERLINK("Melting_Curves/meltCurve_P61966_AP1S1.pdf", "Melting_Curves/meltCurve_P61966_AP1S1.pdf")</f>
        <v>Melting_Curves/meltCurve_P61966_AP1S1.pdf</v>
      </c>
    </row>
    <row r="2545" spans="1:28" x14ac:dyDescent="0.25">
      <c r="A2545" t="s">
        <v>2549</v>
      </c>
      <c r="B2545">
        <v>0.99987803227770999</v>
      </c>
      <c r="C2545">
        <v>0.91973308372092899</v>
      </c>
      <c r="D2545">
        <v>1.0177446264008501</v>
      </c>
      <c r="E2545">
        <v>0.95447698611044096</v>
      </c>
      <c r="F2545">
        <v>1.10425718421275</v>
      </c>
      <c r="G2545">
        <v>1.0366735822179001</v>
      </c>
      <c r="H2545">
        <v>0.90894360624029302</v>
      </c>
      <c r="I2545">
        <v>0.75550438509221596</v>
      </c>
      <c r="J2545">
        <v>0.43815474748406402</v>
      </c>
      <c r="K2545">
        <v>0.21237060383318901</v>
      </c>
      <c r="L2545">
        <v>1990.43563795766</v>
      </c>
      <c r="M2545">
        <v>30.1028527482922</v>
      </c>
      <c r="N2545">
        <v>66.419637544500503</v>
      </c>
      <c r="O2545">
        <v>65.831425260455205</v>
      </c>
      <c r="P2545">
        <v>-0.107086557382241</v>
      </c>
      <c r="Q2545">
        <v>6.3262814481347407E-2</v>
      </c>
      <c r="R2545">
        <v>0.97034984855566198</v>
      </c>
      <c r="S2545" t="s">
        <v>8856</v>
      </c>
      <c r="T2545" t="s">
        <v>12620</v>
      </c>
      <c r="U2545" t="s">
        <v>12620</v>
      </c>
      <c r="V2545" t="s">
        <v>12620</v>
      </c>
      <c r="W2545" t="s">
        <v>15122</v>
      </c>
      <c r="X2545">
        <v>5</v>
      </c>
      <c r="Y2545" t="s">
        <v>21303</v>
      </c>
      <c r="Z2545" t="s">
        <v>27492</v>
      </c>
      <c r="AA2545">
        <v>0.8721183409003217</v>
      </c>
      <c r="AB2545" t="str">
        <f>HYPERLINK("Melting_Curves/meltCurve_P61970_NUTF2.pdf", "Melting_Curves/meltCurve_P61970_NUTF2.pdf")</f>
        <v>Melting_Curves/meltCurve_P61970_NUTF2.pdf</v>
      </c>
    </row>
    <row r="2546" spans="1:28" x14ac:dyDescent="0.25">
      <c r="A2546" t="s">
        <v>2550</v>
      </c>
      <c r="B2546">
        <v>0.99987803227770999</v>
      </c>
      <c r="C2546">
        <v>0.871201947956464</v>
      </c>
      <c r="D2546">
        <v>1.04183144521495</v>
      </c>
      <c r="E2546">
        <v>0.804236825996822</v>
      </c>
      <c r="F2546">
        <v>0.68627756859973099</v>
      </c>
      <c r="G2546">
        <v>0.37605682714590999</v>
      </c>
      <c r="H2546">
        <v>0.28135097983610102</v>
      </c>
      <c r="I2546">
        <v>0.245824490747411</v>
      </c>
      <c r="J2546">
        <v>0.21894413557246201</v>
      </c>
      <c r="K2546">
        <v>0.17245661204551499</v>
      </c>
      <c r="L2546">
        <v>983.56559104881796</v>
      </c>
      <c r="M2546">
        <v>18.2513439483768</v>
      </c>
      <c r="N2546">
        <v>55.288971636236298</v>
      </c>
      <c r="O2546">
        <v>53.255583879240604</v>
      </c>
      <c r="P2546">
        <v>-6.9837386495696499E-2</v>
      </c>
      <c r="Q2546">
        <v>0.184924213763689</v>
      </c>
      <c r="R2546">
        <v>0.976868924402017</v>
      </c>
      <c r="S2546" t="s">
        <v>8857</v>
      </c>
      <c r="T2546" t="s">
        <v>12620</v>
      </c>
      <c r="U2546" t="s">
        <v>12620</v>
      </c>
      <c r="V2546" t="s">
        <v>12620</v>
      </c>
      <c r="W2546" t="s">
        <v>15123</v>
      </c>
      <c r="X2546">
        <v>26</v>
      </c>
      <c r="Y2546" t="s">
        <v>21304</v>
      </c>
      <c r="Z2546" t="s">
        <v>27493</v>
      </c>
      <c r="AA2546">
        <v>0.57511501769108742</v>
      </c>
      <c r="AB2546" t="str">
        <f>HYPERLINK("Melting_Curves/meltCurve_P61978_3_HNRNPK.pdf", "Melting_Curves/meltCurve_P61978_3_HNRNPK.pdf")</f>
        <v>Melting_Curves/meltCurve_P61978_3_HNRNPK.pdf</v>
      </c>
    </row>
    <row r="2547" spans="1:28" x14ac:dyDescent="0.25">
      <c r="A2547" t="s">
        <v>2551</v>
      </c>
      <c r="B2547">
        <v>0.99987803227770999</v>
      </c>
      <c r="C2547">
        <v>0.89384275010508996</v>
      </c>
      <c r="D2547">
        <v>1.00822304692832</v>
      </c>
      <c r="E2547">
        <v>0.94182473830820301</v>
      </c>
      <c r="F2547">
        <v>1.0770584350266701</v>
      </c>
      <c r="G2547">
        <v>0.97145158563003597</v>
      </c>
      <c r="H2547">
        <v>0.50430359222186305</v>
      </c>
      <c r="I2547">
        <v>0.22003024440566701</v>
      </c>
      <c r="J2547">
        <v>0.11386780811640999</v>
      </c>
      <c r="K2547">
        <v>6.5768062997652005E-2</v>
      </c>
      <c r="L2547">
        <v>2473.94515215619</v>
      </c>
      <c r="M2547">
        <v>40.644114835114998</v>
      </c>
      <c r="N2547">
        <v>61.145801299339702</v>
      </c>
      <c r="O2547">
        <v>60.721700625239997</v>
      </c>
      <c r="P2547">
        <v>-0.15325311316578299</v>
      </c>
      <c r="Q2547">
        <v>8.4170679077914895E-2</v>
      </c>
      <c r="R2547">
        <v>0.98459035207864698</v>
      </c>
      <c r="S2547" t="s">
        <v>8858</v>
      </c>
      <c r="T2547" t="s">
        <v>12620</v>
      </c>
      <c r="U2547" t="s">
        <v>12620</v>
      </c>
      <c r="V2547" t="s">
        <v>12620</v>
      </c>
      <c r="W2547" t="s">
        <v>15124</v>
      </c>
      <c r="X2547">
        <v>22</v>
      </c>
      <c r="Y2547" t="s">
        <v>21305</v>
      </c>
      <c r="Z2547" t="s">
        <v>27494</v>
      </c>
      <c r="AA2547">
        <v>0.72464897289246133</v>
      </c>
      <c r="AB2547" t="str">
        <f>HYPERLINK("Melting_Curves/meltCurve_P61981_YWHAG.pdf", "Melting_Curves/meltCurve_P61981_YWHAG.pdf")</f>
        <v>Melting_Curves/meltCurve_P61981_YWHAG.pdf</v>
      </c>
    </row>
    <row r="2548" spans="1:28" x14ac:dyDescent="0.25">
      <c r="A2548" t="s">
        <v>2552</v>
      </c>
      <c r="B2548">
        <v>0.99987803227770999</v>
      </c>
      <c r="C2548">
        <v>0.84721617597736998</v>
      </c>
      <c r="D2548">
        <v>0.98234947649099902</v>
      </c>
      <c r="E2548">
        <v>0.82566725451838197</v>
      </c>
      <c r="F2548">
        <v>0.976065100391597</v>
      </c>
      <c r="G2548">
        <v>0.53670316898954795</v>
      </c>
      <c r="H2548">
        <v>0.25492298847059902</v>
      </c>
      <c r="I2548">
        <v>0.13244928991687499</v>
      </c>
      <c r="J2548">
        <v>7.1712834154091798E-2</v>
      </c>
      <c r="K2548">
        <v>4.9404533419082998E-2</v>
      </c>
      <c r="L2548">
        <v>1309.0016077574401</v>
      </c>
      <c r="M2548">
        <v>22.751926572221301</v>
      </c>
      <c r="N2548">
        <v>57.731065384561298</v>
      </c>
      <c r="O2548">
        <v>57.094726319465202</v>
      </c>
      <c r="P2548">
        <v>-9.58971075631673E-2</v>
      </c>
      <c r="Q2548">
        <v>3.74244383328921E-2</v>
      </c>
      <c r="R2548">
        <v>0.96283240793306302</v>
      </c>
      <c r="S2548" t="s">
        <v>8859</v>
      </c>
      <c r="T2548" t="s">
        <v>12620</v>
      </c>
      <c r="U2548" t="s">
        <v>12620</v>
      </c>
      <c r="V2548" t="s">
        <v>12620</v>
      </c>
      <c r="W2548" t="s">
        <v>15125</v>
      </c>
      <c r="X2548">
        <v>9</v>
      </c>
      <c r="Y2548" t="s">
        <v>21306</v>
      </c>
      <c r="Z2548" t="s">
        <v>27495</v>
      </c>
      <c r="AA2548">
        <v>0.60973573218967347</v>
      </c>
      <c r="AB2548" t="str">
        <f>HYPERLINK("Melting_Curves/meltCurve_P62070_RRAS2.pdf", "Melting_Curves/meltCurve_P62070_RRAS2.pdf")</f>
        <v>Melting_Curves/meltCurve_P62070_RRAS2.pdf</v>
      </c>
    </row>
    <row r="2549" spans="1:28" x14ac:dyDescent="0.25">
      <c r="A2549" t="s">
        <v>2553</v>
      </c>
      <c r="B2549">
        <v>0.99987803227770999</v>
      </c>
      <c r="C2549">
        <v>0.84066842266299802</v>
      </c>
      <c r="D2549">
        <v>0.932060025949773</v>
      </c>
      <c r="E2549">
        <v>0.77427419273616405</v>
      </c>
      <c r="F2549">
        <v>0.94194033869864202</v>
      </c>
      <c r="G2549">
        <v>0.76678919723023198</v>
      </c>
      <c r="H2549">
        <v>0.88673785747306799</v>
      </c>
      <c r="I2549">
        <v>0.79937624652761097</v>
      </c>
      <c r="J2549">
        <v>0.82138214971370105</v>
      </c>
      <c r="K2549">
        <v>0.69328767021569704</v>
      </c>
      <c r="L2549">
        <v>138.677481439362</v>
      </c>
      <c r="M2549">
        <v>0.82557513868110699</v>
      </c>
      <c r="O2549">
        <v>51.105824824272197</v>
      </c>
      <c r="P2549">
        <v>-6.0631281490924199E-3</v>
      </c>
      <c r="Q2549">
        <v>0</v>
      </c>
      <c r="R2549">
        <v>0.4252386928945</v>
      </c>
      <c r="S2549" t="s">
        <v>8860</v>
      </c>
      <c r="T2549" t="s">
        <v>12620</v>
      </c>
      <c r="U2549" t="s">
        <v>12620</v>
      </c>
      <c r="V2549" t="s">
        <v>12620</v>
      </c>
      <c r="W2549" t="s">
        <v>15126</v>
      </c>
      <c r="X2549">
        <v>5</v>
      </c>
      <c r="Y2549" t="s">
        <v>21307</v>
      </c>
      <c r="Z2549" t="s">
        <v>27496</v>
      </c>
      <c r="AA2549">
        <v>0.84581595307210455</v>
      </c>
      <c r="AB2549" t="str">
        <f>HYPERLINK("Melting_Curves/meltCurve_P62072_TIMM10.pdf", "Melting_Curves/meltCurve_P62072_TIMM10.pdf")</f>
        <v>Melting_Curves/meltCurve_P62072_TIMM10.pdf</v>
      </c>
    </row>
    <row r="2550" spans="1:28" x14ac:dyDescent="0.25">
      <c r="A2550" t="s">
        <v>2554</v>
      </c>
      <c r="B2550">
        <v>0.99987803227770999</v>
      </c>
      <c r="C2550">
        <v>0.92748165977589403</v>
      </c>
      <c r="D2550">
        <v>0.73463440793163803</v>
      </c>
      <c r="E2550">
        <v>0.53905064242016099</v>
      </c>
      <c r="F2550">
        <v>0.34022801041026102</v>
      </c>
      <c r="G2550">
        <v>0.17393859036001899</v>
      </c>
      <c r="H2550">
        <v>0.120367161782351</v>
      </c>
      <c r="I2550">
        <v>0.10543154859525</v>
      </c>
      <c r="J2550">
        <v>9.2863319091361293E-2</v>
      </c>
      <c r="K2550">
        <v>7.0018704243732993E-2</v>
      </c>
      <c r="L2550">
        <v>704.91184865104196</v>
      </c>
      <c r="M2550">
        <v>14.1701999257062</v>
      </c>
      <c r="N2550">
        <v>50.196842843365197</v>
      </c>
      <c r="O2550">
        <v>48.786786205074897</v>
      </c>
      <c r="P2550">
        <v>-6.8283452677459194E-2</v>
      </c>
      <c r="Q2550">
        <v>5.9742365653695201E-2</v>
      </c>
      <c r="R2550">
        <v>0.99672416301472599</v>
      </c>
      <c r="S2550" t="s">
        <v>8861</v>
      </c>
      <c r="T2550" t="s">
        <v>12620</v>
      </c>
      <c r="U2550" t="s">
        <v>12620</v>
      </c>
      <c r="V2550" t="s">
        <v>12620</v>
      </c>
      <c r="W2550" t="s">
        <v>15127</v>
      </c>
      <c r="X2550">
        <v>9</v>
      </c>
      <c r="Y2550" t="s">
        <v>21308</v>
      </c>
      <c r="Z2550" t="s">
        <v>27497</v>
      </c>
      <c r="AA2550">
        <v>0.39021640065810742</v>
      </c>
      <c r="AB2550" t="str">
        <f>HYPERLINK("Melting_Curves/meltCurve_P62081_RPS7.pdf", "Melting_Curves/meltCurve_P62081_RPS7.pdf")</f>
        <v>Melting_Curves/meltCurve_P62081_RPS7.pdf</v>
      </c>
    </row>
    <row r="2551" spans="1:28" x14ac:dyDescent="0.25">
      <c r="A2551" t="s">
        <v>2555</v>
      </c>
      <c r="B2551">
        <v>0.99987803227770999</v>
      </c>
      <c r="C2551">
        <v>0.94500827224036599</v>
      </c>
      <c r="D2551">
        <v>0.93283863992416405</v>
      </c>
      <c r="E2551">
        <v>0.78653060673711095</v>
      </c>
      <c r="F2551">
        <v>0.60775388708062505</v>
      </c>
      <c r="G2551">
        <v>0.356687087150386</v>
      </c>
      <c r="H2551">
        <v>0.160098990516505</v>
      </c>
      <c r="I2551">
        <v>0.109630687446654</v>
      </c>
      <c r="J2551">
        <v>6.9918125044914806E-2</v>
      </c>
      <c r="K2551">
        <v>4.9011426704057899E-2</v>
      </c>
      <c r="L2551">
        <v>782.72865882285805</v>
      </c>
      <c r="M2551">
        <v>14.3597149309564</v>
      </c>
      <c r="N2551">
        <v>54.528002011204599</v>
      </c>
      <c r="O2551">
        <v>53.484223935294899</v>
      </c>
      <c r="P2551">
        <v>-6.6958679237820104E-2</v>
      </c>
      <c r="Q2551">
        <v>2.54179414406893E-3</v>
      </c>
      <c r="R2551">
        <v>0.99871882806343704</v>
      </c>
      <c r="S2551" t="s">
        <v>8862</v>
      </c>
      <c r="T2551" t="s">
        <v>12620</v>
      </c>
      <c r="U2551" t="s">
        <v>12620</v>
      </c>
      <c r="V2551" t="s">
        <v>12620</v>
      </c>
      <c r="W2551" t="s">
        <v>15128</v>
      </c>
      <c r="X2551">
        <v>17</v>
      </c>
      <c r="Y2551" t="s">
        <v>21309</v>
      </c>
      <c r="Z2551" t="s">
        <v>27498</v>
      </c>
      <c r="AA2551">
        <v>0.50580186853575249</v>
      </c>
      <c r="AB2551" t="str">
        <f>HYPERLINK("Melting_Curves/meltCurve_P62136_PPP1CA.pdf", "Melting_Curves/meltCurve_P62136_PPP1CA.pdf")</f>
        <v>Melting_Curves/meltCurve_P62136_PPP1CA.pdf</v>
      </c>
    </row>
    <row r="2552" spans="1:28" x14ac:dyDescent="0.25">
      <c r="A2552" t="s">
        <v>2556</v>
      </c>
      <c r="B2552">
        <v>0.99987803227770999</v>
      </c>
      <c r="C2552">
        <v>1.01755482775382</v>
      </c>
      <c r="D2552">
        <v>0.92275356424839305</v>
      </c>
      <c r="E2552">
        <v>0.78778589672198096</v>
      </c>
      <c r="F2552">
        <v>0.59987653600560498</v>
      </c>
      <c r="G2552">
        <v>0.33611386033288798</v>
      </c>
      <c r="H2552">
        <v>0.174145193770711</v>
      </c>
      <c r="I2552">
        <v>0.109351077950491</v>
      </c>
      <c r="J2552">
        <v>7.2184367814275494E-2</v>
      </c>
      <c r="K2552">
        <v>5.3829967221925103E-2</v>
      </c>
      <c r="L2552">
        <v>828.30301479396803</v>
      </c>
      <c r="M2552">
        <v>15.276981513094601</v>
      </c>
      <c r="N2552">
        <v>54.3856853684103</v>
      </c>
      <c r="O2552">
        <v>53.315464917537703</v>
      </c>
      <c r="P2552">
        <v>-7.0003272973987396E-2</v>
      </c>
      <c r="Q2552">
        <v>2.28681999857289E-2</v>
      </c>
      <c r="R2552">
        <v>0.99894684997203798</v>
      </c>
      <c r="S2552" t="s">
        <v>8863</v>
      </c>
      <c r="T2552" t="s">
        <v>12620</v>
      </c>
      <c r="U2552" t="s">
        <v>12620</v>
      </c>
      <c r="V2552" t="s">
        <v>12620</v>
      </c>
      <c r="W2552" t="s">
        <v>15129</v>
      </c>
      <c r="X2552">
        <v>14</v>
      </c>
      <c r="Y2552" t="s">
        <v>21310</v>
      </c>
      <c r="Z2552" t="s">
        <v>27499</v>
      </c>
      <c r="AA2552">
        <v>0.50536682364647201</v>
      </c>
      <c r="AB2552" t="str">
        <f>HYPERLINK("Melting_Curves/meltCurve_P62140_PPP1CB.pdf", "Melting_Curves/meltCurve_P62140_PPP1CB.pdf")</f>
        <v>Melting_Curves/meltCurve_P62140_PPP1CB.pdf</v>
      </c>
    </row>
    <row r="2553" spans="1:28" x14ac:dyDescent="0.25">
      <c r="A2553" t="s">
        <v>2557</v>
      </c>
      <c r="B2553">
        <v>0.99987803227770999</v>
      </c>
      <c r="C2553">
        <v>0.85328102498307901</v>
      </c>
      <c r="D2553">
        <v>1.0148945347753899</v>
      </c>
      <c r="E2553">
        <v>0.93364043880027103</v>
      </c>
      <c r="F2553">
        <v>1.19947065228556</v>
      </c>
      <c r="G2553">
        <v>1.00531070522264</v>
      </c>
      <c r="H2553">
        <v>1.1544855766427999</v>
      </c>
      <c r="I2553">
        <v>1.0516138059314299</v>
      </c>
      <c r="J2553">
        <v>1.21181661112019</v>
      </c>
      <c r="K2553">
        <v>0.99992660118926402</v>
      </c>
      <c r="L2553">
        <v>3825.4207536976101</v>
      </c>
      <c r="M2553">
        <v>74.521979133860398</v>
      </c>
      <c r="O2553">
        <v>51.295856554609202</v>
      </c>
      <c r="P2553">
        <v>3.70986766814052E-2</v>
      </c>
      <c r="Q2553">
        <v>1.1021447947876499</v>
      </c>
      <c r="R2553">
        <v>0.36020973642137</v>
      </c>
      <c r="S2553" t="s">
        <v>8864</v>
      </c>
      <c r="T2553" t="s">
        <v>12620</v>
      </c>
      <c r="U2553" t="s">
        <v>12620</v>
      </c>
      <c r="V2553" t="s">
        <v>12620</v>
      </c>
      <c r="W2553" t="s">
        <v>15130</v>
      </c>
      <c r="X2553">
        <v>15</v>
      </c>
      <c r="Y2553" t="s">
        <v>21311</v>
      </c>
      <c r="Z2553" t="s">
        <v>27500</v>
      </c>
      <c r="AA2553">
        <v>1.063454830212482</v>
      </c>
      <c r="AB2553" t="str">
        <f>HYPERLINK("Melting_Curves/meltCurve_P62158_CALM1.pdf", "Melting_Curves/meltCurve_P62158_CALM1.pdf")</f>
        <v>Melting_Curves/meltCurve_P62158_CALM1.pdf</v>
      </c>
    </row>
    <row r="2554" spans="1:28" x14ac:dyDescent="0.25">
      <c r="A2554" t="s">
        <v>2558</v>
      </c>
      <c r="B2554">
        <v>0.99987803227770999</v>
      </c>
      <c r="C2554">
        <v>1.2037596535897399</v>
      </c>
      <c r="D2554">
        <v>1.1226934912440101</v>
      </c>
      <c r="E2554">
        <v>1.05124655244871</v>
      </c>
      <c r="F2554">
        <v>0.84281183881928701</v>
      </c>
      <c r="G2554">
        <v>0.63166466037726099</v>
      </c>
      <c r="H2554">
        <v>0.57121519738386795</v>
      </c>
      <c r="I2554">
        <v>0.56033552658764196</v>
      </c>
      <c r="J2554">
        <v>0.51892313052956895</v>
      </c>
      <c r="K2554">
        <v>0.45375680701298499</v>
      </c>
      <c r="L2554">
        <v>1713.60362980583</v>
      </c>
      <c r="M2554">
        <v>31.293548873207399</v>
      </c>
      <c r="O2554">
        <v>54.536843850356497</v>
      </c>
      <c r="P2554">
        <v>-6.9023452475771296E-2</v>
      </c>
      <c r="Q2554">
        <v>0.51884002643534399</v>
      </c>
      <c r="R2554">
        <v>0.90094008177362594</v>
      </c>
      <c r="S2554" t="s">
        <v>8865</v>
      </c>
      <c r="T2554" t="s">
        <v>12620</v>
      </c>
      <c r="U2554" t="s">
        <v>12620</v>
      </c>
      <c r="V2554" t="s">
        <v>12620</v>
      </c>
      <c r="W2554" t="s">
        <v>15131</v>
      </c>
      <c r="X2554">
        <v>3</v>
      </c>
      <c r="Y2554" t="s">
        <v>21312</v>
      </c>
      <c r="Z2554" t="s">
        <v>27501</v>
      </c>
      <c r="AA2554">
        <v>0.75849335809602247</v>
      </c>
      <c r="AB2554" t="str">
        <f>HYPERLINK("Melting_Curves/meltCurve_P62166_NCS1.pdf", "Melting_Curves/meltCurve_P62166_NCS1.pdf")</f>
        <v>Melting_Curves/meltCurve_P62166_NCS1.pdf</v>
      </c>
    </row>
    <row r="2555" spans="1:28" x14ac:dyDescent="0.25">
      <c r="A2555" t="s">
        <v>2559</v>
      </c>
      <c r="B2555">
        <v>0.99987803227770999</v>
      </c>
      <c r="C2555">
        <v>0.99815912531040396</v>
      </c>
      <c r="D2555">
        <v>0.81050508136928701</v>
      </c>
      <c r="E2555">
        <v>1.1110794909033599</v>
      </c>
      <c r="F2555">
        <v>0.74326057951526203</v>
      </c>
      <c r="G2555">
        <v>0.41028744977757098</v>
      </c>
      <c r="H2555">
        <v>0.14108946579136</v>
      </c>
      <c r="I2555">
        <v>0.103724282923806</v>
      </c>
      <c r="J2555">
        <v>8.4939202287359294E-2</v>
      </c>
      <c r="K2555">
        <v>5.37444412384354E-2</v>
      </c>
      <c r="L2555">
        <v>1496.88839416319</v>
      </c>
      <c r="M2555">
        <v>26.899823371302698</v>
      </c>
      <c r="N2555">
        <v>55.9479282385823</v>
      </c>
      <c r="O2555">
        <v>55.341988016817098</v>
      </c>
      <c r="P2555">
        <v>-0.113327127317515</v>
      </c>
      <c r="Q2555">
        <v>6.7401578918036401E-2</v>
      </c>
      <c r="R2555">
        <v>0.962136581662</v>
      </c>
      <c r="S2555" t="s">
        <v>8866</v>
      </c>
      <c r="T2555" t="s">
        <v>12620</v>
      </c>
      <c r="U2555" t="s">
        <v>12620</v>
      </c>
      <c r="V2555" t="s">
        <v>12620</v>
      </c>
      <c r="W2555" t="s">
        <v>15132</v>
      </c>
      <c r="X2555">
        <v>27</v>
      </c>
      <c r="Y2555" t="s">
        <v>21313</v>
      </c>
      <c r="Z2555" t="s">
        <v>27502</v>
      </c>
      <c r="AA2555">
        <v>0.56137626908761473</v>
      </c>
      <c r="AB2555" t="str">
        <f>HYPERLINK("Melting_Curves/meltCurve_P62191_PSMC1.pdf", "Melting_Curves/meltCurve_P62191_PSMC1.pdf")</f>
        <v>Melting_Curves/meltCurve_P62191_PSMC1.pdf</v>
      </c>
    </row>
    <row r="2556" spans="1:28" x14ac:dyDescent="0.25">
      <c r="A2556" t="s">
        <v>2560</v>
      </c>
      <c r="B2556">
        <v>0.99987803227770999</v>
      </c>
      <c r="C2556">
        <v>0.83694425133900496</v>
      </c>
      <c r="D2556">
        <v>0.63989859614907496</v>
      </c>
      <c r="E2556">
        <v>1.0774608395139</v>
      </c>
      <c r="F2556">
        <v>0.80865310505142596</v>
      </c>
      <c r="G2556">
        <v>0.44287743433231203</v>
      </c>
      <c r="H2556">
        <v>0.15309783624378401</v>
      </c>
      <c r="I2556">
        <v>0.109397850930959</v>
      </c>
      <c r="J2556">
        <v>8.4409147729048395E-2</v>
      </c>
      <c r="K2556">
        <v>5.3575448483972103E-2</v>
      </c>
      <c r="L2556">
        <v>1492.0007311116301</v>
      </c>
      <c r="M2556">
        <v>26.588792900104298</v>
      </c>
      <c r="N2556">
        <v>56.400155177882503</v>
      </c>
      <c r="O2556">
        <v>55.799364121089397</v>
      </c>
      <c r="P2556">
        <v>-0.11160853737038499</v>
      </c>
      <c r="Q2556">
        <v>6.3121080743959002E-2</v>
      </c>
      <c r="R2556">
        <v>0.88439552730059801</v>
      </c>
      <c r="S2556" t="s">
        <v>8867</v>
      </c>
      <c r="T2556" t="s">
        <v>12620</v>
      </c>
      <c r="U2556" t="s">
        <v>12620</v>
      </c>
      <c r="V2556" t="s">
        <v>12620</v>
      </c>
      <c r="W2556" t="s">
        <v>15133</v>
      </c>
      <c r="X2556">
        <v>22</v>
      </c>
      <c r="Y2556" t="s">
        <v>21314</v>
      </c>
      <c r="Z2556" t="s">
        <v>27503</v>
      </c>
      <c r="AA2556">
        <v>0.57408756931388105</v>
      </c>
      <c r="AB2556" t="str">
        <f>HYPERLINK("Melting_Curves/meltCurve_P62195_2_PSMC5.pdf", "Melting_Curves/meltCurve_P62195_2_PSMC5.pdf")</f>
        <v>Melting_Curves/meltCurve_P62195_2_PSMC5.pdf</v>
      </c>
    </row>
    <row r="2557" spans="1:28" x14ac:dyDescent="0.25">
      <c r="A2557" t="s">
        <v>2561</v>
      </c>
      <c r="B2557">
        <v>0.99987803227770999</v>
      </c>
      <c r="C2557">
        <v>1.24447807614541</v>
      </c>
      <c r="D2557">
        <v>1.1532642536311299</v>
      </c>
      <c r="E2557">
        <v>1.18628541285028</v>
      </c>
      <c r="F2557">
        <v>0.85312802369764296</v>
      </c>
      <c r="G2557">
        <v>0.57467710466183597</v>
      </c>
      <c r="H2557">
        <v>0.25067905246115701</v>
      </c>
      <c r="I2557">
        <v>0.13623481292247699</v>
      </c>
      <c r="J2557">
        <v>9.3033250462713199E-2</v>
      </c>
      <c r="K2557">
        <v>6.7428677564856002E-2</v>
      </c>
      <c r="L2557">
        <v>1547.02625597574</v>
      </c>
      <c r="M2557">
        <v>26.952236698944901</v>
      </c>
      <c r="N2557">
        <v>57.750498952693498</v>
      </c>
      <c r="O2557">
        <v>57.085615389291199</v>
      </c>
      <c r="P2557">
        <v>-0.109101560485522</v>
      </c>
      <c r="Q2557">
        <v>7.56881998560507E-2</v>
      </c>
      <c r="R2557">
        <v>0.93965333297527798</v>
      </c>
      <c r="S2557" t="s">
        <v>8868</v>
      </c>
      <c r="T2557" t="s">
        <v>12620</v>
      </c>
      <c r="U2557" t="s">
        <v>12620</v>
      </c>
      <c r="V2557" t="s">
        <v>12620</v>
      </c>
      <c r="W2557" t="s">
        <v>15134</v>
      </c>
      <c r="X2557">
        <v>14</v>
      </c>
      <c r="Y2557" t="s">
        <v>21315</v>
      </c>
      <c r="Z2557" t="s">
        <v>27504</v>
      </c>
      <c r="AA2557">
        <v>0.61908120193659</v>
      </c>
      <c r="AB2557" t="str">
        <f>HYPERLINK("Melting_Curves/meltCurve_P62241_RPS8.pdf", "Melting_Curves/meltCurve_P62241_RPS8.pdf")</f>
        <v>Melting_Curves/meltCurve_P62241_RPS8.pdf</v>
      </c>
    </row>
    <row r="2558" spans="1:28" x14ac:dyDescent="0.25">
      <c r="A2558" t="s">
        <v>2562</v>
      </c>
      <c r="B2558">
        <v>0.99987803227770999</v>
      </c>
      <c r="C2558">
        <v>0.78675697035064296</v>
      </c>
      <c r="D2558">
        <v>0.76122478772930902</v>
      </c>
      <c r="E2558">
        <v>0.68195528676294703</v>
      </c>
      <c r="F2558">
        <v>0.37618772958583901</v>
      </c>
      <c r="G2558">
        <v>0.146286783389174</v>
      </c>
      <c r="H2558">
        <v>7.7519610049971294E-2</v>
      </c>
      <c r="I2558">
        <v>5.8766415837701501E-2</v>
      </c>
      <c r="J2558">
        <v>6.3455943351575103E-2</v>
      </c>
      <c r="K2558">
        <v>4.64493329087265E-2</v>
      </c>
      <c r="L2558">
        <v>639.17291215019497</v>
      </c>
      <c r="M2558">
        <v>12.5394320380371</v>
      </c>
      <c r="N2558">
        <v>50.973022710618999</v>
      </c>
      <c r="O2558">
        <v>49.728744627995397</v>
      </c>
      <c r="P2558">
        <v>-6.3051965728025294E-2</v>
      </c>
      <c r="Q2558">
        <v>0</v>
      </c>
      <c r="R2558">
        <v>0.96870911554617001</v>
      </c>
      <c r="S2558" t="s">
        <v>8869</v>
      </c>
      <c r="T2558" t="s">
        <v>12620</v>
      </c>
      <c r="U2558" t="s">
        <v>12620</v>
      </c>
      <c r="V2558" t="s">
        <v>12620</v>
      </c>
      <c r="W2558" t="s">
        <v>15135</v>
      </c>
      <c r="X2558">
        <v>8</v>
      </c>
      <c r="Y2558" t="s">
        <v>21316</v>
      </c>
      <c r="Z2558" t="s">
        <v>27505</v>
      </c>
      <c r="AA2558">
        <v>0.39640775471005651</v>
      </c>
      <c r="AB2558" t="str">
        <f>HYPERLINK("Melting_Curves/meltCurve_P62249_RPS16.pdf", "Melting_Curves/meltCurve_P62249_RPS16.pdf")</f>
        <v>Melting_Curves/meltCurve_P62249_RPS16.pdf</v>
      </c>
    </row>
    <row r="2559" spans="1:28" x14ac:dyDescent="0.25">
      <c r="A2559" t="s">
        <v>2563</v>
      </c>
      <c r="B2559">
        <v>0.99987803227770999</v>
      </c>
      <c r="C2559">
        <v>0.88275266252619999</v>
      </c>
      <c r="D2559">
        <v>1.0167963391103101</v>
      </c>
      <c r="E2559">
        <v>0.85739878747374898</v>
      </c>
      <c r="F2559">
        <v>1.0336506026691701</v>
      </c>
      <c r="G2559">
        <v>0.83371671442445905</v>
      </c>
      <c r="H2559">
        <v>0.71964913902419803</v>
      </c>
      <c r="I2559">
        <v>0.337292271107553</v>
      </c>
      <c r="J2559">
        <v>0.19045147834260601</v>
      </c>
      <c r="K2559">
        <v>0.112401609516995</v>
      </c>
      <c r="L2559">
        <v>1442.91284518047</v>
      </c>
      <c r="M2559">
        <v>23.073305671228098</v>
      </c>
      <c r="N2559">
        <v>62.650884161146102</v>
      </c>
      <c r="O2559">
        <v>62.071963967069401</v>
      </c>
      <c r="P2559">
        <v>-9.1006779342210894E-2</v>
      </c>
      <c r="Q2559">
        <v>2.07098718449019E-2</v>
      </c>
      <c r="R2559">
        <v>0.95643603658413401</v>
      </c>
      <c r="S2559" t="s">
        <v>8870</v>
      </c>
      <c r="T2559" t="s">
        <v>12620</v>
      </c>
      <c r="U2559" t="s">
        <v>12620</v>
      </c>
      <c r="V2559" t="s">
        <v>12620</v>
      </c>
      <c r="W2559" t="s">
        <v>15136</v>
      </c>
      <c r="X2559">
        <v>5</v>
      </c>
      <c r="Y2559" t="s">
        <v>21317</v>
      </c>
      <c r="Z2559" t="s">
        <v>27506</v>
      </c>
      <c r="AA2559">
        <v>0.75916490165724582</v>
      </c>
      <c r="AB2559" t="str">
        <f>HYPERLINK("Melting_Curves/meltCurve_P62253_UBE2G1.pdf", "Melting_Curves/meltCurve_P62253_UBE2G1.pdf")</f>
        <v>Melting_Curves/meltCurve_P62253_UBE2G1.pdf</v>
      </c>
    </row>
    <row r="2560" spans="1:28" x14ac:dyDescent="0.25">
      <c r="A2560" t="s">
        <v>2564</v>
      </c>
      <c r="B2560">
        <v>0.99987803227770999</v>
      </c>
      <c r="C2560">
        <v>1.0471316323467901</v>
      </c>
      <c r="D2560">
        <v>0.89965392972734703</v>
      </c>
      <c r="E2560">
        <v>1.0951086365565299</v>
      </c>
      <c r="F2560">
        <v>1.0034480324564601</v>
      </c>
      <c r="G2560">
        <v>1.2677377670168799</v>
      </c>
      <c r="H2560">
        <v>0.79231041704286997</v>
      </c>
      <c r="I2560">
        <v>0.21004990064178999</v>
      </c>
      <c r="J2560">
        <v>0.107846753998116</v>
      </c>
      <c r="K2560">
        <v>6.9189823794953795E-2</v>
      </c>
      <c r="L2560">
        <v>4166.0910992395402</v>
      </c>
      <c r="M2560">
        <v>67.019349232590201</v>
      </c>
      <c r="N2560">
        <v>62.340237487345803</v>
      </c>
      <c r="O2560">
        <v>62.107235051919197</v>
      </c>
      <c r="P2560">
        <v>-0.246313733964968</v>
      </c>
      <c r="Q2560">
        <v>8.6958551381782795E-2</v>
      </c>
      <c r="R2560">
        <v>0.94714515118678799</v>
      </c>
      <c r="S2560" t="s">
        <v>8871</v>
      </c>
      <c r="T2560" t="s">
        <v>12620</v>
      </c>
      <c r="U2560" t="s">
        <v>12620</v>
      </c>
      <c r="V2560" t="s">
        <v>12620</v>
      </c>
      <c r="W2560" t="s">
        <v>15137</v>
      </c>
      <c r="X2560">
        <v>26</v>
      </c>
      <c r="Y2560" t="s">
        <v>21318</v>
      </c>
      <c r="Z2560" t="s">
        <v>27507</v>
      </c>
      <c r="AA2560">
        <v>0.76283788302182032</v>
      </c>
      <c r="AB2560" t="str">
        <f>HYPERLINK("Melting_Curves/meltCurve_P62258_YWHAE.pdf", "Melting_Curves/meltCurve_P62258_YWHAE.pdf")</f>
        <v>Melting_Curves/meltCurve_P62258_YWHAE.pdf</v>
      </c>
    </row>
    <row r="2561" spans="1:28" x14ac:dyDescent="0.25">
      <c r="A2561" t="s">
        <v>2565</v>
      </c>
      <c r="B2561">
        <v>0.99987803227770999</v>
      </c>
      <c r="C2561">
        <v>0.97587630098782896</v>
      </c>
      <c r="D2561">
        <v>0.92076657206477297</v>
      </c>
      <c r="E2561">
        <v>0.62564101955196805</v>
      </c>
      <c r="F2561">
        <v>0.40526540191185001</v>
      </c>
      <c r="G2561">
        <v>0.19033267940172799</v>
      </c>
      <c r="H2561">
        <v>0.130066760744807</v>
      </c>
      <c r="I2561">
        <v>0.109742652638105</v>
      </c>
      <c r="J2561">
        <v>0.10380350242826999</v>
      </c>
      <c r="K2561">
        <v>6.8666971188528103E-2</v>
      </c>
      <c r="L2561">
        <v>980.79096229526704</v>
      </c>
      <c r="M2561">
        <v>19.174559180677502</v>
      </c>
      <c r="N2561">
        <v>51.645732472528699</v>
      </c>
      <c r="O2561">
        <v>50.604030072191797</v>
      </c>
      <c r="P2561">
        <v>-8.6778871882460307E-2</v>
      </c>
      <c r="Q2561">
        <v>8.3954573975283497E-2</v>
      </c>
      <c r="R2561">
        <v>0.99905162887236898</v>
      </c>
      <c r="S2561" t="s">
        <v>8872</v>
      </c>
      <c r="T2561" t="s">
        <v>12620</v>
      </c>
      <c r="U2561" t="s">
        <v>12620</v>
      </c>
      <c r="V2561" t="s">
        <v>12620</v>
      </c>
      <c r="W2561" t="s">
        <v>15138</v>
      </c>
      <c r="X2561">
        <v>9</v>
      </c>
      <c r="Y2561" t="s">
        <v>21319</v>
      </c>
      <c r="Z2561" t="s">
        <v>27508</v>
      </c>
      <c r="AA2561">
        <v>0.43817801543823948</v>
      </c>
      <c r="AB2561" t="str">
        <f>HYPERLINK("Melting_Curves/meltCurve_P62263_RPS14.pdf", "Melting_Curves/meltCurve_P62263_RPS14.pdf")</f>
        <v>Melting_Curves/meltCurve_P62263_RPS14.pdf</v>
      </c>
    </row>
    <row r="2562" spans="1:28" x14ac:dyDescent="0.25">
      <c r="A2562" t="s">
        <v>2566</v>
      </c>
      <c r="B2562">
        <v>0.99987803227770999</v>
      </c>
      <c r="C2562">
        <v>1.10672535450047</v>
      </c>
      <c r="D2562">
        <v>1.0190102064824</v>
      </c>
      <c r="E2562">
        <v>0.83228715783457996</v>
      </c>
      <c r="F2562">
        <v>0.61003780481936898</v>
      </c>
      <c r="G2562">
        <v>0.31752372644439503</v>
      </c>
      <c r="H2562">
        <v>0.21979015640907301</v>
      </c>
      <c r="I2562">
        <v>0.23909433379127901</v>
      </c>
      <c r="J2562">
        <v>7.1499017157830302E-2</v>
      </c>
      <c r="K2562">
        <v>7.10531325651E-2</v>
      </c>
      <c r="L2562">
        <v>1045.4347364058699</v>
      </c>
      <c r="M2562">
        <v>19.409883823317799</v>
      </c>
      <c r="N2562">
        <v>54.5356093332868</v>
      </c>
      <c r="O2562">
        <v>53.299012805721503</v>
      </c>
      <c r="P2562">
        <v>-8.1328143043996506E-2</v>
      </c>
      <c r="Q2562">
        <v>0.10673335308437901</v>
      </c>
      <c r="R2562">
        <v>0.98019524669694202</v>
      </c>
      <c r="S2562" t="s">
        <v>8873</v>
      </c>
      <c r="T2562" t="s">
        <v>12620</v>
      </c>
      <c r="U2562" t="s">
        <v>12620</v>
      </c>
      <c r="V2562" t="s">
        <v>12620</v>
      </c>
      <c r="W2562" t="s">
        <v>15139</v>
      </c>
      <c r="X2562">
        <v>5</v>
      </c>
      <c r="Y2562" t="s">
        <v>21320</v>
      </c>
      <c r="Z2562" t="s">
        <v>27509</v>
      </c>
      <c r="AA2562">
        <v>0.53221721111930387</v>
      </c>
      <c r="AB2562" t="str">
        <f>HYPERLINK("Melting_Curves/meltCurve_P62266_RPS23.pdf", "Melting_Curves/meltCurve_P62266_RPS23.pdf")</f>
        <v>Melting_Curves/meltCurve_P62266_RPS23.pdf</v>
      </c>
    </row>
    <row r="2563" spans="1:28" x14ac:dyDescent="0.25">
      <c r="A2563" t="s">
        <v>2567</v>
      </c>
      <c r="B2563">
        <v>0.99987803227770999</v>
      </c>
      <c r="C2563">
        <v>1.1086582858321199</v>
      </c>
      <c r="D2563">
        <v>0.93514907557886495</v>
      </c>
      <c r="E2563">
        <v>0.80379761811447703</v>
      </c>
      <c r="F2563">
        <v>0.42522843036413599</v>
      </c>
      <c r="G2563">
        <v>0.18761248398220201</v>
      </c>
      <c r="H2563">
        <v>0.109021262283635</v>
      </c>
      <c r="I2563">
        <v>8.6557543580897303E-2</v>
      </c>
      <c r="J2563">
        <v>7.4946813208617402E-2</v>
      </c>
      <c r="K2563">
        <v>5.7629419725150802E-2</v>
      </c>
      <c r="L2563">
        <v>1388.5074674995001</v>
      </c>
      <c r="M2563">
        <v>26.5976550569282</v>
      </c>
      <c r="N2563">
        <v>52.534993105413001</v>
      </c>
      <c r="O2563">
        <v>51.911709312948702</v>
      </c>
      <c r="P2563">
        <v>-0.11821431267492399</v>
      </c>
      <c r="Q2563">
        <v>7.7115267663485906E-2</v>
      </c>
      <c r="R2563">
        <v>0.990538515743422</v>
      </c>
      <c r="S2563" t="s">
        <v>8874</v>
      </c>
      <c r="T2563" t="s">
        <v>12620</v>
      </c>
      <c r="U2563" t="s">
        <v>12620</v>
      </c>
      <c r="V2563" t="s">
        <v>12620</v>
      </c>
      <c r="W2563" t="s">
        <v>15140</v>
      </c>
      <c r="X2563">
        <v>8</v>
      </c>
      <c r="Y2563" t="s">
        <v>21321</v>
      </c>
      <c r="Z2563" t="s">
        <v>27510</v>
      </c>
      <c r="AA2563">
        <v>0.46003941076246802</v>
      </c>
      <c r="AB2563" t="str">
        <f>HYPERLINK("Melting_Curves/meltCurve_P62269_RPS18.pdf", "Melting_Curves/meltCurve_P62269_RPS18.pdf")</f>
        <v>Melting_Curves/meltCurve_P62269_RPS18.pdf</v>
      </c>
    </row>
    <row r="2564" spans="1:28" x14ac:dyDescent="0.25">
      <c r="A2564" t="s">
        <v>2568</v>
      </c>
      <c r="B2564">
        <v>0.99987803227770999</v>
      </c>
      <c r="C2564">
        <v>0.91354800104363998</v>
      </c>
      <c r="D2564">
        <v>0.68928307806723399</v>
      </c>
      <c r="E2564">
        <v>0.76276329970165402</v>
      </c>
      <c r="F2564">
        <v>0.79224253377224196</v>
      </c>
      <c r="G2564">
        <v>1.1379679298276999</v>
      </c>
      <c r="H2564">
        <v>0.78809031378939298</v>
      </c>
      <c r="I2564">
        <v>1.2765607618499899</v>
      </c>
      <c r="J2564">
        <v>1.71993541246689</v>
      </c>
      <c r="K2564">
        <v>1.52527012213803</v>
      </c>
      <c r="L2564">
        <v>15000</v>
      </c>
      <c r="M2564">
        <v>234.58836740027499</v>
      </c>
      <c r="O2564">
        <v>63.937145329350201</v>
      </c>
      <c r="P2564">
        <v>0.45863085017524602</v>
      </c>
      <c r="Q2564">
        <v>1.5</v>
      </c>
      <c r="R2564">
        <v>0.71271926057607005</v>
      </c>
      <c r="S2564" t="s">
        <v>8875</v>
      </c>
      <c r="T2564" t="s">
        <v>12620</v>
      </c>
      <c r="U2564" t="s">
        <v>12620</v>
      </c>
      <c r="V2564" t="s">
        <v>12620</v>
      </c>
      <c r="W2564" t="s">
        <v>15141</v>
      </c>
      <c r="X2564">
        <v>3</v>
      </c>
      <c r="Y2564" t="s">
        <v>21322</v>
      </c>
      <c r="Z2564" t="s">
        <v>27511</v>
      </c>
      <c r="AA2564">
        <v>1.1009064507834621</v>
      </c>
      <c r="AB2564" t="str">
        <f>HYPERLINK("Melting_Curves/meltCurve_P62273_RPS29.pdf", "Melting_Curves/meltCurve_P62273_RPS29.pdf")</f>
        <v>Melting_Curves/meltCurve_P62273_RPS29.pdf</v>
      </c>
    </row>
    <row r="2565" spans="1:28" x14ac:dyDescent="0.25">
      <c r="A2565" t="s">
        <v>2569</v>
      </c>
      <c r="B2565">
        <v>0.99987803227770999</v>
      </c>
      <c r="C2565">
        <v>1.5387080751080899</v>
      </c>
      <c r="D2565">
        <v>1.5481754244611901</v>
      </c>
      <c r="E2565">
        <v>1.3458544754525299</v>
      </c>
      <c r="F2565">
        <v>0.86482100925000904</v>
      </c>
      <c r="G2565">
        <v>0.40101944256626598</v>
      </c>
      <c r="H2565">
        <v>0.24791996514609199</v>
      </c>
      <c r="I2565">
        <v>0.20671184716934701</v>
      </c>
      <c r="J2565">
        <v>0.14165989648205499</v>
      </c>
      <c r="K2565">
        <v>0.102936451950698</v>
      </c>
      <c r="L2565">
        <v>2306.4471469493601</v>
      </c>
      <c r="M2565">
        <v>41.391300646569199</v>
      </c>
      <c r="N2565">
        <v>56.2744670899054</v>
      </c>
      <c r="O2565">
        <v>55.593405728624496</v>
      </c>
      <c r="P2565">
        <v>-0.15510218715719201</v>
      </c>
      <c r="Q2565">
        <v>0.166719405959489</v>
      </c>
      <c r="R2565">
        <v>0.76889833590601597</v>
      </c>
      <c r="S2565" t="s">
        <v>8876</v>
      </c>
      <c r="T2565" t="s">
        <v>12620</v>
      </c>
      <c r="U2565" t="s">
        <v>12620</v>
      </c>
      <c r="V2565" t="s">
        <v>12620</v>
      </c>
      <c r="W2565" t="s">
        <v>15142</v>
      </c>
      <c r="X2565">
        <v>9</v>
      </c>
      <c r="Y2565" t="s">
        <v>21323</v>
      </c>
      <c r="Z2565" t="s">
        <v>27512</v>
      </c>
      <c r="AA2565">
        <v>0.60642452392460044</v>
      </c>
      <c r="AB2565" t="str">
        <f>HYPERLINK("Melting_Curves/meltCurve_P62277_RPS13.pdf", "Melting_Curves/meltCurve_P62277_RPS13.pdf")</f>
        <v>Melting_Curves/meltCurve_P62277_RPS13.pdf</v>
      </c>
    </row>
    <row r="2566" spans="1:28" x14ac:dyDescent="0.25">
      <c r="A2566" t="s">
        <v>2570</v>
      </c>
      <c r="B2566">
        <v>0.99987803227770999</v>
      </c>
      <c r="C2566">
        <v>1.1281652357181799</v>
      </c>
      <c r="D2566">
        <v>1.1829911883226101</v>
      </c>
      <c r="E2566">
        <v>0.97646123033930099</v>
      </c>
      <c r="F2566">
        <v>0.62248067095436099</v>
      </c>
      <c r="G2566">
        <v>0.26951976662198401</v>
      </c>
      <c r="H2566">
        <v>0.179265971420525</v>
      </c>
      <c r="I2566">
        <v>0.129405910960671</v>
      </c>
      <c r="J2566">
        <v>0.14593101875144501</v>
      </c>
      <c r="K2566">
        <v>0.10993267442084401</v>
      </c>
      <c r="L2566">
        <v>1879.5021063470999</v>
      </c>
      <c r="M2566">
        <v>35.083517098783197</v>
      </c>
      <c r="N2566">
        <v>54.090436635585</v>
      </c>
      <c r="O2566">
        <v>53.399040701204299</v>
      </c>
      <c r="P2566">
        <v>-0.1408085535394</v>
      </c>
      <c r="Q2566">
        <v>0.14272917938527899</v>
      </c>
      <c r="R2566">
        <v>0.96971167916732404</v>
      </c>
      <c r="S2566" t="s">
        <v>8877</v>
      </c>
      <c r="T2566" t="s">
        <v>12620</v>
      </c>
      <c r="U2566" t="s">
        <v>12620</v>
      </c>
      <c r="V2566" t="s">
        <v>12620</v>
      </c>
      <c r="W2566" t="s">
        <v>15143</v>
      </c>
      <c r="X2566">
        <v>11</v>
      </c>
      <c r="Y2566" t="s">
        <v>21324</v>
      </c>
      <c r="Z2566" t="s">
        <v>27513</v>
      </c>
      <c r="AA2566">
        <v>0.53468256345961362</v>
      </c>
      <c r="AB2566" t="str">
        <f>HYPERLINK("Melting_Curves/meltCurve_P62280_RPS11.pdf", "Melting_Curves/meltCurve_P62280_RPS11.pdf")</f>
        <v>Melting_Curves/meltCurve_P62280_RPS11.pdf</v>
      </c>
    </row>
    <row r="2567" spans="1:28" x14ac:dyDescent="0.25">
      <c r="A2567" t="s">
        <v>2571</v>
      </c>
      <c r="B2567">
        <v>0.99987803227770999</v>
      </c>
      <c r="C2567">
        <v>1.0994175081147399</v>
      </c>
      <c r="D2567">
        <v>0.88947042819633804</v>
      </c>
      <c r="E2567">
        <v>1.2401929066913</v>
      </c>
      <c r="F2567">
        <v>0.93410151478172698</v>
      </c>
      <c r="G2567">
        <v>0.87008813786966399</v>
      </c>
      <c r="H2567">
        <v>0.74890763423612094</v>
      </c>
      <c r="I2567">
        <v>0.70070626006304004</v>
      </c>
      <c r="J2567">
        <v>0.37060068711219901</v>
      </c>
      <c r="K2567">
        <v>0.20652849659710401</v>
      </c>
      <c r="L2567">
        <v>1192.87427357602</v>
      </c>
      <c r="M2567">
        <v>18.215255380333701</v>
      </c>
      <c r="N2567">
        <v>65.4876293701723</v>
      </c>
      <c r="O2567">
        <v>64.713665556028403</v>
      </c>
      <c r="P2567">
        <v>-7.0371976797914598E-2</v>
      </c>
      <c r="Q2567">
        <v>0</v>
      </c>
      <c r="R2567">
        <v>0.887485721954833</v>
      </c>
      <c r="S2567" t="s">
        <v>8878</v>
      </c>
      <c r="T2567" t="s">
        <v>12620</v>
      </c>
      <c r="U2567" t="s">
        <v>12620</v>
      </c>
      <c r="V2567" t="s">
        <v>12620</v>
      </c>
      <c r="W2567" t="s">
        <v>15144</v>
      </c>
      <c r="X2567">
        <v>5</v>
      </c>
      <c r="Y2567" t="s">
        <v>21325</v>
      </c>
      <c r="Z2567" t="s">
        <v>27514</v>
      </c>
      <c r="AA2567">
        <v>0.82959263451038723</v>
      </c>
      <c r="AB2567" t="str">
        <f>HYPERLINK("Melting_Curves/meltCurve_P62304_SNRPE.pdf", "Melting_Curves/meltCurve_P62304_SNRPE.pdf")</f>
        <v>Melting_Curves/meltCurve_P62304_SNRPE.pdf</v>
      </c>
    </row>
    <row r="2568" spans="1:28" x14ac:dyDescent="0.25">
      <c r="A2568" t="s">
        <v>2572</v>
      </c>
      <c r="B2568">
        <v>0.99987803227770999</v>
      </c>
      <c r="C2568">
        <v>0.92162313114107597</v>
      </c>
      <c r="D2568">
        <v>0.87749049567876203</v>
      </c>
      <c r="E2568">
        <v>1.1427600540077401</v>
      </c>
      <c r="F2568">
        <v>0.97691775936716896</v>
      </c>
      <c r="G2568">
        <v>0.61192386585196901</v>
      </c>
      <c r="H2568">
        <v>0.70059327175594399</v>
      </c>
      <c r="I2568">
        <v>0.65162890965086195</v>
      </c>
      <c r="J2568">
        <v>0.65731256984738795</v>
      </c>
      <c r="K2568">
        <v>0.38816773836545299</v>
      </c>
      <c r="L2568">
        <v>4762.0520373098298</v>
      </c>
      <c r="M2568">
        <v>87.002808066656897</v>
      </c>
      <c r="O2568">
        <v>54.705566112956298</v>
      </c>
      <c r="P2568">
        <v>-0.15925308742663799</v>
      </c>
      <c r="Q2568">
        <v>0.59945985326392803</v>
      </c>
      <c r="R2568">
        <v>0.78017566919183401</v>
      </c>
      <c r="S2568" t="s">
        <v>8879</v>
      </c>
      <c r="T2568" t="s">
        <v>12620</v>
      </c>
      <c r="U2568" t="s">
        <v>12620</v>
      </c>
      <c r="V2568" t="s">
        <v>12620</v>
      </c>
      <c r="W2568" t="s">
        <v>15145</v>
      </c>
      <c r="X2568">
        <v>2</v>
      </c>
      <c r="Y2568" t="s">
        <v>21326</v>
      </c>
      <c r="Z2568" t="s">
        <v>27515</v>
      </c>
      <c r="AA2568">
        <v>0.79650285590230152</v>
      </c>
      <c r="AB2568" t="str">
        <f>HYPERLINK("Melting_Curves/meltCurve_P62306_SNRPF.pdf", "Melting_Curves/meltCurve_P62306_SNRPF.pdf")</f>
        <v>Melting_Curves/meltCurve_P62306_SNRPF.pdf</v>
      </c>
    </row>
    <row r="2569" spans="1:28" x14ac:dyDescent="0.25">
      <c r="A2569" t="s">
        <v>2573</v>
      </c>
      <c r="B2569">
        <v>0.99987803227770999</v>
      </c>
      <c r="C2569">
        <v>1.19198537627016</v>
      </c>
      <c r="D2569">
        <v>1.0715818174857299</v>
      </c>
      <c r="E2569">
        <v>1.47292105954719</v>
      </c>
      <c r="F2569">
        <v>1.1182733866063701</v>
      </c>
      <c r="G2569">
        <v>1.1030363954068401</v>
      </c>
      <c r="H2569">
        <v>0.87368299621979495</v>
      </c>
      <c r="I2569">
        <v>0.91714596435376705</v>
      </c>
      <c r="J2569">
        <v>0.55435737534923801</v>
      </c>
      <c r="K2569">
        <v>0.26510883878192398</v>
      </c>
      <c r="L2569">
        <v>2545.8900845368398</v>
      </c>
      <c r="M2569">
        <v>37.9456622914267</v>
      </c>
      <c r="N2569">
        <v>67.532155910906795</v>
      </c>
      <c r="O2569">
        <v>66.907523078913997</v>
      </c>
      <c r="P2569">
        <v>-0.12628348789983099</v>
      </c>
      <c r="Q2569">
        <v>0.109327100457512</v>
      </c>
      <c r="R2569">
        <v>0.706124607613551</v>
      </c>
      <c r="S2569" t="s">
        <v>8880</v>
      </c>
      <c r="T2569" t="s">
        <v>12620</v>
      </c>
      <c r="U2569" t="s">
        <v>12620</v>
      </c>
      <c r="V2569" t="s">
        <v>12620</v>
      </c>
      <c r="W2569" t="s">
        <v>15146</v>
      </c>
      <c r="X2569">
        <v>5</v>
      </c>
      <c r="Y2569" t="s">
        <v>21327</v>
      </c>
      <c r="Z2569" t="s">
        <v>27516</v>
      </c>
      <c r="AA2569">
        <v>0.90686984790003966</v>
      </c>
      <c r="AB2569" t="str">
        <f>HYPERLINK("Melting_Curves/meltCurve_P62308_SNRPG.pdf", "Melting_Curves/meltCurve_P62308_SNRPG.pdf")</f>
        <v>Melting_Curves/meltCurve_P62308_SNRPG.pdf</v>
      </c>
    </row>
    <row r="2570" spans="1:28" x14ac:dyDescent="0.25">
      <c r="A2570" t="s">
        <v>2574</v>
      </c>
      <c r="B2570">
        <v>0.99987803227770999</v>
      </c>
      <c r="C2570">
        <v>1.0315378252135901</v>
      </c>
      <c r="D2570">
        <v>0.98617619690071101</v>
      </c>
      <c r="E2570">
        <v>1.1664388329217701</v>
      </c>
      <c r="F2570">
        <v>1.1738349002263999</v>
      </c>
      <c r="G2570">
        <v>0.45612297256033602</v>
      </c>
      <c r="H2570">
        <v>0.85041980077022605</v>
      </c>
      <c r="I2570">
        <v>1.2965561261582199</v>
      </c>
      <c r="J2570">
        <v>0.95530985857508499</v>
      </c>
      <c r="K2570">
        <v>0.71931876889430402</v>
      </c>
      <c r="L2570">
        <v>2970.7849637248901</v>
      </c>
      <c r="M2570">
        <v>54.527888124480498</v>
      </c>
      <c r="O2570">
        <v>54.408811242235501</v>
      </c>
      <c r="P2570">
        <v>-3.3165889794006101E-2</v>
      </c>
      <c r="Q2570">
        <v>0.86762624175534497</v>
      </c>
      <c r="R2570">
        <v>0.13538304347093499</v>
      </c>
      <c r="S2570" t="s">
        <v>8881</v>
      </c>
      <c r="T2570" t="s">
        <v>12620</v>
      </c>
      <c r="U2570" t="s">
        <v>12620</v>
      </c>
      <c r="V2570" t="s">
        <v>12620</v>
      </c>
      <c r="W2570" t="s">
        <v>15147</v>
      </c>
      <c r="X2570">
        <v>3</v>
      </c>
      <c r="Y2570" t="s">
        <v>21328</v>
      </c>
      <c r="Z2570" t="s">
        <v>27517</v>
      </c>
      <c r="AA2570">
        <v>0.93179439105115569</v>
      </c>
      <c r="AB2570" t="str">
        <f>HYPERLINK("Melting_Curves/meltCurve_P62310_LSM3.pdf", "Melting_Curves/meltCurve_P62310_LSM3.pdf")</f>
        <v>Melting_Curves/meltCurve_P62310_LSM3.pdf</v>
      </c>
    </row>
    <row r="2571" spans="1:28" x14ac:dyDescent="0.25">
      <c r="A2571" t="s">
        <v>2575</v>
      </c>
      <c r="B2571">
        <v>0.99987803227770999</v>
      </c>
      <c r="C2571">
        <v>1.1092615587686601</v>
      </c>
      <c r="D2571">
        <v>1.0145856692745401</v>
      </c>
      <c r="E2571">
        <v>1.2340190050969899</v>
      </c>
      <c r="F2571">
        <v>1.2127590118029401</v>
      </c>
      <c r="G2571">
        <v>1.1571099249385599</v>
      </c>
      <c r="H2571">
        <v>1.27880118398582</v>
      </c>
      <c r="I2571">
        <v>0.93267288923246305</v>
      </c>
      <c r="J2571">
        <v>0.61771677195188501</v>
      </c>
      <c r="K2571">
        <v>0.36024135882596497</v>
      </c>
      <c r="L2571">
        <v>4306.7464922269</v>
      </c>
      <c r="M2571">
        <v>64.591175351057998</v>
      </c>
      <c r="N2571">
        <v>67.820028182954999</v>
      </c>
      <c r="O2571">
        <v>66.613184909142703</v>
      </c>
      <c r="P2571">
        <v>-0.16201453040045</v>
      </c>
      <c r="Q2571">
        <v>0.33165479571578799</v>
      </c>
      <c r="R2571">
        <v>0.72066782267363405</v>
      </c>
      <c r="S2571" t="s">
        <v>8882</v>
      </c>
      <c r="T2571" t="s">
        <v>12620</v>
      </c>
      <c r="U2571" t="s">
        <v>12620</v>
      </c>
      <c r="V2571" t="s">
        <v>12620</v>
      </c>
      <c r="W2571" t="s">
        <v>15148</v>
      </c>
      <c r="X2571">
        <v>6</v>
      </c>
      <c r="Y2571" t="s">
        <v>21329</v>
      </c>
      <c r="Z2571" t="s">
        <v>27518</v>
      </c>
      <c r="AA2571">
        <v>0.92595078670400421</v>
      </c>
      <c r="AB2571" t="str">
        <f>HYPERLINK("Melting_Curves/meltCurve_P62312_LSM6.pdf", "Melting_Curves/meltCurve_P62312_LSM6.pdf")</f>
        <v>Melting_Curves/meltCurve_P62312_LSM6.pdf</v>
      </c>
    </row>
    <row r="2572" spans="1:28" x14ac:dyDescent="0.25">
      <c r="A2572" t="s">
        <v>2576</v>
      </c>
      <c r="B2572">
        <v>0.99987803227770999</v>
      </c>
      <c r="C2572">
        <v>1.0025718152241201</v>
      </c>
      <c r="D2572">
        <v>0.92164953270769601</v>
      </c>
      <c r="E2572">
        <v>1.27930929467447</v>
      </c>
      <c r="F2572">
        <v>1.08649818194937</v>
      </c>
      <c r="G2572">
        <v>1.20062639413221</v>
      </c>
      <c r="H2572">
        <v>0.90121181425715402</v>
      </c>
      <c r="I2572">
        <v>0.74259787182160797</v>
      </c>
      <c r="J2572">
        <v>0.43164702198013499</v>
      </c>
      <c r="K2572">
        <v>0.25005693154930297</v>
      </c>
      <c r="L2572">
        <v>2285.76711502127</v>
      </c>
      <c r="M2572">
        <v>34.945992230741503</v>
      </c>
      <c r="N2572">
        <v>66.238830810017902</v>
      </c>
      <c r="O2572">
        <v>65.195482678828498</v>
      </c>
      <c r="P2572">
        <v>-0.110239511860745</v>
      </c>
      <c r="Q2572">
        <v>0.17734853296207201</v>
      </c>
      <c r="R2572">
        <v>0.85802438214743904</v>
      </c>
      <c r="S2572" t="s">
        <v>8883</v>
      </c>
      <c r="T2572" t="s">
        <v>12620</v>
      </c>
      <c r="U2572" t="s">
        <v>12620</v>
      </c>
      <c r="V2572" t="s">
        <v>12620</v>
      </c>
      <c r="W2572" t="s">
        <v>15149</v>
      </c>
      <c r="X2572">
        <v>3</v>
      </c>
      <c r="Y2572" t="s">
        <v>21330</v>
      </c>
      <c r="Z2572" t="s">
        <v>27519</v>
      </c>
      <c r="AA2572">
        <v>0.87293142339832086</v>
      </c>
      <c r="AB2572" t="str">
        <f>HYPERLINK("Melting_Curves/meltCurve_P62314_SNRPD1.pdf", "Melting_Curves/meltCurve_P62314_SNRPD1.pdf")</f>
        <v>Melting_Curves/meltCurve_P62314_SNRPD1.pdf</v>
      </c>
    </row>
    <row r="2573" spans="1:28" x14ac:dyDescent="0.25">
      <c r="A2573" t="s">
        <v>2577</v>
      </c>
      <c r="B2573">
        <v>0.99987803227770999</v>
      </c>
      <c r="C2573">
        <v>1.03758907834102</v>
      </c>
      <c r="D2573">
        <v>1.00022025675285</v>
      </c>
      <c r="E2573">
        <v>1.4847368887018599</v>
      </c>
      <c r="F2573">
        <v>1.42194166053903</v>
      </c>
      <c r="G2573">
        <v>1.42922762613037</v>
      </c>
      <c r="H2573">
        <v>1.3670310188230399</v>
      </c>
      <c r="I2573">
        <v>1.1881434029706099</v>
      </c>
      <c r="J2573">
        <v>0.91510199596961905</v>
      </c>
      <c r="K2573">
        <v>0.48514166653003099</v>
      </c>
      <c r="L2573">
        <v>15000</v>
      </c>
      <c r="M2573">
        <v>222.257835862387</v>
      </c>
      <c r="N2573">
        <v>68.570274345560904</v>
      </c>
      <c r="O2573">
        <v>67.483720322616804</v>
      </c>
      <c r="P2573">
        <v>-0.42406826299064998</v>
      </c>
      <c r="Q2573">
        <v>0.48496387129695501</v>
      </c>
      <c r="R2573">
        <v>0.11066167314707601</v>
      </c>
      <c r="S2573" t="s">
        <v>8884</v>
      </c>
      <c r="T2573" t="s">
        <v>12620</v>
      </c>
      <c r="U2573" t="s">
        <v>12620</v>
      </c>
      <c r="V2573" t="s">
        <v>12620</v>
      </c>
      <c r="W2573" t="s">
        <v>15150</v>
      </c>
      <c r="X2573">
        <v>13</v>
      </c>
      <c r="Y2573" t="s">
        <v>21331</v>
      </c>
      <c r="Z2573" t="s">
        <v>27520</v>
      </c>
      <c r="AA2573">
        <v>0.95696986960304187</v>
      </c>
      <c r="AB2573" t="str">
        <f>HYPERLINK("Melting_Curves/meltCurve_P62316_SNRPD2.pdf", "Melting_Curves/meltCurve_P62316_SNRPD2.pdf")</f>
        <v>Melting_Curves/meltCurve_P62316_SNRPD2.pdf</v>
      </c>
    </row>
    <row r="2574" spans="1:28" x14ac:dyDescent="0.25">
      <c r="A2574" t="s">
        <v>2578</v>
      </c>
      <c r="B2574">
        <v>0.99987803227770999</v>
      </c>
      <c r="C2574">
        <v>0.73876665953096099</v>
      </c>
      <c r="D2574">
        <v>0.92002651528977897</v>
      </c>
      <c r="E2574">
        <v>0.81898652380639603</v>
      </c>
      <c r="F2574">
        <v>1.27940834503252</v>
      </c>
      <c r="G2574">
        <v>1.14593767475874</v>
      </c>
      <c r="H2574">
        <v>1.1465372959404001</v>
      </c>
      <c r="I2574">
        <v>1.1154068413981999</v>
      </c>
      <c r="J2574">
        <v>1.2210592437950401</v>
      </c>
      <c r="K2574">
        <v>0.95338377204845703</v>
      </c>
      <c r="L2574">
        <v>2718.5919884934801</v>
      </c>
      <c r="M2574">
        <v>52.691253169617497</v>
      </c>
      <c r="O2574">
        <v>51.520592824888297</v>
      </c>
      <c r="P2574">
        <v>3.5090955093179797E-2</v>
      </c>
      <c r="Q2574">
        <v>1.1372452131120401</v>
      </c>
      <c r="R2574">
        <v>0.33869491337004198</v>
      </c>
      <c r="S2574" t="s">
        <v>8885</v>
      </c>
      <c r="T2574" t="s">
        <v>12620</v>
      </c>
      <c r="U2574" t="s">
        <v>12620</v>
      </c>
      <c r="V2574" t="s">
        <v>12620</v>
      </c>
      <c r="W2574" t="s">
        <v>15151</v>
      </c>
      <c r="X2574">
        <v>11</v>
      </c>
      <c r="Y2574" t="s">
        <v>21332</v>
      </c>
      <c r="Z2574" t="s">
        <v>27521</v>
      </c>
      <c r="AA2574">
        <v>1.0839199919155029</v>
      </c>
      <c r="AB2574" t="str">
        <f>HYPERLINK("Melting_Curves/meltCurve_P62328_TMSB4X.pdf", "Melting_Curves/meltCurve_P62328_TMSB4X.pdf")</f>
        <v>Melting_Curves/meltCurve_P62328_TMSB4X.pdf</v>
      </c>
    </row>
    <row r="2575" spans="1:28" x14ac:dyDescent="0.25">
      <c r="A2575" t="s">
        <v>2579</v>
      </c>
      <c r="B2575">
        <v>0.99987803227770999</v>
      </c>
      <c r="C2575">
        <v>0.81274606775062996</v>
      </c>
      <c r="D2575">
        <v>0.96976432174127702</v>
      </c>
      <c r="E2575">
        <v>0.70105555206165004</v>
      </c>
      <c r="F2575">
        <v>0.50739683961844295</v>
      </c>
      <c r="G2575">
        <v>0.33516132829893502</v>
      </c>
      <c r="H2575">
        <v>0.29492252343336001</v>
      </c>
      <c r="I2575">
        <v>0.281394641441365</v>
      </c>
      <c r="J2575">
        <v>0.190734910832278</v>
      </c>
      <c r="K2575">
        <v>0.102353561160029</v>
      </c>
      <c r="L2575">
        <v>619.00580832143999</v>
      </c>
      <c r="M2575">
        <v>11.752659356506999</v>
      </c>
      <c r="N2575">
        <v>53.891878793839503</v>
      </c>
      <c r="O2575">
        <v>51.213920895850997</v>
      </c>
      <c r="P2575">
        <v>-5.0670953408891398E-2</v>
      </c>
      <c r="Q2575">
        <v>0.11700675365115</v>
      </c>
      <c r="R2575">
        <v>0.95861820502872996</v>
      </c>
      <c r="S2575" t="s">
        <v>8886</v>
      </c>
      <c r="T2575" t="s">
        <v>12620</v>
      </c>
      <c r="U2575" t="s">
        <v>12620</v>
      </c>
      <c r="V2575" t="s">
        <v>12620</v>
      </c>
      <c r="W2575" t="s">
        <v>15152</v>
      </c>
      <c r="X2575">
        <v>7</v>
      </c>
      <c r="Y2575" t="s">
        <v>21333</v>
      </c>
      <c r="Z2575" t="s">
        <v>27522</v>
      </c>
      <c r="AA2575">
        <v>0.51631840433444143</v>
      </c>
      <c r="AB2575" t="str">
        <f>HYPERLINK("Melting_Curves/meltCurve_P62330_ARF6.pdf", "Melting_Curves/meltCurve_P62330_ARF6.pdf")</f>
        <v>Melting_Curves/meltCurve_P62330_ARF6.pdf</v>
      </c>
    </row>
    <row r="2576" spans="1:28" x14ac:dyDescent="0.25">
      <c r="A2576" t="s">
        <v>2580</v>
      </c>
      <c r="B2576">
        <v>0.99987803227770999</v>
      </c>
      <c r="C2576">
        <v>0.94424357686059701</v>
      </c>
      <c r="D2576">
        <v>0.74461854611891798</v>
      </c>
      <c r="E2576">
        <v>0.77083691126228904</v>
      </c>
      <c r="F2576">
        <v>0.61400684753014401</v>
      </c>
      <c r="G2576">
        <v>0.32229313851481201</v>
      </c>
      <c r="H2576">
        <v>0.145115659247322</v>
      </c>
      <c r="I2576">
        <v>0.104230029879682</v>
      </c>
      <c r="J2576">
        <v>8.8284014043006107E-2</v>
      </c>
      <c r="K2576">
        <v>5.8511935667991302E-2</v>
      </c>
      <c r="L2576">
        <v>653.48272252812706</v>
      </c>
      <c r="M2576">
        <v>12.140660245533301</v>
      </c>
      <c r="N2576">
        <v>53.825962011348601</v>
      </c>
      <c r="O2576">
        <v>52.428048881478702</v>
      </c>
      <c r="P2576">
        <v>-5.79053486870982E-2</v>
      </c>
      <c r="Q2576">
        <v>0</v>
      </c>
      <c r="R2576">
        <v>0.97535111685078402</v>
      </c>
      <c r="S2576" t="s">
        <v>8887</v>
      </c>
      <c r="T2576" t="s">
        <v>12620</v>
      </c>
      <c r="U2576" t="s">
        <v>12620</v>
      </c>
      <c r="V2576" t="s">
        <v>12620</v>
      </c>
      <c r="W2576" t="s">
        <v>15153</v>
      </c>
      <c r="X2576">
        <v>29</v>
      </c>
      <c r="Y2576" t="s">
        <v>21334</v>
      </c>
      <c r="Z2576" t="s">
        <v>27523</v>
      </c>
      <c r="AA2576">
        <v>0.48711489833120969</v>
      </c>
      <c r="AB2576" t="str">
        <f>HYPERLINK("Melting_Curves/meltCurve_P62333_PSMC6.pdf", "Melting_Curves/meltCurve_P62333_PSMC6.pdf")</f>
        <v>Melting_Curves/meltCurve_P62333_PSMC6.pdf</v>
      </c>
    </row>
    <row r="2577" spans="1:28" x14ac:dyDescent="0.25">
      <c r="A2577" t="s">
        <v>2581</v>
      </c>
      <c r="B2577">
        <v>0.99987803227770999</v>
      </c>
      <c r="C2577">
        <v>0.86529331762526795</v>
      </c>
      <c r="D2577">
        <v>1.0439620622877199</v>
      </c>
      <c r="E2577">
        <v>0.87111731116741498</v>
      </c>
      <c r="F2577">
        <v>0.68513644131234297</v>
      </c>
      <c r="G2577">
        <v>0.21917281397177399</v>
      </c>
      <c r="H2577">
        <v>8.2018071611997895E-2</v>
      </c>
      <c r="I2577">
        <v>5.1196545657635303E-2</v>
      </c>
      <c r="J2577">
        <v>3.8716771081277003E-2</v>
      </c>
      <c r="K2577">
        <v>2.0075339250482702E-2</v>
      </c>
      <c r="L2577">
        <v>1447.0589955758101</v>
      </c>
      <c r="M2577">
        <v>26.677753757662799</v>
      </c>
      <c r="N2577">
        <v>54.357125609394899</v>
      </c>
      <c r="O2577">
        <v>53.9401296639018</v>
      </c>
      <c r="P2577">
        <v>-0.12025488864070299</v>
      </c>
      <c r="Q2577">
        <v>2.74298767354412E-2</v>
      </c>
      <c r="R2577">
        <v>0.98675536911129402</v>
      </c>
      <c r="S2577" t="s">
        <v>8888</v>
      </c>
      <c r="T2577" t="s">
        <v>12620</v>
      </c>
      <c r="U2577" t="s">
        <v>12620</v>
      </c>
      <c r="V2577" t="s">
        <v>12620</v>
      </c>
      <c r="W2577" t="s">
        <v>15154</v>
      </c>
      <c r="X2577">
        <v>2</v>
      </c>
      <c r="Y2577" t="s">
        <v>21335</v>
      </c>
      <c r="Z2577" t="s">
        <v>27524</v>
      </c>
      <c r="AA2577">
        <v>0.49714182319267441</v>
      </c>
      <c r="AB2577" t="str">
        <f>HYPERLINK("Melting_Curves/meltCurve_P62380_TBPL1.pdf", "Melting_Curves/meltCurve_P62380_TBPL1.pdf")</f>
        <v>Melting_Curves/meltCurve_P62380_TBPL1.pdf</v>
      </c>
    </row>
    <row r="2578" spans="1:28" x14ac:dyDescent="0.25">
      <c r="A2578" t="s">
        <v>2582</v>
      </c>
      <c r="B2578">
        <v>0.99987803227770999</v>
      </c>
      <c r="C2578">
        <v>1.1408767950355001</v>
      </c>
      <c r="D2578">
        <v>1.15649490527913</v>
      </c>
      <c r="E2578">
        <v>1.1181249083954801</v>
      </c>
      <c r="F2578">
        <v>0.80528359660153004</v>
      </c>
      <c r="G2578">
        <v>0.42856416518964902</v>
      </c>
      <c r="H2578">
        <v>0.21739746339549901</v>
      </c>
      <c r="I2578">
        <v>0.152130374940737</v>
      </c>
      <c r="J2578">
        <v>0.167601448853159</v>
      </c>
      <c r="K2578">
        <v>0.11234392317625901</v>
      </c>
      <c r="L2578">
        <v>1750.3951759640299</v>
      </c>
      <c r="M2578">
        <v>31.448733439509201</v>
      </c>
      <c r="N2578">
        <v>56.269745188773499</v>
      </c>
      <c r="O2578">
        <v>55.435085782497097</v>
      </c>
      <c r="P2578">
        <v>-0.121311666544639</v>
      </c>
      <c r="Q2578">
        <v>0.14465409659824699</v>
      </c>
      <c r="R2578">
        <v>0.96288639264367104</v>
      </c>
      <c r="S2578" t="s">
        <v>8889</v>
      </c>
      <c r="T2578" t="s">
        <v>12620</v>
      </c>
      <c r="U2578" t="s">
        <v>12620</v>
      </c>
      <c r="V2578" t="s">
        <v>12620</v>
      </c>
      <c r="W2578" t="s">
        <v>15155</v>
      </c>
      <c r="X2578">
        <v>15</v>
      </c>
      <c r="Y2578" t="s">
        <v>21336</v>
      </c>
      <c r="Z2578" t="s">
        <v>27525</v>
      </c>
      <c r="AA2578">
        <v>0.59632366601730757</v>
      </c>
      <c r="AB2578" t="str">
        <f>HYPERLINK("Melting_Curves/meltCurve_P62424_RPL7A.pdf", "Melting_Curves/meltCurve_P62424_RPL7A.pdf")</f>
        <v>Melting_Curves/meltCurve_P62424_RPL7A.pdf</v>
      </c>
    </row>
    <row r="2579" spans="1:28" x14ac:dyDescent="0.25">
      <c r="A2579" t="s">
        <v>2583</v>
      </c>
      <c r="B2579">
        <v>0.99987803227770999</v>
      </c>
      <c r="C2579">
        <v>0.89012405279193196</v>
      </c>
      <c r="D2579">
        <v>1.0941664571882099</v>
      </c>
      <c r="E2579">
        <v>1.01275999405732</v>
      </c>
      <c r="F2579">
        <v>1.1528937533956001</v>
      </c>
      <c r="G2579">
        <v>0.81024459379024205</v>
      </c>
      <c r="H2579">
        <v>0.694450830020096</v>
      </c>
      <c r="I2579">
        <v>0.381207450590692</v>
      </c>
      <c r="J2579">
        <v>9.0078900677276197E-2</v>
      </c>
      <c r="K2579">
        <v>6.8227229338262099E-2</v>
      </c>
      <c r="L2579">
        <v>1637.67343788731</v>
      </c>
      <c r="M2579">
        <v>26.181839097745499</v>
      </c>
      <c r="N2579">
        <v>62.549989996206897</v>
      </c>
      <c r="O2579">
        <v>62.188492641045599</v>
      </c>
      <c r="P2579">
        <v>-0.105253122548341</v>
      </c>
      <c r="Q2579">
        <v>0</v>
      </c>
      <c r="R2579">
        <v>0.95462689138553203</v>
      </c>
      <c r="S2579" t="s">
        <v>8890</v>
      </c>
      <c r="T2579" t="s">
        <v>12620</v>
      </c>
      <c r="U2579" t="s">
        <v>12620</v>
      </c>
      <c r="V2579" t="s">
        <v>12620</v>
      </c>
      <c r="W2579" t="s">
        <v>15156</v>
      </c>
      <c r="X2579">
        <v>6</v>
      </c>
      <c r="Y2579" t="s">
        <v>21337</v>
      </c>
      <c r="Z2579" t="s">
        <v>27526</v>
      </c>
      <c r="AA2579">
        <v>0.7553195726894264</v>
      </c>
      <c r="AB2579" t="str">
        <f>HYPERLINK("Melting_Curves/meltCurve_P62487_POLR2G.pdf", "Melting_Curves/meltCurve_P62487_POLR2G.pdf")</f>
        <v>Melting_Curves/meltCurve_P62487_POLR2G.pdf</v>
      </c>
    </row>
    <row r="2580" spans="1:28" x14ac:dyDescent="0.25">
      <c r="A2580" t="s">
        <v>2584</v>
      </c>
      <c r="B2580">
        <v>0.99987803227770999</v>
      </c>
      <c r="C2580">
        <v>1.0976124797537501</v>
      </c>
      <c r="D2580">
        <v>1.02302167977886</v>
      </c>
      <c r="E2580">
        <v>1.0635078309854</v>
      </c>
      <c r="F2580">
        <v>0.472575053322489</v>
      </c>
      <c r="G2580">
        <v>0.17583773465550601</v>
      </c>
      <c r="H2580">
        <v>0.117310211736307</v>
      </c>
      <c r="I2580">
        <v>0.10372469322401399</v>
      </c>
      <c r="J2580">
        <v>7.4719680208493802E-2</v>
      </c>
      <c r="K2580">
        <v>5.1205802454940497E-2</v>
      </c>
      <c r="L2580">
        <v>13230.926302844</v>
      </c>
      <c r="M2580">
        <v>250</v>
      </c>
      <c r="N2580">
        <v>52.973426831338998</v>
      </c>
      <c r="O2580">
        <v>52.920337274033997</v>
      </c>
      <c r="P2580">
        <v>-1.05753377703441</v>
      </c>
      <c r="Q2580">
        <v>0.104559611323347</v>
      </c>
      <c r="R2580">
        <v>0.98838535412177098</v>
      </c>
      <c r="S2580" t="s">
        <v>8891</v>
      </c>
      <c r="T2580" t="s">
        <v>12620</v>
      </c>
      <c r="U2580" t="s">
        <v>12620</v>
      </c>
      <c r="V2580" t="s">
        <v>12620</v>
      </c>
      <c r="W2580" t="s">
        <v>15157</v>
      </c>
      <c r="X2580">
        <v>16</v>
      </c>
      <c r="Y2580" t="s">
        <v>21338</v>
      </c>
      <c r="Z2580" t="s">
        <v>27527</v>
      </c>
      <c r="AA2580">
        <v>0.49038970066368492</v>
      </c>
      <c r="AB2580" t="str">
        <f>HYPERLINK("Melting_Curves/meltCurve_P62495_ETF1.pdf", "Melting_Curves/meltCurve_P62495_ETF1.pdf")</f>
        <v>Melting_Curves/meltCurve_P62495_ETF1.pdf</v>
      </c>
    </row>
    <row r="2581" spans="1:28" x14ac:dyDescent="0.25">
      <c r="A2581" t="s">
        <v>2585</v>
      </c>
      <c r="B2581">
        <v>0.99987803227770999</v>
      </c>
      <c r="C2581">
        <v>0.75603914049225296</v>
      </c>
      <c r="D2581">
        <v>0.89857389864905302</v>
      </c>
      <c r="E2581">
        <v>0.78992579102175497</v>
      </c>
      <c r="F2581">
        <v>1.1603288818575499</v>
      </c>
      <c r="G2581">
        <v>0.960903722539733</v>
      </c>
      <c r="H2581">
        <v>1.0701979940577</v>
      </c>
      <c r="I2581">
        <v>0.95593563829211903</v>
      </c>
      <c r="J2581">
        <v>1.1363072401624399</v>
      </c>
      <c r="K2581">
        <v>0.93842051377681401</v>
      </c>
      <c r="L2581">
        <v>10199.0818726834</v>
      </c>
      <c r="M2581">
        <v>250</v>
      </c>
      <c r="O2581">
        <v>40.793717517563501</v>
      </c>
      <c r="P2581">
        <v>-5.6749866913032798E-2</v>
      </c>
      <c r="Q2581">
        <v>0.96295939205792802</v>
      </c>
      <c r="R2581">
        <v>7.7005396771311404E-3</v>
      </c>
      <c r="S2581" t="s">
        <v>8892</v>
      </c>
      <c r="T2581" t="s">
        <v>12620</v>
      </c>
      <c r="U2581" t="s">
        <v>12620</v>
      </c>
      <c r="V2581" t="s">
        <v>12620</v>
      </c>
      <c r="W2581" t="s">
        <v>15158</v>
      </c>
      <c r="X2581">
        <v>13</v>
      </c>
      <c r="Y2581" t="s">
        <v>21339</v>
      </c>
      <c r="Z2581" t="s">
        <v>27528</v>
      </c>
      <c r="AA2581">
        <v>0.96394657968078745</v>
      </c>
      <c r="AB2581" t="str">
        <f>HYPERLINK("Melting_Curves/meltCurve_P62633_2_CNBP.pdf", "Melting_Curves/meltCurve_P62633_2_CNBP.pdf")</f>
        <v>Melting_Curves/meltCurve_P62633_2_CNBP.pdf</v>
      </c>
    </row>
    <row r="2582" spans="1:28" x14ac:dyDescent="0.25">
      <c r="A2582" t="s">
        <v>2586</v>
      </c>
      <c r="B2582">
        <v>0.99987803227770999</v>
      </c>
      <c r="C2582">
        <v>0.89755274037756505</v>
      </c>
      <c r="D2582">
        <v>1.04701693389351</v>
      </c>
      <c r="E2582">
        <v>0.94405537219046098</v>
      </c>
      <c r="F2582">
        <v>1.0151726345245999</v>
      </c>
      <c r="G2582">
        <v>0.88565783933929498</v>
      </c>
      <c r="H2582">
        <v>1.1199199542365901</v>
      </c>
      <c r="I2582">
        <v>1.09431689640953</v>
      </c>
      <c r="J2582">
        <v>1.08192270497662</v>
      </c>
      <c r="K2582">
        <v>0.87302653989163304</v>
      </c>
      <c r="L2582">
        <v>1881.88525003736</v>
      </c>
      <c r="M2582">
        <v>31.901569341990601</v>
      </c>
      <c r="O2582">
        <v>58.760023688588703</v>
      </c>
      <c r="P2582">
        <v>4.0706189248369403E-3</v>
      </c>
      <c r="Q2582">
        <v>1.02999080315359</v>
      </c>
      <c r="R2582">
        <v>3.8349336973098301E-2</v>
      </c>
      <c r="S2582" t="s">
        <v>8893</v>
      </c>
      <c r="T2582" t="s">
        <v>12620</v>
      </c>
      <c r="U2582" t="s">
        <v>12620</v>
      </c>
      <c r="V2582" t="s">
        <v>12620</v>
      </c>
      <c r="W2582" t="s">
        <v>15159</v>
      </c>
      <c r="X2582">
        <v>13</v>
      </c>
      <c r="Y2582" t="s">
        <v>21339</v>
      </c>
      <c r="Z2582" t="s">
        <v>27529</v>
      </c>
      <c r="AA2582">
        <v>1.010831578484537</v>
      </c>
      <c r="AB2582" t="str">
        <f>HYPERLINK("Melting_Curves/meltCurve_P62633_3_CNBP.pdf", "Melting_Curves/meltCurve_P62633_3_CNBP.pdf")</f>
        <v>Melting_Curves/meltCurve_P62633_3_CNBP.pdf</v>
      </c>
    </row>
    <row r="2583" spans="1:28" x14ac:dyDescent="0.25">
      <c r="A2583" t="s">
        <v>2587</v>
      </c>
      <c r="B2583">
        <v>0.99987803227770999</v>
      </c>
      <c r="C2583">
        <v>0.87293605095583604</v>
      </c>
      <c r="D2583">
        <v>0.76775569361731899</v>
      </c>
      <c r="E2583">
        <v>1.17213474105646</v>
      </c>
      <c r="F2583">
        <v>0.61424045668051097</v>
      </c>
      <c r="G2583">
        <v>0.45175204645969702</v>
      </c>
      <c r="H2583">
        <v>0.12560764594325699</v>
      </c>
      <c r="I2583">
        <v>0.12658686159593999</v>
      </c>
      <c r="J2583">
        <v>6.6248826393022098E-2</v>
      </c>
      <c r="K2583">
        <v>3.78728204588736E-2</v>
      </c>
      <c r="L2583">
        <v>1233.30514904911</v>
      </c>
      <c r="M2583">
        <v>22.202753593801301</v>
      </c>
      <c r="N2583">
        <v>55.790196013168</v>
      </c>
      <c r="O2583">
        <v>55.102675966484099</v>
      </c>
      <c r="P2583">
        <v>-9.6096581069360004E-2</v>
      </c>
      <c r="Q2583">
        <v>4.6052616621792102E-2</v>
      </c>
      <c r="R2583">
        <v>0.90473618860446503</v>
      </c>
      <c r="S2583" t="s">
        <v>8894</v>
      </c>
      <c r="T2583" t="s">
        <v>12620</v>
      </c>
      <c r="U2583" t="s">
        <v>12620</v>
      </c>
      <c r="V2583" t="s">
        <v>12620</v>
      </c>
      <c r="W2583" t="s">
        <v>15160</v>
      </c>
      <c r="X2583">
        <v>2</v>
      </c>
      <c r="Y2583" t="s">
        <v>21340</v>
      </c>
      <c r="Z2583" t="s">
        <v>27530</v>
      </c>
      <c r="AA2583">
        <v>0.55111865243051494</v>
      </c>
      <c r="AB2583" t="str">
        <f>HYPERLINK("Melting_Curves/meltCurve_P62699_YPEL5.pdf", "Melting_Curves/meltCurve_P62699_YPEL5.pdf")</f>
        <v>Melting_Curves/meltCurve_P62699_YPEL5.pdf</v>
      </c>
    </row>
    <row r="2584" spans="1:28" x14ac:dyDescent="0.25">
      <c r="A2584" t="s">
        <v>2588</v>
      </c>
      <c r="B2584">
        <v>0.99987803227770999</v>
      </c>
      <c r="C2584">
        <v>1.2633657932625499</v>
      </c>
      <c r="D2584">
        <v>0.706484684184567</v>
      </c>
      <c r="E2584">
        <v>0.79837251204674298</v>
      </c>
      <c r="F2584">
        <v>0.499404933827996</v>
      </c>
      <c r="G2584">
        <v>0.25858831715911101</v>
      </c>
      <c r="H2584">
        <v>0.11418562684688301</v>
      </c>
      <c r="I2584">
        <v>0.102573317221202</v>
      </c>
      <c r="J2584">
        <v>8.6009195661561205E-2</v>
      </c>
      <c r="K2584">
        <v>6.3642029646253595E-2</v>
      </c>
      <c r="L2584">
        <v>876.88529414309301</v>
      </c>
      <c r="M2584">
        <v>16.611267541046502</v>
      </c>
      <c r="N2584">
        <v>53.098513844682003</v>
      </c>
      <c r="O2584">
        <v>52.041359720675402</v>
      </c>
      <c r="P2584">
        <v>-7.6116858306207194E-2</v>
      </c>
      <c r="Q2584">
        <v>4.6200402414851599E-2</v>
      </c>
      <c r="R2584">
        <v>0.92097335502573396</v>
      </c>
      <c r="S2584" t="s">
        <v>8895</v>
      </c>
      <c r="T2584" t="s">
        <v>12620</v>
      </c>
      <c r="U2584" t="s">
        <v>12620</v>
      </c>
      <c r="V2584" t="s">
        <v>12620</v>
      </c>
      <c r="W2584" t="s">
        <v>15161</v>
      </c>
      <c r="X2584">
        <v>14</v>
      </c>
      <c r="Y2584" t="s">
        <v>21341</v>
      </c>
      <c r="Z2584" t="s">
        <v>27531</v>
      </c>
      <c r="AA2584">
        <v>0.47059318349772222</v>
      </c>
      <c r="AB2584" t="str">
        <f>HYPERLINK("Melting_Curves/meltCurve_P62701_RPS4X.pdf", "Melting_Curves/meltCurve_P62701_RPS4X.pdf")</f>
        <v>Melting_Curves/meltCurve_P62701_RPS4X.pdf</v>
      </c>
    </row>
    <row r="2585" spans="1:28" x14ac:dyDescent="0.25">
      <c r="A2585" t="s">
        <v>2589</v>
      </c>
      <c r="B2585">
        <v>0.99987803227770999</v>
      </c>
      <c r="C2585">
        <v>1.1257532078946599</v>
      </c>
      <c r="D2585">
        <v>0.96579676784317003</v>
      </c>
      <c r="E2585">
        <v>1.1790180440689599</v>
      </c>
      <c r="F2585">
        <v>0.92189130784225803</v>
      </c>
      <c r="G2585">
        <v>0.80943995825433601</v>
      </c>
      <c r="H2585">
        <v>0.45330032309809598</v>
      </c>
      <c r="I2585">
        <v>0.22949009406505899</v>
      </c>
      <c r="J2585">
        <v>0.12838416671501099</v>
      </c>
      <c r="K2585">
        <v>8.6377953505724497E-2</v>
      </c>
      <c r="L2585">
        <v>1506.8069378812199</v>
      </c>
      <c r="M2585">
        <v>25.0496743920848</v>
      </c>
      <c r="N2585">
        <v>60.463129762121198</v>
      </c>
      <c r="O2585">
        <v>59.773311277149801</v>
      </c>
      <c r="P2585">
        <v>-9.8449890244108704E-2</v>
      </c>
      <c r="Q2585">
        <v>6.0331248856214201E-2</v>
      </c>
      <c r="R2585">
        <v>0.96699796324173204</v>
      </c>
      <c r="S2585" t="s">
        <v>8896</v>
      </c>
      <c r="T2585" t="s">
        <v>12620</v>
      </c>
      <c r="U2585" t="s">
        <v>12620</v>
      </c>
      <c r="V2585" t="s">
        <v>12620</v>
      </c>
      <c r="W2585" t="s">
        <v>15162</v>
      </c>
      <c r="X2585">
        <v>15</v>
      </c>
      <c r="Y2585" t="s">
        <v>21342</v>
      </c>
      <c r="Z2585" t="s">
        <v>27532</v>
      </c>
      <c r="AA2585">
        <v>0.69838442430171699</v>
      </c>
      <c r="AB2585" t="str">
        <f>HYPERLINK("Melting_Curves/meltCurve_P62714_PPP2CB.pdf", "Melting_Curves/meltCurve_P62714_PPP2CB.pdf")</f>
        <v>Melting_Curves/meltCurve_P62714_PPP2CB.pdf</v>
      </c>
    </row>
    <row r="2586" spans="1:28" x14ac:dyDescent="0.25">
      <c r="A2586" t="s">
        <v>2590</v>
      </c>
      <c r="B2586">
        <v>0.99987803227770999</v>
      </c>
      <c r="C2586">
        <v>1.19353730330948</v>
      </c>
      <c r="D2586">
        <v>1.1647584690088799</v>
      </c>
      <c r="E2586">
        <v>1.27985078133524</v>
      </c>
      <c r="F2586">
        <v>0.97376317590064798</v>
      </c>
      <c r="G2586">
        <v>0.69726974155154098</v>
      </c>
      <c r="H2586">
        <v>0.52003694921838295</v>
      </c>
      <c r="I2586">
        <v>0.42629578669738399</v>
      </c>
      <c r="J2586">
        <v>0.37658306781643802</v>
      </c>
      <c r="K2586">
        <v>0.25357800984796602</v>
      </c>
      <c r="L2586">
        <v>1470.6157557025699</v>
      </c>
      <c r="M2586">
        <v>25.171009664123801</v>
      </c>
      <c r="N2586">
        <v>60.853698561056</v>
      </c>
      <c r="O2586">
        <v>58.0599591813628</v>
      </c>
      <c r="P2586">
        <v>-7.4037499768509402E-2</v>
      </c>
      <c r="Q2586">
        <v>0.31690337239503902</v>
      </c>
      <c r="R2586">
        <v>0.87440181077838497</v>
      </c>
      <c r="S2586" t="s">
        <v>8897</v>
      </c>
      <c r="T2586" t="s">
        <v>12620</v>
      </c>
      <c r="U2586" t="s">
        <v>12620</v>
      </c>
      <c r="V2586" t="s">
        <v>12620</v>
      </c>
      <c r="W2586" t="s">
        <v>15163</v>
      </c>
      <c r="X2586">
        <v>9</v>
      </c>
      <c r="Y2586" t="s">
        <v>21343</v>
      </c>
      <c r="Z2586" t="s">
        <v>27533</v>
      </c>
      <c r="AA2586">
        <v>0.74220036966250491</v>
      </c>
      <c r="AB2586" t="str">
        <f>HYPERLINK("Melting_Curves/meltCurve_P62750_RPL23A.pdf", "Melting_Curves/meltCurve_P62750_RPL23A.pdf")</f>
        <v>Melting_Curves/meltCurve_P62750_RPL23A.pdf</v>
      </c>
    </row>
    <row r="2587" spans="1:28" x14ac:dyDescent="0.25">
      <c r="A2587" t="s">
        <v>2591</v>
      </c>
      <c r="B2587">
        <v>0.99987803227770999</v>
      </c>
      <c r="C2587">
        <v>1.0870155255153899</v>
      </c>
      <c r="D2587">
        <v>0.851890679912511</v>
      </c>
      <c r="E2587">
        <v>0.82588469839900502</v>
      </c>
      <c r="F2587">
        <v>0.46089341930126898</v>
      </c>
      <c r="G2587">
        <v>0.241099311101766</v>
      </c>
      <c r="H2587">
        <v>0.17677326975345101</v>
      </c>
      <c r="I2587">
        <v>0.149574654596482</v>
      </c>
      <c r="J2587">
        <v>0.114165313851199</v>
      </c>
      <c r="K2587">
        <v>8.7750840467093694E-2</v>
      </c>
      <c r="L2587">
        <v>1139.5086377401301</v>
      </c>
      <c r="M2587">
        <v>21.767377790834601</v>
      </c>
      <c r="N2587">
        <v>52.971808100534197</v>
      </c>
      <c r="O2587">
        <v>51.913579929231197</v>
      </c>
      <c r="P2587">
        <v>-9.2999010570831805E-2</v>
      </c>
      <c r="Q2587">
        <v>0.112838075165918</v>
      </c>
      <c r="R2587">
        <v>0.981179375153716</v>
      </c>
      <c r="S2587" t="s">
        <v>8898</v>
      </c>
      <c r="T2587" t="s">
        <v>12620</v>
      </c>
      <c r="U2587" t="s">
        <v>12620</v>
      </c>
      <c r="V2587" t="s">
        <v>12620</v>
      </c>
      <c r="W2587" t="s">
        <v>15164</v>
      </c>
      <c r="X2587">
        <v>14</v>
      </c>
      <c r="Y2587" t="s">
        <v>21344</v>
      </c>
      <c r="Z2587" t="s">
        <v>27534</v>
      </c>
      <c r="AA2587">
        <v>0.48856213597348241</v>
      </c>
      <c r="AB2587" t="str">
        <f>HYPERLINK("Melting_Curves/meltCurve_P62753_RPS6.pdf", "Melting_Curves/meltCurve_P62753_RPS6.pdf")</f>
        <v>Melting_Curves/meltCurve_P62753_RPS6.pdf</v>
      </c>
    </row>
    <row r="2588" spans="1:28" x14ac:dyDescent="0.25">
      <c r="A2588" t="s">
        <v>2592</v>
      </c>
      <c r="B2588">
        <v>0.99987803227770999</v>
      </c>
      <c r="C2588">
        <v>1.13799621800226</v>
      </c>
      <c r="D2588">
        <v>0.85986578874869102</v>
      </c>
      <c r="E2588">
        <v>0.681530481804557</v>
      </c>
      <c r="F2588">
        <v>0.29760679934197798</v>
      </c>
      <c r="G2588">
        <v>0.15633878121198699</v>
      </c>
      <c r="H2588">
        <v>7.4609874483713007E-2</v>
      </c>
      <c r="I2588">
        <v>6.3725689289087506E-2</v>
      </c>
      <c r="J2588">
        <v>4.3303536491304001E-2</v>
      </c>
      <c r="K2588">
        <v>3.5734136418000398E-2</v>
      </c>
      <c r="L2588">
        <v>1202.33760539421</v>
      </c>
      <c r="M2588">
        <v>23.5299332947599</v>
      </c>
      <c r="N2588">
        <v>51.3231614138259</v>
      </c>
      <c r="O2588">
        <v>50.733422543851397</v>
      </c>
      <c r="P2588">
        <v>-0.11027009840065601</v>
      </c>
      <c r="Q2588">
        <v>4.8992654891964603E-2</v>
      </c>
      <c r="R2588">
        <v>0.981678531318943</v>
      </c>
      <c r="S2588" t="s">
        <v>8899</v>
      </c>
      <c r="T2588" t="s">
        <v>12620</v>
      </c>
      <c r="U2588" t="s">
        <v>12620</v>
      </c>
      <c r="V2588" t="s">
        <v>12620</v>
      </c>
      <c r="W2588" t="s">
        <v>15165</v>
      </c>
      <c r="X2588">
        <v>9</v>
      </c>
      <c r="Y2588" t="s">
        <v>21345</v>
      </c>
      <c r="Z2588" t="s">
        <v>27535</v>
      </c>
      <c r="AA2588">
        <v>0.41049026715620313</v>
      </c>
      <c r="AB2588" t="str">
        <f>HYPERLINK("Melting_Curves/meltCurve_P62805_HIST1H4A.pdf", "Melting_Curves/meltCurve_P62805_HIST1H4A.pdf")</f>
        <v>Melting_Curves/meltCurve_P62805_HIST1H4A.pdf</v>
      </c>
    </row>
    <row r="2589" spans="1:28" x14ac:dyDescent="0.25">
      <c r="A2589" t="s">
        <v>2593</v>
      </c>
      <c r="B2589">
        <v>0.99987803227770999</v>
      </c>
      <c r="C2589">
        <v>0.91668593916816199</v>
      </c>
      <c r="D2589">
        <v>1.02752889514683</v>
      </c>
      <c r="E2589">
        <v>0.93510851999099398</v>
      </c>
      <c r="F2589">
        <v>0.901752967711826</v>
      </c>
      <c r="G2589">
        <v>0.589885699748399</v>
      </c>
      <c r="H2589">
        <v>0.32219514105658298</v>
      </c>
      <c r="I2589">
        <v>0.22161723288464399</v>
      </c>
      <c r="J2589">
        <v>0.174674101035109</v>
      </c>
      <c r="K2589">
        <v>0.100970992300751</v>
      </c>
      <c r="L2589">
        <v>1171.3960656762399</v>
      </c>
      <c r="M2589">
        <v>20.3094084563682</v>
      </c>
      <c r="N2589">
        <v>58.337866378027599</v>
      </c>
      <c r="O2589">
        <v>57.127049894873302</v>
      </c>
      <c r="P2589">
        <v>-7.9753694788840895E-2</v>
      </c>
      <c r="Q2589">
        <v>0.10269102843422399</v>
      </c>
      <c r="R2589">
        <v>0.99145191007453803</v>
      </c>
      <c r="S2589" t="s">
        <v>8900</v>
      </c>
      <c r="T2589" t="s">
        <v>12620</v>
      </c>
      <c r="U2589" t="s">
        <v>12620</v>
      </c>
      <c r="V2589" t="s">
        <v>12620</v>
      </c>
      <c r="W2589" t="s">
        <v>15166</v>
      </c>
      <c r="X2589">
        <v>15</v>
      </c>
      <c r="Y2589" t="s">
        <v>21346</v>
      </c>
      <c r="Z2589" t="s">
        <v>27536</v>
      </c>
      <c r="AA2589">
        <v>0.64172336973630617</v>
      </c>
      <c r="AB2589" t="str">
        <f>HYPERLINK("Melting_Curves/meltCurve_P62820_RAB1A.pdf", "Melting_Curves/meltCurve_P62820_RAB1A.pdf")</f>
        <v>Melting_Curves/meltCurve_P62820_RAB1A.pdf</v>
      </c>
    </row>
    <row r="2590" spans="1:28" x14ac:dyDescent="0.25">
      <c r="A2590" t="s">
        <v>2594</v>
      </c>
      <c r="B2590">
        <v>0.99987803227770999</v>
      </c>
      <c r="C2590">
        <v>0.68158305641179995</v>
      </c>
      <c r="D2590">
        <v>1.04649341161974</v>
      </c>
      <c r="E2590">
        <v>0.77603340906164298</v>
      </c>
      <c r="F2590">
        <v>0.92979934356304395</v>
      </c>
      <c r="G2590">
        <v>0.63298134107468096</v>
      </c>
      <c r="H2590">
        <v>0.23467684079765999</v>
      </c>
      <c r="I2590">
        <v>8.2990516172739406E-2</v>
      </c>
      <c r="J2590">
        <v>4.8016220917633197E-2</v>
      </c>
      <c r="K2590">
        <v>3.6663456872663501E-2</v>
      </c>
      <c r="L2590">
        <v>1300.35777785761</v>
      </c>
      <c r="M2590">
        <v>22.401076620134301</v>
      </c>
      <c r="N2590">
        <v>58.0489024231575</v>
      </c>
      <c r="O2590">
        <v>57.592252964413099</v>
      </c>
      <c r="P2590">
        <v>-9.7242027266273304E-2</v>
      </c>
      <c r="Q2590">
        <v>0</v>
      </c>
      <c r="R2590">
        <v>0.902627422837463</v>
      </c>
      <c r="S2590" t="s">
        <v>8901</v>
      </c>
      <c r="T2590" t="s">
        <v>12620</v>
      </c>
      <c r="U2590" t="s">
        <v>12620</v>
      </c>
      <c r="V2590" t="s">
        <v>12620</v>
      </c>
      <c r="W2590" t="s">
        <v>15167</v>
      </c>
      <c r="X2590">
        <v>14</v>
      </c>
      <c r="Y2590" t="s">
        <v>21347</v>
      </c>
      <c r="Z2590" t="s">
        <v>27537</v>
      </c>
      <c r="AA2590">
        <v>0.61162324992642525</v>
      </c>
      <c r="AB2590" t="str">
        <f>HYPERLINK("Melting_Curves/meltCurve_P62826_RAN.pdf", "Melting_Curves/meltCurve_P62826_RAN.pdf")</f>
        <v>Melting_Curves/meltCurve_P62826_RAN.pdf</v>
      </c>
    </row>
    <row r="2591" spans="1:28" x14ac:dyDescent="0.25">
      <c r="A2591" t="s">
        <v>2595</v>
      </c>
      <c r="B2591">
        <v>0.99987803227770999</v>
      </c>
      <c r="C2591">
        <v>0.93936469280826096</v>
      </c>
      <c r="D2591">
        <v>0.71737081077317</v>
      </c>
      <c r="E2591">
        <v>0.47350396461264799</v>
      </c>
      <c r="F2591">
        <v>0.28016677232993697</v>
      </c>
      <c r="G2591">
        <v>0.17335763175822799</v>
      </c>
      <c r="H2591">
        <v>0.13912638796968299</v>
      </c>
      <c r="I2591">
        <v>0.135434318746736</v>
      </c>
      <c r="J2591">
        <v>0.13064542958036399</v>
      </c>
      <c r="K2591">
        <v>0.10136303263712799</v>
      </c>
      <c r="L2591">
        <v>819.40788255119605</v>
      </c>
      <c r="M2591">
        <v>16.868701830652601</v>
      </c>
      <c r="N2591">
        <v>49.314987440167897</v>
      </c>
      <c r="O2591">
        <v>47.908377974814499</v>
      </c>
      <c r="P2591">
        <v>-7.8195822623848596E-2</v>
      </c>
      <c r="Q2591">
        <v>0.111728599773666</v>
      </c>
      <c r="R2591">
        <v>0.997029280809691</v>
      </c>
      <c r="S2591" t="s">
        <v>8902</v>
      </c>
      <c r="T2591" t="s">
        <v>12620</v>
      </c>
      <c r="U2591" t="s">
        <v>12620</v>
      </c>
      <c r="V2591" t="s">
        <v>12620</v>
      </c>
      <c r="W2591" t="s">
        <v>15168</v>
      </c>
      <c r="X2591">
        <v>7</v>
      </c>
      <c r="Y2591" t="s">
        <v>21348</v>
      </c>
      <c r="Z2591" t="s">
        <v>27538</v>
      </c>
      <c r="AA2591">
        <v>0.38334052485014769</v>
      </c>
      <c r="AB2591" t="str">
        <f>HYPERLINK("Melting_Curves/meltCurve_P62829_RPL23.pdf", "Melting_Curves/meltCurve_P62829_RPL23.pdf")</f>
        <v>Melting_Curves/meltCurve_P62829_RPL23.pdf</v>
      </c>
    </row>
    <row r="2592" spans="1:28" x14ac:dyDescent="0.25">
      <c r="A2592" t="s">
        <v>2596</v>
      </c>
      <c r="B2592">
        <v>0.99987803227770999</v>
      </c>
      <c r="C2592">
        <v>0.96110928717370003</v>
      </c>
      <c r="D2592">
        <v>1.0553873920486001</v>
      </c>
      <c r="E2592">
        <v>1.0668528029512401</v>
      </c>
      <c r="F2592">
        <v>1.3046601334811101</v>
      </c>
      <c r="G2592">
        <v>1.9501625488804799</v>
      </c>
      <c r="H2592">
        <v>0.95385612973702205</v>
      </c>
      <c r="I2592">
        <v>0.25056950822200202</v>
      </c>
      <c r="J2592">
        <v>8.5440250184130997E-2</v>
      </c>
      <c r="K2592">
        <v>5.7246452328579701E-2</v>
      </c>
      <c r="L2592">
        <v>5764.0259713044397</v>
      </c>
      <c r="M2592">
        <v>91.481789884064</v>
      </c>
      <c r="N2592">
        <v>63.110196777061702</v>
      </c>
      <c r="O2592">
        <v>62.977267976081301</v>
      </c>
      <c r="P2592">
        <v>-0.338007334695197</v>
      </c>
      <c r="Q2592">
        <v>6.9245282608293907E-2</v>
      </c>
      <c r="R2592">
        <v>0.67793492698254598</v>
      </c>
      <c r="S2592" t="s">
        <v>8903</v>
      </c>
      <c r="T2592" t="s">
        <v>12620</v>
      </c>
      <c r="U2592" t="s">
        <v>12620</v>
      </c>
      <c r="V2592" t="s">
        <v>12620</v>
      </c>
      <c r="W2592" t="s">
        <v>15169</v>
      </c>
      <c r="X2592">
        <v>3</v>
      </c>
      <c r="Y2592" t="s">
        <v>21349</v>
      </c>
      <c r="Z2592" t="s">
        <v>27539</v>
      </c>
      <c r="AA2592">
        <v>0.78381902782747526</v>
      </c>
      <c r="AB2592" t="str">
        <f>HYPERLINK("Melting_Curves/meltCurve_P62837_UBE2D2.pdf", "Melting_Curves/meltCurve_P62837_UBE2D2.pdf")</f>
        <v>Melting_Curves/meltCurve_P62837_UBE2D2.pdf</v>
      </c>
    </row>
    <row r="2593" spans="1:28" x14ac:dyDescent="0.25">
      <c r="A2593" t="s">
        <v>2597</v>
      </c>
      <c r="B2593">
        <v>0.99987803227770999</v>
      </c>
      <c r="C2593">
        <v>1.0781694885772699</v>
      </c>
      <c r="D2593">
        <v>0.94410315643001297</v>
      </c>
      <c r="E2593">
        <v>0.81767487537234096</v>
      </c>
      <c r="F2593">
        <v>0.442666167999889</v>
      </c>
      <c r="G2593">
        <v>0.28719315668606699</v>
      </c>
      <c r="H2593">
        <v>0.15208742745981299</v>
      </c>
      <c r="I2593">
        <v>0.137998431986051</v>
      </c>
      <c r="J2593">
        <v>9.3613487164863493E-2</v>
      </c>
      <c r="K2593">
        <v>6.2522253916332607E-2</v>
      </c>
      <c r="L2593">
        <v>1142.2735928762499</v>
      </c>
      <c r="M2593">
        <v>21.749934714052401</v>
      </c>
      <c r="N2593">
        <v>53.052928331914003</v>
      </c>
      <c r="O2593">
        <v>52.080551191250201</v>
      </c>
      <c r="P2593">
        <v>-9.4135988498245698E-2</v>
      </c>
      <c r="Q2593">
        <v>9.8380529021217994E-2</v>
      </c>
      <c r="R2593">
        <v>0.98818418465774005</v>
      </c>
      <c r="S2593" t="s">
        <v>8904</v>
      </c>
      <c r="T2593" t="s">
        <v>12620</v>
      </c>
      <c r="U2593" t="s">
        <v>12620</v>
      </c>
      <c r="V2593" t="s">
        <v>12620</v>
      </c>
      <c r="W2593" t="s">
        <v>15170</v>
      </c>
      <c r="X2593">
        <v>2</v>
      </c>
      <c r="Y2593" t="s">
        <v>21350</v>
      </c>
      <c r="Z2593" t="s">
        <v>27540</v>
      </c>
      <c r="AA2593">
        <v>0.48532686502653011</v>
      </c>
      <c r="AB2593" t="str">
        <f>HYPERLINK("Melting_Curves/meltCurve_P62847_2_RPS24.pdf", "Melting_Curves/meltCurve_P62847_2_RPS24.pdf")</f>
        <v>Melting_Curves/meltCurve_P62847_2_RPS24.pdf</v>
      </c>
    </row>
    <row r="2594" spans="1:28" x14ac:dyDescent="0.25">
      <c r="A2594" t="s">
        <v>2598</v>
      </c>
      <c r="B2594">
        <v>0.99987803227770999</v>
      </c>
      <c r="C2594">
        <v>1.0945848057285801</v>
      </c>
      <c r="D2594">
        <v>1.0204378873227999</v>
      </c>
      <c r="E2594">
        <v>0.90368891449574296</v>
      </c>
      <c r="F2594">
        <v>0.61207078019392103</v>
      </c>
      <c r="G2594">
        <v>0.39294560304639498</v>
      </c>
      <c r="H2594">
        <v>0.21688635192470199</v>
      </c>
      <c r="I2594">
        <v>0.21652045118437799</v>
      </c>
      <c r="J2594">
        <v>0.12855039174819999</v>
      </c>
      <c r="K2594">
        <v>0.10080881789436</v>
      </c>
      <c r="L2594">
        <v>1090.5498797575401</v>
      </c>
      <c r="M2594">
        <v>20.097533506108999</v>
      </c>
      <c r="N2594">
        <v>55.0739223301915</v>
      </c>
      <c r="O2594">
        <v>53.734199213966697</v>
      </c>
      <c r="P2594">
        <v>-8.1529608156088298E-2</v>
      </c>
      <c r="Q2594">
        <v>0.12809430569526201</v>
      </c>
      <c r="R2594">
        <v>0.98595223226839002</v>
      </c>
      <c r="S2594" t="s">
        <v>8905</v>
      </c>
      <c r="T2594" t="s">
        <v>12620</v>
      </c>
      <c r="U2594" t="s">
        <v>12620</v>
      </c>
      <c r="V2594" t="s">
        <v>12620</v>
      </c>
      <c r="W2594" t="s">
        <v>15171</v>
      </c>
      <c r="X2594">
        <v>5</v>
      </c>
      <c r="Y2594" t="s">
        <v>21351</v>
      </c>
      <c r="Z2594" t="s">
        <v>27541</v>
      </c>
      <c r="AA2594">
        <v>0.55433098111485013</v>
      </c>
      <c r="AB2594" t="str">
        <f>HYPERLINK("Melting_Curves/meltCurve_P62851_RPS25.pdf", "Melting_Curves/meltCurve_P62851_RPS25.pdf")</f>
        <v>Melting_Curves/meltCurve_P62851_RPS25.pdf</v>
      </c>
    </row>
    <row r="2595" spans="1:28" x14ac:dyDescent="0.25">
      <c r="A2595" t="s">
        <v>2599</v>
      </c>
      <c r="B2595">
        <v>0.99987803227770999</v>
      </c>
      <c r="C2595">
        <v>1.2434623111027201</v>
      </c>
      <c r="D2595">
        <v>1.22305320407861</v>
      </c>
      <c r="E2595">
        <v>1.08231839264722</v>
      </c>
      <c r="F2595">
        <v>0.58157136152280398</v>
      </c>
      <c r="G2595">
        <v>0.308669624667195</v>
      </c>
      <c r="H2595">
        <v>0.190379473374687</v>
      </c>
      <c r="I2595">
        <v>0.16687291421779099</v>
      </c>
      <c r="J2595">
        <v>0.113290524599805</v>
      </c>
      <c r="K2595">
        <v>7.2349452968408404E-2</v>
      </c>
      <c r="L2595">
        <v>13249.084019612999</v>
      </c>
      <c r="M2595">
        <v>250</v>
      </c>
      <c r="N2595">
        <v>53.084767665643398</v>
      </c>
      <c r="O2595">
        <v>52.992944714543299</v>
      </c>
      <c r="P2595">
        <v>-0.97853546819515702</v>
      </c>
      <c r="Q2595">
        <v>0.17031238628006001</v>
      </c>
      <c r="R2595">
        <v>0.93108639956189698</v>
      </c>
      <c r="S2595" t="s">
        <v>8906</v>
      </c>
      <c r="T2595" t="s">
        <v>12620</v>
      </c>
      <c r="U2595" t="s">
        <v>12620</v>
      </c>
      <c r="V2595" t="s">
        <v>12620</v>
      </c>
      <c r="W2595" t="s">
        <v>15172</v>
      </c>
      <c r="X2595">
        <v>2</v>
      </c>
      <c r="Y2595" t="s">
        <v>21352</v>
      </c>
      <c r="Z2595" t="s">
        <v>27542</v>
      </c>
      <c r="AA2595">
        <v>0.52981952258851694</v>
      </c>
      <c r="AB2595" t="str">
        <f>HYPERLINK("Melting_Curves/meltCurve_P62854_RPS26.pdf", "Melting_Curves/meltCurve_P62854_RPS26.pdf")</f>
        <v>Melting_Curves/meltCurve_P62854_RPS26.pdf</v>
      </c>
    </row>
    <row r="2596" spans="1:28" x14ac:dyDescent="0.25">
      <c r="A2596" t="s">
        <v>2600</v>
      </c>
      <c r="B2596">
        <v>0.99987803227770999</v>
      </c>
      <c r="C2596">
        <v>0.81985072283985005</v>
      </c>
      <c r="D2596">
        <v>1.0095926117859</v>
      </c>
      <c r="E2596">
        <v>0.80714317289451798</v>
      </c>
      <c r="F2596">
        <v>0.95598007125652396</v>
      </c>
      <c r="G2596">
        <v>0.66421914705608398</v>
      </c>
      <c r="H2596">
        <v>0.78150709546326003</v>
      </c>
      <c r="I2596">
        <v>0.69745408865820002</v>
      </c>
      <c r="J2596">
        <v>0.73982780242177903</v>
      </c>
      <c r="K2596">
        <v>0.665661226915085</v>
      </c>
      <c r="L2596">
        <v>315.78122984689497</v>
      </c>
      <c r="M2596">
        <v>5.47698105936938</v>
      </c>
      <c r="O2596">
        <v>51.332429235924401</v>
      </c>
      <c r="P2596">
        <v>-1.18313649467755E-2</v>
      </c>
      <c r="Q2596">
        <v>0.55842095009838899</v>
      </c>
      <c r="R2596">
        <v>0.59806977037235998</v>
      </c>
      <c r="S2596" t="s">
        <v>8907</v>
      </c>
      <c r="T2596" t="s">
        <v>12620</v>
      </c>
      <c r="U2596" t="s">
        <v>12620</v>
      </c>
      <c r="V2596" t="s">
        <v>12620</v>
      </c>
      <c r="W2596" t="s">
        <v>15173</v>
      </c>
      <c r="X2596">
        <v>9</v>
      </c>
      <c r="Y2596" t="s">
        <v>21353</v>
      </c>
      <c r="Z2596" t="s">
        <v>27543</v>
      </c>
      <c r="AA2596">
        <v>0.8145602409029995</v>
      </c>
      <c r="AB2596" t="str">
        <f>HYPERLINK("Melting_Curves/meltCurve_P62857_RPS28.pdf", "Melting_Curves/meltCurve_P62857_RPS28.pdf")</f>
        <v>Melting_Curves/meltCurve_P62857_RPS28.pdf</v>
      </c>
    </row>
    <row r="2597" spans="1:28" x14ac:dyDescent="0.25">
      <c r="A2597" t="s">
        <v>2601</v>
      </c>
      <c r="B2597">
        <v>0.99987803227770999</v>
      </c>
      <c r="C2597">
        <v>1.05455076422759</v>
      </c>
      <c r="D2597">
        <v>0.92345196605539603</v>
      </c>
      <c r="E2597">
        <v>0.68622250274883301</v>
      </c>
      <c r="F2597">
        <v>0.33975031105048198</v>
      </c>
      <c r="G2597">
        <v>0.232258214575467</v>
      </c>
      <c r="H2597">
        <v>0.170035972042551</v>
      </c>
      <c r="I2597">
        <v>0.163297345669948</v>
      </c>
      <c r="J2597">
        <v>0.10707697572726101</v>
      </c>
      <c r="K2597">
        <v>6.3286475285349794E-2</v>
      </c>
      <c r="L2597">
        <v>1214.46536724818</v>
      </c>
      <c r="M2597">
        <v>23.8029275707183</v>
      </c>
      <c r="N2597">
        <v>51.635478795730499</v>
      </c>
      <c r="O2597">
        <v>50.665671339189799</v>
      </c>
      <c r="P2597">
        <v>-0.102980446424297</v>
      </c>
      <c r="Q2597">
        <v>0.123219378159367</v>
      </c>
      <c r="R2597">
        <v>0.99009532436062897</v>
      </c>
      <c r="S2597" t="s">
        <v>8908</v>
      </c>
      <c r="T2597" t="s">
        <v>12620</v>
      </c>
      <c r="U2597" t="s">
        <v>12620</v>
      </c>
      <c r="V2597" t="s">
        <v>12620</v>
      </c>
      <c r="W2597" t="s">
        <v>15174</v>
      </c>
      <c r="X2597">
        <v>1</v>
      </c>
      <c r="Y2597" t="s">
        <v>21354</v>
      </c>
      <c r="Z2597" t="s">
        <v>27544</v>
      </c>
      <c r="AA2597">
        <v>0.45406126367537442</v>
      </c>
      <c r="AB2597" t="str">
        <f>HYPERLINK("Melting_Curves/meltCurve_P62873_GNB1.pdf", "Melting_Curves/meltCurve_P62873_GNB1.pdf")</f>
        <v>Melting_Curves/meltCurve_P62873_GNB1.pdf</v>
      </c>
    </row>
    <row r="2598" spans="1:28" x14ac:dyDescent="0.25">
      <c r="A2598" t="s">
        <v>2602</v>
      </c>
      <c r="B2598">
        <v>0.99987803227770999</v>
      </c>
      <c r="C2598">
        <v>0.85286619021495702</v>
      </c>
      <c r="D2598">
        <v>0.76822226882328204</v>
      </c>
      <c r="E2598">
        <v>0.67360494709102103</v>
      </c>
      <c r="F2598">
        <v>0.33340339066527702</v>
      </c>
      <c r="G2598">
        <v>0.19217115409008201</v>
      </c>
      <c r="H2598">
        <v>0.15202129989395</v>
      </c>
      <c r="I2598">
        <v>0.15179575192688199</v>
      </c>
      <c r="J2598">
        <v>0.112746503366977</v>
      </c>
      <c r="K2598">
        <v>8.4287604499433094E-2</v>
      </c>
      <c r="L2598">
        <v>669.66108970869197</v>
      </c>
      <c r="M2598">
        <v>13.2645876991559</v>
      </c>
      <c r="N2598">
        <v>51.041588757132402</v>
      </c>
      <c r="O2598">
        <v>49.378839538469499</v>
      </c>
      <c r="P2598">
        <v>-6.2644502138473196E-2</v>
      </c>
      <c r="Q2598">
        <v>6.7349086245099499E-2</v>
      </c>
      <c r="R2598">
        <v>0.97809280855963698</v>
      </c>
      <c r="S2598" t="s">
        <v>8909</v>
      </c>
      <c r="T2598" t="s">
        <v>12620</v>
      </c>
      <c r="U2598" t="s">
        <v>12620</v>
      </c>
      <c r="V2598" t="s">
        <v>12620</v>
      </c>
      <c r="W2598" t="s">
        <v>15175</v>
      </c>
      <c r="X2598">
        <v>2</v>
      </c>
      <c r="Y2598" t="s">
        <v>21355</v>
      </c>
      <c r="Z2598" t="s">
        <v>27545</v>
      </c>
      <c r="AA2598">
        <v>0.42016413683793091</v>
      </c>
      <c r="AB2598" t="str">
        <f>HYPERLINK("Melting_Curves/meltCurve_P62875_POLR2L.pdf", "Melting_Curves/meltCurve_P62875_POLR2L.pdf")</f>
        <v>Melting_Curves/meltCurve_P62875_POLR2L.pdf</v>
      </c>
    </row>
    <row r="2599" spans="1:28" x14ac:dyDescent="0.25">
      <c r="A2599" t="s">
        <v>2603</v>
      </c>
      <c r="B2599">
        <v>0.99987803227770999</v>
      </c>
      <c r="C2599">
        <v>0.97816908906938105</v>
      </c>
      <c r="D2599">
        <v>0.897745151640853</v>
      </c>
      <c r="E2599">
        <v>1.0470513671647801</v>
      </c>
      <c r="F2599">
        <v>0.97104464151521297</v>
      </c>
      <c r="G2599">
        <v>0.84892776304562501</v>
      </c>
      <c r="H2599">
        <v>0.92257059832831501</v>
      </c>
      <c r="I2599">
        <v>0.90800532116708998</v>
      </c>
      <c r="J2599">
        <v>0.96210223210211498</v>
      </c>
      <c r="K2599">
        <v>0.82798786003464897</v>
      </c>
      <c r="L2599">
        <v>210.970196520298</v>
      </c>
      <c r="M2599">
        <v>1.0572920424412999</v>
      </c>
      <c r="Q2599">
        <v>0</v>
      </c>
      <c r="R2599">
        <v>0.316436978612533</v>
      </c>
      <c r="S2599" t="s">
        <v>8910</v>
      </c>
      <c r="T2599" t="s">
        <v>12620</v>
      </c>
      <c r="U2599" t="s">
        <v>12620</v>
      </c>
      <c r="V2599" t="s">
        <v>12620</v>
      </c>
      <c r="W2599" t="s">
        <v>15176</v>
      </c>
      <c r="X2599">
        <v>3</v>
      </c>
      <c r="Y2599" t="s">
        <v>21356</v>
      </c>
      <c r="Z2599" t="s">
        <v>27546</v>
      </c>
      <c r="AA2599">
        <v>0.93791138886990633</v>
      </c>
      <c r="AB2599" t="str">
        <f>HYPERLINK("Melting_Curves/meltCurve_P62877_RBX1.pdf", "Melting_Curves/meltCurve_P62877_RBX1.pdf")</f>
        <v>Melting_Curves/meltCurve_P62877_RBX1.pdf</v>
      </c>
    </row>
    <row r="2600" spans="1:28" x14ac:dyDescent="0.25">
      <c r="A2600" t="s">
        <v>2604</v>
      </c>
      <c r="B2600">
        <v>0.99987803227770999</v>
      </c>
      <c r="C2600">
        <v>1.28482892992691</v>
      </c>
      <c r="D2600">
        <v>1.2556105662766499</v>
      </c>
      <c r="E2600">
        <v>0.98643127966766597</v>
      </c>
      <c r="F2600">
        <v>0.54247886801980205</v>
      </c>
      <c r="G2600">
        <v>0.271508366990109</v>
      </c>
      <c r="H2600">
        <v>0.16546474161399399</v>
      </c>
      <c r="I2600">
        <v>0.134386245027075</v>
      </c>
      <c r="J2600">
        <v>0.14937373693453199</v>
      </c>
      <c r="K2600">
        <v>9.3085483584473799E-2</v>
      </c>
      <c r="L2600">
        <v>2274.3443130373198</v>
      </c>
      <c r="M2600">
        <v>42.933364901018599</v>
      </c>
      <c r="N2600">
        <v>53.422449120581703</v>
      </c>
      <c r="O2600">
        <v>52.8592773811258</v>
      </c>
      <c r="P2600">
        <v>-0.172322780708767</v>
      </c>
      <c r="Q2600">
        <v>0.151350614120142</v>
      </c>
      <c r="R2600">
        <v>0.92642875298160599</v>
      </c>
      <c r="S2600" t="s">
        <v>8911</v>
      </c>
      <c r="T2600" t="s">
        <v>12620</v>
      </c>
      <c r="U2600" t="s">
        <v>12620</v>
      </c>
      <c r="V2600" t="s">
        <v>12620</v>
      </c>
      <c r="W2600" t="s">
        <v>15177</v>
      </c>
      <c r="X2600">
        <v>5</v>
      </c>
      <c r="Y2600" t="s">
        <v>21357</v>
      </c>
      <c r="Z2600" t="s">
        <v>27547</v>
      </c>
      <c r="AA2600">
        <v>0.52105117998521577</v>
      </c>
      <c r="AB2600" t="str">
        <f>HYPERLINK("Melting_Curves/meltCurve_P62888_RPL30.pdf", "Melting_Curves/meltCurve_P62888_RPL30.pdf")</f>
        <v>Melting_Curves/meltCurve_P62888_RPL30.pdf</v>
      </c>
    </row>
    <row r="2601" spans="1:28" x14ac:dyDescent="0.25">
      <c r="A2601" t="s">
        <v>2605</v>
      </c>
      <c r="B2601">
        <v>0.99987803227770999</v>
      </c>
      <c r="C2601">
        <v>1.31533933143441</v>
      </c>
      <c r="D2601">
        <v>1.3825209681086299</v>
      </c>
      <c r="E2601">
        <v>1.1890395957269599</v>
      </c>
      <c r="F2601">
        <v>0.80672314514048205</v>
      </c>
      <c r="G2601">
        <v>0.45674818636588899</v>
      </c>
      <c r="H2601">
        <v>0.28745062397201598</v>
      </c>
      <c r="I2601">
        <v>0.231357925801466</v>
      </c>
      <c r="J2601">
        <v>0.183208426459569</v>
      </c>
      <c r="K2601">
        <v>0.13132472447927199</v>
      </c>
      <c r="L2601">
        <v>1768.94438005549</v>
      </c>
      <c r="M2601">
        <v>31.732424680357301</v>
      </c>
      <c r="N2601">
        <v>56.593387541718201</v>
      </c>
      <c r="O2601">
        <v>55.525659395652603</v>
      </c>
      <c r="P2601">
        <v>-0.115847127983364</v>
      </c>
      <c r="Q2601">
        <v>0.18916326988516999</v>
      </c>
      <c r="R2601">
        <v>0.864614833953538</v>
      </c>
      <c r="S2601" t="s">
        <v>8912</v>
      </c>
      <c r="T2601" t="s">
        <v>12620</v>
      </c>
      <c r="U2601" t="s">
        <v>12620</v>
      </c>
      <c r="V2601" t="s">
        <v>12620</v>
      </c>
      <c r="W2601" t="s">
        <v>15178</v>
      </c>
      <c r="X2601">
        <v>6</v>
      </c>
      <c r="Y2601" t="s">
        <v>21358</v>
      </c>
      <c r="Z2601" t="s">
        <v>27548</v>
      </c>
      <c r="AA2601">
        <v>0.61959980548976956</v>
      </c>
      <c r="AB2601" t="str">
        <f>HYPERLINK("Melting_Curves/meltCurve_P62906_RPL10A.pdf", "Melting_Curves/meltCurve_P62906_RPL10A.pdf")</f>
        <v>Melting_Curves/meltCurve_P62906_RPL10A.pdf</v>
      </c>
    </row>
    <row r="2602" spans="1:28" x14ac:dyDescent="0.25">
      <c r="A2602" t="s">
        <v>2606</v>
      </c>
      <c r="B2602">
        <v>0.99987803227770999</v>
      </c>
      <c r="C2602">
        <v>1.3299136129475799</v>
      </c>
      <c r="D2602">
        <v>1.5220694102937999</v>
      </c>
      <c r="E2602">
        <v>1.30814519254342</v>
      </c>
      <c r="F2602">
        <v>1.0821859120392501</v>
      </c>
      <c r="G2602">
        <v>0.52819512790013001</v>
      </c>
      <c r="H2602">
        <v>0.392773428566699</v>
      </c>
      <c r="I2602">
        <v>0.32823901961520102</v>
      </c>
      <c r="J2602">
        <v>0.36453331981114501</v>
      </c>
      <c r="K2602">
        <v>0.26273217256533699</v>
      </c>
      <c r="L2602">
        <v>13147.9688864126</v>
      </c>
      <c r="M2602">
        <v>231.56973874382999</v>
      </c>
      <c r="N2602">
        <v>57.053838824582201</v>
      </c>
      <c r="O2602">
        <v>56.773320188076198</v>
      </c>
      <c r="P2602">
        <v>-0.67599802990788105</v>
      </c>
      <c r="Q2602">
        <v>0.33706936985466801</v>
      </c>
      <c r="R2602">
        <v>0.76756133281987904</v>
      </c>
      <c r="S2602" t="s">
        <v>8913</v>
      </c>
      <c r="T2602" t="s">
        <v>12620</v>
      </c>
      <c r="U2602" t="s">
        <v>12620</v>
      </c>
      <c r="V2602" t="s">
        <v>12620</v>
      </c>
      <c r="W2602" t="s">
        <v>15179</v>
      </c>
      <c r="X2602">
        <v>8</v>
      </c>
      <c r="Y2602" t="s">
        <v>21359</v>
      </c>
      <c r="Z2602" t="s">
        <v>27549</v>
      </c>
      <c r="AA2602">
        <v>0.70789203958127855</v>
      </c>
      <c r="AB2602" t="str">
        <f>HYPERLINK("Melting_Curves/meltCurve_P62917_RPL8.pdf", "Melting_Curves/meltCurve_P62917_RPL8.pdf")</f>
        <v>Melting_Curves/meltCurve_P62917_RPL8.pdf</v>
      </c>
    </row>
    <row r="2603" spans="1:28" x14ac:dyDescent="0.25">
      <c r="A2603" t="s">
        <v>2607</v>
      </c>
      <c r="B2603">
        <v>0.99987803227770999</v>
      </c>
      <c r="C2603">
        <v>0.81816912773967698</v>
      </c>
      <c r="D2603">
        <v>0.96758502043216599</v>
      </c>
      <c r="E2603">
        <v>0.76389064752265701</v>
      </c>
      <c r="F2603">
        <v>0.910401299257245</v>
      </c>
      <c r="G2603">
        <v>0.68010687254781099</v>
      </c>
      <c r="H2603">
        <v>0.70177953799139303</v>
      </c>
      <c r="I2603">
        <v>0.59499459282698197</v>
      </c>
      <c r="J2603">
        <v>0.53689207276707496</v>
      </c>
      <c r="K2603">
        <v>0.45101698688230701</v>
      </c>
      <c r="L2603">
        <v>315.70386781617299</v>
      </c>
      <c r="M2603">
        <v>4.5618339596501896</v>
      </c>
      <c r="N2603">
        <v>69.205471052197097</v>
      </c>
      <c r="O2603">
        <v>59.0331107598209</v>
      </c>
      <c r="P2603">
        <v>-1.9480419049769201E-2</v>
      </c>
      <c r="Q2603">
        <v>0</v>
      </c>
      <c r="R2603">
        <v>0.84943448895948104</v>
      </c>
      <c r="S2603" t="s">
        <v>8914</v>
      </c>
      <c r="T2603" t="s">
        <v>12620</v>
      </c>
      <c r="U2603" t="s">
        <v>12620</v>
      </c>
      <c r="V2603" t="s">
        <v>12620</v>
      </c>
      <c r="W2603" t="s">
        <v>15180</v>
      </c>
      <c r="X2603">
        <v>11</v>
      </c>
      <c r="Y2603" t="s">
        <v>21360</v>
      </c>
      <c r="Z2603" t="s">
        <v>27550</v>
      </c>
      <c r="AA2603">
        <v>0.75156113517535461</v>
      </c>
      <c r="AB2603" t="str">
        <f>HYPERLINK("Melting_Curves/meltCurve_P62942_FKBP1A.pdf", "Melting_Curves/meltCurve_P62942_FKBP1A.pdf")</f>
        <v>Melting_Curves/meltCurve_P62942_FKBP1A.pdf</v>
      </c>
    </row>
    <row r="2604" spans="1:28" x14ac:dyDescent="0.25">
      <c r="A2604" t="s">
        <v>2608</v>
      </c>
      <c r="B2604">
        <v>0.99987803227770999</v>
      </c>
      <c r="C2604">
        <v>0.73062250115029703</v>
      </c>
      <c r="D2604">
        <v>0.91375156658452505</v>
      </c>
      <c r="E2604">
        <v>0.81147317050594903</v>
      </c>
      <c r="F2604">
        <v>1.0188923131972301</v>
      </c>
      <c r="G2604">
        <v>0.64016384079301802</v>
      </c>
      <c r="H2604">
        <v>0.27524152669019403</v>
      </c>
      <c r="I2604">
        <v>0.14553843567525901</v>
      </c>
      <c r="J2604">
        <v>0.10442584864634299</v>
      </c>
      <c r="K2604">
        <v>7.8357556064280701E-2</v>
      </c>
      <c r="L2604">
        <v>1610.60969538412</v>
      </c>
      <c r="M2604">
        <v>27.734420049581001</v>
      </c>
      <c r="N2604">
        <v>58.428047376036197</v>
      </c>
      <c r="O2604">
        <v>57.773195668014701</v>
      </c>
      <c r="P2604">
        <v>-0.110698244106107</v>
      </c>
      <c r="Q2604">
        <v>7.7632164781441804E-2</v>
      </c>
      <c r="R2604">
        <v>0.91030908505629704</v>
      </c>
      <c r="S2604" t="s">
        <v>8915</v>
      </c>
      <c r="T2604" t="s">
        <v>12620</v>
      </c>
      <c r="U2604" t="s">
        <v>12620</v>
      </c>
      <c r="V2604" t="s">
        <v>12620</v>
      </c>
      <c r="W2604" t="s">
        <v>15181</v>
      </c>
      <c r="X2604">
        <v>16</v>
      </c>
      <c r="Y2604" t="s">
        <v>21361</v>
      </c>
      <c r="Z2604" t="s">
        <v>27551</v>
      </c>
      <c r="AA2604">
        <v>0.64015567607474655</v>
      </c>
      <c r="AB2604" t="str">
        <f>HYPERLINK("Melting_Curves/meltCurve_P62993_GRB2.pdf", "Melting_Curves/meltCurve_P62993_GRB2.pdf")</f>
        <v>Melting_Curves/meltCurve_P62993_GRB2.pdf</v>
      </c>
    </row>
    <row r="2605" spans="1:28" x14ac:dyDescent="0.25">
      <c r="A2605" t="s">
        <v>2609</v>
      </c>
      <c r="B2605">
        <v>0.99987803227770999</v>
      </c>
      <c r="C2605">
        <v>1.1423814033819799</v>
      </c>
      <c r="D2605">
        <v>1.05793425125541</v>
      </c>
      <c r="E2605">
        <v>0.91678276757170996</v>
      </c>
      <c r="F2605">
        <v>0.67111845791301905</v>
      </c>
      <c r="G2605">
        <v>0.39569284970541002</v>
      </c>
      <c r="H2605">
        <v>0.45664201003220301</v>
      </c>
      <c r="I2605">
        <v>0.27478570440719802</v>
      </c>
      <c r="J2605">
        <v>0.29316046290425801</v>
      </c>
      <c r="K2605">
        <v>0.17947874630105001</v>
      </c>
      <c r="L2605">
        <v>1229.39788428725</v>
      </c>
      <c r="M2605">
        <v>22.846668835955501</v>
      </c>
      <c r="N2605">
        <v>55.722281884184397</v>
      </c>
      <c r="O2605">
        <v>53.403639296704199</v>
      </c>
      <c r="P2605">
        <v>-7.79007766413852E-2</v>
      </c>
      <c r="Q2605">
        <v>0.27164786453098699</v>
      </c>
      <c r="R2605">
        <v>0.95166838552779398</v>
      </c>
      <c r="S2605" t="s">
        <v>8916</v>
      </c>
      <c r="T2605" t="s">
        <v>12620</v>
      </c>
      <c r="U2605" t="s">
        <v>12620</v>
      </c>
      <c r="V2605" t="s">
        <v>12620</v>
      </c>
      <c r="W2605" t="s">
        <v>15182</v>
      </c>
      <c r="X2605">
        <v>3</v>
      </c>
      <c r="Y2605" t="s">
        <v>21362</v>
      </c>
      <c r="Z2605" t="s">
        <v>27552</v>
      </c>
      <c r="AA2605">
        <v>0.61487237463419153</v>
      </c>
      <c r="AB2605" t="str">
        <f>HYPERLINK("Melting_Curves/meltCurve_P62995_TRA2B.pdf", "Melting_Curves/meltCurve_P62995_TRA2B.pdf")</f>
        <v>Melting_Curves/meltCurve_P62995_TRA2B.pdf</v>
      </c>
    </row>
    <row r="2606" spans="1:28" x14ac:dyDescent="0.25">
      <c r="A2606" t="s">
        <v>2610</v>
      </c>
      <c r="B2606">
        <v>0.99987803227770999</v>
      </c>
      <c r="C2606">
        <v>0.89835080795494804</v>
      </c>
      <c r="D2606">
        <v>1.0352552470135099</v>
      </c>
      <c r="E2606">
        <v>0.923092679540786</v>
      </c>
      <c r="F2606">
        <v>1.08666595562729</v>
      </c>
      <c r="G2606">
        <v>0.48575575855686498</v>
      </c>
      <c r="H2606">
        <v>0.10987753287047999</v>
      </c>
      <c r="I2606">
        <v>9.0696753088351206E-2</v>
      </c>
      <c r="J2606">
        <v>5.9389840060943402E-2</v>
      </c>
      <c r="K2606">
        <v>4.6008263206387401E-2</v>
      </c>
      <c r="L2606">
        <v>8926.7017315060602</v>
      </c>
      <c r="M2606">
        <v>156.837094976706</v>
      </c>
      <c r="N2606">
        <v>56.977344471779197</v>
      </c>
      <c r="O2606">
        <v>56.907780748785299</v>
      </c>
      <c r="P2606">
        <v>-0.63629834207449298</v>
      </c>
      <c r="Q2606">
        <v>7.6485721562588996E-2</v>
      </c>
      <c r="R2606">
        <v>0.98538572959183801</v>
      </c>
      <c r="S2606" t="s">
        <v>8917</v>
      </c>
      <c r="T2606" t="s">
        <v>12620</v>
      </c>
      <c r="U2606" t="s">
        <v>12620</v>
      </c>
      <c r="V2606" t="s">
        <v>12620</v>
      </c>
      <c r="W2606" t="s">
        <v>15183</v>
      </c>
      <c r="X2606">
        <v>11</v>
      </c>
      <c r="Y2606" t="s">
        <v>21363</v>
      </c>
      <c r="Z2606" t="s">
        <v>27553</v>
      </c>
      <c r="AA2606">
        <v>0.59749083597519181</v>
      </c>
      <c r="AB2606" t="str">
        <f>HYPERLINK("Melting_Curves/meltCurve_P63000_RAC1.pdf", "Melting_Curves/meltCurve_P63000_RAC1.pdf")</f>
        <v>Melting_Curves/meltCurve_P63000_RAC1.pdf</v>
      </c>
    </row>
    <row r="2607" spans="1:28" x14ac:dyDescent="0.25">
      <c r="A2607" t="s">
        <v>2611</v>
      </c>
      <c r="B2607">
        <v>0.99987803227770999</v>
      </c>
      <c r="C2607">
        <v>1.0647422515748</v>
      </c>
      <c r="D2607">
        <v>0.977482086490853</v>
      </c>
      <c r="E2607">
        <v>1.15075832185772</v>
      </c>
      <c r="F2607">
        <v>0.67868299677660304</v>
      </c>
      <c r="G2607">
        <v>0.35735463337539303</v>
      </c>
      <c r="H2607">
        <v>0.16936236550350101</v>
      </c>
      <c r="I2607">
        <v>9.8411641864339705E-2</v>
      </c>
      <c r="J2607">
        <v>6.4709898495489998E-2</v>
      </c>
      <c r="K2607">
        <v>4.5492960265632501E-2</v>
      </c>
      <c r="L2607">
        <v>1552.66341335212</v>
      </c>
      <c r="M2607">
        <v>28.185999333230299</v>
      </c>
      <c r="N2607">
        <v>55.403647737960497</v>
      </c>
      <c r="O2607">
        <v>54.8112849382414</v>
      </c>
      <c r="P2607">
        <v>-0.11897791244136501</v>
      </c>
      <c r="Q2607">
        <v>7.4536582895950498E-2</v>
      </c>
      <c r="R2607">
        <v>0.97026874685993902</v>
      </c>
      <c r="S2607" t="s">
        <v>8918</v>
      </c>
      <c r="T2607" t="s">
        <v>12620</v>
      </c>
      <c r="U2607" t="s">
        <v>12620</v>
      </c>
      <c r="V2607" t="s">
        <v>12620</v>
      </c>
      <c r="W2607" t="s">
        <v>15184</v>
      </c>
      <c r="X2607">
        <v>38</v>
      </c>
      <c r="Y2607" t="s">
        <v>21364</v>
      </c>
      <c r="Z2607" t="s">
        <v>27554</v>
      </c>
      <c r="AA2607">
        <v>0.54683199934644777</v>
      </c>
      <c r="AB2607" t="str">
        <f>HYPERLINK("Melting_Curves/meltCurve_P63010_AP2B1.pdf", "Melting_Curves/meltCurve_P63010_AP2B1.pdf")</f>
        <v>Melting_Curves/meltCurve_P63010_AP2B1.pdf</v>
      </c>
    </row>
    <row r="2608" spans="1:28" x14ac:dyDescent="0.25">
      <c r="A2608" t="s">
        <v>2612</v>
      </c>
      <c r="B2608">
        <v>0.99987803227770999</v>
      </c>
      <c r="C2608">
        <v>0.95658566488276298</v>
      </c>
      <c r="D2608">
        <v>0.98349437623623204</v>
      </c>
      <c r="E2608">
        <v>0.854187326464389</v>
      </c>
      <c r="F2608">
        <v>0.70880208117075105</v>
      </c>
      <c r="G2608">
        <v>0.277290111696745</v>
      </c>
      <c r="H2608">
        <v>0.228953947391487</v>
      </c>
      <c r="I2608">
        <v>0.181416697920179</v>
      </c>
      <c r="J2608">
        <v>0.15546992268391899</v>
      </c>
      <c r="K2608">
        <v>0.120194311631712</v>
      </c>
      <c r="L2608">
        <v>1326.79791975939</v>
      </c>
      <c r="M2608">
        <v>24.593790669203798</v>
      </c>
      <c r="N2608">
        <v>54.714379969024499</v>
      </c>
      <c r="O2608">
        <v>53.595613190283203</v>
      </c>
      <c r="P2608">
        <v>-9.8014275810313106E-2</v>
      </c>
      <c r="Q2608">
        <v>0.145628406219562</v>
      </c>
      <c r="R2608">
        <v>0.99244758295945601</v>
      </c>
      <c r="S2608" t="s">
        <v>8919</v>
      </c>
      <c r="T2608" t="s">
        <v>12620</v>
      </c>
      <c r="U2608" t="s">
        <v>12620</v>
      </c>
      <c r="V2608" t="s">
        <v>12620</v>
      </c>
      <c r="W2608" t="s">
        <v>15185</v>
      </c>
      <c r="X2608">
        <v>10</v>
      </c>
      <c r="Y2608" t="s">
        <v>21365</v>
      </c>
      <c r="Z2608" t="s">
        <v>27555</v>
      </c>
      <c r="AA2608">
        <v>0.551012188551395</v>
      </c>
      <c r="AB2608" t="str">
        <f>HYPERLINK("Melting_Curves/meltCurve_P63096_GNAI1.pdf", "Melting_Curves/meltCurve_P63096_GNAI1.pdf")</f>
        <v>Melting_Curves/meltCurve_P63096_GNAI1.pdf</v>
      </c>
    </row>
    <row r="2609" spans="1:28" x14ac:dyDescent="0.25">
      <c r="A2609" t="s">
        <v>2613</v>
      </c>
      <c r="B2609">
        <v>0.99987803227770999</v>
      </c>
      <c r="C2609">
        <v>0.85596404688566796</v>
      </c>
      <c r="D2609">
        <v>1.04697092992903</v>
      </c>
      <c r="E2609">
        <v>0.87950322145896898</v>
      </c>
      <c r="F2609">
        <v>1.2477989134595899</v>
      </c>
      <c r="G2609">
        <v>1.0196151562865501</v>
      </c>
      <c r="H2609">
        <v>0.58281648144211495</v>
      </c>
      <c r="I2609">
        <v>0.16140771656920799</v>
      </c>
      <c r="J2609">
        <v>9.5427189677152302E-2</v>
      </c>
      <c r="K2609">
        <v>6.2291092450761698E-2</v>
      </c>
      <c r="L2609">
        <v>3475.44421050854</v>
      </c>
      <c r="M2609">
        <v>56.762169039901103</v>
      </c>
      <c r="N2609">
        <v>61.413550267103297</v>
      </c>
      <c r="O2609">
        <v>61.1523210877507</v>
      </c>
      <c r="P2609">
        <v>-0.21378322527940499</v>
      </c>
      <c r="Q2609">
        <v>7.8729089545083203E-2</v>
      </c>
      <c r="R2609">
        <v>0.94236839419966101</v>
      </c>
      <c r="S2609" t="s">
        <v>8920</v>
      </c>
      <c r="T2609" t="s">
        <v>12620</v>
      </c>
      <c r="U2609" t="s">
        <v>12620</v>
      </c>
      <c r="V2609" t="s">
        <v>12620</v>
      </c>
      <c r="W2609" t="s">
        <v>15186</v>
      </c>
      <c r="X2609">
        <v>27</v>
      </c>
      <c r="Y2609" t="s">
        <v>21366</v>
      </c>
      <c r="Z2609" t="s">
        <v>27556</v>
      </c>
      <c r="AA2609">
        <v>0.73251731195060665</v>
      </c>
      <c r="AB2609" t="str">
        <f>HYPERLINK("Melting_Curves/meltCurve_P63104_YWHAZ.pdf", "Melting_Curves/meltCurve_P63104_YWHAZ.pdf")</f>
        <v>Melting_Curves/meltCurve_P63104_YWHAZ.pdf</v>
      </c>
    </row>
    <row r="2610" spans="1:28" x14ac:dyDescent="0.25">
      <c r="A2610" t="s">
        <v>2614</v>
      </c>
      <c r="B2610">
        <v>0.99987803227770999</v>
      </c>
      <c r="C2610">
        <v>1.1785733793845301</v>
      </c>
      <c r="D2610">
        <v>0.97969417015360705</v>
      </c>
      <c r="E2610">
        <v>1.2450397296684701</v>
      </c>
      <c r="F2610">
        <v>0.95085682798416704</v>
      </c>
      <c r="G2610">
        <v>0.59435959767133895</v>
      </c>
      <c r="H2610">
        <v>0.14919612755271899</v>
      </c>
      <c r="I2610">
        <v>0.108188199121232</v>
      </c>
      <c r="J2610">
        <v>8.0515979960373393E-2</v>
      </c>
      <c r="K2610">
        <v>5.58609670471059E-2</v>
      </c>
      <c r="L2610">
        <v>2376.1081009929699</v>
      </c>
      <c r="M2610">
        <v>41.4367141630579</v>
      </c>
      <c r="N2610">
        <v>57.574294165951898</v>
      </c>
      <c r="O2610">
        <v>57.2099951411872</v>
      </c>
      <c r="P2610">
        <v>-0.16719316352188601</v>
      </c>
      <c r="Q2610">
        <v>7.6654387717861094E-2</v>
      </c>
      <c r="R2610">
        <v>0.95656382560505604</v>
      </c>
      <c r="S2610" t="s">
        <v>8921</v>
      </c>
      <c r="T2610" t="s">
        <v>12620</v>
      </c>
      <c r="U2610" t="s">
        <v>12620</v>
      </c>
      <c r="V2610" t="s">
        <v>12620</v>
      </c>
      <c r="W2610" t="s">
        <v>15187</v>
      </c>
      <c r="X2610">
        <v>16</v>
      </c>
      <c r="Y2610" t="s">
        <v>21367</v>
      </c>
      <c r="Z2610" t="s">
        <v>27557</v>
      </c>
      <c r="AA2610">
        <v>0.61381415901636394</v>
      </c>
      <c r="AB2610" t="str">
        <f>HYPERLINK("Melting_Curves/meltCurve_P63151_PPP2R2A.pdf", "Melting_Curves/meltCurve_P63151_PPP2R2A.pdf")</f>
        <v>Melting_Curves/meltCurve_P63151_PPP2R2A.pdf</v>
      </c>
    </row>
    <row r="2611" spans="1:28" x14ac:dyDescent="0.25">
      <c r="A2611" t="s">
        <v>2615</v>
      </c>
      <c r="B2611">
        <v>0.99987803227770999</v>
      </c>
      <c r="C2611">
        <v>0.78056481908448805</v>
      </c>
      <c r="D2611">
        <v>0.97461133963990099</v>
      </c>
      <c r="E2611">
        <v>0.72991861684589998</v>
      </c>
      <c r="F2611">
        <v>0.60716695412784005</v>
      </c>
      <c r="G2611">
        <v>0.31319365069527699</v>
      </c>
      <c r="H2611">
        <v>0.19924918622710799</v>
      </c>
      <c r="I2611">
        <v>0.12959069197713499</v>
      </c>
      <c r="J2611">
        <v>9.0127266977431605E-2</v>
      </c>
      <c r="K2611">
        <v>5.6539292058761903E-2</v>
      </c>
      <c r="L2611">
        <v>670.80334536955297</v>
      </c>
      <c r="M2611">
        <v>12.3830316758132</v>
      </c>
      <c r="N2611">
        <v>54.171172361117897</v>
      </c>
      <c r="O2611">
        <v>52.816584266267299</v>
      </c>
      <c r="P2611">
        <v>-5.8625877872476001E-2</v>
      </c>
      <c r="Q2611">
        <v>0</v>
      </c>
      <c r="R2611">
        <v>0.96628764894878605</v>
      </c>
      <c r="S2611" t="s">
        <v>8922</v>
      </c>
      <c r="T2611" t="s">
        <v>12620</v>
      </c>
      <c r="U2611" t="s">
        <v>12620</v>
      </c>
      <c r="V2611" t="s">
        <v>12620</v>
      </c>
      <c r="W2611" t="s">
        <v>15188</v>
      </c>
      <c r="X2611">
        <v>6</v>
      </c>
      <c r="Y2611" t="s">
        <v>21368</v>
      </c>
      <c r="Z2611" t="s">
        <v>27558</v>
      </c>
      <c r="AA2611">
        <v>0.49733460256774448</v>
      </c>
      <c r="AB2611" t="str">
        <f>HYPERLINK("Melting_Curves/meltCurve_P63167_DYNLL1.pdf", "Melting_Curves/meltCurve_P63167_DYNLL1.pdf")</f>
        <v>Melting_Curves/meltCurve_P63167_DYNLL1.pdf</v>
      </c>
    </row>
    <row r="2612" spans="1:28" x14ac:dyDescent="0.25">
      <c r="A2612" t="s">
        <v>2616</v>
      </c>
      <c r="B2612">
        <v>0.99987803227770999</v>
      </c>
      <c r="C2612">
        <v>0.78220848736022197</v>
      </c>
      <c r="D2612">
        <v>0.97034788544664796</v>
      </c>
      <c r="E2612">
        <v>0.74560648546349195</v>
      </c>
      <c r="F2612">
        <v>0.88029476879517299</v>
      </c>
      <c r="G2612">
        <v>0.59707870715257905</v>
      </c>
      <c r="H2612">
        <v>0.52675888719076802</v>
      </c>
      <c r="I2612">
        <v>0.45547761644493101</v>
      </c>
      <c r="J2612">
        <v>0.46145600492545502</v>
      </c>
      <c r="K2612">
        <v>0.36271918449323198</v>
      </c>
      <c r="L2612">
        <v>349.61172449937101</v>
      </c>
      <c r="M2612">
        <v>5.5300975489892004</v>
      </c>
      <c r="N2612">
        <v>63.219807859733997</v>
      </c>
      <c r="O2612">
        <v>56.395922481955701</v>
      </c>
      <c r="P2612">
        <v>-2.4620545972148598E-2</v>
      </c>
      <c r="Q2612">
        <v>0</v>
      </c>
      <c r="R2612">
        <v>0.874559312182563</v>
      </c>
      <c r="S2612" t="s">
        <v>8923</v>
      </c>
      <c r="T2612" t="s">
        <v>12620</v>
      </c>
      <c r="U2612" t="s">
        <v>12620</v>
      </c>
      <c r="V2612" t="s">
        <v>12620</v>
      </c>
      <c r="W2612" t="s">
        <v>15189</v>
      </c>
      <c r="X2612">
        <v>15</v>
      </c>
      <c r="Y2612" t="s">
        <v>21369</v>
      </c>
      <c r="Z2612" t="s">
        <v>27559</v>
      </c>
      <c r="AA2612">
        <v>0.6859636957022871</v>
      </c>
      <c r="AB2612" t="str">
        <f>HYPERLINK("Melting_Curves/meltCurve_P63241_EIF5A.pdf", "Melting_Curves/meltCurve_P63241_EIF5A.pdf")</f>
        <v>Melting_Curves/meltCurve_P63241_EIF5A.pdf</v>
      </c>
    </row>
    <row r="2613" spans="1:28" x14ac:dyDescent="0.25">
      <c r="A2613" t="s">
        <v>2617</v>
      </c>
      <c r="B2613">
        <v>0.99987803227770999</v>
      </c>
      <c r="C2613">
        <v>0.75504106222346201</v>
      </c>
      <c r="D2613">
        <v>0.58991744185959905</v>
      </c>
      <c r="E2613">
        <v>0.291559210662098</v>
      </c>
      <c r="F2613">
        <v>0.15381833112024801</v>
      </c>
      <c r="G2613">
        <v>9.5868655368177999E-2</v>
      </c>
      <c r="H2613">
        <v>7.8545399678078096E-2</v>
      </c>
      <c r="I2613">
        <v>7.3223242574769198E-2</v>
      </c>
      <c r="J2613">
        <v>5.6852936590003698E-2</v>
      </c>
      <c r="K2613">
        <v>4.1751580973783398E-2</v>
      </c>
      <c r="L2613">
        <v>752.50295906843701</v>
      </c>
      <c r="M2613">
        <v>16.165634521441099</v>
      </c>
      <c r="N2613">
        <v>46.857974806471802</v>
      </c>
      <c r="O2613">
        <v>45.854715751713698</v>
      </c>
      <c r="P2613">
        <v>-8.36932395706729E-2</v>
      </c>
      <c r="Q2613">
        <v>5.0469909904702001E-2</v>
      </c>
      <c r="R2613">
        <v>0.99277677329534197</v>
      </c>
      <c r="S2613" t="s">
        <v>8924</v>
      </c>
      <c r="T2613" t="s">
        <v>12620</v>
      </c>
      <c r="U2613" t="s">
        <v>12620</v>
      </c>
      <c r="V2613" t="s">
        <v>12620</v>
      </c>
      <c r="W2613" t="s">
        <v>15190</v>
      </c>
      <c r="X2613">
        <v>15</v>
      </c>
      <c r="Y2613" t="s">
        <v>21370</v>
      </c>
      <c r="Z2613" t="s">
        <v>27560</v>
      </c>
      <c r="AA2613">
        <v>0.28046296150813088</v>
      </c>
      <c r="AB2613" t="str">
        <f>HYPERLINK("Melting_Curves/meltCurve_P63244_GNB2L1.pdf", "Melting_Curves/meltCurve_P63244_GNB2L1.pdf")</f>
        <v>Melting_Curves/meltCurve_P63244_GNB2L1.pdf</v>
      </c>
    </row>
    <row r="2614" spans="1:28" x14ac:dyDescent="0.25">
      <c r="A2614" t="s">
        <v>2618</v>
      </c>
      <c r="B2614">
        <v>0.99987803227770999</v>
      </c>
      <c r="C2614">
        <v>0.84359689490100997</v>
      </c>
      <c r="D2614">
        <v>1.08717476994456</v>
      </c>
      <c r="E2614">
        <v>0.95987053525237098</v>
      </c>
      <c r="F2614">
        <v>0.88696325815543897</v>
      </c>
      <c r="G2614">
        <v>0.36375803016418701</v>
      </c>
      <c r="H2614">
        <v>0.168835285318994</v>
      </c>
      <c r="I2614">
        <v>0.134510175690984</v>
      </c>
      <c r="J2614">
        <v>8.2003578318298895E-2</v>
      </c>
      <c r="K2614">
        <v>5.2302095010563397E-2</v>
      </c>
      <c r="L2614">
        <v>1915.4624849985701</v>
      </c>
      <c r="M2614">
        <v>34.365975011067398</v>
      </c>
      <c r="N2614">
        <v>56.068488184354003</v>
      </c>
      <c r="O2614">
        <v>55.549460935297503</v>
      </c>
      <c r="P2614">
        <v>-0.14045246940256501</v>
      </c>
      <c r="Q2614">
        <v>9.1889071878421699E-2</v>
      </c>
      <c r="R2614">
        <v>0.97782520843757303</v>
      </c>
      <c r="S2614" t="s">
        <v>8925</v>
      </c>
      <c r="T2614" t="s">
        <v>12620</v>
      </c>
      <c r="U2614" t="s">
        <v>12620</v>
      </c>
      <c r="V2614" t="s">
        <v>12620</v>
      </c>
      <c r="W2614" t="s">
        <v>15191</v>
      </c>
      <c r="X2614">
        <v>41</v>
      </c>
      <c r="Y2614" t="s">
        <v>19591</v>
      </c>
      <c r="Z2614" t="s">
        <v>27561</v>
      </c>
      <c r="AA2614">
        <v>0.57293935672895235</v>
      </c>
      <c r="AB2614" t="str">
        <f>HYPERLINK("Melting_Curves/meltCurve_P63261_ACTG1.pdf", "Melting_Curves/meltCurve_P63261_ACTG1.pdf")</f>
        <v>Melting_Curves/meltCurve_P63261_ACTG1.pdf</v>
      </c>
    </row>
    <row r="2615" spans="1:28" x14ac:dyDescent="0.25">
      <c r="A2615" t="s">
        <v>2619</v>
      </c>
      <c r="B2615">
        <v>0.99987803227770999</v>
      </c>
      <c r="C2615">
        <v>1.1103945886898701</v>
      </c>
      <c r="D2615">
        <v>0.92947130505430298</v>
      </c>
      <c r="E2615">
        <v>0.990396614610496</v>
      </c>
      <c r="F2615">
        <v>0.77321794570632896</v>
      </c>
      <c r="G2615">
        <v>0.24164473470764</v>
      </c>
      <c r="H2615">
        <v>0.17794908258584</v>
      </c>
      <c r="I2615">
        <v>0.17050575441754601</v>
      </c>
      <c r="J2615">
        <v>0.154786410163569</v>
      </c>
      <c r="K2615">
        <v>0.12311182855625501</v>
      </c>
      <c r="L2615">
        <v>2383.8502778273901</v>
      </c>
      <c r="M2615">
        <v>43.966896278397897</v>
      </c>
      <c r="N2615">
        <v>54.678268927893797</v>
      </c>
      <c r="O2615">
        <v>54.107401104174699</v>
      </c>
      <c r="P2615">
        <v>-0.171794089889101</v>
      </c>
      <c r="Q2615">
        <v>0.15433480058938701</v>
      </c>
      <c r="R2615">
        <v>0.988413187165746</v>
      </c>
      <c r="S2615" t="s">
        <v>8926</v>
      </c>
      <c r="T2615" t="s">
        <v>12620</v>
      </c>
      <c r="U2615" t="s">
        <v>12620</v>
      </c>
      <c r="V2615" t="s">
        <v>12620</v>
      </c>
      <c r="W2615" t="s">
        <v>15192</v>
      </c>
      <c r="X2615">
        <v>2</v>
      </c>
      <c r="Y2615" t="s">
        <v>21371</v>
      </c>
      <c r="Z2615" t="s">
        <v>27562</v>
      </c>
      <c r="AA2615">
        <v>0.55777471644748189</v>
      </c>
      <c r="AB2615" t="str">
        <f>HYPERLINK("Melting_Curves/meltCurve_P63272_SUPT4H1.pdf", "Melting_Curves/meltCurve_P63272_SUPT4H1.pdf")</f>
        <v>Melting_Curves/meltCurve_P63272_SUPT4H1.pdf</v>
      </c>
    </row>
    <row r="2616" spans="1:28" x14ac:dyDescent="0.25">
      <c r="A2616" t="s">
        <v>2620</v>
      </c>
      <c r="B2616">
        <v>0.99987803227770999</v>
      </c>
      <c r="C2616">
        <v>0.71907857322490398</v>
      </c>
      <c r="D2616">
        <v>0.912851222058367</v>
      </c>
      <c r="E2616">
        <v>0.75657993368658005</v>
      </c>
      <c r="F2616">
        <v>1.1354031981522299</v>
      </c>
      <c r="G2616">
        <v>0.77308422351871398</v>
      </c>
      <c r="H2616">
        <v>1.2215207420970899</v>
      </c>
      <c r="I2616">
        <v>0.81233238548909203</v>
      </c>
      <c r="J2616">
        <v>0.98274744070443798</v>
      </c>
      <c r="K2616">
        <v>0.82846677665039803</v>
      </c>
      <c r="L2616">
        <v>10217.434742056599</v>
      </c>
      <c r="M2616">
        <v>250</v>
      </c>
      <c r="O2616">
        <v>40.867123592007601</v>
      </c>
      <c r="P2616">
        <v>-0.14578643130537999</v>
      </c>
      <c r="Q2616">
        <v>0.904674046449923</v>
      </c>
      <c r="R2616">
        <v>3.1866772837888302E-2</v>
      </c>
      <c r="S2616" t="s">
        <v>8927</v>
      </c>
      <c r="T2616" t="s">
        <v>12620</v>
      </c>
      <c r="U2616" t="s">
        <v>12620</v>
      </c>
      <c r="V2616" t="s">
        <v>12620</v>
      </c>
      <c r="W2616" t="s">
        <v>15193</v>
      </c>
      <c r="X2616">
        <v>10</v>
      </c>
      <c r="Y2616" t="s">
        <v>21372</v>
      </c>
      <c r="Z2616" t="s">
        <v>27563</v>
      </c>
      <c r="AA2616">
        <v>0.9074466537248822</v>
      </c>
      <c r="AB2616" t="str">
        <f>HYPERLINK("Melting_Curves/meltCurve_P63313_TMSB10.pdf", "Melting_Curves/meltCurve_P63313_TMSB10.pdf")</f>
        <v>Melting_Curves/meltCurve_P63313_TMSB10.pdf</v>
      </c>
    </row>
    <row r="2617" spans="1:28" x14ac:dyDescent="0.25">
      <c r="A2617" t="s">
        <v>2621</v>
      </c>
      <c r="B2617">
        <v>0.99987803227770999</v>
      </c>
      <c r="C2617">
        <v>1.28812390710344</v>
      </c>
      <c r="D2617">
        <v>0.87609065897504401</v>
      </c>
      <c r="E2617">
        <v>1.27037806843788</v>
      </c>
      <c r="F2617">
        <v>0.60316507922808804</v>
      </c>
      <c r="G2617">
        <v>0.44874506595149999</v>
      </c>
      <c r="H2617">
        <v>0.275293030222171</v>
      </c>
      <c r="I2617">
        <v>0.13418689117587301</v>
      </c>
      <c r="J2617">
        <v>6.4652981252401306E-2</v>
      </c>
      <c r="K2617">
        <v>4.2228890066927698E-2</v>
      </c>
      <c r="L2617">
        <v>1224.8998616321101</v>
      </c>
      <c r="M2617">
        <v>21.9062164053381</v>
      </c>
      <c r="N2617">
        <v>56.293209651083998</v>
      </c>
      <c r="O2617">
        <v>55.455926252453899</v>
      </c>
      <c r="P2617">
        <v>-9.2009785978811195E-2</v>
      </c>
      <c r="Q2617">
        <v>6.8324399057894294E-2</v>
      </c>
      <c r="R2617">
        <v>0.88055623724740595</v>
      </c>
      <c r="S2617" t="s">
        <v>8928</v>
      </c>
      <c r="T2617" t="s">
        <v>12620</v>
      </c>
      <c r="U2617" t="s">
        <v>12620</v>
      </c>
      <c r="V2617" t="s">
        <v>12620</v>
      </c>
      <c r="W2617" t="s">
        <v>15194</v>
      </c>
      <c r="X2617">
        <v>15</v>
      </c>
      <c r="Y2617" t="s">
        <v>21373</v>
      </c>
      <c r="Z2617" t="s">
        <v>27564</v>
      </c>
      <c r="AA2617">
        <v>0.57316076247250414</v>
      </c>
      <c r="AB2617" t="str">
        <f>HYPERLINK("Melting_Curves/meltCurve_P67775_PPP2CA.pdf", "Melting_Curves/meltCurve_P67775_PPP2CA.pdf")</f>
        <v>Melting_Curves/meltCurve_P67775_PPP2CA.pdf</v>
      </c>
    </row>
    <row r="2618" spans="1:28" x14ac:dyDescent="0.25">
      <c r="A2618" t="s">
        <v>2622</v>
      </c>
      <c r="B2618">
        <v>0.99987803227770999</v>
      </c>
      <c r="C2618">
        <v>0.99345758228780501</v>
      </c>
      <c r="D2618">
        <v>0.97904823226573501</v>
      </c>
      <c r="E2618">
        <v>1.1382013093288701</v>
      </c>
      <c r="F2618">
        <v>1.0622916583853199</v>
      </c>
      <c r="G2618">
        <v>1.7003855588929699</v>
      </c>
      <c r="H2618">
        <v>2.074215340176</v>
      </c>
      <c r="I2618">
        <v>2.0835912762868598</v>
      </c>
      <c r="J2618">
        <v>1.9556405369838401</v>
      </c>
      <c r="K2618">
        <v>1.38161201218304</v>
      </c>
      <c r="L2618">
        <v>13353.3351446132</v>
      </c>
      <c r="M2618">
        <v>250</v>
      </c>
      <c r="O2618">
        <v>53.409922622115303</v>
      </c>
      <c r="P2618">
        <v>0.58509727380617804</v>
      </c>
      <c r="Q2618">
        <v>1.5</v>
      </c>
      <c r="R2618">
        <v>0.52244114833637301</v>
      </c>
      <c r="S2618" t="s">
        <v>8929</v>
      </c>
      <c r="T2618" t="s">
        <v>12620</v>
      </c>
      <c r="U2618" t="s">
        <v>12620</v>
      </c>
      <c r="V2618" t="s">
        <v>12620</v>
      </c>
      <c r="W2618" t="s">
        <v>15195</v>
      </c>
      <c r="X2618">
        <v>13</v>
      </c>
      <c r="Y2618" t="s">
        <v>21374</v>
      </c>
      <c r="Z2618" t="s">
        <v>27565</v>
      </c>
      <c r="AA2618">
        <v>1.2763974539017411</v>
      </c>
      <c r="AB2618" t="str">
        <f>HYPERLINK("Melting_Curves/meltCurve_P67809_YBX1.pdf", "Melting_Curves/meltCurve_P67809_YBX1.pdf")</f>
        <v>Melting_Curves/meltCurve_P67809_YBX1.pdf</v>
      </c>
    </row>
    <row r="2619" spans="1:28" x14ac:dyDescent="0.25">
      <c r="A2619" t="s">
        <v>2623</v>
      </c>
      <c r="B2619">
        <v>0.99987803227770999</v>
      </c>
      <c r="C2619">
        <v>1.1298538690299</v>
      </c>
      <c r="D2619">
        <v>0.91597315034209204</v>
      </c>
      <c r="E2619">
        <v>1.26285288546957</v>
      </c>
      <c r="F2619">
        <v>0.85969450877990405</v>
      </c>
      <c r="G2619">
        <v>0.52846373695672899</v>
      </c>
      <c r="H2619">
        <v>0.161872334121101</v>
      </c>
      <c r="I2619">
        <v>0.11897108581183199</v>
      </c>
      <c r="J2619">
        <v>8.8781540037898302E-2</v>
      </c>
      <c r="K2619">
        <v>7.4869666678642394E-2</v>
      </c>
      <c r="L2619">
        <v>1910.9862388608301</v>
      </c>
      <c r="M2619">
        <v>33.627486000661797</v>
      </c>
      <c r="N2619">
        <v>57.1404434195411</v>
      </c>
      <c r="O2619">
        <v>56.628267964332501</v>
      </c>
      <c r="P2619">
        <v>-0.13599388677855401</v>
      </c>
      <c r="Q2619">
        <v>8.3955826256859198E-2</v>
      </c>
      <c r="R2619">
        <v>0.94893149504211305</v>
      </c>
      <c r="S2619" t="s">
        <v>8930</v>
      </c>
      <c r="T2619" t="s">
        <v>12620</v>
      </c>
      <c r="U2619" t="s">
        <v>12620</v>
      </c>
      <c r="V2619" t="s">
        <v>12620</v>
      </c>
      <c r="W2619" t="s">
        <v>15196</v>
      </c>
      <c r="X2619">
        <v>6</v>
      </c>
      <c r="Y2619" t="s">
        <v>21375</v>
      </c>
      <c r="Z2619" t="s">
        <v>27566</v>
      </c>
      <c r="AA2619">
        <v>0.60275922303181206</v>
      </c>
      <c r="AB2619" t="str">
        <f>HYPERLINK("Melting_Curves/meltCurve_P67870_CSNK2B.pdf", "Melting_Curves/meltCurve_P67870_CSNK2B.pdf")</f>
        <v>Melting_Curves/meltCurve_P67870_CSNK2B.pdf</v>
      </c>
    </row>
    <row r="2620" spans="1:28" x14ac:dyDescent="0.25">
      <c r="A2620" t="s">
        <v>2624</v>
      </c>
      <c r="B2620">
        <v>0.99987803227770999</v>
      </c>
      <c r="C2620">
        <v>0.84238153595303999</v>
      </c>
      <c r="D2620">
        <v>1.00973346647747</v>
      </c>
      <c r="E2620">
        <v>0.90810205990991399</v>
      </c>
      <c r="F2620">
        <v>1.20423001060798</v>
      </c>
      <c r="G2620">
        <v>1.2629829510275301</v>
      </c>
      <c r="H2620">
        <v>0.96597662493990799</v>
      </c>
      <c r="I2620">
        <v>1.1367329426625901</v>
      </c>
      <c r="J2620">
        <v>1.2190221559726599</v>
      </c>
      <c r="K2620">
        <v>0.94670334871758599</v>
      </c>
      <c r="L2620">
        <v>3809.5665675594601</v>
      </c>
      <c r="M2620">
        <v>73.9854466233637</v>
      </c>
      <c r="O2620">
        <v>51.4531703819817</v>
      </c>
      <c r="P2620">
        <v>4.2729146692115499E-2</v>
      </c>
      <c r="Q2620">
        <v>1.11886390990546</v>
      </c>
      <c r="R2620">
        <v>0.319616330874474</v>
      </c>
      <c r="S2620" t="s">
        <v>8931</v>
      </c>
      <c r="T2620" t="s">
        <v>12620</v>
      </c>
      <c r="U2620" t="s">
        <v>12620</v>
      </c>
      <c r="V2620" t="s">
        <v>12620</v>
      </c>
      <c r="W2620" t="s">
        <v>15197</v>
      </c>
      <c r="X2620">
        <v>50</v>
      </c>
      <c r="Y2620" t="s">
        <v>19682</v>
      </c>
      <c r="Z2620" t="s">
        <v>27567</v>
      </c>
      <c r="AA2620">
        <v>1.073213111318466</v>
      </c>
      <c r="AB2620" t="str">
        <f>HYPERLINK("Melting_Curves/meltCurve_P67936_TPM4.pdf", "Melting_Curves/meltCurve_P67936_TPM4.pdf")</f>
        <v>Melting_Curves/meltCurve_P67936_TPM4.pdf</v>
      </c>
    </row>
    <row r="2621" spans="1:28" x14ac:dyDescent="0.25">
      <c r="A2621" t="s">
        <v>2625</v>
      </c>
      <c r="B2621">
        <v>0.99987803227770999</v>
      </c>
      <c r="C2621">
        <v>0.82695467542094303</v>
      </c>
      <c r="D2621">
        <v>1.00433381504624</v>
      </c>
      <c r="E2621">
        <v>0.895051886362355</v>
      </c>
      <c r="F2621">
        <v>1.1666862084659899</v>
      </c>
      <c r="G2621">
        <v>1.0927668285783401</v>
      </c>
      <c r="H2621">
        <v>0.89909971580483306</v>
      </c>
      <c r="I2621">
        <v>0.597162567106167</v>
      </c>
      <c r="J2621">
        <v>0.38688265023594898</v>
      </c>
      <c r="K2621">
        <v>0.229761109739054</v>
      </c>
      <c r="L2621">
        <v>2366.8815135183199</v>
      </c>
      <c r="M2621">
        <v>36.9282400092549</v>
      </c>
      <c r="N2621">
        <v>65.108613877795506</v>
      </c>
      <c r="O2621">
        <v>63.906992020413</v>
      </c>
      <c r="P2621">
        <v>-0.112857990108339</v>
      </c>
      <c r="Q2621">
        <v>0.218766554982533</v>
      </c>
      <c r="R2621">
        <v>0.90508941178058799</v>
      </c>
      <c r="S2621" t="s">
        <v>8932</v>
      </c>
      <c r="T2621" t="s">
        <v>12620</v>
      </c>
      <c r="U2621" t="s">
        <v>12620</v>
      </c>
      <c r="V2621" t="s">
        <v>12620</v>
      </c>
      <c r="W2621" t="s">
        <v>15198</v>
      </c>
      <c r="X2621">
        <v>10</v>
      </c>
      <c r="Y2621" t="s">
        <v>21376</v>
      </c>
      <c r="Z2621" t="s">
        <v>27568</v>
      </c>
      <c r="AA2621">
        <v>0.84777803258515771</v>
      </c>
      <c r="AB2621" t="str">
        <f>HYPERLINK("Melting_Curves/meltCurve_P68036_UBE2L3.pdf", "Melting_Curves/meltCurve_P68036_UBE2L3.pdf")</f>
        <v>Melting_Curves/meltCurve_P68036_UBE2L3.pdf</v>
      </c>
    </row>
    <row r="2622" spans="1:28" x14ac:dyDescent="0.25">
      <c r="A2622" t="s">
        <v>2626</v>
      </c>
      <c r="B2622">
        <v>0.99987803227770999</v>
      </c>
      <c r="C2622">
        <v>0.82254412540701505</v>
      </c>
      <c r="D2622">
        <v>0.82421938851527898</v>
      </c>
      <c r="E2622">
        <v>0.60616134281051604</v>
      </c>
      <c r="F2622">
        <v>0.23560088399811099</v>
      </c>
      <c r="G2622">
        <v>0.13967015814096101</v>
      </c>
      <c r="H2622">
        <v>8.9741944205061305E-2</v>
      </c>
      <c r="I2622">
        <v>7.3699865857230804E-2</v>
      </c>
      <c r="J2622">
        <v>5.8074956924593198E-2</v>
      </c>
      <c r="K2622">
        <v>4.1722880141943502E-2</v>
      </c>
      <c r="L2622">
        <v>803.26552079017199</v>
      </c>
      <c r="M2622">
        <v>16.04386091017</v>
      </c>
      <c r="N2622">
        <v>50.2719269734378</v>
      </c>
      <c r="O2622">
        <v>49.308400636614898</v>
      </c>
      <c r="P2622">
        <v>-7.8773844844931398E-2</v>
      </c>
      <c r="Q2622">
        <v>3.1676923738517701E-2</v>
      </c>
      <c r="R2622">
        <v>0.97879873276051499</v>
      </c>
      <c r="S2622" t="s">
        <v>8933</v>
      </c>
      <c r="T2622" t="s">
        <v>12620</v>
      </c>
      <c r="U2622" t="s">
        <v>12620</v>
      </c>
      <c r="V2622" t="s">
        <v>12620</v>
      </c>
      <c r="W2622" t="s">
        <v>15199</v>
      </c>
      <c r="X2622">
        <v>34</v>
      </c>
      <c r="Y2622" t="s">
        <v>21377</v>
      </c>
      <c r="Z2622" t="s">
        <v>27569</v>
      </c>
      <c r="AA2622">
        <v>0.37703534596665661</v>
      </c>
      <c r="AB2622" t="str">
        <f>HYPERLINK("Melting_Curves/meltCurve_P68104_EEF1A1.pdf", "Melting_Curves/meltCurve_P68104_EEF1A1.pdf")</f>
        <v>Melting_Curves/meltCurve_P68104_EEF1A1.pdf</v>
      </c>
    </row>
    <row r="2623" spans="1:28" x14ac:dyDescent="0.25">
      <c r="A2623" t="s">
        <v>2627</v>
      </c>
      <c r="B2623">
        <v>0.99987803227770999</v>
      </c>
      <c r="C2623">
        <v>0.83688701600235504</v>
      </c>
      <c r="D2623">
        <v>0.88088232214806705</v>
      </c>
      <c r="E2623">
        <v>0.85435313591107898</v>
      </c>
      <c r="F2623">
        <v>0.86154888770885496</v>
      </c>
      <c r="G2623">
        <v>0.74002258015685396</v>
      </c>
      <c r="H2623">
        <v>0.62789348113173904</v>
      </c>
      <c r="I2623">
        <v>0.59401521544821201</v>
      </c>
      <c r="J2623">
        <v>0.51721009619698999</v>
      </c>
      <c r="K2623">
        <v>0.34921776953851402</v>
      </c>
      <c r="L2623">
        <v>374.22960001955602</v>
      </c>
      <c r="M2623">
        <v>5.6223907085196601</v>
      </c>
      <c r="N2623">
        <v>66.560582395951499</v>
      </c>
      <c r="O2623">
        <v>59.5712804539722</v>
      </c>
      <c r="P2623">
        <v>-2.3691435030094202E-2</v>
      </c>
      <c r="Q2623">
        <v>0</v>
      </c>
      <c r="R2623">
        <v>0.91870251716780504</v>
      </c>
      <c r="S2623" t="s">
        <v>8934</v>
      </c>
      <c r="T2623" t="s">
        <v>12620</v>
      </c>
      <c r="U2623" t="s">
        <v>12620</v>
      </c>
      <c r="V2623" t="s">
        <v>12620</v>
      </c>
      <c r="W2623" t="s">
        <v>15200</v>
      </c>
      <c r="X2623">
        <v>4</v>
      </c>
      <c r="Y2623" t="s">
        <v>21378</v>
      </c>
      <c r="Z2623" t="s">
        <v>27570</v>
      </c>
      <c r="AA2623">
        <v>0.7433028506610907</v>
      </c>
      <c r="AB2623" t="str">
        <f>HYPERLINK("Melting_Curves/meltCurve_P68106_FKBP1B.pdf", "Melting_Curves/meltCurve_P68106_FKBP1B.pdf")</f>
        <v>Melting_Curves/meltCurve_P68106_FKBP1B.pdf</v>
      </c>
    </row>
    <row r="2624" spans="1:28" x14ac:dyDescent="0.25">
      <c r="A2624" t="s">
        <v>2628</v>
      </c>
      <c r="B2624">
        <v>0.99987803227770999</v>
      </c>
      <c r="C2624">
        <v>0.63865446016826899</v>
      </c>
      <c r="D2624">
        <v>1.02169477956466</v>
      </c>
      <c r="E2624">
        <v>0.89865724198983599</v>
      </c>
      <c r="F2624">
        <v>0.959988368954241</v>
      </c>
      <c r="G2624">
        <v>0.48437431272731901</v>
      </c>
      <c r="H2624">
        <v>0.155006115651903</v>
      </c>
      <c r="I2624">
        <v>0.13282809241235299</v>
      </c>
      <c r="J2624">
        <v>6.5486316608245804E-2</v>
      </c>
      <c r="K2624">
        <v>3.6373869027980302E-2</v>
      </c>
      <c r="L2624">
        <v>1889.5256976534099</v>
      </c>
      <c r="M2624">
        <v>33.303459770246803</v>
      </c>
      <c r="N2624">
        <v>56.987373225349003</v>
      </c>
      <c r="O2624">
        <v>56.533223730273797</v>
      </c>
      <c r="P2624">
        <v>-0.13723678419820201</v>
      </c>
      <c r="Q2624">
        <v>6.8156371249821907E-2</v>
      </c>
      <c r="R2624">
        <v>0.90712276731419905</v>
      </c>
      <c r="S2624" t="s">
        <v>8935</v>
      </c>
      <c r="T2624" t="s">
        <v>12620</v>
      </c>
      <c r="U2624" t="s">
        <v>12620</v>
      </c>
      <c r="V2624" t="s">
        <v>12620</v>
      </c>
      <c r="W2624" t="s">
        <v>15201</v>
      </c>
      <c r="X2624">
        <v>27</v>
      </c>
      <c r="Y2624" t="s">
        <v>21379</v>
      </c>
      <c r="Z2624" t="s">
        <v>27571</v>
      </c>
      <c r="AA2624">
        <v>0.59315601443211075</v>
      </c>
      <c r="AB2624" t="str">
        <f>HYPERLINK("Melting_Curves/meltCurve_P68133_ACTA1.pdf", "Melting_Curves/meltCurve_P68133_ACTA1.pdf")</f>
        <v>Melting_Curves/meltCurve_P68133_ACTA1.pdf</v>
      </c>
    </row>
    <row r="2625" spans="1:28" x14ac:dyDescent="0.25">
      <c r="A2625" t="s">
        <v>2629</v>
      </c>
      <c r="B2625">
        <v>0.99987803227770999</v>
      </c>
      <c r="C2625">
        <v>0.81954411328601795</v>
      </c>
      <c r="D2625">
        <v>0.52370974055284203</v>
      </c>
      <c r="E2625">
        <v>0.82396928707602402</v>
      </c>
      <c r="F2625">
        <v>0.53394394153018199</v>
      </c>
      <c r="G2625">
        <v>0.34762131962675202</v>
      </c>
      <c r="H2625">
        <v>7.3163987960228896E-2</v>
      </c>
      <c r="I2625">
        <v>4.0764806629406597E-2</v>
      </c>
      <c r="J2625">
        <v>2.5494048218750301E-2</v>
      </c>
      <c r="K2625">
        <v>1.46286595794262E-2</v>
      </c>
      <c r="L2625">
        <v>539.12432526835403</v>
      </c>
      <c r="M2625">
        <v>10.3535093316999</v>
      </c>
      <c r="N2625">
        <v>52.0716435484497</v>
      </c>
      <c r="O2625">
        <v>50.241391627022303</v>
      </c>
      <c r="P2625">
        <v>-5.15407609684446E-2</v>
      </c>
      <c r="Q2625">
        <v>0</v>
      </c>
      <c r="R2625">
        <v>0.86949359432880202</v>
      </c>
      <c r="S2625" t="s">
        <v>8936</v>
      </c>
      <c r="T2625" t="s">
        <v>12620</v>
      </c>
      <c r="U2625" t="s">
        <v>12620</v>
      </c>
      <c r="V2625" t="s">
        <v>12620</v>
      </c>
      <c r="W2625" t="s">
        <v>15202</v>
      </c>
      <c r="X2625">
        <v>24</v>
      </c>
      <c r="Y2625" t="s">
        <v>21380</v>
      </c>
      <c r="Z2625" t="s">
        <v>27572</v>
      </c>
      <c r="AA2625">
        <v>0.43869112214744871</v>
      </c>
      <c r="AB2625" t="str">
        <f>HYPERLINK("Melting_Curves/meltCurve_P68363_TUBA1B.pdf", "Melting_Curves/meltCurve_P68363_TUBA1B.pdf")</f>
        <v>Melting_Curves/meltCurve_P68363_TUBA1B.pdf</v>
      </c>
    </row>
    <row r="2626" spans="1:28" x14ac:dyDescent="0.25">
      <c r="A2626" t="s">
        <v>2630</v>
      </c>
      <c r="B2626">
        <v>0.99987803227770999</v>
      </c>
      <c r="C2626">
        <v>0.90673962170767697</v>
      </c>
      <c r="D2626">
        <v>0.72517134941999095</v>
      </c>
      <c r="E2626">
        <v>0.78141016586301604</v>
      </c>
      <c r="F2626">
        <v>0.53946496729628601</v>
      </c>
      <c r="G2626">
        <v>0.333188820261338</v>
      </c>
      <c r="H2626">
        <v>0.11488023906429499</v>
      </c>
      <c r="I2626">
        <v>8.2343392008885394E-2</v>
      </c>
      <c r="J2626">
        <v>6.2372913166050398E-2</v>
      </c>
      <c r="K2626">
        <v>4.23042480052283E-2</v>
      </c>
      <c r="L2626">
        <v>647.64258832734902</v>
      </c>
      <c r="M2626">
        <v>12.1641276969142</v>
      </c>
      <c r="N2626">
        <v>53.242006737271197</v>
      </c>
      <c r="O2626">
        <v>51.864363720366399</v>
      </c>
      <c r="P2626">
        <v>-5.8647734390665597E-2</v>
      </c>
      <c r="Q2626">
        <v>0</v>
      </c>
      <c r="R2626">
        <v>0.96989969586176505</v>
      </c>
      <c r="S2626" t="s">
        <v>8937</v>
      </c>
      <c r="T2626" t="s">
        <v>12620</v>
      </c>
      <c r="U2626" t="s">
        <v>12620</v>
      </c>
      <c r="V2626" t="s">
        <v>12620</v>
      </c>
      <c r="W2626" t="s">
        <v>15203</v>
      </c>
      <c r="X2626">
        <v>27</v>
      </c>
      <c r="Y2626" t="s">
        <v>21381</v>
      </c>
      <c r="Z2626" t="s">
        <v>27573</v>
      </c>
      <c r="AA2626">
        <v>0.46891830803939599</v>
      </c>
      <c r="AB2626" t="str">
        <f>HYPERLINK("Melting_Curves/meltCurve_P68371_TUBB4B.pdf", "Melting_Curves/meltCurve_P68371_TUBB4B.pdf")</f>
        <v>Melting_Curves/meltCurve_P68371_TUBB4B.pdf</v>
      </c>
    </row>
    <row r="2627" spans="1:28" x14ac:dyDescent="0.25">
      <c r="A2627" t="s">
        <v>2631</v>
      </c>
      <c r="B2627">
        <v>0.99987803227770999</v>
      </c>
      <c r="C2627">
        <v>1.1164397978701199</v>
      </c>
      <c r="D2627">
        <v>0.99957061434495498</v>
      </c>
      <c r="E2627">
        <v>1.1487792169047999</v>
      </c>
      <c r="F2627">
        <v>0.58884097360075105</v>
      </c>
      <c r="G2627">
        <v>0.43849717956455903</v>
      </c>
      <c r="H2627">
        <v>0.26621426057374198</v>
      </c>
      <c r="I2627">
        <v>0.46582163008474903</v>
      </c>
      <c r="J2627">
        <v>0.175542544829381</v>
      </c>
      <c r="K2627">
        <v>0.112227074528119</v>
      </c>
      <c r="L2627">
        <v>13232.794142078599</v>
      </c>
      <c r="M2627">
        <v>250</v>
      </c>
      <c r="N2627">
        <v>53.117204233034798</v>
      </c>
      <c r="O2627">
        <v>52.927795537565203</v>
      </c>
      <c r="P2627">
        <v>-0.83644562551433099</v>
      </c>
      <c r="Q2627">
        <v>0.29166051510563601</v>
      </c>
      <c r="R2627">
        <v>0.90773554480321095</v>
      </c>
      <c r="S2627" t="s">
        <v>8938</v>
      </c>
      <c r="T2627" t="s">
        <v>12620</v>
      </c>
      <c r="U2627" t="s">
        <v>12620</v>
      </c>
      <c r="V2627" t="s">
        <v>12620</v>
      </c>
      <c r="W2627" t="s">
        <v>15204</v>
      </c>
      <c r="X2627">
        <v>5</v>
      </c>
      <c r="Y2627" t="s">
        <v>21382</v>
      </c>
      <c r="Z2627" t="s">
        <v>27574</v>
      </c>
      <c r="AA2627">
        <v>0.59704841347835924</v>
      </c>
      <c r="AB2627" t="str">
        <f>HYPERLINK("Melting_Curves/meltCurve_P68402_PAFAH1B2.pdf", "Melting_Curves/meltCurve_P68402_PAFAH1B2.pdf")</f>
        <v>Melting_Curves/meltCurve_P68402_PAFAH1B2.pdf</v>
      </c>
    </row>
    <row r="2628" spans="1:28" x14ac:dyDescent="0.25">
      <c r="A2628" t="s">
        <v>2632</v>
      </c>
      <c r="B2628">
        <v>0.99987803227770999</v>
      </c>
      <c r="C2628">
        <v>0.88893933181898899</v>
      </c>
      <c r="D2628">
        <v>0.94834706506172595</v>
      </c>
      <c r="E2628">
        <v>0.70756227033929098</v>
      </c>
      <c r="F2628">
        <v>0.44362008939883202</v>
      </c>
      <c r="G2628">
        <v>0.206333139520813</v>
      </c>
      <c r="H2628">
        <v>0.202876619523222</v>
      </c>
      <c r="I2628">
        <v>0.15305740654175001</v>
      </c>
      <c r="J2628">
        <v>0.15102106533048901</v>
      </c>
      <c r="K2628">
        <v>0.106909448055554</v>
      </c>
      <c r="L2628">
        <v>1061.5608491540499</v>
      </c>
      <c r="M2628">
        <v>20.605943665841899</v>
      </c>
      <c r="N2628">
        <v>52.294892631539703</v>
      </c>
      <c r="O2628">
        <v>51.039368467319797</v>
      </c>
      <c r="P2628">
        <v>-8.7614661420657797E-2</v>
      </c>
      <c r="Q2628">
        <v>0.131965251375983</v>
      </c>
      <c r="R2628">
        <v>0.98916613513251395</v>
      </c>
      <c r="S2628" t="s">
        <v>8939</v>
      </c>
      <c r="T2628" t="s">
        <v>12620</v>
      </c>
      <c r="U2628" t="s">
        <v>12620</v>
      </c>
      <c r="V2628" t="s">
        <v>12620</v>
      </c>
      <c r="W2628" t="s">
        <v>15205</v>
      </c>
      <c r="X2628">
        <v>1</v>
      </c>
      <c r="Y2628" t="s">
        <v>21383</v>
      </c>
      <c r="Z2628" t="s">
        <v>27575</v>
      </c>
      <c r="AA2628">
        <v>0.47659982265897338</v>
      </c>
      <c r="AB2628" t="str">
        <f>HYPERLINK("Melting_Curves/meltCurve_P78314_SH3BP2.pdf", "Melting_Curves/meltCurve_P78314_SH3BP2.pdf")</f>
        <v>Melting_Curves/meltCurve_P78314_SH3BP2.pdf</v>
      </c>
    </row>
    <row r="2629" spans="1:28" x14ac:dyDescent="0.25">
      <c r="A2629" t="s">
        <v>2633</v>
      </c>
      <c r="B2629">
        <v>0.99987803227770999</v>
      </c>
      <c r="C2629">
        <v>1.10414416676222</v>
      </c>
      <c r="D2629">
        <v>1.02335131759612</v>
      </c>
      <c r="E2629">
        <v>1.05500012542091</v>
      </c>
      <c r="F2629">
        <v>0.99389507370076602</v>
      </c>
      <c r="G2629">
        <v>0.91210436822583296</v>
      </c>
      <c r="H2629">
        <v>0.72631591272995599</v>
      </c>
      <c r="I2629">
        <v>0.63365981656403703</v>
      </c>
      <c r="J2629">
        <v>0.61354067537809998</v>
      </c>
      <c r="K2629">
        <v>0.51836811583041398</v>
      </c>
      <c r="L2629">
        <v>1451.8591358183301</v>
      </c>
      <c r="M2629">
        <v>24.034485265472298</v>
      </c>
      <c r="O2629">
        <v>59.993805972169199</v>
      </c>
      <c r="P2629">
        <v>-4.6624307751752803E-2</v>
      </c>
      <c r="Q2629">
        <v>0.53448129663214605</v>
      </c>
      <c r="R2629">
        <v>0.95698114963686198</v>
      </c>
      <c r="S2629" t="s">
        <v>8940</v>
      </c>
      <c r="T2629" t="s">
        <v>12620</v>
      </c>
      <c r="U2629" t="s">
        <v>12620</v>
      </c>
      <c r="V2629" t="s">
        <v>12620</v>
      </c>
      <c r="W2629" t="s">
        <v>15206</v>
      </c>
      <c r="X2629">
        <v>7</v>
      </c>
      <c r="Y2629" t="s">
        <v>21384</v>
      </c>
      <c r="Z2629" t="s">
        <v>27576</v>
      </c>
      <c r="AA2629">
        <v>0.85449323532762622</v>
      </c>
      <c r="AB2629" t="str">
        <f>HYPERLINK("Melting_Curves/meltCurve_P78316_NOP14.pdf", "Melting_Curves/meltCurve_P78316_NOP14.pdf")</f>
        <v>Melting_Curves/meltCurve_P78316_NOP14.pdf</v>
      </c>
    </row>
    <row r="2630" spans="1:28" x14ac:dyDescent="0.25">
      <c r="A2630" t="s">
        <v>2634</v>
      </c>
      <c r="B2630">
        <v>0.99987803227770999</v>
      </c>
      <c r="C2630">
        <v>0.86857727082356795</v>
      </c>
      <c r="D2630">
        <v>0.97092311262180397</v>
      </c>
      <c r="E2630">
        <v>0.90453760003834505</v>
      </c>
      <c r="F2630">
        <v>1.0672193460489801</v>
      </c>
      <c r="G2630">
        <v>0.73078331424404996</v>
      </c>
      <c r="H2630">
        <v>0.30837125257515502</v>
      </c>
      <c r="I2630">
        <v>0.21859869027839399</v>
      </c>
      <c r="J2630">
        <v>0.187790751501832</v>
      </c>
      <c r="K2630">
        <v>0.143950148860432</v>
      </c>
      <c r="L2630">
        <v>2181.2891639752602</v>
      </c>
      <c r="M2630">
        <v>37.449754590641398</v>
      </c>
      <c r="N2630">
        <v>58.9112495020794</v>
      </c>
      <c r="O2630">
        <v>58.080420080252601</v>
      </c>
      <c r="P2630">
        <v>-0.133395427950246</v>
      </c>
      <c r="Q2630">
        <v>0.17247615769534599</v>
      </c>
      <c r="R2630">
        <v>0.97200535269816302</v>
      </c>
      <c r="S2630" t="s">
        <v>8941</v>
      </c>
      <c r="T2630" t="s">
        <v>12620</v>
      </c>
      <c r="U2630" t="s">
        <v>12620</v>
      </c>
      <c r="V2630" t="s">
        <v>12620</v>
      </c>
      <c r="W2630" t="s">
        <v>15207</v>
      </c>
      <c r="X2630">
        <v>16</v>
      </c>
      <c r="Y2630" t="s">
        <v>21385</v>
      </c>
      <c r="Z2630" t="s">
        <v>27577</v>
      </c>
      <c r="AA2630">
        <v>0.67945295170467834</v>
      </c>
      <c r="AB2630" t="str">
        <f>HYPERLINK("Melting_Curves/meltCurve_P78318_IGBP1.pdf", "Melting_Curves/meltCurve_P78318_IGBP1.pdf")</f>
        <v>Melting_Curves/meltCurve_P78318_IGBP1.pdf</v>
      </c>
    </row>
    <row r="2631" spans="1:28" x14ac:dyDescent="0.25">
      <c r="A2631" t="s">
        <v>2635</v>
      </c>
      <c r="B2631">
        <v>0.99987803227770999</v>
      </c>
      <c r="C2631">
        <v>0.81641437374331804</v>
      </c>
      <c r="D2631">
        <v>0.93066405532371699</v>
      </c>
      <c r="E2631">
        <v>0.785885041350328</v>
      </c>
      <c r="F2631">
        <v>0.93968875772584204</v>
      </c>
      <c r="G2631">
        <v>0.78671054984412903</v>
      </c>
      <c r="H2631">
        <v>0.86616390622574202</v>
      </c>
      <c r="I2631">
        <v>0.77680387027519104</v>
      </c>
      <c r="J2631">
        <v>0.76676560064214705</v>
      </c>
      <c r="K2631">
        <v>0.60311853748094502</v>
      </c>
      <c r="L2631">
        <v>189.22599865909399</v>
      </c>
      <c r="M2631">
        <v>1.8359158758870999</v>
      </c>
      <c r="O2631">
        <v>57.990013753337998</v>
      </c>
      <c r="P2631">
        <v>-8.7827352826915905E-3</v>
      </c>
      <c r="Q2631">
        <v>0</v>
      </c>
      <c r="R2631">
        <v>0.54210952863664796</v>
      </c>
      <c r="S2631" t="s">
        <v>8942</v>
      </c>
      <c r="T2631" t="s">
        <v>12620</v>
      </c>
      <c r="U2631" t="s">
        <v>12620</v>
      </c>
      <c r="V2631" t="s">
        <v>12620</v>
      </c>
      <c r="W2631" t="s">
        <v>15208</v>
      </c>
      <c r="X2631">
        <v>10</v>
      </c>
      <c r="Y2631" t="s">
        <v>21386</v>
      </c>
      <c r="Z2631" t="s">
        <v>27578</v>
      </c>
      <c r="AA2631">
        <v>0.83059944930290996</v>
      </c>
      <c r="AB2631" t="str">
        <f>HYPERLINK("Melting_Curves/meltCurve_P78324_SIRPA.pdf", "Melting_Curves/meltCurve_P78324_SIRPA.pdf")</f>
        <v>Melting_Curves/meltCurve_P78324_SIRPA.pdf</v>
      </c>
    </row>
    <row r="2632" spans="1:28" x14ac:dyDescent="0.25">
      <c r="A2632" t="s">
        <v>2636</v>
      </c>
      <c r="B2632">
        <v>0.99987803227770999</v>
      </c>
      <c r="C2632">
        <v>0.99316233051195002</v>
      </c>
      <c r="D2632">
        <v>1.01951022252242</v>
      </c>
      <c r="E2632">
        <v>0.97334237297505999</v>
      </c>
      <c r="F2632">
        <v>1.0353747856861399</v>
      </c>
      <c r="G2632">
        <v>0.9024580835121</v>
      </c>
      <c r="H2632">
        <v>0.93907741352706797</v>
      </c>
      <c r="I2632">
        <v>0.63783056109189196</v>
      </c>
      <c r="J2632">
        <v>0.14933748328674101</v>
      </c>
      <c r="K2632">
        <v>5.8163472406953701E-2</v>
      </c>
      <c r="L2632">
        <v>3370.1057644410798</v>
      </c>
      <c r="M2632">
        <v>52.184337655400498</v>
      </c>
      <c r="N2632">
        <v>64.666975381066806</v>
      </c>
      <c r="O2632">
        <v>64.486165475517296</v>
      </c>
      <c r="P2632">
        <v>-0.195512363030929</v>
      </c>
      <c r="Q2632">
        <v>3.3592574539391101E-2</v>
      </c>
      <c r="R2632">
        <v>0.99000628597148699</v>
      </c>
      <c r="S2632" t="s">
        <v>8943</v>
      </c>
      <c r="T2632" t="s">
        <v>12620</v>
      </c>
      <c r="U2632" t="s">
        <v>12620</v>
      </c>
      <c r="V2632" t="s">
        <v>12620</v>
      </c>
      <c r="W2632" t="s">
        <v>15209</v>
      </c>
      <c r="X2632">
        <v>13</v>
      </c>
      <c r="Y2632" t="s">
        <v>21387</v>
      </c>
      <c r="Z2632" t="s">
        <v>27579</v>
      </c>
      <c r="AA2632">
        <v>0.82710053586313537</v>
      </c>
      <c r="AB2632" t="str">
        <f>HYPERLINK("Melting_Curves/meltCurve_P78330_PSPH.pdf", "Melting_Curves/meltCurve_P78330_PSPH.pdf")</f>
        <v>Melting_Curves/meltCurve_P78330_PSPH.pdf</v>
      </c>
    </row>
    <row r="2633" spans="1:28" x14ac:dyDescent="0.25">
      <c r="A2633" t="s">
        <v>2637</v>
      </c>
      <c r="B2633">
        <v>0.99987803227770999</v>
      </c>
      <c r="C2633">
        <v>0.95977136134056296</v>
      </c>
      <c r="D2633">
        <v>1.00061074024551</v>
      </c>
      <c r="E2633">
        <v>0.91079212868004999</v>
      </c>
      <c r="F2633">
        <v>0.88546079657559396</v>
      </c>
      <c r="G2633">
        <v>0.69417467118656095</v>
      </c>
      <c r="H2633">
        <v>0.62135980343244901</v>
      </c>
      <c r="I2633">
        <v>0.62606813032292197</v>
      </c>
      <c r="J2633">
        <v>0.56048542239853405</v>
      </c>
      <c r="K2633">
        <v>0.44788440016963499</v>
      </c>
      <c r="L2633">
        <v>615.11338502898695</v>
      </c>
      <c r="M2633">
        <v>10.4880691101741</v>
      </c>
      <c r="N2633">
        <v>69.241929243779893</v>
      </c>
      <c r="O2633">
        <v>56.637029876274099</v>
      </c>
      <c r="P2633">
        <v>-2.7811101841894899E-2</v>
      </c>
      <c r="Q2633">
        <v>0.39950808755603401</v>
      </c>
      <c r="R2633">
        <v>0.96910254967129394</v>
      </c>
      <c r="S2633" t="s">
        <v>8944</v>
      </c>
      <c r="T2633" t="s">
        <v>12620</v>
      </c>
      <c r="U2633" t="s">
        <v>12620</v>
      </c>
      <c r="V2633" t="s">
        <v>12620</v>
      </c>
      <c r="W2633" t="s">
        <v>15210</v>
      </c>
      <c r="X2633">
        <v>13</v>
      </c>
      <c r="Y2633" t="s">
        <v>21388</v>
      </c>
      <c r="Z2633" t="s">
        <v>27580</v>
      </c>
      <c r="AA2633">
        <v>0.77698420158153481</v>
      </c>
      <c r="AB2633" t="str">
        <f>HYPERLINK("Melting_Curves/meltCurve_P78332_RBM6.pdf", "Melting_Curves/meltCurve_P78332_RBM6.pdf")</f>
        <v>Melting_Curves/meltCurve_P78332_RBM6.pdf</v>
      </c>
    </row>
    <row r="2634" spans="1:28" x14ac:dyDescent="0.25">
      <c r="A2634" t="s">
        <v>2638</v>
      </c>
      <c r="B2634">
        <v>0.99987803227770999</v>
      </c>
      <c r="C2634">
        <v>0.90842263119185496</v>
      </c>
      <c r="D2634">
        <v>0.84381151127656795</v>
      </c>
      <c r="E2634">
        <v>1.16851825635391</v>
      </c>
      <c r="F2634">
        <v>0.82135710908986304</v>
      </c>
      <c r="G2634">
        <v>0.44484104025022098</v>
      </c>
      <c r="H2634">
        <v>0.18924421757003099</v>
      </c>
      <c r="I2634">
        <v>0.13583253648971899</v>
      </c>
      <c r="J2634">
        <v>9.6884134438760997E-2</v>
      </c>
      <c r="K2634">
        <v>7.1374144704419301E-2</v>
      </c>
      <c r="L2634">
        <v>1698.0066001272401</v>
      </c>
      <c r="M2634">
        <v>30.254473602717699</v>
      </c>
      <c r="N2634">
        <v>56.523244071034</v>
      </c>
      <c r="O2634">
        <v>55.8806589204438</v>
      </c>
      <c r="P2634">
        <v>-0.122336660634527</v>
      </c>
      <c r="Q2634">
        <v>9.6171995023840606E-2</v>
      </c>
      <c r="R2634">
        <v>0.95522424911768</v>
      </c>
      <c r="S2634" t="s">
        <v>8945</v>
      </c>
      <c r="T2634" t="s">
        <v>12620</v>
      </c>
      <c r="U2634" t="s">
        <v>12620</v>
      </c>
      <c r="V2634" t="s">
        <v>12620</v>
      </c>
      <c r="W2634" t="s">
        <v>15211</v>
      </c>
      <c r="X2634">
        <v>4</v>
      </c>
      <c r="Y2634" t="s">
        <v>21389</v>
      </c>
      <c r="Z2634" t="s">
        <v>27581</v>
      </c>
      <c r="AA2634">
        <v>0.58789018280746219</v>
      </c>
      <c r="AB2634" t="str">
        <f>HYPERLINK("Melting_Curves/meltCurve_P78345_RPP38.pdf", "Melting_Curves/meltCurve_P78345_RPP38.pdf")</f>
        <v>Melting_Curves/meltCurve_P78345_RPP38.pdf</v>
      </c>
    </row>
    <row r="2635" spans="1:28" x14ac:dyDescent="0.25">
      <c r="A2635" t="s">
        <v>2639</v>
      </c>
      <c r="B2635">
        <v>0.99987803227770999</v>
      </c>
      <c r="C2635">
        <v>0.92494361601817499</v>
      </c>
      <c r="D2635">
        <v>0.86232729124909202</v>
      </c>
      <c r="E2635">
        <v>1.0566782410603399</v>
      </c>
      <c r="F2635">
        <v>0.91831072425588101</v>
      </c>
      <c r="G2635">
        <v>0.83169419594639904</v>
      </c>
      <c r="H2635">
        <v>0.54102178496305198</v>
      </c>
      <c r="I2635">
        <v>0.39041134932742599</v>
      </c>
      <c r="J2635">
        <v>0.212991231597665</v>
      </c>
      <c r="K2635">
        <v>0.116415900572056</v>
      </c>
      <c r="L2635">
        <v>1055.02430060597</v>
      </c>
      <c r="M2635">
        <v>17.030918885320499</v>
      </c>
      <c r="N2635">
        <v>61.9475859384454</v>
      </c>
      <c r="O2635">
        <v>61.1124194761585</v>
      </c>
      <c r="P2635">
        <v>-6.9674724203256502E-2</v>
      </c>
      <c r="Q2635">
        <v>0</v>
      </c>
      <c r="R2635">
        <v>0.97016004035869796</v>
      </c>
      <c r="S2635" t="s">
        <v>8946</v>
      </c>
      <c r="T2635" t="s">
        <v>12620</v>
      </c>
      <c r="U2635" t="s">
        <v>12620</v>
      </c>
      <c r="V2635" t="s">
        <v>12620</v>
      </c>
      <c r="W2635" t="s">
        <v>15212</v>
      </c>
      <c r="X2635">
        <v>10</v>
      </c>
      <c r="Y2635" t="s">
        <v>21390</v>
      </c>
      <c r="Z2635" t="s">
        <v>27582</v>
      </c>
      <c r="AA2635">
        <v>0.73225351356220514</v>
      </c>
      <c r="AB2635" t="str">
        <f>HYPERLINK("Melting_Curves/meltCurve_P78346_RPP30.pdf", "Melting_Curves/meltCurve_P78346_RPP30.pdf")</f>
        <v>Melting_Curves/meltCurve_P78346_RPP30.pdf</v>
      </c>
    </row>
    <row r="2636" spans="1:28" x14ac:dyDescent="0.25">
      <c r="A2636" t="s">
        <v>2640</v>
      </c>
      <c r="B2636">
        <v>0.99987803227770999</v>
      </c>
      <c r="C2636">
        <v>1.01898676460819</v>
      </c>
      <c r="D2636">
        <v>0.56050392037844199</v>
      </c>
      <c r="E2636">
        <v>0.71423981072046905</v>
      </c>
      <c r="F2636">
        <v>0.28511481136126998</v>
      </c>
      <c r="G2636">
        <v>0.63382171120216901</v>
      </c>
      <c r="H2636">
        <v>0.14302336850240799</v>
      </c>
      <c r="I2636">
        <v>0.12953980240958299</v>
      </c>
      <c r="J2636">
        <v>9.8358382297655395E-2</v>
      </c>
      <c r="K2636">
        <v>6.5871218442785304E-2</v>
      </c>
      <c r="L2636">
        <v>463.809427893936</v>
      </c>
      <c r="M2636">
        <v>8.8420165400235398</v>
      </c>
      <c r="N2636">
        <v>52.455161832297897</v>
      </c>
      <c r="O2636">
        <v>49.9798833765769</v>
      </c>
      <c r="P2636">
        <v>-4.4262214604157003E-2</v>
      </c>
      <c r="Q2636">
        <v>0</v>
      </c>
      <c r="R2636">
        <v>0.82157664632719496</v>
      </c>
      <c r="S2636" t="s">
        <v>8947</v>
      </c>
      <c r="T2636" t="s">
        <v>12620</v>
      </c>
      <c r="U2636" t="s">
        <v>12620</v>
      </c>
      <c r="V2636" t="s">
        <v>12620</v>
      </c>
      <c r="W2636" t="s">
        <v>15213</v>
      </c>
      <c r="X2636">
        <v>41</v>
      </c>
      <c r="Y2636" t="s">
        <v>21391</v>
      </c>
      <c r="Z2636" t="s">
        <v>27583</v>
      </c>
      <c r="AA2636">
        <v>0.4558924249724845</v>
      </c>
      <c r="AB2636" t="str">
        <f>HYPERLINK("Melting_Curves/meltCurve_P78347_2_GTF2I.pdf", "Melting_Curves/meltCurve_P78347_2_GTF2I.pdf")</f>
        <v>Melting_Curves/meltCurve_P78347_2_GTF2I.pdf</v>
      </c>
    </row>
    <row r="2637" spans="1:28" x14ac:dyDescent="0.25">
      <c r="A2637" t="s">
        <v>2641</v>
      </c>
      <c r="B2637">
        <v>0.99987803227770999</v>
      </c>
      <c r="C2637">
        <v>1.06296572995608</v>
      </c>
      <c r="D2637">
        <v>0.93564502420005702</v>
      </c>
      <c r="E2637">
        <v>0.952535487268662</v>
      </c>
      <c r="F2637">
        <v>0.59047235936616904</v>
      </c>
      <c r="G2637">
        <v>0.34160706022920101</v>
      </c>
      <c r="H2637">
        <v>0.159979064404668</v>
      </c>
      <c r="I2637">
        <v>0.14598747574350099</v>
      </c>
      <c r="J2637">
        <v>0.107208595130916</v>
      </c>
      <c r="K2637">
        <v>8.2540507040742894E-2</v>
      </c>
      <c r="L2637">
        <v>1243.9636279184101</v>
      </c>
      <c r="M2637">
        <v>23.026456015085898</v>
      </c>
      <c r="N2637">
        <v>54.563133016084798</v>
      </c>
      <c r="O2637">
        <v>53.620732515265303</v>
      </c>
      <c r="P2637">
        <v>-9.6422555018289405E-2</v>
      </c>
      <c r="Q2637">
        <v>0.101876295815246</v>
      </c>
      <c r="R2637">
        <v>0.98863890102643104</v>
      </c>
      <c r="S2637" t="s">
        <v>8948</v>
      </c>
      <c r="T2637" t="s">
        <v>12620</v>
      </c>
      <c r="U2637" t="s">
        <v>12620</v>
      </c>
      <c r="V2637" t="s">
        <v>12620</v>
      </c>
      <c r="W2637" t="s">
        <v>15214</v>
      </c>
      <c r="X2637">
        <v>13</v>
      </c>
      <c r="Y2637" t="s">
        <v>21392</v>
      </c>
      <c r="Z2637" t="s">
        <v>27584</v>
      </c>
      <c r="AA2637">
        <v>0.53132311530591114</v>
      </c>
      <c r="AB2637" t="str">
        <f>HYPERLINK("Melting_Curves/meltCurve_P78356_PIP4K2B.pdf", "Melting_Curves/meltCurve_P78356_PIP4K2B.pdf")</f>
        <v>Melting_Curves/meltCurve_P78356_PIP4K2B.pdf</v>
      </c>
    </row>
    <row r="2638" spans="1:28" x14ac:dyDescent="0.25">
      <c r="A2638" t="s">
        <v>2642</v>
      </c>
      <c r="B2638">
        <v>0.99987803227770999</v>
      </c>
      <c r="C2638">
        <v>0.87737029528560995</v>
      </c>
      <c r="D2638">
        <v>1.05838609159599</v>
      </c>
      <c r="E2638">
        <v>0.84185516219527801</v>
      </c>
      <c r="F2638">
        <v>1.00165241400945</v>
      </c>
      <c r="G2638">
        <v>0.75929539325574003</v>
      </c>
      <c r="H2638">
        <v>0.91028268357721198</v>
      </c>
      <c r="I2638">
        <v>0.71584404211963604</v>
      </c>
      <c r="J2638">
        <v>0.79438103044489705</v>
      </c>
      <c r="K2638">
        <v>0.68417537842482101</v>
      </c>
      <c r="L2638">
        <v>292.04055658452501</v>
      </c>
      <c r="M2638">
        <v>3.28759893456458</v>
      </c>
      <c r="O2638">
        <v>67.975369569065194</v>
      </c>
      <c r="P2638">
        <v>-1.23766522737576E-2</v>
      </c>
      <c r="Q2638">
        <v>0</v>
      </c>
      <c r="R2638">
        <v>0.57051534621289401</v>
      </c>
      <c r="S2638" t="s">
        <v>8949</v>
      </c>
      <c r="T2638" t="s">
        <v>12620</v>
      </c>
      <c r="U2638" t="s">
        <v>12620</v>
      </c>
      <c r="V2638" t="s">
        <v>12620</v>
      </c>
      <c r="W2638" t="s">
        <v>15215</v>
      </c>
      <c r="X2638">
        <v>2</v>
      </c>
      <c r="Y2638" t="s">
        <v>21393</v>
      </c>
      <c r="Z2638" t="s">
        <v>27585</v>
      </c>
      <c r="AA2638">
        <v>0.86987797590605132</v>
      </c>
      <c r="AB2638" t="str">
        <f>HYPERLINK("Melting_Curves/meltCurve_P78364_PHC1.pdf", "Melting_Curves/meltCurve_P78364_PHC1.pdf")</f>
        <v>Melting_Curves/meltCurve_P78364_PHC1.pdf</v>
      </c>
    </row>
    <row r="2639" spans="1:28" x14ac:dyDescent="0.25">
      <c r="A2639" t="s">
        <v>2643</v>
      </c>
      <c r="B2639">
        <v>0.99987803227770999</v>
      </c>
      <c r="C2639">
        <v>0.71337114050921502</v>
      </c>
      <c r="D2639">
        <v>0.86886122723861703</v>
      </c>
      <c r="E2639">
        <v>1.0431465220912399</v>
      </c>
      <c r="F2639">
        <v>0.751361197347028</v>
      </c>
      <c r="G2639">
        <v>0.50857746195812004</v>
      </c>
      <c r="H2639">
        <v>0.13604284276438899</v>
      </c>
      <c r="I2639">
        <v>0.10338851863825101</v>
      </c>
      <c r="J2639">
        <v>7.9586415783782505E-2</v>
      </c>
      <c r="K2639">
        <v>5.2665027568206402E-2</v>
      </c>
      <c r="L2639">
        <v>1263.52905179256</v>
      </c>
      <c r="M2639">
        <v>22.407227847949599</v>
      </c>
      <c r="N2639">
        <v>56.580702054959197</v>
      </c>
      <c r="O2639">
        <v>55.9459957426781</v>
      </c>
      <c r="P2639">
        <v>-9.6477197644007001E-2</v>
      </c>
      <c r="Q2639">
        <v>3.6489512816245899E-2</v>
      </c>
      <c r="R2639">
        <v>0.92037063573010303</v>
      </c>
      <c r="S2639" t="s">
        <v>8950</v>
      </c>
      <c r="T2639" t="s">
        <v>12620</v>
      </c>
      <c r="U2639" t="s">
        <v>12620</v>
      </c>
      <c r="V2639" t="s">
        <v>12620</v>
      </c>
      <c r="W2639" t="s">
        <v>15216</v>
      </c>
      <c r="X2639">
        <v>39</v>
      </c>
      <c r="Y2639" t="s">
        <v>21394</v>
      </c>
      <c r="Z2639" t="s">
        <v>27586</v>
      </c>
      <c r="AA2639">
        <v>0.57328555382887425</v>
      </c>
      <c r="AB2639" t="str">
        <f>HYPERLINK("Melting_Curves/meltCurve_P78371_CCT2.pdf", "Melting_Curves/meltCurve_P78371_CCT2.pdf")</f>
        <v>Melting_Curves/meltCurve_P78371_CCT2.pdf</v>
      </c>
    </row>
    <row r="2640" spans="1:28" x14ac:dyDescent="0.25">
      <c r="A2640" t="s">
        <v>2644</v>
      </c>
      <c r="B2640">
        <v>0.99987803227770999</v>
      </c>
      <c r="C2640">
        <v>0.95592690119956603</v>
      </c>
      <c r="D2640">
        <v>0.80686741227089398</v>
      </c>
      <c r="E2640">
        <v>0.50886686699032802</v>
      </c>
      <c r="F2640">
        <v>0.24300535540635099</v>
      </c>
      <c r="G2640">
        <v>0.12503582844984401</v>
      </c>
      <c r="H2640">
        <v>8.1676747420394699E-2</v>
      </c>
      <c r="I2640">
        <v>7.1884438796479003E-2</v>
      </c>
      <c r="J2640">
        <v>5.7122560079386299E-2</v>
      </c>
      <c r="K2640">
        <v>4.1691905772289102E-2</v>
      </c>
      <c r="L2640">
        <v>939.13861835170701</v>
      </c>
      <c r="M2640">
        <v>18.9436377829071</v>
      </c>
      <c r="N2640">
        <v>49.846576809157398</v>
      </c>
      <c r="O2640">
        <v>49.032875603849597</v>
      </c>
      <c r="P2640">
        <v>-9.1861173810186603E-2</v>
      </c>
      <c r="Q2640">
        <v>4.8960733196696402E-2</v>
      </c>
      <c r="R2640">
        <v>0.99884897166754505</v>
      </c>
      <c r="S2640" t="s">
        <v>8951</v>
      </c>
      <c r="T2640" t="s">
        <v>12620</v>
      </c>
      <c r="U2640" t="s">
        <v>12620</v>
      </c>
      <c r="V2640" t="s">
        <v>12620</v>
      </c>
      <c r="W2640" t="s">
        <v>15217</v>
      </c>
      <c r="X2640">
        <v>12</v>
      </c>
      <c r="Y2640" t="s">
        <v>21395</v>
      </c>
      <c r="Z2640" t="s">
        <v>27587</v>
      </c>
      <c r="AA2640">
        <v>0.3672800852516438</v>
      </c>
      <c r="AB2640" t="str">
        <f>HYPERLINK("Melting_Curves/meltCurve_P78406_RAE1.pdf", "Melting_Curves/meltCurve_P78406_RAE1.pdf")</f>
        <v>Melting_Curves/meltCurve_P78406_RAE1.pdf</v>
      </c>
    </row>
    <row r="2641" spans="1:28" x14ac:dyDescent="0.25">
      <c r="A2641" t="s">
        <v>2645</v>
      </c>
      <c r="B2641">
        <v>0.99987803227770999</v>
      </c>
      <c r="C2641">
        <v>0.89250366601473796</v>
      </c>
      <c r="D2641">
        <v>0.99017802351304296</v>
      </c>
      <c r="E2641">
        <v>0.95161430416307002</v>
      </c>
      <c r="F2641">
        <v>1.00058881103704</v>
      </c>
      <c r="G2641">
        <v>0.89749943319349101</v>
      </c>
      <c r="H2641">
        <v>0.85029419098428305</v>
      </c>
      <c r="I2641">
        <v>0.55288613077053494</v>
      </c>
      <c r="J2641">
        <v>0.25719231826918998</v>
      </c>
      <c r="K2641">
        <v>8.0846658516523603E-2</v>
      </c>
      <c r="L2641">
        <v>1819.71756783256</v>
      </c>
      <c r="M2641">
        <v>28.228538161105899</v>
      </c>
      <c r="N2641">
        <v>64.463751511945404</v>
      </c>
      <c r="O2641">
        <v>64.142845255993905</v>
      </c>
      <c r="P2641">
        <v>-0.11002307828786601</v>
      </c>
      <c r="Q2641">
        <v>0</v>
      </c>
      <c r="R2641">
        <v>0.979420902539062</v>
      </c>
      <c r="S2641" t="s">
        <v>8952</v>
      </c>
      <c r="T2641" t="s">
        <v>12620</v>
      </c>
      <c r="U2641" t="s">
        <v>12620</v>
      </c>
      <c r="V2641" t="s">
        <v>12620</v>
      </c>
      <c r="W2641" t="s">
        <v>15218</v>
      </c>
      <c r="X2641">
        <v>19</v>
      </c>
      <c r="Y2641" t="s">
        <v>21396</v>
      </c>
      <c r="Z2641" t="s">
        <v>27588</v>
      </c>
      <c r="AA2641">
        <v>0.81452328045768363</v>
      </c>
      <c r="AB2641" t="str">
        <f>HYPERLINK("Melting_Curves/meltCurve_P78417_GSTO1.pdf", "Melting_Curves/meltCurve_P78417_GSTO1.pdf")</f>
        <v>Melting_Curves/meltCurve_P78417_GSTO1.pdf</v>
      </c>
    </row>
    <row r="2642" spans="1:28" x14ac:dyDescent="0.25">
      <c r="A2642" t="s">
        <v>2646</v>
      </c>
      <c r="B2642">
        <v>0.99987803227770999</v>
      </c>
      <c r="C2642">
        <v>0.86350608626915504</v>
      </c>
      <c r="D2642">
        <v>0.974791610328682</v>
      </c>
      <c r="E2642">
        <v>0.84710686097698995</v>
      </c>
      <c r="F2642">
        <v>1.07240497137518</v>
      </c>
      <c r="G2642">
        <v>0.88204410460209803</v>
      </c>
      <c r="H2642">
        <v>1.00212521611037</v>
      </c>
      <c r="I2642">
        <v>0.99122712908279498</v>
      </c>
      <c r="J2642">
        <v>1.05069309172068</v>
      </c>
      <c r="K2642">
        <v>0.83588149591967498</v>
      </c>
      <c r="L2642">
        <v>10215.6572614427</v>
      </c>
      <c r="M2642">
        <v>250</v>
      </c>
      <c r="O2642">
        <v>40.860014126268901</v>
      </c>
      <c r="P2642">
        <v>-8.1616515157469705E-2</v>
      </c>
      <c r="Q2642">
        <v>0.94664236868934704</v>
      </c>
      <c r="R2642">
        <v>3.7337082621167701E-2</v>
      </c>
      <c r="S2642" t="s">
        <v>8953</v>
      </c>
      <c r="T2642" t="s">
        <v>12620</v>
      </c>
      <c r="U2642" t="s">
        <v>12620</v>
      </c>
      <c r="V2642" t="s">
        <v>12620</v>
      </c>
      <c r="W2642" t="s">
        <v>15219</v>
      </c>
      <c r="X2642">
        <v>15</v>
      </c>
      <c r="Y2642" t="s">
        <v>21397</v>
      </c>
      <c r="Z2642" t="s">
        <v>27589</v>
      </c>
      <c r="AA2642">
        <v>0.9481817128614789</v>
      </c>
      <c r="AB2642" t="str">
        <f>HYPERLINK("Melting_Curves/meltCurve_P78504_JAG1.pdf", "Melting_Curves/meltCurve_P78504_JAG1.pdf")</f>
        <v>Melting_Curves/meltCurve_P78504_JAG1.pdf</v>
      </c>
    </row>
    <row r="2643" spans="1:28" x14ac:dyDescent="0.25">
      <c r="A2643" t="s">
        <v>2647</v>
      </c>
      <c r="B2643">
        <v>0.99987803227770999</v>
      </c>
      <c r="C2643">
        <v>0.902555069031028</v>
      </c>
      <c r="D2643">
        <v>0.86714014990862498</v>
      </c>
      <c r="E2643">
        <v>0.94549355126488299</v>
      </c>
      <c r="F2643">
        <v>0.262228817554572</v>
      </c>
      <c r="G2643">
        <v>0.14605447305300101</v>
      </c>
      <c r="H2643">
        <v>9.3071160206766104E-2</v>
      </c>
      <c r="I2643">
        <v>7.8979996473318298E-2</v>
      </c>
      <c r="J2643">
        <v>6.0626225731346503E-2</v>
      </c>
      <c r="K2643">
        <v>4.3915516798288201E-2</v>
      </c>
      <c r="L2643">
        <v>3629.5189896547299</v>
      </c>
      <c r="M2643">
        <v>69.888765143749694</v>
      </c>
      <c r="N2643">
        <v>52.069605175135102</v>
      </c>
      <c r="O2643">
        <v>51.890324890575698</v>
      </c>
      <c r="P2643">
        <v>-0.30847144203911298</v>
      </c>
      <c r="Q2643">
        <v>8.3876801166176004E-2</v>
      </c>
      <c r="R2643">
        <v>0.979804508807949</v>
      </c>
      <c r="S2643" t="s">
        <v>8954</v>
      </c>
      <c r="T2643" t="s">
        <v>12620</v>
      </c>
      <c r="U2643" t="s">
        <v>12620</v>
      </c>
      <c r="V2643" t="s">
        <v>12620</v>
      </c>
      <c r="W2643" t="s">
        <v>15220</v>
      </c>
      <c r="X2643">
        <v>143</v>
      </c>
      <c r="Y2643" t="s">
        <v>21398</v>
      </c>
      <c r="Z2643" t="s">
        <v>27590</v>
      </c>
      <c r="AA2643">
        <v>0.44934505053128171</v>
      </c>
      <c r="AB2643" t="str">
        <f>HYPERLINK("Melting_Curves/meltCurve_P78527_PRKDC.pdf", "Melting_Curves/meltCurve_P78527_PRKDC.pdf")</f>
        <v>Melting_Curves/meltCurve_P78527_PRKDC.pdf</v>
      </c>
    </row>
    <row r="2644" spans="1:28" x14ac:dyDescent="0.25">
      <c r="A2644" t="s">
        <v>2648</v>
      </c>
      <c r="B2644">
        <v>0.99987803227770999</v>
      </c>
      <c r="C2644">
        <v>1.1726361242189101</v>
      </c>
      <c r="D2644">
        <v>0.95284683316270802</v>
      </c>
      <c r="E2644">
        <v>1.04353362830458</v>
      </c>
      <c r="F2644">
        <v>0.69887630586710103</v>
      </c>
      <c r="G2644">
        <v>0.571171846304391</v>
      </c>
      <c r="H2644">
        <v>0.29263565187250501</v>
      </c>
      <c r="I2644">
        <v>0.14687173589097999</v>
      </c>
      <c r="J2644">
        <v>8.9195693405881502E-2</v>
      </c>
      <c r="K2644">
        <v>5.7612662443398903E-2</v>
      </c>
      <c r="L2644">
        <v>964.77614221210899</v>
      </c>
      <c r="M2644">
        <v>16.786535812809898</v>
      </c>
      <c r="N2644">
        <v>57.531905212652298</v>
      </c>
      <c r="O2644">
        <v>56.676166033486901</v>
      </c>
      <c r="P2644">
        <v>-7.3421979729164394E-2</v>
      </c>
      <c r="Q2644">
        <v>8.4896352781371597E-3</v>
      </c>
      <c r="R2644">
        <v>0.964819450331588</v>
      </c>
      <c r="S2644" t="s">
        <v>8955</v>
      </c>
      <c r="T2644" t="s">
        <v>12620</v>
      </c>
      <c r="U2644" t="s">
        <v>12620</v>
      </c>
      <c r="V2644" t="s">
        <v>12620</v>
      </c>
      <c r="W2644" t="s">
        <v>15221</v>
      </c>
      <c r="X2644">
        <v>4</v>
      </c>
      <c r="Y2644" t="s">
        <v>21399</v>
      </c>
      <c r="Z2644" t="s">
        <v>27591</v>
      </c>
      <c r="AA2644">
        <v>0.5997312192867279</v>
      </c>
      <c r="AB2644" t="str">
        <f>HYPERLINK("Melting_Curves/meltCurve_P78537_BLOC1S1.pdf", "Melting_Curves/meltCurve_P78537_BLOC1S1.pdf")</f>
        <v>Melting_Curves/meltCurve_P78537_BLOC1S1.pdf</v>
      </c>
    </row>
    <row r="2645" spans="1:28" x14ac:dyDescent="0.25">
      <c r="A2645" t="s">
        <v>2649</v>
      </c>
      <c r="B2645">
        <v>0.99987803227770999</v>
      </c>
      <c r="C2645">
        <v>0.99962301530917097</v>
      </c>
      <c r="D2645">
        <v>0.94320160272996501</v>
      </c>
      <c r="E2645">
        <v>0.81162148957306401</v>
      </c>
      <c r="F2645">
        <v>0.64129394342992396</v>
      </c>
      <c r="G2645">
        <v>0.47930726042656302</v>
      </c>
      <c r="H2645">
        <v>0.357592842812264</v>
      </c>
      <c r="I2645">
        <v>0.38410800238341197</v>
      </c>
      <c r="J2645">
        <v>0.22848215552675699</v>
      </c>
      <c r="K2645">
        <v>0.12651043494070899</v>
      </c>
      <c r="L2645">
        <v>578.05695182842499</v>
      </c>
      <c r="M2645">
        <v>10.2755257924529</v>
      </c>
      <c r="N2645">
        <v>57.197803772205901</v>
      </c>
      <c r="O2645">
        <v>54.250011292093099</v>
      </c>
      <c r="P2645">
        <v>-4.3685388518054501E-2</v>
      </c>
      <c r="Q2645">
        <v>7.7849828370449695E-2</v>
      </c>
      <c r="R2645">
        <v>0.98110960998817498</v>
      </c>
      <c r="S2645" t="s">
        <v>8956</v>
      </c>
      <c r="T2645" t="s">
        <v>12620</v>
      </c>
      <c r="U2645" t="s">
        <v>12620</v>
      </c>
      <c r="V2645" t="s">
        <v>12620</v>
      </c>
      <c r="W2645" t="s">
        <v>15222</v>
      </c>
      <c r="X2645">
        <v>3</v>
      </c>
      <c r="Y2645" t="s">
        <v>21400</v>
      </c>
      <c r="Z2645" t="s">
        <v>27592</v>
      </c>
      <c r="AA2645">
        <v>0.59583827975755843</v>
      </c>
      <c r="AB2645" t="str">
        <f>HYPERLINK("Melting_Curves/meltCurve_P78545_2_ELF3.pdf", "Melting_Curves/meltCurve_P78545_2_ELF3.pdf")</f>
        <v>Melting_Curves/meltCurve_P78545_2_ELF3.pdf</v>
      </c>
    </row>
    <row r="2646" spans="1:28" x14ac:dyDescent="0.25">
      <c r="A2646" t="s">
        <v>2650</v>
      </c>
      <c r="B2646">
        <v>0.99987803227770999</v>
      </c>
      <c r="C2646">
        <v>1.0889798150399601</v>
      </c>
      <c r="D2646">
        <v>0.94579428447061897</v>
      </c>
      <c r="E2646">
        <v>1.0181326212834001</v>
      </c>
      <c r="F2646">
        <v>0.87839536969919696</v>
      </c>
      <c r="G2646">
        <v>0.78243759870089102</v>
      </c>
      <c r="H2646">
        <v>0.769980282928031</v>
      </c>
      <c r="I2646">
        <v>0.78236263311523602</v>
      </c>
      <c r="J2646">
        <v>0.73253031218421405</v>
      </c>
      <c r="K2646">
        <v>0.53482474664551904</v>
      </c>
      <c r="L2646">
        <v>439.03172383136098</v>
      </c>
      <c r="M2646">
        <v>5.87779567454165</v>
      </c>
      <c r="O2646">
        <v>67.413887720747198</v>
      </c>
      <c r="P2646">
        <v>-2.1873374119224302E-2</v>
      </c>
      <c r="Q2646">
        <v>0</v>
      </c>
      <c r="R2646">
        <v>0.85386497139558803</v>
      </c>
      <c r="S2646" t="s">
        <v>8957</v>
      </c>
      <c r="T2646" t="s">
        <v>12620</v>
      </c>
      <c r="U2646" t="s">
        <v>12620</v>
      </c>
      <c r="V2646" t="s">
        <v>12620</v>
      </c>
      <c r="W2646" t="s">
        <v>15223</v>
      </c>
      <c r="X2646">
        <v>15</v>
      </c>
      <c r="Y2646" t="s">
        <v>21401</v>
      </c>
      <c r="Z2646" t="s">
        <v>27593</v>
      </c>
      <c r="AA2646">
        <v>0.85624172222997685</v>
      </c>
      <c r="AB2646" t="str">
        <f>HYPERLINK("Melting_Curves/meltCurve_P78559_MAP1A.pdf", "Melting_Curves/meltCurve_P78559_MAP1A.pdf")</f>
        <v>Melting_Curves/meltCurve_P78559_MAP1A.pdf</v>
      </c>
    </row>
    <row r="2647" spans="1:28" x14ac:dyDescent="0.25">
      <c r="A2647" t="s">
        <v>2651</v>
      </c>
      <c r="B2647">
        <v>0.99987803227770999</v>
      </c>
      <c r="C2647">
        <v>0.95019013544603004</v>
      </c>
      <c r="D2647">
        <v>0.80809969514939495</v>
      </c>
      <c r="E2647">
        <v>0.76018644097544497</v>
      </c>
      <c r="F2647">
        <v>0.68550417747612802</v>
      </c>
      <c r="G2647">
        <v>0.39963465596765302</v>
      </c>
      <c r="H2647">
        <v>0.25830873787453401</v>
      </c>
      <c r="I2647">
        <v>0.185621276890091</v>
      </c>
      <c r="J2647">
        <v>0.19796369032687899</v>
      </c>
      <c r="K2647">
        <v>0.13937287926557501</v>
      </c>
      <c r="L2647">
        <v>573.96805362414295</v>
      </c>
      <c r="M2647">
        <v>10.4424969066558</v>
      </c>
      <c r="N2647">
        <v>55.358877273307797</v>
      </c>
      <c r="O2647">
        <v>53.063620713069398</v>
      </c>
      <c r="P2647">
        <v>-4.7454571436094599E-2</v>
      </c>
      <c r="Q2647">
        <v>3.58343506307666E-2</v>
      </c>
      <c r="R2647">
        <v>0.983728464953188</v>
      </c>
      <c r="S2647" t="s">
        <v>8958</v>
      </c>
      <c r="T2647" t="s">
        <v>12620</v>
      </c>
      <c r="U2647" t="s">
        <v>12620</v>
      </c>
      <c r="V2647" t="s">
        <v>12620</v>
      </c>
      <c r="W2647" t="s">
        <v>15224</v>
      </c>
      <c r="X2647">
        <v>3</v>
      </c>
      <c r="Y2647" t="s">
        <v>21402</v>
      </c>
      <c r="Z2647" t="s">
        <v>27594</v>
      </c>
      <c r="AA2647">
        <v>0.54141006729760954</v>
      </c>
      <c r="AB2647" t="str">
        <f>HYPERLINK("Melting_Curves/meltCurve_P78560_CRADD.pdf", "Melting_Curves/meltCurve_P78560_CRADD.pdf")</f>
        <v>Melting_Curves/meltCurve_P78560_CRADD.pdf</v>
      </c>
    </row>
    <row r="2648" spans="1:28" x14ac:dyDescent="0.25">
      <c r="A2648" t="s">
        <v>2652</v>
      </c>
      <c r="B2648">
        <v>0.99987803227770999</v>
      </c>
      <c r="C2648">
        <v>1.1607905861007199</v>
      </c>
      <c r="D2648">
        <v>1.0476522181267101</v>
      </c>
      <c r="E2648">
        <v>1.0996383642630201</v>
      </c>
      <c r="F2648">
        <v>0.88475195920266803</v>
      </c>
      <c r="G2648">
        <v>0.51991206789279498</v>
      </c>
      <c r="H2648">
        <v>0.16078373365608201</v>
      </c>
      <c r="I2648">
        <v>0.13192833608814</v>
      </c>
      <c r="J2648">
        <v>7.9342573720587201E-2</v>
      </c>
      <c r="K2648">
        <v>6.31584046568716E-2</v>
      </c>
      <c r="L2648">
        <v>1809.22583908414</v>
      </c>
      <c r="M2648">
        <v>31.844204802300698</v>
      </c>
      <c r="N2648">
        <v>57.115771626183502</v>
      </c>
      <c r="O2648">
        <v>56.592269902503297</v>
      </c>
      <c r="P2648">
        <v>-0.129812600863809</v>
      </c>
      <c r="Q2648">
        <v>7.7213340383096699E-2</v>
      </c>
      <c r="R2648">
        <v>0.97837443512385203</v>
      </c>
      <c r="S2648" t="s">
        <v>8959</v>
      </c>
      <c r="T2648" t="s">
        <v>12620</v>
      </c>
      <c r="U2648" t="s">
        <v>12620</v>
      </c>
      <c r="V2648" t="s">
        <v>12620</v>
      </c>
      <c r="W2648" t="s">
        <v>15225</v>
      </c>
      <c r="X2648">
        <v>12</v>
      </c>
      <c r="Y2648" t="s">
        <v>21403</v>
      </c>
      <c r="Z2648" t="s">
        <v>27595</v>
      </c>
      <c r="AA2648">
        <v>0.59995736896659446</v>
      </c>
      <c r="AB2648" t="str">
        <f>HYPERLINK("Melting_Curves/meltCurve_P80217_IFI35.pdf", "Melting_Curves/meltCurve_P80217_IFI35.pdf")</f>
        <v>Melting_Curves/meltCurve_P80217_IFI35.pdf</v>
      </c>
    </row>
    <row r="2649" spans="1:28" x14ac:dyDescent="0.25">
      <c r="A2649" t="s">
        <v>2653</v>
      </c>
      <c r="B2649">
        <v>0.99987803227770999</v>
      </c>
      <c r="C2649">
        <v>0.85209592363120201</v>
      </c>
      <c r="D2649">
        <v>1.0875231079890899</v>
      </c>
      <c r="E2649">
        <v>0.70721335566196097</v>
      </c>
      <c r="F2649">
        <v>0.93061806962640703</v>
      </c>
      <c r="G2649">
        <v>0.82711181826343805</v>
      </c>
      <c r="H2649">
        <v>0.93723138335948597</v>
      </c>
      <c r="I2649">
        <v>0.72465436686239204</v>
      </c>
      <c r="J2649">
        <v>0.82593434230866203</v>
      </c>
      <c r="K2649">
        <v>0.71760259020881001</v>
      </c>
      <c r="L2649">
        <v>185.998266972284</v>
      </c>
      <c r="M2649">
        <v>1.5283088355815999</v>
      </c>
      <c r="O2649">
        <v>60.426941183881198</v>
      </c>
      <c r="P2649">
        <v>-7.3582765400880103E-3</v>
      </c>
      <c r="Q2649">
        <v>0</v>
      </c>
      <c r="R2649">
        <v>0.32093649564117899</v>
      </c>
      <c r="S2649" t="s">
        <v>8960</v>
      </c>
      <c r="T2649" t="s">
        <v>12620</v>
      </c>
      <c r="U2649" t="s">
        <v>12620</v>
      </c>
      <c r="V2649" t="s">
        <v>12620</v>
      </c>
      <c r="W2649" t="s">
        <v>15226</v>
      </c>
      <c r="X2649">
        <v>4</v>
      </c>
      <c r="Y2649" t="s">
        <v>21404</v>
      </c>
      <c r="Z2649" t="s">
        <v>27596</v>
      </c>
      <c r="AA2649">
        <v>0.8620439559075106</v>
      </c>
      <c r="AB2649" t="str">
        <f>HYPERLINK("Melting_Curves/meltCurve_P80297_MT1X.pdf", "Melting_Curves/meltCurve_P80297_MT1X.pdf")</f>
        <v>Melting_Curves/meltCurve_P80297_MT1X.pdf</v>
      </c>
    </row>
    <row r="2650" spans="1:28" x14ac:dyDescent="0.25">
      <c r="A2650" t="s">
        <v>2654</v>
      </c>
      <c r="B2650">
        <v>0.99987803227770999</v>
      </c>
      <c r="C2650">
        <v>0.88985446451959005</v>
      </c>
      <c r="D2650">
        <v>1.0248370867514001</v>
      </c>
      <c r="E2650">
        <v>0.908347300016213</v>
      </c>
      <c r="F2650">
        <v>1.00594580301132</v>
      </c>
      <c r="G2650">
        <v>0.82328880135863602</v>
      </c>
      <c r="H2650">
        <v>0.86788204834514404</v>
      </c>
      <c r="I2650">
        <v>0.85329845075191901</v>
      </c>
      <c r="J2650">
        <v>0.76973710049074895</v>
      </c>
      <c r="K2650">
        <v>0.606341600030466</v>
      </c>
      <c r="L2650">
        <v>491.32985514800203</v>
      </c>
      <c r="M2650">
        <v>6.3288395724471398</v>
      </c>
      <c r="Q2650">
        <v>0</v>
      </c>
      <c r="R2650">
        <v>0.75249729063264204</v>
      </c>
      <c r="S2650" t="s">
        <v>8961</v>
      </c>
      <c r="T2650" t="s">
        <v>12620</v>
      </c>
      <c r="U2650" t="s">
        <v>12620</v>
      </c>
      <c r="V2650" t="s">
        <v>12620</v>
      </c>
      <c r="W2650" t="s">
        <v>15227</v>
      </c>
      <c r="X2650">
        <v>20</v>
      </c>
      <c r="Y2650" t="s">
        <v>21405</v>
      </c>
      <c r="Z2650" t="s">
        <v>27597</v>
      </c>
      <c r="AA2650">
        <v>0.89525686274809757</v>
      </c>
      <c r="AB2650" t="str">
        <f>HYPERLINK("Melting_Curves/meltCurve_P80303_NUCB2.pdf", "Melting_Curves/meltCurve_P80303_NUCB2.pdf")</f>
        <v>Melting_Curves/meltCurve_P80303_NUCB2.pdf</v>
      </c>
    </row>
    <row r="2651" spans="1:28" x14ac:dyDescent="0.25">
      <c r="A2651" t="s">
        <v>2655</v>
      </c>
      <c r="B2651">
        <v>0.99987803227770999</v>
      </c>
      <c r="C2651">
        <v>0.76374328987183304</v>
      </c>
      <c r="D2651">
        <v>0.95085163255000904</v>
      </c>
      <c r="E2651">
        <v>0.88786309881111902</v>
      </c>
      <c r="F2651">
        <v>1.09473307982825</v>
      </c>
      <c r="G2651">
        <v>0.99959030957691997</v>
      </c>
      <c r="H2651">
        <v>1.24594224187352</v>
      </c>
      <c r="I2651">
        <v>1.1307719414372801</v>
      </c>
      <c r="J2651">
        <v>1.3345648759620199</v>
      </c>
      <c r="K2651">
        <v>1.06896554017523</v>
      </c>
      <c r="L2651">
        <v>14610.842133464501</v>
      </c>
      <c r="M2651">
        <v>250</v>
      </c>
      <c r="O2651">
        <v>58.439628558538601</v>
      </c>
      <c r="P2651">
        <v>0.20861467774760301</v>
      </c>
      <c r="Q2651">
        <v>1.1950618282001</v>
      </c>
      <c r="R2651">
        <v>0.51508918001682802</v>
      </c>
      <c r="S2651" t="s">
        <v>8962</v>
      </c>
      <c r="T2651" t="s">
        <v>12620</v>
      </c>
      <c r="U2651" t="s">
        <v>12620</v>
      </c>
      <c r="V2651" t="s">
        <v>12620</v>
      </c>
      <c r="W2651" t="s">
        <v>15228</v>
      </c>
      <c r="X2651">
        <v>26</v>
      </c>
      <c r="Y2651" t="s">
        <v>21406</v>
      </c>
      <c r="Z2651" t="s">
        <v>27598</v>
      </c>
      <c r="AA2651">
        <v>1.0751219151080409</v>
      </c>
      <c r="AB2651" t="str">
        <f>HYPERLINK("Melting_Curves/meltCurve_P80723_BASP1.pdf", "Melting_Curves/meltCurve_P80723_BASP1.pdf")</f>
        <v>Melting_Curves/meltCurve_P80723_BASP1.pdf</v>
      </c>
    </row>
    <row r="2652" spans="1:28" x14ac:dyDescent="0.25">
      <c r="A2652" t="s">
        <v>2656</v>
      </c>
      <c r="B2652">
        <v>0.99987803227770999</v>
      </c>
      <c r="C2652">
        <v>3.7591832690494398</v>
      </c>
      <c r="D2652">
        <v>1.2143577178714799</v>
      </c>
      <c r="E2652">
        <v>0.75356459452815305</v>
      </c>
      <c r="F2652">
        <v>1.0453194458789401</v>
      </c>
      <c r="G2652">
        <v>1.9328063779790801</v>
      </c>
      <c r="H2652">
        <v>1.9027425699311999</v>
      </c>
      <c r="I2652">
        <v>1.7504628858458</v>
      </c>
      <c r="J2652">
        <v>0.59397889591134201</v>
      </c>
      <c r="K2652">
        <v>0.38198654160993201</v>
      </c>
      <c r="L2652">
        <v>15000</v>
      </c>
      <c r="M2652">
        <v>224.528725179947</v>
      </c>
      <c r="N2652">
        <v>67.238720453603804</v>
      </c>
      <c r="O2652">
        <v>66.801296721937902</v>
      </c>
      <c r="P2652">
        <v>-0.51939030333371805</v>
      </c>
      <c r="Q2652">
        <v>0.38188851937748802</v>
      </c>
      <c r="R2652">
        <v>-0.15418032719379299</v>
      </c>
      <c r="S2652" t="s">
        <v>8963</v>
      </c>
      <c r="T2652" t="s">
        <v>12620</v>
      </c>
      <c r="U2652" t="s">
        <v>12620</v>
      </c>
      <c r="V2652" t="s">
        <v>12620</v>
      </c>
      <c r="W2652" t="s">
        <v>15229</v>
      </c>
      <c r="X2652">
        <v>6</v>
      </c>
      <c r="Y2652" t="s">
        <v>21407</v>
      </c>
      <c r="Z2652" t="s">
        <v>27599</v>
      </c>
      <c r="AA2652">
        <v>0.93429363433584933</v>
      </c>
      <c r="AB2652" t="str">
        <f>HYPERLINK("Melting_Curves/meltCurve_P81605_DCD.pdf", "Melting_Curves/meltCurve_P81605_DCD.pdf")</f>
        <v>Melting_Curves/meltCurve_P81605_DCD.pdf</v>
      </c>
    </row>
    <row r="2653" spans="1:28" x14ac:dyDescent="0.25">
      <c r="A2653" t="s">
        <v>2657</v>
      </c>
      <c r="B2653">
        <v>0.99987803227770999</v>
      </c>
      <c r="C2653">
        <v>0.99218864836784104</v>
      </c>
      <c r="D2653">
        <v>1.04731103122778</v>
      </c>
      <c r="E2653">
        <v>0.98583173912170796</v>
      </c>
      <c r="F2653">
        <v>1.0462676889553399</v>
      </c>
      <c r="G2653">
        <v>0.94104601774309005</v>
      </c>
      <c r="H2653">
        <v>1.0216928881416401</v>
      </c>
      <c r="I2653">
        <v>0.96127464055842105</v>
      </c>
      <c r="J2653">
        <v>0.950256520516918</v>
      </c>
      <c r="K2653">
        <v>0.74133476609610804</v>
      </c>
      <c r="L2653">
        <v>2679.1289611397401</v>
      </c>
      <c r="M2653">
        <v>37.2135338860692</v>
      </c>
      <c r="Q2653">
        <v>0</v>
      </c>
      <c r="R2653">
        <v>0.86261045815593596</v>
      </c>
      <c r="S2653" t="s">
        <v>8964</v>
      </c>
      <c r="T2653" t="s">
        <v>12620</v>
      </c>
      <c r="U2653" t="s">
        <v>12620</v>
      </c>
      <c r="V2653" t="s">
        <v>12620</v>
      </c>
      <c r="W2653" t="s">
        <v>15230</v>
      </c>
      <c r="X2653">
        <v>23</v>
      </c>
      <c r="Y2653" t="s">
        <v>21408</v>
      </c>
      <c r="Z2653" t="s">
        <v>27600</v>
      </c>
      <c r="AA2653">
        <v>0.98280570395804312</v>
      </c>
      <c r="AB2653" t="str">
        <f>HYPERLINK("Melting_Curves/meltCurve_P82094_TMF1.pdf", "Melting_Curves/meltCurve_P82094_TMF1.pdf")</f>
        <v>Melting_Curves/meltCurve_P82094_TMF1.pdf</v>
      </c>
    </row>
    <row r="2654" spans="1:28" x14ac:dyDescent="0.25">
      <c r="A2654" t="s">
        <v>2658</v>
      </c>
      <c r="B2654">
        <v>0.99987803227770999</v>
      </c>
      <c r="C2654">
        <v>1.01879429187968</v>
      </c>
      <c r="D2654">
        <v>0.939756377617464</v>
      </c>
      <c r="E2654">
        <v>1.0484825802021001</v>
      </c>
      <c r="F2654">
        <v>0.55006025730090002</v>
      </c>
      <c r="G2654">
        <v>0.31760806491557603</v>
      </c>
      <c r="H2654">
        <v>0.147261288470939</v>
      </c>
      <c r="I2654">
        <v>9.2156203905801495E-2</v>
      </c>
      <c r="J2654">
        <v>0.10188423406398001</v>
      </c>
      <c r="K2654">
        <v>5.0111179427806601E-2</v>
      </c>
      <c r="L2654">
        <v>1514.57111332359</v>
      </c>
      <c r="M2654">
        <v>28.131752622064798</v>
      </c>
      <c r="N2654">
        <v>54.239039208152903</v>
      </c>
      <c r="O2654">
        <v>53.568644012792497</v>
      </c>
      <c r="P2654">
        <v>-0.11897518667697</v>
      </c>
      <c r="Q2654">
        <v>9.3794736076595595E-2</v>
      </c>
      <c r="R2654">
        <v>0.97656889393624602</v>
      </c>
      <c r="S2654" t="s">
        <v>8965</v>
      </c>
      <c r="T2654" t="s">
        <v>12620</v>
      </c>
      <c r="U2654" t="s">
        <v>12620</v>
      </c>
      <c r="V2654" t="s">
        <v>12620</v>
      </c>
      <c r="W2654" t="s">
        <v>15231</v>
      </c>
      <c r="X2654">
        <v>1</v>
      </c>
      <c r="Y2654" t="s">
        <v>21409</v>
      </c>
      <c r="Z2654" t="s">
        <v>27601</v>
      </c>
      <c r="AA2654">
        <v>0.51853374366123195</v>
      </c>
      <c r="AB2654" t="str">
        <f>HYPERLINK("Melting_Curves/meltCurve_P82673_MRPS35.pdf", "Melting_Curves/meltCurve_P82673_MRPS35.pdf")</f>
        <v>Melting_Curves/meltCurve_P82673_MRPS35.pdf</v>
      </c>
    </row>
    <row r="2655" spans="1:28" x14ac:dyDescent="0.25">
      <c r="A2655" t="s">
        <v>2659</v>
      </c>
      <c r="B2655">
        <v>0.99987803227770999</v>
      </c>
      <c r="C2655">
        <v>1.0761463697273099</v>
      </c>
      <c r="D2655">
        <v>0.97555019174607205</v>
      </c>
      <c r="E2655">
        <v>1.06310710934554</v>
      </c>
      <c r="F2655">
        <v>0.98773777740981705</v>
      </c>
      <c r="G2655">
        <v>0.96529880827477399</v>
      </c>
      <c r="H2655">
        <v>1.14935053985097</v>
      </c>
      <c r="I2655">
        <v>1.0591437639538299</v>
      </c>
      <c r="J2655">
        <v>1.01231975636799</v>
      </c>
      <c r="K2655">
        <v>0.73822784510321304</v>
      </c>
      <c r="L2655">
        <v>15000</v>
      </c>
      <c r="M2655">
        <v>213.24892828338901</v>
      </c>
      <c r="Q2655">
        <v>0</v>
      </c>
      <c r="R2655">
        <v>0.64491688192059604</v>
      </c>
      <c r="S2655" t="s">
        <v>8966</v>
      </c>
      <c r="T2655" t="s">
        <v>12620</v>
      </c>
      <c r="U2655" t="s">
        <v>12620</v>
      </c>
      <c r="V2655" t="s">
        <v>12620</v>
      </c>
      <c r="W2655" t="s">
        <v>15232</v>
      </c>
      <c r="X2655">
        <v>4</v>
      </c>
      <c r="Y2655" t="s">
        <v>21410</v>
      </c>
      <c r="Z2655" t="s">
        <v>27602</v>
      </c>
      <c r="AA2655">
        <v>0.99672800347560708</v>
      </c>
      <c r="AB2655" t="str">
        <f>HYPERLINK("Melting_Curves/meltCurve_P82909_MRPS36.pdf", "Melting_Curves/meltCurve_P82909_MRPS36.pdf")</f>
        <v>Melting_Curves/meltCurve_P82909_MRPS36.pdf</v>
      </c>
    </row>
    <row r="2656" spans="1:28" x14ac:dyDescent="0.25">
      <c r="A2656" t="s">
        <v>2660</v>
      </c>
      <c r="B2656">
        <v>0.99987803227770999</v>
      </c>
      <c r="C2656">
        <v>1.0619839606569601</v>
      </c>
      <c r="D2656">
        <v>0.82805487075408102</v>
      </c>
      <c r="E2656">
        <v>0.81666083578533999</v>
      </c>
      <c r="F2656">
        <v>0.58280395101488802</v>
      </c>
      <c r="G2656">
        <v>0.562633177426066</v>
      </c>
      <c r="H2656">
        <v>0.38333904129804502</v>
      </c>
      <c r="I2656">
        <v>0.16866647421804001</v>
      </c>
      <c r="J2656">
        <v>0.13872955903005399</v>
      </c>
      <c r="K2656">
        <v>9.8970853812936299E-2</v>
      </c>
      <c r="L2656">
        <v>583.79267380442695</v>
      </c>
      <c r="M2656">
        <v>10.327217186384299</v>
      </c>
      <c r="N2656">
        <v>56.529527704065799</v>
      </c>
      <c r="O2656">
        <v>54.533031769393503</v>
      </c>
      <c r="P2656">
        <v>-4.7364220021618803E-2</v>
      </c>
      <c r="Q2656">
        <v>0</v>
      </c>
      <c r="R2656">
        <v>0.96480497947023203</v>
      </c>
      <c r="S2656" t="s">
        <v>8967</v>
      </c>
      <c r="T2656" t="s">
        <v>12620</v>
      </c>
      <c r="U2656" t="s">
        <v>12620</v>
      </c>
      <c r="V2656" t="s">
        <v>12620</v>
      </c>
      <c r="W2656" t="s">
        <v>15233</v>
      </c>
      <c r="X2656">
        <v>1</v>
      </c>
      <c r="Y2656" t="s">
        <v>21411</v>
      </c>
      <c r="Z2656" t="s">
        <v>27603</v>
      </c>
      <c r="AA2656">
        <v>0.56951180587154027</v>
      </c>
      <c r="AB2656" t="str">
        <f>HYPERLINK("Melting_Curves/meltCurve_P82912_2_MRPS11.pdf", "Melting_Curves/meltCurve_P82912_2_MRPS11.pdf")</f>
        <v>Melting_Curves/meltCurve_P82912_2_MRPS11.pdf</v>
      </c>
    </row>
    <row r="2657" spans="1:28" x14ac:dyDescent="0.25">
      <c r="A2657" t="s">
        <v>2661</v>
      </c>
      <c r="B2657">
        <v>0.99987803227770999</v>
      </c>
      <c r="C2657">
        <v>1.1693237433617001</v>
      </c>
      <c r="D2657">
        <v>1.18274044224957</v>
      </c>
      <c r="E2657">
        <v>0.92032549540487296</v>
      </c>
      <c r="F2657">
        <v>0.59623966364001402</v>
      </c>
      <c r="G2657">
        <v>0.26714857233220801</v>
      </c>
      <c r="H2657">
        <v>0.249382119096659</v>
      </c>
      <c r="I2657">
        <v>0.29355178853687602</v>
      </c>
      <c r="J2657">
        <v>0.16252114005128901</v>
      </c>
      <c r="K2657">
        <v>0.19952624079669601</v>
      </c>
      <c r="L2657">
        <v>2118.9899244897101</v>
      </c>
      <c r="M2657">
        <v>40.068318572612199</v>
      </c>
      <c r="N2657">
        <v>53.686846934987997</v>
      </c>
      <c r="O2657">
        <v>52.753207415709298</v>
      </c>
      <c r="P2657">
        <v>-0.147107561488485</v>
      </c>
      <c r="Q2657">
        <v>0.22528521212248501</v>
      </c>
      <c r="R2657">
        <v>0.95484617101658298</v>
      </c>
      <c r="S2657" t="s">
        <v>8968</v>
      </c>
      <c r="T2657" t="s">
        <v>12620</v>
      </c>
      <c r="U2657" t="s">
        <v>12620</v>
      </c>
      <c r="V2657" t="s">
        <v>12620</v>
      </c>
      <c r="W2657" t="s">
        <v>15234</v>
      </c>
      <c r="X2657">
        <v>1</v>
      </c>
      <c r="Y2657" t="s">
        <v>21412</v>
      </c>
      <c r="Z2657" t="s">
        <v>27604</v>
      </c>
      <c r="AA2657">
        <v>0.56082987119163852</v>
      </c>
      <c r="AB2657" t="str">
        <f>HYPERLINK("Melting_Curves/meltCurve_P82930_MRPS34.pdf", "Melting_Curves/meltCurve_P82930_MRPS34.pdf")</f>
        <v>Melting_Curves/meltCurve_P82930_MRPS34.pdf</v>
      </c>
    </row>
    <row r="2658" spans="1:28" x14ac:dyDescent="0.25">
      <c r="A2658" t="s">
        <v>2662</v>
      </c>
      <c r="B2658">
        <v>0.99987803227770999</v>
      </c>
      <c r="C2658">
        <v>0.91168765445125999</v>
      </c>
      <c r="D2658">
        <v>0.83827775045060104</v>
      </c>
      <c r="E2658">
        <v>0.619551976675627</v>
      </c>
      <c r="F2658">
        <v>0.50691891370893505</v>
      </c>
      <c r="G2658">
        <v>0.34806591522506702</v>
      </c>
      <c r="H2658">
        <v>0.27553802811435002</v>
      </c>
      <c r="I2658">
        <v>0.25973092518653002</v>
      </c>
      <c r="J2658">
        <v>0.21941229785371499</v>
      </c>
      <c r="K2658">
        <v>0.17646903713715301</v>
      </c>
      <c r="L2658">
        <v>614.07988392938501</v>
      </c>
      <c r="M2658">
        <v>12.0200843758509</v>
      </c>
      <c r="N2658">
        <v>52.910000089723397</v>
      </c>
      <c r="O2658">
        <v>49.735431894359103</v>
      </c>
      <c r="P2658">
        <v>-5.0191785226668E-2</v>
      </c>
      <c r="Q2658">
        <v>0.169485957947593</v>
      </c>
      <c r="R2658">
        <v>0.99678151043090002</v>
      </c>
      <c r="S2658" t="s">
        <v>8969</v>
      </c>
      <c r="T2658" t="s">
        <v>12620</v>
      </c>
      <c r="U2658" t="s">
        <v>12620</v>
      </c>
      <c r="V2658" t="s">
        <v>12620</v>
      </c>
      <c r="W2658" t="s">
        <v>15235</v>
      </c>
      <c r="X2658">
        <v>3</v>
      </c>
      <c r="Y2658" t="s">
        <v>21413</v>
      </c>
      <c r="Z2658" t="s">
        <v>27605</v>
      </c>
      <c r="AA2658">
        <v>0.5033169678988495</v>
      </c>
      <c r="AB2658" t="str">
        <f>HYPERLINK("Melting_Curves/meltCurve_P82932_MRPS6.pdf", "Melting_Curves/meltCurve_P82932_MRPS6.pdf")</f>
        <v>Melting_Curves/meltCurve_P82932_MRPS6.pdf</v>
      </c>
    </row>
    <row r="2659" spans="1:28" x14ac:dyDescent="0.25">
      <c r="A2659" t="s">
        <v>2663</v>
      </c>
      <c r="B2659">
        <v>0.99987803227770999</v>
      </c>
      <c r="C2659">
        <v>0.79475814688587199</v>
      </c>
      <c r="D2659">
        <v>1.03534624436487</v>
      </c>
      <c r="E2659">
        <v>0.86166833425539302</v>
      </c>
      <c r="F2659">
        <v>1.179968139873</v>
      </c>
      <c r="G2659">
        <v>1.0275482895606201</v>
      </c>
      <c r="H2659">
        <v>1.0927178724766</v>
      </c>
      <c r="I2659">
        <v>1.08416626993118</v>
      </c>
      <c r="J2659">
        <v>1.0056444787349399</v>
      </c>
      <c r="K2659">
        <v>0.89015821276410501</v>
      </c>
      <c r="L2659">
        <v>15000</v>
      </c>
      <c r="M2659">
        <v>212.19335113541601</v>
      </c>
      <c r="Q2659">
        <v>0</v>
      </c>
      <c r="R2659">
        <v>9.71658518096917E-2</v>
      </c>
      <c r="S2659" t="s">
        <v>8970</v>
      </c>
      <c r="T2659" t="s">
        <v>12620</v>
      </c>
      <c r="U2659" t="s">
        <v>12620</v>
      </c>
      <c r="V2659" t="s">
        <v>12620</v>
      </c>
      <c r="W2659" t="s">
        <v>15236</v>
      </c>
      <c r="X2659">
        <v>12</v>
      </c>
      <c r="Y2659" t="s">
        <v>21414</v>
      </c>
      <c r="Z2659" t="s">
        <v>27606</v>
      </c>
      <c r="AA2659">
        <v>0.99874502150026634</v>
      </c>
      <c r="AB2659" t="str">
        <f>HYPERLINK("Melting_Curves/meltCurve_P82979_SARNP.pdf", "Melting_Curves/meltCurve_P82979_SARNP.pdf")</f>
        <v>Melting_Curves/meltCurve_P82979_SARNP.pdf</v>
      </c>
    </row>
    <row r="2660" spans="1:28" x14ac:dyDescent="0.25">
      <c r="A2660" t="s">
        <v>2664</v>
      </c>
      <c r="B2660">
        <v>0.99987803227770999</v>
      </c>
      <c r="C2660">
        <v>1.0401596203275001</v>
      </c>
      <c r="D2660">
        <v>1.01737074315821</v>
      </c>
      <c r="E2660">
        <v>0.77812928117904701</v>
      </c>
      <c r="F2660">
        <v>0.77952359839831797</v>
      </c>
      <c r="G2660">
        <v>0.84229420591572102</v>
      </c>
      <c r="H2660">
        <v>0.58746721633983101</v>
      </c>
      <c r="I2660">
        <v>0.85891566801751396</v>
      </c>
      <c r="J2660">
        <v>0.45171638648785001</v>
      </c>
      <c r="K2660">
        <v>0.41272656065501201</v>
      </c>
      <c r="L2660">
        <v>409.13830812863</v>
      </c>
      <c r="M2660">
        <v>5.9524313933880402</v>
      </c>
      <c r="N2660">
        <v>68.734629000441998</v>
      </c>
      <c r="O2660">
        <v>62.177647773062397</v>
      </c>
      <c r="P2660">
        <v>-2.4012898371319501E-2</v>
      </c>
      <c r="Q2660">
        <v>0</v>
      </c>
      <c r="R2660">
        <v>0.74519532976596503</v>
      </c>
      <c r="S2660" t="s">
        <v>8971</v>
      </c>
      <c r="T2660" t="s">
        <v>12620</v>
      </c>
      <c r="U2660" t="s">
        <v>12620</v>
      </c>
      <c r="V2660" t="s">
        <v>12620</v>
      </c>
      <c r="W2660" t="s">
        <v>15237</v>
      </c>
      <c r="X2660">
        <v>1</v>
      </c>
      <c r="Y2660" t="s">
        <v>21415</v>
      </c>
      <c r="Z2660" t="s">
        <v>27607</v>
      </c>
      <c r="AA2660">
        <v>0.78377436667979417</v>
      </c>
      <c r="AB2660" t="str">
        <f>HYPERLINK("Melting_Curves/meltCurve_P83369_LSM11.pdf", "Melting_Curves/meltCurve_P83369_LSM11.pdf")</f>
        <v>Melting_Curves/meltCurve_P83369_LSM11.pdf</v>
      </c>
    </row>
    <row r="2661" spans="1:28" x14ac:dyDescent="0.25">
      <c r="A2661" t="s">
        <v>2665</v>
      </c>
      <c r="B2661">
        <v>0.99987803227770999</v>
      </c>
      <c r="C2661">
        <v>0.89686027343679398</v>
      </c>
      <c r="D2661">
        <v>0.59608607218344301</v>
      </c>
      <c r="E2661">
        <v>0.44255038286774401</v>
      </c>
      <c r="F2661">
        <v>0.25208659795130001</v>
      </c>
      <c r="G2661">
        <v>0.131621779703991</v>
      </c>
      <c r="H2661">
        <v>0.10671222649279399</v>
      </c>
      <c r="I2661">
        <v>9.3767689896539497E-2</v>
      </c>
      <c r="J2661">
        <v>7.7642285165261699E-2</v>
      </c>
      <c r="K2661">
        <v>5.4346923957837801E-2</v>
      </c>
      <c r="L2661">
        <v>697.30099450196303</v>
      </c>
      <c r="M2661">
        <v>14.531626937357901</v>
      </c>
      <c r="N2661">
        <v>48.4154546490089</v>
      </c>
      <c r="O2661">
        <v>47.1037996512879</v>
      </c>
      <c r="P2661">
        <v>-7.2460479490024807E-2</v>
      </c>
      <c r="Q2661">
        <v>6.0594099702785301E-2</v>
      </c>
      <c r="R2661">
        <v>0.98892823768187499</v>
      </c>
      <c r="S2661" t="s">
        <v>8972</v>
      </c>
      <c r="T2661" t="s">
        <v>12620</v>
      </c>
      <c r="U2661" t="s">
        <v>12620</v>
      </c>
      <c r="V2661" t="s">
        <v>12620</v>
      </c>
      <c r="W2661" t="s">
        <v>15238</v>
      </c>
      <c r="X2661">
        <v>10</v>
      </c>
      <c r="Y2661" t="s">
        <v>21416</v>
      </c>
      <c r="Z2661" t="s">
        <v>27608</v>
      </c>
      <c r="AA2661">
        <v>0.33638397347017429</v>
      </c>
      <c r="AB2661" t="str">
        <f>HYPERLINK("Melting_Curves/meltCurve_P83436_COG7.pdf", "Melting_Curves/meltCurve_P83436_COG7.pdf")</f>
        <v>Melting_Curves/meltCurve_P83436_COG7.pdf</v>
      </c>
    </row>
    <row r="2662" spans="1:28" x14ac:dyDescent="0.25">
      <c r="A2662" t="s">
        <v>2666</v>
      </c>
      <c r="B2662">
        <v>0.99987803227770999</v>
      </c>
      <c r="C2662">
        <v>1.18141869803019</v>
      </c>
      <c r="D2662">
        <v>0.94230283628435896</v>
      </c>
      <c r="E2662">
        <v>1.0488035055373099</v>
      </c>
      <c r="F2662">
        <v>0.60075038004890602</v>
      </c>
      <c r="G2662">
        <v>0.35641527948528601</v>
      </c>
      <c r="H2662">
        <v>0.312055254878633</v>
      </c>
      <c r="I2662">
        <v>0.26081799664273397</v>
      </c>
      <c r="J2662">
        <v>0.34885314232828801</v>
      </c>
      <c r="K2662">
        <v>0.21592264215413801</v>
      </c>
      <c r="L2662">
        <v>13235.1935913013</v>
      </c>
      <c r="M2662">
        <v>250</v>
      </c>
      <c r="N2662">
        <v>53.134265293881398</v>
      </c>
      <c r="O2662">
        <v>52.937386386349402</v>
      </c>
      <c r="P2662">
        <v>-0.82784964714569997</v>
      </c>
      <c r="Q2662">
        <v>0.29881285297437998</v>
      </c>
      <c r="R2662">
        <v>0.95855638719799197</v>
      </c>
      <c r="S2662" t="s">
        <v>8973</v>
      </c>
      <c r="T2662" t="s">
        <v>12620</v>
      </c>
      <c r="U2662" t="s">
        <v>12620</v>
      </c>
      <c r="V2662" t="s">
        <v>12620</v>
      </c>
      <c r="W2662" t="s">
        <v>15239</v>
      </c>
      <c r="X2662">
        <v>9</v>
      </c>
      <c r="Y2662" t="s">
        <v>21417</v>
      </c>
      <c r="Z2662" t="s">
        <v>27609</v>
      </c>
      <c r="AA2662">
        <v>0.60134148901839024</v>
      </c>
      <c r="AB2662" t="str">
        <f>HYPERLINK("Melting_Curves/meltCurve_P83881_RPL36A.pdf", "Melting_Curves/meltCurve_P83881_RPL36A.pdf")</f>
        <v>Melting_Curves/meltCurve_P83881_RPL36A.pdf</v>
      </c>
    </row>
    <row r="2663" spans="1:28" x14ac:dyDescent="0.25">
      <c r="A2663" t="s">
        <v>2667</v>
      </c>
      <c r="B2663">
        <v>0.99987803227770999</v>
      </c>
      <c r="C2663">
        <v>0.94362304009882403</v>
      </c>
      <c r="D2663">
        <v>0.87930407145045297</v>
      </c>
      <c r="E2663">
        <v>0.46341355860795103</v>
      </c>
      <c r="F2663">
        <v>0.24235140049217799</v>
      </c>
      <c r="G2663">
        <v>0.150084183373492</v>
      </c>
      <c r="H2663">
        <v>0.12817248983065699</v>
      </c>
      <c r="I2663">
        <v>0.11659430391921401</v>
      </c>
      <c r="J2663">
        <v>9.95654264037895E-2</v>
      </c>
      <c r="K2663">
        <v>7.4422568863309696E-2</v>
      </c>
      <c r="L2663">
        <v>1176.0098350891601</v>
      </c>
      <c r="M2663">
        <v>23.876239957704598</v>
      </c>
      <c r="N2663">
        <v>49.735561068067298</v>
      </c>
      <c r="O2663">
        <v>48.912790348679202</v>
      </c>
      <c r="P2663">
        <v>-0.10945171143321</v>
      </c>
      <c r="Q2663">
        <v>0.103124808307603</v>
      </c>
      <c r="R2663">
        <v>0.99785066648356302</v>
      </c>
      <c r="S2663" t="s">
        <v>8974</v>
      </c>
      <c r="T2663" t="s">
        <v>12620</v>
      </c>
      <c r="U2663" t="s">
        <v>12620</v>
      </c>
      <c r="V2663" t="s">
        <v>12620</v>
      </c>
      <c r="W2663" t="s">
        <v>15240</v>
      </c>
      <c r="X2663">
        <v>19</v>
      </c>
      <c r="Y2663" t="s">
        <v>21418</v>
      </c>
      <c r="Z2663" t="s">
        <v>27610</v>
      </c>
      <c r="AA2663">
        <v>0.3885402891156664</v>
      </c>
      <c r="AB2663" t="str">
        <f>HYPERLINK("Melting_Curves/meltCurve_P84022_SMAD3.pdf", "Melting_Curves/meltCurve_P84022_SMAD3.pdf")</f>
        <v>Melting_Curves/meltCurve_P84022_SMAD3.pdf</v>
      </c>
    </row>
    <row r="2664" spans="1:28" x14ac:dyDescent="0.25">
      <c r="A2664" t="s">
        <v>2668</v>
      </c>
      <c r="B2664">
        <v>0.99987803227770999</v>
      </c>
      <c r="C2664">
        <v>0.87583030978149601</v>
      </c>
      <c r="D2664">
        <v>1.06267204725333</v>
      </c>
      <c r="E2664">
        <v>0.95085578836962403</v>
      </c>
      <c r="F2664">
        <v>1.0800288039075301</v>
      </c>
      <c r="G2664">
        <v>0.86123703207345104</v>
      </c>
      <c r="H2664">
        <v>0.356812665876303</v>
      </c>
      <c r="I2664">
        <v>0.183301118140062</v>
      </c>
      <c r="J2664">
        <v>7.1861562306669596E-2</v>
      </c>
      <c r="K2664">
        <v>5.4874077777157998E-2</v>
      </c>
      <c r="L2664">
        <v>2148.60897974215</v>
      </c>
      <c r="M2664">
        <v>35.935542205989002</v>
      </c>
      <c r="N2664">
        <v>60.020411902240298</v>
      </c>
      <c r="O2664">
        <v>59.606388226196501</v>
      </c>
      <c r="P2664">
        <v>-0.141034605509164</v>
      </c>
      <c r="Q2664">
        <v>6.4264960090845397E-2</v>
      </c>
      <c r="R2664">
        <v>0.980843418831991</v>
      </c>
      <c r="S2664" t="s">
        <v>8975</v>
      </c>
      <c r="T2664" t="s">
        <v>12620</v>
      </c>
      <c r="U2664" t="s">
        <v>12620</v>
      </c>
      <c r="V2664" t="s">
        <v>12620</v>
      </c>
      <c r="W2664" t="s">
        <v>15241</v>
      </c>
      <c r="X2664">
        <v>11</v>
      </c>
      <c r="Y2664" t="s">
        <v>21419</v>
      </c>
      <c r="Z2664" t="s">
        <v>27611</v>
      </c>
      <c r="AA2664">
        <v>0.68595840988158552</v>
      </c>
      <c r="AB2664" t="str">
        <f>HYPERLINK("Melting_Curves/meltCurve_P84077_ARF1.pdf", "Melting_Curves/meltCurve_P84077_ARF1.pdf")</f>
        <v>Melting_Curves/meltCurve_P84077_ARF1.pdf</v>
      </c>
    </row>
    <row r="2665" spans="1:28" x14ac:dyDescent="0.25">
      <c r="A2665" t="s">
        <v>2669</v>
      </c>
      <c r="B2665">
        <v>0.99987803227770999</v>
      </c>
      <c r="C2665">
        <v>0.67029821101431597</v>
      </c>
      <c r="D2665">
        <v>0.94096851498774603</v>
      </c>
      <c r="E2665">
        <v>0.78979538684481598</v>
      </c>
      <c r="F2665">
        <v>0.86854675003453796</v>
      </c>
      <c r="G2665">
        <v>0.29282473932907899</v>
      </c>
      <c r="H2665">
        <v>0.14433864457693599</v>
      </c>
      <c r="I2665">
        <v>0.11100403799842</v>
      </c>
      <c r="J2665">
        <v>8.66036860446006E-2</v>
      </c>
      <c r="K2665">
        <v>6.0566919466937701E-2</v>
      </c>
      <c r="L2665">
        <v>1528.42343726012</v>
      </c>
      <c r="M2665">
        <v>27.709050748008</v>
      </c>
      <c r="N2665">
        <v>55.474111548951299</v>
      </c>
      <c r="O2665">
        <v>54.874820692292801</v>
      </c>
      <c r="P2665">
        <v>-0.117065654938866</v>
      </c>
      <c r="Q2665">
        <v>7.2664093070599595E-2</v>
      </c>
      <c r="R2665">
        <v>0.89164308944436299</v>
      </c>
      <c r="S2665" t="s">
        <v>8976</v>
      </c>
      <c r="T2665" t="s">
        <v>12620</v>
      </c>
      <c r="U2665" t="s">
        <v>12620</v>
      </c>
      <c r="V2665" t="s">
        <v>12620</v>
      </c>
      <c r="W2665" t="s">
        <v>15242</v>
      </c>
      <c r="X2665">
        <v>9</v>
      </c>
      <c r="Y2665" t="s">
        <v>21420</v>
      </c>
      <c r="Z2665" t="s">
        <v>27612</v>
      </c>
      <c r="AA2665">
        <v>0.54840518299239172</v>
      </c>
      <c r="AB2665" t="str">
        <f>HYPERLINK("Melting_Curves/meltCurve_P84085_ARF5.pdf", "Melting_Curves/meltCurve_P84085_ARF5.pdf")</f>
        <v>Melting_Curves/meltCurve_P84085_ARF5.pdf</v>
      </c>
    </row>
    <row r="2666" spans="1:28" x14ac:dyDescent="0.25">
      <c r="A2666" t="s">
        <v>2670</v>
      </c>
      <c r="B2666">
        <v>0.99987803227770999</v>
      </c>
      <c r="C2666">
        <v>0.87690710609398803</v>
      </c>
      <c r="D2666">
        <v>1.0503391122955399</v>
      </c>
      <c r="E2666">
        <v>0.96589010081220705</v>
      </c>
      <c r="F2666">
        <v>1.20915156195524</v>
      </c>
      <c r="G2666">
        <v>0.84571846812483498</v>
      </c>
      <c r="H2666">
        <v>0.67681239608522803</v>
      </c>
      <c r="I2666">
        <v>0.45867988383624803</v>
      </c>
      <c r="J2666">
        <v>0.45059152414104903</v>
      </c>
      <c r="K2666">
        <v>0.31670717072635202</v>
      </c>
      <c r="L2666">
        <v>1628.5197422501201</v>
      </c>
      <c r="M2666">
        <v>26.7508209827513</v>
      </c>
      <c r="N2666">
        <v>63.572154206386699</v>
      </c>
      <c r="O2666">
        <v>60.5402339474103</v>
      </c>
      <c r="P2666">
        <v>-7.3006276826986502E-2</v>
      </c>
      <c r="Q2666">
        <v>0.33911992747622999</v>
      </c>
      <c r="R2666">
        <v>0.90197610116970695</v>
      </c>
      <c r="S2666" t="s">
        <v>8977</v>
      </c>
      <c r="T2666" t="s">
        <v>12620</v>
      </c>
      <c r="U2666" t="s">
        <v>12620</v>
      </c>
      <c r="V2666" t="s">
        <v>12620</v>
      </c>
      <c r="W2666" t="s">
        <v>15243</v>
      </c>
      <c r="X2666">
        <v>7</v>
      </c>
      <c r="Y2666" t="s">
        <v>21421</v>
      </c>
      <c r="Z2666" t="s">
        <v>27613</v>
      </c>
      <c r="AA2666">
        <v>0.80312535427316079</v>
      </c>
      <c r="AB2666" t="str">
        <f>HYPERLINK("Melting_Curves/meltCurve_P84090_ERH.pdf", "Melting_Curves/meltCurve_P84090_ERH.pdf")</f>
        <v>Melting_Curves/meltCurve_P84090_ERH.pdf</v>
      </c>
    </row>
    <row r="2667" spans="1:28" x14ac:dyDescent="0.25">
      <c r="A2667" t="s">
        <v>2671</v>
      </c>
      <c r="B2667">
        <v>0.99987803227770999</v>
      </c>
      <c r="C2667">
        <v>0.90513239893216701</v>
      </c>
      <c r="D2667">
        <v>0.93162652664640699</v>
      </c>
      <c r="E2667">
        <v>0.61854138551995896</v>
      </c>
      <c r="F2667">
        <v>0.27354283285790898</v>
      </c>
      <c r="G2667">
        <v>0.14625953454603799</v>
      </c>
      <c r="H2667">
        <v>8.72315929215432E-2</v>
      </c>
      <c r="I2667">
        <v>6.1679247693028197E-2</v>
      </c>
      <c r="J2667">
        <v>4.3604242784974198E-2</v>
      </c>
      <c r="K2667">
        <v>3.0897681915680399E-2</v>
      </c>
      <c r="L2667">
        <v>1160.2248920258901</v>
      </c>
      <c r="M2667">
        <v>22.882894180656901</v>
      </c>
      <c r="N2667">
        <v>50.934880397135302</v>
      </c>
      <c r="O2667">
        <v>50.320237413974297</v>
      </c>
      <c r="P2667">
        <v>-0.108058255478837</v>
      </c>
      <c r="Q2667">
        <v>4.9523146635138203E-2</v>
      </c>
      <c r="R2667">
        <v>0.99356475034539904</v>
      </c>
      <c r="S2667" t="s">
        <v>8978</v>
      </c>
      <c r="T2667" t="s">
        <v>12620</v>
      </c>
      <c r="U2667" t="s">
        <v>12620</v>
      </c>
      <c r="V2667" t="s">
        <v>12620</v>
      </c>
      <c r="W2667" t="s">
        <v>15244</v>
      </c>
      <c r="X2667">
        <v>5</v>
      </c>
      <c r="Y2667" t="s">
        <v>21422</v>
      </c>
      <c r="Z2667" t="s">
        <v>27614</v>
      </c>
      <c r="AA2667">
        <v>0.39879924298258929</v>
      </c>
      <c r="AB2667" t="str">
        <f>HYPERLINK("Melting_Curves/meltCurve_P84095_RHOG.pdf", "Melting_Curves/meltCurve_P84095_RHOG.pdf")</f>
        <v>Melting_Curves/meltCurve_P84095_RHOG.pdf</v>
      </c>
    </row>
    <row r="2668" spans="1:28" x14ac:dyDescent="0.25">
      <c r="A2668" t="s">
        <v>2672</v>
      </c>
      <c r="B2668">
        <v>0.99987803227770999</v>
      </c>
      <c r="C2668">
        <v>0.81387061478888001</v>
      </c>
      <c r="D2668">
        <v>0.86450784051706997</v>
      </c>
      <c r="E2668">
        <v>0.80509185741404199</v>
      </c>
      <c r="F2668">
        <v>0.83190801612257703</v>
      </c>
      <c r="G2668">
        <v>0.51284880676455002</v>
      </c>
      <c r="H2668">
        <v>0.74472833684155704</v>
      </c>
      <c r="I2668">
        <v>0.77261892031345902</v>
      </c>
      <c r="J2668">
        <v>1.06997856713765</v>
      </c>
      <c r="K2668">
        <v>0.76412471871616106</v>
      </c>
      <c r="L2668">
        <v>4415.6968291988896</v>
      </c>
      <c r="M2668">
        <v>105.247576388857</v>
      </c>
      <c r="O2668">
        <v>41.940199164992002</v>
      </c>
      <c r="P2668">
        <v>-0.12816754114619899</v>
      </c>
      <c r="Q2668">
        <v>0.79570567394860303</v>
      </c>
      <c r="R2668">
        <v>0.18299328075232801</v>
      </c>
      <c r="S2668" t="s">
        <v>8979</v>
      </c>
      <c r="T2668" t="s">
        <v>12620</v>
      </c>
      <c r="U2668" t="s">
        <v>12620</v>
      </c>
      <c r="V2668" t="s">
        <v>12620</v>
      </c>
      <c r="W2668" t="s">
        <v>15245</v>
      </c>
      <c r="X2668">
        <v>5</v>
      </c>
      <c r="Y2668" t="s">
        <v>21423</v>
      </c>
      <c r="Z2668" t="s">
        <v>27615</v>
      </c>
      <c r="AA2668">
        <v>0.80912015314580443</v>
      </c>
      <c r="AB2668" t="str">
        <f>HYPERLINK("Melting_Curves/meltCurve_P84101_4_SERF2.pdf", "Melting_Curves/meltCurve_P84101_4_SERF2.pdf")</f>
        <v>Melting_Curves/meltCurve_P84101_4_SERF2.pdf</v>
      </c>
    </row>
    <row r="2669" spans="1:28" x14ac:dyDescent="0.25">
      <c r="A2669" t="s">
        <v>2673</v>
      </c>
      <c r="B2669">
        <v>0.99987803227770999</v>
      </c>
      <c r="C2669">
        <v>0.89840590413865495</v>
      </c>
      <c r="D2669">
        <v>0.69714953757461195</v>
      </c>
      <c r="E2669">
        <v>0.57037098934957897</v>
      </c>
      <c r="F2669">
        <v>0.42878467358181799</v>
      </c>
      <c r="G2669">
        <v>0.24254712318131999</v>
      </c>
      <c r="H2669">
        <v>0.184424670030227</v>
      </c>
      <c r="I2669">
        <v>0.167157402621992</v>
      </c>
      <c r="J2669">
        <v>0.107013444509162</v>
      </c>
      <c r="K2669">
        <v>8.6562948177870205E-2</v>
      </c>
      <c r="L2669">
        <v>548.62660559573101</v>
      </c>
      <c r="M2669">
        <v>10.866286656560201</v>
      </c>
      <c r="N2669">
        <v>51.033262747652699</v>
      </c>
      <c r="O2669">
        <v>48.869189623825399</v>
      </c>
      <c r="P2669">
        <v>-5.2565189768222401E-2</v>
      </c>
      <c r="Q2669">
        <v>5.4723975671451201E-2</v>
      </c>
      <c r="R2669">
        <v>0.99138245988197204</v>
      </c>
      <c r="S2669" t="s">
        <v>8980</v>
      </c>
      <c r="T2669" t="s">
        <v>12620</v>
      </c>
      <c r="U2669" t="s">
        <v>12620</v>
      </c>
      <c r="V2669" t="s">
        <v>12620</v>
      </c>
      <c r="W2669" t="s">
        <v>15246</v>
      </c>
      <c r="X2669">
        <v>17</v>
      </c>
      <c r="Y2669" t="s">
        <v>21424</v>
      </c>
      <c r="Z2669" t="s">
        <v>27616</v>
      </c>
      <c r="AA2669">
        <v>0.42192103314973878</v>
      </c>
      <c r="AB2669" t="str">
        <f>HYPERLINK("Melting_Curves/meltCurve_P85037_FOXK1.pdf", "Melting_Curves/meltCurve_P85037_FOXK1.pdf")</f>
        <v>Melting_Curves/meltCurve_P85037_FOXK1.pdf</v>
      </c>
    </row>
    <row r="2670" spans="1:28" x14ac:dyDescent="0.25">
      <c r="A2670" t="s">
        <v>2674</v>
      </c>
      <c r="B2670">
        <v>0.99987803227770999</v>
      </c>
      <c r="C2670">
        <v>1.04435357409179</v>
      </c>
      <c r="D2670">
        <v>1.07656109626037</v>
      </c>
      <c r="E2670">
        <v>1.2043341174419699</v>
      </c>
      <c r="F2670">
        <v>1.0720683867959999</v>
      </c>
      <c r="G2670">
        <v>1.0003761121567201</v>
      </c>
      <c r="H2670">
        <v>1.01876435280954</v>
      </c>
      <c r="I2670">
        <v>0.81945172116729204</v>
      </c>
      <c r="J2670">
        <v>0.63751121694514701</v>
      </c>
      <c r="K2670">
        <v>0.57376906014913598</v>
      </c>
      <c r="L2670">
        <v>3875.5106270102301</v>
      </c>
      <c r="M2670">
        <v>60.190943331641897</v>
      </c>
      <c r="O2670">
        <v>64.315982252904007</v>
      </c>
      <c r="P2670">
        <v>-9.7411021512261206E-2</v>
      </c>
      <c r="Q2670">
        <v>0.58365277981821895</v>
      </c>
      <c r="R2670">
        <v>0.84754650711489599</v>
      </c>
      <c r="S2670" t="s">
        <v>8981</v>
      </c>
      <c r="T2670" t="s">
        <v>12620</v>
      </c>
      <c r="U2670" t="s">
        <v>12620</v>
      </c>
      <c r="V2670" t="s">
        <v>12620</v>
      </c>
      <c r="W2670" t="s">
        <v>15247</v>
      </c>
      <c r="X2670">
        <v>1</v>
      </c>
      <c r="Y2670" t="s">
        <v>21425</v>
      </c>
      <c r="Z2670" t="s">
        <v>27617</v>
      </c>
      <c r="AA2670">
        <v>0.92276970635371025</v>
      </c>
      <c r="AB2670" t="str">
        <f>HYPERLINK("Melting_Curves/meltCurve_P85299_2_PRR5.pdf", "Melting_Curves/meltCurve_P85299_2_PRR5.pdf")</f>
        <v>Melting_Curves/meltCurve_P85299_2_PRR5.pdf</v>
      </c>
    </row>
    <row r="2671" spans="1:28" x14ac:dyDescent="0.25">
      <c r="A2671" t="s">
        <v>2675</v>
      </c>
      <c r="B2671">
        <v>0.99987803227770999</v>
      </c>
      <c r="C2671">
        <v>0.81263592100327098</v>
      </c>
      <c r="D2671">
        <v>0.77011777970279505</v>
      </c>
      <c r="E2671">
        <v>0.68436062757564997</v>
      </c>
      <c r="F2671">
        <v>0.38645939688904302</v>
      </c>
      <c r="G2671">
        <v>0.230777564410618</v>
      </c>
      <c r="H2671">
        <v>9.1934869508144501E-2</v>
      </c>
      <c r="I2671">
        <v>7.0360582494227705E-2</v>
      </c>
      <c r="J2671">
        <v>5.9790951198804398E-2</v>
      </c>
      <c r="K2671">
        <v>4.8994017044536098E-2</v>
      </c>
      <c r="L2671">
        <v>612.55492066413103</v>
      </c>
      <c r="M2671">
        <v>11.917370251478401</v>
      </c>
      <c r="N2671">
        <v>51.400175377516597</v>
      </c>
      <c r="O2671">
        <v>50.017004284853897</v>
      </c>
      <c r="P2671">
        <v>-5.95813428654949E-2</v>
      </c>
      <c r="Q2671">
        <v>0</v>
      </c>
      <c r="R2671">
        <v>0.97919011276256196</v>
      </c>
      <c r="S2671" t="s">
        <v>8982</v>
      </c>
      <c r="T2671" t="s">
        <v>12620</v>
      </c>
      <c r="U2671" t="s">
        <v>12620</v>
      </c>
      <c r="V2671" t="s">
        <v>12620</v>
      </c>
      <c r="W2671" t="s">
        <v>15248</v>
      </c>
      <c r="X2671">
        <v>8</v>
      </c>
      <c r="Y2671" t="s">
        <v>21426</v>
      </c>
      <c r="Z2671" t="s">
        <v>27618</v>
      </c>
      <c r="AA2671">
        <v>0.41212603550125421</v>
      </c>
      <c r="AB2671" t="str">
        <f>HYPERLINK("Melting_Curves/meltCurve_P86791_CCZ1.pdf", "Melting_Curves/meltCurve_P86791_CCZ1.pdf")</f>
        <v>Melting_Curves/meltCurve_P86791_CCZ1.pdf</v>
      </c>
    </row>
    <row r="2672" spans="1:28" x14ac:dyDescent="0.25">
      <c r="A2672" t="s">
        <v>2676</v>
      </c>
      <c r="B2672">
        <v>0.99987803227770999</v>
      </c>
      <c r="C2672">
        <v>0.87366880371353395</v>
      </c>
      <c r="D2672">
        <v>1.0004106539339299</v>
      </c>
      <c r="E2672">
        <v>0.77492521229625899</v>
      </c>
      <c r="F2672">
        <v>0.87338800144351603</v>
      </c>
      <c r="G2672">
        <v>0.61531299574424003</v>
      </c>
      <c r="H2672">
        <v>0.60383474814289095</v>
      </c>
      <c r="I2672">
        <v>0.62374158607556496</v>
      </c>
      <c r="J2672">
        <v>0.60355008072193905</v>
      </c>
      <c r="K2672">
        <v>0.51402198995683901</v>
      </c>
      <c r="L2672">
        <v>521.92311085613699</v>
      </c>
      <c r="M2672">
        <v>9.6424738703428208</v>
      </c>
      <c r="O2672">
        <v>51.953169630291001</v>
      </c>
      <c r="P2672">
        <v>-2.3362014366275899E-2</v>
      </c>
      <c r="Q2672">
        <v>0.49678775618607501</v>
      </c>
      <c r="R2672">
        <v>0.86727027189918304</v>
      </c>
      <c r="S2672" t="s">
        <v>8983</v>
      </c>
      <c r="T2672" t="s">
        <v>12620</v>
      </c>
      <c r="U2672" t="s">
        <v>12620</v>
      </c>
      <c r="V2672" t="s">
        <v>12620</v>
      </c>
      <c r="W2672" t="s">
        <v>15249</v>
      </c>
      <c r="X2672">
        <v>7</v>
      </c>
      <c r="Y2672" t="s">
        <v>21427</v>
      </c>
      <c r="Z2672" t="s">
        <v>27619</v>
      </c>
      <c r="AA2672">
        <v>0.74903536329216791</v>
      </c>
      <c r="AB2672" t="str">
        <f>HYPERLINK("Melting_Curves/meltCurve_P98082_3_DAB2.pdf", "Melting_Curves/meltCurve_P98082_3_DAB2.pdf")</f>
        <v>Melting_Curves/meltCurve_P98082_3_DAB2.pdf</v>
      </c>
    </row>
    <row r="2673" spans="1:28" x14ac:dyDescent="0.25">
      <c r="A2673" t="s">
        <v>2677</v>
      </c>
      <c r="B2673">
        <v>0.99987803227770999</v>
      </c>
      <c r="C2673">
        <v>0.84976084812539598</v>
      </c>
      <c r="D2673">
        <v>0.91511069023537694</v>
      </c>
      <c r="E2673">
        <v>0.87232603810929399</v>
      </c>
      <c r="F2673">
        <v>1.00561817770466</v>
      </c>
      <c r="G2673">
        <v>0.753645755950756</v>
      </c>
      <c r="H2673">
        <v>0.78299933008548395</v>
      </c>
      <c r="I2673">
        <v>0.65433843603348396</v>
      </c>
      <c r="J2673">
        <v>0.80739877233275104</v>
      </c>
      <c r="K2673">
        <v>0.68173648132241904</v>
      </c>
      <c r="L2673">
        <v>215.51601751450099</v>
      </c>
      <c r="M2673">
        <v>2.2627361584955299</v>
      </c>
      <c r="O2673">
        <v>60.845722738062499</v>
      </c>
      <c r="P2673">
        <v>-9.9132059525574301E-3</v>
      </c>
      <c r="Q2673">
        <v>0</v>
      </c>
      <c r="R2673">
        <v>0.59322412428753701</v>
      </c>
      <c r="S2673" t="s">
        <v>8984</v>
      </c>
      <c r="T2673" t="s">
        <v>12620</v>
      </c>
      <c r="U2673" t="s">
        <v>12620</v>
      </c>
      <c r="V2673" t="s">
        <v>12620</v>
      </c>
      <c r="W2673" t="s">
        <v>15250</v>
      </c>
      <c r="X2673">
        <v>4</v>
      </c>
      <c r="Y2673" t="s">
        <v>21428</v>
      </c>
      <c r="Z2673" t="s">
        <v>27620</v>
      </c>
      <c r="AA2673">
        <v>0.83511323382984748</v>
      </c>
      <c r="AB2673" t="str">
        <f>HYPERLINK("Melting_Curves/meltCurve_P98155_2_VLDLR.pdf", "Melting_Curves/meltCurve_P98155_2_VLDLR.pdf")</f>
        <v>Melting_Curves/meltCurve_P98155_2_VLDLR.pdf</v>
      </c>
    </row>
    <row r="2674" spans="1:28" x14ac:dyDescent="0.25">
      <c r="A2674" t="s">
        <v>2678</v>
      </c>
      <c r="B2674">
        <v>0.99987803227770999</v>
      </c>
      <c r="C2674">
        <v>0.99164083405213099</v>
      </c>
      <c r="D2674">
        <v>0.92267497005467503</v>
      </c>
      <c r="E2674">
        <v>1.0709685316372399</v>
      </c>
      <c r="F2674">
        <v>0.91218687027295597</v>
      </c>
      <c r="G2674">
        <v>0.52841763915987605</v>
      </c>
      <c r="H2674">
        <v>0.38742772757305899</v>
      </c>
      <c r="I2674">
        <v>0.34000989859206798</v>
      </c>
      <c r="J2674">
        <v>0.255742489105033</v>
      </c>
      <c r="K2674">
        <v>0.194078920794271</v>
      </c>
      <c r="L2674">
        <v>1617.89906633032</v>
      </c>
      <c r="M2674">
        <v>28.7147135933734</v>
      </c>
      <c r="N2674">
        <v>57.828885885280101</v>
      </c>
      <c r="O2674">
        <v>56.072756958650601</v>
      </c>
      <c r="P2674">
        <v>-9.4634797283566399E-2</v>
      </c>
      <c r="Q2674">
        <v>0.26081201235076001</v>
      </c>
      <c r="R2674">
        <v>0.97568402025464196</v>
      </c>
      <c r="S2674" t="s">
        <v>8985</v>
      </c>
      <c r="T2674" t="s">
        <v>12620</v>
      </c>
      <c r="U2674" t="s">
        <v>12620</v>
      </c>
      <c r="V2674" t="s">
        <v>12620</v>
      </c>
      <c r="W2674" t="s">
        <v>15251</v>
      </c>
      <c r="X2674">
        <v>19</v>
      </c>
      <c r="Y2674" t="s">
        <v>21429</v>
      </c>
      <c r="Z2674" t="s">
        <v>27621</v>
      </c>
      <c r="AA2674">
        <v>0.66885277574165314</v>
      </c>
      <c r="AB2674" t="str">
        <f>HYPERLINK("Melting_Curves/meltCurve_P98170_XIAP.pdf", "Melting_Curves/meltCurve_P98170_XIAP.pdf")</f>
        <v>Melting_Curves/meltCurve_P98170_XIAP.pdf</v>
      </c>
    </row>
    <row r="2675" spans="1:28" x14ac:dyDescent="0.25">
      <c r="A2675" t="s">
        <v>2679</v>
      </c>
      <c r="B2675">
        <v>0.99987803227770999</v>
      </c>
      <c r="C2675">
        <v>0.86760797736598505</v>
      </c>
      <c r="D2675">
        <v>0.82941985508843097</v>
      </c>
      <c r="E2675">
        <v>0.67492472340689402</v>
      </c>
      <c r="F2675">
        <v>0.76327653440009302</v>
      </c>
      <c r="G2675">
        <v>0.56727491614732894</v>
      </c>
      <c r="H2675">
        <v>0.55656374852049695</v>
      </c>
      <c r="I2675">
        <v>0.44428606555948702</v>
      </c>
      <c r="J2675">
        <v>0.48737204495953701</v>
      </c>
      <c r="K2675">
        <v>0.36954289876042901</v>
      </c>
      <c r="L2675">
        <v>322.178596425183</v>
      </c>
      <c r="M2675">
        <v>5.6324015051033802</v>
      </c>
      <c r="N2675">
        <v>62.510263518974</v>
      </c>
      <c r="O2675">
        <v>51.212238040177802</v>
      </c>
      <c r="P2675">
        <v>-2.2358469430382898E-2</v>
      </c>
      <c r="Q2675">
        <v>0.19010988608507601</v>
      </c>
      <c r="R2675">
        <v>0.93693716057690202</v>
      </c>
      <c r="S2675" t="s">
        <v>8986</v>
      </c>
      <c r="T2675" t="s">
        <v>12620</v>
      </c>
      <c r="U2675" t="s">
        <v>12620</v>
      </c>
      <c r="V2675" t="s">
        <v>12620</v>
      </c>
      <c r="W2675" t="s">
        <v>15252</v>
      </c>
      <c r="X2675">
        <v>4</v>
      </c>
      <c r="Y2675" t="s">
        <v>21430</v>
      </c>
      <c r="Z2675" t="s">
        <v>27622</v>
      </c>
      <c r="AA2675">
        <v>0.65333564006565814</v>
      </c>
      <c r="AB2675" t="str">
        <f>HYPERLINK("Melting_Curves/meltCurve_P98174_FGD1.pdf", "Melting_Curves/meltCurve_P98174_FGD1.pdf")</f>
        <v>Melting_Curves/meltCurve_P98174_FGD1.pdf</v>
      </c>
    </row>
    <row r="2676" spans="1:28" x14ac:dyDescent="0.25">
      <c r="A2676" t="s">
        <v>2680</v>
      </c>
      <c r="B2676">
        <v>0.99987803227770999</v>
      </c>
      <c r="C2676">
        <v>0.85590124244321097</v>
      </c>
      <c r="D2676">
        <v>0.99068194254195596</v>
      </c>
      <c r="E2676">
        <v>0.95890691851309995</v>
      </c>
      <c r="F2676">
        <v>1.3625333014535499</v>
      </c>
      <c r="G2676">
        <v>1.03198862408081</v>
      </c>
      <c r="H2676">
        <v>0.92840140850587605</v>
      </c>
      <c r="I2676">
        <v>0.86063160474825096</v>
      </c>
      <c r="J2676">
        <v>0.872761974141534</v>
      </c>
      <c r="K2676">
        <v>0.70397284299766405</v>
      </c>
      <c r="L2676">
        <v>1285.5067736501401</v>
      </c>
      <c r="M2676">
        <v>18.4733370201842</v>
      </c>
      <c r="O2676">
        <v>68.787088239014807</v>
      </c>
      <c r="P2676">
        <v>-3.5978483838296098E-2</v>
      </c>
      <c r="Q2676">
        <v>0.464147723039399</v>
      </c>
      <c r="R2676">
        <v>0.383309857818045</v>
      </c>
      <c r="S2676" t="s">
        <v>8987</v>
      </c>
      <c r="T2676" t="s">
        <v>12620</v>
      </c>
      <c r="U2676" t="s">
        <v>12620</v>
      </c>
      <c r="V2676" t="s">
        <v>12620</v>
      </c>
      <c r="W2676" t="s">
        <v>15253</v>
      </c>
      <c r="X2676">
        <v>13</v>
      </c>
      <c r="Y2676" t="s">
        <v>21431</v>
      </c>
      <c r="Z2676" t="s">
        <v>27623</v>
      </c>
      <c r="AA2676">
        <v>0.95469111018585973</v>
      </c>
      <c r="AB2676" t="str">
        <f>HYPERLINK("Melting_Curves/meltCurve_P98175_4_RBM10.pdf", "Melting_Curves/meltCurve_P98175_4_RBM10.pdf")</f>
        <v>Melting_Curves/meltCurve_P98175_4_RBM10.pdf</v>
      </c>
    </row>
    <row r="2677" spans="1:28" x14ac:dyDescent="0.25">
      <c r="A2677" t="s">
        <v>2681</v>
      </c>
      <c r="B2677">
        <v>0.99987803227770999</v>
      </c>
      <c r="C2677">
        <v>0.75268860162051399</v>
      </c>
      <c r="D2677">
        <v>0.88044179872183304</v>
      </c>
      <c r="E2677">
        <v>0.79523782619829597</v>
      </c>
      <c r="F2677">
        <v>1.0522909247699599</v>
      </c>
      <c r="G2677">
        <v>0.67512657947182497</v>
      </c>
      <c r="H2677">
        <v>1.02712130203847</v>
      </c>
      <c r="I2677">
        <v>0.90772465214211595</v>
      </c>
      <c r="J2677">
        <v>1.35912030329957</v>
      </c>
      <c r="K2677">
        <v>1.1321978595572599</v>
      </c>
      <c r="S2677" t="s">
        <v>8988</v>
      </c>
      <c r="T2677" t="s">
        <v>12620</v>
      </c>
      <c r="U2677" t="s">
        <v>12621</v>
      </c>
      <c r="V2677" t="s">
        <v>12620</v>
      </c>
      <c r="W2677" t="s">
        <v>15254</v>
      </c>
      <c r="X2677">
        <v>4</v>
      </c>
      <c r="Y2677" t="s">
        <v>21432</v>
      </c>
      <c r="Z2677" t="s">
        <v>27624</v>
      </c>
      <c r="AB2677" t="str">
        <f>HYPERLINK("Melting_Curves/meltCurve_P98179_RBM3.pdf", "Melting_Curves/meltCurve_P98179_RBM3.pdf")</f>
        <v>Melting_Curves/meltCurve_P98179_RBM3.pdf</v>
      </c>
    </row>
    <row r="2678" spans="1:28" x14ac:dyDescent="0.25">
      <c r="A2678" t="s">
        <v>2682</v>
      </c>
      <c r="B2678">
        <v>0.99987803227770999</v>
      </c>
      <c r="C2678">
        <v>0.84462356745220502</v>
      </c>
      <c r="D2678">
        <v>0.89437212687856604</v>
      </c>
      <c r="E2678">
        <v>0.44684328864970302</v>
      </c>
      <c r="F2678">
        <v>0.19156538394703099</v>
      </c>
      <c r="G2678">
        <v>8.8510736942471593E-2</v>
      </c>
      <c r="H2678">
        <v>6.3623454273138202E-2</v>
      </c>
      <c r="I2678">
        <v>3.9220732739242897E-2</v>
      </c>
      <c r="J2678">
        <v>3.2401831763198101E-2</v>
      </c>
      <c r="K2678">
        <v>2.7771751663152398E-2</v>
      </c>
      <c r="L2678">
        <v>1103.25159973415</v>
      </c>
      <c r="M2678">
        <v>22.336774293224099</v>
      </c>
      <c r="N2678">
        <v>49.547310758213598</v>
      </c>
      <c r="O2678">
        <v>49.000968129706997</v>
      </c>
      <c r="P2678">
        <v>-0.110103314150755</v>
      </c>
      <c r="Q2678">
        <v>3.3870670507236397E-2</v>
      </c>
      <c r="R2678">
        <v>0.98722147450718301</v>
      </c>
      <c r="S2678" t="s">
        <v>8989</v>
      </c>
      <c r="T2678" t="s">
        <v>12620</v>
      </c>
      <c r="U2678" t="s">
        <v>12620</v>
      </c>
      <c r="V2678" t="s">
        <v>12620</v>
      </c>
      <c r="W2678" t="s">
        <v>15255</v>
      </c>
      <c r="X2678">
        <v>4</v>
      </c>
      <c r="Y2678" t="s">
        <v>21433</v>
      </c>
      <c r="Z2678" t="s">
        <v>27625</v>
      </c>
      <c r="AA2678">
        <v>0.347122431984484</v>
      </c>
      <c r="AB2678" t="str">
        <f>HYPERLINK("Melting_Curves/meltCurve_Q00013_2_MPP1.pdf", "Melting_Curves/meltCurve_Q00013_2_MPP1.pdf")</f>
        <v>Melting_Curves/meltCurve_Q00013_2_MPP1.pdf</v>
      </c>
    </row>
    <row r="2679" spans="1:28" x14ac:dyDescent="0.25">
      <c r="A2679" t="s">
        <v>2683</v>
      </c>
      <c r="B2679">
        <v>0.99987803227770999</v>
      </c>
      <c r="C2679">
        <v>1.01696683925136</v>
      </c>
      <c r="D2679">
        <v>1.0534478417482001</v>
      </c>
      <c r="E2679">
        <v>0.93216912795227402</v>
      </c>
      <c r="F2679">
        <v>0.79293740260296597</v>
      </c>
      <c r="G2679">
        <v>0.53158788447684402</v>
      </c>
      <c r="H2679">
        <v>0.42236430980839901</v>
      </c>
      <c r="I2679">
        <v>0.312296662962532</v>
      </c>
      <c r="J2679">
        <v>0.29973854333793498</v>
      </c>
      <c r="K2679">
        <v>0.24909365187448701</v>
      </c>
      <c r="L2679">
        <v>1056.80395255081</v>
      </c>
      <c r="M2679">
        <v>18.948349271729899</v>
      </c>
      <c r="N2679">
        <v>58.009045085905498</v>
      </c>
      <c r="O2679">
        <v>55.162819204131601</v>
      </c>
      <c r="P2679">
        <v>-6.3622662919325695E-2</v>
      </c>
      <c r="Q2679">
        <v>0.25915152291142801</v>
      </c>
      <c r="R2679">
        <v>0.99191289415500306</v>
      </c>
      <c r="S2679" t="s">
        <v>8990</v>
      </c>
      <c r="T2679" t="s">
        <v>12620</v>
      </c>
      <c r="U2679" t="s">
        <v>12620</v>
      </c>
      <c r="V2679" t="s">
        <v>12620</v>
      </c>
      <c r="W2679" t="s">
        <v>15256</v>
      </c>
      <c r="X2679">
        <v>13</v>
      </c>
      <c r="Y2679" t="s">
        <v>21434</v>
      </c>
      <c r="Z2679" t="s">
        <v>27626</v>
      </c>
      <c r="AA2679">
        <v>0.65901917410418076</v>
      </c>
      <c r="AB2679" t="str">
        <f>HYPERLINK("Melting_Curves/meltCurve_Q00059_TFAM.pdf", "Melting_Curves/meltCurve_Q00059_TFAM.pdf")</f>
        <v>Melting_Curves/meltCurve_Q00059_TFAM.pdf</v>
      </c>
    </row>
    <row r="2680" spans="1:28" x14ac:dyDescent="0.25">
      <c r="A2680" t="s">
        <v>2684</v>
      </c>
      <c r="B2680">
        <v>0.99987803227770999</v>
      </c>
      <c r="C2680">
        <v>0.77646148107213298</v>
      </c>
      <c r="D2680">
        <v>0.86950899784457902</v>
      </c>
      <c r="E2680">
        <v>0.82587169836253504</v>
      </c>
      <c r="F2680">
        <v>1.0624907661735099</v>
      </c>
      <c r="G2680">
        <v>1.18011835797595</v>
      </c>
      <c r="H2680">
        <v>0.84470146975367399</v>
      </c>
      <c r="I2680">
        <v>0.44047963147519897</v>
      </c>
      <c r="J2680">
        <v>0.140591949747575</v>
      </c>
      <c r="K2680">
        <v>7.14820593663332E-2</v>
      </c>
      <c r="L2680">
        <v>2886.1276091611599</v>
      </c>
      <c r="M2680">
        <v>45.515826232961302</v>
      </c>
      <c r="N2680">
        <v>63.596925227122803</v>
      </c>
      <c r="O2680">
        <v>63.287282860021797</v>
      </c>
      <c r="P2680">
        <v>-0.16850340268390199</v>
      </c>
      <c r="Q2680">
        <v>6.2821862702951203E-2</v>
      </c>
      <c r="R2680">
        <v>0.89469579915849096</v>
      </c>
      <c r="S2680" t="s">
        <v>8991</v>
      </c>
      <c r="T2680" t="s">
        <v>12620</v>
      </c>
      <c r="U2680" t="s">
        <v>12620</v>
      </c>
      <c r="V2680" t="s">
        <v>12620</v>
      </c>
      <c r="W2680" t="s">
        <v>15257</v>
      </c>
      <c r="X2680">
        <v>24</v>
      </c>
      <c r="Y2680" t="s">
        <v>21435</v>
      </c>
      <c r="Z2680" t="s">
        <v>27627</v>
      </c>
      <c r="AA2680">
        <v>0.79651553073293158</v>
      </c>
      <c r="AB2680" t="str">
        <f>HYPERLINK("Melting_Curves/meltCurve_Q00169_PITPNA.pdf", "Melting_Curves/meltCurve_Q00169_PITPNA.pdf")</f>
        <v>Melting_Curves/meltCurve_Q00169_PITPNA.pdf</v>
      </c>
    </row>
    <row r="2681" spans="1:28" x14ac:dyDescent="0.25">
      <c r="A2681" t="s">
        <v>2685</v>
      </c>
      <c r="B2681">
        <v>0.99987803227770999</v>
      </c>
      <c r="C2681">
        <v>1.0042256749380101</v>
      </c>
      <c r="D2681">
        <v>0.50844047848773</v>
      </c>
      <c r="E2681">
        <v>0.33039467815957901</v>
      </c>
      <c r="F2681">
        <v>0.18799969463100599</v>
      </c>
      <c r="G2681">
        <v>0.11944464082273799</v>
      </c>
      <c r="H2681">
        <v>8.7477887559346698E-2</v>
      </c>
      <c r="I2681">
        <v>7.3736841648579493E-2</v>
      </c>
      <c r="J2681">
        <v>6.2312886815415497E-2</v>
      </c>
      <c r="K2681">
        <v>4.4450045544145597E-2</v>
      </c>
      <c r="L2681">
        <v>971.54991910526098</v>
      </c>
      <c r="M2681">
        <v>20.760478525965102</v>
      </c>
      <c r="N2681">
        <v>47.193587267688599</v>
      </c>
      <c r="O2681">
        <v>46.370327573957503</v>
      </c>
      <c r="P2681">
        <v>-0.102993054341265</v>
      </c>
      <c r="Q2681">
        <v>7.9850195555183801E-2</v>
      </c>
      <c r="R2681">
        <v>0.97188850821014905</v>
      </c>
      <c r="S2681" t="s">
        <v>8992</v>
      </c>
      <c r="T2681" t="s">
        <v>12620</v>
      </c>
      <c r="U2681" t="s">
        <v>12620</v>
      </c>
      <c r="V2681" t="s">
        <v>12620</v>
      </c>
      <c r="W2681" t="s">
        <v>15258</v>
      </c>
      <c r="X2681">
        <v>46</v>
      </c>
      <c r="Y2681" t="s">
        <v>21436</v>
      </c>
      <c r="Z2681" t="s">
        <v>27628</v>
      </c>
      <c r="AA2681">
        <v>0.30085938567054238</v>
      </c>
      <c r="AB2681" t="str">
        <f>HYPERLINK("Melting_Curves/meltCurve_Q00341_HDLBP.pdf", "Melting_Curves/meltCurve_Q00341_HDLBP.pdf")</f>
        <v>Melting_Curves/meltCurve_Q00341_HDLBP.pdf</v>
      </c>
    </row>
    <row r="2682" spans="1:28" x14ac:dyDescent="0.25">
      <c r="A2682" t="s">
        <v>2686</v>
      </c>
      <c r="B2682">
        <v>0.99987803227770999</v>
      </c>
      <c r="C2682">
        <v>0.91156360216663201</v>
      </c>
      <c r="D2682">
        <v>0.86931314130994397</v>
      </c>
      <c r="E2682">
        <v>0.52485819677870205</v>
      </c>
      <c r="F2682">
        <v>0.48269341808115601</v>
      </c>
      <c r="G2682">
        <v>0.31789103949788899</v>
      </c>
      <c r="H2682">
        <v>0.29358791753512498</v>
      </c>
      <c r="I2682">
        <v>0.33034666497634801</v>
      </c>
      <c r="J2682">
        <v>0.22725608924480001</v>
      </c>
      <c r="K2682">
        <v>0.212262031756702</v>
      </c>
      <c r="L2682">
        <v>774.33528053559701</v>
      </c>
      <c r="M2682">
        <v>15.668482847619099</v>
      </c>
      <c r="N2682">
        <v>51.646267078758001</v>
      </c>
      <c r="O2682">
        <v>48.635925827295999</v>
      </c>
      <c r="P2682">
        <v>-6.07697824814388E-2</v>
      </c>
      <c r="Q2682">
        <v>0.24553185727605401</v>
      </c>
      <c r="R2682">
        <v>0.98018614257049996</v>
      </c>
      <c r="S2682" t="s">
        <v>8993</v>
      </c>
      <c r="T2682" t="s">
        <v>12620</v>
      </c>
      <c r="U2682" t="s">
        <v>12620</v>
      </c>
      <c r="V2682" t="s">
        <v>12620</v>
      </c>
      <c r="W2682" t="s">
        <v>15259</v>
      </c>
      <c r="X2682">
        <v>7</v>
      </c>
      <c r="Y2682" t="s">
        <v>21437</v>
      </c>
      <c r="Z2682" t="s">
        <v>27629</v>
      </c>
      <c r="AA2682">
        <v>0.49935190622677861</v>
      </c>
      <c r="AB2682" t="str">
        <f>HYPERLINK("Melting_Curves/meltCurve_Q00403_GTF2B.pdf", "Melting_Curves/meltCurve_Q00403_GTF2B.pdf")</f>
        <v>Melting_Curves/meltCurve_Q00403_GTF2B.pdf</v>
      </c>
    </row>
    <row r="2683" spans="1:28" x14ac:dyDescent="0.25">
      <c r="A2683" t="s">
        <v>2687</v>
      </c>
      <c r="B2683">
        <v>0.99987803227770999</v>
      </c>
      <c r="C2683">
        <v>0.88353430939493705</v>
      </c>
      <c r="D2683">
        <v>0.857779430192532</v>
      </c>
      <c r="E2683">
        <v>0.594810561372487</v>
      </c>
      <c r="F2683">
        <v>0.44318224303899401</v>
      </c>
      <c r="G2683">
        <v>0.30348438785159498</v>
      </c>
      <c r="H2683">
        <v>0.17606054452644901</v>
      </c>
      <c r="I2683">
        <v>9.6943176121401006E-2</v>
      </c>
      <c r="J2683">
        <v>6.3067680858859304E-2</v>
      </c>
      <c r="K2683">
        <v>4.9663350026118103E-2</v>
      </c>
      <c r="L2683">
        <v>589.91134013852502</v>
      </c>
      <c r="M2683">
        <v>11.310284676855501</v>
      </c>
      <c r="N2683">
        <v>52.157064529306503</v>
      </c>
      <c r="O2683">
        <v>50.606375455995902</v>
      </c>
      <c r="P2683">
        <v>-5.5890747019645803E-2</v>
      </c>
      <c r="Q2683">
        <v>0</v>
      </c>
      <c r="R2683">
        <v>0.99526112132858702</v>
      </c>
      <c r="S2683" t="s">
        <v>8994</v>
      </c>
      <c r="T2683" t="s">
        <v>12620</v>
      </c>
      <c r="U2683" t="s">
        <v>12620</v>
      </c>
      <c r="V2683" t="s">
        <v>12620</v>
      </c>
      <c r="W2683" t="s">
        <v>15260</v>
      </c>
      <c r="X2683">
        <v>14</v>
      </c>
      <c r="Y2683" t="s">
        <v>21438</v>
      </c>
      <c r="Z2683" t="s">
        <v>27630</v>
      </c>
      <c r="AA2683">
        <v>0.43779288304598313</v>
      </c>
      <c r="AB2683" t="str">
        <f>HYPERLINK("Melting_Curves/meltCurve_Q00534_CDK6.pdf", "Melting_Curves/meltCurve_Q00534_CDK6.pdf")</f>
        <v>Melting_Curves/meltCurve_Q00534_CDK6.pdf</v>
      </c>
    </row>
    <row r="2684" spans="1:28" x14ac:dyDescent="0.25">
      <c r="A2684" t="s">
        <v>2688</v>
      </c>
      <c r="B2684">
        <v>0.99987803227770999</v>
      </c>
      <c r="C2684">
        <v>0.76893535059345697</v>
      </c>
      <c r="D2684">
        <v>0.71798512092562505</v>
      </c>
      <c r="E2684">
        <v>0.31820799790513898</v>
      </c>
      <c r="F2684">
        <v>0.15594628090031701</v>
      </c>
      <c r="G2684">
        <v>9.5938566723098195E-2</v>
      </c>
      <c r="H2684">
        <v>7.5094266717640204E-2</v>
      </c>
      <c r="I2684">
        <v>6.86833884764355E-2</v>
      </c>
      <c r="J2684">
        <v>4.8391839780041503E-2</v>
      </c>
      <c r="K2684">
        <v>3.5505583473296201E-2</v>
      </c>
      <c r="L2684">
        <v>793.24833915000795</v>
      </c>
      <c r="M2684">
        <v>16.693137628419301</v>
      </c>
      <c r="N2684">
        <v>47.755845375397797</v>
      </c>
      <c r="O2684">
        <v>46.853218194202597</v>
      </c>
      <c r="P2684">
        <v>-8.5544693302876104E-2</v>
      </c>
      <c r="Q2684">
        <v>3.9658942411451702E-2</v>
      </c>
      <c r="R2684">
        <v>0.98573737885955104</v>
      </c>
      <c r="S2684" t="s">
        <v>8995</v>
      </c>
      <c r="T2684" t="s">
        <v>12620</v>
      </c>
      <c r="U2684" t="s">
        <v>12620</v>
      </c>
      <c r="V2684" t="s">
        <v>12620</v>
      </c>
      <c r="W2684" t="s">
        <v>15261</v>
      </c>
      <c r="X2684">
        <v>13</v>
      </c>
      <c r="Y2684" t="s">
        <v>21439</v>
      </c>
      <c r="Z2684" t="s">
        <v>27631</v>
      </c>
      <c r="AA2684">
        <v>0.30067992718119629</v>
      </c>
      <c r="AB2684" t="str">
        <f>HYPERLINK("Melting_Curves/meltCurve_Q00535_CDK5.pdf", "Melting_Curves/meltCurve_Q00535_CDK5.pdf")</f>
        <v>Melting_Curves/meltCurve_Q00535_CDK5.pdf</v>
      </c>
    </row>
    <row r="2685" spans="1:28" x14ac:dyDescent="0.25">
      <c r="A2685" t="s">
        <v>2689</v>
      </c>
      <c r="B2685">
        <v>0.99987803227770999</v>
      </c>
      <c r="C2685">
        <v>0.96128676949658698</v>
      </c>
      <c r="D2685">
        <v>0.98829092883107705</v>
      </c>
      <c r="E2685">
        <v>0.77499520906949804</v>
      </c>
      <c r="F2685">
        <v>0.40441060089365799</v>
      </c>
      <c r="G2685">
        <v>0.205092165984019</v>
      </c>
      <c r="H2685">
        <v>0.14553286680946101</v>
      </c>
      <c r="I2685">
        <v>0.138157778636287</v>
      </c>
      <c r="J2685">
        <v>9.9993557576802505E-2</v>
      </c>
      <c r="K2685">
        <v>7.94321586932243E-2</v>
      </c>
      <c r="L2685">
        <v>1442.1666060396699</v>
      </c>
      <c r="M2685">
        <v>27.830576565489</v>
      </c>
      <c r="N2685">
        <v>52.3069731754996</v>
      </c>
      <c r="O2685">
        <v>51.554169971209099</v>
      </c>
      <c r="P2685">
        <v>-0.119542812854508</v>
      </c>
      <c r="Q2685">
        <v>0.11422946304767501</v>
      </c>
      <c r="R2685">
        <v>0.99667885563542102</v>
      </c>
      <c r="S2685" t="s">
        <v>8996</v>
      </c>
      <c r="T2685" t="s">
        <v>12620</v>
      </c>
      <c r="U2685" t="s">
        <v>12620</v>
      </c>
      <c r="V2685" t="s">
        <v>12620</v>
      </c>
      <c r="W2685" t="s">
        <v>15262</v>
      </c>
      <c r="X2685">
        <v>13</v>
      </c>
      <c r="Y2685" t="s">
        <v>21440</v>
      </c>
      <c r="Z2685" t="s">
        <v>27632</v>
      </c>
      <c r="AA2685">
        <v>0.46975522798158093</v>
      </c>
      <c r="AB2685" t="str">
        <f>HYPERLINK("Melting_Curves/meltCurve_Q00536_CDK16.pdf", "Melting_Curves/meltCurve_Q00536_CDK16.pdf")</f>
        <v>Melting_Curves/meltCurve_Q00536_CDK16.pdf</v>
      </c>
    </row>
    <row r="2686" spans="1:28" x14ac:dyDescent="0.25">
      <c r="A2686" t="s">
        <v>2690</v>
      </c>
      <c r="B2686">
        <v>0.99987803227770999</v>
      </c>
      <c r="C2686">
        <v>1.1156484667490001</v>
      </c>
      <c r="D2686">
        <v>0.99385431438777405</v>
      </c>
      <c r="E2686">
        <v>1.22505655092364</v>
      </c>
      <c r="F2686">
        <v>0.92970525234754697</v>
      </c>
      <c r="G2686">
        <v>1.2937155349062699</v>
      </c>
      <c r="H2686">
        <v>1.65756889203337</v>
      </c>
      <c r="I2686">
        <v>1.1777780757654099</v>
      </c>
      <c r="J2686">
        <v>1.03116617174303</v>
      </c>
      <c r="K2686">
        <v>0.43869129896548198</v>
      </c>
      <c r="L2686">
        <v>15000</v>
      </c>
      <c r="M2686">
        <v>214.532144441577</v>
      </c>
      <c r="N2686">
        <v>69.919610282449298</v>
      </c>
      <c r="O2686">
        <v>69.913516019671505</v>
      </c>
      <c r="P2686">
        <v>-0.767134014713867</v>
      </c>
      <c r="Q2686">
        <v>0</v>
      </c>
      <c r="R2686">
        <v>0.27946917494478002</v>
      </c>
      <c r="S2686" t="s">
        <v>8997</v>
      </c>
      <c r="T2686" t="s">
        <v>12620</v>
      </c>
      <c r="U2686" t="s">
        <v>12620</v>
      </c>
      <c r="V2686" t="s">
        <v>12620</v>
      </c>
      <c r="W2686" t="s">
        <v>15263</v>
      </c>
      <c r="X2686">
        <v>6</v>
      </c>
      <c r="Y2686" t="s">
        <v>21441</v>
      </c>
      <c r="Z2686" t="s">
        <v>27633</v>
      </c>
      <c r="AA2686">
        <v>0.99112925403784258</v>
      </c>
      <c r="AB2686" t="str">
        <f>HYPERLINK("Melting_Curves/meltCurve_Q00577_PURA.pdf", "Melting_Curves/meltCurve_Q00577_PURA.pdf")</f>
        <v>Melting_Curves/meltCurve_Q00577_PURA.pdf</v>
      </c>
    </row>
    <row r="2687" spans="1:28" x14ac:dyDescent="0.25">
      <c r="A2687" t="s">
        <v>2691</v>
      </c>
      <c r="B2687">
        <v>0.99987803227770999</v>
      </c>
      <c r="C2687">
        <v>0.916164579431617</v>
      </c>
      <c r="D2687">
        <v>0.93702496166426497</v>
      </c>
      <c r="E2687">
        <v>0.75012925344496995</v>
      </c>
      <c r="F2687">
        <v>0.763421905610283</v>
      </c>
      <c r="G2687">
        <v>0.55122342205735597</v>
      </c>
      <c r="H2687">
        <v>0.64781677716679298</v>
      </c>
      <c r="I2687">
        <v>0.51931369807688499</v>
      </c>
      <c r="J2687">
        <v>0.51304134388573996</v>
      </c>
      <c r="K2687">
        <v>0.44799257823202798</v>
      </c>
      <c r="L2687">
        <v>486.56791302714799</v>
      </c>
      <c r="M2687">
        <v>9.1057671444010104</v>
      </c>
      <c r="N2687">
        <v>67.019453830451695</v>
      </c>
      <c r="O2687">
        <v>51.047098107473602</v>
      </c>
      <c r="P2687">
        <v>-2.5836614647177202E-2</v>
      </c>
      <c r="Q2687">
        <v>0.42104006260659699</v>
      </c>
      <c r="R2687">
        <v>0.93688809938008599</v>
      </c>
      <c r="S2687" t="s">
        <v>8998</v>
      </c>
      <c r="T2687" t="s">
        <v>12620</v>
      </c>
      <c r="U2687" t="s">
        <v>12620</v>
      </c>
      <c r="V2687" t="s">
        <v>12620</v>
      </c>
      <c r="W2687" t="s">
        <v>15264</v>
      </c>
      <c r="X2687">
        <v>4</v>
      </c>
      <c r="Y2687" t="s">
        <v>21442</v>
      </c>
      <c r="Z2687" t="s">
        <v>27634</v>
      </c>
      <c r="AA2687">
        <v>0.7005192545462019</v>
      </c>
      <c r="AB2687" t="str">
        <f>HYPERLINK("Melting_Curves/meltCurve_Q00587_2_CDC42EP1.pdf", "Melting_Curves/meltCurve_Q00587_2_CDC42EP1.pdf")</f>
        <v>Melting_Curves/meltCurve_Q00587_2_CDC42EP1.pdf</v>
      </c>
    </row>
    <row r="2688" spans="1:28" x14ac:dyDescent="0.25">
      <c r="A2688" t="s">
        <v>2692</v>
      </c>
      <c r="B2688">
        <v>0.99987803227770999</v>
      </c>
      <c r="C2688">
        <v>1.2611884040289101</v>
      </c>
      <c r="D2688">
        <v>0.74405886762880402</v>
      </c>
      <c r="E2688">
        <v>0.98799241743937305</v>
      </c>
      <c r="F2688">
        <v>0.23571787333028699</v>
      </c>
      <c r="G2688">
        <v>0.16072631439414301</v>
      </c>
      <c r="H2688">
        <v>0.112687186179616</v>
      </c>
      <c r="I2688">
        <v>9.8915552408367205E-2</v>
      </c>
      <c r="J2688">
        <v>7.0968997847922502E-2</v>
      </c>
      <c r="K2688">
        <v>5.2335786090378103E-2</v>
      </c>
      <c r="L2688">
        <v>5254.1458067002804</v>
      </c>
      <c r="M2688">
        <v>100.85475946156301</v>
      </c>
      <c r="N2688">
        <v>52.210470231522002</v>
      </c>
      <c r="O2688">
        <v>52.075687926677702</v>
      </c>
      <c r="P2688">
        <v>-0.43620891327674899</v>
      </c>
      <c r="Q2688">
        <v>9.9065699340722999E-2</v>
      </c>
      <c r="R2688">
        <v>0.92965575889345498</v>
      </c>
      <c r="S2688" t="s">
        <v>8999</v>
      </c>
      <c r="T2688" t="s">
        <v>12620</v>
      </c>
      <c r="U2688" t="s">
        <v>12620</v>
      </c>
      <c r="V2688" t="s">
        <v>12620</v>
      </c>
      <c r="W2688" t="s">
        <v>15265</v>
      </c>
      <c r="X2688">
        <v>80</v>
      </c>
      <c r="Y2688" t="s">
        <v>21443</v>
      </c>
      <c r="Z2688" t="s">
        <v>27635</v>
      </c>
      <c r="AA2688">
        <v>0.46283395476759959</v>
      </c>
      <c r="AB2688" t="str">
        <f>HYPERLINK("Melting_Curves/meltCurve_Q00610_2_CLTC.pdf", "Melting_Curves/meltCurve_Q00610_2_CLTC.pdf")</f>
        <v>Melting_Curves/meltCurve_Q00610_2_CLTC.pdf</v>
      </c>
    </row>
    <row r="2689" spans="1:28" x14ac:dyDescent="0.25">
      <c r="A2689" t="s">
        <v>2693</v>
      </c>
      <c r="B2689">
        <v>0.99987803227770999</v>
      </c>
      <c r="C2689">
        <v>1.1485073424657</v>
      </c>
      <c r="D2689">
        <v>0.81700942694891099</v>
      </c>
      <c r="E2689">
        <v>0.56005833431338503</v>
      </c>
      <c r="F2689">
        <v>0.291085263246953</v>
      </c>
      <c r="G2689">
        <v>0.16932517040464101</v>
      </c>
      <c r="H2689">
        <v>0.122141383936581</v>
      </c>
      <c r="I2689">
        <v>0.10263881740625901</v>
      </c>
      <c r="J2689">
        <v>8.2829257570095294E-2</v>
      </c>
      <c r="K2689">
        <v>6.08791263916258E-2</v>
      </c>
      <c r="L2689">
        <v>1077.8038822598601</v>
      </c>
      <c r="M2689">
        <v>21.530803239006001</v>
      </c>
      <c r="N2689">
        <v>50.508822626239102</v>
      </c>
      <c r="O2689">
        <v>49.632868466129302</v>
      </c>
      <c r="P2689">
        <v>-9.8985376921214299E-2</v>
      </c>
      <c r="Q2689">
        <v>8.7296708028663794E-2</v>
      </c>
      <c r="R2689">
        <v>0.97693726179717899</v>
      </c>
      <c r="S2689" t="s">
        <v>9000</v>
      </c>
      <c r="T2689" t="s">
        <v>12620</v>
      </c>
      <c r="U2689" t="s">
        <v>12620</v>
      </c>
      <c r="V2689" t="s">
        <v>12620</v>
      </c>
      <c r="W2689" t="s">
        <v>15266</v>
      </c>
      <c r="X2689">
        <v>20</v>
      </c>
      <c r="Y2689" t="s">
        <v>21444</v>
      </c>
      <c r="Z2689" t="s">
        <v>27636</v>
      </c>
      <c r="AA2689">
        <v>0.40430995989885132</v>
      </c>
      <c r="AB2689" t="str">
        <f>HYPERLINK("Melting_Curves/meltCurve_Q00653_4_NFKB2.pdf", "Melting_Curves/meltCurve_Q00653_4_NFKB2.pdf")</f>
        <v>Melting_Curves/meltCurve_Q00653_4_NFKB2.pdf</v>
      </c>
    </row>
    <row r="2690" spans="1:28" x14ac:dyDescent="0.25">
      <c r="A2690" t="s">
        <v>2694</v>
      </c>
      <c r="B2690">
        <v>0.99987803227770999</v>
      </c>
      <c r="C2690">
        <v>0.76533373668345195</v>
      </c>
      <c r="D2690">
        <v>1.0116701243689401</v>
      </c>
      <c r="E2690">
        <v>0.79427442825581995</v>
      </c>
      <c r="F2690">
        <v>0.95411681951157201</v>
      </c>
      <c r="G2690">
        <v>0.61783839289144404</v>
      </c>
      <c r="H2690">
        <v>0.55336963090601698</v>
      </c>
      <c r="I2690">
        <v>0.45234847829870101</v>
      </c>
      <c r="J2690">
        <v>0.534681005442039</v>
      </c>
      <c r="K2690">
        <v>0.456683506142531</v>
      </c>
      <c r="L2690">
        <v>557.378993480144</v>
      </c>
      <c r="M2690">
        <v>9.7930429826417793</v>
      </c>
      <c r="N2690">
        <v>65.219865749558494</v>
      </c>
      <c r="O2690">
        <v>54.694776008881298</v>
      </c>
      <c r="P2690">
        <v>-2.8828590765678799E-2</v>
      </c>
      <c r="Q2690">
        <v>0.35630091672113401</v>
      </c>
      <c r="R2690">
        <v>0.78801298578367496</v>
      </c>
      <c r="S2690" t="s">
        <v>9001</v>
      </c>
      <c r="T2690" t="s">
        <v>12620</v>
      </c>
      <c r="U2690" t="s">
        <v>12620</v>
      </c>
      <c r="V2690" t="s">
        <v>12620</v>
      </c>
      <c r="W2690" t="s">
        <v>15267</v>
      </c>
      <c r="X2690">
        <v>18</v>
      </c>
      <c r="Y2690" t="s">
        <v>21445</v>
      </c>
      <c r="Z2690" t="s">
        <v>27637</v>
      </c>
      <c r="AA2690">
        <v>0.72959191306347748</v>
      </c>
      <c r="AB2690" t="str">
        <f>HYPERLINK("Melting_Curves/meltCurve_Q00688_FKBP3.pdf", "Melting_Curves/meltCurve_Q00688_FKBP3.pdf")</f>
        <v>Melting_Curves/meltCurve_Q00688_FKBP3.pdf</v>
      </c>
    </row>
    <row r="2691" spans="1:28" x14ac:dyDescent="0.25">
      <c r="A2691" t="s">
        <v>2695</v>
      </c>
      <c r="B2691">
        <v>0.99987803227770999</v>
      </c>
      <c r="C2691">
        <v>1.21788788032656</v>
      </c>
      <c r="D2691">
        <v>1.0208267928935999</v>
      </c>
      <c r="E2691">
        <v>1.24722203817928</v>
      </c>
      <c r="F2691">
        <v>0.95828823740548597</v>
      </c>
      <c r="G2691">
        <v>1.0144902652804499</v>
      </c>
      <c r="H2691">
        <v>0.74632764910920402</v>
      </c>
      <c r="I2691">
        <v>0.18687757180478601</v>
      </c>
      <c r="J2691">
        <v>8.6824609518276794E-2</v>
      </c>
      <c r="K2691">
        <v>6.7703038442700605E-2</v>
      </c>
      <c r="L2691">
        <v>3834.4247406200302</v>
      </c>
      <c r="M2691">
        <v>61.877964760140898</v>
      </c>
      <c r="N2691">
        <v>62.124888314134999</v>
      </c>
      <c r="O2691">
        <v>61.902907551688102</v>
      </c>
      <c r="P2691">
        <v>-0.23177342315594901</v>
      </c>
      <c r="Q2691">
        <v>7.2532940693546599E-2</v>
      </c>
      <c r="R2691">
        <v>0.94261859775499302</v>
      </c>
      <c r="S2691" t="s">
        <v>9002</v>
      </c>
      <c r="T2691" t="s">
        <v>12620</v>
      </c>
      <c r="U2691" t="s">
        <v>12620</v>
      </c>
      <c r="V2691" t="s">
        <v>12620</v>
      </c>
      <c r="W2691" t="s">
        <v>15268</v>
      </c>
      <c r="X2691">
        <v>15</v>
      </c>
      <c r="Y2691" t="s">
        <v>21446</v>
      </c>
      <c r="Z2691" t="s">
        <v>27638</v>
      </c>
      <c r="AA2691">
        <v>0.75328990322105216</v>
      </c>
      <c r="AB2691" t="str">
        <f>HYPERLINK("Melting_Curves/meltCurve_Q00796_SORD.pdf", "Melting_Curves/meltCurve_Q00796_SORD.pdf")</f>
        <v>Melting_Curves/meltCurve_Q00796_SORD.pdf</v>
      </c>
    </row>
    <row r="2692" spans="1:28" x14ac:dyDescent="0.25">
      <c r="A2692" t="s">
        <v>2696</v>
      </c>
      <c r="B2692">
        <v>0.99987803227770999</v>
      </c>
      <c r="C2692">
        <v>0.78714581787722504</v>
      </c>
      <c r="D2692">
        <v>0.63196498581261595</v>
      </c>
      <c r="E2692">
        <v>0.57882505335722101</v>
      </c>
      <c r="F2692">
        <v>0.44894131141972698</v>
      </c>
      <c r="G2692">
        <v>0.30528494770692899</v>
      </c>
      <c r="H2692">
        <v>0.24972788368424201</v>
      </c>
      <c r="I2692">
        <v>0.20629649851637999</v>
      </c>
      <c r="J2692">
        <v>0.21775942388505101</v>
      </c>
      <c r="K2692">
        <v>0.17949736050524701</v>
      </c>
      <c r="L2692">
        <v>460.30050308020202</v>
      </c>
      <c r="M2692">
        <v>9.36489235167606</v>
      </c>
      <c r="N2692">
        <v>50.843972385684197</v>
      </c>
      <c r="O2692">
        <v>47.066682482873802</v>
      </c>
      <c r="P2692">
        <v>-4.3109153054829201E-2</v>
      </c>
      <c r="Q2692">
        <v>0.13389766909010101</v>
      </c>
      <c r="R2692">
        <v>0.97476482374444096</v>
      </c>
      <c r="S2692" t="s">
        <v>9003</v>
      </c>
      <c r="T2692" t="s">
        <v>12620</v>
      </c>
      <c r="U2692" t="s">
        <v>12620</v>
      </c>
      <c r="V2692" t="s">
        <v>12620</v>
      </c>
      <c r="W2692" t="s">
        <v>15269</v>
      </c>
      <c r="X2692">
        <v>36</v>
      </c>
      <c r="Y2692" t="s">
        <v>21447</v>
      </c>
      <c r="Z2692" t="s">
        <v>27639</v>
      </c>
      <c r="AA2692">
        <v>0.44408198481842431</v>
      </c>
      <c r="AB2692" t="str">
        <f>HYPERLINK("Melting_Curves/meltCurve_Q00839_HNRNPU.pdf", "Melting_Curves/meltCurve_Q00839_HNRNPU.pdf")</f>
        <v>Melting_Curves/meltCurve_Q00839_HNRNPU.pdf</v>
      </c>
    </row>
    <row r="2693" spans="1:28" x14ac:dyDescent="0.25">
      <c r="A2693" t="s">
        <v>2697</v>
      </c>
      <c r="B2693">
        <v>0.99987803227770999</v>
      </c>
      <c r="C2693">
        <v>0.83517629919066105</v>
      </c>
      <c r="D2693">
        <v>0.695391393110249</v>
      </c>
      <c r="E2693">
        <v>0.43569153272585998</v>
      </c>
      <c r="F2693">
        <v>0.30592368800908998</v>
      </c>
      <c r="G2693">
        <v>0.17813652545474701</v>
      </c>
      <c r="H2693">
        <v>0.126051488310371</v>
      </c>
      <c r="I2693">
        <v>9.9193691678099494E-2</v>
      </c>
      <c r="J2693">
        <v>5.77361370131683E-2</v>
      </c>
      <c r="K2693">
        <v>5.55353955941493E-2</v>
      </c>
      <c r="L2693">
        <v>624.82457192248501</v>
      </c>
      <c r="M2693">
        <v>12.819878683157601</v>
      </c>
      <c r="N2693">
        <v>49.106969218179898</v>
      </c>
      <c r="O2693">
        <v>47.598480458437301</v>
      </c>
      <c r="P2693">
        <v>-6.4259634758963097E-2</v>
      </c>
      <c r="Q2693">
        <v>4.5828543713705101E-2</v>
      </c>
      <c r="R2693">
        <v>0.99602846806367995</v>
      </c>
      <c r="S2693" t="s">
        <v>9004</v>
      </c>
      <c r="T2693" t="s">
        <v>12620</v>
      </c>
      <c r="U2693" t="s">
        <v>12620</v>
      </c>
      <c r="V2693" t="s">
        <v>12620</v>
      </c>
      <c r="W2693" t="s">
        <v>15270</v>
      </c>
      <c r="X2693">
        <v>1</v>
      </c>
      <c r="Y2693" t="s">
        <v>21448</v>
      </c>
      <c r="Z2693" t="s">
        <v>27640</v>
      </c>
      <c r="AA2693">
        <v>0.35553149333526529</v>
      </c>
      <c r="AB2693" t="str">
        <f>HYPERLINK("Melting_Curves/meltCurve_Q00978_IRF9.pdf", "Melting_Curves/meltCurve_Q00978_IRF9.pdf")</f>
        <v>Melting_Curves/meltCurve_Q00978_IRF9.pdf</v>
      </c>
    </row>
    <row r="2694" spans="1:28" x14ac:dyDescent="0.25">
      <c r="A2694" t="s">
        <v>2698</v>
      </c>
      <c r="B2694">
        <v>0.99987803227770999</v>
      </c>
      <c r="C2694">
        <v>0.73419717350334202</v>
      </c>
      <c r="D2694">
        <v>0.41769206212371501</v>
      </c>
      <c r="E2694">
        <v>0.49954946699917302</v>
      </c>
      <c r="F2694">
        <v>0.28868926684659502</v>
      </c>
      <c r="G2694">
        <v>0.15789395591734401</v>
      </c>
      <c r="H2694">
        <v>0.104757593745822</v>
      </c>
      <c r="I2694">
        <v>8.8812596120541501E-2</v>
      </c>
      <c r="J2694">
        <v>8.9536541432958403E-2</v>
      </c>
      <c r="K2694">
        <v>7.2534493405936498E-2</v>
      </c>
      <c r="L2694">
        <v>505.413379132106</v>
      </c>
      <c r="M2694">
        <v>10.754316838895299</v>
      </c>
      <c r="N2694">
        <v>47.4470357706616</v>
      </c>
      <c r="O2694">
        <v>45.458810171232201</v>
      </c>
      <c r="P2694">
        <v>-5.62922320598679E-2</v>
      </c>
      <c r="Q2694">
        <v>4.8554443429835101E-2</v>
      </c>
      <c r="R2694">
        <v>0.935444677275303</v>
      </c>
      <c r="S2694" t="s">
        <v>9005</v>
      </c>
      <c r="T2694" t="s">
        <v>12620</v>
      </c>
      <c r="U2694" t="s">
        <v>12620</v>
      </c>
      <c r="V2694" t="s">
        <v>12620</v>
      </c>
      <c r="W2694" t="s">
        <v>15271</v>
      </c>
      <c r="X2694">
        <v>5</v>
      </c>
      <c r="Y2694" t="s">
        <v>21449</v>
      </c>
      <c r="Z2694" t="s">
        <v>27641</v>
      </c>
      <c r="AA2694">
        <v>0.31892408755163559</v>
      </c>
      <c r="AB2694" t="str">
        <f>HYPERLINK("Melting_Curves/meltCurve_Q01081_U2AF1.pdf", "Melting_Curves/meltCurve_Q01081_U2AF1.pdf")</f>
        <v>Melting_Curves/meltCurve_Q01081_U2AF1.pdf</v>
      </c>
    </row>
    <row r="2695" spans="1:28" x14ac:dyDescent="0.25">
      <c r="A2695" t="s">
        <v>2699</v>
      </c>
      <c r="B2695">
        <v>0.99987803227770999</v>
      </c>
      <c r="C2695">
        <v>1.1191292674728199</v>
      </c>
      <c r="D2695">
        <v>0.86543215003822405</v>
      </c>
      <c r="E2695">
        <v>1.3082609010000199</v>
      </c>
      <c r="F2695">
        <v>0.73215612445114697</v>
      </c>
      <c r="G2695">
        <v>1.36330473043651</v>
      </c>
      <c r="H2695">
        <v>0.30395007575419503</v>
      </c>
      <c r="I2695">
        <v>0.25126538656156699</v>
      </c>
      <c r="J2695">
        <v>0.19005872793770801</v>
      </c>
      <c r="K2695">
        <v>0.12945421150193001</v>
      </c>
      <c r="L2695">
        <v>15000</v>
      </c>
      <c r="M2695">
        <v>247.713557914002</v>
      </c>
      <c r="N2695">
        <v>60.671121032384001</v>
      </c>
      <c r="O2695">
        <v>60.549864255914997</v>
      </c>
      <c r="P2695">
        <v>-0.82817660363986501</v>
      </c>
      <c r="Q2695">
        <v>0.190258599171482</v>
      </c>
      <c r="R2695">
        <v>0.83414785454782103</v>
      </c>
      <c r="S2695" t="s">
        <v>9006</v>
      </c>
      <c r="T2695" t="s">
        <v>12620</v>
      </c>
      <c r="U2695" t="s">
        <v>12620</v>
      </c>
      <c r="V2695" t="s">
        <v>12620</v>
      </c>
      <c r="W2695" t="s">
        <v>15272</v>
      </c>
      <c r="X2695">
        <v>101</v>
      </c>
      <c r="Y2695" t="s">
        <v>21450</v>
      </c>
      <c r="Z2695" t="s">
        <v>27642</v>
      </c>
      <c r="AA2695">
        <v>0.74512197463685081</v>
      </c>
      <c r="AB2695" t="str">
        <f>HYPERLINK("Melting_Curves/meltCurve_Q01082_SPTBN1.pdf", "Melting_Curves/meltCurve_Q01082_SPTBN1.pdf")</f>
        <v>Melting_Curves/meltCurve_Q01082_SPTBN1.pdf</v>
      </c>
    </row>
    <row r="2696" spans="1:28" x14ac:dyDescent="0.25">
      <c r="A2696" t="s">
        <v>2700</v>
      </c>
      <c r="B2696">
        <v>0.99987803227770999</v>
      </c>
      <c r="C2696">
        <v>1.0678169549360701</v>
      </c>
      <c r="D2696">
        <v>0.79627462909518099</v>
      </c>
      <c r="E2696">
        <v>1.1958114625476499</v>
      </c>
      <c r="F2696">
        <v>0.75593625493945504</v>
      </c>
      <c r="G2696">
        <v>0.84350465980015199</v>
      </c>
      <c r="H2696">
        <v>0.33005543707957902</v>
      </c>
      <c r="I2696">
        <v>0.216234068354001</v>
      </c>
      <c r="J2696">
        <v>0.18625308662186099</v>
      </c>
      <c r="K2696">
        <v>0.15206766580981301</v>
      </c>
      <c r="L2696">
        <v>1878.20636044958</v>
      </c>
      <c r="M2696">
        <v>31.8761035880969</v>
      </c>
      <c r="N2696">
        <v>59.591824565332999</v>
      </c>
      <c r="O2696">
        <v>58.691635658453599</v>
      </c>
      <c r="P2696">
        <v>-0.115336976932957</v>
      </c>
      <c r="Q2696">
        <v>0.15055100311172401</v>
      </c>
      <c r="R2696">
        <v>0.90176473629963105</v>
      </c>
      <c r="S2696" t="s">
        <v>9007</v>
      </c>
      <c r="T2696" t="s">
        <v>12620</v>
      </c>
      <c r="U2696" t="s">
        <v>12620</v>
      </c>
      <c r="V2696" t="s">
        <v>12620</v>
      </c>
      <c r="W2696" t="s">
        <v>15273</v>
      </c>
      <c r="X2696">
        <v>94</v>
      </c>
      <c r="Y2696" t="s">
        <v>21450</v>
      </c>
      <c r="Z2696" t="s">
        <v>27643</v>
      </c>
      <c r="AA2696">
        <v>0.69129217485847072</v>
      </c>
      <c r="AB2696" t="str">
        <f>HYPERLINK("Melting_Curves/meltCurve_Q01082_3_SPTBN1.pdf", "Melting_Curves/meltCurve_Q01082_3_SPTBN1.pdf")</f>
        <v>Melting_Curves/meltCurve_Q01082_3_SPTBN1.pdf</v>
      </c>
    </row>
    <row r="2697" spans="1:28" x14ac:dyDescent="0.25">
      <c r="A2697" t="s">
        <v>2701</v>
      </c>
      <c r="B2697">
        <v>0.99987803227770999</v>
      </c>
      <c r="C2697">
        <v>1.0579088342479399</v>
      </c>
      <c r="D2697">
        <v>1.1664265606330599</v>
      </c>
      <c r="E2697">
        <v>1.03652988860614</v>
      </c>
      <c r="F2697">
        <v>1.0263814794247399</v>
      </c>
      <c r="G2697">
        <v>0.68601663174984995</v>
      </c>
      <c r="H2697">
        <v>0.33271230826737302</v>
      </c>
      <c r="I2697">
        <v>0.22128759400173501</v>
      </c>
      <c r="J2697">
        <v>0.126697618871389</v>
      </c>
      <c r="K2697">
        <v>8.4580802751175299E-2</v>
      </c>
      <c r="L2697">
        <v>1637.12923278574</v>
      </c>
      <c r="M2697">
        <v>27.9347681067817</v>
      </c>
      <c r="N2697">
        <v>59.100172432929703</v>
      </c>
      <c r="O2697">
        <v>58.307547177968601</v>
      </c>
      <c r="P2697">
        <v>-0.107286894267716</v>
      </c>
      <c r="Q2697">
        <v>0.10425831405375301</v>
      </c>
      <c r="R2697">
        <v>0.97576787431594803</v>
      </c>
      <c r="S2697" t="s">
        <v>9008</v>
      </c>
      <c r="T2697" t="s">
        <v>12620</v>
      </c>
      <c r="U2697" t="s">
        <v>12620</v>
      </c>
      <c r="V2697" t="s">
        <v>12620</v>
      </c>
      <c r="W2697" t="s">
        <v>15274</v>
      </c>
      <c r="X2697">
        <v>12</v>
      </c>
      <c r="Y2697" t="s">
        <v>21451</v>
      </c>
      <c r="Z2697" t="s">
        <v>27644</v>
      </c>
      <c r="AA2697">
        <v>0.6662584621591805</v>
      </c>
      <c r="AB2697" t="str">
        <f>HYPERLINK("Melting_Curves/meltCurve_Q01085_2_TIAL1.pdf", "Melting_Curves/meltCurve_Q01085_2_TIAL1.pdf")</f>
        <v>Melting_Curves/meltCurve_Q01085_2_TIAL1.pdf</v>
      </c>
    </row>
    <row r="2698" spans="1:28" x14ac:dyDescent="0.25">
      <c r="A2698" t="s">
        <v>2702</v>
      </c>
      <c r="B2698">
        <v>0.99987803227770999</v>
      </c>
      <c r="C2698">
        <v>1.0543644826185601</v>
      </c>
      <c r="D2698">
        <v>1.0767907937304999</v>
      </c>
      <c r="E2698">
        <v>1.0904831823226799</v>
      </c>
      <c r="F2698">
        <v>1.0751022723014001</v>
      </c>
      <c r="G2698">
        <v>1.0293611878359299</v>
      </c>
      <c r="H2698">
        <v>1.1338763079128</v>
      </c>
      <c r="I2698">
        <v>1.0584859268634399</v>
      </c>
      <c r="J2698">
        <v>1.1023694758135401</v>
      </c>
      <c r="K2698">
        <v>0.94459248793958295</v>
      </c>
      <c r="L2698">
        <v>10650.24659791</v>
      </c>
      <c r="M2698">
        <v>250</v>
      </c>
      <c r="O2698">
        <v>42.598263010513598</v>
      </c>
      <c r="P2698">
        <v>9.3728449204267303E-2</v>
      </c>
      <c r="Q2698">
        <v>1.0638827018235499</v>
      </c>
      <c r="R2698">
        <v>0.137722212124362</v>
      </c>
      <c r="S2698" t="s">
        <v>9009</v>
      </c>
      <c r="T2698" t="s">
        <v>12620</v>
      </c>
      <c r="U2698" t="s">
        <v>12620</v>
      </c>
      <c r="V2698" t="s">
        <v>12620</v>
      </c>
      <c r="W2698" t="s">
        <v>15275</v>
      </c>
      <c r="X2698">
        <v>19</v>
      </c>
      <c r="Y2698" t="s">
        <v>21452</v>
      </c>
      <c r="Z2698" t="s">
        <v>27645</v>
      </c>
      <c r="AA2698">
        <v>1.0583393243950809</v>
      </c>
      <c r="AB2698" t="str">
        <f>HYPERLINK("Melting_Curves/meltCurve_Q01105_SET.pdf", "Melting_Curves/meltCurve_Q01105_SET.pdf")</f>
        <v>Melting_Curves/meltCurve_Q01105_SET.pdf</v>
      </c>
    </row>
    <row r="2699" spans="1:28" x14ac:dyDescent="0.25">
      <c r="A2699" t="s">
        <v>2703</v>
      </c>
      <c r="B2699">
        <v>0.99987803227770999</v>
      </c>
      <c r="C2699">
        <v>0.89431565454072603</v>
      </c>
      <c r="D2699">
        <v>0.89787978847010996</v>
      </c>
      <c r="E2699">
        <v>0.92179279810310399</v>
      </c>
      <c r="F2699">
        <v>1.0241948127932801</v>
      </c>
      <c r="G2699">
        <v>0.79006978536262695</v>
      </c>
      <c r="H2699">
        <v>0.97642805854129899</v>
      </c>
      <c r="I2699">
        <v>0.94727188426571296</v>
      </c>
      <c r="J2699">
        <v>0.76026434416436595</v>
      </c>
      <c r="K2699">
        <v>0.65593498896985702</v>
      </c>
      <c r="L2699">
        <v>846.346027594975</v>
      </c>
      <c r="M2699">
        <v>11.3596136152185</v>
      </c>
      <c r="Q2699">
        <v>0</v>
      </c>
      <c r="R2699">
        <v>0.42773258898777999</v>
      </c>
      <c r="S2699" t="s">
        <v>9010</v>
      </c>
      <c r="T2699" t="s">
        <v>12620</v>
      </c>
      <c r="U2699" t="s">
        <v>12620</v>
      </c>
      <c r="V2699" t="s">
        <v>12620</v>
      </c>
      <c r="W2699" t="s">
        <v>15276</v>
      </c>
      <c r="X2699">
        <v>16</v>
      </c>
      <c r="Y2699" t="s">
        <v>21452</v>
      </c>
      <c r="Z2699" t="s">
        <v>27646</v>
      </c>
      <c r="AA2699">
        <v>0.93525983194928963</v>
      </c>
      <c r="AB2699" t="str">
        <f>HYPERLINK("Melting_Curves/meltCurve_Q01105_2_SET.pdf", "Melting_Curves/meltCurve_Q01105_2_SET.pdf")</f>
        <v>Melting_Curves/meltCurve_Q01105_2_SET.pdf</v>
      </c>
    </row>
    <row r="2700" spans="1:28" x14ac:dyDescent="0.25">
      <c r="A2700" t="s">
        <v>2704</v>
      </c>
      <c r="B2700">
        <v>0.99987803227770999</v>
      </c>
      <c r="C2700">
        <v>0.75081866999267899</v>
      </c>
      <c r="D2700">
        <v>0.82996386189062199</v>
      </c>
      <c r="E2700">
        <v>0.60884472992843797</v>
      </c>
      <c r="F2700">
        <v>0.680129756206037</v>
      </c>
      <c r="G2700">
        <v>0.49126662290578699</v>
      </c>
      <c r="H2700">
        <v>0.51259144311719695</v>
      </c>
      <c r="I2700">
        <v>0.467654551837831</v>
      </c>
      <c r="J2700">
        <v>0.52085351318969098</v>
      </c>
      <c r="K2700">
        <v>0.436362680741468</v>
      </c>
      <c r="L2700">
        <v>442.33081754603501</v>
      </c>
      <c r="M2700">
        <v>9.2287209304511109</v>
      </c>
      <c r="N2700">
        <v>61.544549179819597</v>
      </c>
      <c r="O2700">
        <v>45.8404779462306</v>
      </c>
      <c r="P2700">
        <v>-2.8451218271014399E-2</v>
      </c>
      <c r="Q2700">
        <v>0.43508673462434</v>
      </c>
      <c r="R2700">
        <v>0.88087184607895397</v>
      </c>
      <c r="S2700" t="s">
        <v>9011</v>
      </c>
      <c r="T2700" t="s">
        <v>12620</v>
      </c>
      <c r="U2700" t="s">
        <v>12620</v>
      </c>
      <c r="V2700" t="s">
        <v>12620</v>
      </c>
      <c r="W2700" t="s">
        <v>15277</v>
      </c>
      <c r="X2700">
        <v>9</v>
      </c>
      <c r="Y2700" t="s">
        <v>21453</v>
      </c>
      <c r="Z2700" t="s">
        <v>27647</v>
      </c>
      <c r="AA2700">
        <v>0.6183686918891429</v>
      </c>
      <c r="AB2700" t="str">
        <f>HYPERLINK("Melting_Curves/meltCurve_Q01167_FOXK2.pdf", "Melting_Curves/meltCurve_Q01167_FOXK2.pdf")</f>
        <v>Melting_Curves/meltCurve_Q01167_FOXK2.pdf</v>
      </c>
    </row>
    <row r="2701" spans="1:28" x14ac:dyDescent="0.25">
      <c r="A2701" t="s">
        <v>2705</v>
      </c>
      <c r="B2701">
        <v>0.99987803227770999</v>
      </c>
      <c r="C2701">
        <v>1.00149528673558</v>
      </c>
      <c r="D2701">
        <v>0.941734057691757</v>
      </c>
      <c r="E2701">
        <v>0.91128841792160897</v>
      </c>
      <c r="F2701">
        <v>0.49730636777714499</v>
      </c>
      <c r="G2701">
        <v>0.32194900054132503</v>
      </c>
      <c r="H2701">
        <v>0.292244953232627</v>
      </c>
      <c r="I2701">
        <v>0.33825386271660302</v>
      </c>
      <c r="J2701">
        <v>0.187556005843384</v>
      </c>
      <c r="K2701">
        <v>0.143250202841607</v>
      </c>
      <c r="L2701">
        <v>2057.4779899883702</v>
      </c>
      <c r="M2701">
        <v>39.408316585193397</v>
      </c>
      <c r="N2701">
        <v>53.135661122873501</v>
      </c>
      <c r="O2701">
        <v>52.075334466585701</v>
      </c>
      <c r="P2701">
        <v>-0.14217939448585201</v>
      </c>
      <c r="Q2701">
        <v>0.24848112616012399</v>
      </c>
      <c r="R2701">
        <v>0.97342347858213896</v>
      </c>
      <c r="S2701" t="s">
        <v>9012</v>
      </c>
      <c r="T2701" t="s">
        <v>12620</v>
      </c>
      <c r="U2701" t="s">
        <v>12620</v>
      </c>
      <c r="V2701" t="s">
        <v>12620</v>
      </c>
      <c r="W2701" t="s">
        <v>15278</v>
      </c>
      <c r="X2701">
        <v>4</v>
      </c>
      <c r="Y2701" t="s">
        <v>21454</v>
      </c>
      <c r="Z2701" t="s">
        <v>27648</v>
      </c>
      <c r="AA2701">
        <v>0.55712307363304203</v>
      </c>
      <c r="AB2701" t="str">
        <f>HYPERLINK("Melting_Curves/meltCurve_Q01432_AMPD3.pdf", "Melting_Curves/meltCurve_Q01432_AMPD3.pdf")</f>
        <v>Melting_Curves/meltCurve_Q01432_AMPD3.pdf</v>
      </c>
    </row>
    <row r="2702" spans="1:28" x14ac:dyDescent="0.25">
      <c r="A2702" t="s">
        <v>2706</v>
      </c>
      <c r="B2702">
        <v>0.99987803227770999</v>
      </c>
      <c r="C2702">
        <v>1.1514827691288301</v>
      </c>
      <c r="D2702">
        <v>0.88754610310243798</v>
      </c>
      <c r="E2702">
        <v>1.2331443472560699</v>
      </c>
      <c r="F2702">
        <v>0.76029530099592901</v>
      </c>
      <c r="G2702">
        <v>0.55754096592549796</v>
      </c>
      <c r="H2702">
        <v>0.273151901587043</v>
      </c>
      <c r="I2702">
        <v>0.198317133940076</v>
      </c>
      <c r="J2702">
        <v>0.14981902959155</v>
      </c>
      <c r="K2702">
        <v>0.113577032651917</v>
      </c>
      <c r="L2702">
        <v>1385.79102227467</v>
      </c>
      <c r="M2702">
        <v>24.406183666800398</v>
      </c>
      <c r="N2702">
        <v>57.481935072442099</v>
      </c>
      <c r="O2702">
        <v>56.403224925954497</v>
      </c>
      <c r="P2702">
        <v>-9.4244284870608E-2</v>
      </c>
      <c r="Q2702">
        <v>0.12881015171778601</v>
      </c>
      <c r="R2702">
        <v>0.92952399039149103</v>
      </c>
      <c r="S2702" t="s">
        <v>9013</v>
      </c>
      <c r="T2702" t="s">
        <v>12620</v>
      </c>
      <c r="U2702" t="s">
        <v>12620</v>
      </c>
      <c r="V2702" t="s">
        <v>12620</v>
      </c>
      <c r="W2702" t="s">
        <v>15279</v>
      </c>
      <c r="X2702">
        <v>21</v>
      </c>
      <c r="Y2702" t="s">
        <v>21455</v>
      </c>
      <c r="Z2702" t="s">
        <v>27649</v>
      </c>
      <c r="AA2702">
        <v>0.62429595074115796</v>
      </c>
      <c r="AB2702" t="str">
        <f>HYPERLINK("Melting_Curves/meltCurve_Q01433_AMPD2.pdf", "Melting_Curves/meltCurve_Q01433_AMPD2.pdf")</f>
        <v>Melting_Curves/meltCurve_Q01433_AMPD2.pdf</v>
      </c>
    </row>
    <row r="2703" spans="1:28" x14ac:dyDescent="0.25">
      <c r="A2703" t="s">
        <v>2707</v>
      </c>
      <c r="B2703">
        <v>0.99987803227770999</v>
      </c>
      <c r="C2703">
        <v>0.92478394402068798</v>
      </c>
      <c r="D2703">
        <v>1.22438194760888</v>
      </c>
      <c r="E2703">
        <v>0.96727003721796101</v>
      </c>
      <c r="F2703">
        <v>0.96331354804449498</v>
      </c>
      <c r="G2703">
        <v>0.35625717227466303</v>
      </c>
      <c r="H2703">
        <v>0.19995926238969799</v>
      </c>
      <c r="I2703">
        <v>0.124714850100709</v>
      </c>
      <c r="J2703">
        <v>0.10889090278078301</v>
      </c>
      <c r="K2703">
        <v>6.8394210333141997E-2</v>
      </c>
      <c r="L2703">
        <v>2764.7019829701298</v>
      </c>
      <c r="M2703">
        <v>49.448079679060797</v>
      </c>
      <c r="N2703">
        <v>56.2223532726996</v>
      </c>
      <c r="O2703">
        <v>55.819989146504902</v>
      </c>
      <c r="P2703">
        <v>-0.194952833850215</v>
      </c>
      <c r="Q2703">
        <v>0.119702427798899</v>
      </c>
      <c r="R2703">
        <v>0.96588614420457597</v>
      </c>
      <c r="S2703" t="s">
        <v>9014</v>
      </c>
      <c r="T2703" t="s">
        <v>12620</v>
      </c>
      <c r="U2703" t="s">
        <v>12620</v>
      </c>
      <c r="V2703" t="s">
        <v>12620</v>
      </c>
      <c r="W2703" t="s">
        <v>15280</v>
      </c>
      <c r="X2703">
        <v>2</v>
      </c>
      <c r="Y2703" t="s">
        <v>21456</v>
      </c>
      <c r="Z2703" t="s">
        <v>27650</v>
      </c>
      <c r="AA2703">
        <v>0.58880654265622112</v>
      </c>
      <c r="AB2703" t="str">
        <f>HYPERLINK("Melting_Curves/meltCurve_Q01459_CTBS.pdf", "Melting_Curves/meltCurve_Q01459_CTBS.pdf")</f>
        <v>Melting_Curves/meltCurve_Q01459_CTBS.pdf</v>
      </c>
    </row>
    <row r="2704" spans="1:28" x14ac:dyDescent="0.25">
      <c r="A2704" t="s">
        <v>2708</v>
      </c>
      <c r="B2704">
        <v>0.99987803227770999</v>
      </c>
      <c r="C2704">
        <v>0.74771197236184705</v>
      </c>
      <c r="D2704">
        <v>0.997824165728315</v>
      </c>
      <c r="E2704">
        <v>0.77226881416641402</v>
      </c>
      <c r="F2704">
        <v>1.1299768310952001</v>
      </c>
      <c r="G2704">
        <v>0.97015105349519004</v>
      </c>
      <c r="H2704">
        <v>1.01147762248822</v>
      </c>
      <c r="I2704">
        <v>0.74525523387273596</v>
      </c>
      <c r="J2704">
        <v>0.66926043959039205</v>
      </c>
      <c r="K2704">
        <v>0.52583580458107004</v>
      </c>
      <c r="L2704">
        <v>2671.91532377561</v>
      </c>
      <c r="M2704">
        <v>41.593013744942098</v>
      </c>
      <c r="O2704">
        <v>64.091542224589901</v>
      </c>
      <c r="P2704">
        <v>-7.3931887115796902E-2</v>
      </c>
      <c r="Q2704">
        <v>0.54430793914023301</v>
      </c>
      <c r="R2704">
        <v>0.56542732949875996</v>
      </c>
      <c r="S2704" t="s">
        <v>9015</v>
      </c>
      <c r="T2704" t="s">
        <v>12620</v>
      </c>
      <c r="U2704" t="s">
        <v>12620</v>
      </c>
      <c r="V2704" t="s">
        <v>12620</v>
      </c>
      <c r="W2704" t="s">
        <v>13352</v>
      </c>
      <c r="X2704">
        <v>21</v>
      </c>
      <c r="Y2704" t="s">
        <v>19595</v>
      </c>
      <c r="Z2704" t="s">
        <v>27651</v>
      </c>
      <c r="AA2704">
        <v>0.91342497929084843</v>
      </c>
      <c r="AB2704" t="str">
        <f>HYPERLINK("Melting_Curves/meltCurve_Q01469_FABP5.pdf", "Melting_Curves/meltCurve_Q01469_FABP5.pdf")</f>
        <v>Melting_Curves/meltCurve_Q01469_FABP5.pdf</v>
      </c>
    </row>
    <row r="2705" spans="1:28" x14ac:dyDescent="0.25">
      <c r="A2705" t="s">
        <v>2709</v>
      </c>
      <c r="B2705">
        <v>0.99987803227770999</v>
      </c>
      <c r="C2705">
        <v>1.1917312393724599</v>
      </c>
      <c r="D2705">
        <v>0.76486231081504397</v>
      </c>
      <c r="E2705">
        <v>1.3647451316760599</v>
      </c>
      <c r="F2705">
        <v>0.76594246564077295</v>
      </c>
      <c r="G2705">
        <v>0.29689093765485802</v>
      </c>
      <c r="H2705">
        <v>0.10796882007361699</v>
      </c>
      <c r="I2705">
        <v>7.1544043096270105E-2</v>
      </c>
      <c r="J2705">
        <v>5.9075926695374897E-2</v>
      </c>
      <c r="K2705">
        <v>3.8722759575680402E-2</v>
      </c>
      <c r="L2705">
        <v>2172.95920268391</v>
      </c>
      <c r="M2705">
        <v>39.384791017288499</v>
      </c>
      <c r="N2705">
        <v>55.370923061007502</v>
      </c>
      <c r="O2705">
        <v>55.030898801083602</v>
      </c>
      <c r="P2705">
        <v>-0.16714980525072801</v>
      </c>
      <c r="Q2705">
        <v>6.5793625760242794E-2</v>
      </c>
      <c r="R2705">
        <v>0.89627886721564598</v>
      </c>
      <c r="S2705" t="s">
        <v>9016</v>
      </c>
      <c r="T2705" t="s">
        <v>12620</v>
      </c>
      <c r="U2705" t="s">
        <v>12620</v>
      </c>
      <c r="V2705" t="s">
        <v>12620</v>
      </c>
      <c r="W2705" t="s">
        <v>15281</v>
      </c>
      <c r="X2705">
        <v>26</v>
      </c>
      <c r="Y2705" t="s">
        <v>21457</v>
      </c>
      <c r="Z2705" t="s">
        <v>27652</v>
      </c>
      <c r="AA2705">
        <v>0.54192905955800319</v>
      </c>
      <c r="AB2705" t="str">
        <f>HYPERLINK("Melting_Curves/meltCurve_Q01518_2_CAP1.pdf", "Melting_Curves/meltCurve_Q01518_2_CAP1.pdf")</f>
        <v>Melting_Curves/meltCurve_Q01518_2_CAP1.pdf</v>
      </c>
    </row>
    <row r="2706" spans="1:28" x14ac:dyDescent="0.25">
      <c r="A2706" t="s">
        <v>2710</v>
      </c>
      <c r="B2706">
        <v>0.99987803227770999</v>
      </c>
      <c r="C2706">
        <v>1.10478051113105</v>
      </c>
      <c r="D2706">
        <v>0.96728378849431895</v>
      </c>
      <c r="E2706">
        <v>0.89236650923295602</v>
      </c>
      <c r="F2706">
        <v>0.56744887842341396</v>
      </c>
      <c r="G2706">
        <v>0.244602649389594</v>
      </c>
      <c r="H2706">
        <v>0.14025371087531099</v>
      </c>
      <c r="I2706">
        <v>0.113252129746859</v>
      </c>
      <c r="J2706">
        <v>8.0125507835979506E-2</v>
      </c>
      <c r="K2706">
        <v>4.93447767396255E-2</v>
      </c>
      <c r="L2706">
        <v>1363.9399150933</v>
      </c>
      <c r="M2706">
        <v>25.520144100136001</v>
      </c>
      <c r="N2706">
        <v>53.818801934915903</v>
      </c>
      <c r="O2706">
        <v>53.120691130051299</v>
      </c>
      <c r="P2706">
        <v>-0.11036632951634701</v>
      </c>
      <c r="Q2706">
        <v>8.1092507789863502E-2</v>
      </c>
      <c r="R2706">
        <v>0.99124734820249305</v>
      </c>
      <c r="S2706" t="s">
        <v>9017</v>
      </c>
      <c r="T2706" t="s">
        <v>12620</v>
      </c>
      <c r="U2706" t="s">
        <v>12620</v>
      </c>
      <c r="V2706" t="s">
        <v>12620</v>
      </c>
      <c r="W2706" t="s">
        <v>15282</v>
      </c>
      <c r="X2706">
        <v>15</v>
      </c>
      <c r="Y2706" t="s">
        <v>21458</v>
      </c>
      <c r="Z2706" t="s">
        <v>27653</v>
      </c>
      <c r="AA2706">
        <v>0.5011003764213704</v>
      </c>
      <c r="AB2706" t="str">
        <f>HYPERLINK("Melting_Curves/meltCurve_Q01581_HMGCS1.pdf", "Melting_Curves/meltCurve_Q01581_HMGCS1.pdf")</f>
        <v>Melting_Curves/meltCurve_Q01581_HMGCS1.pdf</v>
      </c>
    </row>
    <row r="2707" spans="1:28" x14ac:dyDescent="0.25">
      <c r="A2707" t="s">
        <v>2711</v>
      </c>
      <c r="B2707">
        <v>0.99987803227770999</v>
      </c>
      <c r="C2707">
        <v>0.67184385041142702</v>
      </c>
      <c r="D2707">
        <v>0.89769500184342399</v>
      </c>
      <c r="E2707">
        <v>0.96182239266615499</v>
      </c>
      <c r="F2707">
        <v>1.9829960742242601</v>
      </c>
      <c r="G2707">
        <v>1.7418128409837199</v>
      </c>
      <c r="H2707">
        <v>2.1877505397213999</v>
      </c>
      <c r="I2707">
        <v>1.94036327976622</v>
      </c>
      <c r="J2707">
        <v>2.52668031482713</v>
      </c>
      <c r="K2707">
        <v>2.30719642861887</v>
      </c>
      <c r="L2707">
        <v>12800.6952617155</v>
      </c>
      <c r="M2707">
        <v>250</v>
      </c>
      <c r="O2707">
        <v>51.1995015774188</v>
      </c>
      <c r="P2707">
        <v>0.61035747115435701</v>
      </c>
      <c r="Q2707">
        <v>1.5</v>
      </c>
      <c r="R2707">
        <v>0.32166145240588301</v>
      </c>
      <c r="S2707" t="s">
        <v>9018</v>
      </c>
      <c r="T2707" t="s">
        <v>12620</v>
      </c>
      <c r="U2707" t="s">
        <v>12620</v>
      </c>
      <c r="V2707" t="s">
        <v>12620</v>
      </c>
      <c r="W2707" t="s">
        <v>15283</v>
      </c>
      <c r="X2707">
        <v>2</v>
      </c>
      <c r="Y2707" t="s">
        <v>21459</v>
      </c>
      <c r="Z2707" t="s">
        <v>27654</v>
      </c>
      <c r="AA2707">
        <v>1.313242052510377</v>
      </c>
      <c r="AB2707" t="str">
        <f>HYPERLINK("Melting_Curves/meltCurve_Q01650_SLC7A5.pdf", "Melting_Curves/meltCurve_Q01650_SLC7A5.pdf")</f>
        <v>Melting_Curves/meltCurve_Q01650_SLC7A5.pdf</v>
      </c>
    </row>
    <row r="2708" spans="1:28" x14ac:dyDescent="0.25">
      <c r="A2708" t="s">
        <v>2712</v>
      </c>
      <c r="B2708">
        <v>0.99987803227770999</v>
      </c>
      <c r="C2708">
        <v>0.97655023546013997</v>
      </c>
      <c r="D2708">
        <v>1.01237116286229</v>
      </c>
      <c r="E2708">
        <v>0.98855696200722898</v>
      </c>
      <c r="F2708">
        <v>1.0634320720466599</v>
      </c>
      <c r="G2708">
        <v>0.81938023910481605</v>
      </c>
      <c r="H2708">
        <v>0.77916214845492304</v>
      </c>
      <c r="I2708">
        <v>0.62902099056306904</v>
      </c>
      <c r="J2708">
        <v>0.60974797158189398</v>
      </c>
      <c r="K2708">
        <v>0.52415998385936502</v>
      </c>
      <c r="L2708">
        <v>1113.0936677898101</v>
      </c>
      <c r="M2708">
        <v>18.277769579857399</v>
      </c>
      <c r="O2708">
        <v>60.183825281496702</v>
      </c>
      <c r="P2708">
        <v>-3.7846579421072203E-2</v>
      </c>
      <c r="Q2708">
        <v>0.50154826814429898</v>
      </c>
      <c r="R2708">
        <v>0.95098305894981505</v>
      </c>
      <c r="S2708" t="s">
        <v>9019</v>
      </c>
      <c r="T2708" t="s">
        <v>12620</v>
      </c>
      <c r="U2708" t="s">
        <v>12620</v>
      </c>
      <c r="V2708" t="s">
        <v>12620</v>
      </c>
      <c r="W2708" t="s">
        <v>15284</v>
      </c>
      <c r="X2708">
        <v>6</v>
      </c>
      <c r="Y2708" t="s">
        <v>21460</v>
      </c>
      <c r="Z2708" t="s">
        <v>27655</v>
      </c>
      <c r="AA2708">
        <v>0.8516547185803881</v>
      </c>
      <c r="AB2708" t="str">
        <f>HYPERLINK("Melting_Curves/meltCurve_Q01658_DR1.pdf", "Melting_Curves/meltCurve_Q01658_DR1.pdf")</f>
        <v>Melting_Curves/meltCurve_Q01658_DR1.pdf</v>
      </c>
    </row>
    <row r="2709" spans="1:28" x14ac:dyDescent="0.25">
      <c r="A2709" t="s">
        <v>2713</v>
      </c>
      <c r="B2709">
        <v>0.99987803227770999</v>
      </c>
      <c r="C2709">
        <v>0.89738738984458</v>
      </c>
      <c r="D2709">
        <v>0.93960776733126405</v>
      </c>
      <c r="E2709">
        <v>0.73047321112905395</v>
      </c>
      <c r="F2709">
        <v>0.75986299372396504</v>
      </c>
      <c r="G2709">
        <v>0.71812628729365102</v>
      </c>
      <c r="H2709">
        <v>0.66017741116007</v>
      </c>
      <c r="I2709">
        <v>0.584621529055111</v>
      </c>
      <c r="J2709">
        <v>0.59569022346113898</v>
      </c>
      <c r="K2709">
        <v>0.455388260748394</v>
      </c>
      <c r="L2709">
        <v>279.08167880141798</v>
      </c>
      <c r="M2709">
        <v>4.1702775827354097</v>
      </c>
      <c r="O2709">
        <v>55.651929002093098</v>
      </c>
      <c r="P2709">
        <v>-1.7232162886489499E-2</v>
      </c>
      <c r="Q2709">
        <v>9.0373408755531404E-2</v>
      </c>
      <c r="R2709">
        <v>0.921382161352016</v>
      </c>
      <c r="S2709" t="s">
        <v>9020</v>
      </c>
      <c r="T2709" t="s">
        <v>12620</v>
      </c>
      <c r="U2709" t="s">
        <v>12620</v>
      </c>
      <c r="V2709" t="s">
        <v>12620</v>
      </c>
      <c r="W2709" t="s">
        <v>15285</v>
      </c>
      <c r="X2709">
        <v>4</v>
      </c>
      <c r="Y2709" t="s">
        <v>21461</v>
      </c>
      <c r="Z2709" t="s">
        <v>27656</v>
      </c>
      <c r="AA2709">
        <v>0.73457597189034396</v>
      </c>
      <c r="AB2709" t="str">
        <f>HYPERLINK("Melting_Curves/meltCurve_Q01664_TFAP4.pdf", "Melting_Curves/meltCurve_Q01664_TFAP4.pdf")</f>
        <v>Melting_Curves/meltCurve_Q01664_TFAP4.pdf</v>
      </c>
    </row>
    <row r="2710" spans="1:28" x14ac:dyDescent="0.25">
      <c r="A2710" t="s">
        <v>2714</v>
      </c>
      <c r="B2710">
        <v>0.99987803227770999</v>
      </c>
      <c r="C2710">
        <v>0.94205235978431601</v>
      </c>
      <c r="D2710">
        <v>0.89949241317986095</v>
      </c>
      <c r="E2710">
        <v>0.70688309206474698</v>
      </c>
      <c r="F2710">
        <v>0.54345091790180899</v>
      </c>
      <c r="G2710">
        <v>0.30151479679870402</v>
      </c>
      <c r="H2710">
        <v>0.19089922032609899</v>
      </c>
      <c r="I2710">
        <v>0.20351347640439399</v>
      </c>
      <c r="J2710">
        <v>0.11612180328614601</v>
      </c>
      <c r="K2710">
        <v>8.7543824377542295E-2</v>
      </c>
      <c r="L2710">
        <v>721.84697434565203</v>
      </c>
      <c r="M2710">
        <v>13.656787434166599</v>
      </c>
      <c r="N2710">
        <v>53.489576296373002</v>
      </c>
      <c r="O2710">
        <v>51.761602433961002</v>
      </c>
      <c r="P2710">
        <v>-6.1045138145633102E-2</v>
      </c>
      <c r="Q2710">
        <v>7.4648100234854395E-2</v>
      </c>
      <c r="R2710">
        <v>0.99626153036187803</v>
      </c>
      <c r="S2710" t="s">
        <v>9021</v>
      </c>
      <c r="T2710" t="s">
        <v>12620</v>
      </c>
      <c r="U2710" t="s">
        <v>12620</v>
      </c>
      <c r="V2710" t="s">
        <v>12620</v>
      </c>
      <c r="W2710" t="s">
        <v>15286</v>
      </c>
      <c r="X2710">
        <v>7</v>
      </c>
      <c r="Y2710" t="s">
        <v>21462</v>
      </c>
      <c r="Z2710" t="s">
        <v>27657</v>
      </c>
      <c r="AA2710">
        <v>0.49395003207683019</v>
      </c>
      <c r="AB2710" t="str">
        <f>HYPERLINK("Melting_Curves/meltCurve_Q01780_2_EXOSC10.pdf", "Melting_Curves/meltCurve_Q01780_2_EXOSC10.pdf")</f>
        <v>Melting_Curves/meltCurve_Q01780_2_EXOSC10.pdf</v>
      </c>
    </row>
    <row r="2711" spans="1:28" x14ac:dyDescent="0.25">
      <c r="A2711" t="s">
        <v>2715</v>
      </c>
      <c r="B2711">
        <v>0.99987803227770999</v>
      </c>
      <c r="C2711">
        <v>1.0539206149184299</v>
      </c>
      <c r="D2711">
        <v>1.0557972377254099</v>
      </c>
      <c r="E2711">
        <v>0.99356062563075898</v>
      </c>
      <c r="F2711">
        <v>0.810122390318192</v>
      </c>
      <c r="G2711">
        <v>0.54916641813705902</v>
      </c>
      <c r="H2711">
        <v>0.42536147138086999</v>
      </c>
      <c r="I2711">
        <v>0.35894999109074599</v>
      </c>
      <c r="J2711">
        <v>0.31217497759254798</v>
      </c>
      <c r="K2711">
        <v>0.26539132834579898</v>
      </c>
      <c r="L2711">
        <v>1211.5480982379099</v>
      </c>
      <c r="M2711">
        <v>21.703224590050699</v>
      </c>
      <c r="N2711">
        <v>58.207787665993003</v>
      </c>
      <c r="O2711">
        <v>55.355965345808301</v>
      </c>
      <c r="P2711">
        <v>-6.9154997232891605E-2</v>
      </c>
      <c r="Q2711">
        <v>0.29447327636679599</v>
      </c>
      <c r="R2711">
        <v>0.98687059705820901</v>
      </c>
      <c r="S2711" t="s">
        <v>9022</v>
      </c>
      <c r="T2711" t="s">
        <v>12620</v>
      </c>
      <c r="U2711" t="s">
        <v>12620</v>
      </c>
      <c r="V2711" t="s">
        <v>12620</v>
      </c>
      <c r="W2711" t="s">
        <v>15287</v>
      </c>
      <c r="X2711">
        <v>13</v>
      </c>
      <c r="Y2711" t="s">
        <v>21463</v>
      </c>
      <c r="Z2711" t="s">
        <v>27658</v>
      </c>
      <c r="AA2711">
        <v>0.67473311585950413</v>
      </c>
      <c r="AB2711" t="str">
        <f>HYPERLINK("Melting_Curves/meltCurve_Q01804_OTUD4.pdf", "Melting_Curves/meltCurve_Q01804_OTUD4.pdf")</f>
        <v>Melting_Curves/meltCurve_Q01804_OTUD4.pdf</v>
      </c>
    </row>
    <row r="2712" spans="1:28" x14ac:dyDescent="0.25">
      <c r="A2712" t="s">
        <v>2716</v>
      </c>
      <c r="B2712">
        <v>0.99987803227770999</v>
      </c>
      <c r="C2712">
        <v>0.86224365953707105</v>
      </c>
      <c r="D2712">
        <v>0.65148665207319401</v>
      </c>
      <c r="E2712">
        <v>0.85137500964493895</v>
      </c>
      <c r="F2712">
        <v>0.57968650244259501</v>
      </c>
      <c r="G2712">
        <v>0.56105015865455199</v>
      </c>
      <c r="H2712">
        <v>0.59416219240185397</v>
      </c>
      <c r="I2712">
        <v>0.43670542565536002</v>
      </c>
      <c r="J2712">
        <v>0.129928795207084</v>
      </c>
      <c r="K2712">
        <v>5.4115941574999903E-2</v>
      </c>
      <c r="L2712">
        <v>394.82873066537599</v>
      </c>
      <c r="M2712">
        <v>6.8598497050264697</v>
      </c>
      <c r="N2712">
        <v>57.556461924995403</v>
      </c>
      <c r="O2712">
        <v>53.260755273792</v>
      </c>
      <c r="P2712">
        <v>-3.22636509399108E-2</v>
      </c>
      <c r="Q2712">
        <v>0</v>
      </c>
      <c r="R2712">
        <v>0.80774969400708996</v>
      </c>
      <c r="S2712" t="s">
        <v>9023</v>
      </c>
      <c r="T2712" t="s">
        <v>12620</v>
      </c>
      <c r="U2712" t="s">
        <v>12620</v>
      </c>
      <c r="V2712" t="s">
        <v>12620</v>
      </c>
      <c r="W2712" t="s">
        <v>15288</v>
      </c>
      <c r="X2712">
        <v>49</v>
      </c>
      <c r="Y2712" t="s">
        <v>21464</v>
      </c>
      <c r="Z2712" t="s">
        <v>27659</v>
      </c>
      <c r="AA2712">
        <v>0.58739203353472003</v>
      </c>
      <c r="AB2712" t="str">
        <f>HYPERLINK("Melting_Curves/meltCurve_Q01813_PFKP.pdf", "Melting_Curves/meltCurve_Q01813_PFKP.pdf")</f>
        <v>Melting_Curves/meltCurve_Q01813_PFKP.pdf</v>
      </c>
    </row>
    <row r="2713" spans="1:28" x14ac:dyDescent="0.25">
      <c r="A2713" t="s">
        <v>2717</v>
      </c>
      <c r="B2713">
        <v>0.99987803227770999</v>
      </c>
      <c r="C2713">
        <v>0.929133570996165</v>
      </c>
      <c r="D2713">
        <v>0.99872194377232204</v>
      </c>
      <c r="E2713">
        <v>0.95743414488388401</v>
      </c>
      <c r="F2713">
        <v>1.14102439782675</v>
      </c>
      <c r="G2713">
        <v>0.99114054119295603</v>
      </c>
      <c r="H2713">
        <v>1.0632784876671899</v>
      </c>
      <c r="I2713">
        <v>1.07427682506455</v>
      </c>
      <c r="J2713">
        <v>1.04585225772254</v>
      </c>
      <c r="K2713">
        <v>0.80684328880969003</v>
      </c>
      <c r="L2713">
        <v>15000</v>
      </c>
      <c r="M2713">
        <v>212.85605588276499</v>
      </c>
      <c r="Q2713">
        <v>0</v>
      </c>
      <c r="R2713">
        <v>0.492573612699785</v>
      </c>
      <c r="S2713" t="s">
        <v>9024</v>
      </c>
      <c r="T2713" t="s">
        <v>12620</v>
      </c>
      <c r="U2713" t="s">
        <v>12620</v>
      </c>
      <c r="V2713" t="s">
        <v>12620</v>
      </c>
      <c r="W2713" t="s">
        <v>15289</v>
      </c>
      <c r="X2713">
        <v>10</v>
      </c>
      <c r="Y2713" t="s">
        <v>19549</v>
      </c>
      <c r="Z2713" t="s">
        <v>27660</v>
      </c>
      <c r="AA2713">
        <v>0.9976857130243354</v>
      </c>
      <c r="AB2713" t="str">
        <f>HYPERLINK("Melting_Curves/meltCurve_Q01844_6_EWSR1.pdf", "Melting_Curves/meltCurve_Q01844_6_EWSR1.pdf")</f>
        <v>Melting_Curves/meltCurve_Q01844_6_EWSR1.pdf</v>
      </c>
    </row>
    <row r="2714" spans="1:28" x14ac:dyDescent="0.25">
      <c r="A2714" t="s">
        <v>2718</v>
      </c>
      <c r="B2714">
        <v>0.99987803227770999</v>
      </c>
      <c r="C2714">
        <v>1.0512975250034899</v>
      </c>
      <c r="D2714">
        <v>1.1237642441109199</v>
      </c>
      <c r="E2714">
        <v>0.908650416156632</v>
      </c>
      <c r="F2714">
        <v>0.78820573912026903</v>
      </c>
      <c r="G2714">
        <v>0.62358146107686596</v>
      </c>
      <c r="H2714">
        <v>0.53288560433796905</v>
      </c>
      <c r="I2714">
        <v>0.51930687049166901</v>
      </c>
      <c r="J2714">
        <v>0.442801726155443</v>
      </c>
      <c r="K2714">
        <v>0.36830062082758402</v>
      </c>
      <c r="L2714">
        <v>947.91443125021704</v>
      </c>
      <c r="M2714">
        <v>17.096735162839401</v>
      </c>
      <c r="N2714">
        <v>61.613832630019601</v>
      </c>
      <c r="O2714">
        <v>54.702312040632499</v>
      </c>
      <c r="P2714">
        <v>-4.6122570547635001E-2</v>
      </c>
      <c r="Q2714">
        <v>0.40974495596632798</v>
      </c>
      <c r="R2714">
        <v>0.95431502567409099</v>
      </c>
      <c r="S2714" t="s">
        <v>9025</v>
      </c>
      <c r="T2714" t="s">
        <v>12620</v>
      </c>
      <c r="U2714" t="s">
        <v>12620</v>
      </c>
      <c r="V2714" t="s">
        <v>12620</v>
      </c>
      <c r="W2714" t="s">
        <v>15290</v>
      </c>
      <c r="X2714">
        <v>3</v>
      </c>
      <c r="Y2714" t="s">
        <v>21465</v>
      </c>
      <c r="Z2714" t="s">
        <v>27661</v>
      </c>
      <c r="AA2714">
        <v>0.72315638796490023</v>
      </c>
      <c r="AB2714" t="str">
        <f>HYPERLINK("Melting_Curves/meltCurve_Q01850_CDR2.pdf", "Melting_Curves/meltCurve_Q01850_CDR2.pdf")</f>
        <v>Melting_Curves/meltCurve_Q01850_CDR2.pdf</v>
      </c>
    </row>
    <row r="2715" spans="1:28" x14ac:dyDescent="0.25">
      <c r="A2715" t="s">
        <v>2719</v>
      </c>
      <c r="B2715">
        <v>0.99987803227770999</v>
      </c>
      <c r="C2715">
        <v>0.96228346160188305</v>
      </c>
      <c r="D2715">
        <v>1.0184812875065901</v>
      </c>
      <c r="E2715">
        <v>0.85533395333138695</v>
      </c>
      <c r="F2715">
        <v>0.57941189928759296</v>
      </c>
      <c r="G2715">
        <v>0.38705642175287802</v>
      </c>
      <c r="H2715">
        <v>0.36236725369561201</v>
      </c>
      <c r="I2715">
        <v>0.322199541061018</v>
      </c>
      <c r="J2715">
        <v>0.30731032949812398</v>
      </c>
      <c r="K2715">
        <v>0.23700975364309401</v>
      </c>
      <c r="L2715">
        <v>1374.3500904867999</v>
      </c>
      <c r="M2715">
        <v>26.229618056402501</v>
      </c>
      <c r="N2715">
        <v>54.303188890034598</v>
      </c>
      <c r="O2715">
        <v>52.0951550194359</v>
      </c>
      <c r="P2715">
        <v>-8.7999422341758698E-2</v>
      </c>
      <c r="Q2715">
        <v>0.30089822626913898</v>
      </c>
      <c r="R2715">
        <v>0.98963219563440996</v>
      </c>
      <c r="S2715" t="s">
        <v>9026</v>
      </c>
      <c r="T2715" t="s">
        <v>12620</v>
      </c>
      <c r="U2715" t="s">
        <v>12620</v>
      </c>
      <c r="V2715" t="s">
        <v>12620</v>
      </c>
      <c r="W2715" t="s">
        <v>15291</v>
      </c>
      <c r="X2715">
        <v>22</v>
      </c>
      <c r="Y2715" t="s">
        <v>21466</v>
      </c>
      <c r="Z2715" t="s">
        <v>27662</v>
      </c>
      <c r="AA2715">
        <v>0.5956297231183707</v>
      </c>
      <c r="AB2715" t="str">
        <f>HYPERLINK("Melting_Curves/meltCurve_Q01968_2_OCRL.pdf", "Melting_Curves/meltCurve_Q01968_2_OCRL.pdf")</f>
        <v>Melting_Curves/meltCurve_Q01968_2_OCRL.pdf</v>
      </c>
    </row>
    <row r="2716" spans="1:28" x14ac:dyDescent="0.25">
      <c r="A2716" t="s">
        <v>2720</v>
      </c>
      <c r="B2716">
        <v>0.99987803227770999</v>
      </c>
      <c r="C2716">
        <v>1.18041052542574</v>
      </c>
      <c r="D2716">
        <v>1.0136795434717101</v>
      </c>
      <c r="E2716">
        <v>1.1429723071212801</v>
      </c>
      <c r="F2716">
        <v>0.69524191136369295</v>
      </c>
      <c r="G2716">
        <v>0.29150822959395001</v>
      </c>
      <c r="H2716">
        <v>0.19504098070748099</v>
      </c>
      <c r="I2716">
        <v>0.159700710461461</v>
      </c>
      <c r="J2716">
        <v>0.125240973200374</v>
      </c>
      <c r="K2716">
        <v>9.3182781518821603E-2</v>
      </c>
      <c r="L2716">
        <v>2142.4645364276198</v>
      </c>
      <c r="M2716">
        <v>39.5587964688361</v>
      </c>
      <c r="N2716">
        <v>54.638565528978098</v>
      </c>
      <c r="O2716">
        <v>54.021144310273797</v>
      </c>
      <c r="P2716">
        <v>-0.15621940184413899</v>
      </c>
      <c r="Q2716">
        <v>0.146674487356306</v>
      </c>
      <c r="R2716">
        <v>0.96212312897437102</v>
      </c>
      <c r="S2716" t="s">
        <v>9027</v>
      </c>
      <c r="T2716" t="s">
        <v>12620</v>
      </c>
      <c r="U2716" t="s">
        <v>12620</v>
      </c>
      <c r="V2716" t="s">
        <v>12620</v>
      </c>
      <c r="W2716" t="s">
        <v>15292</v>
      </c>
      <c r="X2716">
        <v>24</v>
      </c>
      <c r="Y2716" t="s">
        <v>21467</v>
      </c>
      <c r="Z2716" t="s">
        <v>27663</v>
      </c>
      <c r="AA2716">
        <v>0.55267421813421558</v>
      </c>
      <c r="AB2716" t="str">
        <f>HYPERLINK("Melting_Curves/meltCurve_Q01970_PLCB3.pdf", "Melting_Curves/meltCurve_Q01970_PLCB3.pdf")</f>
        <v>Melting_Curves/meltCurve_Q01970_PLCB3.pdf</v>
      </c>
    </row>
    <row r="2717" spans="1:28" x14ac:dyDescent="0.25">
      <c r="A2717" t="s">
        <v>2721</v>
      </c>
      <c r="B2717">
        <v>0.99987803227770999</v>
      </c>
      <c r="C2717">
        <v>0.96069113463451195</v>
      </c>
      <c r="D2717">
        <v>0.92777391007535204</v>
      </c>
      <c r="E2717">
        <v>0.67661587000620504</v>
      </c>
      <c r="F2717">
        <v>0.33327041053548301</v>
      </c>
      <c r="G2717">
        <v>0.30570268754353402</v>
      </c>
      <c r="H2717">
        <v>0.157255181441184</v>
      </c>
      <c r="I2717">
        <v>0.13734286724971301</v>
      </c>
      <c r="J2717">
        <v>7.6278880912080502E-2</v>
      </c>
      <c r="K2717">
        <v>5.4501181456110201E-2</v>
      </c>
      <c r="L2717">
        <v>905.978183488936</v>
      </c>
      <c r="M2717">
        <v>17.644381161991099</v>
      </c>
      <c r="N2717">
        <v>51.913193687015202</v>
      </c>
      <c r="O2717">
        <v>50.700624180609303</v>
      </c>
      <c r="P2717">
        <v>-7.9386540882755402E-2</v>
      </c>
      <c r="Q2717">
        <v>8.7588891527672602E-2</v>
      </c>
      <c r="R2717">
        <v>0.98545618839463101</v>
      </c>
      <c r="S2717" t="s">
        <v>9028</v>
      </c>
      <c r="T2717" t="s">
        <v>12620</v>
      </c>
      <c r="U2717" t="s">
        <v>12620</v>
      </c>
      <c r="V2717" t="s">
        <v>12620</v>
      </c>
      <c r="W2717" t="s">
        <v>15293</v>
      </c>
      <c r="X2717">
        <v>6</v>
      </c>
      <c r="Y2717" t="s">
        <v>21468</v>
      </c>
      <c r="Z2717" t="s">
        <v>27664</v>
      </c>
      <c r="AA2717">
        <v>0.4485384209362035</v>
      </c>
      <c r="AB2717" t="str">
        <f>HYPERLINK("Melting_Curves/meltCurve_Q01973_ROR1.pdf", "Melting_Curves/meltCurve_Q01973_ROR1.pdf")</f>
        <v>Melting_Curves/meltCurve_Q01973_ROR1.pdf</v>
      </c>
    </row>
    <row r="2718" spans="1:28" x14ac:dyDescent="0.25">
      <c r="A2718" t="s">
        <v>2722</v>
      </c>
      <c r="B2718">
        <v>0.99987803227770999</v>
      </c>
      <c r="C2718">
        <v>0.89335624327419405</v>
      </c>
      <c r="D2718">
        <v>1.04101763566613</v>
      </c>
      <c r="E2718">
        <v>0.92894098236273703</v>
      </c>
      <c r="F2718">
        <v>0.77941992973626295</v>
      </c>
      <c r="G2718">
        <v>0.42158413371028902</v>
      </c>
      <c r="H2718">
        <v>0.18328224212018501</v>
      </c>
      <c r="I2718">
        <v>0.13330230104417101</v>
      </c>
      <c r="J2718">
        <v>0.10072492790127099</v>
      </c>
      <c r="K2718">
        <v>7.5688052101461803E-2</v>
      </c>
      <c r="L2718">
        <v>1263.5456428683001</v>
      </c>
      <c r="M2718">
        <v>22.686344469379598</v>
      </c>
      <c r="N2718">
        <v>56.106994395521902</v>
      </c>
      <c r="O2718">
        <v>55.268973778452299</v>
      </c>
      <c r="P2718">
        <v>-9.4769192331772903E-2</v>
      </c>
      <c r="Q2718">
        <v>7.6503222306292196E-2</v>
      </c>
      <c r="R2718">
        <v>0.99083902634794296</v>
      </c>
      <c r="S2718" t="s">
        <v>9029</v>
      </c>
      <c r="T2718" t="s">
        <v>12620</v>
      </c>
      <c r="U2718" t="s">
        <v>12620</v>
      </c>
      <c r="V2718" t="s">
        <v>12620</v>
      </c>
      <c r="W2718" t="s">
        <v>15294</v>
      </c>
      <c r="X2718">
        <v>21</v>
      </c>
      <c r="Y2718" t="s">
        <v>21469</v>
      </c>
      <c r="Z2718" t="s">
        <v>27665</v>
      </c>
      <c r="AA2718">
        <v>0.56965686448980035</v>
      </c>
      <c r="AB2718" t="str">
        <f>HYPERLINK("Melting_Curves/meltCurve_Q01995_TAGLN.pdf", "Melting_Curves/meltCurve_Q01995_TAGLN.pdf")</f>
        <v>Melting_Curves/meltCurve_Q01995_TAGLN.pdf</v>
      </c>
    </row>
    <row r="2719" spans="1:28" x14ac:dyDescent="0.25">
      <c r="A2719" t="s">
        <v>2723</v>
      </c>
      <c r="B2719">
        <v>0.99987803227770999</v>
      </c>
      <c r="C2719">
        <v>1.17830948833922</v>
      </c>
      <c r="D2719">
        <v>0.80870234059345603</v>
      </c>
      <c r="E2719">
        <v>0.51219135451231501</v>
      </c>
      <c r="F2719">
        <v>0.340729799589787</v>
      </c>
      <c r="G2719">
        <v>0.23375875462961901</v>
      </c>
      <c r="H2719">
        <v>0.19504392735050799</v>
      </c>
      <c r="I2719">
        <v>0.20878140842272799</v>
      </c>
      <c r="J2719">
        <v>0.124764388240329</v>
      </c>
      <c r="K2719">
        <v>0.104805533927205</v>
      </c>
      <c r="L2719">
        <v>1091.8081447270299</v>
      </c>
      <c r="M2719">
        <v>22.0797954038276</v>
      </c>
      <c r="N2719">
        <v>50.337899233816898</v>
      </c>
      <c r="O2719">
        <v>49.048013079836601</v>
      </c>
      <c r="P2719">
        <v>-9.4363811399100994E-2</v>
      </c>
      <c r="Q2719">
        <v>0.1615397052651</v>
      </c>
      <c r="R2719">
        <v>0.96008798959107</v>
      </c>
      <c r="S2719" t="s">
        <v>9030</v>
      </c>
      <c r="T2719" t="s">
        <v>12620</v>
      </c>
      <c r="U2719" t="s">
        <v>12620</v>
      </c>
      <c r="V2719" t="s">
        <v>12620</v>
      </c>
      <c r="W2719" t="s">
        <v>15295</v>
      </c>
      <c r="X2719">
        <v>3</v>
      </c>
      <c r="Y2719" t="s">
        <v>21470</v>
      </c>
      <c r="Z2719" t="s">
        <v>27666</v>
      </c>
      <c r="AA2719">
        <v>0.43520097919531242</v>
      </c>
      <c r="AB2719" t="str">
        <f>HYPERLINK("Melting_Curves/meltCurve_Q02040_AKAP17A.pdf", "Melting_Curves/meltCurve_Q02040_AKAP17A.pdf")</f>
        <v>Melting_Curves/meltCurve_Q02040_AKAP17A.pdf</v>
      </c>
    </row>
    <row r="2720" spans="1:28" x14ac:dyDescent="0.25">
      <c r="A2720" t="s">
        <v>2724</v>
      </c>
      <c r="B2720">
        <v>0.99987803227770999</v>
      </c>
      <c r="C2720">
        <v>0.83901800648838298</v>
      </c>
      <c r="D2720">
        <v>1.0065408734522301</v>
      </c>
      <c r="E2720">
        <v>0.89358734292609698</v>
      </c>
      <c r="F2720">
        <v>1.04934160852167</v>
      </c>
      <c r="G2720">
        <v>0.71724531824226201</v>
      </c>
      <c r="H2720">
        <v>0.63797685875425902</v>
      </c>
      <c r="I2720">
        <v>0.60012569327246801</v>
      </c>
      <c r="J2720">
        <v>0.49474991636898003</v>
      </c>
      <c r="K2720">
        <v>0.385363452126808</v>
      </c>
      <c r="L2720">
        <v>664.05302584941398</v>
      </c>
      <c r="M2720">
        <v>10.579029046147401</v>
      </c>
      <c r="N2720">
        <v>66.109182550646807</v>
      </c>
      <c r="O2720">
        <v>60.6522966841843</v>
      </c>
      <c r="P2720">
        <v>-3.4595042833470202E-2</v>
      </c>
      <c r="Q2720">
        <v>0.206941745884376</v>
      </c>
      <c r="R2720">
        <v>0.87684704444013095</v>
      </c>
      <c r="S2720" t="s">
        <v>9031</v>
      </c>
      <c r="T2720" t="s">
        <v>12620</v>
      </c>
      <c r="U2720" t="s">
        <v>12620</v>
      </c>
      <c r="V2720" t="s">
        <v>12620</v>
      </c>
      <c r="W2720" t="s">
        <v>15296</v>
      </c>
      <c r="X2720">
        <v>4</v>
      </c>
      <c r="Y2720" t="s">
        <v>21471</v>
      </c>
      <c r="Z2720" t="s">
        <v>27667</v>
      </c>
      <c r="AA2720">
        <v>0.788968923651441</v>
      </c>
      <c r="AB2720" t="str">
        <f>HYPERLINK("Melting_Curves/meltCurve_Q02078_4_MEF2A.pdf", "Melting_Curves/meltCurve_Q02078_4_MEF2A.pdf")</f>
        <v>Melting_Curves/meltCurve_Q02078_4_MEF2A.pdf</v>
      </c>
    </row>
    <row r="2721" spans="1:28" x14ac:dyDescent="0.25">
      <c r="A2721" t="s">
        <v>2725</v>
      </c>
      <c r="B2721">
        <v>0.99987803227770999</v>
      </c>
      <c r="C2721">
        <v>0.92810003550342302</v>
      </c>
      <c r="D2721">
        <v>0.91978785825832299</v>
      </c>
      <c r="E2721">
        <v>0.91794540126725099</v>
      </c>
      <c r="F2721">
        <v>0.82005615962600098</v>
      </c>
      <c r="G2721">
        <v>0.58996441751264805</v>
      </c>
      <c r="H2721">
        <v>0.32322715997036799</v>
      </c>
      <c r="I2721">
        <v>0.215947331839727</v>
      </c>
      <c r="J2721">
        <v>0.100146757364327</v>
      </c>
      <c r="K2721">
        <v>5.6892383117737901E-2</v>
      </c>
      <c r="L2721">
        <v>881.19203911997897</v>
      </c>
      <c r="M2721">
        <v>15.1491149684006</v>
      </c>
      <c r="N2721">
        <v>58.167889342376697</v>
      </c>
      <c r="O2721">
        <v>57.182550200885899</v>
      </c>
      <c r="P2721">
        <v>-6.6237808630438294E-2</v>
      </c>
      <c r="Q2721">
        <v>0</v>
      </c>
      <c r="R2721">
        <v>0.99259212982575695</v>
      </c>
      <c r="S2721" t="s">
        <v>9032</v>
      </c>
      <c r="T2721" t="s">
        <v>12620</v>
      </c>
      <c r="U2721" t="s">
        <v>12620</v>
      </c>
      <c r="V2721" t="s">
        <v>12620</v>
      </c>
      <c r="W2721" t="s">
        <v>15297</v>
      </c>
      <c r="X2721">
        <v>5</v>
      </c>
      <c r="Y2721" t="s">
        <v>21472</v>
      </c>
      <c r="Z2721" t="s">
        <v>27668</v>
      </c>
      <c r="AA2721">
        <v>0.61856058940952796</v>
      </c>
      <c r="AB2721" t="str">
        <f>HYPERLINK("Melting_Curves/meltCurve_Q02083_2_NAAA.pdf", "Melting_Curves/meltCurve_Q02083_2_NAAA.pdf")</f>
        <v>Melting_Curves/meltCurve_Q02083_2_NAAA.pdf</v>
      </c>
    </row>
    <row r="2722" spans="1:28" x14ac:dyDescent="0.25">
      <c r="A2722" t="s">
        <v>2726</v>
      </c>
      <c r="B2722">
        <v>0.99987803227770999</v>
      </c>
      <c r="C2722">
        <v>0.85555127435454403</v>
      </c>
      <c r="D2722">
        <v>1.00497840310081</v>
      </c>
      <c r="E2722">
        <v>0.81647939968164196</v>
      </c>
      <c r="F2722">
        <v>0.92414798358991601</v>
      </c>
      <c r="G2722">
        <v>0.742031714775236</v>
      </c>
      <c r="H2722">
        <v>0.76936936196528005</v>
      </c>
      <c r="I2722">
        <v>0.70414636247344597</v>
      </c>
      <c r="J2722">
        <v>0.54859128477515495</v>
      </c>
      <c r="K2722">
        <v>0.463377343519075</v>
      </c>
      <c r="L2722">
        <v>389.32305827667898</v>
      </c>
      <c r="M2722">
        <v>5.5064389336944402</v>
      </c>
      <c r="O2722">
        <v>63.017160573273202</v>
      </c>
      <c r="P2722">
        <v>-2.19408274092062E-2</v>
      </c>
      <c r="Q2722">
        <v>0</v>
      </c>
      <c r="R2722">
        <v>0.85236528293995895</v>
      </c>
      <c r="S2722" t="s">
        <v>9033</v>
      </c>
      <c r="T2722" t="s">
        <v>12620</v>
      </c>
      <c r="U2722" t="s">
        <v>12620</v>
      </c>
      <c r="V2722" t="s">
        <v>12620</v>
      </c>
      <c r="W2722" t="s">
        <v>15298</v>
      </c>
      <c r="X2722">
        <v>3</v>
      </c>
      <c r="Y2722" t="s">
        <v>21473</v>
      </c>
      <c r="Z2722" t="s">
        <v>27669</v>
      </c>
      <c r="AA2722">
        <v>0.79944003415479925</v>
      </c>
      <c r="AB2722" t="str">
        <f>HYPERLINK("Melting_Curves/meltCurve_Q02086_2_SP2.pdf", "Melting_Curves/meltCurve_Q02086_2_SP2.pdf")</f>
        <v>Melting_Curves/meltCurve_Q02086_2_SP2.pdf</v>
      </c>
    </row>
    <row r="2723" spans="1:28" x14ac:dyDescent="0.25">
      <c r="A2723" t="s">
        <v>2727</v>
      </c>
      <c r="B2723">
        <v>0.99987803227770999</v>
      </c>
      <c r="C2723">
        <v>1.0180485468364</v>
      </c>
      <c r="D2723">
        <v>1.0075685129357801</v>
      </c>
      <c r="E2723">
        <v>0.581774213664218</v>
      </c>
      <c r="F2723">
        <v>0.238477542624626</v>
      </c>
      <c r="G2723">
        <v>0.116792243772711</v>
      </c>
      <c r="H2723">
        <v>5.2855253803233103E-2</v>
      </c>
      <c r="I2723">
        <v>5.91429811658419E-2</v>
      </c>
      <c r="J2723">
        <v>4.1080168201827902E-2</v>
      </c>
      <c r="K2723">
        <v>2.5944865345087099E-2</v>
      </c>
      <c r="L2723">
        <v>1581.1621317461099</v>
      </c>
      <c r="M2723">
        <v>31.307661339789401</v>
      </c>
      <c r="N2723">
        <v>50.6850226022027</v>
      </c>
      <c r="O2723">
        <v>50.2992926413676</v>
      </c>
      <c r="P2723">
        <v>-0.14737701549259499</v>
      </c>
      <c r="Q2723">
        <v>5.2894036939518302E-2</v>
      </c>
      <c r="R2723">
        <v>0.99672102262465201</v>
      </c>
      <c r="S2723" t="s">
        <v>9034</v>
      </c>
      <c r="T2723" t="s">
        <v>12620</v>
      </c>
      <c r="U2723" t="s">
        <v>12620</v>
      </c>
      <c r="V2723" t="s">
        <v>12620</v>
      </c>
      <c r="W2723" t="s">
        <v>15299</v>
      </c>
      <c r="X2723">
        <v>2</v>
      </c>
      <c r="Y2723" t="s">
        <v>21474</v>
      </c>
      <c r="Z2723" t="s">
        <v>27670</v>
      </c>
      <c r="AA2723">
        <v>0.38992752140161657</v>
      </c>
      <c r="AB2723" t="str">
        <f>HYPERLINK("Melting_Curves/meltCurve_Q02156_PRKCE.pdf", "Melting_Curves/meltCurve_Q02156_PRKCE.pdf")</f>
        <v>Melting_Curves/meltCurve_Q02156_PRKCE.pdf</v>
      </c>
    </row>
    <row r="2724" spans="1:28" x14ac:dyDescent="0.25">
      <c r="A2724" t="s">
        <v>2728</v>
      </c>
      <c r="B2724">
        <v>0.99987803227770999</v>
      </c>
      <c r="C2724">
        <v>0.98660693426378299</v>
      </c>
      <c r="D2724">
        <v>0.82655521102313401</v>
      </c>
      <c r="E2724">
        <v>0.823954061332275</v>
      </c>
      <c r="F2724">
        <v>0.69671291899052501</v>
      </c>
      <c r="G2724">
        <v>0.65090771733502795</v>
      </c>
      <c r="H2724">
        <v>0.61123012115618203</v>
      </c>
      <c r="I2724">
        <v>0.54216130188164502</v>
      </c>
      <c r="J2724">
        <v>0.476418863073997</v>
      </c>
      <c r="K2724">
        <v>0.39028573326807098</v>
      </c>
      <c r="L2724">
        <v>342.977762732896</v>
      </c>
      <c r="M2724">
        <v>5.5898130679012699</v>
      </c>
      <c r="N2724">
        <v>65.000767741865701</v>
      </c>
      <c r="O2724">
        <v>54.851969925790797</v>
      </c>
      <c r="P2724">
        <v>-2.2142387544251099E-2</v>
      </c>
      <c r="Q2724">
        <v>0.13448263177868799</v>
      </c>
      <c r="R2724">
        <v>0.96279218528610699</v>
      </c>
      <c r="S2724" t="s">
        <v>9035</v>
      </c>
      <c r="T2724" t="s">
        <v>12620</v>
      </c>
      <c r="U2724" t="s">
        <v>12620</v>
      </c>
      <c r="V2724" t="s">
        <v>12620</v>
      </c>
      <c r="W2724" t="s">
        <v>15300</v>
      </c>
      <c r="X2724">
        <v>2</v>
      </c>
      <c r="Y2724" t="s">
        <v>21475</v>
      </c>
      <c r="Z2724" t="s">
        <v>27671</v>
      </c>
      <c r="AA2724">
        <v>0.69998246817253351</v>
      </c>
      <c r="AB2724" t="str">
        <f>HYPERLINK("Melting_Curves/meltCurve_Q02224_3_CENPE.pdf", "Melting_Curves/meltCurve_Q02224_3_CENPE.pdf")</f>
        <v>Melting_Curves/meltCurve_Q02224_3_CENPE.pdf</v>
      </c>
    </row>
    <row r="2725" spans="1:28" x14ac:dyDescent="0.25">
      <c r="A2725" t="s">
        <v>2729</v>
      </c>
      <c r="B2725">
        <v>0.99987803227770999</v>
      </c>
      <c r="C2725">
        <v>1.0164423816296999</v>
      </c>
      <c r="D2725">
        <v>0.89277680897686795</v>
      </c>
      <c r="E2725">
        <v>0.90882661672232601</v>
      </c>
      <c r="F2725">
        <v>0.49656320377302698</v>
      </c>
      <c r="G2725">
        <v>0.23711133424565101</v>
      </c>
      <c r="H2725">
        <v>0.210255000064034</v>
      </c>
      <c r="I2725">
        <v>0.18643627217085201</v>
      </c>
      <c r="J2725">
        <v>0.14334356908255</v>
      </c>
      <c r="K2725">
        <v>0.109426996765915</v>
      </c>
      <c r="L2725">
        <v>1825.8833259318801</v>
      </c>
      <c r="M2725">
        <v>34.763001213617102</v>
      </c>
      <c r="N2725">
        <v>53.128574426053802</v>
      </c>
      <c r="O2725">
        <v>52.350859864451998</v>
      </c>
      <c r="P2725">
        <v>-0.13888242802723999</v>
      </c>
      <c r="Q2725">
        <v>0.163410847015449</v>
      </c>
      <c r="R2725">
        <v>0.98688131121286005</v>
      </c>
      <c r="S2725" t="s">
        <v>9036</v>
      </c>
      <c r="T2725" t="s">
        <v>12620</v>
      </c>
      <c r="U2725" t="s">
        <v>12620</v>
      </c>
      <c r="V2725" t="s">
        <v>12620</v>
      </c>
      <c r="W2725" t="s">
        <v>15301</v>
      </c>
      <c r="X2725">
        <v>15</v>
      </c>
      <c r="Y2725" t="s">
        <v>21476</v>
      </c>
      <c r="Z2725" t="s">
        <v>27672</v>
      </c>
      <c r="AA2725">
        <v>0.51667290952955514</v>
      </c>
      <c r="AB2725" t="str">
        <f>HYPERLINK("Melting_Curves/meltCurve_Q02241_KIF23.pdf", "Melting_Curves/meltCurve_Q02241_KIF23.pdf")</f>
        <v>Melting_Curves/meltCurve_Q02241_KIF23.pdf</v>
      </c>
    </row>
    <row r="2726" spans="1:28" x14ac:dyDescent="0.25">
      <c r="A2726" t="s">
        <v>2730</v>
      </c>
      <c r="B2726">
        <v>0.99987803227770999</v>
      </c>
      <c r="C2726">
        <v>0.91907615993085201</v>
      </c>
      <c r="D2726">
        <v>0.705996501495884</v>
      </c>
      <c r="E2726">
        <v>0.63287904994774002</v>
      </c>
      <c r="F2726">
        <v>0.48822027878575103</v>
      </c>
      <c r="G2726">
        <v>0.339568408839303</v>
      </c>
      <c r="H2726">
        <v>0.31938684194190597</v>
      </c>
      <c r="I2726">
        <v>0.34323851146309903</v>
      </c>
      <c r="J2726">
        <v>3.6921641731974E-2</v>
      </c>
      <c r="K2726">
        <v>0.211807535172225</v>
      </c>
      <c r="L2726">
        <v>477.61381016822099</v>
      </c>
      <c r="M2726">
        <v>9.2648250097686695</v>
      </c>
      <c r="N2726">
        <v>52.865655383679297</v>
      </c>
      <c r="O2726">
        <v>49.320353802336399</v>
      </c>
      <c r="P2726">
        <v>-4.21588918009414E-2</v>
      </c>
      <c r="Q2726">
        <v>0.102869428008295</v>
      </c>
      <c r="R2726">
        <v>0.93863558168366601</v>
      </c>
      <c r="S2726" t="s">
        <v>9037</v>
      </c>
      <c r="T2726" t="s">
        <v>12620</v>
      </c>
      <c r="U2726" t="s">
        <v>12620</v>
      </c>
      <c r="V2726" t="s">
        <v>12620</v>
      </c>
      <c r="W2726" t="s">
        <v>15302</v>
      </c>
      <c r="X2726">
        <v>15</v>
      </c>
      <c r="Y2726" t="s">
        <v>21476</v>
      </c>
      <c r="Z2726" t="s">
        <v>27673</v>
      </c>
      <c r="AA2726">
        <v>0.48698735309562458</v>
      </c>
      <c r="AB2726" t="str">
        <f>HYPERLINK("Melting_Curves/meltCurve_Q02241_2_KIF23.pdf", "Melting_Curves/meltCurve_Q02241_2_KIF23.pdf")</f>
        <v>Melting_Curves/meltCurve_Q02241_2_KIF23.pdf</v>
      </c>
    </row>
    <row r="2727" spans="1:28" x14ac:dyDescent="0.25">
      <c r="A2727" t="s">
        <v>2731</v>
      </c>
      <c r="B2727">
        <v>0.99987803227770999</v>
      </c>
      <c r="C2727">
        <v>0.89571411035464199</v>
      </c>
      <c r="D2727">
        <v>0.99459893500588303</v>
      </c>
      <c r="E2727">
        <v>0.867641695720613</v>
      </c>
      <c r="F2727">
        <v>0.86069531150950696</v>
      </c>
      <c r="G2727">
        <v>0.563393622058316</v>
      </c>
      <c r="H2727">
        <v>0.72336546174660599</v>
      </c>
      <c r="I2727">
        <v>0.65061353185446402</v>
      </c>
      <c r="J2727">
        <v>0.67726427118043697</v>
      </c>
      <c r="K2727">
        <v>0.56572924015355497</v>
      </c>
      <c r="L2727">
        <v>1185.3445027320799</v>
      </c>
      <c r="M2727">
        <v>22.654071567681498</v>
      </c>
      <c r="O2727">
        <v>51.921086979649097</v>
      </c>
      <c r="P2727">
        <v>-4.0347508936834198E-2</v>
      </c>
      <c r="Q2727">
        <v>0.63011595870312598</v>
      </c>
      <c r="R2727">
        <v>0.82320616406404201</v>
      </c>
      <c r="S2727" t="s">
        <v>9038</v>
      </c>
      <c r="T2727" t="s">
        <v>12620</v>
      </c>
      <c r="U2727" t="s">
        <v>12620</v>
      </c>
      <c r="V2727" t="s">
        <v>12620</v>
      </c>
      <c r="W2727" t="s">
        <v>15303</v>
      </c>
      <c r="X2727">
        <v>9</v>
      </c>
      <c r="Y2727" t="s">
        <v>21477</v>
      </c>
      <c r="Z2727" t="s">
        <v>27674</v>
      </c>
      <c r="AA2727">
        <v>0.78613829424137693</v>
      </c>
      <c r="AB2727" t="str">
        <f>HYPERLINK("Melting_Curves/meltCurve_Q02297_NRG1.pdf", "Melting_Curves/meltCurve_Q02297_NRG1.pdf")</f>
        <v>Melting_Curves/meltCurve_Q02297_NRG1.pdf</v>
      </c>
    </row>
    <row r="2728" spans="1:28" x14ac:dyDescent="0.25">
      <c r="A2728" t="s">
        <v>2732</v>
      </c>
      <c r="B2728">
        <v>0.99987803227770999</v>
      </c>
      <c r="C2728">
        <v>1.4098674025657101</v>
      </c>
      <c r="D2728">
        <v>1.19514805050924</v>
      </c>
      <c r="E2728">
        <v>1.36151936024419</v>
      </c>
      <c r="F2728">
        <v>1.1532707198338199</v>
      </c>
      <c r="G2728">
        <v>1.2166314114819501</v>
      </c>
      <c r="H2728">
        <v>1.3494119649659899</v>
      </c>
      <c r="I2728">
        <v>0.916015669647266</v>
      </c>
      <c r="J2728">
        <v>0.28155520293762998</v>
      </c>
      <c r="K2728">
        <v>6.5305953010626902E-2</v>
      </c>
      <c r="L2728">
        <v>5312.8259310175799</v>
      </c>
      <c r="M2728">
        <v>80.479132570981605</v>
      </c>
      <c r="N2728">
        <v>66.115323754485402</v>
      </c>
      <c r="O2728">
        <v>65.974222362993103</v>
      </c>
      <c r="P2728">
        <v>-0.28742753748085098</v>
      </c>
      <c r="Q2728">
        <v>5.7504457162269498E-2</v>
      </c>
      <c r="R2728">
        <v>0.72459867190014404</v>
      </c>
      <c r="S2728" t="s">
        <v>9039</v>
      </c>
      <c r="T2728" t="s">
        <v>12620</v>
      </c>
      <c r="U2728" t="s">
        <v>12620</v>
      </c>
      <c r="V2728" t="s">
        <v>12620</v>
      </c>
      <c r="W2728" t="s">
        <v>15304</v>
      </c>
      <c r="X2728">
        <v>4</v>
      </c>
      <c r="Y2728" t="s">
        <v>21478</v>
      </c>
      <c r="Z2728" t="s">
        <v>27675</v>
      </c>
      <c r="AA2728">
        <v>0.87555604251738361</v>
      </c>
      <c r="AB2728" t="str">
        <f>HYPERLINK("Melting_Curves/meltCurve_Q02388_2_COL7A1.pdf", "Melting_Curves/meltCurve_Q02388_2_COL7A1.pdf")</f>
        <v>Melting_Curves/meltCurve_Q02388_2_COL7A1.pdf</v>
      </c>
    </row>
    <row r="2729" spans="1:28" x14ac:dyDescent="0.25">
      <c r="A2729" t="s">
        <v>2733</v>
      </c>
      <c r="B2729">
        <v>0.99987803227770999</v>
      </c>
      <c r="C2729">
        <v>1.01842403145934</v>
      </c>
      <c r="D2729">
        <v>1.17753651285496</v>
      </c>
      <c r="E2729">
        <v>0.83334883236795798</v>
      </c>
      <c r="F2729">
        <v>0.104856855287828</v>
      </c>
      <c r="G2729">
        <v>7.2050908544486203E-2</v>
      </c>
      <c r="H2729">
        <v>5.69578764280722E-2</v>
      </c>
      <c r="I2729">
        <v>4.34832642858844E-2</v>
      </c>
      <c r="J2729">
        <v>2.3929722002613701E-2</v>
      </c>
      <c r="K2729">
        <v>1.51731740423376E-2</v>
      </c>
      <c r="L2729">
        <v>3746.3099744986398</v>
      </c>
      <c r="M2729">
        <v>73.362570924928505</v>
      </c>
      <c r="N2729">
        <v>51.127401171537301</v>
      </c>
      <c r="O2729">
        <v>51.027781133842097</v>
      </c>
      <c r="P2729">
        <v>-0.34419542136076797</v>
      </c>
      <c r="Q2729">
        <v>4.23713465971585E-2</v>
      </c>
      <c r="R2729">
        <v>0.98484989300503101</v>
      </c>
      <c r="S2729" t="s">
        <v>9040</v>
      </c>
      <c r="T2729" t="s">
        <v>12620</v>
      </c>
      <c r="U2729" t="s">
        <v>12620</v>
      </c>
      <c r="V2729" t="s">
        <v>12620</v>
      </c>
      <c r="W2729" t="s">
        <v>15305</v>
      </c>
      <c r="X2729">
        <v>1</v>
      </c>
      <c r="Y2729" t="s">
        <v>21479</v>
      </c>
      <c r="Z2729" t="s">
        <v>27676</v>
      </c>
      <c r="AA2729">
        <v>0.39659757148229158</v>
      </c>
      <c r="AB2729" t="str">
        <f>HYPERLINK("Melting_Curves/meltCurve_Q02410_APBA1.pdf", "Melting_Curves/meltCurve_Q02410_APBA1.pdf")</f>
        <v>Melting_Curves/meltCurve_Q02410_APBA1.pdf</v>
      </c>
    </row>
    <row r="2730" spans="1:28" x14ac:dyDescent="0.25">
      <c r="A2730" t="s">
        <v>2734</v>
      </c>
      <c r="B2730">
        <v>0.99987803227770999</v>
      </c>
      <c r="C2730">
        <v>1.05025758439076</v>
      </c>
      <c r="D2730">
        <v>1.2532648765513099</v>
      </c>
      <c r="E2730">
        <v>1.4387482581013999</v>
      </c>
      <c r="F2730">
        <v>0.81259129696759802</v>
      </c>
      <c r="G2730">
        <v>1.36452409370252</v>
      </c>
      <c r="H2730">
        <v>1.3426384686035899</v>
      </c>
      <c r="I2730">
        <v>1.3707644765592299</v>
      </c>
      <c r="J2730">
        <v>1.0094007069577</v>
      </c>
      <c r="K2730">
        <v>0.87525092270073102</v>
      </c>
      <c r="L2730">
        <v>10766.794936554899</v>
      </c>
      <c r="M2730">
        <v>250</v>
      </c>
      <c r="O2730">
        <v>43.064423977750202</v>
      </c>
      <c r="P2730">
        <v>0.266167918100914</v>
      </c>
      <c r="Q2730">
        <v>1.1833978879301099</v>
      </c>
      <c r="R2730">
        <v>8.85174710486267E-2</v>
      </c>
      <c r="S2730" t="s">
        <v>9041</v>
      </c>
      <c r="T2730" t="s">
        <v>12620</v>
      </c>
      <c r="U2730" t="s">
        <v>12620</v>
      </c>
      <c r="V2730" t="s">
        <v>12620</v>
      </c>
      <c r="W2730" t="s">
        <v>15306</v>
      </c>
      <c r="X2730">
        <v>1</v>
      </c>
      <c r="Y2730" t="s">
        <v>21480</v>
      </c>
      <c r="Z2730" t="s">
        <v>27677</v>
      </c>
      <c r="AA2730">
        <v>1.1646335500591769</v>
      </c>
      <c r="AB2730" t="str">
        <f>HYPERLINK("Melting_Curves/meltCurve_Q02446_SP4.pdf", "Melting_Curves/meltCurve_Q02446_SP4.pdf")</f>
        <v>Melting_Curves/meltCurve_Q02446_SP4.pdf</v>
      </c>
    </row>
    <row r="2731" spans="1:28" x14ac:dyDescent="0.25">
      <c r="A2731" t="s">
        <v>2735</v>
      </c>
      <c r="B2731">
        <v>0.99987803227770999</v>
      </c>
      <c r="C2731">
        <v>0.89877053636597903</v>
      </c>
      <c r="D2731">
        <v>1.0043564073597899</v>
      </c>
      <c r="E2731">
        <v>0.85516364575423598</v>
      </c>
      <c r="F2731">
        <v>0.95855044543155399</v>
      </c>
      <c r="G2731">
        <v>0.72520426623229295</v>
      </c>
      <c r="H2731">
        <v>0.86629069112630097</v>
      </c>
      <c r="I2731">
        <v>0.709467644904616</v>
      </c>
      <c r="J2731">
        <v>0.84584008279210399</v>
      </c>
      <c r="K2731">
        <v>0.66540020770701702</v>
      </c>
      <c r="L2731">
        <v>296.80150382206801</v>
      </c>
      <c r="M2731">
        <v>4.4747017426465998</v>
      </c>
      <c r="O2731">
        <v>56.285535631013097</v>
      </c>
      <c r="P2731">
        <v>-1.00517319008749E-2</v>
      </c>
      <c r="Q2731">
        <v>0.49871992525529801</v>
      </c>
      <c r="R2731">
        <v>0.59950891602437695</v>
      </c>
      <c r="S2731" t="s">
        <v>9042</v>
      </c>
      <c r="T2731" t="s">
        <v>12620</v>
      </c>
      <c r="U2731" t="s">
        <v>12620</v>
      </c>
      <c r="V2731" t="s">
        <v>12620</v>
      </c>
      <c r="W2731" t="s">
        <v>15307</v>
      </c>
      <c r="X2731">
        <v>5</v>
      </c>
      <c r="Y2731" t="s">
        <v>21481</v>
      </c>
      <c r="Z2731" t="s">
        <v>27678</v>
      </c>
      <c r="AA2731">
        <v>0.85438870212339235</v>
      </c>
      <c r="AB2731" t="str">
        <f>HYPERLINK("Melting_Curves/meltCurve_Q02447_3_SP3.pdf", "Melting_Curves/meltCurve_Q02447_3_SP3.pdf")</f>
        <v>Melting_Curves/meltCurve_Q02447_3_SP3.pdf</v>
      </c>
    </row>
    <row r="2732" spans="1:28" x14ac:dyDescent="0.25">
      <c r="A2732" t="s">
        <v>2736</v>
      </c>
      <c r="B2732">
        <v>0.99987803227770999</v>
      </c>
      <c r="C2732">
        <v>0.91129102486247004</v>
      </c>
      <c r="D2732">
        <v>0.85354121916630099</v>
      </c>
      <c r="E2732">
        <v>0.60351957405455703</v>
      </c>
      <c r="F2732">
        <v>0.45040070736409699</v>
      </c>
      <c r="G2732">
        <v>0.31113745554898897</v>
      </c>
      <c r="H2732">
        <v>0.26224706154910699</v>
      </c>
      <c r="I2732">
        <v>0.24070548739630099</v>
      </c>
      <c r="J2732">
        <v>0.203124455308033</v>
      </c>
      <c r="K2732">
        <v>0.15825884416668301</v>
      </c>
      <c r="L2732">
        <v>699.51165966678604</v>
      </c>
      <c r="M2732">
        <v>13.857418264454299</v>
      </c>
      <c r="N2732">
        <v>52.096102855369701</v>
      </c>
      <c r="O2732">
        <v>49.462825732718699</v>
      </c>
      <c r="P2732">
        <v>-5.7806517484854297E-2</v>
      </c>
      <c r="Q2732">
        <v>0.174772674038254</v>
      </c>
      <c r="R2732">
        <v>0.99594158570293001</v>
      </c>
      <c r="S2732" t="s">
        <v>9043</v>
      </c>
      <c r="T2732" t="s">
        <v>12620</v>
      </c>
      <c r="U2732" t="s">
        <v>12620</v>
      </c>
      <c r="V2732" t="s">
        <v>12620</v>
      </c>
      <c r="W2732" t="s">
        <v>15308</v>
      </c>
      <c r="X2732">
        <v>2</v>
      </c>
      <c r="Y2732" t="s">
        <v>21482</v>
      </c>
      <c r="Z2732" t="s">
        <v>27679</v>
      </c>
      <c r="AA2732">
        <v>0.48517213260121062</v>
      </c>
      <c r="AB2732" t="str">
        <f>HYPERLINK("Melting_Curves/meltCurve_Q02535_ID3.pdf", "Melting_Curves/meltCurve_Q02535_ID3.pdf")</f>
        <v>Melting_Curves/meltCurve_Q02535_ID3.pdf</v>
      </c>
    </row>
    <row r="2733" spans="1:28" x14ac:dyDescent="0.25">
      <c r="A2733" t="s">
        <v>2737</v>
      </c>
      <c r="B2733">
        <v>0.99987803227770999</v>
      </c>
      <c r="C2733">
        <v>1.4410659155409</v>
      </c>
      <c r="D2733">
        <v>1.41162640751701</v>
      </c>
      <c r="E2733">
        <v>1.1448562996545799</v>
      </c>
      <c r="F2733">
        <v>0.67991196351954697</v>
      </c>
      <c r="G2733">
        <v>0.30401124021581299</v>
      </c>
      <c r="H2733">
        <v>0.148634235162454</v>
      </c>
      <c r="I2733">
        <v>0.116376269635995</v>
      </c>
      <c r="J2733">
        <v>0.10903994298912099</v>
      </c>
      <c r="K2733">
        <v>6.8539842005674798E-2</v>
      </c>
      <c r="L2733">
        <v>1965.6085552884099</v>
      </c>
      <c r="M2733">
        <v>36.1382996238193</v>
      </c>
      <c r="N2733">
        <v>54.7763981918051</v>
      </c>
      <c r="O2733">
        <v>54.225559783511699</v>
      </c>
      <c r="P2733">
        <v>-0.14791999959591601</v>
      </c>
      <c r="Q2733">
        <v>0.112186591167506</v>
      </c>
      <c r="R2733">
        <v>0.85749517766669203</v>
      </c>
      <c r="S2733" t="s">
        <v>9044</v>
      </c>
      <c r="T2733" t="s">
        <v>12620</v>
      </c>
      <c r="U2733" t="s">
        <v>12620</v>
      </c>
      <c r="V2733" t="s">
        <v>12620</v>
      </c>
      <c r="W2733" t="s">
        <v>15309</v>
      </c>
      <c r="X2733">
        <v>8</v>
      </c>
      <c r="Y2733" t="s">
        <v>21483</v>
      </c>
      <c r="Z2733" t="s">
        <v>27680</v>
      </c>
      <c r="AA2733">
        <v>0.54215275907078042</v>
      </c>
      <c r="AB2733" t="str">
        <f>HYPERLINK("Melting_Curves/meltCurve_Q02543_RPL18A.pdf", "Melting_Curves/meltCurve_Q02543_RPL18A.pdf")</f>
        <v>Melting_Curves/meltCurve_Q02543_RPL18A.pdf</v>
      </c>
    </row>
    <row r="2734" spans="1:28" x14ac:dyDescent="0.25">
      <c r="A2734" t="s">
        <v>2738</v>
      </c>
      <c r="B2734">
        <v>0.99987803227770999</v>
      </c>
      <c r="C2734">
        <v>0.60851245044304003</v>
      </c>
      <c r="D2734">
        <v>1.28445610873602</v>
      </c>
      <c r="E2734">
        <v>0.77514983688285899</v>
      </c>
      <c r="F2734">
        <v>0.51574720029432597</v>
      </c>
      <c r="G2734">
        <v>0.139628538281793</v>
      </c>
      <c r="H2734">
        <v>9.4628708799342195E-2</v>
      </c>
      <c r="I2734">
        <v>7.4176229266515403E-2</v>
      </c>
      <c r="J2734">
        <v>5.4008468892543897E-2</v>
      </c>
      <c r="K2734">
        <v>3.77893141296263E-2</v>
      </c>
      <c r="L2734">
        <v>1533.7001712107201</v>
      </c>
      <c r="M2734">
        <v>29.096770163267301</v>
      </c>
      <c r="N2734">
        <v>52.931637249227897</v>
      </c>
      <c r="O2734">
        <v>52.463232291539498</v>
      </c>
      <c r="P2734">
        <v>-0.130712893439379</v>
      </c>
      <c r="Q2734">
        <v>5.7274063553598702E-2</v>
      </c>
      <c r="R2734">
        <v>0.86471449341578099</v>
      </c>
      <c r="S2734" t="s">
        <v>9045</v>
      </c>
      <c r="T2734" t="s">
        <v>12620</v>
      </c>
      <c r="U2734" t="s">
        <v>12620</v>
      </c>
      <c r="V2734" t="s">
        <v>12620</v>
      </c>
      <c r="W2734" t="s">
        <v>15310</v>
      </c>
      <c r="X2734">
        <v>15</v>
      </c>
      <c r="Y2734" t="s">
        <v>21484</v>
      </c>
      <c r="Z2734" t="s">
        <v>27681</v>
      </c>
      <c r="AA2734">
        <v>0.46315046293205142</v>
      </c>
      <c r="AB2734" t="str">
        <f>HYPERLINK("Melting_Curves/meltCurve_Q02750_MAP2K1.pdf", "Melting_Curves/meltCurve_Q02750_MAP2K1.pdf")</f>
        <v>Melting_Curves/meltCurve_Q02750_MAP2K1.pdf</v>
      </c>
    </row>
    <row r="2735" spans="1:28" x14ac:dyDescent="0.25">
      <c r="A2735" t="s">
        <v>2739</v>
      </c>
      <c r="B2735">
        <v>0.99987803227770999</v>
      </c>
      <c r="C2735">
        <v>1.0866588078374999</v>
      </c>
      <c r="D2735">
        <v>0.92886670542583605</v>
      </c>
      <c r="E2735">
        <v>0.981470968210155</v>
      </c>
      <c r="F2735">
        <v>0.36112676467053201</v>
      </c>
      <c r="G2735">
        <v>0.22760039792039299</v>
      </c>
      <c r="H2735">
        <v>0.133334342736772</v>
      </c>
      <c r="I2735">
        <v>0.109809977782483</v>
      </c>
      <c r="J2735">
        <v>8.8426303805089701E-2</v>
      </c>
      <c r="K2735">
        <v>5.4335787640801901E-2</v>
      </c>
      <c r="L2735">
        <v>3883.8479265699102</v>
      </c>
      <c r="M2735">
        <v>74.248251726122803</v>
      </c>
      <c r="N2735">
        <v>52.5066770806256</v>
      </c>
      <c r="O2735">
        <v>52.271039170317003</v>
      </c>
      <c r="P2735">
        <v>-0.31180479247577397</v>
      </c>
      <c r="Q2735">
        <v>0.121953323828285</v>
      </c>
      <c r="R2735">
        <v>0.98328670721681599</v>
      </c>
      <c r="S2735" t="s">
        <v>9046</v>
      </c>
      <c r="T2735" t="s">
        <v>12620</v>
      </c>
      <c r="U2735" t="s">
        <v>12620</v>
      </c>
      <c r="V2735" t="s">
        <v>12620</v>
      </c>
      <c r="W2735" t="s">
        <v>15311</v>
      </c>
      <c r="X2735">
        <v>40</v>
      </c>
      <c r="Y2735" t="s">
        <v>21485</v>
      </c>
      <c r="Z2735" t="s">
        <v>27682</v>
      </c>
      <c r="AA2735">
        <v>0.48313029802966773</v>
      </c>
      <c r="AB2735" t="str">
        <f>HYPERLINK("Melting_Curves/meltCurve_Q02790_FKBP4.pdf", "Melting_Curves/meltCurve_Q02790_FKBP4.pdf")</f>
        <v>Melting_Curves/meltCurve_Q02790_FKBP4.pdf</v>
      </c>
    </row>
    <row r="2736" spans="1:28" x14ac:dyDescent="0.25">
      <c r="A2736" t="s">
        <v>2740</v>
      </c>
      <c r="B2736">
        <v>0.99987803227770999</v>
      </c>
      <c r="C2736">
        <v>1.0815603415109201</v>
      </c>
      <c r="D2736">
        <v>0.84784095187582598</v>
      </c>
      <c r="E2736">
        <v>0.67045013984418</v>
      </c>
      <c r="F2736">
        <v>0.40119132010428299</v>
      </c>
      <c r="G2736">
        <v>0.25605732318857499</v>
      </c>
      <c r="H2736">
        <v>0.12876461902054201</v>
      </c>
      <c r="I2736">
        <v>0.126059946485064</v>
      </c>
      <c r="J2736">
        <v>9.8229044981950897E-2</v>
      </c>
      <c r="K2736">
        <v>7.2256935183058299E-2</v>
      </c>
      <c r="L2736">
        <v>897.32031868402498</v>
      </c>
      <c r="M2736">
        <v>17.4427706104698</v>
      </c>
      <c r="N2736">
        <v>51.982655293300603</v>
      </c>
      <c r="O2736">
        <v>50.781802131431803</v>
      </c>
      <c r="P2736">
        <v>-7.8772296308298698E-2</v>
      </c>
      <c r="Q2736">
        <v>8.2720088982155396E-2</v>
      </c>
      <c r="R2736">
        <v>0.98808550982670695</v>
      </c>
      <c r="S2736" t="s">
        <v>9047</v>
      </c>
      <c r="T2736" t="s">
        <v>12620</v>
      </c>
      <c r="U2736" t="s">
        <v>12620</v>
      </c>
      <c r="V2736" t="s">
        <v>12620</v>
      </c>
      <c r="W2736" t="s">
        <v>15312</v>
      </c>
      <c r="X2736">
        <v>6</v>
      </c>
      <c r="Y2736" t="s">
        <v>21486</v>
      </c>
      <c r="Z2736" t="s">
        <v>27683</v>
      </c>
      <c r="AA2736">
        <v>0.44886522944534518</v>
      </c>
      <c r="AB2736" t="str">
        <f>HYPERLINK("Melting_Curves/meltCurve_Q02809_PLOD1.pdf", "Melting_Curves/meltCurve_Q02809_PLOD1.pdf")</f>
        <v>Melting_Curves/meltCurve_Q02809_PLOD1.pdf</v>
      </c>
    </row>
    <row r="2737" spans="1:28" x14ac:dyDescent="0.25">
      <c r="A2737" t="s">
        <v>2741</v>
      </c>
      <c r="B2737">
        <v>0.99987803227770999</v>
      </c>
      <c r="C2737">
        <v>0.904653311409232</v>
      </c>
      <c r="D2737">
        <v>1.0049135801892499</v>
      </c>
      <c r="E2737">
        <v>0.88030061078129296</v>
      </c>
      <c r="F2737">
        <v>1.0027306340864801</v>
      </c>
      <c r="G2737">
        <v>0.84237435326895904</v>
      </c>
      <c r="H2737">
        <v>0.95456765889454698</v>
      </c>
      <c r="I2737">
        <v>0.85149072272363502</v>
      </c>
      <c r="J2737">
        <v>0.88052601782400097</v>
      </c>
      <c r="K2737">
        <v>0.73214739331168599</v>
      </c>
      <c r="L2737">
        <v>281.81150080143101</v>
      </c>
      <c r="M2737">
        <v>2.64518679663081</v>
      </c>
      <c r="Q2737">
        <v>0</v>
      </c>
      <c r="R2737">
        <v>0.49917802027167402</v>
      </c>
      <c r="S2737" t="s">
        <v>9048</v>
      </c>
      <c r="T2737" t="s">
        <v>12620</v>
      </c>
      <c r="U2737" t="s">
        <v>12620</v>
      </c>
      <c r="V2737" t="s">
        <v>12620</v>
      </c>
      <c r="W2737" t="s">
        <v>15313</v>
      </c>
      <c r="X2737">
        <v>42</v>
      </c>
      <c r="Y2737" t="s">
        <v>21487</v>
      </c>
      <c r="Z2737" t="s">
        <v>27684</v>
      </c>
      <c r="AA2737">
        <v>0.91258286185645809</v>
      </c>
      <c r="AB2737" t="str">
        <f>HYPERLINK("Melting_Curves/meltCurve_Q02818_NUCB1.pdf", "Melting_Curves/meltCurve_Q02818_NUCB1.pdf")</f>
        <v>Melting_Curves/meltCurve_Q02818_NUCB1.pdf</v>
      </c>
    </row>
    <row r="2738" spans="1:28" x14ac:dyDescent="0.25">
      <c r="A2738" t="s">
        <v>2742</v>
      </c>
      <c r="B2738">
        <v>0.99987803227770999</v>
      </c>
      <c r="C2738">
        <v>0.86770976082642903</v>
      </c>
      <c r="D2738">
        <v>0.85967309285066995</v>
      </c>
      <c r="E2738">
        <v>0.567126290171863</v>
      </c>
      <c r="F2738">
        <v>0.42276892643070102</v>
      </c>
      <c r="G2738">
        <v>0.24253694830828401</v>
      </c>
      <c r="H2738">
        <v>0.22463052376873899</v>
      </c>
      <c r="I2738">
        <v>0.18395011017990801</v>
      </c>
      <c r="J2738">
        <v>0.151701790366535</v>
      </c>
      <c r="K2738">
        <v>0.125952601507685</v>
      </c>
      <c r="L2738">
        <v>703.38551490020996</v>
      </c>
      <c r="M2738">
        <v>13.9809572899262</v>
      </c>
      <c r="N2738">
        <v>51.393262224580802</v>
      </c>
      <c r="O2738">
        <v>49.314520572530398</v>
      </c>
      <c r="P2738">
        <v>-6.1841408118709203E-2</v>
      </c>
      <c r="Q2738">
        <v>0.12759256474897701</v>
      </c>
      <c r="R2738">
        <v>0.99155013252894897</v>
      </c>
      <c r="S2738" t="s">
        <v>9049</v>
      </c>
      <c r="T2738" t="s">
        <v>12620</v>
      </c>
      <c r="U2738" t="s">
        <v>12620</v>
      </c>
      <c r="V2738" t="s">
        <v>12620</v>
      </c>
      <c r="W2738" t="s">
        <v>15314</v>
      </c>
      <c r="X2738">
        <v>5</v>
      </c>
      <c r="Y2738" t="s">
        <v>21488</v>
      </c>
      <c r="Z2738" t="s">
        <v>27685</v>
      </c>
      <c r="AA2738">
        <v>0.45064093550675138</v>
      </c>
      <c r="AB2738" t="str">
        <f>HYPERLINK("Melting_Curves/meltCurve_Q02833_3_RASSF7.pdf", "Melting_Curves/meltCurve_Q02833_3_RASSF7.pdf")</f>
        <v>Melting_Curves/meltCurve_Q02833_3_RASSF7.pdf</v>
      </c>
    </row>
    <row r="2739" spans="1:28" x14ac:dyDescent="0.25">
      <c r="A2739" t="s">
        <v>2743</v>
      </c>
      <c r="B2739">
        <v>0.99987803227770999</v>
      </c>
      <c r="C2739">
        <v>0.93379118066158795</v>
      </c>
      <c r="D2739">
        <v>0.97982123471620897</v>
      </c>
      <c r="E2739">
        <v>0.82671556394400603</v>
      </c>
      <c r="F2739">
        <v>0.78987161698572195</v>
      </c>
      <c r="G2739">
        <v>0.678924986672236</v>
      </c>
      <c r="H2739">
        <v>0.73007862757227404</v>
      </c>
      <c r="I2739">
        <v>0.70005795613653998</v>
      </c>
      <c r="J2739">
        <v>0.74179615923796205</v>
      </c>
      <c r="K2739">
        <v>0.53834656812610304</v>
      </c>
      <c r="L2739">
        <v>585.57525078940705</v>
      </c>
      <c r="M2739">
        <v>11.3347619762812</v>
      </c>
      <c r="O2739">
        <v>50.132200304501801</v>
      </c>
      <c r="P2739">
        <v>-2.0814602844037199E-2</v>
      </c>
      <c r="Q2739">
        <v>0.63186919669579</v>
      </c>
      <c r="R2739">
        <v>0.84752388301862902</v>
      </c>
      <c r="S2739" t="s">
        <v>9050</v>
      </c>
      <c r="T2739" t="s">
        <v>12620</v>
      </c>
      <c r="U2739" t="s">
        <v>12620</v>
      </c>
      <c r="V2739" t="s">
        <v>12620</v>
      </c>
      <c r="W2739" t="s">
        <v>15315</v>
      </c>
      <c r="X2739">
        <v>9</v>
      </c>
      <c r="Y2739" t="s">
        <v>21489</v>
      </c>
      <c r="Z2739" t="s">
        <v>27686</v>
      </c>
      <c r="AA2739">
        <v>0.78738155813914135</v>
      </c>
      <c r="AB2739" t="str">
        <f>HYPERLINK("Melting_Curves/meltCurve_Q02880_2_TOP2B.pdf", "Melting_Curves/meltCurve_Q02880_2_TOP2B.pdf")</f>
        <v>Melting_Curves/meltCurve_Q02880_2_TOP2B.pdf</v>
      </c>
    </row>
    <row r="2740" spans="1:28" x14ac:dyDescent="0.25">
      <c r="A2740" t="s">
        <v>2744</v>
      </c>
      <c r="B2740">
        <v>0.99987803227770999</v>
      </c>
      <c r="C2740">
        <v>0.89552118207624898</v>
      </c>
      <c r="D2740">
        <v>0.99923422124303696</v>
      </c>
      <c r="E2740">
        <v>0.94306029520276102</v>
      </c>
      <c r="F2740">
        <v>1.0781347343940999</v>
      </c>
      <c r="G2740">
        <v>1.0476341424997799</v>
      </c>
      <c r="H2740">
        <v>1.11235387978955</v>
      </c>
      <c r="I2740">
        <v>1.0893327585725301</v>
      </c>
      <c r="J2740">
        <v>1.1047768975915899</v>
      </c>
      <c r="K2740">
        <v>0.833208128061106</v>
      </c>
      <c r="L2740">
        <v>15000</v>
      </c>
      <c r="M2740">
        <v>212.67710364046599</v>
      </c>
      <c r="Q2740">
        <v>0</v>
      </c>
      <c r="R2740">
        <v>0.33081332109360101</v>
      </c>
      <c r="S2740" t="s">
        <v>9051</v>
      </c>
      <c r="T2740" t="s">
        <v>12620</v>
      </c>
      <c r="U2740" t="s">
        <v>12620</v>
      </c>
      <c r="V2740" t="s">
        <v>12620</v>
      </c>
      <c r="W2740" t="s">
        <v>15316</v>
      </c>
      <c r="X2740">
        <v>64</v>
      </c>
      <c r="Y2740" t="s">
        <v>21490</v>
      </c>
      <c r="Z2740" t="s">
        <v>27687</v>
      </c>
      <c r="AA2740">
        <v>0.9980323523229101</v>
      </c>
      <c r="AB2740" t="str">
        <f>HYPERLINK("Melting_Curves/meltCurve_Q02952_3_AKAP12.pdf", "Melting_Curves/meltCurve_Q02952_3_AKAP12.pdf")</f>
        <v>Melting_Curves/meltCurve_Q02952_3_AKAP12.pdf</v>
      </c>
    </row>
    <row r="2741" spans="1:28" x14ac:dyDescent="0.25">
      <c r="A2741" t="s">
        <v>2745</v>
      </c>
      <c r="B2741">
        <v>0.99987803227770999</v>
      </c>
      <c r="C2741">
        <v>1.2348954885472501</v>
      </c>
      <c r="D2741">
        <v>0.86044916087863499</v>
      </c>
      <c r="E2741">
        <v>1.03302394707106</v>
      </c>
      <c r="F2741">
        <v>0.39168945815556799</v>
      </c>
      <c r="G2741">
        <v>0.27244043244099198</v>
      </c>
      <c r="H2741">
        <v>0.214694752564425</v>
      </c>
      <c r="I2741">
        <v>0.19195752672577501</v>
      </c>
      <c r="J2741">
        <v>0.154069516867721</v>
      </c>
      <c r="K2741">
        <v>0.102318851313103</v>
      </c>
      <c r="L2741">
        <v>13192.2480002176</v>
      </c>
      <c r="M2741">
        <v>250</v>
      </c>
      <c r="N2741">
        <v>52.868099751296398</v>
      </c>
      <c r="O2741">
        <v>52.765615127087401</v>
      </c>
      <c r="P2741">
        <v>-0.96287113980498695</v>
      </c>
      <c r="Q2741">
        <v>0.18709619314602499</v>
      </c>
      <c r="R2741">
        <v>0.94585833311450596</v>
      </c>
      <c r="S2741" t="s">
        <v>9052</v>
      </c>
      <c r="T2741" t="s">
        <v>12620</v>
      </c>
      <c r="U2741" t="s">
        <v>12620</v>
      </c>
      <c r="V2741" t="s">
        <v>12620</v>
      </c>
      <c r="W2741" t="s">
        <v>15317</v>
      </c>
      <c r="X2741">
        <v>81</v>
      </c>
      <c r="Y2741" t="s">
        <v>21491</v>
      </c>
      <c r="Z2741" t="s">
        <v>27688</v>
      </c>
      <c r="AA2741">
        <v>0.53317021539917886</v>
      </c>
      <c r="AB2741" t="str">
        <f>HYPERLINK("Melting_Curves/meltCurve_Q03001_DST.pdf", "Melting_Curves/meltCurve_Q03001_DST.pdf")</f>
        <v>Melting_Curves/meltCurve_Q03001_DST.pdf</v>
      </c>
    </row>
    <row r="2742" spans="1:28" x14ac:dyDescent="0.25">
      <c r="A2742" t="s">
        <v>2746</v>
      </c>
      <c r="B2742">
        <v>0.99987803227770999</v>
      </c>
      <c r="C2742">
        <v>0.98464809738562697</v>
      </c>
      <c r="D2742">
        <v>1.02273275274951</v>
      </c>
      <c r="E2742">
        <v>0.98519253150797104</v>
      </c>
      <c r="F2742">
        <v>1.0358296282572399</v>
      </c>
      <c r="G2742">
        <v>0.88768991621842896</v>
      </c>
      <c r="H2742">
        <v>0.46960353958745799</v>
      </c>
      <c r="I2742">
        <v>0.22999448903235201</v>
      </c>
      <c r="J2742">
        <v>0.169071376143584</v>
      </c>
      <c r="K2742">
        <v>0.115920926600003</v>
      </c>
      <c r="L2742">
        <v>2059.19934812561</v>
      </c>
      <c r="M2742">
        <v>34.177513355579002</v>
      </c>
      <c r="N2742">
        <v>60.7607698138182</v>
      </c>
      <c r="O2742">
        <v>60.044977662587399</v>
      </c>
      <c r="P2742">
        <v>-0.124536455469295</v>
      </c>
      <c r="Q2742">
        <v>0.124832852133352</v>
      </c>
      <c r="R2742">
        <v>0.99753295501605399</v>
      </c>
      <c r="S2742" t="s">
        <v>9053</v>
      </c>
      <c r="T2742" t="s">
        <v>12620</v>
      </c>
      <c r="U2742" t="s">
        <v>12620</v>
      </c>
      <c r="V2742" t="s">
        <v>12620</v>
      </c>
      <c r="W2742" t="s">
        <v>15318</v>
      </c>
      <c r="X2742">
        <v>4</v>
      </c>
      <c r="Y2742" t="s">
        <v>21492</v>
      </c>
      <c r="Z2742" t="s">
        <v>27689</v>
      </c>
      <c r="AA2742">
        <v>0.71994770082040038</v>
      </c>
      <c r="AB2742" t="str">
        <f>HYPERLINK("Melting_Curves/meltCurve_Q03111_MLLT1.pdf", "Melting_Curves/meltCurve_Q03111_MLLT1.pdf")</f>
        <v>Melting_Curves/meltCurve_Q03111_MLLT1.pdf</v>
      </c>
    </row>
    <row r="2743" spans="1:28" x14ac:dyDescent="0.25">
      <c r="A2743" t="s">
        <v>2747</v>
      </c>
      <c r="B2743">
        <v>0.99987803227770999</v>
      </c>
      <c r="C2743">
        <v>0.78962149175884</v>
      </c>
      <c r="D2743">
        <v>0.88394467544039501</v>
      </c>
      <c r="E2743">
        <v>0.79589001308207397</v>
      </c>
      <c r="F2743">
        <v>0.98288284391078395</v>
      </c>
      <c r="G2743">
        <v>0.65852578094958802</v>
      </c>
      <c r="H2743">
        <v>0.80438315216606404</v>
      </c>
      <c r="I2743">
        <v>0.72584208170578401</v>
      </c>
      <c r="J2743">
        <v>0.96735486054360598</v>
      </c>
      <c r="K2743">
        <v>0.81136293314472296</v>
      </c>
      <c r="L2743">
        <v>10247.7764510574</v>
      </c>
      <c r="M2743">
        <v>250</v>
      </c>
      <c r="O2743">
        <v>40.988482636315602</v>
      </c>
      <c r="P2743">
        <v>-0.26772320204949102</v>
      </c>
      <c r="Q2743">
        <v>0.82442291507040799</v>
      </c>
      <c r="R2743">
        <v>0.23756197655811201</v>
      </c>
      <c r="S2743" t="s">
        <v>9054</v>
      </c>
      <c r="T2743" t="s">
        <v>12620</v>
      </c>
      <c r="U2743" t="s">
        <v>12620</v>
      </c>
      <c r="V2743" t="s">
        <v>12620</v>
      </c>
      <c r="W2743" t="s">
        <v>15319</v>
      </c>
      <c r="X2743">
        <v>2</v>
      </c>
      <c r="Y2743" t="s">
        <v>21493</v>
      </c>
      <c r="Z2743" t="s">
        <v>27690</v>
      </c>
      <c r="AA2743">
        <v>0.83023791000860037</v>
      </c>
      <c r="AB2743" t="str">
        <f>HYPERLINK("Melting_Curves/meltCurve_Q03135_CAV1.pdf", "Melting_Curves/meltCurve_Q03135_CAV1.pdf")</f>
        <v>Melting_Curves/meltCurve_Q03135_CAV1.pdf</v>
      </c>
    </row>
    <row r="2744" spans="1:28" x14ac:dyDescent="0.25">
      <c r="A2744" t="s">
        <v>2748</v>
      </c>
      <c r="B2744">
        <v>0.99987803227770999</v>
      </c>
      <c r="C2744">
        <v>1.0354306543093099</v>
      </c>
      <c r="D2744">
        <v>1.03535394857344</v>
      </c>
      <c r="E2744">
        <v>1.0197953305171299</v>
      </c>
      <c r="F2744">
        <v>0.99092185023769597</v>
      </c>
      <c r="G2744">
        <v>0.80839551161600298</v>
      </c>
      <c r="H2744">
        <v>0.78453751596155896</v>
      </c>
      <c r="I2744">
        <v>0.53926243264762097</v>
      </c>
      <c r="J2744">
        <v>0.3779072004347</v>
      </c>
      <c r="K2744">
        <v>0.22670763123121901</v>
      </c>
      <c r="L2744">
        <v>1009.30896080303</v>
      </c>
      <c r="M2744">
        <v>15.5714772876058</v>
      </c>
      <c r="N2744">
        <v>64.8178040234869</v>
      </c>
      <c r="O2744">
        <v>63.7770060463302</v>
      </c>
      <c r="P2744">
        <v>-6.1044076595322301E-2</v>
      </c>
      <c r="Q2744">
        <v>0</v>
      </c>
      <c r="R2744">
        <v>0.981337846968245</v>
      </c>
      <c r="S2744" t="s">
        <v>9055</v>
      </c>
      <c r="T2744" t="s">
        <v>12620</v>
      </c>
      <c r="U2744" t="s">
        <v>12620</v>
      </c>
      <c r="V2744" t="s">
        <v>12620</v>
      </c>
      <c r="W2744" t="s">
        <v>15320</v>
      </c>
      <c r="X2744">
        <v>16</v>
      </c>
      <c r="Y2744" t="s">
        <v>21494</v>
      </c>
      <c r="Z2744" t="s">
        <v>27691</v>
      </c>
      <c r="AA2744">
        <v>0.80544997159280096</v>
      </c>
      <c r="AB2744" t="str">
        <f>HYPERLINK("Melting_Curves/meltCurve_Q03154_ACY1.pdf", "Melting_Curves/meltCurve_Q03154_ACY1.pdf")</f>
        <v>Melting_Curves/meltCurve_Q03154_ACY1.pdf</v>
      </c>
    </row>
    <row r="2745" spans="1:28" x14ac:dyDescent="0.25">
      <c r="A2745" t="s">
        <v>2749</v>
      </c>
      <c r="B2745">
        <v>0.99987803227770999</v>
      </c>
      <c r="C2745">
        <v>0.90453276906389102</v>
      </c>
      <c r="D2745">
        <v>0.94962350143733498</v>
      </c>
      <c r="E2745">
        <v>0.91223144955854396</v>
      </c>
      <c r="F2745">
        <v>1.0403468830187601</v>
      </c>
      <c r="G2745">
        <v>0.93019090811446803</v>
      </c>
      <c r="H2745">
        <v>1.0496261609485</v>
      </c>
      <c r="I2745">
        <v>1.03426313485112</v>
      </c>
      <c r="J2745">
        <v>0.83134168803036401</v>
      </c>
      <c r="K2745">
        <v>0.66870997721038405</v>
      </c>
      <c r="L2745">
        <v>15000</v>
      </c>
      <c r="M2745">
        <v>223.916796095405</v>
      </c>
      <c r="O2745">
        <v>66.983832400694894</v>
      </c>
      <c r="P2745">
        <v>-0.27688214131240402</v>
      </c>
      <c r="Q2745">
        <v>0.668687205599376</v>
      </c>
      <c r="R2745">
        <v>0.75735944443275105</v>
      </c>
      <c r="S2745" t="s">
        <v>9056</v>
      </c>
      <c r="T2745" t="s">
        <v>12620</v>
      </c>
      <c r="U2745" t="s">
        <v>12620</v>
      </c>
      <c r="V2745" t="s">
        <v>12620</v>
      </c>
      <c r="W2745" t="s">
        <v>15321</v>
      </c>
      <c r="X2745">
        <v>4</v>
      </c>
      <c r="Y2745" t="s">
        <v>21495</v>
      </c>
      <c r="Z2745" t="s">
        <v>27692</v>
      </c>
      <c r="AA2745">
        <v>0.96679741818128673</v>
      </c>
      <c r="AB2745" t="str">
        <f>HYPERLINK("Melting_Curves/meltCurve_Q03164_2_MLL.pdf", "Melting_Curves/meltCurve_Q03164_2_MLL.pdf")</f>
        <v>Melting_Curves/meltCurve_Q03164_2_MLL.pdf</v>
      </c>
    </row>
    <row r="2746" spans="1:28" x14ac:dyDescent="0.25">
      <c r="A2746" t="s">
        <v>2750</v>
      </c>
      <c r="B2746">
        <v>0.99987803227770999</v>
      </c>
      <c r="C2746">
        <v>0.90318677270817005</v>
      </c>
      <c r="D2746">
        <v>0.64853101329114904</v>
      </c>
      <c r="E2746">
        <v>0.26437969356728402</v>
      </c>
      <c r="F2746">
        <v>0.15267495243705501</v>
      </c>
      <c r="G2746">
        <v>8.93993109221181E-2</v>
      </c>
      <c r="H2746">
        <v>6.3491255846936503E-2</v>
      </c>
      <c r="I2746">
        <v>5.4609178184596201E-2</v>
      </c>
      <c r="J2746">
        <v>3.80184893218442E-2</v>
      </c>
      <c r="K2746">
        <v>2.5438700230785101E-2</v>
      </c>
      <c r="L2746">
        <v>985.29451370452</v>
      </c>
      <c r="M2746">
        <v>20.8621479890015</v>
      </c>
      <c r="N2746">
        <v>47.453677026177502</v>
      </c>
      <c r="O2746">
        <v>46.801288670639501</v>
      </c>
      <c r="P2746">
        <v>-0.106198420175698</v>
      </c>
      <c r="Q2746">
        <v>4.70614987029183E-2</v>
      </c>
      <c r="R2746">
        <v>0.99854234125222996</v>
      </c>
      <c r="S2746" t="s">
        <v>9057</v>
      </c>
      <c r="T2746" t="s">
        <v>12620</v>
      </c>
      <c r="U2746" t="s">
        <v>12620</v>
      </c>
      <c r="V2746" t="s">
        <v>12620</v>
      </c>
      <c r="W2746" t="s">
        <v>15322</v>
      </c>
      <c r="X2746">
        <v>24</v>
      </c>
      <c r="Y2746" t="s">
        <v>21496</v>
      </c>
      <c r="Z2746" t="s">
        <v>27693</v>
      </c>
      <c r="AA2746">
        <v>0.28929014965047711</v>
      </c>
      <c r="AB2746" t="str">
        <f>HYPERLINK("Melting_Curves/meltCurve_Q03169_TNFAIP2.pdf", "Melting_Curves/meltCurve_Q03169_TNFAIP2.pdf")</f>
        <v>Melting_Curves/meltCurve_Q03169_TNFAIP2.pdf</v>
      </c>
    </row>
    <row r="2747" spans="1:28" x14ac:dyDescent="0.25">
      <c r="A2747" t="s">
        <v>2751</v>
      </c>
      <c r="B2747">
        <v>0.99987803227770999</v>
      </c>
      <c r="C2747">
        <v>0.90851131478368896</v>
      </c>
      <c r="D2747">
        <v>0.99390707949080004</v>
      </c>
      <c r="E2747">
        <v>0.893817076537885</v>
      </c>
      <c r="F2747">
        <v>0.910744690757325</v>
      </c>
      <c r="G2747">
        <v>0.60682161218418296</v>
      </c>
      <c r="H2747">
        <v>0.55240970372809595</v>
      </c>
      <c r="I2747">
        <v>0.50615221122242005</v>
      </c>
      <c r="J2747">
        <v>0.46663310708066003</v>
      </c>
      <c r="K2747">
        <v>0.39448675836553398</v>
      </c>
      <c r="L2747">
        <v>906.64021049069197</v>
      </c>
      <c r="M2747">
        <v>16.1224083998348</v>
      </c>
      <c r="N2747">
        <v>62.718551088083402</v>
      </c>
      <c r="O2747">
        <v>55.390969110824003</v>
      </c>
      <c r="P2747">
        <v>-4.3258087580187399E-2</v>
      </c>
      <c r="Q2747">
        <v>0.405566464832603</v>
      </c>
      <c r="R2747">
        <v>0.95904606115576796</v>
      </c>
      <c r="S2747" t="s">
        <v>9058</v>
      </c>
      <c r="T2747" t="s">
        <v>12620</v>
      </c>
      <c r="U2747" t="s">
        <v>12620</v>
      </c>
      <c r="V2747" t="s">
        <v>12620</v>
      </c>
      <c r="W2747" t="s">
        <v>15323</v>
      </c>
      <c r="X2747">
        <v>20</v>
      </c>
      <c r="Y2747" t="s">
        <v>21497</v>
      </c>
      <c r="Z2747" t="s">
        <v>27694</v>
      </c>
      <c r="AA2747">
        <v>0.73692869392409266</v>
      </c>
      <c r="AB2747" t="str">
        <f>HYPERLINK("Melting_Curves/meltCurve_Q03252_LMNB2.pdf", "Melting_Curves/meltCurve_Q03252_LMNB2.pdf")</f>
        <v>Melting_Curves/meltCurve_Q03252_LMNB2.pdf</v>
      </c>
    </row>
    <row r="2748" spans="1:28" x14ac:dyDescent="0.25">
      <c r="A2748" t="s">
        <v>2752</v>
      </c>
      <c r="B2748">
        <v>0.99987803227770999</v>
      </c>
      <c r="C2748">
        <v>0.95461127031907</v>
      </c>
      <c r="D2748">
        <v>1.0611106688382801</v>
      </c>
      <c r="E2748">
        <v>0.92504780686513</v>
      </c>
      <c r="F2748">
        <v>0.87437910854451995</v>
      </c>
      <c r="G2748">
        <v>0.67079741065338405</v>
      </c>
      <c r="H2748">
        <v>0.408977397502991</v>
      </c>
      <c r="I2748">
        <v>0.197669813137515</v>
      </c>
      <c r="J2748">
        <v>0.10912676510335299</v>
      </c>
      <c r="K2748">
        <v>6.9559093177691406E-2</v>
      </c>
      <c r="L2748">
        <v>1020.57913158034</v>
      </c>
      <c r="M2748">
        <v>17.210412082345499</v>
      </c>
      <c r="N2748">
        <v>59.300098832102897</v>
      </c>
      <c r="O2748">
        <v>58.516851454217601</v>
      </c>
      <c r="P2748">
        <v>-7.3531918001991797E-2</v>
      </c>
      <c r="Q2748">
        <v>0</v>
      </c>
      <c r="R2748">
        <v>0.993302828485365</v>
      </c>
      <c r="S2748" t="s">
        <v>9059</v>
      </c>
      <c r="T2748" t="s">
        <v>12620</v>
      </c>
      <c r="U2748" t="s">
        <v>12620</v>
      </c>
      <c r="V2748" t="s">
        <v>12620</v>
      </c>
      <c r="W2748" t="s">
        <v>15324</v>
      </c>
      <c r="X2748">
        <v>1</v>
      </c>
      <c r="Y2748" t="s">
        <v>21498</v>
      </c>
      <c r="Z2748" t="s">
        <v>27695</v>
      </c>
      <c r="AA2748">
        <v>0.6533131084432201</v>
      </c>
      <c r="AB2748" t="str">
        <f>HYPERLINK("Melting_Curves/meltCurve_Q03393_PTS.pdf", "Melting_Curves/meltCurve_Q03393_PTS.pdf")</f>
        <v>Melting_Curves/meltCurve_Q03393_PTS.pdf</v>
      </c>
    </row>
    <row r="2749" spans="1:28" x14ac:dyDescent="0.25">
      <c r="A2749" t="s">
        <v>2753</v>
      </c>
      <c r="B2749">
        <v>0.99987803227770999</v>
      </c>
      <c r="C2749">
        <v>0.85768496038998199</v>
      </c>
      <c r="D2749">
        <v>1.01717774871643</v>
      </c>
      <c r="E2749">
        <v>0.86015533221543194</v>
      </c>
      <c r="F2749">
        <v>1.0133407337323701</v>
      </c>
      <c r="G2749">
        <v>0.85734452774926895</v>
      </c>
      <c r="H2749">
        <v>0.98620169668226298</v>
      </c>
      <c r="I2749">
        <v>1.0092710561490299</v>
      </c>
      <c r="J2749">
        <v>0.88309097481602306</v>
      </c>
      <c r="K2749">
        <v>0.783326528774557</v>
      </c>
      <c r="L2749">
        <v>147.23875200192501</v>
      </c>
      <c r="M2749">
        <v>9.5294070537006698E-2</v>
      </c>
      <c r="O2749">
        <v>60.610870382219296</v>
      </c>
      <c r="P2749">
        <v>-3.2281584676658601E-3</v>
      </c>
      <c r="Q2749">
        <v>0</v>
      </c>
      <c r="R2749">
        <v>0.103719399498876</v>
      </c>
      <c r="S2749" t="s">
        <v>9060</v>
      </c>
      <c r="T2749" t="s">
        <v>12620</v>
      </c>
      <c r="U2749" t="s">
        <v>12620</v>
      </c>
      <c r="V2749" t="s">
        <v>12620</v>
      </c>
      <c r="W2749" t="s">
        <v>15325</v>
      </c>
      <c r="X2749">
        <v>6</v>
      </c>
      <c r="Y2749" t="s">
        <v>21499</v>
      </c>
      <c r="Z2749" t="s">
        <v>27696</v>
      </c>
      <c r="AA2749">
        <v>0.92894890504989691</v>
      </c>
      <c r="AB2749" t="str">
        <f>HYPERLINK("Melting_Curves/meltCurve_Q03468_ERCC6.pdf", "Melting_Curves/meltCurve_Q03468_ERCC6.pdf")</f>
        <v>Melting_Curves/meltCurve_Q03468_ERCC6.pdf</v>
      </c>
    </row>
    <row r="2750" spans="1:28" x14ac:dyDescent="0.25">
      <c r="A2750" t="s">
        <v>2754</v>
      </c>
      <c r="B2750">
        <v>0.99987803227770999</v>
      </c>
      <c r="C2750">
        <v>0.92121779918711</v>
      </c>
      <c r="D2750">
        <v>0.99926645401259495</v>
      </c>
      <c r="E2750">
        <v>0.88285212096366295</v>
      </c>
      <c r="F2750">
        <v>1.0657923049897799</v>
      </c>
      <c r="G2750">
        <v>0.98589206597620604</v>
      </c>
      <c r="H2750">
        <v>0.937821168278691</v>
      </c>
      <c r="I2750">
        <v>0.97196050598166495</v>
      </c>
      <c r="J2750">
        <v>1.06083944961996</v>
      </c>
      <c r="K2750">
        <v>0.82202858112869304</v>
      </c>
      <c r="L2750">
        <v>15000</v>
      </c>
      <c r="M2750">
        <v>212.755520186154</v>
      </c>
      <c r="Q2750">
        <v>0</v>
      </c>
      <c r="R2750">
        <v>0.36973422574472697</v>
      </c>
      <c r="S2750" t="s">
        <v>9061</v>
      </c>
      <c r="T2750" t="s">
        <v>12620</v>
      </c>
      <c r="U2750" t="s">
        <v>12620</v>
      </c>
      <c r="V2750" t="s">
        <v>12620</v>
      </c>
      <c r="W2750" t="s">
        <v>15326</v>
      </c>
      <c r="X2750">
        <v>2</v>
      </c>
      <c r="Y2750" t="s">
        <v>21500</v>
      </c>
      <c r="Z2750" t="s">
        <v>27697</v>
      </c>
      <c r="AA2750">
        <v>0.99788669452271639</v>
      </c>
      <c r="AB2750" t="str">
        <f>HYPERLINK("Melting_Curves/meltCurve_Q03701_CEBPZ.pdf", "Melting_Curves/meltCurve_Q03701_CEBPZ.pdf")</f>
        <v>Melting_Curves/meltCurve_Q03701_CEBPZ.pdf</v>
      </c>
    </row>
    <row r="2751" spans="1:28" x14ac:dyDescent="0.25">
      <c r="A2751" t="s">
        <v>2755</v>
      </c>
      <c r="B2751">
        <v>0.99987803227770999</v>
      </c>
      <c r="C2751">
        <v>1.1144174621784899</v>
      </c>
      <c r="D2751">
        <v>0.950933181198926</v>
      </c>
      <c r="E2751">
        <v>1.13297576270155</v>
      </c>
      <c r="F2751">
        <v>1.1971898312198199</v>
      </c>
      <c r="G2751">
        <v>1.48850301487863</v>
      </c>
      <c r="H2751">
        <v>1.3475281789956099</v>
      </c>
      <c r="I2751">
        <v>0.88144647763222905</v>
      </c>
      <c r="J2751">
        <v>0.58647189499753405</v>
      </c>
      <c r="K2751">
        <v>0.380458648981503</v>
      </c>
      <c r="L2751">
        <v>3955.4383043780399</v>
      </c>
      <c r="M2751">
        <v>59.730966616285002</v>
      </c>
      <c r="N2751">
        <v>67.674391192710601</v>
      </c>
      <c r="O2751">
        <v>66.146782560664704</v>
      </c>
      <c r="P2751">
        <v>-0.144168772533219</v>
      </c>
      <c r="Q2751">
        <v>0.36138330271430802</v>
      </c>
      <c r="R2751">
        <v>0.56328665474557005</v>
      </c>
      <c r="S2751" t="s">
        <v>9062</v>
      </c>
      <c r="T2751" t="s">
        <v>12620</v>
      </c>
      <c r="U2751" t="s">
        <v>12620</v>
      </c>
      <c r="V2751" t="s">
        <v>12620</v>
      </c>
      <c r="W2751" t="s">
        <v>15327</v>
      </c>
      <c r="X2751">
        <v>1</v>
      </c>
      <c r="Y2751" t="s">
        <v>21501</v>
      </c>
      <c r="Z2751" t="s">
        <v>27698</v>
      </c>
      <c r="AA2751">
        <v>0.91979111378543266</v>
      </c>
      <c r="AB2751" t="str">
        <f>HYPERLINK("Melting_Curves/meltCurve_Q03933_2_HSF2.pdf", "Melting_Curves/meltCurve_Q03933_2_HSF2.pdf")</f>
        <v>Melting_Curves/meltCurve_Q03933_2_HSF2.pdf</v>
      </c>
    </row>
    <row r="2752" spans="1:28" x14ac:dyDescent="0.25">
      <c r="A2752" t="s">
        <v>2756</v>
      </c>
      <c r="B2752">
        <v>0.99987803227770999</v>
      </c>
      <c r="C2752">
        <v>1.03019438358504</v>
      </c>
      <c r="D2752">
        <v>1.0631377677603699</v>
      </c>
      <c r="E2752">
        <v>0.75569289238250903</v>
      </c>
      <c r="F2752">
        <v>0.23864154029526399</v>
      </c>
      <c r="G2752">
        <v>0.16810231551941801</v>
      </c>
      <c r="H2752">
        <v>0.12490643854695301</v>
      </c>
      <c r="I2752">
        <v>0.115274299101119</v>
      </c>
      <c r="J2752">
        <v>7.1835045582697196E-2</v>
      </c>
      <c r="K2752">
        <v>5.5332020266218501E-2</v>
      </c>
      <c r="L2752">
        <v>2395.4700276642802</v>
      </c>
      <c r="M2752">
        <v>46.915863998146001</v>
      </c>
      <c r="N2752">
        <v>51.316884318806302</v>
      </c>
      <c r="O2752">
        <v>50.966341617169697</v>
      </c>
      <c r="P2752">
        <v>-0.20594989866476901</v>
      </c>
      <c r="Q2752">
        <v>0.105078714057609</v>
      </c>
      <c r="R2752">
        <v>0.99266152150446396</v>
      </c>
      <c r="S2752" t="s">
        <v>9063</v>
      </c>
      <c r="T2752" t="s">
        <v>12620</v>
      </c>
      <c r="U2752" t="s">
        <v>12620</v>
      </c>
      <c r="V2752" t="s">
        <v>12620</v>
      </c>
      <c r="W2752" t="s">
        <v>15328</v>
      </c>
      <c r="X2752">
        <v>18</v>
      </c>
      <c r="Y2752" t="s">
        <v>21502</v>
      </c>
      <c r="Z2752" t="s">
        <v>27699</v>
      </c>
      <c r="AA2752">
        <v>0.4372629103327797</v>
      </c>
      <c r="AB2752" t="str">
        <f>HYPERLINK("Melting_Curves/meltCurve_Q04446_GBE1.pdf", "Melting_Curves/meltCurve_Q04446_GBE1.pdf")</f>
        <v>Melting_Curves/meltCurve_Q04446_GBE1.pdf</v>
      </c>
    </row>
    <row r="2753" spans="1:28" x14ac:dyDescent="0.25">
      <c r="A2753" t="s">
        <v>2757</v>
      </c>
      <c r="B2753">
        <v>0.99987803227770999</v>
      </c>
      <c r="C2753">
        <v>1.0590692163581199</v>
      </c>
      <c r="D2753">
        <v>1.04002293654972</v>
      </c>
      <c r="E2753">
        <v>0.78652022067503302</v>
      </c>
      <c r="F2753">
        <v>0.82170222780734803</v>
      </c>
      <c r="G2753">
        <v>0.43865605668368102</v>
      </c>
      <c r="H2753">
        <v>0.23255830199904901</v>
      </c>
      <c r="I2753">
        <v>0.19223389887893899</v>
      </c>
      <c r="J2753">
        <v>0.101199188973741</v>
      </c>
      <c r="K2753">
        <v>6.1625799003983101E-2</v>
      </c>
      <c r="L2753">
        <v>930.64322253035004</v>
      </c>
      <c r="M2753">
        <v>16.546090616596501</v>
      </c>
      <c r="N2753">
        <v>56.533477755231402</v>
      </c>
      <c r="O2753">
        <v>55.443168558388898</v>
      </c>
      <c r="P2753">
        <v>-7.1598159179117604E-2</v>
      </c>
      <c r="Q2753">
        <v>4.0412030058609501E-2</v>
      </c>
      <c r="R2753">
        <v>0.981367428452527</v>
      </c>
      <c r="S2753" t="s">
        <v>9064</v>
      </c>
      <c r="T2753" t="s">
        <v>12620</v>
      </c>
      <c r="U2753" t="s">
        <v>12620</v>
      </c>
      <c r="V2753" t="s">
        <v>12620</v>
      </c>
      <c r="W2753" t="s">
        <v>15329</v>
      </c>
      <c r="X2753">
        <v>1</v>
      </c>
      <c r="Y2753" t="s">
        <v>21503</v>
      </c>
      <c r="Z2753" t="s">
        <v>27700</v>
      </c>
      <c r="AA2753">
        <v>0.57527214093639356</v>
      </c>
      <c r="AB2753" t="str">
        <f>HYPERLINK("Melting_Curves/meltCurve_Q04656_5_ATP7A.pdf", "Melting_Curves/meltCurve_Q04656_5_ATP7A.pdf")</f>
        <v>Melting_Curves/meltCurve_Q04656_5_ATP7A.pdf</v>
      </c>
    </row>
    <row r="2754" spans="1:28" x14ac:dyDescent="0.25">
      <c r="A2754" t="s">
        <v>2758</v>
      </c>
      <c r="B2754">
        <v>0.99987803227770999</v>
      </c>
      <c r="C2754">
        <v>1.1237447494242301</v>
      </c>
      <c r="D2754">
        <v>1.6397775950057201</v>
      </c>
      <c r="E2754">
        <v>1.12337405427023</v>
      </c>
      <c r="F2754">
        <v>0.92504575187659599</v>
      </c>
      <c r="G2754">
        <v>1.1445311191435299</v>
      </c>
      <c r="H2754">
        <v>1.52118976993878</v>
      </c>
      <c r="I2754">
        <v>1.35584367337934</v>
      </c>
      <c r="J2754">
        <v>0.18289423371701399</v>
      </c>
      <c r="K2754">
        <v>9.8078367178587297E-2</v>
      </c>
      <c r="L2754">
        <v>15000</v>
      </c>
      <c r="M2754">
        <v>226.12189875671899</v>
      </c>
      <c r="N2754">
        <v>66.399369066740505</v>
      </c>
      <c r="O2754">
        <v>66.330714114623902</v>
      </c>
      <c r="P2754">
        <v>-0.769412963741682</v>
      </c>
      <c r="Q2754">
        <v>9.7200042736759307E-2</v>
      </c>
      <c r="R2754">
        <v>0.63113127762014798</v>
      </c>
      <c r="S2754" t="s">
        <v>9065</v>
      </c>
      <c r="T2754" t="s">
        <v>12620</v>
      </c>
      <c r="U2754" t="s">
        <v>12620</v>
      </c>
      <c r="V2754" t="s">
        <v>12620</v>
      </c>
      <c r="W2754" t="s">
        <v>15330</v>
      </c>
      <c r="X2754">
        <v>11</v>
      </c>
      <c r="Y2754" t="s">
        <v>21504</v>
      </c>
      <c r="Z2754" t="s">
        <v>27701</v>
      </c>
      <c r="AA2754">
        <v>0.88986347371754915</v>
      </c>
      <c r="AB2754" t="str">
        <f>HYPERLINK("Melting_Curves/meltCurve_Q04695_KRT17.pdf", "Melting_Curves/meltCurve_Q04695_KRT17.pdf")</f>
        <v>Melting_Curves/meltCurve_Q04695_KRT17.pdf</v>
      </c>
    </row>
    <row r="2755" spans="1:28" x14ac:dyDescent="0.25">
      <c r="A2755" t="s">
        <v>2759</v>
      </c>
      <c r="B2755">
        <v>0.99987803227770999</v>
      </c>
      <c r="C2755">
        <v>0.82804376484079301</v>
      </c>
      <c r="D2755">
        <v>0.87426186507519699</v>
      </c>
      <c r="E2755">
        <v>0.78559662524749796</v>
      </c>
      <c r="F2755">
        <v>0.722918772830212</v>
      </c>
      <c r="G2755">
        <v>0.60842429713758295</v>
      </c>
      <c r="H2755">
        <v>0.44433542008310201</v>
      </c>
      <c r="I2755">
        <v>0.37227095009011102</v>
      </c>
      <c r="J2755">
        <v>0.30459077629001202</v>
      </c>
      <c r="K2755">
        <v>0.20930223380108101</v>
      </c>
      <c r="L2755">
        <v>418.99612865460199</v>
      </c>
      <c r="M2755">
        <v>7.0755873999497298</v>
      </c>
      <c r="N2755">
        <v>59.2171523081239</v>
      </c>
      <c r="O2755">
        <v>55.032765623143</v>
      </c>
      <c r="P2755">
        <v>-3.2199901024032002E-2</v>
      </c>
      <c r="Q2755">
        <v>0</v>
      </c>
      <c r="R2755">
        <v>0.97383278730290901</v>
      </c>
      <c r="S2755" t="s">
        <v>9066</v>
      </c>
      <c r="T2755" t="s">
        <v>12620</v>
      </c>
      <c r="U2755" t="s">
        <v>12620</v>
      </c>
      <c r="V2755" t="s">
        <v>12620</v>
      </c>
      <c r="W2755" t="s">
        <v>15331</v>
      </c>
      <c r="X2755">
        <v>16</v>
      </c>
      <c r="Y2755" t="s">
        <v>21505</v>
      </c>
      <c r="Z2755" t="s">
        <v>27702</v>
      </c>
      <c r="AA2755">
        <v>0.62664816188569972</v>
      </c>
      <c r="AB2755" t="str">
        <f>HYPERLINK("Melting_Curves/meltCurve_Q04724_TLE1.pdf", "Melting_Curves/meltCurve_Q04724_TLE1.pdf")</f>
        <v>Melting_Curves/meltCurve_Q04724_TLE1.pdf</v>
      </c>
    </row>
    <row r="2756" spans="1:28" x14ac:dyDescent="0.25">
      <c r="A2756" t="s">
        <v>2760</v>
      </c>
      <c r="B2756">
        <v>0.99987803227770999</v>
      </c>
      <c r="C2756">
        <v>1.00802574184177</v>
      </c>
      <c r="D2756">
        <v>0.98739397604635903</v>
      </c>
      <c r="E2756">
        <v>0.92338833683493104</v>
      </c>
      <c r="F2756">
        <v>0.87326827406877605</v>
      </c>
      <c r="G2756">
        <v>0.61167220368075104</v>
      </c>
      <c r="H2756">
        <v>0.58771909533260003</v>
      </c>
      <c r="I2756">
        <v>0.44236755987503101</v>
      </c>
      <c r="J2756">
        <v>0.29101880213568199</v>
      </c>
      <c r="K2756">
        <v>0.15906273669534099</v>
      </c>
      <c r="L2756">
        <v>664.50812944464997</v>
      </c>
      <c r="M2756">
        <v>10.7925355909803</v>
      </c>
      <c r="N2756">
        <v>61.571085314809103</v>
      </c>
      <c r="O2756">
        <v>59.570235614232601</v>
      </c>
      <c r="P2756">
        <v>-4.5309765850865803E-2</v>
      </c>
      <c r="Q2756">
        <v>0</v>
      </c>
      <c r="R2756">
        <v>0.97953546458215901</v>
      </c>
      <c r="S2756" t="s">
        <v>9067</v>
      </c>
      <c r="T2756" t="s">
        <v>12620</v>
      </c>
      <c r="U2756" t="s">
        <v>12620</v>
      </c>
      <c r="V2756" t="s">
        <v>12620</v>
      </c>
      <c r="W2756" t="s">
        <v>15332</v>
      </c>
      <c r="X2756">
        <v>10</v>
      </c>
      <c r="Y2756" t="s">
        <v>21506</v>
      </c>
      <c r="Z2756" t="s">
        <v>27703</v>
      </c>
      <c r="AA2756">
        <v>0.70596464415894333</v>
      </c>
      <c r="AB2756" t="str">
        <f>HYPERLINK("Melting_Curves/meltCurve_Q04726_3_TLE3.pdf", "Melting_Curves/meltCurve_Q04726_3_TLE3.pdf")</f>
        <v>Melting_Curves/meltCurve_Q04726_3_TLE3.pdf</v>
      </c>
    </row>
    <row r="2757" spans="1:28" x14ac:dyDescent="0.25">
      <c r="A2757" t="s">
        <v>2761</v>
      </c>
      <c r="B2757">
        <v>0.99987803227770999</v>
      </c>
      <c r="C2757">
        <v>1.0662514271699901</v>
      </c>
      <c r="D2757">
        <v>0.91240375472937696</v>
      </c>
      <c r="E2757">
        <v>0.95233205256427</v>
      </c>
      <c r="F2757">
        <v>0.68395992454140797</v>
      </c>
      <c r="G2757">
        <v>0.59908442220414204</v>
      </c>
      <c r="H2757">
        <v>0.41049553917265902</v>
      </c>
      <c r="I2757">
        <v>0.30766361982874302</v>
      </c>
      <c r="J2757">
        <v>0.20824422155417599</v>
      </c>
      <c r="K2757">
        <v>0.15522311705022601</v>
      </c>
      <c r="L2757">
        <v>659.80085709232196</v>
      </c>
      <c r="M2757">
        <v>11.300242331479501</v>
      </c>
      <c r="N2757">
        <v>58.740466724048403</v>
      </c>
      <c r="O2757">
        <v>56.649311764805603</v>
      </c>
      <c r="P2757">
        <v>-4.8250141938494501E-2</v>
      </c>
      <c r="Q2757">
        <v>3.2761864991667597E-2</v>
      </c>
      <c r="R2757">
        <v>0.97902770386424298</v>
      </c>
      <c r="S2757" t="s">
        <v>9068</v>
      </c>
      <c r="T2757" t="s">
        <v>12620</v>
      </c>
      <c r="U2757" t="s">
        <v>12620</v>
      </c>
      <c r="V2757" t="s">
        <v>12620</v>
      </c>
      <c r="W2757" t="s">
        <v>15333</v>
      </c>
      <c r="X2757">
        <v>13</v>
      </c>
      <c r="Y2757" t="s">
        <v>21507</v>
      </c>
      <c r="Z2757" t="s">
        <v>27704</v>
      </c>
      <c r="AA2757">
        <v>0.63531803488738092</v>
      </c>
      <c r="AB2757" t="str">
        <f>HYPERLINK("Melting_Curves/meltCurve_Q04727_3_TLE4.pdf", "Melting_Curves/meltCurve_Q04727_3_TLE4.pdf")</f>
        <v>Melting_Curves/meltCurve_Q04727_3_TLE4.pdf</v>
      </c>
    </row>
    <row r="2758" spans="1:28" x14ac:dyDescent="0.25">
      <c r="A2758" t="s">
        <v>2762</v>
      </c>
      <c r="B2758">
        <v>0.99987803227770999</v>
      </c>
      <c r="C2758">
        <v>0.88002158956889798</v>
      </c>
      <c r="D2758">
        <v>0.99465511475909896</v>
      </c>
      <c r="E2758">
        <v>0.91991097956606005</v>
      </c>
      <c r="F2758">
        <v>1.1955889592987099</v>
      </c>
      <c r="G2758">
        <v>1.2691663871796799</v>
      </c>
      <c r="H2758">
        <v>1.0313447065957</v>
      </c>
      <c r="I2758">
        <v>0.74460794059338897</v>
      </c>
      <c r="J2758">
        <v>0.49867703457245399</v>
      </c>
      <c r="K2758">
        <v>0.268344889612191</v>
      </c>
      <c r="L2758">
        <v>2594.6401398575999</v>
      </c>
      <c r="M2758">
        <v>39.510055149538402</v>
      </c>
      <c r="N2758">
        <v>66.653667526695301</v>
      </c>
      <c r="O2758">
        <v>65.502840202673397</v>
      </c>
      <c r="P2758">
        <v>-0.117492209725584</v>
      </c>
      <c r="Q2758">
        <v>0.22085110003909</v>
      </c>
      <c r="R2758">
        <v>0.83226691727631497</v>
      </c>
      <c r="S2758" t="s">
        <v>9069</v>
      </c>
      <c r="T2758" t="s">
        <v>12620</v>
      </c>
      <c r="U2758" t="s">
        <v>12620</v>
      </c>
      <c r="V2758" t="s">
        <v>12620</v>
      </c>
      <c r="W2758" t="s">
        <v>15334</v>
      </c>
      <c r="X2758">
        <v>3</v>
      </c>
      <c r="Y2758" t="s">
        <v>21508</v>
      </c>
      <c r="Z2758" t="s">
        <v>27705</v>
      </c>
      <c r="AA2758">
        <v>0.8868496827919351</v>
      </c>
      <c r="AB2758" t="str">
        <f>HYPERLINK("Melting_Curves/meltCurve_Q04756_HGFAC.pdf", "Melting_Curves/meltCurve_Q04756_HGFAC.pdf")</f>
        <v>Melting_Curves/meltCurve_Q04756_HGFAC.pdf</v>
      </c>
    </row>
    <row r="2759" spans="1:28" x14ac:dyDescent="0.25">
      <c r="A2759" t="s">
        <v>2763</v>
      </c>
      <c r="B2759">
        <v>0.99987803227770999</v>
      </c>
      <c r="C2759">
        <v>0.96606774082376101</v>
      </c>
      <c r="D2759">
        <v>1.01967768478637</v>
      </c>
      <c r="E2759">
        <v>0.95213413637756095</v>
      </c>
      <c r="F2759">
        <v>1.0594810242751</v>
      </c>
      <c r="G2759">
        <v>0.68453859675721695</v>
      </c>
      <c r="H2759">
        <v>0.31895743987790098</v>
      </c>
      <c r="I2759">
        <v>0.183096922550749</v>
      </c>
      <c r="J2759">
        <v>0.11626251799970801</v>
      </c>
      <c r="K2759">
        <v>7.1027630521978996E-2</v>
      </c>
      <c r="L2759">
        <v>1707.5299938415401</v>
      </c>
      <c r="M2759">
        <v>29.147082882694299</v>
      </c>
      <c r="N2759">
        <v>58.982929413134002</v>
      </c>
      <c r="O2759">
        <v>58.3095583270795</v>
      </c>
      <c r="P2759">
        <v>-0.11376856725581699</v>
      </c>
      <c r="Q2759">
        <v>8.9618153472443104E-2</v>
      </c>
      <c r="R2759">
        <v>0.98988660852287302</v>
      </c>
      <c r="S2759" t="s">
        <v>9070</v>
      </c>
      <c r="T2759" t="s">
        <v>12620</v>
      </c>
      <c r="U2759" t="s">
        <v>12620</v>
      </c>
      <c r="V2759" t="s">
        <v>12620</v>
      </c>
      <c r="W2759" t="s">
        <v>15335</v>
      </c>
      <c r="X2759">
        <v>11</v>
      </c>
      <c r="Y2759" t="s">
        <v>21509</v>
      </c>
      <c r="Z2759" t="s">
        <v>27706</v>
      </c>
      <c r="AA2759">
        <v>0.65972862286779821</v>
      </c>
      <c r="AB2759" t="str">
        <f>HYPERLINK("Melting_Curves/meltCurve_Q04760_GLO1.pdf", "Melting_Curves/meltCurve_Q04760_GLO1.pdf")</f>
        <v>Melting_Curves/meltCurve_Q04760_GLO1.pdf</v>
      </c>
    </row>
    <row r="2760" spans="1:28" x14ac:dyDescent="0.25">
      <c r="A2760" t="s">
        <v>2764</v>
      </c>
      <c r="B2760">
        <v>0.99987803227770999</v>
      </c>
      <c r="C2760">
        <v>0.88043406854960704</v>
      </c>
      <c r="D2760">
        <v>0.55518172517364595</v>
      </c>
      <c r="E2760">
        <v>0.23804405024088299</v>
      </c>
      <c r="F2760">
        <v>0.12582954806289501</v>
      </c>
      <c r="G2760">
        <v>8.1117376387536105E-2</v>
      </c>
      <c r="H2760">
        <v>6.0534136731073301E-2</v>
      </c>
      <c r="I2760">
        <v>5.1015975751754303E-2</v>
      </c>
      <c r="J2760">
        <v>3.750673354728E-2</v>
      </c>
      <c r="K2760">
        <v>2.59827696107729E-2</v>
      </c>
      <c r="L2760">
        <v>980.42119703199398</v>
      </c>
      <c r="M2760">
        <v>21.0774864675397</v>
      </c>
      <c r="N2760">
        <v>46.7368424870564</v>
      </c>
      <c r="O2760">
        <v>46.102462682685598</v>
      </c>
      <c r="P2760">
        <v>-0.108861137975202</v>
      </c>
      <c r="Q2760">
        <v>4.7584068163954898E-2</v>
      </c>
      <c r="R2760">
        <v>0.99759521352632297</v>
      </c>
      <c r="S2760" t="s">
        <v>9071</v>
      </c>
      <c r="T2760" t="s">
        <v>12620</v>
      </c>
      <c r="U2760" t="s">
        <v>12620</v>
      </c>
      <c r="V2760" t="s">
        <v>12620</v>
      </c>
      <c r="W2760" t="s">
        <v>15336</v>
      </c>
      <c r="X2760">
        <v>25</v>
      </c>
      <c r="Y2760" t="s">
        <v>21510</v>
      </c>
      <c r="Z2760" t="s">
        <v>27707</v>
      </c>
      <c r="AA2760">
        <v>0.26708886809181309</v>
      </c>
      <c r="AB2760" t="str">
        <f>HYPERLINK("Melting_Curves/meltCurve_Q04828_AKR1C1.pdf", "Melting_Curves/meltCurve_Q04828_AKR1C1.pdf")</f>
        <v>Melting_Curves/meltCurve_Q04828_AKR1C1.pdf</v>
      </c>
    </row>
    <row r="2761" spans="1:28" x14ac:dyDescent="0.25">
      <c r="A2761" t="s">
        <v>2765</v>
      </c>
      <c r="B2761">
        <v>0.99987803227770999</v>
      </c>
      <c r="C2761">
        <v>0.96090831294980705</v>
      </c>
      <c r="D2761">
        <v>1.0424998446088201</v>
      </c>
      <c r="E2761">
        <v>1.0105960984667299</v>
      </c>
      <c r="F2761">
        <v>1.0838394041766899</v>
      </c>
      <c r="G2761">
        <v>0.87701240536068303</v>
      </c>
      <c r="H2761">
        <v>1.0200910748452601</v>
      </c>
      <c r="I2761">
        <v>0.92378548923908299</v>
      </c>
      <c r="J2761">
        <v>0.91871059656220899</v>
      </c>
      <c r="K2761">
        <v>0.712416346280207</v>
      </c>
      <c r="L2761">
        <v>1810.26405675095</v>
      </c>
      <c r="M2761">
        <v>24.918708692686199</v>
      </c>
      <c r="Q2761">
        <v>0</v>
      </c>
      <c r="R2761">
        <v>0.71408782018288397</v>
      </c>
      <c r="S2761" t="s">
        <v>9072</v>
      </c>
      <c r="T2761" t="s">
        <v>12620</v>
      </c>
      <c r="U2761" t="s">
        <v>12620</v>
      </c>
      <c r="V2761" t="s">
        <v>12620</v>
      </c>
      <c r="W2761" t="s">
        <v>15337</v>
      </c>
      <c r="X2761">
        <v>11</v>
      </c>
      <c r="Y2761" t="s">
        <v>21511</v>
      </c>
      <c r="Z2761" t="s">
        <v>27708</v>
      </c>
      <c r="AA2761">
        <v>0.97253424772752561</v>
      </c>
      <c r="AB2761" t="str">
        <f>HYPERLINK("Melting_Curves/meltCurve_Q04837_SSBP1.pdf", "Melting_Curves/meltCurve_Q04837_SSBP1.pdf")</f>
        <v>Melting_Curves/meltCurve_Q04837_SSBP1.pdf</v>
      </c>
    </row>
    <row r="2762" spans="1:28" x14ac:dyDescent="0.25">
      <c r="A2762" t="s">
        <v>2766</v>
      </c>
      <c r="B2762">
        <v>0.99987803227770999</v>
      </c>
      <c r="C2762">
        <v>0.87623837645693003</v>
      </c>
      <c r="D2762">
        <v>1.0113559697218499</v>
      </c>
      <c r="E2762">
        <v>0.95875216686814002</v>
      </c>
      <c r="F2762">
        <v>0.96848542137317595</v>
      </c>
      <c r="G2762">
        <v>0.47782618763575202</v>
      </c>
      <c r="H2762">
        <v>0.18058410637804101</v>
      </c>
      <c r="I2762">
        <v>0.108186659086422</v>
      </c>
      <c r="J2762">
        <v>9.62014004795399E-2</v>
      </c>
      <c r="K2762">
        <v>6.1026709159009901E-2</v>
      </c>
      <c r="L2762">
        <v>2122.5264015412299</v>
      </c>
      <c r="M2762">
        <v>37.4672328273953</v>
      </c>
      <c r="N2762">
        <v>56.954580273960303</v>
      </c>
      <c r="O2762">
        <v>56.489560562965998</v>
      </c>
      <c r="P2762">
        <v>-0.15077096356799499</v>
      </c>
      <c r="Q2762">
        <v>9.0729703377329399E-2</v>
      </c>
      <c r="R2762">
        <v>0.98786672545614795</v>
      </c>
      <c r="S2762" t="s">
        <v>9073</v>
      </c>
      <c r="T2762" t="s">
        <v>12620</v>
      </c>
      <c r="U2762" t="s">
        <v>12620</v>
      </c>
      <c r="V2762" t="s">
        <v>12620</v>
      </c>
      <c r="W2762" t="s">
        <v>15338</v>
      </c>
      <c r="X2762">
        <v>19</v>
      </c>
      <c r="Y2762" t="s">
        <v>21512</v>
      </c>
      <c r="Z2762" t="s">
        <v>27709</v>
      </c>
      <c r="AA2762">
        <v>0.59938615504383053</v>
      </c>
      <c r="AB2762" t="str">
        <f>HYPERLINK("Melting_Curves/meltCurve_Q04917_YWHAH.pdf", "Melting_Curves/meltCurve_Q04917_YWHAH.pdf")</f>
        <v>Melting_Curves/meltCurve_Q04917_YWHAH.pdf</v>
      </c>
    </row>
    <row r="2763" spans="1:28" x14ac:dyDescent="0.25">
      <c r="A2763" t="s">
        <v>2767</v>
      </c>
      <c r="B2763">
        <v>0.99987803227770999</v>
      </c>
      <c r="C2763">
        <v>1.04297860468446</v>
      </c>
      <c r="D2763">
        <v>0.94311980105456605</v>
      </c>
      <c r="E2763">
        <v>1.11833027394034</v>
      </c>
      <c r="F2763">
        <v>1.0631260897580199</v>
      </c>
      <c r="G2763">
        <v>0.80226253922483004</v>
      </c>
      <c r="H2763">
        <v>0.50653443857001801</v>
      </c>
      <c r="I2763">
        <v>0.29539101501340698</v>
      </c>
      <c r="J2763">
        <v>0.130812573050476</v>
      </c>
      <c r="K2763">
        <v>8.9917419241609106E-2</v>
      </c>
      <c r="L2763">
        <v>1478.9327059807599</v>
      </c>
      <c r="M2763">
        <v>24.327668697075399</v>
      </c>
      <c r="N2763">
        <v>61.0848671326927</v>
      </c>
      <c r="O2763">
        <v>60.385911689132001</v>
      </c>
      <c r="P2763">
        <v>-9.5178735868122505E-2</v>
      </c>
      <c r="Q2763">
        <v>5.5007191076704397E-2</v>
      </c>
      <c r="R2763">
        <v>0.97929926883539098</v>
      </c>
      <c r="S2763" t="s">
        <v>9074</v>
      </c>
      <c r="T2763" t="s">
        <v>12620</v>
      </c>
      <c r="U2763" t="s">
        <v>12620</v>
      </c>
      <c r="V2763" t="s">
        <v>12620</v>
      </c>
      <c r="W2763" t="s">
        <v>15339</v>
      </c>
      <c r="X2763">
        <v>12</v>
      </c>
      <c r="Y2763" t="s">
        <v>21513</v>
      </c>
      <c r="Z2763" t="s">
        <v>27710</v>
      </c>
      <c r="AA2763">
        <v>0.71622516251822854</v>
      </c>
      <c r="AB2763" t="str">
        <f>HYPERLINK("Melting_Curves/meltCurve_Q05048_CSTF1.pdf", "Melting_Curves/meltCurve_Q05048_CSTF1.pdf")</f>
        <v>Melting_Curves/meltCurve_Q05048_CSTF1.pdf</v>
      </c>
    </row>
    <row r="2764" spans="1:28" x14ac:dyDescent="0.25">
      <c r="A2764" t="s">
        <v>2768</v>
      </c>
      <c r="B2764">
        <v>0.99987803227770999</v>
      </c>
      <c r="C2764">
        <v>0.92798806381016696</v>
      </c>
      <c r="D2764">
        <v>0.87434597850055595</v>
      </c>
      <c r="E2764">
        <v>0.95680243676374299</v>
      </c>
      <c r="F2764">
        <v>0.83567490693826296</v>
      </c>
      <c r="G2764">
        <v>0.42306607929102202</v>
      </c>
      <c r="H2764">
        <v>0.196990081264693</v>
      </c>
      <c r="I2764">
        <v>0.14205252893412201</v>
      </c>
      <c r="J2764">
        <v>0.143312366355071</v>
      </c>
      <c r="K2764">
        <v>0.10144256823531</v>
      </c>
      <c r="L2764">
        <v>1489.5381053511401</v>
      </c>
      <c r="M2764">
        <v>26.720997949819498</v>
      </c>
      <c r="N2764">
        <v>56.2935299858392</v>
      </c>
      <c r="O2764">
        <v>55.434706400946602</v>
      </c>
      <c r="P2764">
        <v>-0.106675848222803</v>
      </c>
      <c r="Q2764">
        <v>0.114781132870078</v>
      </c>
      <c r="R2764">
        <v>0.98462887712765401</v>
      </c>
      <c r="S2764" t="s">
        <v>9075</v>
      </c>
      <c r="T2764" t="s">
        <v>12620</v>
      </c>
      <c r="U2764" t="s">
        <v>12620</v>
      </c>
      <c r="V2764" t="s">
        <v>12620</v>
      </c>
      <c r="W2764" t="s">
        <v>15340</v>
      </c>
      <c r="X2764">
        <v>25</v>
      </c>
      <c r="Y2764" t="s">
        <v>21514</v>
      </c>
      <c r="Z2764" t="s">
        <v>27711</v>
      </c>
      <c r="AA2764">
        <v>0.58661441582618423</v>
      </c>
      <c r="AB2764" t="str">
        <f>HYPERLINK("Melting_Curves/meltCurve_Q05086_3_UBE3A.pdf", "Melting_Curves/meltCurve_Q05086_3_UBE3A.pdf")</f>
        <v>Melting_Curves/meltCurve_Q05086_3_UBE3A.pdf</v>
      </c>
    </row>
    <row r="2765" spans="1:28" x14ac:dyDescent="0.25">
      <c r="A2765" t="s">
        <v>2769</v>
      </c>
      <c r="B2765">
        <v>0.99987803227770999</v>
      </c>
      <c r="C2765">
        <v>1.07954703277395</v>
      </c>
      <c r="D2765">
        <v>0.82743147023540697</v>
      </c>
      <c r="E2765">
        <v>0.38193558874961903</v>
      </c>
      <c r="F2765">
        <v>0.199414892478048</v>
      </c>
      <c r="G2765">
        <v>0.115246471450539</v>
      </c>
      <c r="H2765">
        <v>8.86150954769028E-2</v>
      </c>
      <c r="I2765">
        <v>8.24123103580926E-2</v>
      </c>
      <c r="J2765">
        <v>5.8829423356084799E-2</v>
      </c>
      <c r="K2765">
        <v>4.4736705760954801E-2</v>
      </c>
      <c r="L2765">
        <v>1298.5623008790401</v>
      </c>
      <c r="M2765">
        <v>26.614387875902501</v>
      </c>
      <c r="N2765">
        <v>49.092511949775002</v>
      </c>
      <c r="O2765">
        <v>48.518751628340503</v>
      </c>
      <c r="P2765">
        <v>-0.12681945244946699</v>
      </c>
      <c r="Q2765">
        <v>7.5228073613040305E-2</v>
      </c>
      <c r="R2765">
        <v>0.99139845351161504</v>
      </c>
      <c r="S2765" t="s">
        <v>9076</v>
      </c>
      <c r="T2765" t="s">
        <v>12620</v>
      </c>
      <c r="U2765" t="s">
        <v>12620</v>
      </c>
      <c r="V2765" t="s">
        <v>12620</v>
      </c>
      <c r="W2765" t="s">
        <v>15341</v>
      </c>
      <c r="X2765">
        <v>33</v>
      </c>
      <c r="Y2765" t="s">
        <v>21515</v>
      </c>
      <c r="Z2765" t="s">
        <v>27712</v>
      </c>
      <c r="AA2765">
        <v>0.35343003672158219</v>
      </c>
      <c r="AB2765" t="str">
        <f>HYPERLINK("Melting_Curves/meltCurve_Q05193_DNM1.pdf", "Melting_Curves/meltCurve_Q05193_DNM1.pdf")</f>
        <v>Melting_Curves/meltCurve_Q05193_DNM1.pdf</v>
      </c>
    </row>
    <row r="2766" spans="1:28" x14ac:dyDescent="0.25">
      <c r="A2766" t="s">
        <v>2770</v>
      </c>
      <c r="B2766">
        <v>0.99987803227770999</v>
      </c>
      <c r="C2766">
        <v>0.84867433168917705</v>
      </c>
      <c r="D2766">
        <v>0.98789769300161601</v>
      </c>
      <c r="E2766">
        <v>0.83727414961495294</v>
      </c>
      <c r="F2766">
        <v>0.52413442185958603</v>
      </c>
      <c r="G2766">
        <v>0.36320762715704702</v>
      </c>
      <c r="H2766">
        <v>0.348062944285918</v>
      </c>
      <c r="I2766">
        <v>0.34419468723325602</v>
      </c>
      <c r="J2766">
        <v>0.32315479372101702</v>
      </c>
      <c r="K2766">
        <v>0.25668974269424299</v>
      </c>
      <c r="L2766">
        <v>1611.30902011587</v>
      </c>
      <c r="M2766">
        <v>31.1501744260013</v>
      </c>
      <c r="N2766">
        <v>53.450176660876899</v>
      </c>
      <c r="O2766">
        <v>51.515345972681303</v>
      </c>
      <c r="P2766">
        <v>-0.10327548393997101</v>
      </c>
      <c r="Q2766">
        <v>0.31682662777675602</v>
      </c>
      <c r="R2766">
        <v>0.96558996271039699</v>
      </c>
      <c r="S2766" t="s">
        <v>9077</v>
      </c>
      <c r="T2766" t="s">
        <v>12620</v>
      </c>
      <c r="U2766" t="s">
        <v>12620</v>
      </c>
      <c r="V2766" t="s">
        <v>12620</v>
      </c>
      <c r="W2766" t="s">
        <v>15342</v>
      </c>
      <c r="X2766">
        <v>32</v>
      </c>
      <c r="Y2766" t="s">
        <v>21516</v>
      </c>
      <c r="Z2766" t="s">
        <v>27713</v>
      </c>
      <c r="AA2766">
        <v>0.58791450963902392</v>
      </c>
      <c r="AB2766" t="str">
        <f>HYPERLINK("Melting_Curves/meltCurve_Q05209_PTPN12.pdf", "Melting_Curves/meltCurve_Q05209_PTPN12.pdf")</f>
        <v>Melting_Curves/meltCurve_Q05209_PTPN12.pdf</v>
      </c>
    </row>
    <row r="2767" spans="1:28" x14ac:dyDescent="0.25">
      <c r="A2767" t="s">
        <v>2771</v>
      </c>
      <c r="B2767">
        <v>0.99987803227770999</v>
      </c>
      <c r="C2767">
        <v>1.45923075180537</v>
      </c>
      <c r="D2767">
        <v>0.80814513174703695</v>
      </c>
      <c r="E2767">
        <v>1.0029683983393201</v>
      </c>
      <c r="F2767">
        <v>4.8496616216812196</v>
      </c>
      <c r="G2767">
        <v>0.37546589493475302</v>
      </c>
      <c r="H2767">
        <v>0.184754409880902</v>
      </c>
      <c r="I2767">
        <v>9.8640819631397897E-2</v>
      </c>
      <c r="J2767">
        <v>3.4905759938030301E-2</v>
      </c>
      <c r="K2767">
        <v>2.34657701519577E-2</v>
      </c>
      <c r="L2767">
        <v>14206.2787445022</v>
      </c>
      <c r="M2767">
        <v>250</v>
      </c>
      <c r="N2767">
        <v>56.867744861930198</v>
      </c>
      <c r="O2767">
        <v>56.8214796762066</v>
      </c>
      <c r="P2767">
        <v>-1.0059559325329299</v>
      </c>
      <c r="Q2767">
        <v>8.5441546023036996E-2</v>
      </c>
      <c r="R2767">
        <v>0.198386490747153</v>
      </c>
      <c r="S2767" t="s">
        <v>9078</v>
      </c>
      <c r="T2767" t="s">
        <v>12620</v>
      </c>
      <c r="U2767" t="s">
        <v>12620</v>
      </c>
      <c r="V2767" t="s">
        <v>12620</v>
      </c>
      <c r="W2767" t="s">
        <v>15343</v>
      </c>
      <c r="X2767">
        <v>14</v>
      </c>
      <c r="Y2767" t="s">
        <v>21517</v>
      </c>
      <c r="Z2767" t="s">
        <v>27714</v>
      </c>
      <c r="AA2767">
        <v>0.59845112377900966</v>
      </c>
      <c r="AB2767" t="str">
        <f>HYPERLINK("Melting_Curves/meltCurve_Q05397_6_PTK2.pdf", "Melting_Curves/meltCurve_Q05397_6_PTK2.pdf")</f>
        <v>Melting_Curves/meltCurve_Q05397_6_PTK2.pdf</v>
      </c>
    </row>
    <row r="2768" spans="1:28" x14ac:dyDescent="0.25">
      <c r="A2768" t="s">
        <v>2772</v>
      </c>
      <c r="B2768">
        <v>0.99987803227770999</v>
      </c>
      <c r="C2768">
        <v>1.0523096420247799</v>
      </c>
      <c r="D2768">
        <v>0.98403132533224502</v>
      </c>
      <c r="E2768">
        <v>0.94592739740268905</v>
      </c>
      <c r="F2768">
        <v>0.73659769634172101</v>
      </c>
      <c r="G2768">
        <v>0.26024037358523999</v>
      </c>
      <c r="H2768">
        <v>0.10767717046841201</v>
      </c>
      <c r="I2768">
        <v>9.8384075294481704E-2</v>
      </c>
      <c r="J2768">
        <v>5.32806737501334E-2</v>
      </c>
      <c r="K2768">
        <v>4.8920793264115803E-2</v>
      </c>
      <c r="L2768">
        <v>1662.8150758746599</v>
      </c>
      <c r="M2768">
        <v>30.451842428362902</v>
      </c>
      <c r="N2768">
        <v>54.846704285597703</v>
      </c>
      <c r="O2768">
        <v>54.370885476356797</v>
      </c>
      <c r="P2768">
        <v>-0.13121915155052499</v>
      </c>
      <c r="Q2768">
        <v>6.2853738804071094E-2</v>
      </c>
      <c r="R2768">
        <v>0.997760739907255</v>
      </c>
      <c r="S2768" t="s">
        <v>9079</v>
      </c>
      <c r="T2768" t="s">
        <v>12620</v>
      </c>
      <c r="U2768" t="s">
        <v>12620</v>
      </c>
      <c r="V2768" t="s">
        <v>12620</v>
      </c>
      <c r="W2768" t="s">
        <v>15344</v>
      </c>
      <c r="X2768">
        <v>5</v>
      </c>
      <c r="Y2768" t="s">
        <v>21518</v>
      </c>
      <c r="Z2768" t="s">
        <v>27715</v>
      </c>
      <c r="AA2768">
        <v>0.52510062959254278</v>
      </c>
      <c r="AB2768" t="str">
        <f>HYPERLINK("Melting_Curves/meltCurve_Q05513_PRKCZ.pdf", "Melting_Curves/meltCurve_Q05513_PRKCZ.pdf")</f>
        <v>Melting_Curves/meltCurve_Q05513_PRKCZ.pdf</v>
      </c>
    </row>
    <row r="2769" spans="1:28" x14ac:dyDescent="0.25">
      <c r="A2769" t="s">
        <v>2773</v>
      </c>
      <c r="B2769">
        <v>0.99987803227770999</v>
      </c>
      <c r="C2769">
        <v>1.0382046849981701</v>
      </c>
      <c r="D2769">
        <v>1.02478384080645</v>
      </c>
      <c r="E2769">
        <v>1.05779351456209</v>
      </c>
      <c r="F2769">
        <v>0.78945974386031703</v>
      </c>
      <c r="G2769">
        <v>0.452392926222838</v>
      </c>
      <c r="H2769">
        <v>0.41000127626183303</v>
      </c>
      <c r="I2769">
        <v>0.30484975563161598</v>
      </c>
      <c r="J2769">
        <v>0.37626657074436098</v>
      </c>
      <c r="K2769">
        <v>0.33491267841217398</v>
      </c>
      <c r="L2769">
        <v>2134.9149358987802</v>
      </c>
      <c r="M2769">
        <v>39.388717027071202</v>
      </c>
      <c r="N2769">
        <v>55.971946215496303</v>
      </c>
      <c r="O2769">
        <v>54.062045280654999</v>
      </c>
      <c r="P2769">
        <v>-0.117267282015937</v>
      </c>
      <c r="Q2769">
        <v>0.356191870422988</v>
      </c>
      <c r="R2769">
        <v>0.98460074511729501</v>
      </c>
      <c r="S2769" t="s">
        <v>9080</v>
      </c>
      <c r="T2769" t="s">
        <v>12620</v>
      </c>
      <c r="U2769" t="s">
        <v>12620</v>
      </c>
      <c r="V2769" t="s">
        <v>12620</v>
      </c>
      <c r="W2769" t="s">
        <v>15345</v>
      </c>
      <c r="X2769">
        <v>7</v>
      </c>
      <c r="Y2769" t="s">
        <v>21519</v>
      </c>
      <c r="Z2769" t="s">
        <v>27716</v>
      </c>
      <c r="AA2769">
        <v>0.66343468294935393</v>
      </c>
      <c r="AB2769" t="str">
        <f>HYPERLINK("Melting_Curves/meltCurve_Q05519_2_SRSF11.pdf", "Melting_Curves/meltCurve_Q05519_2_SRSF11.pdf")</f>
        <v>Melting_Curves/meltCurve_Q05519_2_SRSF11.pdf</v>
      </c>
    </row>
    <row r="2770" spans="1:28" x14ac:dyDescent="0.25">
      <c r="A2770" t="s">
        <v>2774</v>
      </c>
      <c r="B2770">
        <v>0.99987803227770999</v>
      </c>
      <c r="C2770">
        <v>0.87827334211267605</v>
      </c>
      <c r="D2770">
        <v>0.89138906067475498</v>
      </c>
      <c r="E2770">
        <v>0.88046973611497104</v>
      </c>
      <c r="F2770">
        <v>0.67367330929364699</v>
      </c>
      <c r="G2770">
        <v>0.40824661631597198</v>
      </c>
      <c r="H2770">
        <v>0.16317427598511</v>
      </c>
      <c r="I2770">
        <v>0.16455757457148201</v>
      </c>
      <c r="J2770">
        <v>0.10307069120434</v>
      </c>
      <c r="K2770">
        <v>7.8043345660747707E-2</v>
      </c>
      <c r="L2770">
        <v>862.95367743426402</v>
      </c>
      <c r="M2770">
        <v>15.6490622558282</v>
      </c>
      <c r="N2770">
        <v>55.441955568870199</v>
      </c>
      <c r="O2770">
        <v>54.267184421637502</v>
      </c>
      <c r="P2770">
        <v>-6.9192090998701605E-2</v>
      </c>
      <c r="Q2770">
        <v>4.0315981529766703E-2</v>
      </c>
      <c r="R2770">
        <v>0.98288698369484395</v>
      </c>
      <c r="S2770" t="s">
        <v>9081</v>
      </c>
      <c r="T2770" t="s">
        <v>12620</v>
      </c>
      <c r="U2770" t="s">
        <v>12620</v>
      </c>
      <c r="V2770" t="s">
        <v>12620</v>
      </c>
      <c r="W2770" t="s">
        <v>15346</v>
      </c>
      <c r="X2770">
        <v>24</v>
      </c>
      <c r="Y2770" t="s">
        <v>21520</v>
      </c>
      <c r="Z2770" t="s">
        <v>27717</v>
      </c>
      <c r="AA2770">
        <v>0.54226848024564978</v>
      </c>
      <c r="AB2770" t="str">
        <f>HYPERLINK("Melting_Curves/meltCurve_Q05639_EEF1A2.pdf", "Melting_Curves/meltCurve_Q05639_EEF1A2.pdf")</f>
        <v>Melting_Curves/meltCurve_Q05639_EEF1A2.pdf</v>
      </c>
    </row>
    <row r="2771" spans="1:28" x14ac:dyDescent="0.25">
      <c r="A2771" t="s">
        <v>2775</v>
      </c>
      <c r="B2771">
        <v>0.99987803227770999</v>
      </c>
      <c r="C2771">
        <v>1.0256210279250499</v>
      </c>
      <c r="D2771">
        <v>1.0067257183595799</v>
      </c>
      <c r="E2771">
        <v>0.98479781766312902</v>
      </c>
      <c r="F2771">
        <v>0.899368117539879</v>
      </c>
      <c r="G2771">
        <v>0.412134503724363</v>
      </c>
      <c r="H2771">
        <v>0.16207072958593399</v>
      </c>
      <c r="I2771">
        <v>0.14050928124694001</v>
      </c>
      <c r="J2771">
        <v>9.9733714234222504E-2</v>
      </c>
      <c r="K2771">
        <v>6.42447216041135E-2</v>
      </c>
      <c r="L2771">
        <v>1926.4604779917699</v>
      </c>
      <c r="M2771">
        <v>34.380816539366698</v>
      </c>
      <c r="N2771">
        <v>56.391518228976103</v>
      </c>
      <c r="O2771">
        <v>55.844454356904798</v>
      </c>
      <c r="P2771">
        <v>-0.13880419773014699</v>
      </c>
      <c r="Q2771">
        <v>9.8169737363373005E-2</v>
      </c>
      <c r="R2771">
        <v>0.99815707090107197</v>
      </c>
      <c r="S2771" t="s">
        <v>9082</v>
      </c>
      <c r="T2771" t="s">
        <v>12620</v>
      </c>
      <c r="U2771" t="s">
        <v>12620</v>
      </c>
      <c r="V2771" t="s">
        <v>12620</v>
      </c>
      <c r="W2771" t="s">
        <v>15347</v>
      </c>
      <c r="X2771">
        <v>18</v>
      </c>
      <c r="Y2771" t="s">
        <v>21521</v>
      </c>
      <c r="Z2771" t="s">
        <v>27718</v>
      </c>
      <c r="AA2771">
        <v>0.5847957263093243</v>
      </c>
      <c r="AB2771" t="str">
        <f>HYPERLINK("Melting_Curves/meltCurve_Q05655_PRKCD.pdf", "Melting_Curves/meltCurve_Q05655_PRKCD.pdf")</f>
        <v>Melting_Curves/meltCurve_Q05655_PRKCD.pdf</v>
      </c>
    </row>
    <row r="2772" spans="1:28" x14ac:dyDescent="0.25">
      <c r="A2772" t="s">
        <v>2776</v>
      </c>
      <c r="B2772">
        <v>0.99987803227770999</v>
      </c>
      <c r="C2772">
        <v>0.82982806759672301</v>
      </c>
      <c r="D2772">
        <v>1.0624771488173901</v>
      </c>
      <c r="E2772">
        <v>0.89497445224082295</v>
      </c>
      <c r="F2772">
        <v>1.1206175644143901</v>
      </c>
      <c r="G2772">
        <v>0.95410996276919202</v>
      </c>
      <c r="H2772">
        <v>1.0842904554655799</v>
      </c>
      <c r="I2772">
        <v>1.05061112517686</v>
      </c>
      <c r="J2772">
        <v>1.2712245676106599</v>
      </c>
      <c r="K2772">
        <v>1.38031378284869</v>
      </c>
      <c r="L2772">
        <v>2855.1243119098499</v>
      </c>
      <c r="M2772">
        <v>43.097118373356203</v>
      </c>
      <c r="O2772">
        <v>66.106455964586402</v>
      </c>
      <c r="P2772">
        <v>6.8806393243182704E-2</v>
      </c>
      <c r="Q2772">
        <v>1.42216645527857</v>
      </c>
      <c r="R2772">
        <v>0.72867031081849598</v>
      </c>
      <c r="S2772" t="s">
        <v>9083</v>
      </c>
      <c r="T2772" t="s">
        <v>12620</v>
      </c>
      <c r="U2772" t="s">
        <v>12620</v>
      </c>
      <c r="V2772" t="s">
        <v>12620</v>
      </c>
      <c r="W2772" t="s">
        <v>12969</v>
      </c>
      <c r="X2772">
        <v>50</v>
      </c>
      <c r="Y2772" t="s">
        <v>19216</v>
      </c>
      <c r="Z2772" t="s">
        <v>27719</v>
      </c>
      <c r="AA2772">
        <v>1.053537265645351</v>
      </c>
      <c r="AB2772" t="str">
        <f>HYPERLINK("Melting_Curves/meltCurve_Q05682_CALD1.pdf", "Melting_Curves/meltCurve_Q05682_CALD1.pdf")</f>
        <v>Melting_Curves/meltCurve_Q05682_CALD1.pdf</v>
      </c>
    </row>
    <row r="2773" spans="1:28" x14ac:dyDescent="0.25">
      <c r="A2773" t="s">
        <v>2777</v>
      </c>
      <c r="B2773">
        <v>0.99987803227770999</v>
      </c>
      <c r="C2773">
        <v>0.82320642417298795</v>
      </c>
      <c r="D2773">
        <v>1.0344151698211399</v>
      </c>
      <c r="E2773">
        <v>0.86339266192819097</v>
      </c>
      <c r="F2773">
        <v>1.12501687800146</v>
      </c>
      <c r="G2773">
        <v>0.85359576937473003</v>
      </c>
      <c r="H2773">
        <v>1.1015400495768199</v>
      </c>
      <c r="I2773">
        <v>1.1111608218266</v>
      </c>
      <c r="J2773">
        <v>1.4448814203754401</v>
      </c>
      <c r="K2773">
        <v>1.5502657546980401</v>
      </c>
      <c r="L2773">
        <v>4571.7001807999804</v>
      </c>
      <c r="M2773">
        <v>70.273771226985303</v>
      </c>
      <c r="O2773">
        <v>65.002946925229907</v>
      </c>
      <c r="P2773">
        <v>0.13513577137824101</v>
      </c>
      <c r="Q2773">
        <v>1.5</v>
      </c>
      <c r="R2773">
        <v>0.81004879548860098</v>
      </c>
      <c r="S2773" t="s">
        <v>9084</v>
      </c>
      <c r="T2773" t="s">
        <v>12620</v>
      </c>
      <c r="U2773" t="s">
        <v>12620</v>
      </c>
      <c r="V2773" t="s">
        <v>12620</v>
      </c>
      <c r="W2773" t="s">
        <v>15348</v>
      </c>
      <c r="X2773">
        <v>49</v>
      </c>
      <c r="Y2773" t="s">
        <v>19216</v>
      </c>
      <c r="Z2773" t="s">
        <v>27720</v>
      </c>
      <c r="AA2773">
        <v>1.081811207646016</v>
      </c>
      <c r="AB2773" t="str">
        <f>HYPERLINK("Melting_Curves/meltCurve_Q05682_4_CALD1.pdf", "Melting_Curves/meltCurve_Q05682_4_CALD1.pdf")</f>
        <v>Melting_Curves/meltCurve_Q05682_4_CALD1.pdf</v>
      </c>
    </row>
    <row r="2774" spans="1:28" x14ac:dyDescent="0.25">
      <c r="A2774" t="s">
        <v>2778</v>
      </c>
      <c r="B2774">
        <v>0.99987803227770999</v>
      </c>
      <c r="C2774">
        <v>0.51530575666901002</v>
      </c>
      <c r="D2774">
        <v>0.295791967773257</v>
      </c>
      <c r="E2774">
        <v>0.18961603496718901</v>
      </c>
      <c r="F2774">
        <v>4.9126176057586797E-2</v>
      </c>
      <c r="G2774">
        <v>5.7164877507465697E-2</v>
      </c>
      <c r="H2774">
        <v>0</v>
      </c>
      <c r="I2774">
        <v>0</v>
      </c>
      <c r="J2774">
        <v>0</v>
      </c>
      <c r="K2774">
        <v>0</v>
      </c>
      <c r="L2774">
        <v>889.06610856338102</v>
      </c>
      <c r="M2774">
        <v>20.3204528130548</v>
      </c>
      <c r="N2774">
        <v>43.853705898843202</v>
      </c>
      <c r="O2774">
        <v>43.335164299473803</v>
      </c>
      <c r="P2774">
        <v>-0.114541006944774</v>
      </c>
      <c r="Q2774">
        <v>2.2954523169454299E-2</v>
      </c>
      <c r="R2774">
        <v>0.96120077729352904</v>
      </c>
      <c r="S2774" t="s">
        <v>9085</v>
      </c>
      <c r="T2774" t="s">
        <v>12620</v>
      </c>
      <c r="U2774" t="s">
        <v>12620</v>
      </c>
      <c r="V2774" t="s">
        <v>12620</v>
      </c>
      <c r="W2774" t="s">
        <v>15349</v>
      </c>
      <c r="X2774">
        <v>1</v>
      </c>
      <c r="Y2774" t="s">
        <v>21522</v>
      </c>
      <c r="Z2774" t="s">
        <v>27721</v>
      </c>
      <c r="AA2774">
        <v>0.1642733909748012</v>
      </c>
      <c r="AB2774" t="str">
        <f>HYPERLINK("Melting_Curves/meltCurve_Q05932_3_FPGS.pdf", "Melting_Curves/meltCurve_Q05932_3_FPGS.pdf")</f>
        <v>Melting_Curves/meltCurve_Q05932_3_FPGS.pdf</v>
      </c>
    </row>
    <row r="2775" spans="1:28" x14ac:dyDescent="0.25">
      <c r="A2775" t="s">
        <v>2779</v>
      </c>
      <c r="B2775">
        <v>0.99987803227770999</v>
      </c>
      <c r="C2775">
        <v>0.79463963874605303</v>
      </c>
      <c r="D2775">
        <v>1.0072920111505701</v>
      </c>
      <c r="E2775">
        <v>0.98632766112730796</v>
      </c>
      <c r="F2775">
        <v>0.78743256237317905</v>
      </c>
      <c r="G2775">
        <v>0.174016767746553</v>
      </c>
      <c r="H2775">
        <v>9.8770849608239702E-2</v>
      </c>
      <c r="I2775">
        <v>0.115608702681699</v>
      </c>
      <c r="J2775">
        <v>0.104289974262264</v>
      </c>
      <c r="K2775">
        <v>7.7365416447480795E-2</v>
      </c>
      <c r="L2775">
        <v>2688.1919491216599</v>
      </c>
      <c r="M2775">
        <v>49.544460103401804</v>
      </c>
      <c r="N2775">
        <v>54.497899422848903</v>
      </c>
      <c r="O2775">
        <v>54.169996829038197</v>
      </c>
      <c r="P2775">
        <v>-0.206265126815661</v>
      </c>
      <c r="Q2775">
        <v>9.7911541807172403E-2</v>
      </c>
      <c r="R2775">
        <v>0.97411912946856305</v>
      </c>
      <c r="S2775" t="s">
        <v>9086</v>
      </c>
      <c r="T2775" t="s">
        <v>12620</v>
      </c>
      <c r="U2775" t="s">
        <v>12620</v>
      </c>
      <c r="V2775" t="s">
        <v>12620</v>
      </c>
      <c r="W2775" t="s">
        <v>15350</v>
      </c>
      <c r="X2775">
        <v>33</v>
      </c>
      <c r="Y2775" t="s">
        <v>21523</v>
      </c>
      <c r="Z2775" t="s">
        <v>27722</v>
      </c>
      <c r="AA2775">
        <v>0.52884764632090053</v>
      </c>
      <c r="AB2775" t="str">
        <f>HYPERLINK("Melting_Curves/meltCurve_Q06124_PTPN11.pdf", "Melting_Curves/meltCurve_Q06124_PTPN11.pdf")</f>
        <v>Melting_Curves/meltCurve_Q06124_PTPN11.pdf</v>
      </c>
    </row>
    <row r="2776" spans="1:28" x14ac:dyDescent="0.25">
      <c r="A2776" t="s">
        <v>2780</v>
      </c>
      <c r="B2776">
        <v>0.99987803227770999</v>
      </c>
      <c r="C2776">
        <v>1.1403439288867001</v>
      </c>
      <c r="D2776">
        <v>0.91808387672341696</v>
      </c>
      <c r="E2776">
        <v>1.15234183077994</v>
      </c>
      <c r="F2776">
        <v>0.86370931548531105</v>
      </c>
      <c r="G2776">
        <v>1.04789474433134</v>
      </c>
      <c r="H2776">
        <v>1.2152245287515699</v>
      </c>
      <c r="I2776">
        <v>0.87367896329455297</v>
      </c>
      <c r="J2776">
        <v>0.253346789110733</v>
      </c>
      <c r="K2776">
        <v>7.8072091502204094E-2</v>
      </c>
      <c r="L2776">
        <v>4908.5445205977203</v>
      </c>
      <c r="M2776">
        <v>74.714965939740594</v>
      </c>
      <c r="N2776">
        <v>65.834253168887599</v>
      </c>
      <c r="O2776">
        <v>65.649944619810597</v>
      </c>
      <c r="P2776">
        <v>-0.26399201509757603</v>
      </c>
      <c r="Q2776">
        <v>7.2150999083312198E-2</v>
      </c>
      <c r="R2776">
        <v>0.91089710448263095</v>
      </c>
      <c r="S2776" t="s">
        <v>9087</v>
      </c>
      <c r="T2776" t="s">
        <v>12620</v>
      </c>
      <c r="U2776" t="s">
        <v>12620</v>
      </c>
      <c r="V2776" t="s">
        <v>12620</v>
      </c>
      <c r="W2776" t="s">
        <v>15351</v>
      </c>
      <c r="X2776">
        <v>20</v>
      </c>
      <c r="Y2776" t="s">
        <v>21524</v>
      </c>
      <c r="Z2776" t="s">
        <v>27723</v>
      </c>
      <c r="AA2776">
        <v>0.86779379147735913</v>
      </c>
      <c r="AB2776" t="str">
        <f>HYPERLINK("Melting_Curves/meltCurve_Q06203_PPAT.pdf", "Melting_Curves/meltCurve_Q06203_PPAT.pdf")</f>
        <v>Melting_Curves/meltCurve_Q06203_PPAT.pdf</v>
      </c>
    </row>
    <row r="2777" spans="1:28" x14ac:dyDescent="0.25">
      <c r="A2777" t="s">
        <v>2781</v>
      </c>
      <c r="B2777">
        <v>0.99987803227770999</v>
      </c>
      <c r="C2777">
        <v>1.06726269028723</v>
      </c>
      <c r="D2777">
        <v>0.51579603013726705</v>
      </c>
      <c r="E2777">
        <v>0.42965289595656397</v>
      </c>
      <c r="F2777">
        <v>0.147373561241878</v>
      </c>
      <c r="G2777">
        <v>9.4629679754128504E-2</v>
      </c>
      <c r="H2777">
        <v>5.7240787148759298E-2</v>
      </c>
      <c r="I2777">
        <v>5.2661463450884002E-2</v>
      </c>
      <c r="J2777">
        <v>3.8707292078493001E-2</v>
      </c>
      <c r="K2777">
        <v>2.6974136447998801E-2</v>
      </c>
      <c r="L2777">
        <v>882.61469752584298</v>
      </c>
      <c r="M2777">
        <v>18.498259040022798</v>
      </c>
      <c r="N2777">
        <v>47.937017984309797</v>
      </c>
      <c r="O2777">
        <v>47.166272393663199</v>
      </c>
      <c r="P2777">
        <v>-9.3999179363423405E-2</v>
      </c>
      <c r="Q2777">
        <v>4.1338008190325397E-2</v>
      </c>
      <c r="R2777">
        <v>0.95249920531863097</v>
      </c>
      <c r="S2777" t="s">
        <v>9088</v>
      </c>
      <c r="T2777" t="s">
        <v>12620</v>
      </c>
      <c r="U2777" t="s">
        <v>12620</v>
      </c>
      <c r="V2777" t="s">
        <v>12620</v>
      </c>
      <c r="W2777" t="s">
        <v>15352</v>
      </c>
      <c r="X2777">
        <v>32</v>
      </c>
      <c r="Y2777" t="s">
        <v>21525</v>
      </c>
      <c r="Z2777" t="s">
        <v>27724</v>
      </c>
      <c r="AA2777">
        <v>0.30402554938196291</v>
      </c>
      <c r="AB2777" t="str">
        <f>HYPERLINK("Melting_Curves/meltCurve_Q06210_2_GFPT1.pdf", "Melting_Curves/meltCurve_Q06210_2_GFPT1.pdf")</f>
        <v>Melting_Curves/meltCurve_Q06210_2_GFPT1.pdf</v>
      </c>
    </row>
    <row r="2778" spans="1:28" x14ac:dyDescent="0.25">
      <c r="A2778" t="s">
        <v>2782</v>
      </c>
      <c r="B2778">
        <v>0.99987803227770999</v>
      </c>
      <c r="C2778">
        <v>1.2239839205955001</v>
      </c>
      <c r="D2778">
        <v>1.28207333191719</v>
      </c>
      <c r="E2778">
        <v>1.9480908371815899</v>
      </c>
      <c r="F2778">
        <v>1.5891218416391799</v>
      </c>
      <c r="G2778">
        <v>1.60245123607954</v>
      </c>
      <c r="H2778">
        <v>1.31180991155828</v>
      </c>
      <c r="I2778">
        <v>0.72428541068591401</v>
      </c>
      <c r="J2778">
        <v>0.24547253641799699</v>
      </c>
      <c r="K2778">
        <v>0.12936345844196301</v>
      </c>
      <c r="L2778">
        <v>7031.4246340463997</v>
      </c>
      <c r="M2778">
        <v>109.15011414101301</v>
      </c>
      <c r="N2778">
        <v>64.6845914118081</v>
      </c>
      <c r="O2778">
        <v>64.398148540864</v>
      </c>
      <c r="P2778">
        <v>-0.34737835573694997</v>
      </c>
      <c r="Q2778">
        <v>0.18019245278071699</v>
      </c>
      <c r="R2778">
        <v>0.410899890733607</v>
      </c>
      <c r="S2778" t="s">
        <v>9089</v>
      </c>
      <c r="T2778" t="s">
        <v>12620</v>
      </c>
      <c r="U2778" t="s">
        <v>12620</v>
      </c>
      <c r="V2778" t="s">
        <v>12620</v>
      </c>
      <c r="W2778" t="s">
        <v>15353</v>
      </c>
      <c r="X2778">
        <v>7</v>
      </c>
      <c r="Y2778" t="s">
        <v>21526</v>
      </c>
      <c r="Z2778" t="s">
        <v>27725</v>
      </c>
      <c r="AA2778">
        <v>0.84799280509432984</v>
      </c>
      <c r="AB2778" t="str">
        <f>HYPERLINK("Melting_Curves/meltCurve_Q06265_EXOSC9.pdf", "Melting_Curves/meltCurve_Q06265_EXOSC9.pdf")</f>
        <v>Melting_Curves/meltCurve_Q06265_EXOSC9.pdf</v>
      </c>
    </row>
    <row r="2779" spans="1:28" x14ac:dyDescent="0.25">
      <c r="A2779" t="s">
        <v>2783</v>
      </c>
      <c r="B2779">
        <v>0.99987803227770999</v>
      </c>
      <c r="C2779">
        <v>1.172879984915</v>
      </c>
      <c r="D2779">
        <v>1.1119096327534701</v>
      </c>
      <c r="E2779">
        <v>1.2394317094665199</v>
      </c>
      <c r="F2779">
        <v>1.1915488222572099</v>
      </c>
      <c r="G2779">
        <v>1.0166875628877099</v>
      </c>
      <c r="H2779">
        <v>0.92741255991911398</v>
      </c>
      <c r="I2779">
        <v>0.55338979303651603</v>
      </c>
      <c r="J2779">
        <v>0.32619639550607998</v>
      </c>
      <c r="K2779">
        <v>0.18557040732344601</v>
      </c>
      <c r="L2779">
        <v>2752.4327718875302</v>
      </c>
      <c r="M2779">
        <v>43.103040713418501</v>
      </c>
      <c r="N2779">
        <v>64.587409573231398</v>
      </c>
      <c r="O2779">
        <v>63.720052207313302</v>
      </c>
      <c r="P2779">
        <v>-0.13649063482110399</v>
      </c>
      <c r="Q2779">
        <v>0.19289435553191001</v>
      </c>
      <c r="R2779">
        <v>0.89189076420571001</v>
      </c>
      <c r="S2779" t="s">
        <v>9090</v>
      </c>
      <c r="T2779" t="s">
        <v>12620</v>
      </c>
      <c r="U2779" t="s">
        <v>12620</v>
      </c>
      <c r="V2779" t="s">
        <v>12620</v>
      </c>
      <c r="W2779" t="s">
        <v>15354</v>
      </c>
      <c r="X2779">
        <v>22</v>
      </c>
      <c r="Y2779" t="s">
        <v>21527</v>
      </c>
      <c r="Z2779" t="s">
        <v>27726</v>
      </c>
      <c r="AA2779">
        <v>0.83666010838803506</v>
      </c>
      <c r="AB2779" t="str">
        <f>HYPERLINK("Melting_Curves/meltCurve_Q06323_PSME1.pdf", "Melting_Curves/meltCurve_Q06323_PSME1.pdf")</f>
        <v>Melting_Curves/meltCurve_Q06323_PSME1.pdf</v>
      </c>
    </row>
    <row r="2780" spans="1:28" x14ac:dyDescent="0.25">
      <c r="A2780" t="s">
        <v>2784</v>
      </c>
      <c r="B2780">
        <v>0.99987803227770999</v>
      </c>
      <c r="C2780">
        <v>0.99421216854776795</v>
      </c>
      <c r="D2780">
        <v>0.977477134498697</v>
      </c>
      <c r="E2780">
        <v>0.93137977617319201</v>
      </c>
      <c r="F2780">
        <v>0.88263794038835997</v>
      </c>
      <c r="G2780">
        <v>0.51310793865496196</v>
      </c>
      <c r="H2780">
        <v>0.32104806462779101</v>
      </c>
      <c r="I2780">
        <v>0.27140125834276502</v>
      </c>
      <c r="J2780">
        <v>0.23919380507492299</v>
      </c>
      <c r="K2780">
        <v>9.5975366718664801E-2</v>
      </c>
      <c r="L2780">
        <v>1133.62943487911</v>
      </c>
      <c r="M2780">
        <v>19.975137170930498</v>
      </c>
      <c r="N2780">
        <v>57.7880239800079</v>
      </c>
      <c r="O2780">
        <v>56.192415234908701</v>
      </c>
      <c r="P2780">
        <v>-7.5496861236274193E-2</v>
      </c>
      <c r="Q2780">
        <v>0.15050151200827899</v>
      </c>
      <c r="R2780">
        <v>0.98822886041580604</v>
      </c>
      <c r="S2780" t="s">
        <v>9091</v>
      </c>
      <c r="T2780" t="s">
        <v>12620</v>
      </c>
      <c r="U2780" t="s">
        <v>12620</v>
      </c>
      <c r="V2780" t="s">
        <v>12620</v>
      </c>
      <c r="W2780" t="s">
        <v>15355</v>
      </c>
      <c r="X2780">
        <v>8</v>
      </c>
      <c r="Y2780" t="s">
        <v>21528</v>
      </c>
      <c r="Z2780" t="s">
        <v>27727</v>
      </c>
      <c r="AA2780">
        <v>0.63543109624267491</v>
      </c>
      <c r="AB2780" t="str">
        <f>HYPERLINK("Melting_Curves/meltCurve_Q06330_5_RBPJ.pdf", "Melting_Curves/meltCurve_Q06330_5_RBPJ.pdf")</f>
        <v>Melting_Curves/meltCurve_Q06330_5_RBPJ.pdf</v>
      </c>
    </row>
    <row r="2781" spans="1:28" x14ac:dyDescent="0.25">
      <c r="A2781" t="s">
        <v>2785</v>
      </c>
      <c r="B2781">
        <v>0.99987803227770999</v>
      </c>
      <c r="C2781">
        <v>0.94074978247033003</v>
      </c>
      <c r="D2781">
        <v>0.96597454810362104</v>
      </c>
      <c r="E2781">
        <v>0.68345350690864404</v>
      </c>
      <c r="F2781">
        <v>0.421911354857749</v>
      </c>
      <c r="G2781">
        <v>0.29939365580510302</v>
      </c>
      <c r="H2781">
        <v>0.21628497020981</v>
      </c>
      <c r="I2781">
        <v>0.18827299461979199</v>
      </c>
      <c r="J2781">
        <v>0.128551375861261</v>
      </c>
      <c r="K2781">
        <v>8.1923798785091095E-2</v>
      </c>
      <c r="L2781">
        <v>909.30730650718795</v>
      </c>
      <c r="M2781">
        <v>17.6131077953223</v>
      </c>
      <c r="N2781">
        <v>52.505972621033401</v>
      </c>
      <c r="O2781">
        <v>50.975022892474499</v>
      </c>
      <c r="P2781">
        <v>-7.5353152074304902E-2</v>
      </c>
      <c r="Q2781">
        <v>0.127712782234982</v>
      </c>
      <c r="R2781">
        <v>0.98955347861904497</v>
      </c>
      <c r="S2781" t="s">
        <v>9092</v>
      </c>
      <c r="T2781" t="s">
        <v>12620</v>
      </c>
      <c r="U2781" t="s">
        <v>12620</v>
      </c>
      <c r="V2781" t="s">
        <v>12620</v>
      </c>
      <c r="W2781" t="s">
        <v>15356</v>
      </c>
      <c r="X2781">
        <v>7</v>
      </c>
      <c r="Y2781" t="s">
        <v>21529</v>
      </c>
      <c r="Z2781" t="s">
        <v>27728</v>
      </c>
      <c r="AA2781">
        <v>0.48092175455926822</v>
      </c>
      <c r="AB2781" t="str">
        <f>HYPERLINK("Melting_Curves/meltCurve_Q06546_GABPA.pdf", "Melting_Curves/meltCurve_Q06546_GABPA.pdf")</f>
        <v>Melting_Curves/meltCurve_Q06546_GABPA.pdf</v>
      </c>
    </row>
    <row r="2782" spans="1:28" x14ac:dyDescent="0.25">
      <c r="A2782" t="s">
        <v>2786</v>
      </c>
      <c r="B2782">
        <v>0.99987803227770999</v>
      </c>
      <c r="C2782">
        <v>1.29045770500681</v>
      </c>
      <c r="D2782">
        <v>0.86334636844786905</v>
      </c>
      <c r="E2782">
        <v>0.55084718986898396</v>
      </c>
      <c r="F2782">
        <v>0.22205934063476401</v>
      </c>
      <c r="G2782">
        <v>0.144145161028292</v>
      </c>
      <c r="H2782">
        <v>0.11134661699562801</v>
      </c>
      <c r="I2782">
        <v>0.14800935732755699</v>
      </c>
      <c r="J2782">
        <v>0.10988702320168001</v>
      </c>
      <c r="K2782">
        <v>9.1086691500831304E-2</v>
      </c>
      <c r="L2782">
        <v>1520.8787938258399</v>
      </c>
      <c r="M2782">
        <v>30.525621452616399</v>
      </c>
      <c r="N2782">
        <v>50.252338268256302</v>
      </c>
      <c r="O2782">
        <v>49.610666946829497</v>
      </c>
      <c r="P2782">
        <v>-0.13617108831377001</v>
      </c>
      <c r="Q2782">
        <v>0.11477675270648501</v>
      </c>
      <c r="R2782">
        <v>0.94646830249772695</v>
      </c>
      <c r="S2782" t="s">
        <v>9093</v>
      </c>
      <c r="T2782" t="s">
        <v>12620</v>
      </c>
      <c r="U2782" t="s">
        <v>12620</v>
      </c>
      <c r="V2782" t="s">
        <v>12620</v>
      </c>
      <c r="W2782" t="s">
        <v>15357</v>
      </c>
      <c r="X2782">
        <v>1</v>
      </c>
      <c r="Y2782" t="s">
        <v>19573</v>
      </c>
      <c r="Z2782" t="s">
        <v>27729</v>
      </c>
      <c r="AA2782">
        <v>0.4098998183324658</v>
      </c>
      <c r="AB2782" t="str">
        <f>HYPERLINK("Melting_Curves/meltCurve_Q06547_2_GABPB1.pdf", "Melting_Curves/meltCurve_Q06547_2_GABPB1.pdf")</f>
        <v>Melting_Curves/meltCurve_Q06547_2_GABPB1.pdf</v>
      </c>
    </row>
    <row r="2783" spans="1:28" x14ac:dyDescent="0.25">
      <c r="A2783" t="s">
        <v>2787</v>
      </c>
      <c r="B2783">
        <v>0.99987803227770999</v>
      </c>
      <c r="C2783">
        <v>1.0749973039288101</v>
      </c>
      <c r="D2783">
        <v>0.91468082951011698</v>
      </c>
      <c r="E2783">
        <v>0.791597422778755</v>
      </c>
      <c r="F2783">
        <v>0.56087566324826399</v>
      </c>
      <c r="G2783">
        <v>0.40318026416915298</v>
      </c>
      <c r="H2783">
        <v>0.31264395035977699</v>
      </c>
      <c r="I2783">
        <v>0.29320084924885298</v>
      </c>
      <c r="J2783">
        <v>0.20578094933376601</v>
      </c>
      <c r="K2783">
        <v>0.15945306997456599</v>
      </c>
      <c r="L2783">
        <v>812.45265304416205</v>
      </c>
      <c r="M2783">
        <v>15.2945138266752</v>
      </c>
      <c r="N2783">
        <v>54.797940640521098</v>
      </c>
      <c r="O2783">
        <v>52.2372470811478</v>
      </c>
      <c r="P2783">
        <v>-5.9520092556822397E-2</v>
      </c>
      <c r="Q2783">
        <v>0.18693071393774699</v>
      </c>
      <c r="R2783">
        <v>0.98426666635391502</v>
      </c>
      <c r="S2783" t="s">
        <v>9094</v>
      </c>
      <c r="T2783" t="s">
        <v>12620</v>
      </c>
      <c r="U2783" t="s">
        <v>12620</v>
      </c>
      <c r="V2783" t="s">
        <v>12620</v>
      </c>
      <c r="W2783" t="s">
        <v>15358</v>
      </c>
      <c r="X2783">
        <v>4</v>
      </c>
      <c r="Y2783" t="s">
        <v>21530</v>
      </c>
      <c r="Z2783" t="s">
        <v>27730</v>
      </c>
      <c r="AA2783">
        <v>0.55947065187401568</v>
      </c>
      <c r="AB2783" t="str">
        <f>HYPERLINK("Melting_Curves/meltCurve_Q06587_RING1.pdf", "Melting_Curves/meltCurve_Q06587_RING1.pdf")</f>
        <v>Melting_Curves/meltCurve_Q06587_RING1.pdf</v>
      </c>
    </row>
    <row r="2784" spans="1:28" x14ac:dyDescent="0.25">
      <c r="A2784" t="s">
        <v>2788</v>
      </c>
      <c r="B2784">
        <v>0.99987803227770999</v>
      </c>
      <c r="C2784">
        <v>0.83750794050536903</v>
      </c>
      <c r="D2784">
        <v>0.71253832965505304</v>
      </c>
      <c r="E2784">
        <v>0.44617934618130001</v>
      </c>
      <c r="F2784">
        <v>0.26763131889908298</v>
      </c>
      <c r="G2784">
        <v>0.172485564217222</v>
      </c>
      <c r="H2784">
        <v>0.134034256383222</v>
      </c>
      <c r="I2784">
        <v>0.118134029341948</v>
      </c>
      <c r="J2784">
        <v>0.10749848732046199</v>
      </c>
      <c r="K2784">
        <v>8.9955284115863093E-2</v>
      </c>
      <c r="L2784">
        <v>708.01540633018897</v>
      </c>
      <c r="M2784">
        <v>14.6605738305062</v>
      </c>
      <c r="N2784">
        <v>48.9407404602116</v>
      </c>
      <c r="O2784">
        <v>47.421976954087903</v>
      </c>
      <c r="P2784">
        <v>-7.0487974780362103E-2</v>
      </c>
      <c r="Q2784">
        <v>8.8081972689346102E-2</v>
      </c>
      <c r="R2784">
        <v>0.99636956355247697</v>
      </c>
      <c r="S2784" t="s">
        <v>9095</v>
      </c>
      <c r="T2784" t="s">
        <v>12620</v>
      </c>
      <c r="U2784" t="s">
        <v>12620</v>
      </c>
      <c r="V2784" t="s">
        <v>12620</v>
      </c>
      <c r="W2784" t="s">
        <v>15359</v>
      </c>
      <c r="X2784">
        <v>6</v>
      </c>
      <c r="Y2784" t="s">
        <v>21531</v>
      </c>
      <c r="Z2784" t="s">
        <v>27731</v>
      </c>
      <c r="AA2784">
        <v>0.36440088327388559</v>
      </c>
      <c r="AB2784" t="str">
        <f>HYPERLINK("Melting_Curves/meltCurve_Q06609_3_RAD51.pdf", "Melting_Curves/meltCurve_Q06609_3_RAD51.pdf")</f>
        <v>Melting_Curves/meltCurve_Q06609_3_RAD51.pdf</v>
      </c>
    </row>
    <row r="2785" spans="1:28" x14ac:dyDescent="0.25">
      <c r="A2785" t="s">
        <v>2789</v>
      </c>
      <c r="B2785">
        <v>0.99987803227770999</v>
      </c>
      <c r="C2785">
        <v>0.91580463326379402</v>
      </c>
      <c r="D2785">
        <v>1.0615597005573101</v>
      </c>
      <c r="E2785">
        <v>0.91321891490845397</v>
      </c>
      <c r="F2785">
        <v>0.92366591891893801</v>
      </c>
      <c r="G2785">
        <v>0.453463313467458</v>
      </c>
      <c r="H2785">
        <v>0.37285247511176201</v>
      </c>
      <c r="I2785">
        <v>0.33249815376006497</v>
      </c>
      <c r="J2785">
        <v>0.355283977529948</v>
      </c>
      <c r="K2785">
        <v>0.29529922603542502</v>
      </c>
      <c r="L2785">
        <v>2481.39898710437</v>
      </c>
      <c r="M2785">
        <v>44.974054751820397</v>
      </c>
      <c r="N2785">
        <v>56.566888270106503</v>
      </c>
      <c r="O2785">
        <v>55.065257883574901</v>
      </c>
      <c r="P2785">
        <v>-0.135825296574799</v>
      </c>
      <c r="Q2785">
        <v>0.33479466830482502</v>
      </c>
      <c r="R2785">
        <v>0.97806397886178997</v>
      </c>
      <c r="S2785" t="s">
        <v>9096</v>
      </c>
      <c r="T2785" t="s">
        <v>12620</v>
      </c>
      <c r="U2785" t="s">
        <v>12620</v>
      </c>
      <c r="V2785" t="s">
        <v>12620</v>
      </c>
      <c r="W2785" t="s">
        <v>15360</v>
      </c>
      <c r="X2785">
        <v>9</v>
      </c>
      <c r="Y2785" t="s">
        <v>18922</v>
      </c>
      <c r="Z2785" t="s">
        <v>27732</v>
      </c>
      <c r="AA2785">
        <v>0.67325604843937581</v>
      </c>
      <c r="AB2785" t="str">
        <f>HYPERLINK("Melting_Curves/meltCurve_Q06787_8_FMR1.pdf", "Melting_Curves/meltCurve_Q06787_8_FMR1.pdf")</f>
        <v>Melting_Curves/meltCurve_Q06787_8_FMR1.pdf</v>
      </c>
    </row>
    <row r="2786" spans="1:28" x14ac:dyDescent="0.25">
      <c r="A2786" t="s">
        <v>2790</v>
      </c>
      <c r="B2786">
        <v>0.99987803227770999</v>
      </c>
      <c r="C2786">
        <v>1.0985304102801501</v>
      </c>
      <c r="D2786">
        <v>1.0090891581263599</v>
      </c>
      <c r="E2786">
        <v>1.00680593945998</v>
      </c>
      <c r="F2786">
        <v>0.93721936079364399</v>
      </c>
      <c r="G2786">
        <v>0.81880225263191297</v>
      </c>
      <c r="H2786">
        <v>0.90633885338461295</v>
      </c>
      <c r="I2786">
        <v>0.837230127861186</v>
      </c>
      <c r="J2786">
        <v>0.85492915328016195</v>
      </c>
      <c r="K2786">
        <v>0.66211112228461799</v>
      </c>
      <c r="L2786">
        <v>481.06620231648998</v>
      </c>
      <c r="M2786">
        <v>5.9357789882867102</v>
      </c>
      <c r="Q2786">
        <v>0</v>
      </c>
      <c r="R2786">
        <v>0.75923283432403998</v>
      </c>
      <c r="S2786" t="s">
        <v>9097</v>
      </c>
      <c r="T2786" t="s">
        <v>12620</v>
      </c>
      <c r="U2786" t="s">
        <v>12620</v>
      </c>
      <c r="V2786" t="s">
        <v>12620</v>
      </c>
      <c r="W2786" t="s">
        <v>15361</v>
      </c>
      <c r="X2786">
        <v>2</v>
      </c>
      <c r="Y2786" t="s">
        <v>21532</v>
      </c>
      <c r="Z2786" t="s">
        <v>27733</v>
      </c>
      <c r="AA2786">
        <v>0.91296945372689997</v>
      </c>
      <c r="AB2786" t="str">
        <f>HYPERLINK("Melting_Curves/meltCurve_Q06945_SOX4.pdf", "Melting_Curves/meltCurve_Q06945_SOX4.pdf")</f>
        <v>Melting_Curves/meltCurve_Q06945_SOX4.pdf</v>
      </c>
    </row>
    <row r="2787" spans="1:28" x14ac:dyDescent="0.25">
      <c r="A2787" t="s">
        <v>2791</v>
      </c>
      <c r="B2787">
        <v>0.99987803227770999</v>
      </c>
      <c r="C2787">
        <v>1.3162020424990699</v>
      </c>
      <c r="D2787">
        <v>1.23303423464948</v>
      </c>
      <c r="E2787">
        <v>1.1118293602260101</v>
      </c>
      <c r="F2787">
        <v>0.55118046653604602</v>
      </c>
      <c r="G2787">
        <v>0.24180344599496201</v>
      </c>
      <c r="H2787">
        <v>0.143151994363931</v>
      </c>
      <c r="I2787">
        <v>0.109358142369485</v>
      </c>
      <c r="J2787">
        <v>8.3033833487491701E-2</v>
      </c>
      <c r="K2787">
        <v>6.0948294619503803E-2</v>
      </c>
      <c r="L2787">
        <v>13246.9251401279</v>
      </c>
      <c r="M2787">
        <v>250</v>
      </c>
      <c r="N2787">
        <v>53.050262270056997</v>
      </c>
      <c r="O2787">
        <v>52.984333332627301</v>
      </c>
      <c r="P2787">
        <v>-1.0290084882666499</v>
      </c>
      <c r="Q2787">
        <v>0.12765912750689201</v>
      </c>
      <c r="R2787">
        <v>0.92439508194174003</v>
      </c>
      <c r="S2787" t="s">
        <v>9098</v>
      </c>
      <c r="T2787" t="s">
        <v>12620</v>
      </c>
      <c r="U2787" t="s">
        <v>12620</v>
      </c>
      <c r="V2787" t="s">
        <v>12620</v>
      </c>
      <c r="W2787" t="s">
        <v>15362</v>
      </c>
      <c r="X2787">
        <v>10</v>
      </c>
      <c r="Y2787" t="s">
        <v>21533</v>
      </c>
      <c r="Z2787" t="s">
        <v>27734</v>
      </c>
      <c r="AA2787">
        <v>0.50539698336502215</v>
      </c>
      <c r="AB2787" t="str">
        <f>HYPERLINK("Melting_Curves/meltCurve_Q07020_RPL18.pdf", "Melting_Curves/meltCurve_Q07020_RPL18.pdf")</f>
        <v>Melting_Curves/meltCurve_Q07020_RPL18.pdf</v>
      </c>
    </row>
    <row r="2788" spans="1:28" x14ac:dyDescent="0.25">
      <c r="A2788" t="s">
        <v>2792</v>
      </c>
      <c r="B2788">
        <v>0.99987803227770999</v>
      </c>
      <c r="C2788">
        <v>1.20430121951868</v>
      </c>
      <c r="D2788">
        <v>1.0510903948369601</v>
      </c>
      <c r="E2788">
        <v>1.1584461877360901</v>
      </c>
      <c r="F2788">
        <v>0.81017783702231105</v>
      </c>
      <c r="G2788">
        <v>0.91421811307536005</v>
      </c>
      <c r="H2788">
        <v>1.00002896505759</v>
      </c>
      <c r="I2788">
        <v>1.1424713531130199</v>
      </c>
      <c r="J2788">
        <v>0.98709952867472495</v>
      </c>
      <c r="K2788">
        <v>0.74012657292859796</v>
      </c>
      <c r="L2788">
        <v>15000</v>
      </c>
      <c r="M2788">
        <v>220.926852908207</v>
      </c>
      <c r="O2788">
        <v>67.890211993497203</v>
      </c>
      <c r="P2788">
        <v>-0.21169464022407899</v>
      </c>
      <c r="Q2788">
        <v>0.73978728650547498</v>
      </c>
      <c r="R2788">
        <v>0.33705960866878698</v>
      </c>
      <c r="S2788" t="s">
        <v>9099</v>
      </c>
      <c r="T2788" t="s">
        <v>12620</v>
      </c>
      <c r="U2788" t="s">
        <v>12620</v>
      </c>
      <c r="V2788" t="s">
        <v>12620</v>
      </c>
      <c r="W2788" t="s">
        <v>15363</v>
      </c>
      <c r="X2788">
        <v>6</v>
      </c>
      <c r="Y2788" t="s">
        <v>21534</v>
      </c>
      <c r="Z2788" t="s">
        <v>27735</v>
      </c>
      <c r="AA2788">
        <v>0.98178444159789957</v>
      </c>
      <c r="AB2788" t="str">
        <f>HYPERLINK("Melting_Curves/meltCurve_Q07021_C1QBP.pdf", "Melting_Curves/meltCurve_Q07021_C1QBP.pdf")</f>
        <v>Melting_Curves/meltCurve_Q07021_C1QBP.pdf</v>
      </c>
    </row>
    <row r="2789" spans="1:28" x14ac:dyDescent="0.25">
      <c r="A2789" t="s">
        <v>2793</v>
      </c>
      <c r="B2789">
        <v>0.99987803227770999</v>
      </c>
      <c r="C2789">
        <v>0.87471776879529395</v>
      </c>
      <c r="D2789">
        <v>1.01240155955386</v>
      </c>
      <c r="E2789">
        <v>0.909570086398099</v>
      </c>
      <c r="F2789">
        <v>0.95647545327615902</v>
      </c>
      <c r="G2789">
        <v>0.82477387376072597</v>
      </c>
      <c r="H2789">
        <v>1.1167597006940999</v>
      </c>
      <c r="I2789">
        <v>0.96439626098515996</v>
      </c>
      <c r="J2789">
        <v>0.91230392641580504</v>
      </c>
      <c r="K2789">
        <v>0.63240674287936605</v>
      </c>
      <c r="L2789">
        <v>3062.2758377704399</v>
      </c>
      <c r="M2789">
        <v>43.7165644025349</v>
      </c>
      <c r="O2789">
        <v>69.902308200953499</v>
      </c>
      <c r="P2789">
        <v>-0.116676990441466</v>
      </c>
      <c r="Q2789">
        <v>0.25374015366305402</v>
      </c>
      <c r="R2789">
        <v>0.52901893548080103</v>
      </c>
      <c r="S2789" t="s">
        <v>9100</v>
      </c>
      <c r="T2789" t="s">
        <v>12620</v>
      </c>
      <c r="U2789" t="s">
        <v>12620</v>
      </c>
      <c r="V2789" t="s">
        <v>12620</v>
      </c>
      <c r="W2789" t="s">
        <v>15364</v>
      </c>
      <c r="X2789">
        <v>2</v>
      </c>
      <c r="Y2789" t="s">
        <v>21535</v>
      </c>
      <c r="Z2789" t="s">
        <v>27736</v>
      </c>
      <c r="AA2789">
        <v>0.97436641998923568</v>
      </c>
      <c r="AB2789" t="str">
        <f>HYPERLINK("Melting_Curves/meltCurve_Q07065_CKAP4.pdf", "Melting_Curves/meltCurve_Q07065_CKAP4.pdf")</f>
        <v>Melting_Curves/meltCurve_Q07065_CKAP4.pdf</v>
      </c>
    </row>
    <row r="2790" spans="1:28" x14ac:dyDescent="0.25">
      <c r="A2790" t="s">
        <v>2794</v>
      </c>
      <c r="B2790">
        <v>0.99987803227770999</v>
      </c>
      <c r="C2790">
        <v>1.5756636472346299</v>
      </c>
      <c r="D2790">
        <v>4.8122214810491304</v>
      </c>
      <c r="E2790">
        <v>2.4055686743043698</v>
      </c>
      <c r="F2790">
        <v>1.3227853744951601</v>
      </c>
      <c r="G2790">
        <v>0.41219270912647998</v>
      </c>
      <c r="H2790">
        <v>0.23714121000869801</v>
      </c>
      <c r="I2790">
        <v>0.18819804915600799</v>
      </c>
      <c r="J2790">
        <v>0.22639729750169399</v>
      </c>
      <c r="K2790">
        <v>0.16704364647025599</v>
      </c>
      <c r="L2790">
        <v>14190.6471098444</v>
      </c>
      <c r="M2790">
        <v>250</v>
      </c>
      <c r="N2790">
        <v>56.882403216505303</v>
      </c>
      <c r="O2790">
        <v>56.758956029700599</v>
      </c>
      <c r="P2790">
        <v>-0.87574831723810698</v>
      </c>
      <c r="Q2790">
        <v>0.20469503750599999</v>
      </c>
      <c r="R2790">
        <v>0.120623664703104</v>
      </c>
      <c r="S2790" t="s">
        <v>9101</v>
      </c>
      <c r="T2790" t="s">
        <v>12620</v>
      </c>
      <c r="U2790" t="s">
        <v>12620</v>
      </c>
      <c r="V2790" t="s">
        <v>12620</v>
      </c>
      <c r="W2790" t="s">
        <v>15365</v>
      </c>
      <c r="X2790">
        <v>3</v>
      </c>
      <c r="Y2790" t="s">
        <v>21536</v>
      </c>
      <c r="Z2790" t="s">
        <v>27737</v>
      </c>
      <c r="AA2790">
        <v>0.64915325610177654</v>
      </c>
      <c r="AB2790" t="str">
        <f>HYPERLINK("Melting_Curves/meltCurve_Q07283_TCHH.pdf", "Melting_Curves/meltCurve_Q07283_TCHH.pdf")</f>
        <v>Melting_Curves/meltCurve_Q07283_TCHH.pdf</v>
      </c>
    </row>
    <row r="2791" spans="1:28" x14ac:dyDescent="0.25">
      <c r="A2791" t="s">
        <v>2795</v>
      </c>
      <c r="B2791">
        <v>0.99987803227770999</v>
      </c>
      <c r="C2791">
        <v>0.92066777468136796</v>
      </c>
      <c r="D2791">
        <v>0.73571010827047401</v>
      </c>
      <c r="E2791">
        <v>0.39266869976179097</v>
      </c>
      <c r="F2791">
        <v>0.28168142319167599</v>
      </c>
      <c r="G2791">
        <v>0.18709245195955501</v>
      </c>
      <c r="H2791">
        <v>0.158809259139431</v>
      </c>
      <c r="I2791">
        <v>0.141669393101929</v>
      </c>
      <c r="J2791">
        <v>0.12812282515203099</v>
      </c>
      <c r="K2791">
        <v>8.6764365987742398E-2</v>
      </c>
      <c r="L2791">
        <v>873.00703454140501</v>
      </c>
      <c r="M2791">
        <v>18.149312679711802</v>
      </c>
      <c r="N2791">
        <v>48.867617924870203</v>
      </c>
      <c r="O2791">
        <v>47.528822210859602</v>
      </c>
      <c r="P2791">
        <v>-8.3646745914359402E-2</v>
      </c>
      <c r="Q2791">
        <v>0.123836474351964</v>
      </c>
      <c r="R2791">
        <v>0.99666977625193198</v>
      </c>
      <c r="S2791" t="s">
        <v>9102</v>
      </c>
      <c r="T2791" t="s">
        <v>12620</v>
      </c>
      <c r="U2791" t="s">
        <v>12620</v>
      </c>
      <c r="V2791" t="s">
        <v>12620</v>
      </c>
      <c r="W2791" t="s">
        <v>15366</v>
      </c>
      <c r="X2791">
        <v>6</v>
      </c>
      <c r="Y2791" t="s">
        <v>21537</v>
      </c>
      <c r="Z2791" t="s">
        <v>27738</v>
      </c>
      <c r="AA2791">
        <v>0.37567567715574818</v>
      </c>
      <c r="AB2791" t="str">
        <f>HYPERLINK("Melting_Curves/meltCurve_Q07617_SPAG1.pdf", "Melting_Curves/meltCurve_Q07617_SPAG1.pdf")</f>
        <v>Melting_Curves/meltCurve_Q07617_SPAG1.pdf</v>
      </c>
    </row>
    <row r="2792" spans="1:28" x14ac:dyDescent="0.25">
      <c r="A2792" t="s">
        <v>2796</v>
      </c>
      <c r="B2792">
        <v>0.99987803227770999</v>
      </c>
      <c r="C2792">
        <v>0.80136221573055799</v>
      </c>
      <c r="D2792">
        <v>0.92807610321106904</v>
      </c>
      <c r="E2792">
        <v>0.720549293657894</v>
      </c>
      <c r="F2792">
        <v>0.33556756114406699</v>
      </c>
      <c r="G2792">
        <v>0.178751124560692</v>
      </c>
      <c r="H2792">
        <v>0.121028842543838</v>
      </c>
      <c r="I2792">
        <v>0.11022721324913901</v>
      </c>
      <c r="J2792">
        <v>9.1326821573703698E-2</v>
      </c>
      <c r="K2792">
        <v>5.9610269812708602E-2</v>
      </c>
      <c r="L2792">
        <v>1131.5580115145799</v>
      </c>
      <c r="M2792">
        <v>22.0636440243394</v>
      </c>
      <c r="N2792">
        <v>51.703195158375202</v>
      </c>
      <c r="O2792">
        <v>50.870365179416702</v>
      </c>
      <c r="P2792">
        <v>-9.9592653652415805E-2</v>
      </c>
      <c r="Q2792">
        <v>8.1529349675012505E-2</v>
      </c>
      <c r="R2792">
        <v>0.96883515887184202</v>
      </c>
      <c r="S2792" t="s">
        <v>9103</v>
      </c>
      <c r="T2792" t="s">
        <v>12620</v>
      </c>
      <c r="U2792" t="s">
        <v>12620</v>
      </c>
      <c r="V2792" t="s">
        <v>12620</v>
      </c>
      <c r="W2792" t="s">
        <v>15367</v>
      </c>
      <c r="X2792">
        <v>9</v>
      </c>
      <c r="Y2792" t="s">
        <v>21538</v>
      </c>
      <c r="Z2792" t="s">
        <v>27739</v>
      </c>
      <c r="AA2792">
        <v>0.43765574652345401</v>
      </c>
      <c r="AB2792" t="str">
        <f>HYPERLINK("Melting_Curves/meltCurve_Q07666_KHDRBS1.pdf", "Melting_Curves/meltCurve_Q07666_KHDRBS1.pdf")</f>
        <v>Melting_Curves/meltCurve_Q07666_KHDRBS1.pdf</v>
      </c>
    </row>
    <row r="2793" spans="1:28" x14ac:dyDescent="0.25">
      <c r="A2793" t="s">
        <v>2797</v>
      </c>
      <c r="B2793">
        <v>0.99987803227770999</v>
      </c>
      <c r="C2793">
        <v>0.78510178575586498</v>
      </c>
      <c r="D2793">
        <v>0.91587886697234899</v>
      </c>
      <c r="E2793">
        <v>0.82928257117827597</v>
      </c>
      <c r="F2793">
        <v>1.0373826345466099</v>
      </c>
      <c r="G2793">
        <v>0.9807170334709</v>
      </c>
      <c r="H2793">
        <v>0.92569730785315396</v>
      </c>
      <c r="I2793">
        <v>0.85619038715925999</v>
      </c>
      <c r="J2793">
        <v>0.82971751449610298</v>
      </c>
      <c r="K2793">
        <v>0.62312004861481896</v>
      </c>
      <c r="L2793">
        <v>1015.9184734911599</v>
      </c>
      <c r="M2793">
        <v>13.9044909050871</v>
      </c>
      <c r="Q2793">
        <v>0</v>
      </c>
      <c r="R2793">
        <v>0.34400609754026801</v>
      </c>
      <c r="S2793" t="s">
        <v>9104</v>
      </c>
      <c r="T2793" t="s">
        <v>12620</v>
      </c>
      <c r="U2793" t="s">
        <v>12620</v>
      </c>
      <c r="V2793" t="s">
        <v>12620</v>
      </c>
      <c r="W2793" t="s">
        <v>15368</v>
      </c>
      <c r="X2793">
        <v>12</v>
      </c>
      <c r="Y2793" t="s">
        <v>21539</v>
      </c>
      <c r="Z2793" t="s">
        <v>27740</v>
      </c>
      <c r="AA2793">
        <v>0.93902940319336659</v>
      </c>
      <c r="AB2793" t="str">
        <f>HYPERLINK("Melting_Curves/meltCurve_Q07812_8_BAX.pdf", "Melting_Curves/meltCurve_Q07812_8_BAX.pdf")</f>
        <v>Melting_Curves/meltCurve_Q07812_8_BAX.pdf</v>
      </c>
    </row>
    <row r="2794" spans="1:28" x14ac:dyDescent="0.25">
      <c r="A2794" t="s">
        <v>2798</v>
      </c>
      <c r="B2794">
        <v>0.99987803227770999</v>
      </c>
      <c r="C2794">
        <v>1.1488898621641099</v>
      </c>
      <c r="D2794">
        <v>0.86522619585622396</v>
      </c>
      <c r="E2794">
        <v>1.1655122981507899</v>
      </c>
      <c r="F2794">
        <v>0.56477473118858501</v>
      </c>
      <c r="G2794">
        <v>0.33502168456975501</v>
      </c>
      <c r="H2794">
        <v>0.17622430608440101</v>
      </c>
      <c r="I2794">
        <v>0.143135932078265</v>
      </c>
      <c r="J2794">
        <v>0.12534699529361201</v>
      </c>
      <c r="K2794">
        <v>9.6030511513766695E-2</v>
      </c>
      <c r="L2794">
        <v>13244.133787385101</v>
      </c>
      <c r="M2794">
        <v>250</v>
      </c>
      <c r="N2794">
        <v>53.068099831629802</v>
      </c>
      <c r="O2794">
        <v>52.973162768673802</v>
      </c>
      <c r="P2794">
        <v>-0.97319138484583501</v>
      </c>
      <c r="Q2794">
        <v>0.17515186600197299</v>
      </c>
      <c r="R2794">
        <v>0.94197336887156102</v>
      </c>
      <c r="S2794" t="s">
        <v>9105</v>
      </c>
      <c r="T2794" t="s">
        <v>12620</v>
      </c>
      <c r="U2794" t="s">
        <v>12620</v>
      </c>
      <c r="V2794" t="s">
        <v>12620</v>
      </c>
      <c r="W2794" t="s">
        <v>15369</v>
      </c>
      <c r="X2794">
        <v>40</v>
      </c>
      <c r="Y2794" t="s">
        <v>21540</v>
      </c>
      <c r="Z2794" t="s">
        <v>27741</v>
      </c>
      <c r="AA2794">
        <v>0.53201758139842981</v>
      </c>
      <c r="AB2794" t="str">
        <f>HYPERLINK("Melting_Curves/meltCurve_Q07866_6_KLC1.pdf", "Melting_Curves/meltCurve_Q07866_6_KLC1.pdf")</f>
        <v>Melting_Curves/meltCurve_Q07866_6_KLC1.pdf</v>
      </c>
    </row>
    <row r="2795" spans="1:28" x14ac:dyDescent="0.25">
      <c r="A2795" t="s">
        <v>2799</v>
      </c>
      <c r="B2795">
        <v>0.99987803227770999</v>
      </c>
      <c r="C2795">
        <v>1.2457530316384799</v>
      </c>
      <c r="D2795">
        <v>1.3364488569159101</v>
      </c>
      <c r="E2795">
        <v>1.33149339610801</v>
      </c>
      <c r="F2795">
        <v>1.14751602822763</v>
      </c>
      <c r="G2795">
        <v>0.63464103839877795</v>
      </c>
      <c r="H2795">
        <v>0.526796025142656</v>
      </c>
      <c r="I2795">
        <v>0.59775857745240502</v>
      </c>
      <c r="J2795">
        <v>0.63648504712438603</v>
      </c>
      <c r="K2795">
        <v>0.43372372918687202</v>
      </c>
      <c r="S2795" t="s">
        <v>9106</v>
      </c>
      <c r="T2795" t="s">
        <v>12620</v>
      </c>
      <c r="U2795" t="s">
        <v>12621</v>
      </c>
      <c r="V2795" t="s">
        <v>12620</v>
      </c>
      <c r="W2795" t="s">
        <v>15370</v>
      </c>
      <c r="X2795">
        <v>3</v>
      </c>
      <c r="Y2795" t="s">
        <v>21541</v>
      </c>
      <c r="Z2795" t="s">
        <v>27742</v>
      </c>
      <c r="AB2795" t="str">
        <f>HYPERLINK("Melting_Curves/meltCurve_Q07954_LRP1.pdf", "Melting_Curves/meltCurve_Q07954_LRP1.pdf")</f>
        <v>Melting_Curves/meltCurve_Q07954_LRP1.pdf</v>
      </c>
    </row>
    <row r="2796" spans="1:28" x14ac:dyDescent="0.25">
      <c r="A2796" t="s">
        <v>2800</v>
      </c>
      <c r="B2796">
        <v>0.99987803227770999</v>
      </c>
      <c r="C2796">
        <v>0.89714728891120499</v>
      </c>
      <c r="D2796">
        <v>0.93136882386259701</v>
      </c>
      <c r="E2796">
        <v>0.94960498602739896</v>
      </c>
      <c r="F2796">
        <v>1.0106841675400999</v>
      </c>
      <c r="G2796">
        <v>0.73334140881736298</v>
      </c>
      <c r="H2796">
        <v>1.1457181009800099</v>
      </c>
      <c r="I2796">
        <v>1.17768725803973</v>
      </c>
      <c r="J2796">
        <v>1.7854115651992499</v>
      </c>
      <c r="K2796">
        <v>1.4364759789872299</v>
      </c>
      <c r="L2796">
        <v>15000</v>
      </c>
      <c r="M2796">
        <v>233.78007879883</v>
      </c>
      <c r="O2796">
        <v>64.158171177908102</v>
      </c>
      <c r="P2796">
        <v>0.45547604288008198</v>
      </c>
      <c r="Q2796">
        <v>1.5</v>
      </c>
      <c r="R2796">
        <v>0.76560905227965403</v>
      </c>
      <c r="S2796" t="s">
        <v>9107</v>
      </c>
      <c r="T2796" t="s">
        <v>12620</v>
      </c>
      <c r="U2796" t="s">
        <v>12620</v>
      </c>
      <c r="V2796" t="s">
        <v>12620</v>
      </c>
      <c r="W2796" t="s">
        <v>15371</v>
      </c>
      <c r="X2796">
        <v>13</v>
      </c>
      <c r="Y2796" t="s">
        <v>21542</v>
      </c>
      <c r="Z2796" t="s">
        <v>27743</v>
      </c>
      <c r="AA2796">
        <v>1.0972211692426299</v>
      </c>
      <c r="AB2796" t="str">
        <f>HYPERLINK("Melting_Curves/meltCurve_Q07955_SRSF1.pdf", "Melting_Curves/meltCurve_Q07955_SRSF1.pdf")</f>
        <v>Melting_Curves/meltCurve_Q07955_SRSF1.pdf</v>
      </c>
    </row>
    <row r="2797" spans="1:28" x14ac:dyDescent="0.25">
      <c r="A2797" t="s">
        <v>2801</v>
      </c>
      <c r="B2797">
        <v>0.99987803227770999</v>
      </c>
      <c r="C2797">
        <v>0.93273953753609995</v>
      </c>
      <c r="D2797">
        <v>1.00830400871876</v>
      </c>
      <c r="E2797">
        <v>0.92391096333504896</v>
      </c>
      <c r="F2797">
        <v>0.970168682988371</v>
      </c>
      <c r="G2797">
        <v>0.82539944840574597</v>
      </c>
      <c r="H2797">
        <v>0.32468775416919998</v>
      </c>
      <c r="I2797">
        <v>0.18639872668579899</v>
      </c>
      <c r="J2797">
        <v>0.12500767189860701</v>
      </c>
      <c r="K2797">
        <v>9.0270226039306595E-2</v>
      </c>
      <c r="L2797">
        <v>2062.5224418501298</v>
      </c>
      <c r="M2797">
        <v>34.842119461007997</v>
      </c>
      <c r="N2797">
        <v>59.593391885448703</v>
      </c>
      <c r="O2797">
        <v>59.002263214754898</v>
      </c>
      <c r="P2797">
        <v>-0.132336022269294</v>
      </c>
      <c r="Q2797">
        <v>0.103602684801126</v>
      </c>
      <c r="R2797">
        <v>0.99203277975582904</v>
      </c>
      <c r="S2797" t="s">
        <v>9108</v>
      </c>
      <c r="T2797" t="s">
        <v>12620</v>
      </c>
      <c r="U2797" t="s">
        <v>12620</v>
      </c>
      <c r="V2797" t="s">
        <v>12620</v>
      </c>
      <c r="W2797" t="s">
        <v>15372</v>
      </c>
      <c r="X2797">
        <v>25</v>
      </c>
      <c r="Y2797" t="s">
        <v>21543</v>
      </c>
      <c r="Z2797" t="s">
        <v>27744</v>
      </c>
      <c r="AA2797">
        <v>0.68168199700898091</v>
      </c>
      <c r="AB2797" t="str">
        <f>HYPERLINK("Melting_Curves/meltCurve_Q07960_ARHGAP1.pdf", "Melting_Curves/meltCurve_Q07960_ARHGAP1.pdf")</f>
        <v>Melting_Curves/meltCurve_Q07960_ARHGAP1.pdf</v>
      </c>
    </row>
    <row r="2798" spans="1:28" x14ac:dyDescent="0.25">
      <c r="A2798" t="s">
        <v>2802</v>
      </c>
      <c r="B2798">
        <v>0.99987803227770999</v>
      </c>
      <c r="C2798">
        <v>0.83398190398480598</v>
      </c>
      <c r="D2798">
        <v>0.69663414344957797</v>
      </c>
      <c r="E2798">
        <v>0.60638312123017302</v>
      </c>
      <c r="F2798">
        <v>0.47680352253281499</v>
      </c>
      <c r="G2798">
        <v>0.33645421672342801</v>
      </c>
      <c r="H2798">
        <v>0.196937778792767</v>
      </c>
      <c r="I2798">
        <v>0.13668536628655101</v>
      </c>
      <c r="J2798">
        <v>9.7041797430693896E-2</v>
      </c>
      <c r="K2798">
        <v>7.5889938469759499E-2</v>
      </c>
      <c r="L2798">
        <v>463.89879761804002</v>
      </c>
      <c r="M2798">
        <v>8.9462449785856801</v>
      </c>
      <c r="N2798">
        <v>51.854018442712601</v>
      </c>
      <c r="O2798">
        <v>49.459540853695998</v>
      </c>
      <c r="P2798">
        <v>-4.5253609763493199E-2</v>
      </c>
      <c r="Q2798">
        <v>0</v>
      </c>
      <c r="R2798">
        <v>0.98762544766293803</v>
      </c>
      <c r="S2798" t="s">
        <v>9109</v>
      </c>
      <c r="T2798" t="s">
        <v>12620</v>
      </c>
      <c r="U2798" t="s">
        <v>12620</v>
      </c>
      <c r="V2798" t="s">
        <v>12620</v>
      </c>
      <c r="W2798" t="s">
        <v>15373</v>
      </c>
      <c r="X2798">
        <v>2</v>
      </c>
      <c r="Y2798" t="s">
        <v>21544</v>
      </c>
      <c r="Z2798" t="s">
        <v>27745</v>
      </c>
      <c r="AA2798">
        <v>0.43840103282327259</v>
      </c>
      <c r="AB2798" t="str">
        <f>HYPERLINK("Melting_Curves/meltCurve_Q08117_AES.pdf", "Melting_Curves/meltCurve_Q08117_AES.pdf")</f>
        <v>Melting_Curves/meltCurve_Q08117_AES.pdf</v>
      </c>
    </row>
    <row r="2799" spans="1:28" x14ac:dyDescent="0.25">
      <c r="A2799" t="s">
        <v>2803</v>
      </c>
      <c r="B2799">
        <v>0.99987803227770999</v>
      </c>
      <c r="C2799">
        <v>0.97282872074849103</v>
      </c>
      <c r="D2799">
        <v>0.898052197819872</v>
      </c>
      <c r="E2799">
        <v>0.908066645669933</v>
      </c>
      <c r="F2799">
        <v>0.62038167460365701</v>
      </c>
      <c r="G2799">
        <v>0.41838209362016299</v>
      </c>
      <c r="H2799">
        <v>0.528100248398651</v>
      </c>
      <c r="I2799">
        <v>0.48836136075440501</v>
      </c>
      <c r="J2799">
        <v>0.75416589023299097</v>
      </c>
      <c r="K2799">
        <v>0.50456808706004097</v>
      </c>
      <c r="L2799">
        <v>2715.07975947245</v>
      </c>
      <c r="M2799">
        <v>52.897113940870703</v>
      </c>
      <c r="O2799">
        <v>51.2543590357051</v>
      </c>
      <c r="P2799">
        <v>-0.11879676931129</v>
      </c>
      <c r="Q2799">
        <v>0.53957048485675896</v>
      </c>
      <c r="R2799">
        <v>0.82938059007920495</v>
      </c>
      <c r="S2799" t="s">
        <v>9110</v>
      </c>
      <c r="T2799" t="s">
        <v>12620</v>
      </c>
      <c r="U2799" t="s">
        <v>12620</v>
      </c>
      <c r="V2799" t="s">
        <v>12620</v>
      </c>
      <c r="W2799" t="s">
        <v>15374</v>
      </c>
      <c r="X2799">
        <v>7</v>
      </c>
      <c r="Y2799" t="s">
        <v>21545</v>
      </c>
      <c r="Z2799" t="s">
        <v>27746</v>
      </c>
      <c r="AA2799">
        <v>0.71435271970271763</v>
      </c>
      <c r="AB2799" t="str">
        <f>HYPERLINK("Melting_Curves/meltCurve_Q08170_SRSF4.pdf", "Melting_Curves/meltCurve_Q08170_SRSF4.pdf")</f>
        <v>Melting_Curves/meltCurve_Q08170_SRSF4.pdf</v>
      </c>
    </row>
    <row r="2800" spans="1:28" x14ac:dyDescent="0.25">
      <c r="A2800" t="s">
        <v>2804</v>
      </c>
      <c r="B2800">
        <v>0.99987803227770999</v>
      </c>
      <c r="C2800">
        <v>0.603612385864019</v>
      </c>
      <c r="D2800">
        <v>0.68159910478333596</v>
      </c>
      <c r="E2800">
        <v>0.68117067478100202</v>
      </c>
      <c r="F2800">
        <v>0.41634014378789302</v>
      </c>
      <c r="G2800">
        <v>0.47312472337999301</v>
      </c>
      <c r="H2800">
        <v>0.40752657468161502</v>
      </c>
      <c r="I2800">
        <v>0.329604941412381</v>
      </c>
      <c r="J2800">
        <v>0.15896367397132599</v>
      </c>
      <c r="K2800">
        <v>9.1353189601489193E-2</v>
      </c>
      <c r="L2800">
        <v>301.60950584980498</v>
      </c>
      <c r="M2800">
        <v>5.6930009135215602</v>
      </c>
      <c r="N2800">
        <v>52.979001721286103</v>
      </c>
      <c r="O2800">
        <v>47.530686682412501</v>
      </c>
      <c r="P2800">
        <v>-3.0060652278696701E-2</v>
      </c>
      <c r="Q2800">
        <v>0</v>
      </c>
      <c r="R2800">
        <v>0.84044159970430299</v>
      </c>
      <c r="S2800" t="s">
        <v>9111</v>
      </c>
      <c r="T2800" t="s">
        <v>12620</v>
      </c>
      <c r="U2800" t="s">
        <v>12620</v>
      </c>
      <c r="V2800" t="s">
        <v>12620</v>
      </c>
      <c r="W2800" t="s">
        <v>15375</v>
      </c>
      <c r="X2800">
        <v>2</v>
      </c>
      <c r="Y2800" t="s">
        <v>21546</v>
      </c>
      <c r="Z2800" t="s">
        <v>27747</v>
      </c>
      <c r="AA2800">
        <v>0.48162032467677879</v>
      </c>
      <c r="AB2800" t="str">
        <f>HYPERLINK("Melting_Curves/meltCurve_Q08188_TGM3.pdf", "Melting_Curves/meltCurve_Q08188_TGM3.pdf")</f>
        <v>Melting_Curves/meltCurve_Q08188_TGM3.pdf</v>
      </c>
    </row>
    <row r="2801" spans="1:28" x14ac:dyDescent="0.25">
      <c r="A2801" t="s">
        <v>2805</v>
      </c>
      <c r="B2801">
        <v>0.99987803227770999</v>
      </c>
      <c r="C2801">
        <v>1.10392726639965</v>
      </c>
      <c r="D2801">
        <v>1.0492027885097299</v>
      </c>
      <c r="E2801">
        <v>1.04335913212914</v>
      </c>
      <c r="F2801">
        <v>0.86380123091226801</v>
      </c>
      <c r="G2801">
        <v>0.81863361461376805</v>
      </c>
      <c r="H2801">
        <v>0.43785597409821497</v>
      </c>
      <c r="I2801">
        <v>0.33213477091511001</v>
      </c>
      <c r="J2801">
        <v>0.14468143664038999</v>
      </c>
      <c r="K2801">
        <v>8.2771453127815503E-2</v>
      </c>
      <c r="L2801">
        <v>1110.4085568216999</v>
      </c>
      <c r="M2801">
        <v>18.261404540383701</v>
      </c>
      <c r="N2801">
        <v>60.820922030892099</v>
      </c>
      <c r="O2801">
        <v>60.091202118779599</v>
      </c>
      <c r="P2801">
        <v>-7.5810913451367604E-2</v>
      </c>
      <c r="Q2801">
        <v>2.18921961788079E-3</v>
      </c>
      <c r="R2801">
        <v>0.97938649133142397</v>
      </c>
      <c r="S2801" t="s">
        <v>9112</v>
      </c>
      <c r="T2801" t="s">
        <v>12620</v>
      </c>
      <c r="U2801" t="s">
        <v>12620</v>
      </c>
      <c r="V2801" t="s">
        <v>12620</v>
      </c>
      <c r="W2801" t="s">
        <v>15376</v>
      </c>
      <c r="X2801">
        <v>18</v>
      </c>
      <c r="Y2801" t="s">
        <v>21547</v>
      </c>
      <c r="Z2801" t="s">
        <v>27748</v>
      </c>
      <c r="AA2801">
        <v>0.7002455356835644</v>
      </c>
      <c r="AB2801" t="str">
        <f>HYPERLINK("Melting_Curves/meltCurve_Q08209_2_PPP3CA.pdf", "Melting_Curves/meltCurve_Q08209_2_PPP3CA.pdf")</f>
        <v>Melting_Curves/meltCurve_Q08209_2_PPP3CA.pdf</v>
      </c>
    </row>
    <row r="2802" spans="1:28" x14ac:dyDescent="0.25">
      <c r="A2802" t="s">
        <v>2806</v>
      </c>
      <c r="B2802">
        <v>0.99987803227770999</v>
      </c>
      <c r="C2802">
        <v>0.98416482707319497</v>
      </c>
      <c r="D2802">
        <v>0.96119997021511305</v>
      </c>
      <c r="E2802">
        <v>1.0211895412423699</v>
      </c>
      <c r="F2802">
        <v>0.65150260367303303</v>
      </c>
      <c r="G2802">
        <v>0.28618193121619401</v>
      </c>
      <c r="H2802">
        <v>0.29765466537705598</v>
      </c>
      <c r="I2802">
        <v>0.30618981163946601</v>
      </c>
      <c r="J2802">
        <v>0.311367781965462</v>
      </c>
      <c r="K2802">
        <v>0.25693522232317201</v>
      </c>
      <c r="L2802">
        <v>13251.697048198501</v>
      </c>
      <c r="M2802">
        <v>250</v>
      </c>
      <c r="N2802">
        <v>53.193064023836797</v>
      </c>
      <c r="O2802">
        <v>53.003400802607302</v>
      </c>
      <c r="P2802">
        <v>-0.83524615268065106</v>
      </c>
      <c r="Q2802">
        <v>0.29166587786655401</v>
      </c>
      <c r="R2802">
        <v>0.99627597003303803</v>
      </c>
      <c r="S2802" t="s">
        <v>9113</v>
      </c>
      <c r="T2802" t="s">
        <v>12620</v>
      </c>
      <c r="U2802" t="s">
        <v>12620</v>
      </c>
      <c r="V2802" t="s">
        <v>12620</v>
      </c>
      <c r="W2802" t="s">
        <v>15377</v>
      </c>
      <c r="X2802">
        <v>26</v>
      </c>
      <c r="Y2802" t="s">
        <v>21548</v>
      </c>
      <c r="Z2802" t="s">
        <v>27749</v>
      </c>
      <c r="AA2802">
        <v>0.59883683462976656</v>
      </c>
      <c r="AB2802" t="str">
        <f>HYPERLINK("Melting_Curves/meltCurve_Q08211_DHX9.pdf", "Melting_Curves/meltCurve_Q08211_DHX9.pdf")</f>
        <v>Melting_Curves/meltCurve_Q08211_DHX9.pdf</v>
      </c>
    </row>
    <row r="2803" spans="1:28" x14ac:dyDescent="0.25">
      <c r="A2803" t="s">
        <v>2807</v>
      </c>
      <c r="B2803">
        <v>0.99987803227770999</v>
      </c>
      <c r="C2803">
        <v>1.22351291575274</v>
      </c>
      <c r="D2803">
        <v>1.0980482809144301</v>
      </c>
      <c r="E2803">
        <v>1.21304086249691</v>
      </c>
      <c r="F2803">
        <v>0.95157350336651902</v>
      </c>
      <c r="G2803">
        <v>0.69967919281049396</v>
      </c>
      <c r="H2803">
        <v>0.14634243253294399</v>
      </c>
      <c r="I2803">
        <v>0.13818575700676</v>
      </c>
      <c r="J2803">
        <v>9.2518609927078305E-2</v>
      </c>
      <c r="K2803">
        <v>6.4490814586508294E-2</v>
      </c>
      <c r="L2803">
        <v>2793.9076200273898</v>
      </c>
      <c r="M2803">
        <v>48.329066112507697</v>
      </c>
      <c r="N2803">
        <v>58.052891918390998</v>
      </c>
      <c r="O2803">
        <v>57.711373226908897</v>
      </c>
      <c r="P2803">
        <v>-0.19019941450993499</v>
      </c>
      <c r="Q2803">
        <v>9.1506736865776206E-2</v>
      </c>
      <c r="R2803">
        <v>0.95115785211988901</v>
      </c>
      <c r="S2803" t="s">
        <v>9114</v>
      </c>
      <c r="T2803" t="s">
        <v>12620</v>
      </c>
      <c r="U2803" t="s">
        <v>12620</v>
      </c>
      <c r="V2803" t="s">
        <v>12620</v>
      </c>
      <c r="W2803" t="s">
        <v>15378</v>
      </c>
      <c r="X2803">
        <v>20</v>
      </c>
      <c r="Y2803" t="s">
        <v>21549</v>
      </c>
      <c r="Z2803" t="s">
        <v>27750</v>
      </c>
      <c r="AA2803">
        <v>0.63331984672834396</v>
      </c>
      <c r="AB2803" t="str">
        <f>HYPERLINK("Melting_Curves/meltCurve_Q08257_CRYZ.pdf", "Melting_Curves/meltCurve_Q08257_CRYZ.pdf")</f>
        <v>Melting_Curves/meltCurve_Q08257_CRYZ.pdf</v>
      </c>
    </row>
    <row r="2804" spans="1:28" x14ac:dyDescent="0.25">
      <c r="A2804" t="s">
        <v>2808</v>
      </c>
      <c r="B2804">
        <v>0.99987803227770999</v>
      </c>
      <c r="C2804">
        <v>1.1190926798551599</v>
      </c>
      <c r="D2804">
        <v>0.89825070314191002</v>
      </c>
      <c r="E2804">
        <v>1.1862819373378</v>
      </c>
      <c r="F2804">
        <v>0.98354719302966898</v>
      </c>
      <c r="G2804">
        <v>1.0287792419384301</v>
      </c>
      <c r="H2804">
        <v>0.92758312624272099</v>
      </c>
      <c r="I2804">
        <v>0.75256339799137995</v>
      </c>
      <c r="J2804">
        <v>0.62670518446817303</v>
      </c>
      <c r="K2804">
        <v>0.461192392462144</v>
      </c>
      <c r="L2804">
        <v>1687.0176930799</v>
      </c>
      <c r="M2804">
        <v>25.724062350906301</v>
      </c>
      <c r="N2804">
        <v>69.157347391008798</v>
      </c>
      <c r="O2804">
        <v>65.188832279750102</v>
      </c>
      <c r="P2804">
        <v>-6.2370401591019899E-2</v>
      </c>
      <c r="Q2804">
        <v>0.36778183814487803</v>
      </c>
      <c r="R2804">
        <v>0.86103473656458795</v>
      </c>
      <c r="S2804" t="s">
        <v>9115</v>
      </c>
      <c r="T2804" t="s">
        <v>12620</v>
      </c>
      <c r="U2804" t="s">
        <v>12620</v>
      </c>
      <c r="V2804" t="s">
        <v>12620</v>
      </c>
      <c r="W2804" t="s">
        <v>15379</v>
      </c>
      <c r="X2804">
        <v>65</v>
      </c>
      <c r="Y2804" t="s">
        <v>21550</v>
      </c>
      <c r="Z2804" t="s">
        <v>27751</v>
      </c>
      <c r="AA2804">
        <v>0.90178465837255739</v>
      </c>
      <c r="AB2804" t="str">
        <f>HYPERLINK("Melting_Curves/meltCurve_Q08378_GOLGA3.pdf", "Melting_Curves/meltCurve_Q08378_GOLGA3.pdf")</f>
        <v>Melting_Curves/meltCurve_Q08378_GOLGA3.pdf</v>
      </c>
    </row>
    <row r="2805" spans="1:28" x14ac:dyDescent="0.25">
      <c r="A2805" t="s">
        <v>2809</v>
      </c>
      <c r="B2805">
        <v>0.99987803227770999</v>
      </c>
      <c r="C2805">
        <v>0.97850675864244097</v>
      </c>
      <c r="D2805">
        <v>1.0471386663782301</v>
      </c>
      <c r="E2805">
        <v>1.1443092729864399</v>
      </c>
      <c r="F2805">
        <v>1.0093870167587999</v>
      </c>
      <c r="G2805">
        <v>0.80654445499133498</v>
      </c>
      <c r="H2805">
        <v>0.42546125222245401</v>
      </c>
      <c r="I2805">
        <v>0.51969495873804705</v>
      </c>
      <c r="J2805">
        <v>0.107313135090586</v>
      </c>
      <c r="K2805">
        <v>0.32171344855724898</v>
      </c>
      <c r="L2805">
        <v>1626.6520226851301</v>
      </c>
      <c r="M2805">
        <v>27.453781442166601</v>
      </c>
      <c r="N2805">
        <v>60.8336451832877</v>
      </c>
      <c r="O2805">
        <v>58.938874347458402</v>
      </c>
      <c r="P2805">
        <v>-8.6725337773934902E-2</v>
      </c>
      <c r="Q2805">
        <v>0.255265292839082</v>
      </c>
      <c r="R2805">
        <v>0.91805709091085297</v>
      </c>
      <c r="S2805" t="s">
        <v>9116</v>
      </c>
      <c r="T2805" t="s">
        <v>12620</v>
      </c>
      <c r="U2805" t="s">
        <v>12620</v>
      </c>
      <c r="V2805" t="s">
        <v>12620</v>
      </c>
      <c r="W2805" t="s">
        <v>15380</v>
      </c>
      <c r="X2805">
        <v>1</v>
      </c>
      <c r="Y2805" t="s">
        <v>21551</v>
      </c>
      <c r="Z2805" t="s">
        <v>27752</v>
      </c>
      <c r="AA2805">
        <v>0.73848870467197425</v>
      </c>
      <c r="AB2805" t="str">
        <f>HYPERLINK("Melting_Curves/meltCurve_Q08379_GOLGA2.pdf", "Melting_Curves/meltCurve_Q08379_GOLGA2.pdf")</f>
        <v>Melting_Curves/meltCurve_Q08379_GOLGA2.pdf</v>
      </c>
    </row>
    <row r="2806" spans="1:28" x14ac:dyDescent="0.25">
      <c r="A2806" t="s">
        <v>2810</v>
      </c>
      <c r="B2806">
        <v>0.99987803227770999</v>
      </c>
      <c r="C2806">
        <v>1.05819979099038</v>
      </c>
      <c r="D2806">
        <v>0.85829997301050298</v>
      </c>
      <c r="E2806">
        <v>1.07336556325734</v>
      </c>
      <c r="F2806">
        <v>0.67929949077071095</v>
      </c>
      <c r="G2806">
        <v>1.3166377478570801</v>
      </c>
      <c r="H2806">
        <v>0.82481536230649499</v>
      </c>
      <c r="I2806">
        <v>0.69786839408375001</v>
      </c>
      <c r="J2806">
        <v>0.468603591753252</v>
      </c>
      <c r="K2806">
        <v>0.36892019969374701</v>
      </c>
      <c r="L2806">
        <v>2214.9930997781198</v>
      </c>
      <c r="M2806">
        <v>34.576863915877702</v>
      </c>
      <c r="N2806">
        <v>66.296077763039193</v>
      </c>
      <c r="O2806">
        <v>63.846838469808503</v>
      </c>
      <c r="P2806">
        <v>-8.8784485117775494E-2</v>
      </c>
      <c r="Q2806">
        <v>0.344233454616031</v>
      </c>
      <c r="R2806">
        <v>0.67959301440236697</v>
      </c>
      <c r="S2806" t="s">
        <v>9117</v>
      </c>
      <c r="T2806" t="s">
        <v>12620</v>
      </c>
      <c r="U2806" t="s">
        <v>12620</v>
      </c>
      <c r="V2806" t="s">
        <v>12620</v>
      </c>
      <c r="W2806" t="s">
        <v>15381</v>
      </c>
      <c r="X2806">
        <v>1</v>
      </c>
      <c r="Y2806" t="s">
        <v>21552</v>
      </c>
      <c r="Z2806" t="s">
        <v>27753</v>
      </c>
      <c r="AA2806">
        <v>0.87137316743671178</v>
      </c>
      <c r="AB2806" t="str">
        <f>HYPERLINK("Melting_Curves/meltCurve_Q08380_LGALS3BP.pdf", "Melting_Curves/meltCurve_Q08380_LGALS3BP.pdf")</f>
        <v>Melting_Curves/meltCurve_Q08380_LGALS3BP.pdf</v>
      </c>
    </row>
    <row r="2807" spans="1:28" x14ac:dyDescent="0.25">
      <c r="A2807" t="s">
        <v>2811</v>
      </c>
      <c r="B2807">
        <v>0.99987803227770999</v>
      </c>
      <c r="C2807">
        <v>1.1383051678432801</v>
      </c>
      <c r="D2807">
        <v>0.984525070200856</v>
      </c>
      <c r="E2807">
        <v>1.1849468459946499</v>
      </c>
      <c r="F2807">
        <v>0.89558182053612301</v>
      </c>
      <c r="G2807">
        <v>3.2339112123593501</v>
      </c>
      <c r="H2807">
        <v>0.62019383302266695</v>
      </c>
      <c r="I2807">
        <v>0.893074865791882</v>
      </c>
      <c r="J2807">
        <v>0.28951763609042103</v>
      </c>
      <c r="K2807">
        <v>0.195501590449042</v>
      </c>
      <c r="L2807">
        <v>4715.3269275130397</v>
      </c>
      <c r="M2807">
        <v>72.057434684249301</v>
      </c>
      <c r="N2807">
        <v>65.837107710722094</v>
      </c>
      <c r="O2807">
        <v>65.388094686492096</v>
      </c>
      <c r="P2807">
        <v>-0.22679210340752901</v>
      </c>
      <c r="Q2807">
        <v>0.176795415074323</v>
      </c>
      <c r="R2807">
        <v>0.18071948644557501</v>
      </c>
      <c r="S2807" t="s">
        <v>9118</v>
      </c>
      <c r="T2807" t="s">
        <v>12620</v>
      </c>
      <c r="U2807" t="s">
        <v>12620</v>
      </c>
      <c r="V2807" t="s">
        <v>12620</v>
      </c>
      <c r="W2807" t="s">
        <v>15382</v>
      </c>
      <c r="X2807">
        <v>2</v>
      </c>
      <c r="Y2807" t="s">
        <v>21553</v>
      </c>
      <c r="Z2807" t="s">
        <v>27754</v>
      </c>
      <c r="AA2807">
        <v>0.87570379641155272</v>
      </c>
      <c r="AB2807" t="str">
        <f>HYPERLINK("Melting_Curves/meltCurve_Q08431_2_MFGE8.pdf", "Melting_Curves/meltCurve_Q08431_2_MFGE8.pdf")</f>
        <v>Melting_Curves/meltCurve_Q08431_2_MFGE8.pdf</v>
      </c>
    </row>
    <row r="2808" spans="1:28" x14ac:dyDescent="0.25">
      <c r="A2808" t="s">
        <v>2812</v>
      </c>
      <c r="B2808">
        <v>0.99987803227770999</v>
      </c>
      <c r="C2808">
        <v>0.80417913064681401</v>
      </c>
      <c r="D2808">
        <v>0.96456426245611004</v>
      </c>
      <c r="E2808">
        <v>0.82235172918470301</v>
      </c>
      <c r="F2808">
        <v>1.0772643843989</v>
      </c>
      <c r="G2808">
        <v>0.93793675119804998</v>
      </c>
      <c r="H2808">
        <v>1.01545432138832</v>
      </c>
      <c r="I2808">
        <v>0.99612615256127701</v>
      </c>
      <c r="J2808">
        <v>0.96832221451249201</v>
      </c>
      <c r="K2808">
        <v>0.87007384861958204</v>
      </c>
      <c r="L2808">
        <v>1.0000451995419501E-5</v>
      </c>
      <c r="M2808">
        <v>6.7075940813283399</v>
      </c>
      <c r="Q2808">
        <v>0.94554868733431896</v>
      </c>
      <c r="R2808">
        <v>-8.8409279896950498E-12</v>
      </c>
      <c r="S2808" t="s">
        <v>9119</v>
      </c>
      <c r="T2808" t="s">
        <v>12620</v>
      </c>
      <c r="U2808" t="s">
        <v>12620</v>
      </c>
      <c r="V2808" t="s">
        <v>12620</v>
      </c>
      <c r="W2808" t="s">
        <v>15383</v>
      </c>
      <c r="X2808">
        <v>8</v>
      </c>
      <c r="Y2808" t="s">
        <v>21554</v>
      </c>
      <c r="Z2808" t="s">
        <v>27755</v>
      </c>
      <c r="AA2808">
        <v>0.94561512389294422</v>
      </c>
      <c r="AB2808" t="str">
        <f>HYPERLINK("Melting_Curves/meltCurve_Q08495_EPB49.pdf", "Melting_Curves/meltCurve_Q08495_EPB49.pdf")</f>
        <v>Melting_Curves/meltCurve_Q08495_EPB49.pdf</v>
      </c>
    </row>
    <row r="2809" spans="1:28" x14ac:dyDescent="0.25">
      <c r="A2809" t="s">
        <v>2813</v>
      </c>
      <c r="B2809">
        <v>0.99987803227770999</v>
      </c>
      <c r="C2809">
        <v>1.0765944157830101</v>
      </c>
      <c r="D2809">
        <v>0.87631099646380695</v>
      </c>
      <c r="E2809">
        <v>0.91907632269058104</v>
      </c>
      <c r="F2809">
        <v>0.54050958042761199</v>
      </c>
      <c r="G2809">
        <v>0.28778749133604098</v>
      </c>
      <c r="H2809">
        <v>0.16706600976403799</v>
      </c>
      <c r="I2809">
        <v>0.147261674048728</v>
      </c>
      <c r="J2809">
        <v>0.12580011033761199</v>
      </c>
      <c r="K2809">
        <v>0.10072358331127999</v>
      </c>
      <c r="L2809">
        <v>1330.82344721452</v>
      </c>
      <c r="M2809">
        <v>25.007705161160299</v>
      </c>
      <c r="N2809">
        <v>53.827682191846002</v>
      </c>
      <c r="O2809">
        <v>52.879743722375999</v>
      </c>
      <c r="P2809">
        <v>-0.10361853613060901</v>
      </c>
      <c r="Q2809">
        <v>0.12359041148551</v>
      </c>
      <c r="R2809">
        <v>0.98294509576761002</v>
      </c>
      <c r="S2809" t="s">
        <v>9120</v>
      </c>
      <c r="T2809" t="s">
        <v>12620</v>
      </c>
      <c r="U2809" t="s">
        <v>12620</v>
      </c>
      <c r="V2809" t="s">
        <v>12620</v>
      </c>
      <c r="W2809" t="s">
        <v>15384</v>
      </c>
      <c r="X2809">
        <v>14</v>
      </c>
      <c r="Y2809" t="s">
        <v>21555</v>
      </c>
      <c r="Z2809" t="s">
        <v>27756</v>
      </c>
      <c r="AA2809">
        <v>0.51776998870811697</v>
      </c>
      <c r="AB2809" t="str">
        <f>HYPERLINK("Melting_Curves/meltCurve_Q08499_6_PDE4D.pdf", "Melting_Curves/meltCurve_Q08499_6_PDE4D.pdf")</f>
        <v>Melting_Curves/meltCurve_Q08499_6_PDE4D.pdf</v>
      </c>
    </row>
    <row r="2810" spans="1:28" x14ac:dyDescent="0.25">
      <c r="A2810" t="s">
        <v>2814</v>
      </c>
      <c r="B2810">
        <v>0.99987803227770999</v>
      </c>
      <c r="C2810">
        <v>0.608427922490129</v>
      </c>
      <c r="D2810">
        <v>0.732359220296387</v>
      </c>
      <c r="E2810">
        <v>0.67240626108927404</v>
      </c>
      <c r="F2810">
        <v>0.46624059514884503</v>
      </c>
      <c r="G2810">
        <v>0.49859566621360801</v>
      </c>
      <c r="H2810">
        <v>0.40467243352536902</v>
      </c>
      <c r="I2810">
        <v>0.49951692920677798</v>
      </c>
      <c r="J2810">
        <v>0.34917462444879999</v>
      </c>
      <c r="K2810">
        <v>0.20487419284807501</v>
      </c>
      <c r="L2810">
        <v>235.670889253984</v>
      </c>
      <c r="M2810">
        <v>4.2123252217892704</v>
      </c>
      <c r="N2810">
        <v>55.947932990492298</v>
      </c>
      <c r="O2810">
        <v>46.665865466614498</v>
      </c>
      <c r="P2810">
        <v>-2.2811789638134902E-2</v>
      </c>
      <c r="Q2810">
        <v>0</v>
      </c>
      <c r="R2810">
        <v>0.79221988653142805</v>
      </c>
      <c r="S2810" t="s">
        <v>9121</v>
      </c>
      <c r="T2810" t="s">
        <v>12620</v>
      </c>
      <c r="U2810" t="s">
        <v>12620</v>
      </c>
      <c r="V2810" t="s">
        <v>12620</v>
      </c>
      <c r="W2810" t="s">
        <v>15385</v>
      </c>
      <c r="X2810">
        <v>2</v>
      </c>
      <c r="Y2810" t="s">
        <v>21556</v>
      </c>
      <c r="Z2810" t="s">
        <v>27757</v>
      </c>
      <c r="AA2810">
        <v>0.53853012274532874</v>
      </c>
      <c r="AB2810" t="str">
        <f>HYPERLINK("Melting_Curves/meltCurve_Q08554_2_DSC1.pdf", "Melting_Curves/meltCurve_Q08554_2_DSC1.pdf")</f>
        <v>Melting_Curves/meltCurve_Q08554_2_DSC1.pdf</v>
      </c>
    </row>
    <row r="2811" spans="1:28" x14ac:dyDescent="0.25">
      <c r="A2811" t="s">
        <v>2815</v>
      </c>
      <c r="B2811">
        <v>0.99987803227770999</v>
      </c>
      <c r="C2811">
        <v>0.71625628427461296</v>
      </c>
      <c r="D2811">
        <v>0.96421976580426805</v>
      </c>
      <c r="E2811">
        <v>0.54604855656787499</v>
      </c>
      <c r="F2811">
        <v>0.200094525128937</v>
      </c>
      <c r="G2811">
        <v>0.124120309788625</v>
      </c>
      <c r="H2811">
        <v>7.5073928071773696E-2</v>
      </c>
      <c r="I2811">
        <v>6.1590595581113503E-2</v>
      </c>
      <c r="J2811">
        <v>4.82392830661681E-2</v>
      </c>
      <c r="K2811">
        <v>3.5446817862622201E-2</v>
      </c>
      <c r="L2811">
        <v>1225.36834697835</v>
      </c>
      <c r="M2811">
        <v>24.488935107550599</v>
      </c>
      <c r="N2811">
        <v>50.2579093329567</v>
      </c>
      <c r="O2811">
        <v>49.707549372745802</v>
      </c>
      <c r="P2811">
        <v>-0.116899305792683</v>
      </c>
      <c r="Q2811">
        <v>5.0886745619812997E-2</v>
      </c>
      <c r="R2811">
        <v>0.94292733342153401</v>
      </c>
      <c r="S2811" t="s">
        <v>9122</v>
      </c>
      <c r="T2811" t="s">
        <v>12620</v>
      </c>
      <c r="U2811" t="s">
        <v>12620</v>
      </c>
      <c r="V2811" t="s">
        <v>12620</v>
      </c>
      <c r="W2811" t="s">
        <v>15386</v>
      </c>
      <c r="X2811">
        <v>18</v>
      </c>
      <c r="Y2811" t="s">
        <v>21557</v>
      </c>
      <c r="Z2811" t="s">
        <v>27758</v>
      </c>
      <c r="AA2811">
        <v>0.37729387733523112</v>
      </c>
      <c r="AB2811" t="str">
        <f>HYPERLINK("Melting_Curves/meltCurve_Q08752_PPID.pdf", "Melting_Curves/meltCurve_Q08752_PPID.pdf")</f>
        <v>Melting_Curves/meltCurve_Q08752_PPID.pdf</v>
      </c>
    </row>
    <row r="2812" spans="1:28" x14ac:dyDescent="0.25">
      <c r="A2812" t="s">
        <v>2816</v>
      </c>
      <c r="B2812">
        <v>0.99987803227770999</v>
      </c>
      <c r="C2812">
        <v>1.04254973785522</v>
      </c>
      <c r="D2812">
        <v>0.96077804658964805</v>
      </c>
      <c r="E2812">
        <v>1.02722851407879</v>
      </c>
      <c r="F2812">
        <v>0.89089677549291402</v>
      </c>
      <c r="G2812">
        <v>0.55787831932158605</v>
      </c>
      <c r="H2812">
        <v>0.23110568427464301</v>
      </c>
      <c r="I2812">
        <v>0.161454356526927</v>
      </c>
      <c r="J2812">
        <v>0.10252291066684099</v>
      </c>
      <c r="K2812">
        <v>6.4440872612802097E-2</v>
      </c>
      <c r="L2812">
        <v>1475.09059513594</v>
      </c>
      <c r="M2812">
        <v>25.7726488690212</v>
      </c>
      <c r="N2812">
        <v>57.617039525514102</v>
      </c>
      <c r="O2812">
        <v>56.8934801949557</v>
      </c>
      <c r="P2812">
        <v>-0.104350001863786</v>
      </c>
      <c r="Q2812">
        <v>7.8594651291105003E-2</v>
      </c>
      <c r="R2812">
        <v>0.99574383441626102</v>
      </c>
      <c r="S2812" t="s">
        <v>9123</v>
      </c>
      <c r="T2812" t="s">
        <v>12620</v>
      </c>
      <c r="U2812" t="s">
        <v>12620</v>
      </c>
      <c r="V2812" t="s">
        <v>12620</v>
      </c>
      <c r="W2812" t="s">
        <v>15387</v>
      </c>
      <c r="X2812">
        <v>17</v>
      </c>
      <c r="Y2812" t="s">
        <v>21558</v>
      </c>
      <c r="Z2812" t="s">
        <v>27759</v>
      </c>
      <c r="AA2812">
        <v>0.61580388429638711</v>
      </c>
      <c r="AB2812" t="str">
        <f>HYPERLINK("Melting_Curves/meltCurve_Q08945_SSRP1.pdf", "Melting_Curves/meltCurve_Q08945_SSRP1.pdf")</f>
        <v>Melting_Curves/meltCurve_Q08945_SSRP1.pdf</v>
      </c>
    </row>
    <row r="2813" spans="1:28" x14ac:dyDescent="0.25">
      <c r="A2813" t="s">
        <v>2817</v>
      </c>
      <c r="B2813">
        <v>0.99987803227770999</v>
      </c>
      <c r="C2813">
        <v>1.10280750288661</v>
      </c>
      <c r="D2813">
        <v>0.91123446726768498</v>
      </c>
      <c r="E2813">
        <v>0.90651791012174299</v>
      </c>
      <c r="F2813">
        <v>0.52534161546898195</v>
      </c>
      <c r="G2813">
        <v>0.28334734000342399</v>
      </c>
      <c r="H2813">
        <v>0.20686964371726299</v>
      </c>
      <c r="I2813">
        <v>0.20201361527613501</v>
      </c>
      <c r="J2813">
        <v>0.15542332536394199</v>
      </c>
      <c r="K2813">
        <v>0.14005681802244799</v>
      </c>
      <c r="L2813">
        <v>1569.4067864625599</v>
      </c>
      <c r="M2813">
        <v>29.760421555196199</v>
      </c>
      <c r="N2813">
        <v>53.506665806109098</v>
      </c>
      <c r="O2813">
        <v>52.498310324682201</v>
      </c>
      <c r="P2813">
        <v>-0.116985566100065</v>
      </c>
      <c r="Q2813">
        <v>0.174540859723398</v>
      </c>
      <c r="R2813">
        <v>0.98360381669755903</v>
      </c>
      <c r="S2813" t="s">
        <v>9124</v>
      </c>
      <c r="T2813" t="s">
        <v>12620</v>
      </c>
      <c r="U2813" t="s">
        <v>12620</v>
      </c>
      <c r="V2813" t="s">
        <v>12620</v>
      </c>
      <c r="W2813" t="s">
        <v>15388</v>
      </c>
      <c r="X2813">
        <v>3</v>
      </c>
      <c r="Y2813" t="s">
        <v>21559</v>
      </c>
      <c r="Z2813" t="s">
        <v>27760</v>
      </c>
      <c r="AA2813">
        <v>0.53035748138278871</v>
      </c>
      <c r="AB2813" t="str">
        <f>HYPERLINK("Melting_Curves/meltCurve_Q08999_RBL2.pdf", "Melting_Curves/meltCurve_Q08999_RBL2.pdf")</f>
        <v>Melting_Curves/meltCurve_Q08999_RBL2.pdf</v>
      </c>
    </row>
    <row r="2814" spans="1:28" x14ac:dyDescent="0.25">
      <c r="A2814" t="s">
        <v>2818</v>
      </c>
      <c r="B2814">
        <v>0.99987803227770999</v>
      </c>
      <c r="C2814">
        <v>0.92658917550446396</v>
      </c>
      <c r="D2814">
        <v>0.99565686298961598</v>
      </c>
      <c r="E2814">
        <v>0.88236518242774997</v>
      </c>
      <c r="F2814">
        <v>0.90132465112109095</v>
      </c>
      <c r="G2814">
        <v>0.67174925313756995</v>
      </c>
      <c r="H2814">
        <v>0.46491613172002499</v>
      </c>
      <c r="I2814">
        <v>0.42598636182847699</v>
      </c>
      <c r="J2814">
        <v>0.36793738055681802</v>
      </c>
      <c r="K2814">
        <v>0.29308325466447699</v>
      </c>
      <c r="L2814">
        <v>841.79329684822198</v>
      </c>
      <c r="M2814">
        <v>14.506239638211101</v>
      </c>
      <c r="N2814">
        <v>60.987811041084399</v>
      </c>
      <c r="O2814">
        <v>56.960392892590001</v>
      </c>
      <c r="P2814">
        <v>-4.7591177115112002E-2</v>
      </c>
      <c r="Q2814">
        <v>0.252597493550207</v>
      </c>
      <c r="R2814">
        <v>0.98221620702885404</v>
      </c>
      <c r="S2814" t="s">
        <v>9125</v>
      </c>
      <c r="T2814" t="s">
        <v>12620</v>
      </c>
      <c r="U2814" t="s">
        <v>12620</v>
      </c>
      <c r="V2814" t="s">
        <v>12620</v>
      </c>
      <c r="W2814" t="s">
        <v>15389</v>
      </c>
      <c r="X2814">
        <v>20</v>
      </c>
      <c r="Y2814" t="s">
        <v>21560</v>
      </c>
      <c r="Z2814" t="s">
        <v>27761</v>
      </c>
      <c r="AA2814">
        <v>0.71179449087644453</v>
      </c>
      <c r="AB2814" t="str">
        <f>HYPERLINK("Melting_Curves/meltCurve_Q08AD1_2_CAMSAP2.pdf", "Melting_Curves/meltCurve_Q08AD1_2_CAMSAP2.pdf")</f>
        <v>Melting_Curves/meltCurve_Q08AD1_2_CAMSAP2.pdf</v>
      </c>
    </row>
    <row r="2815" spans="1:28" x14ac:dyDescent="0.25">
      <c r="A2815" t="s">
        <v>2819</v>
      </c>
      <c r="B2815">
        <v>0.99987803227770999</v>
      </c>
      <c r="C2815">
        <v>1.1123778487378899</v>
      </c>
      <c r="D2815">
        <v>0.78138871035394397</v>
      </c>
      <c r="E2815">
        <v>0.464888987163116</v>
      </c>
      <c r="F2815">
        <v>0.29067052498593399</v>
      </c>
      <c r="G2815">
        <v>0.19489127029754999</v>
      </c>
      <c r="H2815">
        <v>0.131144217371957</v>
      </c>
      <c r="I2815">
        <v>0.147171868188508</v>
      </c>
      <c r="J2815">
        <v>0.10644476794572499</v>
      </c>
      <c r="K2815">
        <v>9.8801258789497901E-2</v>
      </c>
      <c r="L2815">
        <v>1068.35598452922</v>
      </c>
      <c r="M2815">
        <v>21.777024211871499</v>
      </c>
      <c r="N2815">
        <v>49.714637381261902</v>
      </c>
      <c r="O2815">
        <v>48.650794120360501</v>
      </c>
      <c r="P2815">
        <v>-9.7936850007488696E-2</v>
      </c>
      <c r="Q2815">
        <v>0.124840064364253</v>
      </c>
      <c r="R2815">
        <v>0.97966393547811503</v>
      </c>
      <c r="S2815" t="s">
        <v>9126</v>
      </c>
      <c r="T2815" t="s">
        <v>12620</v>
      </c>
      <c r="U2815" t="s">
        <v>12620</v>
      </c>
      <c r="V2815" t="s">
        <v>12620</v>
      </c>
      <c r="W2815" t="s">
        <v>15390</v>
      </c>
      <c r="X2815">
        <v>3</v>
      </c>
      <c r="Y2815" t="s">
        <v>21561</v>
      </c>
      <c r="Z2815" t="s">
        <v>27762</v>
      </c>
      <c r="AA2815">
        <v>0.39940590357367411</v>
      </c>
      <c r="AB2815" t="str">
        <f>HYPERLINK("Melting_Curves/meltCurve_Q08AE8_2_SPIRE1.pdf", "Melting_Curves/meltCurve_Q08AE8_2_SPIRE1.pdf")</f>
        <v>Melting_Curves/meltCurve_Q08AE8_2_SPIRE1.pdf</v>
      </c>
    </row>
    <row r="2816" spans="1:28" x14ac:dyDescent="0.25">
      <c r="A2816" t="s">
        <v>2820</v>
      </c>
      <c r="B2816">
        <v>0.99987803227770999</v>
      </c>
      <c r="C2816">
        <v>0.94737158780925601</v>
      </c>
      <c r="D2816">
        <v>0.92213605379159103</v>
      </c>
      <c r="E2816">
        <v>1.0006229606683601</v>
      </c>
      <c r="F2816">
        <v>1.0354371620897</v>
      </c>
      <c r="G2816">
        <v>0.94722966258369601</v>
      </c>
      <c r="H2816">
        <v>0.75450266272006306</v>
      </c>
      <c r="I2816">
        <v>0.73405438669516998</v>
      </c>
      <c r="J2816">
        <v>0.51327840777518996</v>
      </c>
      <c r="K2816">
        <v>0.42184515295477898</v>
      </c>
      <c r="L2816">
        <v>1050.1375842441901</v>
      </c>
      <c r="M2816">
        <v>16.0375139263755</v>
      </c>
      <c r="N2816">
        <v>67.820357734332703</v>
      </c>
      <c r="O2816">
        <v>64.487380115998704</v>
      </c>
      <c r="P2816">
        <v>-4.8964702491643503E-2</v>
      </c>
      <c r="Q2816">
        <v>0.21250662311525201</v>
      </c>
      <c r="R2816">
        <v>0.95473524689019695</v>
      </c>
      <c r="S2816" t="s">
        <v>9127</v>
      </c>
      <c r="T2816" t="s">
        <v>12620</v>
      </c>
      <c r="U2816" t="s">
        <v>12620</v>
      </c>
      <c r="V2816" t="s">
        <v>12620</v>
      </c>
      <c r="W2816" t="s">
        <v>15391</v>
      </c>
      <c r="X2816">
        <v>2</v>
      </c>
      <c r="Y2816" t="s">
        <v>21562</v>
      </c>
      <c r="Z2816" t="s">
        <v>27763</v>
      </c>
      <c r="AA2816">
        <v>0.86054647801211404</v>
      </c>
      <c r="AB2816" t="str">
        <f>HYPERLINK("Melting_Curves/meltCurve_Q08AG7_MZT1.pdf", "Melting_Curves/meltCurve_Q08AG7_MZT1.pdf")</f>
        <v>Melting_Curves/meltCurve_Q08AG7_MZT1.pdf</v>
      </c>
    </row>
    <row r="2817" spans="1:28" x14ac:dyDescent="0.25">
      <c r="A2817" t="s">
        <v>2821</v>
      </c>
      <c r="B2817">
        <v>0.99987803227770999</v>
      </c>
      <c r="C2817">
        <v>0.97914778345025999</v>
      </c>
      <c r="D2817">
        <v>0.79883038316427002</v>
      </c>
      <c r="E2817">
        <v>1.2249169888812901</v>
      </c>
      <c r="F2817">
        <v>0.81069108926302702</v>
      </c>
      <c r="G2817">
        <v>0.41165378781041201</v>
      </c>
      <c r="H2817">
        <v>0.16135697667549401</v>
      </c>
      <c r="I2817">
        <v>0.12087125313345</v>
      </c>
      <c r="J2817">
        <v>0.100527446672148</v>
      </c>
      <c r="K2817">
        <v>6.2138668891570402E-2</v>
      </c>
      <c r="L2817">
        <v>1850.96447297807</v>
      </c>
      <c r="M2817">
        <v>33.126454225107203</v>
      </c>
      <c r="N2817">
        <v>56.227298458544503</v>
      </c>
      <c r="O2817">
        <v>55.673275725233999</v>
      </c>
      <c r="P2817">
        <v>-0.13483934104956299</v>
      </c>
      <c r="Q2817">
        <v>9.3544417432248894E-2</v>
      </c>
      <c r="R2817">
        <v>0.94052796934815697</v>
      </c>
      <c r="S2817" t="s">
        <v>9128</v>
      </c>
      <c r="T2817" t="s">
        <v>12620</v>
      </c>
      <c r="U2817" t="s">
        <v>12620</v>
      </c>
      <c r="V2817" t="s">
        <v>12620</v>
      </c>
      <c r="W2817" t="s">
        <v>15392</v>
      </c>
      <c r="X2817">
        <v>9</v>
      </c>
      <c r="Y2817" t="s">
        <v>21563</v>
      </c>
      <c r="Z2817" t="s">
        <v>27764</v>
      </c>
      <c r="AA2817">
        <v>0.57825085679427068</v>
      </c>
      <c r="AB2817" t="str">
        <f>HYPERLINK("Melting_Curves/meltCurve_Q08AM6_VAC14.pdf", "Melting_Curves/meltCurve_Q08AM6_VAC14.pdf")</f>
        <v>Melting_Curves/meltCurve_Q08AM6_VAC14.pdf</v>
      </c>
    </row>
    <row r="2818" spans="1:28" x14ac:dyDescent="0.25">
      <c r="A2818" t="s">
        <v>2822</v>
      </c>
      <c r="B2818">
        <v>0.99987803227770999</v>
      </c>
      <c r="C2818">
        <v>1.22239436556506</v>
      </c>
      <c r="D2818">
        <v>1.05425175222317</v>
      </c>
      <c r="E2818">
        <v>1.19055778930714</v>
      </c>
      <c r="F2818">
        <v>0.96098603158635998</v>
      </c>
      <c r="G2818">
        <v>0.76614321247669903</v>
      </c>
      <c r="H2818">
        <v>0.23238481264441299</v>
      </c>
      <c r="I2818">
        <v>0.14469763118457499</v>
      </c>
      <c r="J2818">
        <v>0.10896425901029801</v>
      </c>
      <c r="K2818">
        <v>8.5356452222568296E-2</v>
      </c>
      <c r="L2818">
        <v>2378.4875276496</v>
      </c>
      <c r="M2818">
        <v>40.697364322052799</v>
      </c>
      <c r="N2818">
        <v>58.7678571366719</v>
      </c>
      <c r="O2818">
        <v>58.302708765017599</v>
      </c>
      <c r="P2818">
        <v>-0.156944746805151</v>
      </c>
      <c r="Q2818">
        <v>0.100650818294409</v>
      </c>
      <c r="R2818">
        <v>0.95590800274491505</v>
      </c>
      <c r="S2818" t="s">
        <v>9129</v>
      </c>
      <c r="T2818" t="s">
        <v>12620</v>
      </c>
      <c r="U2818" t="s">
        <v>12620</v>
      </c>
      <c r="V2818" t="s">
        <v>12620</v>
      </c>
      <c r="W2818" t="s">
        <v>15393</v>
      </c>
      <c r="X2818">
        <v>36</v>
      </c>
      <c r="Y2818" t="s">
        <v>21564</v>
      </c>
      <c r="Z2818" t="s">
        <v>27765</v>
      </c>
      <c r="AA2818">
        <v>0.65697945118977763</v>
      </c>
      <c r="AB2818" t="str">
        <f>HYPERLINK("Melting_Curves/meltCurve_Q08J23_NSUN2.pdf", "Melting_Curves/meltCurve_Q08J23_NSUN2.pdf")</f>
        <v>Melting_Curves/meltCurve_Q08J23_NSUN2.pdf</v>
      </c>
    </row>
    <row r="2819" spans="1:28" x14ac:dyDescent="0.25">
      <c r="A2819" t="s">
        <v>2823</v>
      </c>
      <c r="B2819">
        <v>0.99987803227770999</v>
      </c>
      <c r="C2819">
        <v>0.98045210402147498</v>
      </c>
      <c r="D2819">
        <v>0.96488120819672196</v>
      </c>
      <c r="E2819">
        <v>1.04775920874899</v>
      </c>
      <c r="F2819">
        <v>1.2086156207813501</v>
      </c>
      <c r="G2819">
        <v>1.02729243278492</v>
      </c>
      <c r="H2819">
        <v>0.52310208618915899</v>
      </c>
      <c r="I2819">
        <v>0.239897737351353</v>
      </c>
      <c r="J2819">
        <v>0.132252455790904</v>
      </c>
      <c r="K2819">
        <v>9.5330730217014104E-2</v>
      </c>
      <c r="L2819">
        <v>3002.7892703727598</v>
      </c>
      <c r="M2819">
        <v>49.307679120911402</v>
      </c>
      <c r="N2819">
        <v>61.251259278798997</v>
      </c>
      <c r="O2819">
        <v>60.79910067406</v>
      </c>
      <c r="P2819">
        <v>-0.17771935904849701</v>
      </c>
      <c r="Q2819">
        <v>0.12344954580503199</v>
      </c>
      <c r="R2819">
        <v>0.96732444256882</v>
      </c>
      <c r="S2819" t="s">
        <v>9130</v>
      </c>
      <c r="T2819" t="s">
        <v>12620</v>
      </c>
      <c r="U2819" t="s">
        <v>12620</v>
      </c>
      <c r="V2819" t="s">
        <v>12620</v>
      </c>
      <c r="W2819" t="s">
        <v>15394</v>
      </c>
      <c r="X2819">
        <v>12</v>
      </c>
      <c r="Y2819" t="s">
        <v>21565</v>
      </c>
      <c r="Z2819" t="s">
        <v>27766</v>
      </c>
      <c r="AA2819">
        <v>0.73642374125605026</v>
      </c>
      <c r="AB2819" t="str">
        <f>HYPERLINK("Melting_Curves/meltCurve_Q09028_3_RBBP4.pdf", "Melting_Curves/meltCurve_Q09028_3_RBBP4.pdf")</f>
        <v>Melting_Curves/meltCurve_Q09028_3_RBBP4.pdf</v>
      </c>
    </row>
    <row r="2820" spans="1:28" x14ac:dyDescent="0.25">
      <c r="A2820" t="s">
        <v>2824</v>
      </c>
      <c r="B2820">
        <v>0.99987803227770999</v>
      </c>
      <c r="C2820">
        <v>1.04285982887553</v>
      </c>
      <c r="D2820">
        <v>0.87081480188097005</v>
      </c>
      <c r="E2820">
        <v>0.67377164001850698</v>
      </c>
      <c r="F2820">
        <v>0.26252480010020501</v>
      </c>
      <c r="G2820">
        <v>0.165407633336837</v>
      </c>
      <c r="H2820">
        <v>0.106740945844556</v>
      </c>
      <c r="I2820">
        <v>8.4614335400072099E-2</v>
      </c>
      <c r="J2820">
        <v>6.6451431205082304E-2</v>
      </c>
      <c r="K2820">
        <v>4.6899917390328401E-2</v>
      </c>
      <c r="L2820">
        <v>1263.1469250407799</v>
      </c>
      <c r="M2820">
        <v>24.871148747908698</v>
      </c>
      <c r="N2820">
        <v>51.1103927280028</v>
      </c>
      <c r="O2820">
        <v>50.462719462202699</v>
      </c>
      <c r="P2820">
        <v>-0.114262674699255</v>
      </c>
      <c r="Q2820">
        <v>7.2672354452128995E-2</v>
      </c>
      <c r="R2820">
        <v>0.99074958058420604</v>
      </c>
      <c r="S2820" t="s">
        <v>9131</v>
      </c>
      <c r="T2820" t="s">
        <v>12620</v>
      </c>
      <c r="U2820" t="s">
        <v>12620</v>
      </c>
      <c r="V2820" t="s">
        <v>12620</v>
      </c>
      <c r="W2820" t="s">
        <v>15395</v>
      </c>
      <c r="X2820">
        <v>19</v>
      </c>
      <c r="Y2820" t="s">
        <v>21566</v>
      </c>
      <c r="Z2820" t="s">
        <v>27767</v>
      </c>
      <c r="AA2820">
        <v>0.41457201927113219</v>
      </c>
      <c r="AB2820" t="str">
        <f>HYPERLINK("Melting_Curves/meltCurve_Q09161_NCBP1.pdf", "Melting_Curves/meltCurve_Q09161_NCBP1.pdf")</f>
        <v>Melting_Curves/meltCurve_Q09161_NCBP1.pdf</v>
      </c>
    </row>
    <row r="2821" spans="1:28" x14ac:dyDescent="0.25">
      <c r="A2821" t="s">
        <v>2825</v>
      </c>
      <c r="B2821">
        <v>0.99987803227770999</v>
      </c>
      <c r="C2821">
        <v>2.0493549718536701</v>
      </c>
      <c r="D2821">
        <v>1.4353491281103401</v>
      </c>
      <c r="E2821">
        <v>1.4572845451163601</v>
      </c>
      <c r="F2821">
        <v>0.70542896335724503</v>
      </c>
      <c r="G2821">
        <v>0.39501534171969199</v>
      </c>
      <c r="H2821">
        <v>0.31146624835660103</v>
      </c>
      <c r="I2821">
        <v>0.28333710374044102</v>
      </c>
      <c r="J2821">
        <v>0.26000121486865702</v>
      </c>
      <c r="K2821">
        <v>0.19829822675192799</v>
      </c>
      <c r="L2821">
        <v>13268.2690798645</v>
      </c>
      <c r="M2821">
        <v>250</v>
      </c>
      <c r="N2821">
        <v>53.257512396904602</v>
      </c>
      <c r="O2821">
        <v>53.069680151527699</v>
      </c>
      <c r="P2821">
        <v>-0.83660811462381701</v>
      </c>
      <c r="Q2821">
        <v>0.28962360204903298</v>
      </c>
      <c r="R2821">
        <v>0.59641822520221299</v>
      </c>
      <c r="S2821" t="s">
        <v>9132</v>
      </c>
      <c r="T2821" t="s">
        <v>12620</v>
      </c>
      <c r="U2821" t="s">
        <v>12620</v>
      </c>
      <c r="V2821" t="s">
        <v>12620</v>
      </c>
      <c r="W2821" t="s">
        <v>15396</v>
      </c>
      <c r="X2821">
        <v>23</v>
      </c>
      <c r="Y2821" t="s">
        <v>21567</v>
      </c>
      <c r="Z2821" t="s">
        <v>27768</v>
      </c>
      <c r="AA2821">
        <v>0.59924993042642671</v>
      </c>
      <c r="AB2821" t="str">
        <f>HYPERLINK("Melting_Curves/meltCurve_Q09472_EP300.pdf", "Melting_Curves/meltCurve_Q09472_EP300.pdf")</f>
        <v>Melting_Curves/meltCurve_Q09472_EP300.pdf</v>
      </c>
    </row>
    <row r="2822" spans="1:28" x14ac:dyDescent="0.25">
      <c r="A2822" t="s">
        <v>2826</v>
      </c>
      <c r="B2822">
        <v>0.99987803227770999</v>
      </c>
      <c r="C2822">
        <v>1.0329599262107301</v>
      </c>
      <c r="D2822">
        <v>1.03812706364358</v>
      </c>
      <c r="E2822">
        <v>1.05550394142336</v>
      </c>
      <c r="F2822">
        <v>1.0501645884500099</v>
      </c>
      <c r="G2822">
        <v>1.15613417212611</v>
      </c>
      <c r="H2822">
        <v>1.20356003093182</v>
      </c>
      <c r="I2822">
        <v>1.19376407131156</v>
      </c>
      <c r="J2822">
        <v>1.0491464100993799</v>
      </c>
      <c r="K2822">
        <v>0.78278807592568</v>
      </c>
      <c r="L2822">
        <v>15000</v>
      </c>
      <c r="M2822">
        <v>213.00369364205699</v>
      </c>
      <c r="Q2822">
        <v>0</v>
      </c>
      <c r="R2822">
        <v>0.12039508308536399</v>
      </c>
      <c r="S2822" t="s">
        <v>9133</v>
      </c>
      <c r="T2822" t="s">
        <v>12620</v>
      </c>
      <c r="U2822" t="s">
        <v>12620</v>
      </c>
      <c r="V2822" t="s">
        <v>12620</v>
      </c>
      <c r="W2822" t="s">
        <v>15397</v>
      </c>
      <c r="X2822">
        <v>387</v>
      </c>
      <c r="Y2822" t="s">
        <v>21568</v>
      </c>
      <c r="Z2822" t="s">
        <v>27769</v>
      </c>
      <c r="AA2822">
        <v>0.99735953808063471</v>
      </c>
      <c r="AB2822" t="str">
        <f>HYPERLINK("Melting_Curves/meltCurve_Q09666_AHNAK.pdf", "Melting_Curves/meltCurve_Q09666_AHNAK.pdf")</f>
        <v>Melting_Curves/meltCurve_Q09666_AHNAK.pdf</v>
      </c>
    </row>
    <row r="2823" spans="1:28" x14ac:dyDescent="0.25">
      <c r="A2823" t="s">
        <v>2827</v>
      </c>
      <c r="B2823">
        <v>0.99987803227770999</v>
      </c>
      <c r="C2823">
        <v>0.82871702789027901</v>
      </c>
      <c r="D2823">
        <v>1.02928072047481</v>
      </c>
      <c r="E2823">
        <v>0.82454422349962897</v>
      </c>
      <c r="F2823">
        <v>1.0217482516222101</v>
      </c>
      <c r="G2823">
        <v>0.77958537570506303</v>
      </c>
      <c r="H2823">
        <v>0.85001999408450102</v>
      </c>
      <c r="I2823">
        <v>0.75942328300787498</v>
      </c>
      <c r="J2823">
        <v>0.79380870113702595</v>
      </c>
      <c r="K2823">
        <v>0.64645196575952002</v>
      </c>
      <c r="L2823">
        <v>272.28063148099</v>
      </c>
      <c r="M2823">
        <v>3.0310983617339899</v>
      </c>
      <c r="O2823">
        <v>66.441398016746007</v>
      </c>
      <c r="P2823">
        <v>-1.1747135989508601E-2</v>
      </c>
      <c r="Q2823">
        <v>0</v>
      </c>
      <c r="R2823">
        <v>0.54541981336091605</v>
      </c>
      <c r="S2823" t="s">
        <v>9134</v>
      </c>
      <c r="T2823" t="s">
        <v>12620</v>
      </c>
      <c r="U2823" t="s">
        <v>12620</v>
      </c>
      <c r="V2823" t="s">
        <v>12620</v>
      </c>
      <c r="W2823" t="s">
        <v>15398</v>
      </c>
      <c r="X2823">
        <v>6</v>
      </c>
      <c r="Y2823" t="s">
        <v>21568</v>
      </c>
      <c r="Z2823" t="s">
        <v>27770</v>
      </c>
      <c r="AA2823">
        <v>0.86104616426353098</v>
      </c>
      <c r="AB2823" t="str">
        <f>HYPERLINK("Melting_Curves/meltCurve_Q09666_2_AHNAK.pdf", "Melting_Curves/meltCurve_Q09666_2_AHNAK.pdf")</f>
        <v>Melting_Curves/meltCurve_Q09666_2_AHNAK.pdf</v>
      </c>
    </row>
    <row r="2824" spans="1:28" x14ac:dyDescent="0.25">
      <c r="A2824" t="s">
        <v>2828</v>
      </c>
      <c r="B2824">
        <v>0.99987803227770999</v>
      </c>
      <c r="C2824">
        <v>0.97647901931168701</v>
      </c>
      <c r="D2824">
        <v>0.92583404762711696</v>
      </c>
      <c r="E2824">
        <v>1.2274285428602201</v>
      </c>
      <c r="F2824">
        <v>0.45564860933058599</v>
      </c>
      <c r="G2824">
        <v>0.29030981533387701</v>
      </c>
      <c r="H2824">
        <v>0.15030042849738501</v>
      </c>
      <c r="I2824">
        <v>0.104539771159913</v>
      </c>
      <c r="J2824">
        <v>9.1349788164401605E-2</v>
      </c>
      <c r="K2824">
        <v>6.0482606970478199E-2</v>
      </c>
      <c r="L2824">
        <v>13221.2182341928</v>
      </c>
      <c r="M2824">
        <v>250</v>
      </c>
      <c r="N2824">
        <v>52.954105248656298</v>
      </c>
      <c r="O2824">
        <v>52.881488242029597</v>
      </c>
      <c r="P2824">
        <v>-1.0171370832222699</v>
      </c>
      <c r="Q2824">
        <v>0.13939643096482501</v>
      </c>
      <c r="R2824">
        <v>0.95149577274278696</v>
      </c>
      <c r="S2824" t="s">
        <v>9135</v>
      </c>
      <c r="T2824" t="s">
        <v>12620</v>
      </c>
      <c r="U2824" t="s">
        <v>12620</v>
      </c>
      <c r="V2824" t="s">
        <v>12620</v>
      </c>
      <c r="W2824" t="s">
        <v>15399</v>
      </c>
      <c r="X2824">
        <v>9</v>
      </c>
      <c r="Y2824" t="s">
        <v>21569</v>
      </c>
      <c r="Z2824" t="s">
        <v>27771</v>
      </c>
      <c r="AA2824">
        <v>0.50910189327923605</v>
      </c>
      <c r="AB2824" t="str">
        <f>HYPERLINK("Melting_Curves/meltCurve_Q0JRZ9_FCHO2.pdf", "Melting_Curves/meltCurve_Q0JRZ9_FCHO2.pdf")</f>
        <v>Melting_Curves/meltCurve_Q0JRZ9_FCHO2.pdf</v>
      </c>
    </row>
    <row r="2825" spans="1:28" x14ac:dyDescent="0.25">
      <c r="A2825" t="s">
        <v>2829</v>
      </c>
      <c r="B2825">
        <v>0.99987803227770999</v>
      </c>
      <c r="C2825">
        <v>0.93400104751905899</v>
      </c>
      <c r="D2825">
        <v>0.86427606592372197</v>
      </c>
      <c r="E2825">
        <v>1.2927702037634601</v>
      </c>
      <c r="F2825">
        <v>1.2346170928253899</v>
      </c>
      <c r="G2825">
        <v>1.1164846803028401</v>
      </c>
      <c r="H2825">
        <v>0.95434737543075499</v>
      </c>
      <c r="I2825">
        <v>0.79817032032447999</v>
      </c>
      <c r="J2825">
        <v>0.50949331588299795</v>
      </c>
      <c r="K2825">
        <v>0.239104316491172</v>
      </c>
      <c r="L2825">
        <v>2190.8505874726002</v>
      </c>
      <c r="M2825">
        <v>32.889272373534403</v>
      </c>
      <c r="N2825">
        <v>67.006224422995203</v>
      </c>
      <c r="O2825">
        <v>66.368090611128494</v>
      </c>
      <c r="P2825">
        <v>-0.113015162604958</v>
      </c>
      <c r="Q2825">
        <v>8.7779355171495696E-2</v>
      </c>
      <c r="R2825">
        <v>0.80781085698553101</v>
      </c>
      <c r="S2825" t="s">
        <v>9136</v>
      </c>
      <c r="T2825" t="s">
        <v>12620</v>
      </c>
      <c r="U2825" t="s">
        <v>12620</v>
      </c>
      <c r="V2825" t="s">
        <v>12620</v>
      </c>
      <c r="W2825" t="s">
        <v>15400</v>
      </c>
      <c r="X2825">
        <v>9</v>
      </c>
      <c r="Y2825" t="s">
        <v>21570</v>
      </c>
      <c r="Z2825" t="s">
        <v>27772</v>
      </c>
      <c r="AA2825">
        <v>0.88970488253947555</v>
      </c>
      <c r="AB2825" t="str">
        <f>HYPERLINK("Melting_Curves/meltCurve_Q0PNE2_ELP6.pdf", "Melting_Curves/meltCurve_Q0PNE2_ELP6.pdf")</f>
        <v>Melting_Curves/meltCurve_Q0PNE2_ELP6.pdf</v>
      </c>
    </row>
    <row r="2826" spans="1:28" x14ac:dyDescent="0.25">
      <c r="A2826" t="s">
        <v>2830</v>
      </c>
      <c r="B2826">
        <v>0.99987803227770999</v>
      </c>
      <c r="C2826">
        <v>0.97338964076360301</v>
      </c>
      <c r="D2826">
        <v>0.54921808484185897</v>
      </c>
      <c r="E2826">
        <v>0.36871769268654297</v>
      </c>
      <c r="F2826">
        <v>0.19113599887133401</v>
      </c>
      <c r="G2826">
        <v>0.10313864519259</v>
      </c>
      <c r="H2826">
        <v>4.9488634561227901E-2</v>
      </c>
      <c r="I2826">
        <v>4.0281842571402701E-2</v>
      </c>
      <c r="J2826">
        <v>3.0136369020911598E-2</v>
      </c>
      <c r="K2826">
        <v>1.92124099032942E-2</v>
      </c>
      <c r="L2826">
        <v>815.49032244390401</v>
      </c>
      <c r="M2826">
        <v>17.135034574636698</v>
      </c>
      <c r="N2826">
        <v>47.778955457445903</v>
      </c>
      <c r="O2826">
        <v>46.9579773670769</v>
      </c>
      <c r="P2826">
        <v>-8.8272483398989396E-2</v>
      </c>
      <c r="Q2826">
        <v>3.2427375027896103E-2</v>
      </c>
      <c r="R2826">
        <v>0.980712045469608</v>
      </c>
      <c r="S2826" t="s">
        <v>9137</v>
      </c>
      <c r="T2826" t="s">
        <v>12620</v>
      </c>
      <c r="U2826" t="s">
        <v>12620</v>
      </c>
      <c r="V2826" t="s">
        <v>12620</v>
      </c>
      <c r="W2826" t="s">
        <v>15401</v>
      </c>
      <c r="X2826">
        <v>9</v>
      </c>
      <c r="Y2826" t="s">
        <v>21571</v>
      </c>
      <c r="Z2826" t="s">
        <v>27773</v>
      </c>
      <c r="AA2826">
        <v>0.2966014701656205</v>
      </c>
      <c r="AB2826" t="str">
        <f>HYPERLINK("Melting_Curves/meltCurve_Q0VDF9_HSPA14.pdf", "Melting_Curves/meltCurve_Q0VDF9_HSPA14.pdf")</f>
        <v>Melting_Curves/meltCurve_Q0VDF9_HSPA14.pdf</v>
      </c>
    </row>
    <row r="2827" spans="1:28" x14ac:dyDescent="0.25">
      <c r="A2827" t="s">
        <v>2831</v>
      </c>
      <c r="B2827">
        <v>0.99987803227770999</v>
      </c>
      <c r="C2827">
        <v>0.94482275389054304</v>
      </c>
      <c r="D2827">
        <v>1.06300705942458</v>
      </c>
      <c r="E2827">
        <v>0.90499321859383897</v>
      </c>
      <c r="F2827">
        <v>0.93119873324743496</v>
      </c>
      <c r="G2827">
        <v>0.489578435043034</v>
      </c>
      <c r="H2827">
        <v>0.243486803555194</v>
      </c>
      <c r="I2827">
        <v>0.17828349214262501</v>
      </c>
      <c r="J2827">
        <v>0.103058889490606</v>
      </c>
      <c r="K2827">
        <v>7.2540080076967106E-2</v>
      </c>
      <c r="L2827">
        <v>1452.2337504920899</v>
      </c>
      <c r="M2827">
        <v>25.578786565598801</v>
      </c>
      <c r="N2827">
        <v>57.241875796571001</v>
      </c>
      <c r="O2827">
        <v>56.431321525896202</v>
      </c>
      <c r="P2827">
        <v>-0.10264902238451699</v>
      </c>
      <c r="Q2827">
        <v>9.4163619577982194E-2</v>
      </c>
      <c r="R2827">
        <v>0.98772950160085304</v>
      </c>
      <c r="S2827" t="s">
        <v>9138</v>
      </c>
      <c r="T2827" t="s">
        <v>12620</v>
      </c>
      <c r="U2827" t="s">
        <v>12620</v>
      </c>
      <c r="V2827" t="s">
        <v>12620</v>
      </c>
      <c r="W2827" t="s">
        <v>15402</v>
      </c>
      <c r="X2827">
        <v>7</v>
      </c>
      <c r="Y2827" t="s">
        <v>21572</v>
      </c>
      <c r="Z2827" t="s">
        <v>27774</v>
      </c>
      <c r="AA2827">
        <v>0.60858649733607584</v>
      </c>
      <c r="AB2827" t="str">
        <f>HYPERLINK("Melting_Curves/meltCurve_Q0VDG4_SCRN3.pdf", "Melting_Curves/meltCurve_Q0VDG4_SCRN3.pdf")</f>
        <v>Melting_Curves/meltCurve_Q0VDG4_SCRN3.pdf</v>
      </c>
    </row>
    <row r="2828" spans="1:28" x14ac:dyDescent="0.25">
      <c r="A2828" t="s">
        <v>2832</v>
      </c>
      <c r="B2828">
        <v>0.99987803227770999</v>
      </c>
      <c r="C2828">
        <v>0.93859795332375495</v>
      </c>
      <c r="D2828">
        <v>0.96264407254860096</v>
      </c>
      <c r="E2828">
        <v>0.92000449464582701</v>
      </c>
      <c r="F2828">
        <v>0.96459428694744997</v>
      </c>
      <c r="G2828">
        <v>0.56358889920742306</v>
      </c>
      <c r="H2828">
        <v>0.67455887580040796</v>
      </c>
      <c r="I2828">
        <v>0.51665948758756497</v>
      </c>
      <c r="J2828">
        <v>0.64502679052150003</v>
      </c>
      <c r="K2828">
        <v>0.47125464073913698</v>
      </c>
      <c r="L2828">
        <v>13377.212559198701</v>
      </c>
      <c r="M2828">
        <v>250</v>
      </c>
      <c r="O2828">
        <v>53.505426035934299</v>
      </c>
      <c r="P2828">
        <v>-0.49735876226394199</v>
      </c>
      <c r="Q2828">
        <v>0.57421772110153602</v>
      </c>
      <c r="R2828">
        <v>0.89814188732364797</v>
      </c>
      <c r="S2828" t="s">
        <v>9139</v>
      </c>
      <c r="T2828" t="s">
        <v>12620</v>
      </c>
      <c r="U2828" t="s">
        <v>12620</v>
      </c>
      <c r="V2828" t="s">
        <v>12620</v>
      </c>
      <c r="W2828" t="s">
        <v>15403</v>
      </c>
      <c r="X2828">
        <v>6</v>
      </c>
      <c r="Y2828" t="s">
        <v>21573</v>
      </c>
      <c r="Z2828" t="s">
        <v>27775</v>
      </c>
      <c r="AA2828">
        <v>0.76598533976024608</v>
      </c>
      <c r="AB2828" t="str">
        <f>HYPERLINK("Melting_Curves/meltCurve_Q0VF96_CGNL1.pdf", "Melting_Curves/meltCurve_Q0VF96_CGNL1.pdf")</f>
        <v>Melting_Curves/meltCurve_Q0VF96_CGNL1.pdf</v>
      </c>
    </row>
    <row r="2829" spans="1:28" x14ac:dyDescent="0.25">
      <c r="A2829" t="s">
        <v>2833</v>
      </c>
      <c r="B2829">
        <v>0.99987803227770999</v>
      </c>
      <c r="C2829">
        <v>0.989760757515047</v>
      </c>
      <c r="D2829">
        <v>0.91061532128765099</v>
      </c>
      <c r="E2829">
        <v>0.92140463217832902</v>
      </c>
      <c r="F2829">
        <v>0.71858025741105602</v>
      </c>
      <c r="G2829">
        <v>0.53040007793909005</v>
      </c>
      <c r="H2829">
        <v>0.363677877612963</v>
      </c>
      <c r="I2829">
        <v>0.25614456686807702</v>
      </c>
      <c r="J2829">
        <v>0.261009602056052</v>
      </c>
      <c r="K2829">
        <v>0.18551921651339201</v>
      </c>
      <c r="L2829">
        <v>794.04125061939203</v>
      </c>
      <c r="M2829">
        <v>14.1576837645668</v>
      </c>
      <c r="N2829">
        <v>57.565391769464803</v>
      </c>
      <c r="O2829">
        <v>55.0021601732523</v>
      </c>
      <c r="P2829">
        <v>-5.4541494265885802E-2</v>
      </c>
      <c r="Q2829">
        <v>0.15253960960542101</v>
      </c>
      <c r="R2829">
        <v>0.992353853345884</v>
      </c>
      <c r="S2829" t="s">
        <v>9140</v>
      </c>
      <c r="T2829" t="s">
        <v>12620</v>
      </c>
      <c r="U2829" t="s">
        <v>12620</v>
      </c>
      <c r="V2829" t="s">
        <v>12620</v>
      </c>
      <c r="W2829" t="s">
        <v>15404</v>
      </c>
      <c r="X2829">
        <v>6</v>
      </c>
      <c r="Y2829" t="s">
        <v>21574</v>
      </c>
      <c r="Z2829" t="s">
        <v>27776</v>
      </c>
      <c r="AA2829">
        <v>0.62252250645606355</v>
      </c>
      <c r="AB2829" t="str">
        <f>HYPERLINK("Melting_Curves/meltCurve_Q0VG06_FAAP100.pdf", "Melting_Curves/meltCurve_Q0VG06_FAAP100.pdf")</f>
        <v>Melting_Curves/meltCurve_Q0VG06_FAAP100.pdf</v>
      </c>
    </row>
    <row r="2830" spans="1:28" x14ac:dyDescent="0.25">
      <c r="A2830" t="s">
        <v>2834</v>
      </c>
      <c r="B2830">
        <v>0.99987803227770999</v>
      </c>
      <c r="C2830">
        <v>0.87995213722834398</v>
      </c>
      <c r="D2830">
        <v>0.72464356813052699</v>
      </c>
      <c r="E2830">
        <v>0.56023309101299001</v>
      </c>
      <c r="F2830">
        <v>0.43374630342155501</v>
      </c>
      <c r="G2830">
        <v>0.19054593645645401</v>
      </c>
      <c r="H2830">
        <v>0.174162058022935</v>
      </c>
      <c r="I2830">
        <v>8.8183187911402797E-2</v>
      </c>
      <c r="J2830">
        <v>4.60544173356588E-2</v>
      </c>
      <c r="K2830">
        <v>3.07542849529382E-2</v>
      </c>
      <c r="L2830">
        <v>563.97943749083299</v>
      </c>
      <c r="M2830">
        <v>11.0764685438225</v>
      </c>
      <c r="N2830">
        <v>50.916924646368599</v>
      </c>
      <c r="O2830">
        <v>49.341780642820801</v>
      </c>
      <c r="P2830">
        <v>-5.6139593845672298E-2</v>
      </c>
      <c r="Q2830">
        <v>0</v>
      </c>
      <c r="R2830">
        <v>0.99186117664790996</v>
      </c>
      <c r="S2830" t="s">
        <v>9141</v>
      </c>
      <c r="T2830" t="s">
        <v>12620</v>
      </c>
      <c r="U2830" t="s">
        <v>12620</v>
      </c>
      <c r="V2830" t="s">
        <v>12620</v>
      </c>
      <c r="W2830" t="s">
        <v>15405</v>
      </c>
      <c r="X2830">
        <v>1</v>
      </c>
      <c r="Y2830" t="s">
        <v>21575</v>
      </c>
      <c r="Z2830" t="s">
        <v>27777</v>
      </c>
      <c r="AA2830">
        <v>0.40056505384236291</v>
      </c>
      <c r="AB2830" t="str">
        <f>HYPERLINK("Melting_Curves/meltCurve_Q0VGL1_LAMTOR4.pdf", "Melting_Curves/meltCurve_Q0VGL1_LAMTOR4.pdf")</f>
        <v>Melting_Curves/meltCurve_Q0VGL1_LAMTOR4.pdf</v>
      </c>
    </row>
    <row r="2831" spans="1:28" x14ac:dyDescent="0.25">
      <c r="A2831" t="s">
        <v>2835</v>
      </c>
      <c r="B2831">
        <v>0.99987803227770999</v>
      </c>
      <c r="C2831">
        <v>1.1131077250080701</v>
      </c>
      <c r="D2831">
        <v>0.94651656233149095</v>
      </c>
      <c r="E2831">
        <v>1.1435452546859599</v>
      </c>
      <c r="F2831">
        <v>0.799175833077444</v>
      </c>
      <c r="G2831">
        <v>0.63909467742894099</v>
      </c>
      <c r="H2831">
        <v>0.282866672922372</v>
      </c>
      <c r="I2831">
        <v>9.2964728612373301E-2</v>
      </c>
      <c r="J2831">
        <v>5.5700537878681698E-2</v>
      </c>
      <c r="K2831">
        <v>4.4675423943698597E-2</v>
      </c>
      <c r="L2831">
        <v>1291.3607153400401</v>
      </c>
      <c r="M2831">
        <v>22.188348143270598</v>
      </c>
      <c r="N2831">
        <v>58.230569678061002</v>
      </c>
      <c r="O2831">
        <v>57.7333936907091</v>
      </c>
      <c r="P2831">
        <v>-9.5525980002875904E-2</v>
      </c>
      <c r="Q2831">
        <v>5.7989184479050101E-3</v>
      </c>
      <c r="R2831">
        <v>0.96970938334500401</v>
      </c>
      <c r="S2831" t="s">
        <v>9142</v>
      </c>
      <c r="T2831" t="s">
        <v>12620</v>
      </c>
      <c r="U2831" t="s">
        <v>12620</v>
      </c>
      <c r="V2831" t="s">
        <v>12620</v>
      </c>
      <c r="W2831" t="s">
        <v>15406</v>
      </c>
      <c r="X2831">
        <v>32</v>
      </c>
      <c r="Y2831" t="s">
        <v>21576</v>
      </c>
      <c r="Z2831" t="s">
        <v>27778</v>
      </c>
      <c r="AA2831">
        <v>0.61888234411329612</v>
      </c>
      <c r="AB2831" t="str">
        <f>HYPERLINK("Melting_Curves/meltCurve_Q10567_2_AP1B1.pdf", "Melting_Curves/meltCurve_Q10567_2_AP1B1.pdf")</f>
        <v>Melting_Curves/meltCurve_Q10567_2_AP1B1.pdf</v>
      </c>
    </row>
    <row r="2832" spans="1:28" x14ac:dyDescent="0.25">
      <c r="A2832" t="s">
        <v>2836</v>
      </c>
      <c r="B2832">
        <v>0.99987803227770999</v>
      </c>
      <c r="C2832">
        <v>1.1395287106165299</v>
      </c>
      <c r="D2832">
        <v>0.92859941071367302</v>
      </c>
      <c r="E2832">
        <v>1.19294869147811</v>
      </c>
      <c r="F2832">
        <v>0.68998050968547497</v>
      </c>
      <c r="G2832">
        <v>0.60183406163840303</v>
      </c>
      <c r="H2832">
        <v>0.21254834420520499</v>
      </c>
      <c r="I2832">
        <v>3.6169592027253901E-2</v>
      </c>
      <c r="J2832">
        <v>2.0001751288451899E-2</v>
      </c>
      <c r="K2832">
        <v>1.1628983248681699E-2</v>
      </c>
      <c r="L2832">
        <v>1291.5759447773701</v>
      </c>
      <c r="M2832">
        <v>22.520668910357099</v>
      </c>
      <c r="N2832">
        <v>57.3506993193689</v>
      </c>
      <c r="O2832">
        <v>56.904238899730302</v>
      </c>
      <c r="P2832">
        <v>-9.8943099888768496E-2</v>
      </c>
      <c r="Q2832">
        <v>0</v>
      </c>
      <c r="R2832">
        <v>0.94479975901049895</v>
      </c>
      <c r="S2832" t="s">
        <v>9143</v>
      </c>
      <c r="T2832" t="s">
        <v>12620</v>
      </c>
      <c r="U2832" t="s">
        <v>12620</v>
      </c>
      <c r="V2832" t="s">
        <v>12620</v>
      </c>
      <c r="W2832" t="s">
        <v>15407</v>
      </c>
      <c r="X2832">
        <v>32</v>
      </c>
      <c r="Y2832" t="s">
        <v>21576</v>
      </c>
      <c r="Z2832" t="s">
        <v>27779</v>
      </c>
      <c r="AA2832">
        <v>0.58869529180105051</v>
      </c>
      <c r="AB2832" t="str">
        <f>HYPERLINK("Melting_Curves/meltCurve_Q10567_3_AP1B1.pdf", "Melting_Curves/meltCurve_Q10567_3_AP1B1.pdf")</f>
        <v>Melting_Curves/meltCurve_Q10567_3_AP1B1.pdf</v>
      </c>
    </row>
    <row r="2833" spans="1:28" x14ac:dyDescent="0.25">
      <c r="A2833" t="s">
        <v>2837</v>
      </c>
      <c r="B2833">
        <v>0.99987803227770999</v>
      </c>
      <c r="C2833">
        <v>1.1640277914881301</v>
      </c>
      <c r="D2833">
        <v>1.0829807801284199</v>
      </c>
      <c r="E2833">
        <v>1.0253978422751</v>
      </c>
      <c r="F2833">
        <v>0.41396069855122802</v>
      </c>
      <c r="G2833">
        <v>0.25343263044226699</v>
      </c>
      <c r="H2833">
        <v>0.16350755715968401</v>
      </c>
      <c r="I2833">
        <v>0.14949375855978</v>
      </c>
      <c r="J2833">
        <v>0.122473852539759</v>
      </c>
      <c r="K2833">
        <v>8.77413414973644E-2</v>
      </c>
      <c r="L2833">
        <v>13206.646825068399</v>
      </c>
      <c r="M2833">
        <v>250</v>
      </c>
      <c r="N2833">
        <v>52.905293999896301</v>
      </c>
      <c r="O2833">
        <v>52.823223371027602</v>
      </c>
      <c r="P2833">
        <v>-0.99940707358831704</v>
      </c>
      <c r="Q2833">
        <v>0.15532981609033</v>
      </c>
      <c r="R2833">
        <v>0.97381316835586695</v>
      </c>
      <c r="S2833" t="s">
        <v>9144</v>
      </c>
      <c r="T2833" t="s">
        <v>12620</v>
      </c>
      <c r="U2833" t="s">
        <v>12620</v>
      </c>
      <c r="V2833" t="s">
        <v>12620</v>
      </c>
      <c r="W2833" t="s">
        <v>15408</v>
      </c>
      <c r="X2833">
        <v>19</v>
      </c>
      <c r="Y2833" t="s">
        <v>21577</v>
      </c>
      <c r="Z2833" t="s">
        <v>27780</v>
      </c>
      <c r="AA2833">
        <v>0.51654932045522506</v>
      </c>
      <c r="AB2833" t="str">
        <f>HYPERLINK("Melting_Curves/meltCurve_Q10570_CPSF1.pdf", "Melting_Curves/meltCurve_Q10570_CPSF1.pdf")</f>
        <v>Melting_Curves/meltCurve_Q10570_CPSF1.pdf</v>
      </c>
    </row>
    <row r="2834" spans="1:28" x14ac:dyDescent="0.25">
      <c r="A2834" t="s">
        <v>2838</v>
      </c>
      <c r="B2834">
        <v>0.99987803227770999</v>
      </c>
      <c r="C2834">
        <v>1.02507665506465</v>
      </c>
      <c r="D2834">
        <v>0.97690588923841504</v>
      </c>
      <c r="E2834">
        <v>0.54042312996560005</v>
      </c>
      <c r="F2834">
        <v>0.27875359535854499</v>
      </c>
      <c r="G2834">
        <v>0.175405617105232</v>
      </c>
      <c r="H2834">
        <v>0.119296238741098</v>
      </c>
      <c r="I2834">
        <v>8.9590321565168093E-2</v>
      </c>
      <c r="J2834">
        <v>6.2754937315044002E-2</v>
      </c>
      <c r="K2834">
        <v>4.47731679414064E-2</v>
      </c>
      <c r="L2834">
        <v>1348.1881694019701</v>
      </c>
      <c r="M2834">
        <v>26.8436163850219</v>
      </c>
      <c r="N2834">
        <v>50.588603542713102</v>
      </c>
      <c r="O2834">
        <v>49.947547589979997</v>
      </c>
      <c r="P2834">
        <v>-0.12253713956710301</v>
      </c>
      <c r="Q2834">
        <v>8.7996591666215498E-2</v>
      </c>
      <c r="R2834">
        <v>0.993394846213975</v>
      </c>
      <c r="S2834" t="s">
        <v>9145</v>
      </c>
      <c r="T2834" t="s">
        <v>12620</v>
      </c>
      <c r="U2834" t="s">
        <v>12620</v>
      </c>
      <c r="V2834" t="s">
        <v>12620</v>
      </c>
      <c r="W2834" t="s">
        <v>15409</v>
      </c>
      <c r="X2834">
        <v>11</v>
      </c>
      <c r="Y2834" t="s">
        <v>21578</v>
      </c>
      <c r="Z2834" t="s">
        <v>27781</v>
      </c>
      <c r="AA2834">
        <v>0.40588427740401462</v>
      </c>
      <c r="AB2834" t="str">
        <f>HYPERLINK("Melting_Curves/meltCurve_Q10713_PMPCA.pdf", "Melting_Curves/meltCurve_Q10713_PMPCA.pdf")</f>
        <v>Melting_Curves/meltCurve_Q10713_PMPCA.pdf</v>
      </c>
    </row>
    <row r="2835" spans="1:28" x14ac:dyDescent="0.25">
      <c r="A2835" t="s">
        <v>2839</v>
      </c>
      <c r="B2835">
        <v>0.99987803227770999</v>
      </c>
      <c r="C2835">
        <v>0.99141351638931896</v>
      </c>
      <c r="D2835">
        <v>1.0910401080861001</v>
      </c>
      <c r="E2835">
        <v>0.914207776916374</v>
      </c>
      <c r="F2835">
        <v>0.43856615728124998</v>
      </c>
      <c r="G2835">
        <v>0.20422222525466899</v>
      </c>
      <c r="H2835">
        <v>0.133638666668255</v>
      </c>
      <c r="I2835">
        <v>0.114314226750575</v>
      </c>
      <c r="J2835">
        <v>0.10783867808124099</v>
      </c>
      <c r="K2835">
        <v>8.0790917724054501E-2</v>
      </c>
      <c r="L2835">
        <v>2261.0856837307701</v>
      </c>
      <c r="M2835">
        <v>43.163058976912097</v>
      </c>
      <c r="N2835">
        <v>52.722461337305397</v>
      </c>
      <c r="O2835">
        <v>52.272688802238001</v>
      </c>
      <c r="P2835">
        <v>-0.18150021941497399</v>
      </c>
      <c r="Q2835">
        <v>0.120777161758731</v>
      </c>
      <c r="R2835">
        <v>0.99160954027940296</v>
      </c>
      <c r="S2835" t="s">
        <v>9146</v>
      </c>
      <c r="T2835" t="s">
        <v>12620</v>
      </c>
      <c r="U2835" t="s">
        <v>12620</v>
      </c>
      <c r="V2835" t="s">
        <v>12620</v>
      </c>
      <c r="W2835" t="s">
        <v>15410</v>
      </c>
      <c r="X2835">
        <v>17</v>
      </c>
      <c r="Y2835" t="s">
        <v>21579</v>
      </c>
      <c r="Z2835" t="s">
        <v>27782</v>
      </c>
      <c r="AA2835">
        <v>0.48647230722538559</v>
      </c>
      <c r="AB2835" t="str">
        <f>HYPERLINK("Melting_Curves/meltCurve_Q12765_SCRN1.pdf", "Melting_Curves/meltCurve_Q12765_SCRN1.pdf")</f>
        <v>Melting_Curves/meltCurve_Q12765_SCRN1.pdf</v>
      </c>
    </row>
    <row r="2836" spans="1:28" x14ac:dyDescent="0.25">
      <c r="A2836" t="s">
        <v>2840</v>
      </c>
      <c r="B2836">
        <v>0.99987803227770999</v>
      </c>
      <c r="C2836">
        <v>1.0020144667673401</v>
      </c>
      <c r="D2836">
        <v>0.81568528804182205</v>
      </c>
      <c r="E2836">
        <v>1.19411798657337</v>
      </c>
      <c r="F2836">
        <v>0.35220929821473301</v>
      </c>
      <c r="G2836">
        <v>0.16881605979082701</v>
      </c>
      <c r="H2836">
        <v>0.106491107579216</v>
      </c>
      <c r="I2836">
        <v>9.47853932282334E-2</v>
      </c>
      <c r="J2836">
        <v>6.7186649590244799E-2</v>
      </c>
      <c r="K2836">
        <v>4.5580270534968402E-2</v>
      </c>
      <c r="L2836">
        <v>13200.7204563254</v>
      </c>
      <c r="M2836">
        <v>250</v>
      </c>
      <c r="N2836">
        <v>52.848249049198103</v>
      </c>
      <c r="O2836">
        <v>52.799502861343598</v>
      </c>
      <c r="P2836">
        <v>-1.0694089738786901</v>
      </c>
      <c r="Q2836">
        <v>9.6571807440784696E-2</v>
      </c>
      <c r="R2836">
        <v>0.95822043552315594</v>
      </c>
      <c r="S2836" t="s">
        <v>9147</v>
      </c>
      <c r="T2836" t="s">
        <v>12620</v>
      </c>
      <c r="U2836" t="s">
        <v>12620</v>
      </c>
      <c r="V2836" t="s">
        <v>12620</v>
      </c>
      <c r="W2836" t="s">
        <v>15411</v>
      </c>
      <c r="X2836">
        <v>22</v>
      </c>
      <c r="Y2836" t="s">
        <v>21580</v>
      </c>
      <c r="Z2836" t="s">
        <v>27783</v>
      </c>
      <c r="AA2836">
        <v>0.48220500610361761</v>
      </c>
      <c r="AB2836" t="str">
        <f>HYPERLINK("Melting_Curves/meltCurve_Q12768_KIAA0196.pdf", "Melting_Curves/meltCurve_Q12768_KIAA0196.pdf")</f>
        <v>Melting_Curves/meltCurve_Q12768_KIAA0196.pdf</v>
      </c>
    </row>
    <row r="2837" spans="1:28" x14ac:dyDescent="0.25">
      <c r="A2837" t="s">
        <v>2841</v>
      </c>
      <c r="B2837">
        <v>0.99987803227770999</v>
      </c>
      <c r="C2837">
        <v>0.935096083902619</v>
      </c>
      <c r="D2837">
        <v>0.73709795792220001</v>
      </c>
      <c r="E2837">
        <v>1.00303915861055</v>
      </c>
      <c r="F2837">
        <v>0.50570297806154096</v>
      </c>
      <c r="G2837">
        <v>0.258851570561342</v>
      </c>
      <c r="H2837">
        <v>0.130859218508556</v>
      </c>
      <c r="I2837">
        <v>9.5970832978197307E-2</v>
      </c>
      <c r="J2837">
        <v>7.5964625279093395E-2</v>
      </c>
      <c r="K2837">
        <v>5.4265265827079703E-2</v>
      </c>
      <c r="L2837">
        <v>1479.4485725950001</v>
      </c>
      <c r="M2837">
        <v>27.752310959397398</v>
      </c>
      <c r="N2837">
        <v>53.664361859809603</v>
      </c>
      <c r="O2837">
        <v>53.034526239986199</v>
      </c>
      <c r="P2837">
        <v>-0.119842648010459</v>
      </c>
      <c r="Q2837">
        <v>8.3933216782416706E-2</v>
      </c>
      <c r="R2837">
        <v>0.93718309674949196</v>
      </c>
      <c r="S2837" t="s">
        <v>9148</v>
      </c>
      <c r="T2837" t="s">
        <v>12620</v>
      </c>
      <c r="U2837" t="s">
        <v>12620</v>
      </c>
      <c r="V2837" t="s">
        <v>12620</v>
      </c>
      <c r="W2837" t="s">
        <v>15412</v>
      </c>
      <c r="X2837">
        <v>11</v>
      </c>
      <c r="Y2837" t="s">
        <v>21581</v>
      </c>
      <c r="Z2837" t="s">
        <v>27784</v>
      </c>
      <c r="AA2837">
        <v>0.49726799438633612</v>
      </c>
      <c r="AB2837" t="str">
        <f>HYPERLINK("Melting_Curves/meltCurve_Q12769_NUP160.pdf", "Melting_Curves/meltCurve_Q12769_NUP160.pdf")</f>
        <v>Melting_Curves/meltCurve_Q12769_NUP160.pdf</v>
      </c>
    </row>
    <row r="2838" spans="1:28" x14ac:dyDescent="0.25">
      <c r="A2838" t="s">
        <v>2842</v>
      </c>
      <c r="B2838">
        <v>0.99987803227770999</v>
      </c>
      <c r="C2838">
        <v>0.89364973553858196</v>
      </c>
      <c r="D2838">
        <v>0.85150511661019901</v>
      </c>
      <c r="E2838">
        <v>0.50511254478769096</v>
      </c>
      <c r="F2838">
        <v>0.396080703231242</v>
      </c>
      <c r="G2838">
        <v>0.26395031123687901</v>
      </c>
      <c r="H2838">
        <v>0.185248398986082</v>
      </c>
      <c r="I2838">
        <v>0.21263747640702799</v>
      </c>
      <c r="J2838">
        <v>0.16399847164300599</v>
      </c>
      <c r="K2838">
        <v>0.13325257065851001</v>
      </c>
      <c r="L2838">
        <v>773.41075477345998</v>
      </c>
      <c r="M2838">
        <v>15.6058028179066</v>
      </c>
      <c r="N2838">
        <v>50.7515217337832</v>
      </c>
      <c r="O2838">
        <v>48.766803828835897</v>
      </c>
      <c r="P2838">
        <v>-6.7730132030643098E-2</v>
      </c>
      <c r="Q2838">
        <v>0.15346967669337</v>
      </c>
      <c r="R2838">
        <v>0.99167111892130999</v>
      </c>
      <c r="S2838" t="s">
        <v>9149</v>
      </c>
      <c r="T2838" t="s">
        <v>12620</v>
      </c>
      <c r="U2838" t="s">
        <v>12620</v>
      </c>
      <c r="V2838" t="s">
        <v>12620</v>
      </c>
      <c r="W2838" t="s">
        <v>15413</v>
      </c>
      <c r="X2838">
        <v>10</v>
      </c>
      <c r="Y2838" t="s">
        <v>21582</v>
      </c>
      <c r="Z2838" t="s">
        <v>27785</v>
      </c>
      <c r="AA2838">
        <v>0.44225388226356882</v>
      </c>
      <c r="AB2838" t="str">
        <f>HYPERLINK("Melting_Curves/meltCurve_Q12789_GTF3C1.pdf", "Melting_Curves/meltCurve_Q12789_GTF3C1.pdf")</f>
        <v>Melting_Curves/meltCurve_Q12789_GTF3C1.pdf</v>
      </c>
    </row>
    <row r="2839" spans="1:28" x14ac:dyDescent="0.25">
      <c r="A2839" t="s">
        <v>2843</v>
      </c>
      <c r="B2839">
        <v>0.99987803227770999</v>
      </c>
      <c r="C2839">
        <v>0.97138936356736305</v>
      </c>
      <c r="D2839">
        <v>0.95382137606926998</v>
      </c>
      <c r="E2839">
        <v>1.0675286946109099</v>
      </c>
      <c r="F2839">
        <v>0.999306429031944</v>
      </c>
      <c r="G2839">
        <v>0.47698282272751003</v>
      </c>
      <c r="H2839">
        <v>0.149012326315968</v>
      </c>
      <c r="I2839">
        <v>0.113865527667824</v>
      </c>
      <c r="J2839">
        <v>8.74299991162623E-2</v>
      </c>
      <c r="K2839">
        <v>6.3278285373126394E-2</v>
      </c>
      <c r="L2839">
        <v>2971.9294772836902</v>
      </c>
      <c r="M2839">
        <v>52.431979296542899</v>
      </c>
      <c r="N2839">
        <v>56.914464816399502</v>
      </c>
      <c r="O2839">
        <v>56.599346009269802</v>
      </c>
      <c r="P2839">
        <v>-0.20923693829099099</v>
      </c>
      <c r="Q2839">
        <v>9.6531111324404895E-2</v>
      </c>
      <c r="R2839">
        <v>0.99416458076366199</v>
      </c>
      <c r="S2839" t="s">
        <v>9150</v>
      </c>
      <c r="T2839" t="s">
        <v>12620</v>
      </c>
      <c r="U2839" t="s">
        <v>12620</v>
      </c>
      <c r="V2839" t="s">
        <v>12620</v>
      </c>
      <c r="W2839" t="s">
        <v>15414</v>
      </c>
      <c r="X2839">
        <v>16</v>
      </c>
      <c r="Y2839" t="s">
        <v>21583</v>
      </c>
      <c r="Z2839" t="s">
        <v>27786</v>
      </c>
      <c r="AA2839">
        <v>0.60095930565178557</v>
      </c>
      <c r="AB2839" t="str">
        <f>HYPERLINK("Melting_Curves/meltCurve_Q12792_TWF1.pdf", "Melting_Curves/meltCurve_Q12792_TWF1.pdf")</f>
        <v>Melting_Curves/meltCurve_Q12792_TWF1.pdf</v>
      </c>
    </row>
    <row r="2840" spans="1:28" x14ac:dyDescent="0.25">
      <c r="A2840" t="s">
        <v>2844</v>
      </c>
      <c r="B2840">
        <v>0.99987803227770999</v>
      </c>
      <c r="C2840">
        <v>0.92140996892493998</v>
      </c>
      <c r="D2840">
        <v>0.93819691954350604</v>
      </c>
      <c r="E2840">
        <v>0.79076264696045895</v>
      </c>
      <c r="F2840">
        <v>0.31214441207861798</v>
      </c>
      <c r="G2840">
        <v>0.20769476322597499</v>
      </c>
      <c r="H2840">
        <v>0.146176386352282</v>
      </c>
      <c r="I2840">
        <v>0.116851320517778</v>
      </c>
      <c r="J2840">
        <v>8.8661835253351598E-2</v>
      </c>
      <c r="K2840">
        <v>6.1377827616663397E-2</v>
      </c>
      <c r="L2840">
        <v>1858.2931633619301</v>
      </c>
      <c r="M2840">
        <v>36.128224075090401</v>
      </c>
      <c r="N2840">
        <v>51.809172700923</v>
      </c>
      <c r="O2840">
        <v>51.2792228831727</v>
      </c>
      <c r="P2840">
        <v>-0.15595834258874999</v>
      </c>
      <c r="Q2840">
        <v>0.11455401651663399</v>
      </c>
      <c r="R2840">
        <v>0.98693745419412404</v>
      </c>
      <c r="S2840" t="s">
        <v>9151</v>
      </c>
      <c r="T2840" t="s">
        <v>12620</v>
      </c>
      <c r="U2840" t="s">
        <v>12620</v>
      </c>
      <c r="V2840" t="s">
        <v>12620</v>
      </c>
      <c r="W2840" t="s">
        <v>15415</v>
      </c>
      <c r="X2840">
        <v>8</v>
      </c>
      <c r="Y2840" t="s">
        <v>21584</v>
      </c>
      <c r="Z2840" t="s">
        <v>27787</v>
      </c>
      <c r="AA2840">
        <v>0.45595043719613881</v>
      </c>
      <c r="AB2840" t="str">
        <f>HYPERLINK("Melting_Curves/meltCurve_Q12797_ASPH.pdf", "Melting_Curves/meltCurve_Q12797_ASPH.pdf")</f>
        <v>Melting_Curves/meltCurve_Q12797_ASPH.pdf</v>
      </c>
    </row>
    <row r="2841" spans="1:28" x14ac:dyDescent="0.25">
      <c r="A2841" t="s">
        <v>2845</v>
      </c>
      <c r="B2841">
        <v>0.99987803227770999</v>
      </c>
      <c r="C2841">
        <v>1.0102291135536501</v>
      </c>
      <c r="D2841">
        <v>0.88168468174653103</v>
      </c>
      <c r="E2841">
        <v>0.49345653900007902</v>
      </c>
      <c r="F2841">
        <v>0.24261175356005499</v>
      </c>
      <c r="G2841">
        <v>0.14841281625415101</v>
      </c>
      <c r="H2841">
        <v>0.10074287802849</v>
      </c>
      <c r="I2841">
        <v>4.41886196799453E-2</v>
      </c>
      <c r="J2841">
        <v>3.7247168114219298E-2</v>
      </c>
      <c r="K2841">
        <v>1.7772590899295601E-2</v>
      </c>
      <c r="L2841">
        <v>1104.43992132674</v>
      </c>
      <c r="M2841">
        <v>22.159933413543701</v>
      </c>
      <c r="N2841">
        <v>50.078579259203202</v>
      </c>
      <c r="O2841">
        <v>49.438950548083199</v>
      </c>
      <c r="P2841">
        <v>-0.10643461680821199</v>
      </c>
      <c r="Q2841">
        <v>5.0195411964038497E-2</v>
      </c>
      <c r="R2841">
        <v>0.99594398659278205</v>
      </c>
      <c r="S2841" t="s">
        <v>9152</v>
      </c>
      <c r="T2841" t="s">
        <v>12620</v>
      </c>
      <c r="U2841" t="s">
        <v>12620</v>
      </c>
      <c r="V2841" t="s">
        <v>12620</v>
      </c>
      <c r="W2841" t="s">
        <v>15416</v>
      </c>
      <c r="X2841">
        <v>2</v>
      </c>
      <c r="Y2841" t="s">
        <v>21585</v>
      </c>
      <c r="Z2841" t="s">
        <v>27788</v>
      </c>
      <c r="AA2841">
        <v>0.37251386647967849</v>
      </c>
      <c r="AB2841" t="str">
        <f>HYPERLINK("Melting_Curves/meltCurve_Q12800_2_TFCP2.pdf", "Melting_Curves/meltCurve_Q12800_2_TFCP2.pdf")</f>
        <v>Melting_Curves/meltCurve_Q12800_2_TFCP2.pdf</v>
      </c>
    </row>
    <row r="2842" spans="1:28" x14ac:dyDescent="0.25">
      <c r="A2842" t="s">
        <v>2846</v>
      </c>
      <c r="B2842">
        <v>0.99987803227770999</v>
      </c>
      <c r="C2842">
        <v>0.97941661010135295</v>
      </c>
      <c r="D2842">
        <v>1.0110544112695501</v>
      </c>
      <c r="E2842">
        <v>0.97480160299169705</v>
      </c>
      <c r="F2842">
        <v>1.0096372967243501</v>
      </c>
      <c r="G2842">
        <v>0.91577044012918996</v>
      </c>
      <c r="H2842">
        <v>0.82609021999410803</v>
      </c>
      <c r="I2842">
        <v>0.72650997521709104</v>
      </c>
      <c r="J2842">
        <v>0.67111586487589703</v>
      </c>
      <c r="K2842">
        <v>0.49486933021948198</v>
      </c>
      <c r="L2842">
        <v>756.51711383395298</v>
      </c>
      <c r="M2842">
        <v>10.754323764849699</v>
      </c>
      <c r="O2842">
        <v>68.044021251369998</v>
      </c>
      <c r="P2842">
        <v>-3.9526926431167703E-2</v>
      </c>
      <c r="Q2842">
        <v>0</v>
      </c>
      <c r="R2842">
        <v>0.98334924405492696</v>
      </c>
      <c r="S2842" t="s">
        <v>9153</v>
      </c>
      <c r="T2842" t="s">
        <v>12620</v>
      </c>
      <c r="U2842" t="s">
        <v>12620</v>
      </c>
      <c r="V2842" t="s">
        <v>12620</v>
      </c>
      <c r="W2842" t="s">
        <v>15417</v>
      </c>
      <c r="X2842">
        <v>38</v>
      </c>
      <c r="Y2842" t="s">
        <v>21586</v>
      </c>
      <c r="Z2842" t="s">
        <v>27789</v>
      </c>
      <c r="AA2842">
        <v>0.88046484969241767</v>
      </c>
      <c r="AB2842" t="str">
        <f>HYPERLINK("Melting_Curves/meltCurve_Q12802_AKAP13.pdf", "Melting_Curves/meltCurve_Q12802_AKAP13.pdf")</f>
        <v>Melting_Curves/meltCurve_Q12802_AKAP13.pdf</v>
      </c>
    </row>
    <row r="2843" spans="1:28" x14ac:dyDescent="0.25">
      <c r="A2843" t="s">
        <v>2847</v>
      </c>
      <c r="B2843">
        <v>0.99987803227770999</v>
      </c>
      <c r="C2843">
        <v>0.84769532312378704</v>
      </c>
      <c r="D2843">
        <v>0.60677349416101201</v>
      </c>
      <c r="E2843">
        <v>0.433637284998307</v>
      </c>
      <c r="F2843">
        <v>0.32038445121995002</v>
      </c>
      <c r="G2843">
        <v>0.204267023033221</v>
      </c>
      <c r="H2843">
        <v>0.12559617837814899</v>
      </c>
      <c r="I2843">
        <v>0.114200931023394</v>
      </c>
      <c r="J2843">
        <v>8.4558292338717506E-2</v>
      </c>
      <c r="K2843">
        <v>6.5417821829503897E-2</v>
      </c>
      <c r="L2843">
        <v>592.83201993315095</v>
      </c>
      <c r="M2843">
        <v>12.2951490131551</v>
      </c>
      <c r="N2843">
        <v>48.757158953101701</v>
      </c>
      <c r="O2843">
        <v>46.994470643145497</v>
      </c>
      <c r="P2843">
        <v>-6.12545837412551E-2</v>
      </c>
      <c r="Q2843">
        <v>6.3697278910284302E-2</v>
      </c>
      <c r="R2843">
        <v>0.99011353027263505</v>
      </c>
      <c r="S2843" t="s">
        <v>9154</v>
      </c>
      <c r="T2843" t="s">
        <v>12620</v>
      </c>
      <c r="U2843" t="s">
        <v>12620</v>
      </c>
      <c r="V2843" t="s">
        <v>12620</v>
      </c>
      <c r="W2843" t="s">
        <v>15418</v>
      </c>
      <c r="X2843">
        <v>3</v>
      </c>
      <c r="Y2843" t="s">
        <v>21587</v>
      </c>
      <c r="Z2843" t="s">
        <v>27790</v>
      </c>
      <c r="AA2843">
        <v>0.3547534798829442</v>
      </c>
      <c r="AB2843" t="str">
        <f>HYPERLINK("Melting_Curves/meltCurve_Q12824_2_SMARCB1.pdf", "Melting_Curves/meltCurve_Q12824_2_SMARCB1.pdf")</f>
        <v>Melting_Curves/meltCurve_Q12824_2_SMARCB1.pdf</v>
      </c>
    </row>
    <row r="2844" spans="1:28" x14ac:dyDescent="0.25">
      <c r="A2844" t="s">
        <v>2848</v>
      </c>
      <c r="B2844">
        <v>0.99987803227770999</v>
      </c>
      <c r="C2844">
        <v>1.04688677490628</v>
      </c>
      <c r="D2844">
        <v>0.74285609598397795</v>
      </c>
      <c r="E2844">
        <v>0.57834539645612204</v>
      </c>
      <c r="F2844">
        <v>0.47167089639590398</v>
      </c>
      <c r="G2844">
        <v>0.30815912588502598</v>
      </c>
      <c r="H2844">
        <v>0.295287506585795</v>
      </c>
      <c r="I2844">
        <v>0.258025354939799</v>
      </c>
      <c r="J2844">
        <v>0.30341502916726099</v>
      </c>
      <c r="K2844">
        <v>0.23852025020457199</v>
      </c>
      <c r="L2844">
        <v>812.83112777280496</v>
      </c>
      <c r="M2844">
        <v>16.538188107377199</v>
      </c>
      <c r="N2844">
        <v>51.430733602413703</v>
      </c>
      <c r="O2844">
        <v>48.447001769145999</v>
      </c>
      <c r="P2844">
        <v>-6.3160425184055694E-2</v>
      </c>
      <c r="Q2844">
        <v>0.259961845414868</v>
      </c>
      <c r="R2844">
        <v>0.97404804206821805</v>
      </c>
      <c r="S2844" t="s">
        <v>9155</v>
      </c>
      <c r="T2844" t="s">
        <v>12620</v>
      </c>
      <c r="U2844" t="s">
        <v>12620</v>
      </c>
      <c r="V2844" t="s">
        <v>12620</v>
      </c>
      <c r="W2844" t="s">
        <v>15419</v>
      </c>
      <c r="X2844">
        <v>18</v>
      </c>
      <c r="Y2844" t="s">
        <v>21588</v>
      </c>
      <c r="Z2844" t="s">
        <v>27791</v>
      </c>
      <c r="AA2844">
        <v>0.50073121296813694</v>
      </c>
      <c r="AB2844" t="str">
        <f>HYPERLINK("Melting_Curves/meltCurve_Q12830_4_BPTF.pdf", "Melting_Curves/meltCurve_Q12830_4_BPTF.pdf")</f>
        <v>Melting_Curves/meltCurve_Q12830_4_BPTF.pdf</v>
      </c>
    </row>
    <row r="2845" spans="1:28" x14ac:dyDescent="0.25">
      <c r="A2845" t="s">
        <v>2849</v>
      </c>
      <c r="B2845">
        <v>0.99987803227770999</v>
      </c>
      <c r="C2845">
        <v>1.06300801299155</v>
      </c>
      <c r="D2845">
        <v>1.06803483513718</v>
      </c>
      <c r="E2845">
        <v>0.79585582872549099</v>
      </c>
      <c r="F2845">
        <v>0.49388182098445199</v>
      </c>
      <c r="G2845">
        <v>0.32198842564957503</v>
      </c>
      <c r="H2845">
        <v>0.25321888774077</v>
      </c>
      <c r="I2845">
        <v>0.27606267759248498</v>
      </c>
      <c r="J2845">
        <v>0.210083867277535</v>
      </c>
      <c r="K2845">
        <v>0.16962109796932701</v>
      </c>
      <c r="L2845">
        <v>1489.61068433779</v>
      </c>
      <c r="M2845">
        <v>28.689394849510101</v>
      </c>
      <c r="N2845">
        <v>53.059597609884499</v>
      </c>
      <c r="O2845">
        <v>51.671667498724098</v>
      </c>
      <c r="P2845">
        <v>-0.106921796932556</v>
      </c>
      <c r="Q2845">
        <v>0.229710177694912</v>
      </c>
      <c r="R2845">
        <v>0.98466956690422303</v>
      </c>
      <c r="S2845" t="s">
        <v>9156</v>
      </c>
      <c r="T2845" t="s">
        <v>12620</v>
      </c>
      <c r="U2845" t="s">
        <v>12620</v>
      </c>
      <c r="V2845" t="s">
        <v>12620</v>
      </c>
      <c r="W2845" t="s">
        <v>15420</v>
      </c>
      <c r="X2845">
        <v>4</v>
      </c>
      <c r="Y2845" t="s">
        <v>21589</v>
      </c>
      <c r="Z2845" t="s">
        <v>27792</v>
      </c>
      <c r="AA2845">
        <v>0.5411933586362152</v>
      </c>
      <c r="AB2845" t="str">
        <f>HYPERLINK("Melting_Curves/meltCurve_Q12834_CDC20.pdf", "Melting_Curves/meltCurve_Q12834_CDC20.pdf")</f>
        <v>Melting_Curves/meltCurve_Q12834_CDC20.pdf</v>
      </c>
    </row>
    <row r="2846" spans="1:28" x14ac:dyDescent="0.25">
      <c r="A2846" t="s">
        <v>2850</v>
      </c>
      <c r="B2846">
        <v>0.99987803227770999</v>
      </c>
      <c r="C2846">
        <v>0.92403595659429005</v>
      </c>
      <c r="D2846">
        <v>1.0091917628082601</v>
      </c>
      <c r="E2846">
        <v>0.94997864669196996</v>
      </c>
      <c r="F2846">
        <v>1.0787859656120999</v>
      </c>
      <c r="G2846">
        <v>0.92456459826578197</v>
      </c>
      <c r="H2846">
        <v>1.01617165913343</v>
      </c>
      <c r="I2846">
        <v>0.97726608616454302</v>
      </c>
      <c r="J2846">
        <v>0.90038930865328004</v>
      </c>
      <c r="K2846">
        <v>0.72265871004795201</v>
      </c>
      <c r="L2846">
        <v>2684.9516939107598</v>
      </c>
      <c r="M2846">
        <v>38.8149428691992</v>
      </c>
      <c r="O2846">
        <v>68.990300778085896</v>
      </c>
      <c r="P2846">
        <v>-6.3661476654376006E-2</v>
      </c>
      <c r="Q2846">
        <v>0.54738934824291696</v>
      </c>
      <c r="R2846">
        <v>0.752278658658734</v>
      </c>
      <c r="S2846" t="s">
        <v>9157</v>
      </c>
      <c r="T2846" t="s">
        <v>12620</v>
      </c>
      <c r="U2846" t="s">
        <v>12620</v>
      </c>
      <c r="V2846" t="s">
        <v>12620</v>
      </c>
      <c r="W2846" t="s">
        <v>15421</v>
      </c>
      <c r="X2846">
        <v>8</v>
      </c>
      <c r="Y2846" t="s">
        <v>21590</v>
      </c>
      <c r="Z2846" t="s">
        <v>27793</v>
      </c>
      <c r="AA2846">
        <v>0.9754665789502478</v>
      </c>
      <c r="AB2846" t="str">
        <f>HYPERLINK("Melting_Curves/meltCurve_Q12841_FSTL1.pdf", "Melting_Curves/meltCurve_Q12841_FSTL1.pdf")</f>
        <v>Melting_Curves/meltCurve_Q12841_FSTL1.pdf</v>
      </c>
    </row>
    <row r="2847" spans="1:28" x14ac:dyDescent="0.25">
      <c r="A2847" t="s">
        <v>2851</v>
      </c>
      <c r="B2847">
        <v>0.99987803227770999</v>
      </c>
      <c r="C2847">
        <v>0.90832245784900401</v>
      </c>
      <c r="D2847">
        <v>1.0814418797974801</v>
      </c>
      <c r="E2847">
        <v>0.99763496793724704</v>
      </c>
      <c r="F2847">
        <v>1.28685519333312</v>
      </c>
      <c r="G2847">
        <v>1.06774009423859</v>
      </c>
      <c r="H2847">
        <v>0.95011953407842498</v>
      </c>
      <c r="I2847">
        <v>0.84690494795154303</v>
      </c>
      <c r="J2847">
        <v>0.745963990462023</v>
      </c>
      <c r="K2847">
        <v>0.53941581651842296</v>
      </c>
      <c r="L2847">
        <v>1619.18334790617</v>
      </c>
      <c r="M2847">
        <v>23.736231176899601</v>
      </c>
      <c r="O2847">
        <v>67.7370519707856</v>
      </c>
      <c r="P2847">
        <v>-6.1552430551882503E-2</v>
      </c>
      <c r="Q2847">
        <v>0.297393046705755</v>
      </c>
      <c r="R2847">
        <v>0.71745351892179998</v>
      </c>
      <c r="S2847" t="s">
        <v>9158</v>
      </c>
      <c r="T2847" t="s">
        <v>12620</v>
      </c>
      <c r="U2847" t="s">
        <v>12620</v>
      </c>
      <c r="V2847" t="s">
        <v>12620</v>
      </c>
      <c r="W2847" t="s">
        <v>15422</v>
      </c>
      <c r="X2847">
        <v>4</v>
      </c>
      <c r="Y2847" t="s">
        <v>21591</v>
      </c>
      <c r="Z2847" t="s">
        <v>27794</v>
      </c>
      <c r="AA2847">
        <v>0.9334243761407236</v>
      </c>
      <c r="AB2847" t="str">
        <f>HYPERLINK("Melting_Curves/meltCurve_Q12846_STX4.pdf", "Melting_Curves/meltCurve_Q12846_STX4.pdf")</f>
        <v>Melting_Curves/meltCurve_Q12846_STX4.pdf</v>
      </c>
    </row>
    <row r="2848" spans="1:28" x14ac:dyDescent="0.25">
      <c r="A2848" t="s">
        <v>2852</v>
      </c>
      <c r="B2848">
        <v>0.99987803227770999</v>
      </c>
      <c r="C2848">
        <v>1.01285671592574</v>
      </c>
      <c r="D2848">
        <v>1.0114430809191399</v>
      </c>
      <c r="E2848">
        <v>0.800549758587211</v>
      </c>
      <c r="F2848">
        <v>0.50478638923349495</v>
      </c>
      <c r="G2848">
        <v>0.302088224925185</v>
      </c>
      <c r="H2848">
        <v>0.22813901690920199</v>
      </c>
      <c r="I2848">
        <v>0.19610132907241001</v>
      </c>
      <c r="J2848">
        <v>0.184128998589146</v>
      </c>
      <c r="K2848">
        <v>0.141572330949292</v>
      </c>
      <c r="L2848">
        <v>1264.2507594849999</v>
      </c>
      <c r="M2848">
        <v>24.168216579990499</v>
      </c>
      <c r="N2848">
        <v>53.2925790979656</v>
      </c>
      <c r="O2848">
        <v>51.956277392135398</v>
      </c>
      <c r="P2848">
        <v>-9.5393680110571394E-2</v>
      </c>
      <c r="Q2848">
        <v>0.17971203818978099</v>
      </c>
      <c r="R2848">
        <v>0.99604192251907497</v>
      </c>
      <c r="S2848" t="s">
        <v>9159</v>
      </c>
      <c r="T2848" t="s">
        <v>12620</v>
      </c>
      <c r="U2848" t="s">
        <v>12620</v>
      </c>
      <c r="V2848" t="s">
        <v>12620</v>
      </c>
      <c r="W2848" t="s">
        <v>15423</v>
      </c>
      <c r="X2848">
        <v>6</v>
      </c>
      <c r="Y2848" t="s">
        <v>21592</v>
      </c>
      <c r="Z2848" t="s">
        <v>27795</v>
      </c>
      <c r="AA2848">
        <v>0.52432608133697134</v>
      </c>
      <c r="AB2848" t="str">
        <f>HYPERLINK("Melting_Curves/meltCurve_Q12849_5_GRSF1.pdf", "Melting_Curves/meltCurve_Q12849_5_GRSF1.pdf")</f>
        <v>Melting_Curves/meltCurve_Q12849_5_GRSF1.pdf</v>
      </c>
    </row>
    <row r="2849" spans="1:28" x14ac:dyDescent="0.25">
      <c r="A2849" t="s">
        <v>2853</v>
      </c>
      <c r="B2849">
        <v>0.99987803227770999</v>
      </c>
      <c r="C2849">
        <v>0.98782698466285501</v>
      </c>
      <c r="D2849">
        <v>1.07005149315839</v>
      </c>
      <c r="E2849">
        <v>0.98872729006490401</v>
      </c>
      <c r="F2849">
        <v>0.91216840576452596</v>
      </c>
      <c r="G2849">
        <v>0.53957412406194305</v>
      </c>
      <c r="H2849">
        <v>0.33955690400616401</v>
      </c>
      <c r="I2849">
        <v>0.291025556474238</v>
      </c>
      <c r="J2849">
        <v>0.251329632194143</v>
      </c>
      <c r="K2849">
        <v>0.173437490082398</v>
      </c>
      <c r="L2849">
        <v>1543.34043437582</v>
      </c>
      <c r="M2849">
        <v>27.318011220128401</v>
      </c>
      <c r="N2849">
        <v>57.767865112853897</v>
      </c>
      <c r="O2849">
        <v>56.195192154470497</v>
      </c>
      <c r="P2849">
        <v>-9.4056941380843001E-2</v>
      </c>
      <c r="Q2849">
        <v>0.22607844303316799</v>
      </c>
      <c r="R2849">
        <v>0.99039782913927299</v>
      </c>
      <c r="S2849" t="s">
        <v>9160</v>
      </c>
      <c r="T2849" t="s">
        <v>12620</v>
      </c>
      <c r="U2849" t="s">
        <v>12620</v>
      </c>
      <c r="V2849" t="s">
        <v>12620</v>
      </c>
      <c r="W2849" t="s">
        <v>15424</v>
      </c>
      <c r="X2849">
        <v>8</v>
      </c>
      <c r="Y2849" t="s">
        <v>21593</v>
      </c>
      <c r="Z2849" t="s">
        <v>27796</v>
      </c>
      <c r="AA2849">
        <v>0.65770012859372429</v>
      </c>
      <c r="AB2849" t="str">
        <f>HYPERLINK("Melting_Curves/meltCurve_Q12860_2_CNTN1.pdf", "Melting_Curves/meltCurve_Q12860_2_CNTN1.pdf")</f>
        <v>Melting_Curves/meltCurve_Q12860_2_CNTN1.pdf</v>
      </c>
    </row>
    <row r="2850" spans="1:28" x14ac:dyDescent="0.25">
      <c r="A2850" t="s">
        <v>2854</v>
      </c>
      <c r="B2850">
        <v>0.99987803227770999</v>
      </c>
      <c r="C2850">
        <v>0.98317186951027102</v>
      </c>
      <c r="D2850">
        <v>1.0091438024806401</v>
      </c>
      <c r="E2850">
        <v>1.00811152303991</v>
      </c>
      <c r="F2850">
        <v>1.0020985209769599</v>
      </c>
      <c r="G2850">
        <v>0.75910424611243799</v>
      </c>
      <c r="H2850">
        <v>0.54402192478994205</v>
      </c>
      <c r="I2850">
        <v>0.42003129354712698</v>
      </c>
      <c r="J2850">
        <v>0.39319384950512698</v>
      </c>
      <c r="K2850">
        <v>0.29922071627729502</v>
      </c>
      <c r="L2850">
        <v>1352.1139069386099</v>
      </c>
      <c r="M2850">
        <v>22.909032924282801</v>
      </c>
      <c r="N2850">
        <v>61.729143507829797</v>
      </c>
      <c r="O2850">
        <v>58.576790660940297</v>
      </c>
      <c r="P2850">
        <v>-6.6781898243631302E-2</v>
      </c>
      <c r="Q2850">
        <v>0.31698645435150202</v>
      </c>
      <c r="R2850">
        <v>0.99162024033198704</v>
      </c>
      <c r="S2850" t="s">
        <v>9161</v>
      </c>
      <c r="T2850" t="s">
        <v>12620</v>
      </c>
      <c r="U2850" t="s">
        <v>12620</v>
      </c>
      <c r="V2850" t="s">
        <v>12620</v>
      </c>
      <c r="W2850" t="s">
        <v>15425</v>
      </c>
      <c r="X2850">
        <v>7</v>
      </c>
      <c r="Y2850" t="s">
        <v>21594</v>
      </c>
      <c r="Z2850" t="s">
        <v>27797</v>
      </c>
      <c r="AA2850">
        <v>0.75618049589038239</v>
      </c>
      <c r="AB2850" t="str">
        <f>HYPERLINK("Melting_Curves/meltCurve_Q12872_SFSWAP.pdf", "Melting_Curves/meltCurve_Q12872_SFSWAP.pdf")</f>
        <v>Melting_Curves/meltCurve_Q12872_SFSWAP.pdf</v>
      </c>
    </row>
    <row r="2851" spans="1:28" x14ac:dyDescent="0.25">
      <c r="A2851" t="s">
        <v>2855</v>
      </c>
      <c r="B2851">
        <v>0.99987803227770999</v>
      </c>
      <c r="C2851">
        <v>1.1855587443103599</v>
      </c>
      <c r="D2851">
        <v>1.1588221538207</v>
      </c>
      <c r="E2851">
        <v>0.96970872794544305</v>
      </c>
      <c r="F2851">
        <v>0.41699284437386003</v>
      </c>
      <c r="G2851">
        <v>0.260745313630247</v>
      </c>
      <c r="H2851">
        <v>0.210385139242275</v>
      </c>
      <c r="I2851">
        <v>0.20924309523668499</v>
      </c>
      <c r="J2851">
        <v>0.18264983360276099</v>
      </c>
      <c r="K2851">
        <v>0.143909174596939</v>
      </c>
      <c r="L2851">
        <v>3598.25539822873</v>
      </c>
      <c r="M2851">
        <v>68.870649061915302</v>
      </c>
      <c r="N2851">
        <v>52.6385184930094</v>
      </c>
      <c r="O2851">
        <v>52.202564065372002</v>
      </c>
      <c r="P2851">
        <v>-0.26366341515261899</v>
      </c>
      <c r="Q2851">
        <v>0.200593810263828</v>
      </c>
      <c r="R2851">
        <v>0.96251797195919198</v>
      </c>
      <c r="S2851" t="s">
        <v>9162</v>
      </c>
      <c r="T2851" t="s">
        <v>12620</v>
      </c>
      <c r="U2851" t="s">
        <v>12620</v>
      </c>
      <c r="V2851" t="s">
        <v>12620</v>
      </c>
      <c r="W2851" t="s">
        <v>15426</v>
      </c>
      <c r="X2851">
        <v>8</v>
      </c>
      <c r="Y2851" t="s">
        <v>19555</v>
      </c>
      <c r="Z2851" t="s">
        <v>27798</v>
      </c>
      <c r="AA2851">
        <v>0.52789515576280421</v>
      </c>
      <c r="AB2851" t="str">
        <f>HYPERLINK("Melting_Curves/meltCurve_Q12873_CHD3.pdf", "Melting_Curves/meltCurve_Q12873_CHD3.pdf")</f>
        <v>Melting_Curves/meltCurve_Q12873_CHD3.pdf</v>
      </c>
    </row>
    <row r="2852" spans="1:28" x14ac:dyDescent="0.25">
      <c r="A2852" t="s">
        <v>2856</v>
      </c>
      <c r="B2852">
        <v>0.99987803227770999</v>
      </c>
      <c r="C2852">
        <v>0.96449123162526096</v>
      </c>
      <c r="D2852">
        <v>0.60447569744691898</v>
      </c>
      <c r="E2852">
        <v>0.62874474221997501</v>
      </c>
      <c r="F2852">
        <v>0.30474136874767099</v>
      </c>
      <c r="G2852">
        <v>0.164279652614847</v>
      </c>
      <c r="H2852">
        <v>0.107683240907901</v>
      </c>
      <c r="I2852">
        <v>0.100688242970565</v>
      </c>
      <c r="J2852">
        <v>8.1721550240285198E-2</v>
      </c>
      <c r="K2852">
        <v>6.0565397548210602E-2</v>
      </c>
      <c r="L2852">
        <v>639.60232231328905</v>
      </c>
      <c r="M2852">
        <v>12.844313558373001</v>
      </c>
      <c r="N2852">
        <v>50.086046940041101</v>
      </c>
      <c r="O2852">
        <v>48.635806812170301</v>
      </c>
      <c r="P2852">
        <v>-6.36726044857161E-2</v>
      </c>
      <c r="Q2852">
        <v>3.5777257348853203E-2</v>
      </c>
      <c r="R2852">
        <v>0.96220966683535003</v>
      </c>
      <c r="S2852" t="s">
        <v>9163</v>
      </c>
      <c r="T2852" t="s">
        <v>12620</v>
      </c>
      <c r="U2852" t="s">
        <v>12620</v>
      </c>
      <c r="V2852" t="s">
        <v>12620</v>
      </c>
      <c r="W2852" t="s">
        <v>15427</v>
      </c>
      <c r="X2852">
        <v>12</v>
      </c>
      <c r="Y2852" t="s">
        <v>21595</v>
      </c>
      <c r="Z2852" t="s">
        <v>27799</v>
      </c>
      <c r="AA2852">
        <v>0.3809015877668136</v>
      </c>
      <c r="AB2852" t="str">
        <f>HYPERLINK("Melting_Curves/meltCurve_Q12874_SF3A3.pdf", "Melting_Curves/meltCurve_Q12874_SF3A3.pdf")</f>
        <v>Melting_Curves/meltCurve_Q12874_SF3A3.pdf</v>
      </c>
    </row>
    <row r="2853" spans="1:28" x14ac:dyDescent="0.25">
      <c r="A2853" t="s">
        <v>2857</v>
      </c>
      <c r="B2853">
        <v>0.99987803227770999</v>
      </c>
      <c r="C2853">
        <v>1.20223141979794</v>
      </c>
      <c r="D2853">
        <v>0.92948422943781805</v>
      </c>
      <c r="E2853">
        <v>1.1434783306705101</v>
      </c>
      <c r="F2853">
        <v>0.69076597588483801</v>
      </c>
      <c r="G2853">
        <v>0.30175981800734503</v>
      </c>
      <c r="H2853">
        <v>0.14348993929953399</v>
      </c>
      <c r="I2853">
        <v>0.160921255796769</v>
      </c>
      <c r="J2853">
        <v>8.8245713396965103E-2</v>
      </c>
      <c r="K2853">
        <v>6.8681204431129697E-2</v>
      </c>
      <c r="L2853">
        <v>1921.0447301127999</v>
      </c>
      <c r="M2853">
        <v>35.287906444178397</v>
      </c>
      <c r="N2853">
        <v>54.841357784089702</v>
      </c>
      <c r="O2853">
        <v>54.265250317211603</v>
      </c>
      <c r="P2853">
        <v>-0.14403762473887899</v>
      </c>
      <c r="Q2853">
        <v>0.11400699498557</v>
      </c>
      <c r="R2853">
        <v>0.95493176710002303</v>
      </c>
      <c r="S2853" t="s">
        <v>9164</v>
      </c>
      <c r="T2853" t="s">
        <v>12620</v>
      </c>
      <c r="U2853" t="s">
        <v>12620</v>
      </c>
      <c r="V2853" t="s">
        <v>12620</v>
      </c>
      <c r="W2853" t="s">
        <v>15428</v>
      </c>
      <c r="X2853">
        <v>7</v>
      </c>
      <c r="Y2853" t="s">
        <v>21596</v>
      </c>
      <c r="Z2853" t="s">
        <v>27800</v>
      </c>
      <c r="AA2853">
        <v>0.54470490771654978</v>
      </c>
      <c r="AB2853" t="str">
        <f>HYPERLINK("Melting_Curves/meltCurve_Q12882_DPYD.pdf", "Melting_Curves/meltCurve_Q12882_DPYD.pdf")</f>
        <v>Melting_Curves/meltCurve_Q12882_DPYD.pdf</v>
      </c>
    </row>
    <row r="2854" spans="1:28" x14ac:dyDescent="0.25">
      <c r="A2854" t="s">
        <v>2858</v>
      </c>
      <c r="B2854">
        <v>0.99987803227770999</v>
      </c>
      <c r="C2854">
        <v>1.16987027579933</v>
      </c>
      <c r="D2854">
        <v>0.96569460775897797</v>
      </c>
      <c r="E2854">
        <v>0.95872299135671102</v>
      </c>
      <c r="F2854">
        <v>0.63911639604345705</v>
      </c>
      <c r="G2854">
        <v>0.69909474721536602</v>
      </c>
      <c r="H2854">
        <v>0.68284071931461898</v>
      </c>
      <c r="I2854">
        <v>0.59587470732731296</v>
      </c>
      <c r="J2854">
        <v>0.580851767624879</v>
      </c>
      <c r="K2854">
        <v>0.40293612884643398</v>
      </c>
      <c r="L2854">
        <v>684.96960613918202</v>
      </c>
      <c r="M2854">
        <v>12.4582225420363</v>
      </c>
      <c r="O2854">
        <v>53.6223525012376</v>
      </c>
      <c r="P2854">
        <v>-3.0014004100602398E-2</v>
      </c>
      <c r="Q2854">
        <v>0.483365762756437</v>
      </c>
      <c r="R2854">
        <v>0.82699361130411997</v>
      </c>
      <c r="S2854" t="s">
        <v>9165</v>
      </c>
      <c r="T2854" t="s">
        <v>12620</v>
      </c>
      <c r="U2854" t="s">
        <v>12620</v>
      </c>
      <c r="V2854" t="s">
        <v>12620</v>
      </c>
      <c r="W2854" t="s">
        <v>15429</v>
      </c>
      <c r="X2854">
        <v>58</v>
      </c>
      <c r="Y2854" t="s">
        <v>21597</v>
      </c>
      <c r="Z2854" t="s">
        <v>27801</v>
      </c>
      <c r="AA2854">
        <v>0.75317858250503333</v>
      </c>
      <c r="AB2854" t="str">
        <f>HYPERLINK("Melting_Curves/meltCurve_Q12888_TP53BP1.pdf", "Melting_Curves/meltCurve_Q12888_TP53BP1.pdf")</f>
        <v>Melting_Curves/meltCurve_Q12888_TP53BP1.pdf</v>
      </c>
    </row>
    <row r="2855" spans="1:28" x14ac:dyDescent="0.25">
      <c r="A2855" t="s">
        <v>2859</v>
      </c>
      <c r="B2855">
        <v>0.99987803227770999</v>
      </c>
      <c r="C2855">
        <v>1.1113885179205401</v>
      </c>
      <c r="D2855">
        <v>0.59842690354245898</v>
      </c>
      <c r="E2855">
        <v>0.47210366379452401</v>
      </c>
      <c r="F2855">
        <v>0.243235694469839</v>
      </c>
      <c r="G2855">
        <v>0.177762010145708</v>
      </c>
      <c r="H2855">
        <v>0.14584026926997901</v>
      </c>
      <c r="I2855">
        <v>0.113275737575671</v>
      </c>
      <c r="J2855">
        <v>6.8645156450090297E-2</v>
      </c>
      <c r="K2855">
        <v>4.2322079199463403E-2</v>
      </c>
      <c r="L2855">
        <v>859.495330316283</v>
      </c>
      <c r="M2855">
        <v>17.740020245799101</v>
      </c>
      <c r="N2855">
        <v>48.987181667846201</v>
      </c>
      <c r="O2855">
        <v>47.846445063761799</v>
      </c>
      <c r="P2855">
        <v>-8.4497021481449497E-2</v>
      </c>
      <c r="Q2855">
        <v>8.8463082394936096E-2</v>
      </c>
      <c r="R2855">
        <v>0.95044485493363096</v>
      </c>
      <c r="S2855" t="s">
        <v>9166</v>
      </c>
      <c r="T2855" t="s">
        <v>12620</v>
      </c>
      <c r="U2855" t="s">
        <v>12620</v>
      </c>
      <c r="V2855" t="s">
        <v>12620</v>
      </c>
      <c r="W2855" t="s">
        <v>15430</v>
      </c>
      <c r="X2855">
        <v>1</v>
      </c>
      <c r="Y2855" t="s">
        <v>21598</v>
      </c>
      <c r="Z2855" t="s">
        <v>27802</v>
      </c>
      <c r="AA2855">
        <v>0.36165600150189181</v>
      </c>
      <c r="AB2855" t="str">
        <f>HYPERLINK("Melting_Curves/meltCurve_Q12894_IFRD2.pdf", "Melting_Curves/meltCurve_Q12894_IFRD2.pdf")</f>
        <v>Melting_Curves/meltCurve_Q12894_IFRD2.pdf</v>
      </c>
    </row>
    <row r="2856" spans="1:28" x14ac:dyDescent="0.25">
      <c r="A2856" t="s">
        <v>2860</v>
      </c>
      <c r="B2856">
        <v>0.99987803227770999</v>
      </c>
      <c r="C2856">
        <v>0.76944375058688796</v>
      </c>
      <c r="D2856">
        <v>0.71998230946275199</v>
      </c>
      <c r="E2856">
        <v>0.57024253422962001</v>
      </c>
      <c r="F2856">
        <v>0.34446790098329499</v>
      </c>
      <c r="G2856">
        <v>0.17964293550766999</v>
      </c>
      <c r="H2856">
        <v>0.13622515363516399</v>
      </c>
      <c r="I2856">
        <v>0.139235720850514</v>
      </c>
      <c r="J2856">
        <v>0.118332897668219</v>
      </c>
      <c r="K2856">
        <v>8.9883234768543305E-2</v>
      </c>
      <c r="L2856">
        <v>554.26777238676902</v>
      </c>
      <c r="M2856">
        <v>11.189327499225</v>
      </c>
      <c r="N2856">
        <v>50.016630745385399</v>
      </c>
      <c r="O2856">
        <v>48.032227827969997</v>
      </c>
      <c r="P2856">
        <v>-5.5284032538667399E-2</v>
      </c>
      <c r="Q2856">
        <v>5.1032668365341198E-2</v>
      </c>
      <c r="R2856">
        <v>0.97985829021307902</v>
      </c>
      <c r="S2856" t="s">
        <v>9167</v>
      </c>
      <c r="T2856" t="s">
        <v>12620</v>
      </c>
      <c r="U2856" t="s">
        <v>12620</v>
      </c>
      <c r="V2856" t="s">
        <v>12620</v>
      </c>
      <c r="W2856" t="s">
        <v>15431</v>
      </c>
      <c r="X2856">
        <v>8</v>
      </c>
      <c r="Y2856" t="s">
        <v>21599</v>
      </c>
      <c r="Z2856" t="s">
        <v>27803</v>
      </c>
      <c r="AA2856">
        <v>0.3903638932831236</v>
      </c>
      <c r="AB2856" t="str">
        <f>HYPERLINK("Melting_Curves/meltCurve_Q12904_AIMP1.pdf", "Melting_Curves/meltCurve_Q12904_AIMP1.pdf")</f>
        <v>Melting_Curves/meltCurve_Q12904_AIMP1.pdf</v>
      </c>
    </row>
    <row r="2857" spans="1:28" x14ac:dyDescent="0.25">
      <c r="A2857" t="s">
        <v>2861</v>
      </c>
      <c r="B2857">
        <v>0.99987803227770999</v>
      </c>
      <c r="C2857">
        <v>1.13643729278743</v>
      </c>
      <c r="D2857">
        <v>0.98997351301860104</v>
      </c>
      <c r="E2857">
        <v>1.4473479289376801</v>
      </c>
      <c r="F2857">
        <v>1.15293903749688</v>
      </c>
      <c r="G2857">
        <v>1.2189499927854099</v>
      </c>
      <c r="H2857">
        <v>0.54564309661573096</v>
      </c>
      <c r="I2857">
        <v>0.15310257511911299</v>
      </c>
      <c r="J2857">
        <v>8.6855961938275397E-2</v>
      </c>
      <c r="K2857">
        <v>6.0569278845040701E-2</v>
      </c>
      <c r="L2857">
        <v>5320.3844519512204</v>
      </c>
      <c r="M2857">
        <v>87.204588781668093</v>
      </c>
      <c r="N2857">
        <v>61.156636037383201</v>
      </c>
      <c r="O2857">
        <v>60.978307359339098</v>
      </c>
      <c r="P2857">
        <v>-0.323872506612842</v>
      </c>
      <c r="Q2857">
        <v>9.4121241981471301E-2</v>
      </c>
      <c r="R2857">
        <v>0.87957024947531304</v>
      </c>
      <c r="S2857" t="s">
        <v>9168</v>
      </c>
      <c r="T2857" t="s">
        <v>12620</v>
      </c>
      <c r="U2857" t="s">
        <v>12620</v>
      </c>
      <c r="V2857" t="s">
        <v>12620</v>
      </c>
      <c r="W2857" t="s">
        <v>15432</v>
      </c>
      <c r="X2857">
        <v>10</v>
      </c>
      <c r="Y2857" t="s">
        <v>21600</v>
      </c>
      <c r="Z2857" t="s">
        <v>27804</v>
      </c>
      <c r="AA2857">
        <v>0.72934763450235052</v>
      </c>
      <c r="AB2857" t="str">
        <f>HYPERLINK("Melting_Curves/meltCurve_Q12905_ILF2.pdf", "Melting_Curves/meltCurve_Q12905_ILF2.pdf")</f>
        <v>Melting_Curves/meltCurve_Q12905_ILF2.pdf</v>
      </c>
    </row>
    <row r="2858" spans="1:28" x14ac:dyDescent="0.25">
      <c r="A2858" t="s">
        <v>2862</v>
      </c>
      <c r="B2858">
        <v>0.99987803227770999</v>
      </c>
      <c r="C2858">
        <v>1.17189832260656</v>
      </c>
      <c r="D2858">
        <v>1.0628089146314801</v>
      </c>
      <c r="E2858">
        <v>1.43135223957258</v>
      </c>
      <c r="F2858">
        <v>1.16554784221457</v>
      </c>
      <c r="G2858">
        <v>1.16277900302035</v>
      </c>
      <c r="H2858">
        <v>0.652932086089829</v>
      </c>
      <c r="I2858">
        <v>0.26499036166555801</v>
      </c>
      <c r="J2858">
        <v>0.15659226384696001</v>
      </c>
      <c r="K2858">
        <v>0.113403035993919</v>
      </c>
      <c r="L2858">
        <v>3413.5511714527302</v>
      </c>
      <c r="M2858">
        <v>55.464223038185999</v>
      </c>
      <c r="N2858">
        <v>61.915438578992301</v>
      </c>
      <c r="O2858">
        <v>61.465235187723103</v>
      </c>
      <c r="P2858">
        <v>-0.19374583095464801</v>
      </c>
      <c r="Q2858">
        <v>0.14116681352732999</v>
      </c>
      <c r="R2858">
        <v>0.867060129460277</v>
      </c>
      <c r="S2858" t="s">
        <v>9169</v>
      </c>
      <c r="T2858" t="s">
        <v>12620</v>
      </c>
      <c r="U2858" t="s">
        <v>12620</v>
      </c>
      <c r="V2858" t="s">
        <v>12620</v>
      </c>
      <c r="W2858" t="s">
        <v>15433</v>
      </c>
      <c r="X2858">
        <v>28</v>
      </c>
      <c r="Y2858" t="s">
        <v>21601</v>
      </c>
      <c r="Z2858" t="s">
        <v>27805</v>
      </c>
      <c r="AA2858">
        <v>0.75979502516022679</v>
      </c>
      <c r="AB2858" t="str">
        <f>HYPERLINK("Melting_Curves/meltCurve_Q12906_7_ILF3.pdf", "Melting_Curves/meltCurve_Q12906_7_ILF3.pdf")</f>
        <v>Melting_Curves/meltCurve_Q12906_7_ILF3.pdf</v>
      </c>
    </row>
    <row r="2859" spans="1:28" x14ac:dyDescent="0.25">
      <c r="A2859" t="s">
        <v>2863</v>
      </c>
      <c r="B2859">
        <v>0.99987803227770999</v>
      </c>
      <c r="C2859">
        <v>1.09810395039123</v>
      </c>
      <c r="D2859">
        <v>0.98936130641590303</v>
      </c>
      <c r="E2859">
        <v>1.03133905491597</v>
      </c>
      <c r="F2859">
        <v>0.89752733424102504</v>
      </c>
      <c r="G2859">
        <v>1.2405182300408599</v>
      </c>
      <c r="H2859">
        <v>1.2655404722364301</v>
      </c>
      <c r="I2859">
        <v>1.3481139085723901</v>
      </c>
      <c r="J2859">
        <v>1.17565360949486</v>
      </c>
      <c r="K2859">
        <v>0.90487466538640404</v>
      </c>
      <c r="L2859">
        <v>4314.8052456294099</v>
      </c>
      <c r="M2859">
        <v>78.323480770545103</v>
      </c>
      <c r="O2859">
        <v>55.053667567470796</v>
      </c>
      <c r="P2859">
        <v>6.6693172911828802E-2</v>
      </c>
      <c r="Q2859">
        <v>1.1875148144826899</v>
      </c>
      <c r="R2859">
        <v>0.36800465999138798</v>
      </c>
      <c r="S2859" t="s">
        <v>9170</v>
      </c>
      <c r="T2859" t="s">
        <v>12620</v>
      </c>
      <c r="U2859" t="s">
        <v>12620</v>
      </c>
      <c r="V2859" t="s">
        <v>12620</v>
      </c>
      <c r="W2859" t="s">
        <v>15434</v>
      </c>
      <c r="X2859">
        <v>6</v>
      </c>
      <c r="Y2859" t="s">
        <v>21602</v>
      </c>
      <c r="Z2859" t="s">
        <v>27806</v>
      </c>
      <c r="AA2859">
        <v>1.093012600776011</v>
      </c>
      <c r="AB2859" t="str">
        <f>HYPERLINK("Melting_Curves/meltCurve_Q12913_PTPRJ.pdf", "Melting_Curves/meltCurve_Q12913_PTPRJ.pdf")</f>
        <v>Melting_Curves/meltCurve_Q12913_PTPRJ.pdf</v>
      </c>
    </row>
    <row r="2860" spans="1:28" x14ac:dyDescent="0.25">
      <c r="A2860" t="s">
        <v>2864</v>
      </c>
      <c r="B2860">
        <v>0.99987803227770999</v>
      </c>
      <c r="C2860">
        <v>0.92394335706893604</v>
      </c>
      <c r="D2860">
        <v>0.89888993938270201</v>
      </c>
      <c r="E2860">
        <v>0.71771807110577202</v>
      </c>
      <c r="F2860">
        <v>0.580039570214546</v>
      </c>
      <c r="G2860">
        <v>0.44131023569852301</v>
      </c>
      <c r="H2860">
        <v>0.36693315184089398</v>
      </c>
      <c r="I2860">
        <v>0.289532625263212</v>
      </c>
      <c r="J2860">
        <v>0.28118744577823701</v>
      </c>
      <c r="K2860">
        <v>0.21236636927930699</v>
      </c>
      <c r="L2860">
        <v>584.869300479353</v>
      </c>
      <c r="M2860">
        <v>11.0283912439904</v>
      </c>
      <c r="N2860">
        <v>55.385300713108002</v>
      </c>
      <c r="O2860">
        <v>51.378847310647998</v>
      </c>
      <c r="P2860">
        <v>-4.3642274384859202E-2</v>
      </c>
      <c r="Q2860">
        <v>0.18699239999294801</v>
      </c>
      <c r="R2860">
        <v>0.99546970788607403</v>
      </c>
      <c r="S2860" t="s">
        <v>9171</v>
      </c>
      <c r="T2860" t="s">
        <v>12620</v>
      </c>
      <c r="U2860" t="s">
        <v>12620</v>
      </c>
      <c r="V2860" t="s">
        <v>12620</v>
      </c>
      <c r="W2860" t="s">
        <v>15435</v>
      </c>
      <c r="X2860">
        <v>8</v>
      </c>
      <c r="Y2860" t="s">
        <v>21603</v>
      </c>
      <c r="Z2860" t="s">
        <v>27807</v>
      </c>
      <c r="AA2860">
        <v>0.56543863620220525</v>
      </c>
      <c r="AB2860" t="str">
        <f>HYPERLINK("Melting_Curves/meltCurve_Q12923_2_PTPN13.pdf", "Melting_Curves/meltCurve_Q12923_2_PTPN13.pdf")</f>
        <v>Melting_Curves/meltCurve_Q12923_2_PTPN13.pdf</v>
      </c>
    </row>
    <row r="2861" spans="1:28" x14ac:dyDescent="0.25">
      <c r="A2861" t="s">
        <v>2865</v>
      </c>
      <c r="B2861">
        <v>0.99987803227770999</v>
      </c>
      <c r="C2861">
        <v>0.90777371139075802</v>
      </c>
      <c r="D2861">
        <v>0.98016700900805298</v>
      </c>
      <c r="E2861">
        <v>0.73826575631410896</v>
      </c>
      <c r="F2861">
        <v>0.44727446698518603</v>
      </c>
      <c r="G2861">
        <v>0.29623793984762198</v>
      </c>
      <c r="H2861">
        <v>0.27041067543084302</v>
      </c>
      <c r="I2861">
        <v>0.21265294464624801</v>
      </c>
      <c r="J2861">
        <v>0.23603496826338</v>
      </c>
      <c r="K2861">
        <v>0.19074893191984299</v>
      </c>
      <c r="L2861">
        <v>1262.3965680511801</v>
      </c>
      <c r="M2861">
        <v>24.6113325435958</v>
      </c>
      <c r="N2861">
        <v>52.547086496274197</v>
      </c>
      <c r="O2861">
        <v>50.9582583244026</v>
      </c>
      <c r="P2861">
        <v>-9.3930872121442105E-2</v>
      </c>
      <c r="Q2861">
        <v>0.222068103904384</v>
      </c>
      <c r="R2861">
        <v>0.98944788788314697</v>
      </c>
      <c r="S2861" t="s">
        <v>9172</v>
      </c>
      <c r="T2861" t="s">
        <v>12620</v>
      </c>
      <c r="U2861" t="s">
        <v>12620</v>
      </c>
      <c r="V2861" t="s">
        <v>12620</v>
      </c>
      <c r="W2861" t="s">
        <v>15436</v>
      </c>
      <c r="X2861">
        <v>17</v>
      </c>
      <c r="Y2861" t="s">
        <v>21604</v>
      </c>
      <c r="Z2861" t="s">
        <v>27808</v>
      </c>
      <c r="AA2861">
        <v>0.52218468958734776</v>
      </c>
      <c r="AB2861" t="str">
        <f>HYPERLINK("Melting_Curves/meltCurve_Q12929_EPS8.pdf", "Melting_Curves/meltCurve_Q12929_EPS8.pdf")</f>
        <v>Melting_Curves/meltCurve_Q12929_EPS8.pdf</v>
      </c>
    </row>
    <row r="2862" spans="1:28" x14ac:dyDescent="0.25">
      <c r="A2862" t="s">
        <v>2866</v>
      </c>
      <c r="B2862">
        <v>0.99987803227770999</v>
      </c>
      <c r="C2862">
        <v>1.11848428238874</v>
      </c>
      <c r="D2862">
        <v>0.98948019465713299</v>
      </c>
      <c r="E2862">
        <v>1.2069302808028799</v>
      </c>
      <c r="F2862">
        <v>0.91091144117160305</v>
      </c>
      <c r="G2862">
        <v>0.432118222709649</v>
      </c>
      <c r="H2862">
        <v>0.138590275989217</v>
      </c>
      <c r="I2862">
        <v>0.12766108918647201</v>
      </c>
      <c r="J2862">
        <v>8.4286874373259699E-2</v>
      </c>
      <c r="K2862">
        <v>5.8855997442537701E-2</v>
      </c>
      <c r="L2862">
        <v>2309.7321483802398</v>
      </c>
      <c r="M2862">
        <v>41.0254020078156</v>
      </c>
      <c r="N2862">
        <v>56.575878505018501</v>
      </c>
      <c r="O2862">
        <v>56.166780437752799</v>
      </c>
      <c r="P2862">
        <v>-0.166054456194279</v>
      </c>
      <c r="Q2862">
        <v>9.0638941781257407E-2</v>
      </c>
      <c r="R2862">
        <v>0.97010763837413305</v>
      </c>
      <c r="S2862" t="s">
        <v>9173</v>
      </c>
      <c r="T2862" t="s">
        <v>12620</v>
      </c>
      <c r="U2862" t="s">
        <v>12620</v>
      </c>
      <c r="V2862" t="s">
        <v>12620</v>
      </c>
      <c r="W2862" t="s">
        <v>15437</v>
      </c>
      <c r="X2862">
        <v>22</v>
      </c>
      <c r="Y2862" t="s">
        <v>21605</v>
      </c>
      <c r="Z2862" t="s">
        <v>27809</v>
      </c>
      <c r="AA2862">
        <v>0.58806794355023084</v>
      </c>
      <c r="AB2862" t="str">
        <f>HYPERLINK("Melting_Curves/meltCurve_Q12933_3_TRAF2.pdf", "Melting_Curves/meltCurve_Q12933_3_TRAF2.pdf")</f>
        <v>Melting_Curves/meltCurve_Q12933_3_TRAF2.pdf</v>
      </c>
    </row>
    <row r="2863" spans="1:28" x14ac:dyDescent="0.25">
      <c r="A2863" t="s">
        <v>2867</v>
      </c>
      <c r="B2863">
        <v>0.99987803227770999</v>
      </c>
      <c r="C2863">
        <v>0.92590787821764797</v>
      </c>
      <c r="D2863">
        <v>0.97458718732301697</v>
      </c>
      <c r="E2863">
        <v>1.1513329341676199</v>
      </c>
      <c r="F2863">
        <v>1.0156376400523399</v>
      </c>
      <c r="G2863">
        <v>0.88657834058447005</v>
      </c>
      <c r="H2863">
        <v>0.76124211079284798</v>
      </c>
      <c r="I2863">
        <v>0.966771893457673</v>
      </c>
      <c r="J2863">
        <v>0.98453366463758396</v>
      </c>
      <c r="K2863">
        <v>0.73595977359092901</v>
      </c>
      <c r="L2863">
        <v>14162.537941157399</v>
      </c>
      <c r="M2863">
        <v>250</v>
      </c>
      <c r="O2863">
        <v>56.646526559657097</v>
      </c>
      <c r="P2863">
        <v>-0.15212002661208199</v>
      </c>
      <c r="Q2863">
        <v>0.86212686218836798</v>
      </c>
      <c r="R2863">
        <v>0.39546657789212297</v>
      </c>
      <c r="S2863" t="s">
        <v>9174</v>
      </c>
      <c r="T2863" t="s">
        <v>12620</v>
      </c>
      <c r="U2863" t="s">
        <v>12620</v>
      </c>
      <c r="V2863" t="s">
        <v>12620</v>
      </c>
      <c r="W2863" t="s">
        <v>15438</v>
      </c>
      <c r="X2863">
        <v>2</v>
      </c>
      <c r="Y2863" t="s">
        <v>21606</v>
      </c>
      <c r="Z2863" t="s">
        <v>27810</v>
      </c>
      <c r="AA2863">
        <v>0.93866085851527614</v>
      </c>
      <c r="AB2863" t="str">
        <f>HYPERLINK("Melting_Curves/meltCurve_Q12955_ANK3.pdf", "Melting_Curves/meltCurve_Q12955_ANK3.pdf")</f>
        <v>Melting_Curves/meltCurve_Q12955_ANK3.pdf</v>
      </c>
    </row>
    <row r="2864" spans="1:28" x14ac:dyDescent="0.25">
      <c r="A2864" t="s">
        <v>2868</v>
      </c>
      <c r="B2864">
        <v>0.99987803227770999</v>
      </c>
      <c r="C2864">
        <v>1.0699351804608801</v>
      </c>
      <c r="D2864">
        <v>0.97401464463610499</v>
      </c>
      <c r="E2864">
        <v>1.0687620598757499</v>
      </c>
      <c r="F2864">
        <v>0.85618286481814199</v>
      </c>
      <c r="G2864">
        <v>0.37975293470902</v>
      </c>
      <c r="H2864">
        <v>0.22094743806790701</v>
      </c>
      <c r="I2864">
        <v>0.178485619408145</v>
      </c>
      <c r="J2864">
        <v>0.137563675797296</v>
      </c>
      <c r="K2864">
        <v>0.106954509783417</v>
      </c>
      <c r="L2864">
        <v>1983.9790049795899</v>
      </c>
      <c r="M2864">
        <v>35.742879509396097</v>
      </c>
      <c r="N2864">
        <v>56.059162963614597</v>
      </c>
      <c r="O2864">
        <v>55.334089786351797</v>
      </c>
      <c r="P2864">
        <v>-0.13752450262848001</v>
      </c>
      <c r="Q2864">
        <v>0.14838787435996301</v>
      </c>
      <c r="R2864">
        <v>0.98958964013616602</v>
      </c>
      <c r="S2864" t="s">
        <v>9175</v>
      </c>
      <c r="T2864" t="s">
        <v>12620</v>
      </c>
      <c r="U2864" t="s">
        <v>12620</v>
      </c>
      <c r="V2864" t="s">
        <v>12620</v>
      </c>
      <c r="W2864" t="s">
        <v>15439</v>
      </c>
      <c r="X2864">
        <v>13</v>
      </c>
      <c r="Y2864" t="s">
        <v>21607</v>
      </c>
      <c r="Z2864" t="s">
        <v>27811</v>
      </c>
      <c r="AA2864">
        <v>0.59264176958985171</v>
      </c>
      <c r="AB2864" t="str">
        <f>HYPERLINK("Melting_Curves/meltCurve_Q12959_5_DLG1.pdf", "Melting_Curves/meltCurve_Q12959_5_DLG1.pdf")</f>
        <v>Melting_Curves/meltCurve_Q12959_5_DLG1.pdf</v>
      </c>
    </row>
    <row r="2865" spans="1:28" x14ac:dyDescent="0.25">
      <c r="A2865" t="s">
        <v>2869</v>
      </c>
      <c r="B2865">
        <v>0.99987803227770999</v>
      </c>
      <c r="C2865">
        <v>0.83055338129051304</v>
      </c>
      <c r="D2865">
        <v>1.0097765753521799</v>
      </c>
      <c r="E2865">
        <v>0.80785609460762897</v>
      </c>
      <c r="F2865">
        <v>0.95553534893852299</v>
      </c>
      <c r="G2865">
        <v>0.66693886425658999</v>
      </c>
      <c r="H2865">
        <v>0.62523721973188895</v>
      </c>
      <c r="I2865">
        <v>0.57203863195971805</v>
      </c>
      <c r="J2865">
        <v>0.60471608519845499</v>
      </c>
      <c r="K2865">
        <v>0.50630495295573696</v>
      </c>
      <c r="L2865">
        <v>449.88851480420698</v>
      </c>
      <c r="M2865">
        <v>7.5965128810160403</v>
      </c>
      <c r="O2865">
        <v>55.536902362070599</v>
      </c>
      <c r="P2865">
        <v>-2.16486105500532E-2</v>
      </c>
      <c r="Q2865">
        <v>0.36778867268245602</v>
      </c>
      <c r="R2865">
        <v>0.82224378862465397</v>
      </c>
      <c r="S2865" t="s">
        <v>9176</v>
      </c>
      <c r="T2865" t="s">
        <v>12620</v>
      </c>
      <c r="U2865" t="s">
        <v>12620</v>
      </c>
      <c r="V2865" t="s">
        <v>12620</v>
      </c>
      <c r="W2865" t="s">
        <v>15440</v>
      </c>
      <c r="X2865">
        <v>4</v>
      </c>
      <c r="Y2865" t="s">
        <v>21608</v>
      </c>
      <c r="Z2865" t="s">
        <v>27812</v>
      </c>
      <c r="AA2865">
        <v>0.76647618187837296</v>
      </c>
      <c r="AB2865" t="str">
        <f>HYPERLINK("Melting_Curves/meltCurve_Q12962_TAF10.pdf", "Melting_Curves/meltCurve_Q12962_TAF10.pdf")</f>
        <v>Melting_Curves/meltCurve_Q12962_TAF10.pdf</v>
      </c>
    </row>
    <row r="2866" spans="1:28" x14ac:dyDescent="0.25">
      <c r="A2866" t="s">
        <v>2870</v>
      </c>
      <c r="B2866">
        <v>0.99987803227770999</v>
      </c>
      <c r="C2866">
        <v>1.00615109823497</v>
      </c>
      <c r="D2866">
        <v>0.80739779658812405</v>
      </c>
      <c r="E2866">
        <v>0.67797193347742402</v>
      </c>
      <c r="F2866">
        <v>0.28732074826029003</v>
      </c>
      <c r="G2866">
        <v>0.18629624466517899</v>
      </c>
      <c r="H2866">
        <v>0.147924273566064</v>
      </c>
      <c r="I2866">
        <v>0.13049127565506</v>
      </c>
      <c r="J2866">
        <v>0.119909171473552</v>
      </c>
      <c r="K2866">
        <v>9.5484063244313203E-2</v>
      </c>
      <c r="L2866">
        <v>1019.3274938211</v>
      </c>
      <c r="M2866">
        <v>20.1988677578634</v>
      </c>
      <c r="N2866">
        <v>51.069793516719599</v>
      </c>
      <c r="O2866">
        <v>49.9777864376018</v>
      </c>
      <c r="P2866">
        <v>-9.0287768658638204E-2</v>
      </c>
      <c r="Q2866">
        <v>0.10643714728192701</v>
      </c>
      <c r="R2866">
        <v>0.98515696129693697</v>
      </c>
      <c r="S2866" t="s">
        <v>9177</v>
      </c>
      <c r="T2866" t="s">
        <v>12620</v>
      </c>
      <c r="U2866" t="s">
        <v>12620</v>
      </c>
      <c r="V2866" t="s">
        <v>12620</v>
      </c>
      <c r="W2866" t="s">
        <v>15441</v>
      </c>
      <c r="X2866">
        <v>34</v>
      </c>
      <c r="Y2866" t="s">
        <v>21609</v>
      </c>
      <c r="Z2866" t="s">
        <v>27813</v>
      </c>
      <c r="AA2866">
        <v>0.43031692282628969</v>
      </c>
      <c r="AB2866" t="str">
        <f>HYPERLINK("Melting_Curves/meltCurve_Q12965_MYO1E.pdf", "Melting_Curves/meltCurve_Q12965_MYO1E.pdf")</f>
        <v>Melting_Curves/meltCurve_Q12965_MYO1E.pdf</v>
      </c>
    </row>
    <row r="2867" spans="1:28" x14ac:dyDescent="0.25">
      <c r="A2867" t="s">
        <v>2871</v>
      </c>
      <c r="B2867">
        <v>0.99987803227770999</v>
      </c>
      <c r="C2867">
        <v>0.93841091838896196</v>
      </c>
      <c r="D2867">
        <v>1.05107752925841</v>
      </c>
      <c r="E2867">
        <v>0.85646630603212603</v>
      </c>
      <c r="F2867">
        <v>0.70766197844830003</v>
      </c>
      <c r="G2867">
        <v>0.37608008813709398</v>
      </c>
      <c r="H2867">
        <v>0.34108436824760902</v>
      </c>
      <c r="I2867">
        <v>0.28809189621688502</v>
      </c>
      <c r="J2867">
        <v>0.23860153233460399</v>
      </c>
      <c r="K2867">
        <v>0.19853745636810799</v>
      </c>
      <c r="L2867">
        <v>1164.0055446818301</v>
      </c>
      <c r="M2867">
        <v>21.595215741085301</v>
      </c>
      <c r="N2867">
        <v>55.533501217817602</v>
      </c>
      <c r="O2867">
        <v>53.445267311950502</v>
      </c>
      <c r="P2867">
        <v>-7.7280990308497194E-2</v>
      </c>
      <c r="Q2867">
        <v>0.23497797904503701</v>
      </c>
      <c r="R2867">
        <v>0.98511559465927001</v>
      </c>
      <c r="S2867" t="s">
        <v>9178</v>
      </c>
      <c r="T2867" t="s">
        <v>12620</v>
      </c>
      <c r="U2867" t="s">
        <v>12620</v>
      </c>
      <c r="V2867" t="s">
        <v>12620</v>
      </c>
      <c r="W2867" t="s">
        <v>15442</v>
      </c>
      <c r="X2867">
        <v>10</v>
      </c>
      <c r="Y2867" t="s">
        <v>21610</v>
      </c>
      <c r="Z2867" t="s">
        <v>27814</v>
      </c>
      <c r="AA2867">
        <v>0.59863271489857328</v>
      </c>
      <c r="AB2867" t="str">
        <f>HYPERLINK("Melting_Curves/meltCurve_Q12972_PPP1R8.pdf", "Melting_Curves/meltCurve_Q12972_PPP1R8.pdf")</f>
        <v>Melting_Curves/meltCurve_Q12972_PPP1R8.pdf</v>
      </c>
    </row>
    <row r="2868" spans="1:28" x14ac:dyDescent="0.25">
      <c r="A2868" t="s">
        <v>2872</v>
      </c>
      <c r="B2868">
        <v>0.99987803227770999</v>
      </c>
      <c r="C2868">
        <v>0.98089192832230898</v>
      </c>
      <c r="D2868">
        <v>1.0556256632948799</v>
      </c>
      <c r="E2868">
        <v>0.91204767031209399</v>
      </c>
      <c r="F2868">
        <v>0.97764506630803305</v>
      </c>
      <c r="G2868">
        <v>0.56331950358807503</v>
      </c>
      <c r="H2868">
        <v>0.36195276523305903</v>
      </c>
      <c r="I2868">
        <v>0.28499340778585103</v>
      </c>
      <c r="J2868">
        <v>0.17312800154623501</v>
      </c>
      <c r="K2868">
        <v>0.118115144646255</v>
      </c>
      <c r="L2868">
        <v>1218.0602735472301</v>
      </c>
      <c r="M2868">
        <v>21.089640866709399</v>
      </c>
      <c r="N2868">
        <v>58.622371111804902</v>
      </c>
      <c r="O2868">
        <v>57.244562076952299</v>
      </c>
      <c r="P2868">
        <v>-7.9777443272927004E-2</v>
      </c>
      <c r="Q2868">
        <v>0.133848839560434</v>
      </c>
      <c r="R2868">
        <v>0.98173450602719003</v>
      </c>
      <c r="S2868" t="s">
        <v>9179</v>
      </c>
      <c r="T2868" t="s">
        <v>12620</v>
      </c>
      <c r="U2868" t="s">
        <v>12620</v>
      </c>
      <c r="V2868" t="s">
        <v>12620</v>
      </c>
      <c r="W2868" t="s">
        <v>15443</v>
      </c>
      <c r="X2868">
        <v>6</v>
      </c>
      <c r="Y2868" t="s">
        <v>21611</v>
      </c>
      <c r="Z2868" t="s">
        <v>27815</v>
      </c>
      <c r="AA2868">
        <v>0.65597956295750115</v>
      </c>
      <c r="AB2868" t="str">
        <f>HYPERLINK("Melting_Curves/meltCurve_Q12974_PTP4A2.pdf", "Melting_Curves/meltCurve_Q12974_PTP4A2.pdf")</f>
        <v>Melting_Curves/meltCurve_Q12974_PTP4A2.pdf</v>
      </c>
    </row>
    <row r="2869" spans="1:28" x14ac:dyDescent="0.25">
      <c r="A2869" t="s">
        <v>2873</v>
      </c>
      <c r="B2869">
        <v>0.99987803227770999</v>
      </c>
      <c r="C2869">
        <v>1.11433041269164</v>
      </c>
      <c r="D2869">
        <v>0.74857330437290004</v>
      </c>
      <c r="E2869">
        <v>0.75199711852465201</v>
      </c>
      <c r="F2869">
        <v>0.23722269593423401</v>
      </c>
      <c r="G2869">
        <v>0.12958073701908901</v>
      </c>
      <c r="H2869">
        <v>7.1738762393210295E-2</v>
      </c>
      <c r="I2869">
        <v>6.2790655373404405E-2</v>
      </c>
      <c r="J2869">
        <v>5.0671967041217798E-2</v>
      </c>
      <c r="K2869">
        <v>3.6134362872631998E-2</v>
      </c>
      <c r="L2869">
        <v>1235.08876777347</v>
      </c>
      <c r="M2869">
        <v>24.199768442766199</v>
      </c>
      <c r="N2869">
        <v>51.233391197778602</v>
      </c>
      <c r="O2869">
        <v>50.692557100405601</v>
      </c>
      <c r="P2869">
        <v>-0.114066581660757</v>
      </c>
      <c r="Q2869">
        <v>4.4249440349817801E-2</v>
      </c>
      <c r="R2869">
        <v>0.95786650921993199</v>
      </c>
      <c r="S2869" t="s">
        <v>9180</v>
      </c>
      <c r="T2869" t="s">
        <v>12620</v>
      </c>
      <c r="U2869" t="s">
        <v>12620</v>
      </c>
      <c r="V2869" t="s">
        <v>12620</v>
      </c>
      <c r="W2869" t="s">
        <v>15444</v>
      </c>
      <c r="X2869">
        <v>21</v>
      </c>
      <c r="Y2869" t="s">
        <v>21612</v>
      </c>
      <c r="Z2869" t="s">
        <v>27816</v>
      </c>
      <c r="AA2869">
        <v>0.40508361996773229</v>
      </c>
      <c r="AB2869" t="str">
        <f>HYPERLINK("Melting_Curves/meltCurve_Q12979_4_ABR.pdf", "Melting_Curves/meltCurve_Q12979_4_ABR.pdf")</f>
        <v>Melting_Curves/meltCurve_Q12979_4_ABR.pdf</v>
      </c>
    </row>
    <row r="2870" spans="1:28" x14ac:dyDescent="0.25">
      <c r="A2870" t="s">
        <v>2874</v>
      </c>
      <c r="B2870">
        <v>0.99987803227770999</v>
      </c>
      <c r="C2870">
        <v>0.93393485453551195</v>
      </c>
      <c r="D2870">
        <v>0.98363518965527796</v>
      </c>
      <c r="E2870">
        <v>0.94665837304009204</v>
      </c>
      <c r="F2870">
        <v>0.90509913752395998</v>
      </c>
      <c r="G2870">
        <v>0.73534478564726002</v>
      </c>
      <c r="H2870">
        <v>0.61035982876111305</v>
      </c>
      <c r="I2870">
        <v>0.57430229477619998</v>
      </c>
      <c r="J2870">
        <v>0.440442945714074</v>
      </c>
      <c r="K2870">
        <v>0.324869088782058</v>
      </c>
      <c r="L2870">
        <v>567.03145380582396</v>
      </c>
      <c r="M2870">
        <v>8.7379690090477293</v>
      </c>
      <c r="N2870">
        <v>64.892816994602001</v>
      </c>
      <c r="O2870">
        <v>61.763030345968502</v>
      </c>
      <c r="P2870">
        <v>-3.5397649729341403E-2</v>
      </c>
      <c r="Q2870">
        <v>0</v>
      </c>
      <c r="R2870">
        <v>0.98426476693834597</v>
      </c>
      <c r="S2870" t="s">
        <v>9181</v>
      </c>
      <c r="T2870" t="s">
        <v>12620</v>
      </c>
      <c r="U2870" t="s">
        <v>12620</v>
      </c>
      <c r="V2870" t="s">
        <v>12620</v>
      </c>
      <c r="W2870" t="s">
        <v>15445</v>
      </c>
      <c r="X2870">
        <v>4</v>
      </c>
      <c r="Y2870" t="s">
        <v>21613</v>
      </c>
      <c r="Z2870" t="s">
        <v>27817</v>
      </c>
      <c r="AA2870">
        <v>0.76447893710147852</v>
      </c>
      <c r="AB2870" t="str">
        <f>HYPERLINK("Melting_Curves/meltCurve_Q12981_BNIP1.pdf", "Melting_Curves/meltCurve_Q12981_BNIP1.pdf")</f>
        <v>Melting_Curves/meltCurve_Q12981_BNIP1.pdf</v>
      </c>
    </row>
    <row r="2871" spans="1:28" x14ac:dyDescent="0.25">
      <c r="A2871" t="s">
        <v>2875</v>
      </c>
      <c r="B2871">
        <v>0.99987803227770999</v>
      </c>
      <c r="C2871">
        <v>0.80455301618395703</v>
      </c>
      <c r="D2871">
        <v>0.94677550500970598</v>
      </c>
      <c r="E2871">
        <v>0.73434396581008299</v>
      </c>
      <c r="F2871">
        <v>0.92050514356491397</v>
      </c>
      <c r="G2871">
        <v>0.65325268948628701</v>
      </c>
      <c r="H2871">
        <v>0.70455543366512596</v>
      </c>
      <c r="I2871">
        <v>0.54288663480431398</v>
      </c>
      <c r="J2871">
        <v>0.60469693618632103</v>
      </c>
      <c r="K2871">
        <v>0.41878582160753802</v>
      </c>
      <c r="L2871">
        <v>290.85876380868899</v>
      </c>
      <c r="M2871">
        <v>4.1971920754954297</v>
      </c>
      <c r="N2871">
        <v>69.298416402680004</v>
      </c>
      <c r="O2871">
        <v>57.739568970752103</v>
      </c>
      <c r="P2871">
        <v>-1.8372873112949599E-2</v>
      </c>
      <c r="Q2871">
        <v>0</v>
      </c>
      <c r="R2871">
        <v>0.78314785914887097</v>
      </c>
      <c r="S2871" t="s">
        <v>9182</v>
      </c>
      <c r="T2871" t="s">
        <v>12620</v>
      </c>
      <c r="U2871" t="s">
        <v>12620</v>
      </c>
      <c r="V2871" t="s">
        <v>12620</v>
      </c>
      <c r="W2871" t="s">
        <v>15446</v>
      </c>
      <c r="X2871">
        <v>8</v>
      </c>
      <c r="Y2871" t="s">
        <v>21614</v>
      </c>
      <c r="Z2871" t="s">
        <v>27818</v>
      </c>
      <c r="AA2871">
        <v>0.74019020440576055</v>
      </c>
      <c r="AB2871" t="str">
        <f>HYPERLINK("Melting_Curves/meltCurve_Q12982_BNIP2.pdf", "Melting_Curves/meltCurve_Q12982_BNIP2.pdf")</f>
        <v>Melting_Curves/meltCurve_Q12982_BNIP2.pdf</v>
      </c>
    </row>
    <row r="2872" spans="1:28" x14ac:dyDescent="0.25">
      <c r="A2872" t="s">
        <v>2876</v>
      </c>
      <c r="B2872">
        <v>0.99987803227770999</v>
      </c>
      <c r="C2872">
        <v>0.82189388078532</v>
      </c>
      <c r="D2872">
        <v>0.98628127028212698</v>
      </c>
      <c r="E2872">
        <v>0.89902892770756304</v>
      </c>
      <c r="F2872">
        <v>0.97860866745262198</v>
      </c>
      <c r="G2872">
        <v>0.70778597431740997</v>
      </c>
      <c r="H2872">
        <v>0.77518095128966902</v>
      </c>
      <c r="I2872">
        <v>0.70632361264222598</v>
      </c>
      <c r="J2872">
        <v>0.71934422114254404</v>
      </c>
      <c r="K2872">
        <v>0.65050731459217204</v>
      </c>
      <c r="L2872">
        <v>267.74476786325698</v>
      </c>
      <c r="M2872">
        <v>3.3213103017691998</v>
      </c>
      <c r="O2872">
        <v>61.938960055040504</v>
      </c>
      <c r="P2872">
        <v>-1.2592577383312001E-2</v>
      </c>
      <c r="Q2872">
        <v>8.1678767645424796E-2</v>
      </c>
      <c r="R2872">
        <v>0.69676173004415598</v>
      </c>
      <c r="S2872" t="s">
        <v>9183</v>
      </c>
      <c r="T2872" t="s">
        <v>12620</v>
      </c>
      <c r="U2872" t="s">
        <v>12620</v>
      </c>
      <c r="V2872" t="s">
        <v>12620</v>
      </c>
      <c r="W2872" t="s">
        <v>15447</v>
      </c>
      <c r="X2872">
        <v>4</v>
      </c>
      <c r="Y2872" t="s">
        <v>21615</v>
      </c>
      <c r="Z2872" t="s">
        <v>27819</v>
      </c>
      <c r="AA2872">
        <v>0.82964854937160237</v>
      </c>
      <c r="AB2872" t="str">
        <f>HYPERLINK("Melting_Curves/meltCurve_Q12986_NFX1.pdf", "Melting_Curves/meltCurve_Q12986_NFX1.pdf")</f>
        <v>Melting_Curves/meltCurve_Q12986_NFX1.pdf</v>
      </c>
    </row>
    <row r="2873" spans="1:28" x14ac:dyDescent="0.25">
      <c r="A2873" t="s">
        <v>2877</v>
      </c>
      <c r="B2873">
        <v>0.99987803227770999</v>
      </c>
      <c r="C2873">
        <v>1.04216290765182</v>
      </c>
      <c r="D2873">
        <v>0.89488873407483305</v>
      </c>
      <c r="E2873">
        <v>1.07589978778369</v>
      </c>
      <c r="F2873">
        <v>0.41784295186916898</v>
      </c>
      <c r="G2873">
        <v>0.25119274058949598</v>
      </c>
      <c r="H2873">
        <v>0.158741280057902</v>
      </c>
      <c r="I2873">
        <v>0.119976215110408</v>
      </c>
      <c r="J2873">
        <v>9.2525893599466696E-2</v>
      </c>
      <c r="K2873">
        <v>6.5543626133202096E-2</v>
      </c>
      <c r="L2873">
        <v>13211.2534236189</v>
      </c>
      <c r="M2873">
        <v>250</v>
      </c>
      <c r="N2873">
        <v>52.913137903474301</v>
      </c>
      <c r="O2873">
        <v>52.841637358329102</v>
      </c>
      <c r="P2873">
        <v>-1.02003387853421</v>
      </c>
      <c r="Q2873">
        <v>0.137595924064046</v>
      </c>
      <c r="R2873">
        <v>0.97697543249070995</v>
      </c>
      <c r="S2873" t="s">
        <v>9184</v>
      </c>
      <c r="T2873" t="s">
        <v>12620</v>
      </c>
      <c r="U2873" t="s">
        <v>12620</v>
      </c>
      <c r="V2873" t="s">
        <v>12620</v>
      </c>
      <c r="W2873" t="s">
        <v>15448</v>
      </c>
      <c r="X2873">
        <v>10</v>
      </c>
      <c r="Y2873" t="s">
        <v>21616</v>
      </c>
      <c r="Z2873" t="s">
        <v>27820</v>
      </c>
      <c r="AA2873">
        <v>0.50692897748077315</v>
      </c>
      <c r="AB2873" t="str">
        <f>HYPERLINK("Melting_Curves/meltCurve_Q12996_CSTF3.pdf", "Melting_Curves/meltCurve_Q12996_CSTF3.pdf")</f>
        <v>Melting_Curves/meltCurve_Q12996_CSTF3.pdf</v>
      </c>
    </row>
    <row r="2874" spans="1:28" x14ac:dyDescent="0.25">
      <c r="A2874" t="s">
        <v>2878</v>
      </c>
      <c r="B2874">
        <v>0.99987803227770999</v>
      </c>
      <c r="C2874">
        <v>1.3827324457238801</v>
      </c>
      <c r="D2874">
        <v>0.79523951484134603</v>
      </c>
      <c r="E2874">
        <v>1.2474102472513</v>
      </c>
      <c r="F2874">
        <v>0.55226944781732701</v>
      </c>
      <c r="G2874">
        <v>0.15501950233789999</v>
      </c>
      <c r="H2874">
        <v>8.70980183577936E-2</v>
      </c>
      <c r="I2874">
        <v>6.9828608659126906E-2</v>
      </c>
      <c r="J2874">
        <v>5.1932768530250299E-2</v>
      </c>
      <c r="K2874">
        <v>3.5804049245542702E-2</v>
      </c>
      <c r="L2874">
        <v>13252.8351685258</v>
      </c>
      <c r="M2874">
        <v>250</v>
      </c>
      <c r="N2874">
        <v>53.048280333403902</v>
      </c>
      <c r="O2874">
        <v>53.007933451186901</v>
      </c>
      <c r="P2874">
        <v>-1.0848177797157501</v>
      </c>
      <c r="Q2874">
        <v>7.9936563436629499E-2</v>
      </c>
      <c r="R2874">
        <v>0.89893186096553801</v>
      </c>
      <c r="S2874" t="s">
        <v>9185</v>
      </c>
      <c r="T2874" t="s">
        <v>12620</v>
      </c>
      <c r="U2874" t="s">
        <v>12620</v>
      </c>
      <c r="V2874" t="s">
        <v>12620</v>
      </c>
      <c r="W2874" t="s">
        <v>15449</v>
      </c>
      <c r="X2874">
        <v>15</v>
      </c>
      <c r="Y2874" t="s">
        <v>21617</v>
      </c>
      <c r="Z2874" t="s">
        <v>27821</v>
      </c>
      <c r="AA2874">
        <v>0.47906412118708003</v>
      </c>
      <c r="AB2874" t="str">
        <f>HYPERLINK("Melting_Curves/meltCurve_Q13011_ECH1.pdf", "Melting_Curves/meltCurve_Q13011_ECH1.pdf")</f>
        <v>Melting_Curves/meltCurve_Q13011_ECH1.pdf</v>
      </c>
    </row>
    <row r="2875" spans="1:28" x14ac:dyDescent="0.25">
      <c r="A2875" t="s">
        <v>2879</v>
      </c>
      <c r="B2875">
        <v>0.99987803227770999</v>
      </c>
      <c r="C2875">
        <v>1.0560861929026499</v>
      </c>
      <c r="D2875">
        <v>0.98347194060398202</v>
      </c>
      <c r="E2875">
        <v>0.58419093777781606</v>
      </c>
      <c r="F2875">
        <v>0.230211221438133</v>
      </c>
      <c r="G2875">
        <v>0.14814721824400401</v>
      </c>
      <c r="H2875">
        <v>0.119917694766524</v>
      </c>
      <c r="I2875">
        <v>0.119834991470971</v>
      </c>
      <c r="J2875">
        <v>9.29929737170819E-2</v>
      </c>
      <c r="K2875">
        <v>7.1501371534530705E-2</v>
      </c>
      <c r="L2875">
        <v>1789.38717200011</v>
      </c>
      <c r="M2875">
        <v>35.6250342673708</v>
      </c>
      <c r="N2875">
        <v>50.5719733786433</v>
      </c>
      <c r="O2875">
        <v>50.070884280011597</v>
      </c>
      <c r="P2875">
        <v>-0.15875346261859299</v>
      </c>
      <c r="Q2875">
        <v>0.10749278348287</v>
      </c>
      <c r="R2875">
        <v>0.99611013616075805</v>
      </c>
      <c r="S2875" t="s">
        <v>9186</v>
      </c>
      <c r="T2875" t="s">
        <v>12620</v>
      </c>
      <c r="U2875" t="s">
        <v>12620</v>
      </c>
      <c r="V2875" t="s">
        <v>12620</v>
      </c>
      <c r="W2875" t="s">
        <v>15450</v>
      </c>
      <c r="X2875">
        <v>18</v>
      </c>
      <c r="Y2875" t="s">
        <v>21618</v>
      </c>
      <c r="Z2875" t="s">
        <v>27822</v>
      </c>
      <c r="AA2875">
        <v>0.41570488620033741</v>
      </c>
      <c r="AB2875" t="str">
        <f>HYPERLINK("Melting_Curves/meltCurve_Q13017_2_ARHGAP5.pdf", "Melting_Curves/meltCurve_Q13017_2_ARHGAP5.pdf")</f>
        <v>Melting_Curves/meltCurve_Q13017_2_ARHGAP5.pdf</v>
      </c>
    </row>
    <row r="2876" spans="1:28" x14ac:dyDescent="0.25">
      <c r="A2876" t="s">
        <v>2880</v>
      </c>
      <c r="B2876">
        <v>0.99987803227770999</v>
      </c>
      <c r="C2876">
        <v>1.09461807206677</v>
      </c>
      <c r="D2876">
        <v>0.88245987893688504</v>
      </c>
      <c r="E2876">
        <v>1.2412768673661001</v>
      </c>
      <c r="F2876">
        <v>0.78418842286580104</v>
      </c>
      <c r="G2876">
        <v>0.59683447999558004</v>
      </c>
      <c r="H2876">
        <v>0.27342133541006403</v>
      </c>
      <c r="I2876">
        <v>0.14241630172768199</v>
      </c>
      <c r="J2876">
        <v>9.8769486230464998E-2</v>
      </c>
      <c r="K2876">
        <v>6.1328157309322603E-2</v>
      </c>
      <c r="L2876">
        <v>1344.72223513206</v>
      </c>
      <c r="M2876">
        <v>23.339176659537401</v>
      </c>
      <c r="N2876">
        <v>57.928733973912799</v>
      </c>
      <c r="O2876">
        <v>57.198537100598799</v>
      </c>
      <c r="P2876">
        <v>-9.5982457790164705E-2</v>
      </c>
      <c r="Q2876">
        <v>5.9099762715694698E-2</v>
      </c>
      <c r="R2876">
        <v>0.94082768239952397</v>
      </c>
      <c r="S2876" t="s">
        <v>9187</v>
      </c>
      <c r="T2876" t="s">
        <v>12620</v>
      </c>
      <c r="U2876" t="s">
        <v>12620</v>
      </c>
      <c r="V2876" t="s">
        <v>12620</v>
      </c>
      <c r="W2876" t="s">
        <v>15451</v>
      </c>
      <c r="X2876">
        <v>14</v>
      </c>
      <c r="Y2876" t="s">
        <v>19498</v>
      </c>
      <c r="Z2876" t="s">
        <v>27823</v>
      </c>
      <c r="AA2876">
        <v>0.62076776853935134</v>
      </c>
      <c r="AB2876" t="str">
        <f>HYPERLINK("Melting_Curves/meltCurve_Q13033_2_STRN3.pdf", "Melting_Curves/meltCurve_Q13033_2_STRN3.pdf")</f>
        <v>Melting_Curves/meltCurve_Q13033_2_STRN3.pdf</v>
      </c>
    </row>
    <row r="2877" spans="1:28" x14ac:dyDescent="0.25">
      <c r="A2877" t="s">
        <v>2881</v>
      </c>
      <c r="B2877">
        <v>0.99987803227770999</v>
      </c>
      <c r="C2877">
        <v>1.00889543920057</v>
      </c>
      <c r="D2877">
        <v>0.90193086347257501</v>
      </c>
      <c r="E2877">
        <v>1.2143047898819801</v>
      </c>
      <c r="F2877">
        <v>0.84037599168080501</v>
      </c>
      <c r="G2877">
        <v>0.44918171486061798</v>
      </c>
      <c r="H2877">
        <v>0.21684532806734799</v>
      </c>
      <c r="I2877">
        <v>0.16684714700266701</v>
      </c>
      <c r="J2877">
        <v>0.14054548074765499</v>
      </c>
      <c r="K2877">
        <v>8.89768520868678E-2</v>
      </c>
      <c r="L2877">
        <v>1857.4995660475799</v>
      </c>
      <c r="M2877">
        <v>33.133629307310301</v>
      </c>
      <c r="N2877">
        <v>56.590394072175499</v>
      </c>
      <c r="O2877">
        <v>55.857827348807298</v>
      </c>
      <c r="P2877">
        <v>-0.12852845719147499</v>
      </c>
      <c r="Q2877">
        <v>0.13329279460505</v>
      </c>
      <c r="R2877">
        <v>0.95965421900704095</v>
      </c>
      <c r="S2877" t="s">
        <v>9188</v>
      </c>
      <c r="T2877" t="s">
        <v>12620</v>
      </c>
      <c r="U2877" t="s">
        <v>12620</v>
      </c>
      <c r="V2877" t="s">
        <v>12620</v>
      </c>
      <c r="W2877" t="s">
        <v>15452</v>
      </c>
      <c r="X2877">
        <v>8</v>
      </c>
      <c r="Y2877" t="s">
        <v>21619</v>
      </c>
      <c r="Z2877" t="s">
        <v>27824</v>
      </c>
      <c r="AA2877">
        <v>0.60209845392229566</v>
      </c>
      <c r="AB2877" t="str">
        <f>HYPERLINK("Melting_Curves/meltCurve_Q13042_3_CDC16.pdf", "Melting_Curves/meltCurve_Q13042_3_CDC16.pdf")</f>
        <v>Melting_Curves/meltCurve_Q13042_3_CDC16.pdf</v>
      </c>
    </row>
    <row r="2878" spans="1:28" x14ac:dyDescent="0.25">
      <c r="A2878" t="s">
        <v>2882</v>
      </c>
      <c r="B2878">
        <v>0.99987803227770999</v>
      </c>
      <c r="C2878">
        <v>1.00467878813203</v>
      </c>
      <c r="D2878">
        <v>0.965130126280076</v>
      </c>
      <c r="E2878">
        <v>0.72031818138918802</v>
      </c>
      <c r="F2878">
        <v>0.35682051082300198</v>
      </c>
      <c r="G2878">
        <v>0.208418214027835</v>
      </c>
      <c r="H2878">
        <v>0.16469916150233799</v>
      </c>
      <c r="I2878">
        <v>0.14154655599433399</v>
      </c>
      <c r="J2878">
        <v>0.12946058307275099</v>
      </c>
      <c r="K2878">
        <v>0.100498458036844</v>
      </c>
      <c r="L2878">
        <v>1454.1631771079401</v>
      </c>
      <c r="M2878">
        <v>28.392960204230601</v>
      </c>
      <c r="N2878">
        <v>51.788127995924597</v>
      </c>
      <c r="O2878">
        <v>50.963584792279498</v>
      </c>
      <c r="P2878">
        <v>-0.12052098279616801</v>
      </c>
      <c r="Q2878">
        <v>0.13469656845479899</v>
      </c>
      <c r="R2878">
        <v>0.99790363763453904</v>
      </c>
      <c r="S2878" t="s">
        <v>9189</v>
      </c>
      <c r="T2878" t="s">
        <v>12620</v>
      </c>
      <c r="U2878" t="s">
        <v>12620</v>
      </c>
      <c r="V2878" t="s">
        <v>12620</v>
      </c>
      <c r="W2878" t="s">
        <v>15453</v>
      </c>
      <c r="X2878">
        <v>20</v>
      </c>
      <c r="Y2878" t="s">
        <v>21620</v>
      </c>
      <c r="Z2878" t="s">
        <v>27825</v>
      </c>
      <c r="AA2878">
        <v>0.46428732002380962</v>
      </c>
      <c r="AB2878" t="str">
        <f>HYPERLINK("Melting_Curves/meltCurve_Q13043_STK4.pdf", "Melting_Curves/meltCurve_Q13043_STK4.pdf")</f>
        <v>Melting_Curves/meltCurve_Q13043_STK4.pdf</v>
      </c>
    </row>
    <row r="2879" spans="1:28" x14ac:dyDescent="0.25">
      <c r="A2879" t="s">
        <v>2883</v>
      </c>
      <c r="B2879">
        <v>0.99987803227770999</v>
      </c>
      <c r="C2879">
        <v>1.38621633960779</v>
      </c>
      <c r="D2879">
        <v>0.56050752427115103</v>
      </c>
      <c r="E2879">
        <v>0.50952218983097797</v>
      </c>
      <c r="F2879">
        <v>0.20705169430975601</v>
      </c>
      <c r="G2879">
        <v>0.135656771881772</v>
      </c>
      <c r="H2879">
        <v>9.0522903200428897E-2</v>
      </c>
      <c r="I2879">
        <v>8.5195272241463296E-2</v>
      </c>
      <c r="J2879">
        <v>7.2835130019818006E-2</v>
      </c>
      <c r="K2879">
        <v>5.6670727121409498E-2</v>
      </c>
      <c r="L2879">
        <v>1039.70822191652</v>
      </c>
      <c r="M2879">
        <v>21.3178474675567</v>
      </c>
      <c r="N2879">
        <v>49.164397193588698</v>
      </c>
      <c r="O2879">
        <v>48.348638673090903</v>
      </c>
      <c r="P2879">
        <v>-0.101603753661759</v>
      </c>
      <c r="Q2879">
        <v>7.8278624637458397E-2</v>
      </c>
      <c r="R2879">
        <v>0.86588004412127595</v>
      </c>
      <c r="S2879" t="s">
        <v>9190</v>
      </c>
      <c r="T2879" t="s">
        <v>12620</v>
      </c>
      <c r="U2879" t="s">
        <v>12620</v>
      </c>
      <c r="V2879" t="s">
        <v>12620</v>
      </c>
      <c r="W2879" t="s">
        <v>15454</v>
      </c>
      <c r="X2879">
        <v>26</v>
      </c>
      <c r="Y2879" t="s">
        <v>21621</v>
      </c>
      <c r="Z2879" t="s">
        <v>27826</v>
      </c>
      <c r="AA2879">
        <v>0.35912943084217269</v>
      </c>
      <c r="AB2879" t="str">
        <f>HYPERLINK("Melting_Curves/meltCurve_Q13045_FLII.pdf", "Melting_Curves/meltCurve_Q13045_FLII.pdf")</f>
        <v>Melting_Curves/meltCurve_Q13045_FLII.pdf</v>
      </c>
    </row>
    <row r="2880" spans="1:28" x14ac:dyDescent="0.25">
      <c r="A2880" t="s">
        <v>2884</v>
      </c>
      <c r="B2880">
        <v>0.99987803227770999</v>
      </c>
      <c r="C2880">
        <v>1.13083884962215</v>
      </c>
      <c r="D2880">
        <v>0.74938756282562002</v>
      </c>
      <c r="E2880">
        <v>0.49173529708342101</v>
      </c>
      <c r="F2880">
        <v>0.34512623418066202</v>
      </c>
      <c r="G2880">
        <v>0.22126969736367899</v>
      </c>
      <c r="H2880">
        <v>0.235544731223848</v>
      </c>
      <c r="I2880">
        <v>0.26333950201901202</v>
      </c>
      <c r="J2880">
        <v>0.18831232147313801</v>
      </c>
      <c r="K2880">
        <v>0.14442629501896301</v>
      </c>
      <c r="L2880">
        <v>1079.23875765817</v>
      </c>
      <c r="M2880">
        <v>22.198773809378</v>
      </c>
      <c r="N2880">
        <v>49.809463998132898</v>
      </c>
      <c r="O2880">
        <v>48.227678042624397</v>
      </c>
      <c r="P2880">
        <v>-9.1356174081385896E-2</v>
      </c>
      <c r="Q2880">
        <v>0.206118217835735</v>
      </c>
      <c r="R2880">
        <v>0.96247507881981598</v>
      </c>
      <c r="S2880" t="s">
        <v>9191</v>
      </c>
      <c r="T2880" t="s">
        <v>12620</v>
      </c>
      <c r="U2880" t="s">
        <v>12620</v>
      </c>
      <c r="V2880" t="s">
        <v>12620</v>
      </c>
      <c r="W2880" t="s">
        <v>15455</v>
      </c>
      <c r="X2880">
        <v>25</v>
      </c>
      <c r="Y2880" t="s">
        <v>21621</v>
      </c>
      <c r="Z2880" t="s">
        <v>27827</v>
      </c>
      <c r="AA2880">
        <v>0.44314252973032109</v>
      </c>
      <c r="AB2880" t="str">
        <f>HYPERLINK("Melting_Curves/meltCurve_Q13045_2_FLII.pdf", "Melting_Curves/meltCurve_Q13045_2_FLII.pdf")</f>
        <v>Melting_Curves/meltCurve_Q13045_2_FLII.pdf</v>
      </c>
    </row>
    <row r="2881" spans="1:28" x14ac:dyDescent="0.25">
      <c r="A2881" t="s">
        <v>2885</v>
      </c>
      <c r="B2881">
        <v>0.99987803227770999</v>
      </c>
      <c r="C2881">
        <v>1.10030331946615</v>
      </c>
      <c r="D2881">
        <v>1.08013624346133</v>
      </c>
      <c r="E2881">
        <v>1.17517300186551</v>
      </c>
      <c r="F2881">
        <v>1.0108455261235001</v>
      </c>
      <c r="G2881">
        <v>0.76660837262102</v>
      </c>
      <c r="H2881">
        <v>0.40021989233277899</v>
      </c>
      <c r="I2881">
        <v>0.316824951986314</v>
      </c>
      <c r="J2881">
        <v>0.27531615774559798</v>
      </c>
      <c r="K2881">
        <v>0.16281610230191601</v>
      </c>
      <c r="L2881">
        <v>1811.6276107175599</v>
      </c>
      <c r="M2881">
        <v>30.832872257218199</v>
      </c>
      <c r="N2881">
        <v>59.885810731522596</v>
      </c>
      <c r="O2881">
        <v>58.5108656514657</v>
      </c>
      <c r="P2881">
        <v>-0.102695539051296</v>
      </c>
      <c r="Q2881">
        <v>0.22047225061532</v>
      </c>
      <c r="R2881">
        <v>0.959770306704818</v>
      </c>
      <c r="S2881" t="s">
        <v>9192</v>
      </c>
      <c r="T2881" t="s">
        <v>12620</v>
      </c>
      <c r="U2881" t="s">
        <v>12620</v>
      </c>
      <c r="V2881" t="s">
        <v>12620</v>
      </c>
      <c r="W2881" t="s">
        <v>15456</v>
      </c>
      <c r="X2881">
        <v>3</v>
      </c>
      <c r="Y2881" t="s">
        <v>21622</v>
      </c>
      <c r="Z2881" t="s">
        <v>27828</v>
      </c>
      <c r="AA2881">
        <v>0.71266703365084183</v>
      </c>
      <c r="AB2881" t="str">
        <f>HYPERLINK("Melting_Curves/meltCurve_Q13049_TRIM32.pdf", "Melting_Curves/meltCurve_Q13049_TRIM32.pdf")</f>
        <v>Melting_Curves/meltCurve_Q13049_TRIM32.pdf</v>
      </c>
    </row>
    <row r="2882" spans="1:28" x14ac:dyDescent="0.25">
      <c r="A2882" t="s">
        <v>2886</v>
      </c>
      <c r="B2882">
        <v>0.99987803227770999</v>
      </c>
      <c r="C2882">
        <v>0.90219070704289905</v>
      </c>
      <c r="D2882">
        <v>0.74265041819916799</v>
      </c>
      <c r="E2882">
        <v>0.28668967037286402</v>
      </c>
      <c r="F2882">
        <v>0.185660247603364</v>
      </c>
      <c r="G2882">
        <v>0.121733248138058</v>
      </c>
      <c r="H2882">
        <v>9.1866745457017299E-2</v>
      </c>
      <c r="I2882">
        <v>8.7176576565437994E-2</v>
      </c>
      <c r="J2882">
        <v>7.9577466082568299E-2</v>
      </c>
      <c r="K2882">
        <v>6.7391644077694601E-2</v>
      </c>
      <c r="L2882">
        <v>1094.3386309585401</v>
      </c>
      <c r="M2882">
        <v>22.976955139683799</v>
      </c>
      <c r="N2882">
        <v>48.011763210643501</v>
      </c>
      <c r="O2882">
        <v>47.271276469302798</v>
      </c>
      <c r="P2882">
        <v>-0.111316356462358</v>
      </c>
      <c r="Q2882">
        <v>8.3957026879340299E-2</v>
      </c>
      <c r="R2882">
        <v>0.99725259423750201</v>
      </c>
      <c r="S2882" t="s">
        <v>9193</v>
      </c>
      <c r="T2882" t="s">
        <v>12620</v>
      </c>
      <c r="U2882" t="s">
        <v>12620</v>
      </c>
      <c r="V2882" t="s">
        <v>12620</v>
      </c>
      <c r="W2882" t="s">
        <v>15457</v>
      </c>
      <c r="X2882">
        <v>12</v>
      </c>
      <c r="Y2882" t="s">
        <v>21623</v>
      </c>
      <c r="Z2882" t="s">
        <v>27829</v>
      </c>
      <c r="AA2882">
        <v>0.32659678543198828</v>
      </c>
      <c r="AB2882" t="str">
        <f>HYPERLINK("Melting_Curves/meltCurve_Q13057_COASY.pdf", "Melting_Curves/meltCurve_Q13057_COASY.pdf")</f>
        <v>Melting_Curves/meltCurve_Q13057_COASY.pdf</v>
      </c>
    </row>
    <row r="2883" spans="1:28" x14ac:dyDescent="0.25">
      <c r="A2883" t="s">
        <v>2887</v>
      </c>
      <c r="B2883">
        <v>0.99987803227770999</v>
      </c>
      <c r="C2883">
        <v>1.0913180393206601</v>
      </c>
      <c r="D2883">
        <v>0.99508467236939102</v>
      </c>
      <c r="E2883">
        <v>1.1983212317497001</v>
      </c>
      <c r="F2883">
        <v>0.92321399371452895</v>
      </c>
      <c r="G2883">
        <v>0.621376111983303</v>
      </c>
      <c r="H2883">
        <v>0.15306991009999399</v>
      </c>
      <c r="I2883">
        <v>0.140229568137441</v>
      </c>
      <c r="J2883">
        <v>0.109239673805825</v>
      </c>
      <c r="K2883">
        <v>9.5225190333296503E-2</v>
      </c>
      <c r="L2883">
        <v>2424.4601079618001</v>
      </c>
      <c r="M2883">
        <v>42.263251636672102</v>
      </c>
      <c r="N2883">
        <v>57.688430307721198</v>
      </c>
      <c r="O2883">
        <v>57.237693265463001</v>
      </c>
      <c r="P2883">
        <v>-0.16515996097354099</v>
      </c>
      <c r="Q2883">
        <v>0.10528805511903599</v>
      </c>
      <c r="R2883">
        <v>0.97285449509928001</v>
      </c>
      <c r="S2883" t="s">
        <v>9194</v>
      </c>
      <c r="T2883" t="s">
        <v>12620</v>
      </c>
      <c r="U2883" t="s">
        <v>12620</v>
      </c>
      <c r="V2883" t="s">
        <v>12620</v>
      </c>
      <c r="W2883" t="s">
        <v>15458</v>
      </c>
      <c r="X2883">
        <v>9</v>
      </c>
      <c r="Y2883" t="s">
        <v>21624</v>
      </c>
      <c r="Z2883" t="s">
        <v>27830</v>
      </c>
      <c r="AA2883">
        <v>0.62634215786079761</v>
      </c>
      <c r="AB2883" t="str">
        <f>HYPERLINK("Melting_Curves/meltCurve_Q13077_TRAF1.pdf", "Melting_Curves/meltCurve_Q13077_TRAF1.pdf")</f>
        <v>Melting_Curves/meltCurve_Q13077_TRAF1.pdf</v>
      </c>
    </row>
    <row r="2884" spans="1:28" x14ac:dyDescent="0.25">
      <c r="A2884" t="s">
        <v>2888</v>
      </c>
      <c r="B2884">
        <v>0.99987803227770999</v>
      </c>
      <c r="C2884">
        <v>0.83934541062710499</v>
      </c>
      <c r="D2884">
        <v>0.72304062241062195</v>
      </c>
      <c r="E2884">
        <v>0.41125398759258402</v>
      </c>
      <c r="F2884">
        <v>0.21583303695358</v>
      </c>
      <c r="G2884">
        <v>0.11216745307682301</v>
      </c>
      <c r="H2884">
        <v>7.7040168667229195E-2</v>
      </c>
      <c r="I2884">
        <v>6.7085241268213205E-2</v>
      </c>
      <c r="J2884">
        <v>4.9917361005823599E-2</v>
      </c>
      <c r="K2884">
        <v>3.6182308729325E-2</v>
      </c>
      <c r="L2884">
        <v>755.49361643606198</v>
      </c>
      <c r="M2884">
        <v>15.606409656286999</v>
      </c>
      <c r="N2884">
        <v>48.635105174131297</v>
      </c>
      <c r="O2884">
        <v>47.635268963784299</v>
      </c>
      <c r="P2884">
        <v>-7.9048949583495398E-2</v>
      </c>
      <c r="Q2884">
        <v>3.4962792866390202E-2</v>
      </c>
      <c r="R2884">
        <v>0.99643801889566996</v>
      </c>
      <c r="S2884" t="s">
        <v>9195</v>
      </c>
      <c r="T2884" t="s">
        <v>12620</v>
      </c>
      <c r="U2884" t="s">
        <v>12620</v>
      </c>
      <c r="V2884" t="s">
        <v>12620</v>
      </c>
      <c r="W2884" t="s">
        <v>15459</v>
      </c>
      <c r="X2884">
        <v>53</v>
      </c>
      <c r="Y2884" t="s">
        <v>21625</v>
      </c>
      <c r="Z2884" t="s">
        <v>27831</v>
      </c>
      <c r="AA2884">
        <v>0.32803364081887892</v>
      </c>
      <c r="AB2884" t="str">
        <f>HYPERLINK("Melting_Curves/meltCurve_Q13085_ACACA.pdf", "Melting_Curves/meltCurve_Q13085_ACACA.pdf")</f>
        <v>Melting_Curves/meltCurve_Q13085_ACACA.pdf</v>
      </c>
    </row>
    <row r="2885" spans="1:28" x14ac:dyDescent="0.25">
      <c r="A2885" t="s">
        <v>2889</v>
      </c>
      <c r="B2885">
        <v>0.99987803227770999</v>
      </c>
      <c r="C2885">
        <v>1.0049870116706301</v>
      </c>
      <c r="D2885">
        <v>0.604233834547108</v>
      </c>
      <c r="E2885">
        <v>0.274808857561463</v>
      </c>
      <c r="F2885">
        <v>0.12760560222807299</v>
      </c>
      <c r="G2885">
        <v>9.3020197190734497E-2</v>
      </c>
      <c r="H2885">
        <v>6.1629363420399798E-2</v>
      </c>
      <c r="I2885">
        <v>4.9395922930517602E-2</v>
      </c>
      <c r="J2885">
        <v>3.14887893961147E-2</v>
      </c>
      <c r="K2885">
        <v>2.11709498546441E-2</v>
      </c>
      <c r="L2885">
        <v>1112.4485892426901</v>
      </c>
      <c r="M2885">
        <v>23.594665489053799</v>
      </c>
      <c r="N2885">
        <v>47.362941490463903</v>
      </c>
      <c r="O2885">
        <v>46.813551631341703</v>
      </c>
      <c r="P2885">
        <v>-0.11961731947945201</v>
      </c>
      <c r="Q2885">
        <v>5.0697934259638297E-2</v>
      </c>
      <c r="R2885">
        <v>0.98991408114828505</v>
      </c>
      <c r="S2885" t="s">
        <v>9196</v>
      </c>
      <c r="T2885" t="s">
        <v>12620</v>
      </c>
      <c r="U2885" t="s">
        <v>12620</v>
      </c>
      <c r="V2885" t="s">
        <v>12620</v>
      </c>
      <c r="W2885" t="s">
        <v>15460</v>
      </c>
      <c r="X2885">
        <v>9</v>
      </c>
      <c r="Y2885" t="s">
        <v>19099</v>
      </c>
      <c r="Z2885" t="s">
        <v>27832</v>
      </c>
      <c r="AA2885">
        <v>0.28649386194665238</v>
      </c>
      <c r="AB2885" t="str">
        <f>HYPERLINK("Melting_Curves/meltCurve_Q13107_2_USP4.pdf", "Melting_Curves/meltCurve_Q13107_2_USP4.pdf")</f>
        <v>Melting_Curves/meltCurve_Q13107_2_USP4.pdf</v>
      </c>
    </row>
    <row r="2886" spans="1:28" x14ac:dyDescent="0.25">
      <c r="A2886" t="s">
        <v>2890</v>
      </c>
      <c r="B2886">
        <v>0.99987803227770999</v>
      </c>
      <c r="C2886">
        <v>0.85966131382863298</v>
      </c>
      <c r="D2886">
        <v>0.92066801074424498</v>
      </c>
      <c r="E2886">
        <v>0.84276026327284204</v>
      </c>
      <c r="F2886">
        <v>1.03252289271006</v>
      </c>
      <c r="G2886">
        <v>0.92608490938760502</v>
      </c>
      <c r="H2886">
        <v>0.97206530026942595</v>
      </c>
      <c r="I2886">
        <v>0.91713932209840099</v>
      </c>
      <c r="J2886">
        <v>0.99282204984024003</v>
      </c>
      <c r="K2886">
        <v>0.77798347471329798</v>
      </c>
      <c r="L2886">
        <v>60.355028867984203</v>
      </c>
      <c r="M2886">
        <v>1.0000000000000001E-5</v>
      </c>
      <c r="Q2886">
        <v>0.69173694859456403</v>
      </c>
      <c r="R2886">
        <v>2.1726988110841498E-2</v>
      </c>
      <c r="S2886" t="s">
        <v>9197</v>
      </c>
      <c r="T2886" t="s">
        <v>12620</v>
      </c>
      <c r="U2886" t="s">
        <v>12620</v>
      </c>
      <c r="V2886" t="s">
        <v>12620</v>
      </c>
      <c r="W2886" t="s">
        <v>15461</v>
      </c>
      <c r="X2886">
        <v>6</v>
      </c>
      <c r="Y2886" t="s">
        <v>21626</v>
      </c>
      <c r="Z2886" t="s">
        <v>27833</v>
      </c>
      <c r="AA2886">
        <v>0.92401210842360704</v>
      </c>
      <c r="AB2886" t="str">
        <f>HYPERLINK("Melting_Curves/meltCurve_Q13111_CHAF1A.pdf", "Melting_Curves/meltCurve_Q13111_CHAF1A.pdf")</f>
        <v>Melting_Curves/meltCurve_Q13111_CHAF1A.pdf</v>
      </c>
    </row>
    <row r="2887" spans="1:28" x14ac:dyDescent="0.25">
      <c r="A2887" t="s">
        <v>2891</v>
      </c>
      <c r="B2887">
        <v>0.99987803227770999</v>
      </c>
      <c r="C2887">
        <v>0.88506029652705898</v>
      </c>
      <c r="D2887">
        <v>0.99485964609433897</v>
      </c>
      <c r="E2887">
        <v>0.92455106029200995</v>
      </c>
      <c r="F2887">
        <v>1.1478671431451</v>
      </c>
      <c r="G2887">
        <v>0.82929156195220499</v>
      </c>
      <c r="H2887">
        <v>0.58265415391182795</v>
      </c>
      <c r="I2887">
        <v>0.43590834359547997</v>
      </c>
      <c r="J2887">
        <v>0.47168967755876801</v>
      </c>
      <c r="K2887">
        <v>0.40790418770293302</v>
      </c>
      <c r="L2887">
        <v>2103.54231791541</v>
      </c>
      <c r="M2887">
        <v>35.741143353863997</v>
      </c>
      <c r="N2887">
        <v>62.294735091051599</v>
      </c>
      <c r="O2887">
        <v>58.6715991876519</v>
      </c>
      <c r="P2887">
        <v>-8.6728325165877404E-2</v>
      </c>
      <c r="Q2887">
        <v>0.430519372987758</v>
      </c>
      <c r="R2887">
        <v>0.92620699821997599</v>
      </c>
      <c r="S2887" t="s">
        <v>9198</v>
      </c>
      <c r="T2887" t="s">
        <v>12620</v>
      </c>
      <c r="U2887" t="s">
        <v>12620</v>
      </c>
      <c r="V2887" t="s">
        <v>12620</v>
      </c>
      <c r="W2887" t="s">
        <v>15462</v>
      </c>
      <c r="X2887">
        <v>9</v>
      </c>
      <c r="Y2887" t="s">
        <v>21627</v>
      </c>
      <c r="Z2887" t="s">
        <v>27834</v>
      </c>
      <c r="AA2887">
        <v>0.79118553498604294</v>
      </c>
      <c r="AB2887" t="str">
        <f>HYPERLINK("Melting_Curves/meltCurve_Q13112_CHAF1B.pdf", "Melting_Curves/meltCurve_Q13112_CHAF1B.pdf")</f>
        <v>Melting_Curves/meltCurve_Q13112_CHAF1B.pdf</v>
      </c>
    </row>
    <row r="2888" spans="1:28" x14ac:dyDescent="0.25">
      <c r="A2888" t="s">
        <v>2892</v>
      </c>
      <c r="B2888">
        <v>0.99987803227770999</v>
      </c>
      <c r="C2888">
        <v>1.0199038319234599</v>
      </c>
      <c r="D2888">
        <v>0.89338538998705896</v>
      </c>
      <c r="E2888">
        <v>0.71114846264547604</v>
      </c>
      <c r="F2888">
        <v>0.42132755163059299</v>
      </c>
      <c r="G2888">
        <v>0.26530077015560799</v>
      </c>
      <c r="H2888">
        <v>0.18742883839305599</v>
      </c>
      <c r="I2888">
        <v>0.15075344338098101</v>
      </c>
      <c r="J2888">
        <v>0.140973713981106</v>
      </c>
      <c r="K2888">
        <v>8.5091220718559707E-2</v>
      </c>
      <c r="L2888">
        <v>947.89888817466795</v>
      </c>
      <c r="M2888">
        <v>18.363704971416901</v>
      </c>
      <c r="N2888">
        <v>52.380792489938798</v>
      </c>
      <c r="O2888">
        <v>51.017630807327798</v>
      </c>
      <c r="P2888">
        <v>-7.9433561446431294E-2</v>
      </c>
      <c r="Q2888">
        <v>0.117318132660994</v>
      </c>
      <c r="R2888">
        <v>0.99514847199011902</v>
      </c>
      <c r="S2888" t="s">
        <v>9199</v>
      </c>
      <c r="T2888" t="s">
        <v>12620</v>
      </c>
      <c r="U2888" t="s">
        <v>12620</v>
      </c>
      <c r="V2888" t="s">
        <v>12620</v>
      </c>
      <c r="W2888" t="s">
        <v>15463</v>
      </c>
      <c r="X2888">
        <v>2</v>
      </c>
      <c r="Y2888" t="s">
        <v>21628</v>
      </c>
      <c r="Z2888" t="s">
        <v>27835</v>
      </c>
      <c r="AA2888">
        <v>0.47340744059072709</v>
      </c>
      <c r="AB2888" t="str">
        <f>HYPERLINK("Melting_Curves/meltCurve_Q13114_2_TRAF3.pdf", "Melting_Curves/meltCurve_Q13114_2_TRAF3.pdf")</f>
        <v>Melting_Curves/meltCurve_Q13114_2_TRAF3.pdf</v>
      </c>
    </row>
    <row r="2889" spans="1:28" x14ac:dyDescent="0.25">
      <c r="A2889" t="s">
        <v>2893</v>
      </c>
      <c r="B2889">
        <v>0.99987803227770999</v>
      </c>
      <c r="C2889">
        <v>0.74045185286595905</v>
      </c>
      <c r="D2889">
        <v>0.48964153678217798</v>
      </c>
      <c r="E2889">
        <v>0.30978350126701398</v>
      </c>
      <c r="F2889">
        <v>0.194302770183368</v>
      </c>
      <c r="G2889">
        <v>0.178321502143963</v>
      </c>
      <c r="H2889">
        <v>8.9643202256451504E-2</v>
      </c>
      <c r="I2889">
        <v>6.3396323823412204E-2</v>
      </c>
      <c r="J2889">
        <v>3.2943280571069398E-2</v>
      </c>
      <c r="K2889">
        <v>2.2862232849276701E-2</v>
      </c>
      <c r="L2889">
        <v>653.90928625932702</v>
      </c>
      <c r="M2889">
        <v>14.1541335086649</v>
      </c>
      <c r="N2889">
        <v>46.5560915326989</v>
      </c>
      <c r="O2889">
        <v>45.3063359498382</v>
      </c>
      <c r="P2889">
        <v>-7.4096138858847901E-2</v>
      </c>
      <c r="Q2889">
        <v>5.1415498278841502E-2</v>
      </c>
      <c r="R2889">
        <v>0.980741968016966</v>
      </c>
      <c r="S2889" t="s">
        <v>9200</v>
      </c>
      <c r="T2889" t="s">
        <v>12620</v>
      </c>
      <c r="U2889" t="s">
        <v>12620</v>
      </c>
      <c r="V2889" t="s">
        <v>12620</v>
      </c>
      <c r="W2889" t="s">
        <v>15464</v>
      </c>
      <c r="X2889">
        <v>2</v>
      </c>
      <c r="Y2889" t="s">
        <v>21629</v>
      </c>
      <c r="Z2889" t="s">
        <v>27836</v>
      </c>
      <c r="AA2889">
        <v>0.27817293659905712</v>
      </c>
      <c r="AB2889" t="str">
        <f>HYPERLINK("Melting_Curves/meltCurve_Q13115_DUSP4.pdf", "Melting_Curves/meltCurve_Q13115_DUSP4.pdf")</f>
        <v>Melting_Curves/meltCurve_Q13115_DUSP4.pdf</v>
      </c>
    </row>
    <row r="2890" spans="1:28" x14ac:dyDescent="0.25">
      <c r="A2890" t="s">
        <v>2894</v>
      </c>
      <c r="B2890">
        <v>0.99987803227770999</v>
      </c>
      <c r="C2890">
        <v>1.0050187327210001</v>
      </c>
      <c r="D2890">
        <v>1.02845556705056</v>
      </c>
      <c r="E2890">
        <v>0.96394025073324296</v>
      </c>
      <c r="F2890">
        <v>0.791753260954979</v>
      </c>
      <c r="G2890">
        <v>0.51221035225715905</v>
      </c>
      <c r="H2890">
        <v>0.45264302011758001</v>
      </c>
      <c r="I2890">
        <v>0.41109617507948598</v>
      </c>
      <c r="J2890">
        <v>0.46627650319566499</v>
      </c>
      <c r="K2890">
        <v>0.40347764685561699</v>
      </c>
      <c r="L2890">
        <v>1785.5713726976701</v>
      </c>
      <c r="M2890">
        <v>33.115217087176902</v>
      </c>
      <c r="N2890">
        <v>57.306749824025403</v>
      </c>
      <c r="O2890">
        <v>53.724476831335103</v>
      </c>
      <c r="P2890">
        <v>-8.7933651018329201E-2</v>
      </c>
      <c r="Q2890">
        <v>0.42936583839308901</v>
      </c>
      <c r="R2890">
        <v>0.99488525101825198</v>
      </c>
      <c r="S2890" t="s">
        <v>9201</v>
      </c>
      <c r="T2890" t="s">
        <v>12620</v>
      </c>
      <c r="U2890" t="s">
        <v>12620</v>
      </c>
      <c r="V2890" t="s">
        <v>12620</v>
      </c>
      <c r="W2890" t="s">
        <v>15465</v>
      </c>
      <c r="X2890">
        <v>11</v>
      </c>
      <c r="Y2890" t="s">
        <v>21630</v>
      </c>
      <c r="Z2890" t="s">
        <v>27837</v>
      </c>
      <c r="AA2890">
        <v>0.69722815430598539</v>
      </c>
      <c r="AB2890" t="str">
        <f>HYPERLINK("Melting_Curves/meltCurve_Q13123_IK.pdf", "Melting_Curves/meltCurve_Q13123_IK.pdf")</f>
        <v>Melting_Curves/meltCurve_Q13123_IK.pdf</v>
      </c>
    </row>
    <row r="2891" spans="1:28" x14ac:dyDescent="0.25">
      <c r="A2891" t="s">
        <v>2895</v>
      </c>
      <c r="B2891">
        <v>0.99987803227770999</v>
      </c>
      <c r="C2891">
        <v>1.0271532282853399</v>
      </c>
      <c r="D2891">
        <v>1.0023708703785199</v>
      </c>
      <c r="E2891">
        <v>0.99320562935517298</v>
      </c>
      <c r="F2891">
        <v>0.70942147039083003</v>
      </c>
      <c r="G2891">
        <v>0.31223722960286898</v>
      </c>
      <c r="H2891">
        <v>0.17316318401602199</v>
      </c>
      <c r="I2891">
        <v>0.141723336978127</v>
      </c>
      <c r="J2891">
        <v>0.101144199785418</v>
      </c>
      <c r="K2891">
        <v>6.7629543537671505E-2</v>
      </c>
      <c r="L2891">
        <v>1561.5050394713101</v>
      </c>
      <c r="M2891">
        <v>28.601844503809499</v>
      </c>
      <c r="N2891">
        <v>55.045926352798297</v>
      </c>
      <c r="O2891">
        <v>54.329768693540501</v>
      </c>
      <c r="P2891">
        <v>-0.117855799583477</v>
      </c>
      <c r="Q2891">
        <v>0.104529388701101</v>
      </c>
      <c r="R2891">
        <v>0.99572487794729303</v>
      </c>
      <c r="S2891" t="s">
        <v>9202</v>
      </c>
      <c r="T2891" t="s">
        <v>12620</v>
      </c>
      <c r="U2891" t="s">
        <v>12620</v>
      </c>
      <c r="V2891" t="s">
        <v>12620</v>
      </c>
      <c r="W2891" t="s">
        <v>15466</v>
      </c>
      <c r="X2891">
        <v>13</v>
      </c>
      <c r="Y2891" t="s">
        <v>21631</v>
      </c>
      <c r="Z2891" t="s">
        <v>27838</v>
      </c>
      <c r="AA2891">
        <v>0.54664133721184927</v>
      </c>
      <c r="AB2891" t="str">
        <f>HYPERLINK("Melting_Curves/meltCurve_Q13131_PRKAA1.pdf", "Melting_Curves/meltCurve_Q13131_PRKAA1.pdf")</f>
        <v>Melting_Curves/meltCurve_Q13131_PRKAA1.pdf</v>
      </c>
    </row>
    <row r="2892" spans="1:28" x14ac:dyDescent="0.25">
      <c r="A2892" t="s">
        <v>2896</v>
      </c>
      <c r="B2892">
        <v>0.99987803227770999</v>
      </c>
      <c r="C2892">
        <v>1.0374973334406701</v>
      </c>
      <c r="D2892">
        <v>1.02781320390783</v>
      </c>
      <c r="E2892">
        <v>0.95212771038487398</v>
      </c>
      <c r="F2892">
        <v>0.79474958026207598</v>
      </c>
      <c r="G2892">
        <v>0.65841259645460004</v>
      </c>
      <c r="H2892">
        <v>0.64248141919341295</v>
      </c>
      <c r="I2892">
        <v>0.58313233064277403</v>
      </c>
      <c r="J2892">
        <v>0.55778468154040795</v>
      </c>
      <c r="K2892">
        <v>0.43606139297804702</v>
      </c>
      <c r="L2892">
        <v>823.93468688983899</v>
      </c>
      <c r="M2892">
        <v>14.8132260417035</v>
      </c>
      <c r="O2892">
        <v>54.637402059185</v>
      </c>
      <c r="P2892">
        <v>-3.4864098167816202E-2</v>
      </c>
      <c r="Q2892">
        <v>0.48568080840396599</v>
      </c>
      <c r="R2892">
        <v>0.95882538473695</v>
      </c>
      <c r="S2892" t="s">
        <v>9203</v>
      </c>
      <c r="T2892" t="s">
        <v>12620</v>
      </c>
      <c r="U2892" t="s">
        <v>12620</v>
      </c>
      <c r="V2892" t="s">
        <v>12620</v>
      </c>
      <c r="W2892" t="s">
        <v>15467</v>
      </c>
      <c r="X2892">
        <v>37</v>
      </c>
      <c r="Y2892" t="s">
        <v>21632</v>
      </c>
      <c r="Z2892" t="s">
        <v>27839</v>
      </c>
      <c r="AA2892">
        <v>0.76305217948745185</v>
      </c>
      <c r="AB2892" t="str">
        <f>HYPERLINK("Melting_Curves/meltCurve_Q13136_PPFIA1.pdf", "Melting_Curves/meltCurve_Q13136_PPFIA1.pdf")</f>
        <v>Melting_Curves/meltCurve_Q13136_PPFIA1.pdf</v>
      </c>
    </row>
    <row r="2893" spans="1:28" x14ac:dyDescent="0.25">
      <c r="A2893" t="s">
        <v>2897</v>
      </c>
      <c r="B2893">
        <v>0.99987803227770999</v>
      </c>
      <c r="C2893">
        <v>0.417110632981606</v>
      </c>
      <c r="D2893">
        <v>0.841003706716835</v>
      </c>
      <c r="E2893">
        <v>0.33728479583583798</v>
      </c>
      <c r="F2893">
        <v>0.22754219925668601</v>
      </c>
      <c r="G2893">
        <v>0.12863840663160001</v>
      </c>
      <c r="H2893">
        <v>0.122333364828275</v>
      </c>
      <c r="I2893">
        <v>0.105757221926276</v>
      </c>
      <c r="J2893">
        <v>0.12780914937629501</v>
      </c>
      <c r="K2893">
        <v>0.10265541713194</v>
      </c>
      <c r="L2893">
        <v>495.364281327166</v>
      </c>
      <c r="M2893">
        <v>10.5888664630597</v>
      </c>
      <c r="N2893">
        <v>47.308961586458203</v>
      </c>
      <c r="O2893">
        <v>45.2055892432506</v>
      </c>
      <c r="P2893">
        <v>-5.5321168342137003E-2</v>
      </c>
      <c r="Q2893">
        <v>5.5668695427896597E-2</v>
      </c>
      <c r="R2893">
        <v>0.78864444428202096</v>
      </c>
      <c r="S2893" t="s">
        <v>9204</v>
      </c>
      <c r="T2893" t="s">
        <v>12620</v>
      </c>
      <c r="U2893" t="s">
        <v>12620</v>
      </c>
      <c r="V2893" t="s">
        <v>12620</v>
      </c>
      <c r="W2893" t="s">
        <v>15468</v>
      </c>
      <c r="X2893">
        <v>7</v>
      </c>
      <c r="Y2893" t="s">
        <v>21633</v>
      </c>
      <c r="Z2893" t="s">
        <v>27840</v>
      </c>
      <c r="AA2893">
        <v>0.31940470291270229</v>
      </c>
      <c r="AB2893" t="str">
        <f>HYPERLINK("Melting_Curves/meltCurve_Q13148_TARDBP.pdf", "Melting_Curves/meltCurve_Q13148_TARDBP.pdf")</f>
        <v>Melting_Curves/meltCurve_Q13148_TARDBP.pdf</v>
      </c>
    </row>
    <row r="2894" spans="1:28" x14ac:dyDescent="0.25">
      <c r="A2894" t="s">
        <v>2898</v>
      </c>
      <c r="B2894">
        <v>0.99987803227770999</v>
      </c>
      <c r="C2894">
        <v>0.82751810453605001</v>
      </c>
      <c r="D2894">
        <v>0.75536253347697602</v>
      </c>
      <c r="E2894">
        <v>0.56357145942766795</v>
      </c>
      <c r="F2894">
        <v>0.40518782581907897</v>
      </c>
      <c r="G2894">
        <v>0.234645700508922</v>
      </c>
      <c r="H2894">
        <v>0.25878791236932103</v>
      </c>
      <c r="I2894">
        <v>0.20342916920354501</v>
      </c>
      <c r="J2894">
        <v>0.26765401029366198</v>
      </c>
      <c r="K2894">
        <v>0.22582408373500701</v>
      </c>
      <c r="L2894">
        <v>660.641262883737</v>
      </c>
      <c r="M2894">
        <v>13.589338613934901</v>
      </c>
      <c r="N2894">
        <v>50.5565037082362</v>
      </c>
      <c r="O2894">
        <v>47.598168135587699</v>
      </c>
      <c r="P2894">
        <v>-5.6871744562808899E-2</v>
      </c>
      <c r="Q2894">
        <v>0.203320003060875</v>
      </c>
      <c r="R2894">
        <v>0.98213182376992803</v>
      </c>
      <c r="S2894" t="s">
        <v>9205</v>
      </c>
      <c r="T2894" t="s">
        <v>12620</v>
      </c>
      <c r="U2894" t="s">
        <v>12620</v>
      </c>
      <c r="V2894" t="s">
        <v>12620</v>
      </c>
      <c r="W2894" t="s">
        <v>15469</v>
      </c>
      <c r="X2894">
        <v>5</v>
      </c>
      <c r="Y2894" t="s">
        <v>21634</v>
      </c>
      <c r="Z2894" t="s">
        <v>27841</v>
      </c>
      <c r="AA2894">
        <v>0.45612179121039292</v>
      </c>
      <c r="AB2894" t="str">
        <f>HYPERLINK("Melting_Curves/meltCurve_Q13151_HNRNPA0.pdf", "Melting_Curves/meltCurve_Q13151_HNRNPA0.pdf")</f>
        <v>Melting_Curves/meltCurve_Q13151_HNRNPA0.pdf</v>
      </c>
    </row>
    <row r="2895" spans="1:28" x14ac:dyDescent="0.25">
      <c r="A2895" t="s">
        <v>2899</v>
      </c>
      <c r="B2895">
        <v>0.99987803227770999</v>
      </c>
      <c r="C2895">
        <v>0.94499810461538303</v>
      </c>
      <c r="D2895">
        <v>0.97283609076442901</v>
      </c>
      <c r="E2895">
        <v>0.96744401356175103</v>
      </c>
      <c r="F2895">
        <v>1.1153032613938301</v>
      </c>
      <c r="G2895">
        <v>0.76744580085900604</v>
      </c>
      <c r="H2895">
        <v>0.22952513157273999</v>
      </c>
      <c r="I2895">
        <v>0.16169413353804099</v>
      </c>
      <c r="J2895">
        <v>0.124293830390992</v>
      </c>
      <c r="K2895">
        <v>9.5723421528082095E-2</v>
      </c>
      <c r="L2895">
        <v>2724.5484365674201</v>
      </c>
      <c r="M2895">
        <v>46.7134594346944</v>
      </c>
      <c r="N2895">
        <v>58.6795172997995</v>
      </c>
      <c r="O2895">
        <v>58.218120830576801</v>
      </c>
      <c r="P2895">
        <v>-0.17591626103121499</v>
      </c>
      <c r="Q2895">
        <v>0.123036384039068</v>
      </c>
      <c r="R2895">
        <v>0.98687869184510901</v>
      </c>
      <c r="S2895" t="s">
        <v>9206</v>
      </c>
      <c r="T2895" t="s">
        <v>12620</v>
      </c>
      <c r="U2895" t="s">
        <v>12620</v>
      </c>
      <c r="V2895" t="s">
        <v>12620</v>
      </c>
      <c r="W2895" t="s">
        <v>15470</v>
      </c>
      <c r="X2895">
        <v>19</v>
      </c>
      <c r="Y2895" t="s">
        <v>21635</v>
      </c>
      <c r="Z2895" t="s">
        <v>27842</v>
      </c>
      <c r="AA2895">
        <v>0.66127019630125805</v>
      </c>
      <c r="AB2895" t="str">
        <f>HYPERLINK("Melting_Curves/meltCurve_Q13153_PAK1.pdf", "Melting_Curves/meltCurve_Q13153_PAK1.pdf")</f>
        <v>Melting_Curves/meltCurve_Q13153_PAK1.pdf</v>
      </c>
    </row>
    <row r="2896" spans="1:28" x14ac:dyDescent="0.25">
      <c r="A2896" t="s">
        <v>2900</v>
      </c>
      <c r="B2896">
        <v>0.99987803227770999</v>
      </c>
      <c r="C2896">
        <v>0.671670895900075</v>
      </c>
      <c r="D2896">
        <v>0.54373083848412396</v>
      </c>
      <c r="E2896">
        <v>0.52557839605036605</v>
      </c>
      <c r="F2896">
        <v>0.28199179453309198</v>
      </c>
      <c r="G2896">
        <v>0.123801246086243</v>
      </c>
      <c r="H2896">
        <v>5.2647249282758199E-2</v>
      </c>
      <c r="I2896">
        <v>3.5600474591414903E-2</v>
      </c>
      <c r="J2896">
        <v>3.53195866472856E-2</v>
      </c>
      <c r="K2896">
        <v>2.4265230472616101E-2</v>
      </c>
      <c r="L2896">
        <v>505.77745500473702</v>
      </c>
      <c r="M2896">
        <v>10.54749715734</v>
      </c>
      <c r="N2896">
        <v>47.952367604176303</v>
      </c>
      <c r="O2896">
        <v>46.324908405710502</v>
      </c>
      <c r="P2896">
        <v>-5.6943878005875997E-2</v>
      </c>
      <c r="Q2896">
        <v>0</v>
      </c>
      <c r="R2896">
        <v>0.95284318691715297</v>
      </c>
      <c r="S2896" t="s">
        <v>9207</v>
      </c>
      <c r="T2896" t="s">
        <v>12620</v>
      </c>
      <c r="U2896" t="s">
        <v>12620</v>
      </c>
      <c r="V2896" t="s">
        <v>12620</v>
      </c>
      <c r="W2896" t="s">
        <v>15471</v>
      </c>
      <c r="X2896">
        <v>6</v>
      </c>
      <c r="Y2896" t="s">
        <v>21636</v>
      </c>
      <c r="Z2896" t="s">
        <v>27843</v>
      </c>
      <c r="AA2896">
        <v>0.3139348404419971</v>
      </c>
      <c r="AB2896" t="str">
        <f>HYPERLINK("Melting_Curves/meltCurve_Q13155_AIMP2.pdf", "Melting_Curves/meltCurve_Q13155_AIMP2.pdf")</f>
        <v>Melting_Curves/meltCurve_Q13155_AIMP2.pdf</v>
      </c>
    </row>
    <row r="2897" spans="1:28" x14ac:dyDescent="0.25">
      <c r="A2897" t="s">
        <v>2901</v>
      </c>
      <c r="B2897">
        <v>0.99987803227770999</v>
      </c>
      <c r="C2897">
        <v>0.82800237338844496</v>
      </c>
      <c r="D2897">
        <v>0.96879239707477205</v>
      </c>
      <c r="E2897">
        <v>0.75155277357054695</v>
      </c>
      <c r="F2897">
        <v>0.66561572202294395</v>
      </c>
      <c r="G2897">
        <v>0.303954865551403</v>
      </c>
      <c r="H2897">
        <v>0.18844363354730301</v>
      </c>
      <c r="I2897">
        <v>0.15043149389058999</v>
      </c>
      <c r="J2897">
        <v>0.12468256979360599</v>
      </c>
      <c r="K2897">
        <v>9.0242479394619199E-2</v>
      </c>
      <c r="L2897">
        <v>807.62563794906498</v>
      </c>
      <c r="M2897">
        <v>14.9571346473513</v>
      </c>
      <c r="N2897">
        <v>54.457665542047202</v>
      </c>
      <c r="O2897">
        <v>53.058391048727302</v>
      </c>
      <c r="P2897">
        <v>-6.62854325538208E-2</v>
      </c>
      <c r="Q2897">
        <v>5.9542031919162498E-2</v>
      </c>
      <c r="R2897">
        <v>0.97300218052603404</v>
      </c>
      <c r="S2897" t="s">
        <v>9208</v>
      </c>
      <c r="T2897" t="s">
        <v>12620</v>
      </c>
      <c r="U2897" t="s">
        <v>12620</v>
      </c>
      <c r="V2897" t="s">
        <v>12620</v>
      </c>
      <c r="W2897" t="s">
        <v>15472</v>
      </c>
      <c r="X2897">
        <v>11</v>
      </c>
      <c r="Y2897" t="s">
        <v>21637</v>
      </c>
      <c r="Z2897" t="s">
        <v>27844</v>
      </c>
      <c r="AA2897">
        <v>0.51766598040528145</v>
      </c>
      <c r="AB2897" t="str">
        <f>HYPERLINK("Melting_Curves/meltCurve_Q13158_FADD.pdf", "Melting_Curves/meltCurve_Q13158_FADD.pdf")</f>
        <v>Melting_Curves/meltCurve_Q13158_FADD.pdf</v>
      </c>
    </row>
    <row r="2898" spans="1:28" x14ac:dyDescent="0.25">
      <c r="A2898" t="s">
        <v>2902</v>
      </c>
      <c r="B2898">
        <v>0.99987803227770999</v>
      </c>
      <c r="C2898">
        <v>0.952906975895353</v>
      </c>
      <c r="D2898">
        <v>0.89766689219769602</v>
      </c>
      <c r="E2898">
        <v>1.0354040768894399</v>
      </c>
      <c r="F2898">
        <v>0.90767861799070904</v>
      </c>
      <c r="G2898">
        <v>1.11332300099826</v>
      </c>
      <c r="H2898">
        <v>1.15162801223304</v>
      </c>
      <c r="I2898">
        <v>1.0674735857864499</v>
      </c>
      <c r="J2898">
        <v>0.977876071485829</v>
      </c>
      <c r="K2898">
        <v>0.66979731051318403</v>
      </c>
      <c r="L2898">
        <v>15000</v>
      </c>
      <c r="M2898">
        <v>221.24578062854101</v>
      </c>
      <c r="O2898">
        <v>67.792363662148801</v>
      </c>
      <c r="P2898">
        <v>-0.26966638565291701</v>
      </c>
      <c r="Q2898">
        <v>0.66948392704993698</v>
      </c>
      <c r="R2898">
        <v>0.62420380277016596</v>
      </c>
      <c r="S2898" t="s">
        <v>9209</v>
      </c>
      <c r="T2898" t="s">
        <v>12620</v>
      </c>
      <c r="U2898" t="s">
        <v>12620</v>
      </c>
      <c r="V2898" t="s">
        <v>12620</v>
      </c>
      <c r="W2898" t="s">
        <v>15473</v>
      </c>
      <c r="X2898">
        <v>13</v>
      </c>
      <c r="Y2898" t="s">
        <v>21638</v>
      </c>
      <c r="Z2898" t="s">
        <v>27845</v>
      </c>
      <c r="AA2898">
        <v>0.97578582223777588</v>
      </c>
      <c r="AB2898" t="str">
        <f>HYPERLINK("Melting_Curves/meltCurve_Q13162_PRDX4.pdf", "Melting_Curves/meltCurve_Q13162_PRDX4.pdf")</f>
        <v>Melting_Curves/meltCurve_Q13162_PRDX4.pdf</v>
      </c>
    </row>
    <row r="2899" spans="1:28" x14ac:dyDescent="0.25">
      <c r="A2899" t="s">
        <v>2903</v>
      </c>
      <c r="B2899">
        <v>0.99987803227770999</v>
      </c>
      <c r="C2899">
        <v>0.86118002558228102</v>
      </c>
      <c r="D2899">
        <v>0.88942709019614696</v>
      </c>
      <c r="E2899">
        <v>0.56259906497118795</v>
      </c>
      <c r="F2899">
        <v>0.22547552762918599</v>
      </c>
      <c r="G2899">
        <v>0.121218741988477</v>
      </c>
      <c r="H2899">
        <v>7.8857978821535807E-2</v>
      </c>
      <c r="I2899">
        <v>6.6773046091106902E-2</v>
      </c>
      <c r="J2899">
        <v>5.1485836114715397E-2</v>
      </c>
      <c r="K2899">
        <v>3.4787566839376498E-2</v>
      </c>
      <c r="L2899">
        <v>1060.44360912617</v>
      </c>
      <c r="M2899">
        <v>21.183429990834799</v>
      </c>
      <c r="N2899">
        <v>50.288008915613197</v>
      </c>
      <c r="O2899">
        <v>49.620340113315699</v>
      </c>
      <c r="P2899">
        <v>-0.10184427604849899</v>
      </c>
      <c r="Q2899">
        <v>4.5779350511186402E-2</v>
      </c>
      <c r="R2899">
        <v>0.98831476826920905</v>
      </c>
      <c r="S2899" t="s">
        <v>9210</v>
      </c>
      <c r="T2899" t="s">
        <v>12620</v>
      </c>
      <c r="U2899" t="s">
        <v>12620</v>
      </c>
      <c r="V2899" t="s">
        <v>12620</v>
      </c>
      <c r="W2899" t="s">
        <v>15474</v>
      </c>
      <c r="X2899">
        <v>1</v>
      </c>
      <c r="Y2899" t="s">
        <v>21639</v>
      </c>
      <c r="Z2899" t="s">
        <v>27846</v>
      </c>
      <c r="AA2899">
        <v>0.37763062986298052</v>
      </c>
      <c r="AB2899" t="str">
        <f>HYPERLINK("Melting_Curves/meltCurve_Q13163_4_MAP2K5.pdf", "Melting_Curves/meltCurve_Q13163_4_MAP2K5.pdf")</f>
        <v>Melting_Curves/meltCurve_Q13163_4_MAP2K5.pdf</v>
      </c>
    </row>
    <row r="2900" spans="1:28" x14ac:dyDescent="0.25">
      <c r="A2900" t="s">
        <v>2904</v>
      </c>
      <c r="B2900">
        <v>0.99987803227770999</v>
      </c>
      <c r="C2900">
        <v>0.98083319688980697</v>
      </c>
      <c r="D2900">
        <v>0.94578986083967698</v>
      </c>
      <c r="E2900">
        <v>0.764068488150633</v>
      </c>
      <c r="F2900">
        <v>0.42007752750947303</v>
      </c>
      <c r="G2900">
        <v>0.33239253551339698</v>
      </c>
      <c r="H2900">
        <v>0.19438831490950501</v>
      </c>
      <c r="I2900">
        <v>0.186483123836201</v>
      </c>
      <c r="J2900">
        <v>0.14825545146687499</v>
      </c>
      <c r="K2900">
        <v>9.8064717874566595E-2</v>
      </c>
      <c r="L2900">
        <v>995.21041132685298</v>
      </c>
      <c r="M2900">
        <v>19.143369734612001</v>
      </c>
      <c r="N2900">
        <v>52.889736387302001</v>
      </c>
      <c r="O2900">
        <v>51.429878416053398</v>
      </c>
      <c r="P2900">
        <v>-8.0092554765454599E-2</v>
      </c>
      <c r="Q2900">
        <v>0.139338293620171</v>
      </c>
      <c r="R2900">
        <v>0.98964724021953798</v>
      </c>
      <c r="S2900" t="s">
        <v>9211</v>
      </c>
      <c r="T2900" t="s">
        <v>12620</v>
      </c>
      <c r="U2900" t="s">
        <v>12620</v>
      </c>
      <c r="V2900" t="s">
        <v>12620</v>
      </c>
      <c r="W2900" t="s">
        <v>15475</v>
      </c>
      <c r="X2900">
        <v>5</v>
      </c>
      <c r="Y2900" t="s">
        <v>21640</v>
      </c>
      <c r="Z2900" t="s">
        <v>27847</v>
      </c>
      <c r="AA2900">
        <v>0.49611037052625512</v>
      </c>
      <c r="AB2900" t="str">
        <f>HYPERLINK("Melting_Curves/meltCurve_Q13164_MAPK7.pdf", "Melting_Curves/meltCurve_Q13164_MAPK7.pdf")</f>
        <v>Melting_Curves/meltCurve_Q13164_MAPK7.pdf</v>
      </c>
    </row>
    <row r="2901" spans="1:28" x14ac:dyDescent="0.25">
      <c r="A2901" t="s">
        <v>2905</v>
      </c>
      <c r="B2901">
        <v>0.99987803227770999</v>
      </c>
      <c r="C2901">
        <v>0.91102312232222604</v>
      </c>
      <c r="D2901">
        <v>1.0099370887918</v>
      </c>
      <c r="E2901">
        <v>0.89178287943928802</v>
      </c>
      <c r="F2901">
        <v>0.96111957682191795</v>
      </c>
      <c r="G2901">
        <v>0.64678584595072797</v>
      </c>
      <c r="H2901">
        <v>0.25620398337413203</v>
      </c>
      <c r="I2901">
        <v>0.16291304905562701</v>
      </c>
      <c r="J2901">
        <v>0.115254667029801</v>
      </c>
      <c r="K2901">
        <v>8.8729962101601098E-2</v>
      </c>
      <c r="L2901">
        <v>1611.68403090898</v>
      </c>
      <c r="M2901">
        <v>27.8316024320367</v>
      </c>
      <c r="N2901">
        <v>58.324139660670497</v>
      </c>
      <c r="O2901">
        <v>57.611929114670097</v>
      </c>
      <c r="P2901">
        <v>-0.109907442970246</v>
      </c>
      <c r="Q2901">
        <v>8.9966292377385806E-2</v>
      </c>
      <c r="R2901">
        <v>0.987200568538107</v>
      </c>
      <c r="S2901" t="s">
        <v>9212</v>
      </c>
      <c r="T2901" t="s">
        <v>12620</v>
      </c>
      <c r="U2901" t="s">
        <v>12620</v>
      </c>
      <c r="V2901" t="s">
        <v>12620</v>
      </c>
      <c r="W2901" t="s">
        <v>15476</v>
      </c>
      <c r="X2901">
        <v>22</v>
      </c>
      <c r="Y2901" t="s">
        <v>21641</v>
      </c>
      <c r="Z2901" t="s">
        <v>27848</v>
      </c>
      <c r="AA2901">
        <v>0.63998212695252421</v>
      </c>
      <c r="AB2901" t="str">
        <f>HYPERLINK("Melting_Curves/meltCurve_Q13177_PAK2.pdf", "Melting_Curves/meltCurve_Q13177_PAK2.pdf")</f>
        <v>Melting_Curves/meltCurve_Q13177_PAK2.pdf</v>
      </c>
    </row>
    <row r="2902" spans="1:28" x14ac:dyDescent="0.25">
      <c r="A2902" t="s">
        <v>2906</v>
      </c>
      <c r="B2902">
        <v>0.99987803227770999</v>
      </c>
      <c r="C2902">
        <v>0.86445567911940902</v>
      </c>
      <c r="D2902">
        <v>1.0173672594575001</v>
      </c>
      <c r="E2902">
        <v>0.90138488601030697</v>
      </c>
      <c r="F2902">
        <v>1.0254001252855101</v>
      </c>
      <c r="G2902">
        <v>0.78977281812836697</v>
      </c>
      <c r="H2902">
        <v>0.62349953691443105</v>
      </c>
      <c r="I2902">
        <v>0.57320496549686095</v>
      </c>
      <c r="J2902">
        <v>0.455779020061296</v>
      </c>
      <c r="K2902">
        <v>0.35236236950466998</v>
      </c>
      <c r="L2902">
        <v>801.61190767241203</v>
      </c>
      <c r="M2902">
        <v>12.871701191548199</v>
      </c>
      <c r="N2902">
        <v>65.143411870963106</v>
      </c>
      <c r="O2902">
        <v>60.831347009106501</v>
      </c>
      <c r="P2902">
        <v>-4.1469654084098702E-2</v>
      </c>
      <c r="Q2902">
        <v>0.21620546130495999</v>
      </c>
      <c r="R2902">
        <v>0.93220386984641601</v>
      </c>
      <c r="S2902" t="s">
        <v>9213</v>
      </c>
      <c r="T2902" t="s">
        <v>12620</v>
      </c>
      <c r="U2902" t="s">
        <v>12620</v>
      </c>
      <c r="V2902" t="s">
        <v>12620</v>
      </c>
      <c r="W2902" t="s">
        <v>15477</v>
      </c>
      <c r="X2902">
        <v>8</v>
      </c>
      <c r="Y2902" t="s">
        <v>21642</v>
      </c>
      <c r="Z2902" t="s">
        <v>27849</v>
      </c>
      <c r="AA2902">
        <v>0.79016641679871391</v>
      </c>
      <c r="AB2902" t="str">
        <f>HYPERLINK("Melting_Curves/meltCurve_Q13185_CBX3.pdf", "Melting_Curves/meltCurve_Q13185_CBX3.pdf")</f>
        <v>Melting_Curves/meltCurve_Q13185_CBX3.pdf</v>
      </c>
    </row>
    <row r="2903" spans="1:28" x14ac:dyDescent="0.25">
      <c r="A2903" t="s">
        <v>2907</v>
      </c>
      <c r="B2903">
        <v>0.99987803227770999</v>
      </c>
      <c r="C2903">
        <v>1.0366543021608601</v>
      </c>
      <c r="D2903">
        <v>1.04967780948435</v>
      </c>
      <c r="E2903">
        <v>0.93844175652864603</v>
      </c>
      <c r="F2903">
        <v>0.66962777096705905</v>
      </c>
      <c r="G2903">
        <v>0.31754291856643901</v>
      </c>
      <c r="H2903">
        <v>0.14434061385018901</v>
      </c>
      <c r="I2903">
        <v>9.4702669076901294E-2</v>
      </c>
      <c r="J2903">
        <v>6.9347995690054495E-2</v>
      </c>
      <c r="K2903">
        <v>5.2009971411316601E-2</v>
      </c>
      <c r="L2903">
        <v>1338.8759800963501</v>
      </c>
      <c r="M2903">
        <v>24.529766656068801</v>
      </c>
      <c r="N2903">
        <v>54.888581400396802</v>
      </c>
      <c r="O2903">
        <v>54.222812132291502</v>
      </c>
      <c r="P2903">
        <v>-0.10585120015048</v>
      </c>
      <c r="Q2903">
        <v>6.4081391755810402E-2</v>
      </c>
      <c r="R2903">
        <v>0.99600265216128903</v>
      </c>
      <c r="S2903" t="s">
        <v>9214</v>
      </c>
      <c r="T2903" t="s">
        <v>12620</v>
      </c>
      <c r="U2903" t="s">
        <v>12620</v>
      </c>
      <c r="V2903" t="s">
        <v>12620</v>
      </c>
      <c r="W2903" t="s">
        <v>15478</v>
      </c>
      <c r="X2903">
        <v>15</v>
      </c>
      <c r="Y2903" t="s">
        <v>21643</v>
      </c>
      <c r="Z2903" t="s">
        <v>27850</v>
      </c>
      <c r="AA2903">
        <v>0.5279536525358407</v>
      </c>
      <c r="AB2903" t="str">
        <f>HYPERLINK("Melting_Curves/meltCurve_Q13188_STK3.pdf", "Melting_Curves/meltCurve_Q13188_STK3.pdf")</f>
        <v>Melting_Curves/meltCurve_Q13188_STK3.pdf</v>
      </c>
    </row>
    <row r="2904" spans="1:28" x14ac:dyDescent="0.25">
      <c r="A2904" t="s">
        <v>2908</v>
      </c>
      <c r="B2904">
        <v>0.99987803227770999</v>
      </c>
      <c r="C2904">
        <v>1.0177254581452999</v>
      </c>
      <c r="D2904">
        <v>0.83871272568772803</v>
      </c>
      <c r="E2904">
        <v>0.61685717193814005</v>
      </c>
      <c r="F2904">
        <v>0.44774575866495497</v>
      </c>
      <c r="G2904">
        <v>0.30352230188944701</v>
      </c>
      <c r="H2904">
        <v>0.31054761931852598</v>
      </c>
      <c r="I2904">
        <v>0.26165290294902299</v>
      </c>
      <c r="J2904">
        <v>0.31375026900022202</v>
      </c>
      <c r="K2904">
        <v>0.25645172741494299</v>
      </c>
      <c r="L2904">
        <v>965.064109741518</v>
      </c>
      <c r="M2904">
        <v>19.449781700851702</v>
      </c>
      <c r="N2904">
        <v>51.723913486186497</v>
      </c>
      <c r="O2904">
        <v>49.102653611617903</v>
      </c>
      <c r="P2904">
        <v>-7.1946624707422302E-2</v>
      </c>
      <c r="Q2904">
        <v>0.27348446460581399</v>
      </c>
      <c r="R2904">
        <v>0.99208082446246604</v>
      </c>
      <c r="S2904" t="s">
        <v>9215</v>
      </c>
      <c r="T2904" t="s">
        <v>12620</v>
      </c>
      <c r="U2904" t="s">
        <v>12620</v>
      </c>
      <c r="V2904" t="s">
        <v>12620</v>
      </c>
      <c r="W2904" t="s">
        <v>15479</v>
      </c>
      <c r="X2904">
        <v>4</v>
      </c>
      <c r="Y2904" t="s">
        <v>21644</v>
      </c>
      <c r="Z2904" t="s">
        <v>27851</v>
      </c>
      <c r="AA2904">
        <v>0.51711728914929123</v>
      </c>
      <c r="AB2904" t="str">
        <f>HYPERLINK("Melting_Curves/meltCurve_Q13190_STX5.pdf", "Melting_Curves/meltCurve_Q13190_STX5.pdf")</f>
        <v>Melting_Curves/meltCurve_Q13190_STX5.pdf</v>
      </c>
    </row>
    <row r="2905" spans="1:28" x14ac:dyDescent="0.25">
      <c r="A2905" t="s">
        <v>2909</v>
      </c>
      <c r="B2905">
        <v>0.99987803227770999</v>
      </c>
      <c r="C2905">
        <v>0.97062775328083395</v>
      </c>
      <c r="D2905">
        <v>0.98158323654574398</v>
      </c>
      <c r="E2905">
        <v>0.86671346943398397</v>
      </c>
      <c r="F2905">
        <v>0.84752369980878295</v>
      </c>
      <c r="G2905">
        <v>0.64249649917365403</v>
      </c>
      <c r="H2905">
        <v>0.59354382645588499</v>
      </c>
      <c r="I2905">
        <v>0.53886080348290799</v>
      </c>
      <c r="J2905">
        <v>0.45247144801943701</v>
      </c>
      <c r="K2905">
        <v>0.36620547456459901</v>
      </c>
      <c r="L2905">
        <v>522.60664082301696</v>
      </c>
      <c r="M2905">
        <v>8.6722847003764993</v>
      </c>
      <c r="N2905">
        <v>64.247964620663296</v>
      </c>
      <c r="O2905">
        <v>57.314583361299803</v>
      </c>
      <c r="P2905">
        <v>-2.9982057643057902E-2</v>
      </c>
      <c r="Q2905">
        <v>0.20806338586655301</v>
      </c>
      <c r="R2905">
        <v>0.98431529863265599</v>
      </c>
      <c r="S2905" t="s">
        <v>9216</v>
      </c>
      <c r="T2905" t="s">
        <v>12620</v>
      </c>
      <c r="U2905" t="s">
        <v>12620</v>
      </c>
      <c r="V2905" t="s">
        <v>12620</v>
      </c>
      <c r="W2905" t="s">
        <v>15480</v>
      </c>
      <c r="X2905">
        <v>12</v>
      </c>
      <c r="Y2905" t="s">
        <v>21645</v>
      </c>
      <c r="Z2905" t="s">
        <v>27852</v>
      </c>
      <c r="AA2905">
        <v>0.73253503086661331</v>
      </c>
      <c r="AB2905" t="str">
        <f>HYPERLINK("Melting_Curves/meltCurve_Q13191_CBLB.pdf", "Melting_Curves/meltCurve_Q13191_CBLB.pdf")</f>
        <v>Melting_Curves/meltCurve_Q13191_CBLB.pdf</v>
      </c>
    </row>
    <row r="2906" spans="1:28" x14ac:dyDescent="0.25">
      <c r="A2906" t="s">
        <v>2910</v>
      </c>
      <c r="B2906">
        <v>0.99987803227770999</v>
      </c>
      <c r="C2906">
        <v>1.02579511055866</v>
      </c>
      <c r="D2906">
        <v>0.867434408797776</v>
      </c>
      <c r="E2906">
        <v>1.21172498689606</v>
      </c>
      <c r="F2906">
        <v>0.80756517098368097</v>
      </c>
      <c r="G2906">
        <v>0.45717452769864197</v>
      </c>
      <c r="H2906">
        <v>0.194972854725038</v>
      </c>
      <c r="I2906">
        <v>0.14397138132609999</v>
      </c>
      <c r="J2906">
        <v>0.11882442018350201</v>
      </c>
      <c r="K2906">
        <v>7.2993599829727196E-2</v>
      </c>
      <c r="L2906">
        <v>1705.73490838015</v>
      </c>
      <c r="M2906">
        <v>30.387840668667302</v>
      </c>
      <c r="N2906">
        <v>56.5786812194021</v>
      </c>
      <c r="O2906">
        <v>55.8907448828543</v>
      </c>
      <c r="P2906">
        <v>-0.121434381844989</v>
      </c>
      <c r="Q2906">
        <v>0.106614240350196</v>
      </c>
      <c r="R2906">
        <v>0.95479670283998097</v>
      </c>
      <c r="S2906" t="s">
        <v>9217</v>
      </c>
      <c r="T2906" t="s">
        <v>12620</v>
      </c>
      <c r="U2906" t="s">
        <v>12620</v>
      </c>
      <c r="V2906" t="s">
        <v>12620</v>
      </c>
      <c r="W2906" t="s">
        <v>15481</v>
      </c>
      <c r="X2906">
        <v>37</v>
      </c>
      <c r="Y2906" t="s">
        <v>21646</v>
      </c>
      <c r="Z2906" t="s">
        <v>27853</v>
      </c>
      <c r="AA2906">
        <v>0.59284276565912775</v>
      </c>
      <c r="AB2906" t="str">
        <f>HYPERLINK("Melting_Curves/meltCurve_Q13200_PSMD2.pdf", "Melting_Curves/meltCurve_Q13200_PSMD2.pdf")</f>
        <v>Melting_Curves/meltCurve_Q13200_PSMD2.pdf</v>
      </c>
    </row>
    <row r="2907" spans="1:28" x14ac:dyDescent="0.25">
      <c r="A2907" t="s">
        <v>2911</v>
      </c>
      <c r="B2907">
        <v>0.99987803227770999</v>
      </c>
      <c r="C2907">
        <v>0.80734112714377004</v>
      </c>
      <c r="D2907">
        <v>1.03274814406991</v>
      </c>
      <c r="E2907">
        <v>0.844298291250282</v>
      </c>
      <c r="F2907">
        <v>1.11514218171452</v>
      </c>
      <c r="G2907">
        <v>0.91960182554026304</v>
      </c>
      <c r="H2907">
        <v>1.0091787257926199</v>
      </c>
      <c r="I2907">
        <v>0.89254649259346397</v>
      </c>
      <c r="J2907">
        <v>1.09830475550734</v>
      </c>
      <c r="K2907">
        <v>0.92949358564127504</v>
      </c>
      <c r="L2907">
        <v>44.276755804767902</v>
      </c>
      <c r="M2907">
        <v>20.432418872649901</v>
      </c>
      <c r="Q2907">
        <v>0.96485331646628103</v>
      </c>
      <c r="R2907">
        <v>-6.2144067669578401E-11</v>
      </c>
      <c r="S2907" t="s">
        <v>9218</v>
      </c>
      <c r="T2907" t="s">
        <v>12620</v>
      </c>
      <c r="U2907" t="s">
        <v>12620</v>
      </c>
      <c r="V2907" t="s">
        <v>12620</v>
      </c>
      <c r="W2907" t="s">
        <v>15482</v>
      </c>
      <c r="X2907">
        <v>7</v>
      </c>
      <c r="Y2907" t="s">
        <v>21647</v>
      </c>
      <c r="Z2907" t="s">
        <v>27854</v>
      </c>
      <c r="AA2907">
        <v>0.9648533165746398</v>
      </c>
      <c r="AB2907" t="str">
        <f>HYPERLINK("Melting_Curves/meltCurve_Q13206_DDX10.pdf", "Melting_Curves/meltCurve_Q13206_DDX10.pdf")</f>
        <v>Melting_Curves/meltCurve_Q13206_DDX10.pdf</v>
      </c>
    </row>
    <row r="2908" spans="1:28" x14ac:dyDescent="0.25">
      <c r="A2908" t="s">
        <v>2912</v>
      </c>
      <c r="B2908">
        <v>0.99987803227770999</v>
      </c>
      <c r="C2908">
        <v>1.0065423479845499</v>
      </c>
      <c r="D2908">
        <v>0.80075026649461101</v>
      </c>
      <c r="E2908">
        <v>0.88250488802271099</v>
      </c>
      <c r="F2908">
        <v>0.66969058625890798</v>
      </c>
      <c r="G2908">
        <v>0.359302570021581</v>
      </c>
      <c r="H2908">
        <v>0.170911940844656</v>
      </c>
      <c r="I2908">
        <v>0.17898074219958199</v>
      </c>
      <c r="J2908">
        <v>8.4026213318318596E-2</v>
      </c>
      <c r="K2908">
        <v>0.13331708983803101</v>
      </c>
      <c r="L2908">
        <v>924.59651390398506</v>
      </c>
      <c r="M2908">
        <v>16.9699924823868</v>
      </c>
      <c r="N2908">
        <v>55.040578472164199</v>
      </c>
      <c r="O2908">
        <v>53.744490784662901</v>
      </c>
      <c r="P2908">
        <v>-7.2721218870845497E-2</v>
      </c>
      <c r="Q2908">
        <v>7.8815914214910895E-2</v>
      </c>
      <c r="R2908">
        <v>0.97418750437256196</v>
      </c>
      <c r="S2908" t="s">
        <v>9219</v>
      </c>
      <c r="T2908" t="s">
        <v>12620</v>
      </c>
      <c r="U2908" t="s">
        <v>12620</v>
      </c>
      <c r="V2908" t="s">
        <v>12620</v>
      </c>
      <c r="W2908" t="s">
        <v>15483</v>
      </c>
      <c r="X2908">
        <v>3</v>
      </c>
      <c r="Y2908" t="s">
        <v>21648</v>
      </c>
      <c r="Z2908" t="s">
        <v>27855</v>
      </c>
      <c r="AA2908">
        <v>0.53932413993975503</v>
      </c>
      <c r="AB2908" t="str">
        <f>HYPERLINK("Melting_Curves/meltCurve_Q13216_2_ERCC8.pdf", "Melting_Curves/meltCurve_Q13216_2_ERCC8.pdf")</f>
        <v>Melting_Curves/meltCurve_Q13216_2_ERCC8.pdf</v>
      </c>
    </row>
    <row r="2909" spans="1:28" x14ac:dyDescent="0.25">
      <c r="A2909" t="s">
        <v>2913</v>
      </c>
      <c r="B2909">
        <v>0.99987803227770999</v>
      </c>
      <c r="C2909">
        <v>0.86582300020990899</v>
      </c>
      <c r="D2909">
        <v>0.99538628968711496</v>
      </c>
      <c r="E2909">
        <v>0.518106201151325</v>
      </c>
      <c r="F2909">
        <v>0.1669418083692</v>
      </c>
      <c r="G2909">
        <v>0.117873102860775</v>
      </c>
      <c r="H2909">
        <v>5.3148785159970603E-2</v>
      </c>
      <c r="I2909">
        <v>4.41347798729049E-2</v>
      </c>
      <c r="J2909">
        <v>4.0254017601795103E-2</v>
      </c>
      <c r="K2909">
        <v>2.67348842861709E-2</v>
      </c>
      <c r="L2909">
        <v>1748.8285505198901</v>
      </c>
      <c r="M2909">
        <v>34.978936426842402</v>
      </c>
      <c r="N2909">
        <v>50.156328916268301</v>
      </c>
      <c r="O2909">
        <v>49.834049333461998</v>
      </c>
      <c r="P2909">
        <v>-0.16622980034967599</v>
      </c>
      <c r="Q2909">
        <v>5.2701284986026498E-2</v>
      </c>
      <c r="R2909">
        <v>0.985892280817806</v>
      </c>
      <c r="S2909" t="s">
        <v>9220</v>
      </c>
      <c r="T2909" t="s">
        <v>12620</v>
      </c>
      <c r="U2909" t="s">
        <v>12620</v>
      </c>
      <c r="V2909" t="s">
        <v>12620</v>
      </c>
      <c r="W2909" t="s">
        <v>15484</v>
      </c>
      <c r="X2909">
        <v>8</v>
      </c>
      <c r="Y2909" t="s">
        <v>21649</v>
      </c>
      <c r="Z2909" t="s">
        <v>27856</v>
      </c>
      <c r="AA2909">
        <v>0.3726549340510476</v>
      </c>
      <c r="AB2909" t="str">
        <f>HYPERLINK("Melting_Curves/meltCurve_Q13217_DNAJC3.pdf", "Melting_Curves/meltCurve_Q13217_DNAJC3.pdf")</f>
        <v>Melting_Curves/meltCurve_Q13217_DNAJC3.pdf</v>
      </c>
    </row>
    <row r="2910" spans="1:28" x14ac:dyDescent="0.25">
      <c r="A2910" t="s">
        <v>2914</v>
      </c>
      <c r="B2910">
        <v>0.99987803227770999</v>
      </c>
      <c r="C2910">
        <v>1.0158577878820301</v>
      </c>
      <c r="D2910">
        <v>1.10579438297904</v>
      </c>
      <c r="E2910">
        <v>0.87764083504956603</v>
      </c>
      <c r="F2910">
        <v>0.88660037223573696</v>
      </c>
      <c r="G2910">
        <v>0.85417558129719595</v>
      </c>
      <c r="H2910">
        <v>0.61944378300213299</v>
      </c>
      <c r="I2910">
        <v>1.33479804625581</v>
      </c>
      <c r="J2910">
        <v>0.36983849809856101</v>
      </c>
      <c r="K2910">
        <v>0.28465238553705202</v>
      </c>
      <c r="L2910">
        <v>15000</v>
      </c>
      <c r="M2910">
        <v>225.867459127963</v>
      </c>
      <c r="N2910">
        <v>66.658548221660098</v>
      </c>
      <c r="O2910">
        <v>66.405431638514003</v>
      </c>
      <c r="P2910">
        <v>-0.60871019703613405</v>
      </c>
      <c r="Q2910">
        <v>0.28415261050728602</v>
      </c>
      <c r="R2910">
        <v>0.66699598700507001</v>
      </c>
      <c r="S2910" t="s">
        <v>9221</v>
      </c>
      <c r="T2910" t="s">
        <v>12620</v>
      </c>
      <c r="U2910" t="s">
        <v>12620</v>
      </c>
      <c r="V2910" t="s">
        <v>12620</v>
      </c>
      <c r="W2910" t="s">
        <v>15485</v>
      </c>
      <c r="X2910">
        <v>5</v>
      </c>
      <c r="Y2910" t="s">
        <v>21650</v>
      </c>
      <c r="Z2910" t="s">
        <v>27857</v>
      </c>
      <c r="AA2910">
        <v>0.91445407881668495</v>
      </c>
      <c r="AB2910" t="str">
        <f>HYPERLINK("Melting_Curves/meltCurve_Q13228_SELENBP1.pdf", "Melting_Curves/meltCurve_Q13228_SELENBP1.pdf")</f>
        <v>Melting_Curves/meltCurve_Q13228_SELENBP1.pdf</v>
      </c>
    </row>
    <row r="2911" spans="1:28" x14ac:dyDescent="0.25">
      <c r="A2911" t="s">
        <v>2915</v>
      </c>
      <c r="B2911">
        <v>0.99987803227770999</v>
      </c>
      <c r="C2911">
        <v>1.21629836118163</v>
      </c>
      <c r="D2911">
        <v>1.05499793733222</v>
      </c>
      <c r="E2911">
        <v>1.1897944567671099</v>
      </c>
      <c r="F2911">
        <v>0.97356072065661103</v>
      </c>
      <c r="G2911">
        <v>1.1700290323023901</v>
      </c>
      <c r="H2911">
        <v>1.1283549986560599</v>
      </c>
      <c r="I2911">
        <v>0.78271628415705796</v>
      </c>
      <c r="J2911">
        <v>0.33802927837159003</v>
      </c>
      <c r="K2911">
        <v>0.21036143998882401</v>
      </c>
      <c r="L2911">
        <v>4260.72874361083</v>
      </c>
      <c r="M2911">
        <v>65.483784852553299</v>
      </c>
      <c r="N2911">
        <v>65.632726206144397</v>
      </c>
      <c r="O2911">
        <v>65.004778876765101</v>
      </c>
      <c r="P2911">
        <v>-0.19741418650405701</v>
      </c>
      <c r="Q2911">
        <v>0.21611944569505701</v>
      </c>
      <c r="R2911">
        <v>0.88249444799621901</v>
      </c>
      <c r="S2911" t="s">
        <v>9222</v>
      </c>
      <c r="T2911" t="s">
        <v>12620</v>
      </c>
      <c r="U2911" t="s">
        <v>12620</v>
      </c>
      <c r="V2911" t="s">
        <v>12620</v>
      </c>
      <c r="W2911" t="s">
        <v>15486</v>
      </c>
      <c r="X2911">
        <v>10</v>
      </c>
      <c r="Y2911" t="s">
        <v>21651</v>
      </c>
      <c r="Z2911" t="s">
        <v>27858</v>
      </c>
      <c r="AA2911">
        <v>0.87206471819263931</v>
      </c>
      <c r="AB2911" t="str">
        <f>HYPERLINK("Melting_Curves/meltCurve_Q13232_NME3.pdf", "Melting_Curves/meltCurve_Q13232_NME3.pdf")</f>
        <v>Melting_Curves/meltCurve_Q13232_NME3.pdf</v>
      </c>
    </row>
    <row r="2912" spans="1:28" x14ac:dyDescent="0.25">
      <c r="A2912" t="s">
        <v>2916</v>
      </c>
      <c r="B2912">
        <v>0.99987803227770999</v>
      </c>
      <c r="C2912">
        <v>0.97236977296918203</v>
      </c>
      <c r="D2912">
        <v>1.1757651806023901</v>
      </c>
      <c r="E2912">
        <v>0.76125034435272498</v>
      </c>
      <c r="F2912">
        <v>1.03709309470602</v>
      </c>
      <c r="G2912">
        <v>0.66498409382916401</v>
      </c>
      <c r="H2912">
        <v>0.84441548738529504</v>
      </c>
      <c r="I2912">
        <v>1.0982416684349301</v>
      </c>
      <c r="J2912">
        <v>0.94075312019916402</v>
      </c>
      <c r="K2912">
        <v>0.77237381306246</v>
      </c>
      <c r="L2912">
        <v>11991.077393391901</v>
      </c>
      <c r="M2912">
        <v>250</v>
      </c>
      <c r="O2912">
        <v>47.9612530928204</v>
      </c>
      <c r="P2912">
        <v>-0.16398748064935001</v>
      </c>
      <c r="Q2912">
        <v>0.87415931288085402</v>
      </c>
      <c r="R2912">
        <v>0.24034269268139299</v>
      </c>
      <c r="S2912" t="s">
        <v>9223</v>
      </c>
      <c r="T2912" t="s">
        <v>12620</v>
      </c>
      <c r="U2912" t="s">
        <v>12620</v>
      </c>
      <c r="V2912" t="s">
        <v>12620</v>
      </c>
      <c r="W2912" t="s">
        <v>15487</v>
      </c>
      <c r="X2912">
        <v>1</v>
      </c>
      <c r="Y2912" t="s">
        <v>21652</v>
      </c>
      <c r="Z2912" t="s">
        <v>27859</v>
      </c>
      <c r="AA2912">
        <v>0.90757771202972803</v>
      </c>
      <c r="AB2912" t="str">
        <f>HYPERLINK("Melting_Curves/meltCurve_Q13233_MAP3K1.pdf", "Melting_Curves/meltCurve_Q13233_MAP3K1.pdf")</f>
        <v>Melting_Curves/meltCurve_Q13233_MAP3K1.pdf</v>
      </c>
    </row>
    <row r="2913" spans="1:28" x14ac:dyDescent="0.25">
      <c r="A2913" t="s">
        <v>2917</v>
      </c>
      <c r="B2913">
        <v>0.99987803227770999</v>
      </c>
      <c r="C2913">
        <v>0.86383982608203203</v>
      </c>
      <c r="D2913">
        <v>0.92159864075617004</v>
      </c>
      <c r="E2913">
        <v>0.83147832394128196</v>
      </c>
      <c r="F2913">
        <v>0.84813346431286996</v>
      </c>
      <c r="G2913">
        <v>0.65822292235327196</v>
      </c>
      <c r="H2913">
        <v>0.68407196807412496</v>
      </c>
      <c r="I2913">
        <v>0.64768103702689805</v>
      </c>
      <c r="J2913">
        <v>0.79851505093769304</v>
      </c>
      <c r="K2913">
        <v>0.68179988440969796</v>
      </c>
      <c r="L2913">
        <v>502.64214017989298</v>
      </c>
      <c r="M2913">
        <v>10.221686410554</v>
      </c>
      <c r="O2913">
        <v>47.403452885048701</v>
      </c>
      <c r="P2913">
        <v>-1.7576026488307101E-2</v>
      </c>
      <c r="Q2913">
        <v>0.67410783221612003</v>
      </c>
      <c r="R2913">
        <v>0.74730190018926201</v>
      </c>
      <c r="S2913" t="s">
        <v>9224</v>
      </c>
      <c r="T2913" t="s">
        <v>12620</v>
      </c>
      <c r="U2913" t="s">
        <v>12620</v>
      </c>
      <c r="V2913" t="s">
        <v>12620</v>
      </c>
      <c r="W2913" t="s">
        <v>15488</v>
      </c>
      <c r="X2913">
        <v>7</v>
      </c>
      <c r="Y2913" t="s">
        <v>21653</v>
      </c>
      <c r="Z2913" t="s">
        <v>27860</v>
      </c>
      <c r="AA2913">
        <v>0.78900288391472195</v>
      </c>
      <c r="AB2913" t="str">
        <f>HYPERLINK("Melting_Curves/meltCurve_Q13242_SRSF9.pdf", "Melting_Curves/meltCurve_Q13242_SRSF9.pdf")</f>
        <v>Melting_Curves/meltCurve_Q13242_SRSF9.pdf</v>
      </c>
    </row>
    <row r="2914" spans="1:28" x14ac:dyDescent="0.25">
      <c r="A2914" t="s">
        <v>2918</v>
      </c>
      <c r="B2914">
        <v>0.99987803227770999</v>
      </c>
      <c r="C2914">
        <v>0.96188341665742705</v>
      </c>
      <c r="D2914">
        <v>1.0907005549017299</v>
      </c>
      <c r="E2914">
        <v>1.08556018917633</v>
      </c>
      <c r="F2914">
        <v>1.0347808511619301</v>
      </c>
      <c r="G2914">
        <v>0.89585954700958903</v>
      </c>
      <c r="H2914">
        <v>1.1350435841037501</v>
      </c>
      <c r="I2914">
        <v>1.05992975770386</v>
      </c>
      <c r="J2914">
        <v>1.3289221415391099</v>
      </c>
      <c r="K2914">
        <v>1.0877516145088499</v>
      </c>
      <c r="L2914">
        <v>10252.5421043879</v>
      </c>
      <c r="M2914">
        <v>169.80388418864499</v>
      </c>
      <c r="O2914">
        <v>60.370355073760997</v>
      </c>
      <c r="P2914">
        <v>0.111732271416228</v>
      </c>
      <c r="Q2914">
        <v>1.1588966342024101</v>
      </c>
      <c r="R2914">
        <v>0.39564933238253402</v>
      </c>
      <c r="S2914" t="s">
        <v>9225</v>
      </c>
      <c r="T2914" t="s">
        <v>12620</v>
      </c>
      <c r="U2914" t="s">
        <v>12620</v>
      </c>
      <c r="V2914" t="s">
        <v>12620</v>
      </c>
      <c r="W2914" t="s">
        <v>15489</v>
      </c>
      <c r="X2914">
        <v>4</v>
      </c>
      <c r="Y2914" t="s">
        <v>21654</v>
      </c>
      <c r="Z2914" t="s">
        <v>27861</v>
      </c>
      <c r="AA2914">
        <v>1.0509230983450659</v>
      </c>
      <c r="AB2914" t="str">
        <f>HYPERLINK("Melting_Curves/meltCurve_Q13243_3_SRSF5.pdf", "Melting_Curves/meltCurve_Q13243_3_SRSF5.pdf")</f>
        <v>Melting_Curves/meltCurve_Q13243_3_SRSF5.pdf</v>
      </c>
    </row>
    <row r="2915" spans="1:28" x14ac:dyDescent="0.25">
      <c r="A2915" t="s">
        <v>2919</v>
      </c>
      <c r="B2915">
        <v>0.99987803227770999</v>
      </c>
      <c r="C2915">
        <v>0.97487860999998199</v>
      </c>
      <c r="D2915">
        <v>0.96692570948432199</v>
      </c>
      <c r="E2915">
        <v>1.02050679055111</v>
      </c>
      <c r="F2915">
        <v>0.88825830963661001</v>
      </c>
      <c r="G2915">
        <v>0.67570946184338199</v>
      </c>
      <c r="H2915">
        <v>0.71128403732450796</v>
      </c>
      <c r="I2915">
        <v>0.58081742662241997</v>
      </c>
      <c r="J2915">
        <v>0.71002303426984703</v>
      </c>
      <c r="K2915">
        <v>0.51826788433269599</v>
      </c>
      <c r="L2915">
        <v>1934.1114426146301</v>
      </c>
      <c r="M2915">
        <v>35.549573616166398</v>
      </c>
      <c r="O2915">
        <v>54.234739174645597</v>
      </c>
      <c r="P2915">
        <v>-6.1494763390834199E-2</v>
      </c>
      <c r="Q2915">
        <v>0.62473346099766602</v>
      </c>
      <c r="R2915">
        <v>0.90427520967911901</v>
      </c>
      <c r="S2915" t="s">
        <v>9226</v>
      </c>
      <c r="T2915" t="s">
        <v>12620</v>
      </c>
      <c r="U2915" t="s">
        <v>12620</v>
      </c>
      <c r="V2915" t="s">
        <v>12620</v>
      </c>
      <c r="W2915" t="s">
        <v>15490</v>
      </c>
      <c r="X2915">
        <v>11</v>
      </c>
      <c r="Y2915" t="s">
        <v>21655</v>
      </c>
      <c r="Z2915" t="s">
        <v>27862</v>
      </c>
      <c r="AA2915">
        <v>0.80671600157283829</v>
      </c>
      <c r="AB2915" t="str">
        <f>HYPERLINK("Melting_Curves/meltCurve_Q13247_3_SRSF6.pdf", "Melting_Curves/meltCurve_Q13247_3_SRSF6.pdf")</f>
        <v>Melting_Curves/meltCurve_Q13247_3_SRSF6.pdf</v>
      </c>
    </row>
    <row r="2916" spans="1:28" x14ac:dyDescent="0.25">
      <c r="A2916" t="s">
        <v>2920</v>
      </c>
      <c r="B2916">
        <v>0.99987803227770999</v>
      </c>
      <c r="C2916">
        <v>0.83362113651699998</v>
      </c>
      <c r="D2916">
        <v>1.1623721399404301</v>
      </c>
      <c r="E2916">
        <v>1.0161351777077501</v>
      </c>
      <c r="F2916">
        <v>1.19143430724826</v>
      </c>
      <c r="G2916">
        <v>1.07767801188108</v>
      </c>
      <c r="H2916">
        <v>0.95237076169990298</v>
      </c>
      <c r="I2916">
        <v>0.89056071496204103</v>
      </c>
      <c r="J2916">
        <v>1.03580675574907</v>
      </c>
      <c r="K2916">
        <v>0.87097253606156799</v>
      </c>
      <c r="L2916">
        <v>15000</v>
      </c>
      <c r="M2916">
        <v>212.376100522911</v>
      </c>
      <c r="Q2916">
        <v>0</v>
      </c>
      <c r="R2916">
        <v>0.12824431445972201</v>
      </c>
      <c r="S2916" t="s">
        <v>9227</v>
      </c>
      <c r="T2916" t="s">
        <v>12620</v>
      </c>
      <c r="U2916" t="s">
        <v>12620</v>
      </c>
      <c r="V2916" t="s">
        <v>12620</v>
      </c>
      <c r="W2916" t="s">
        <v>15491</v>
      </c>
      <c r="X2916">
        <v>1</v>
      </c>
      <c r="Y2916" t="s">
        <v>21656</v>
      </c>
      <c r="Z2916" t="s">
        <v>27863</v>
      </c>
      <c r="AA2916">
        <v>0.99851012473209566</v>
      </c>
      <c r="AB2916" t="str">
        <f>HYPERLINK("Melting_Curves/meltCurve_Q13255_GRM1.pdf", "Melting_Curves/meltCurve_Q13255_GRM1.pdf")</f>
        <v>Melting_Curves/meltCurve_Q13255_GRM1.pdf</v>
      </c>
    </row>
    <row r="2917" spans="1:28" x14ac:dyDescent="0.25">
      <c r="A2917" t="s">
        <v>2921</v>
      </c>
      <c r="B2917">
        <v>0.99987803227770999</v>
      </c>
      <c r="C2917">
        <v>0.84620024684002204</v>
      </c>
      <c r="D2917">
        <v>1.01056385073792</v>
      </c>
      <c r="E2917">
        <v>0.82601687685027003</v>
      </c>
      <c r="F2917">
        <v>0.90594014849133198</v>
      </c>
      <c r="G2917">
        <v>0.55805699426994804</v>
      </c>
      <c r="H2917">
        <v>0.28508749912211301</v>
      </c>
      <c r="I2917">
        <v>0.138433256438314</v>
      </c>
      <c r="J2917">
        <v>8.2081303939449193E-2</v>
      </c>
      <c r="K2917">
        <v>4.9368360299369501E-2</v>
      </c>
      <c r="L2917">
        <v>1021.94624957259</v>
      </c>
      <c r="M2917">
        <v>17.669697214534299</v>
      </c>
      <c r="N2917">
        <v>57.836093862153398</v>
      </c>
      <c r="O2917">
        <v>57.110565177647999</v>
      </c>
      <c r="P2917">
        <v>-7.73527412441012E-2</v>
      </c>
      <c r="Q2917">
        <v>0</v>
      </c>
      <c r="R2917">
        <v>0.97007833491062201</v>
      </c>
      <c r="S2917" t="s">
        <v>9228</v>
      </c>
      <c r="T2917" t="s">
        <v>12620</v>
      </c>
      <c r="U2917" t="s">
        <v>12620</v>
      </c>
      <c r="V2917" t="s">
        <v>12620</v>
      </c>
      <c r="W2917" t="s">
        <v>15492</v>
      </c>
      <c r="X2917">
        <v>10</v>
      </c>
      <c r="Y2917" t="s">
        <v>21657</v>
      </c>
      <c r="Z2917" t="s">
        <v>27864</v>
      </c>
      <c r="AA2917">
        <v>0.60732727444218948</v>
      </c>
      <c r="AB2917" t="str">
        <f>HYPERLINK("Melting_Curves/meltCurve_Q13257_MAD2L1.pdf", "Melting_Curves/meltCurve_Q13257_MAD2L1.pdf")</f>
        <v>Melting_Curves/meltCurve_Q13257_MAD2L1.pdf</v>
      </c>
    </row>
    <row r="2918" spans="1:28" x14ac:dyDescent="0.25">
      <c r="A2918" t="s">
        <v>2922</v>
      </c>
      <c r="B2918">
        <v>0.99987803227770999</v>
      </c>
      <c r="C2918">
        <v>1.07274722201697</v>
      </c>
      <c r="D2918">
        <v>0.80748447462995099</v>
      </c>
      <c r="E2918">
        <v>0.65336136169509096</v>
      </c>
      <c r="F2918">
        <v>0.45332837331954801</v>
      </c>
      <c r="G2918">
        <v>0.34760544181577802</v>
      </c>
      <c r="H2918">
        <v>0.28198573516900499</v>
      </c>
      <c r="I2918">
        <v>0.23883094901280599</v>
      </c>
      <c r="J2918">
        <v>0.22997340907185501</v>
      </c>
      <c r="K2918">
        <v>0.172530771658535</v>
      </c>
      <c r="L2918">
        <v>795.121641145848</v>
      </c>
      <c r="M2918">
        <v>15.685317267041</v>
      </c>
      <c r="N2918">
        <v>52.457856279105101</v>
      </c>
      <c r="O2918">
        <v>49.889591890627003</v>
      </c>
      <c r="P2918">
        <v>-6.2484463129641503E-2</v>
      </c>
      <c r="Q2918">
        <v>0.20510117809166001</v>
      </c>
      <c r="R2918">
        <v>0.97961243506281104</v>
      </c>
      <c r="S2918" t="s">
        <v>9229</v>
      </c>
      <c r="T2918" t="s">
        <v>12620</v>
      </c>
      <c r="U2918" t="s">
        <v>12620</v>
      </c>
      <c r="V2918" t="s">
        <v>12620</v>
      </c>
      <c r="W2918" t="s">
        <v>15493</v>
      </c>
      <c r="X2918">
        <v>31</v>
      </c>
      <c r="Y2918" t="s">
        <v>21658</v>
      </c>
      <c r="Z2918" t="s">
        <v>27865</v>
      </c>
      <c r="AA2918">
        <v>0.50558643164114192</v>
      </c>
      <c r="AB2918" t="str">
        <f>HYPERLINK("Melting_Curves/meltCurve_Q13263_TRIM28.pdf", "Melting_Curves/meltCurve_Q13263_TRIM28.pdf")</f>
        <v>Melting_Curves/meltCurve_Q13263_TRIM28.pdf</v>
      </c>
    </row>
    <row r="2919" spans="1:28" x14ac:dyDescent="0.25">
      <c r="A2919" t="s">
        <v>2923</v>
      </c>
      <c r="B2919">
        <v>0.99987803227770999</v>
      </c>
      <c r="C2919">
        <v>1.02245938774103</v>
      </c>
      <c r="D2919">
        <v>0.99120188280597799</v>
      </c>
      <c r="E2919">
        <v>0.92811672940954604</v>
      </c>
      <c r="F2919">
        <v>0.64213572715020395</v>
      </c>
      <c r="G2919">
        <v>0.32956136537613101</v>
      </c>
      <c r="H2919">
        <v>0.27005113437564499</v>
      </c>
      <c r="I2919">
        <v>0.26019707187559699</v>
      </c>
      <c r="J2919">
        <v>0.20478119922146901</v>
      </c>
      <c r="K2919">
        <v>0.16654439748856201</v>
      </c>
      <c r="L2919">
        <v>1532.11625628872</v>
      </c>
      <c r="M2919">
        <v>28.658943426572801</v>
      </c>
      <c r="N2919">
        <v>54.538087837849098</v>
      </c>
      <c r="O2919">
        <v>53.202034228001303</v>
      </c>
      <c r="P2919">
        <v>-0.10555490075794501</v>
      </c>
      <c r="Q2919">
        <v>0.216203665716621</v>
      </c>
      <c r="R2919">
        <v>0.99483114314151999</v>
      </c>
      <c r="S2919" t="s">
        <v>9230</v>
      </c>
      <c r="T2919" t="s">
        <v>12620</v>
      </c>
      <c r="U2919" t="s">
        <v>12620</v>
      </c>
      <c r="V2919" t="s">
        <v>12620</v>
      </c>
      <c r="W2919" t="s">
        <v>15494</v>
      </c>
      <c r="X2919">
        <v>14</v>
      </c>
      <c r="Y2919" t="s">
        <v>21659</v>
      </c>
      <c r="Z2919" t="s">
        <v>27866</v>
      </c>
      <c r="AA2919">
        <v>0.57346365059728133</v>
      </c>
      <c r="AB2919" t="str">
        <f>HYPERLINK("Melting_Curves/meltCurve_Q13283_G3BP1.pdf", "Melting_Curves/meltCurve_Q13283_G3BP1.pdf")</f>
        <v>Melting_Curves/meltCurve_Q13283_G3BP1.pdf</v>
      </c>
    </row>
    <row r="2920" spans="1:28" x14ac:dyDescent="0.25">
      <c r="A2920" t="s">
        <v>2924</v>
      </c>
      <c r="B2920">
        <v>0.99987803227770999</v>
      </c>
      <c r="C2920">
        <v>1.1407780425412599</v>
      </c>
      <c r="D2920">
        <v>1.11183515040489</v>
      </c>
      <c r="E2920">
        <v>1.1876598583069899</v>
      </c>
      <c r="F2920">
        <v>0.90396135480713202</v>
      </c>
      <c r="G2920">
        <v>0.60676494233647804</v>
      </c>
      <c r="H2920">
        <v>0.196088953138394</v>
      </c>
      <c r="I2920">
        <v>0.13810286126639101</v>
      </c>
      <c r="J2920">
        <v>0.106134961989292</v>
      </c>
      <c r="K2920">
        <v>6.5582230266113803E-2</v>
      </c>
      <c r="L2920">
        <v>1906.73326533623</v>
      </c>
      <c r="M2920">
        <v>33.193622469420802</v>
      </c>
      <c r="N2920">
        <v>57.779874199351603</v>
      </c>
      <c r="O2920">
        <v>57.235473469137602</v>
      </c>
      <c r="P2920">
        <v>-0.132224102118285</v>
      </c>
      <c r="Q2920">
        <v>8.8032503630276301E-2</v>
      </c>
      <c r="R2920">
        <v>0.964108023339177</v>
      </c>
      <c r="S2920" t="s">
        <v>9231</v>
      </c>
      <c r="T2920" t="s">
        <v>12620</v>
      </c>
      <c r="U2920" t="s">
        <v>12620</v>
      </c>
      <c r="V2920" t="s">
        <v>12620</v>
      </c>
      <c r="W2920" t="s">
        <v>15495</v>
      </c>
      <c r="X2920">
        <v>8</v>
      </c>
      <c r="Y2920" t="s">
        <v>21660</v>
      </c>
      <c r="Z2920" t="s">
        <v>27867</v>
      </c>
      <c r="AA2920">
        <v>0.62333555839427524</v>
      </c>
      <c r="AB2920" t="str">
        <f>HYPERLINK("Melting_Curves/meltCurve_Q13287_NMI.pdf", "Melting_Curves/meltCurve_Q13287_NMI.pdf")</f>
        <v>Melting_Curves/meltCurve_Q13287_NMI.pdf</v>
      </c>
    </row>
    <row r="2921" spans="1:28" x14ac:dyDescent="0.25">
      <c r="A2921" t="s">
        <v>2925</v>
      </c>
      <c r="B2921">
        <v>0.99987803227770999</v>
      </c>
      <c r="C2921">
        <v>0.98508644109361998</v>
      </c>
      <c r="D2921">
        <v>0.921279599031394</v>
      </c>
      <c r="E2921">
        <v>1.0245376735388401</v>
      </c>
      <c r="F2921">
        <v>1.0442338664403501</v>
      </c>
      <c r="G2921">
        <v>1.0164383155480201</v>
      </c>
      <c r="H2921">
        <v>0.51267399630838895</v>
      </c>
      <c r="I2921">
        <v>0.31619996495363301</v>
      </c>
      <c r="J2921">
        <v>0.16648912128846699</v>
      </c>
      <c r="K2921">
        <v>8.8254067023846097E-2</v>
      </c>
      <c r="L2921">
        <v>2290.53570226376</v>
      </c>
      <c r="M2921">
        <v>37.547914416643003</v>
      </c>
      <c r="N2921">
        <v>61.4767882157985</v>
      </c>
      <c r="O2921">
        <v>60.830744333984804</v>
      </c>
      <c r="P2921">
        <v>-0.134927179856378</v>
      </c>
      <c r="Q2921">
        <v>0.12562931561104301</v>
      </c>
      <c r="R2921">
        <v>0.98312657286787097</v>
      </c>
      <c r="S2921" t="s">
        <v>9232</v>
      </c>
      <c r="T2921" t="s">
        <v>12620</v>
      </c>
      <c r="U2921" t="s">
        <v>12620</v>
      </c>
      <c r="V2921" t="s">
        <v>12620</v>
      </c>
      <c r="W2921" t="s">
        <v>15496</v>
      </c>
      <c r="X2921">
        <v>8</v>
      </c>
      <c r="Y2921" t="s">
        <v>21661</v>
      </c>
      <c r="Z2921" t="s">
        <v>27868</v>
      </c>
      <c r="AA2921">
        <v>0.74143527131848685</v>
      </c>
      <c r="AB2921" t="str">
        <f>HYPERLINK("Melting_Curves/meltCurve_Q13303_2_KCNAB2.pdf", "Melting_Curves/meltCurve_Q13303_2_KCNAB2.pdf")</f>
        <v>Melting_Curves/meltCurve_Q13303_2_KCNAB2.pdf</v>
      </c>
    </row>
    <row r="2922" spans="1:28" x14ac:dyDescent="0.25">
      <c r="A2922" t="s">
        <v>2926</v>
      </c>
      <c r="B2922">
        <v>0.99987803227770999</v>
      </c>
      <c r="C2922">
        <v>0.950679219888521</v>
      </c>
      <c r="D2922">
        <v>0.90734607031757397</v>
      </c>
      <c r="E2922">
        <v>0.85720957297611799</v>
      </c>
      <c r="F2922">
        <v>0.79612431257904903</v>
      </c>
      <c r="G2922">
        <v>0.59103868451372299</v>
      </c>
      <c r="H2922">
        <v>0.41752703036657901</v>
      </c>
      <c r="I2922">
        <v>0.37014438292635199</v>
      </c>
      <c r="J2922">
        <v>0.29027847761970399</v>
      </c>
      <c r="K2922">
        <v>0.19987821463129399</v>
      </c>
      <c r="L2922">
        <v>543.22877622499595</v>
      </c>
      <c r="M2922">
        <v>9.1248990020619001</v>
      </c>
      <c r="N2922">
        <v>59.660174718429303</v>
      </c>
      <c r="O2922">
        <v>56.882381186258201</v>
      </c>
      <c r="P2922">
        <v>-3.9744078576603198E-2</v>
      </c>
      <c r="Q2922">
        <v>9.6632351230418606E-3</v>
      </c>
      <c r="R2922">
        <v>0.99381839786379</v>
      </c>
      <c r="S2922" t="s">
        <v>9233</v>
      </c>
      <c r="T2922" t="s">
        <v>12620</v>
      </c>
      <c r="U2922" t="s">
        <v>12620</v>
      </c>
      <c r="V2922" t="s">
        <v>12620</v>
      </c>
      <c r="W2922" t="s">
        <v>15497</v>
      </c>
      <c r="X2922">
        <v>4</v>
      </c>
      <c r="Y2922" t="s">
        <v>21662</v>
      </c>
      <c r="Z2922" t="s">
        <v>27869</v>
      </c>
      <c r="AA2922">
        <v>0.65033506191677182</v>
      </c>
      <c r="AB2922" t="str">
        <f>HYPERLINK("Melting_Curves/meltCurve_Q13308_3_PTK7.pdf", "Melting_Curves/meltCurve_Q13308_3_PTK7.pdf")</f>
        <v>Melting_Curves/meltCurve_Q13308_3_PTK7.pdf</v>
      </c>
    </row>
    <row r="2923" spans="1:28" x14ac:dyDescent="0.25">
      <c r="A2923" t="s">
        <v>2927</v>
      </c>
      <c r="B2923">
        <v>0.99987803227770999</v>
      </c>
      <c r="C2923">
        <v>1.0629631639478501</v>
      </c>
      <c r="D2923">
        <v>1.0312691088178301</v>
      </c>
      <c r="E2923">
        <v>0.903458894461446</v>
      </c>
      <c r="F2923">
        <v>0.41897591588351002</v>
      </c>
      <c r="G2923">
        <v>0.25489710563838802</v>
      </c>
      <c r="H2923">
        <v>0.21754301505642901</v>
      </c>
      <c r="I2923">
        <v>0.14026774687398399</v>
      </c>
      <c r="J2923">
        <v>0.121796801280975</v>
      </c>
      <c r="K2923">
        <v>9.1615898498610807E-2</v>
      </c>
      <c r="L2923">
        <v>2259.5041171975699</v>
      </c>
      <c r="M2923">
        <v>43.334897236986997</v>
      </c>
      <c r="N2923">
        <v>52.603077602961598</v>
      </c>
      <c r="O2923">
        <v>52.0298530728072</v>
      </c>
      <c r="P2923">
        <v>-0.175232868293202</v>
      </c>
      <c r="Q2923">
        <v>0.15843098728430199</v>
      </c>
      <c r="R2923">
        <v>0.98680660719055802</v>
      </c>
      <c r="S2923" t="s">
        <v>9234</v>
      </c>
      <c r="T2923" t="s">
        <v>12620</v>
      </c>
      <c r="U2923" t="s">
        <v>12620</v>
      </c>
      <c r="V2923" t="s">
        <v>12620</v>
      </c>
      <c r="W2923" t="s">
        <v>15498</v>
      </c>
      <c r="X2923">
        <v>24</v>
      </c>
      <c r="Y2923" t="s">
        <v>21663</v>
      </c>
      <c r="Z2923" t="s">
        <v>27870</v>
      </c>
      <c r="AA2923">
        <v>0.50158111560493124</v>
      </c>
      <c r="AB2923" t="str">
        <f>HYPERLINK("Melting_Curves/meltCurve_Q13310_3_PABPC4.pdf", "Melting_Curves/meltCurve_Q13310_3_PABPC4.pdf")</f>
        <v>Melting_Curves/meltCurve_Q13310_3_PABPC4.pdf</v>
      </c>
    </row>
    <row r="2924" spans="1:28" x14ac:dyDescent="0.25">
      <c r="A2924" t="s">
        <v>2928</v>
      </c>
      <c r="B2924">
        <v>0.99987803227770999</v>
      </c>
      <c r="C2924">
        <v>0.82547318936817304</v>
      </c>
      <c r="D2924">
        <v>1.1284066257932801</v>
      </c>
      <c r="E2924">
        <v>1.00945669603912</v>
      </c>
      <c r="F2924">
        <v>0.77400489135301798</v>
      </c>
      <c r="G2924">
        <v>0.38353635789697299</v>
      </c>
      <c r="H2924">
        <v>0.27679997012549101</v>
      </c>
      <c r="I2924">
        <v>0.38545928873989999</v>
      </c>
      <c r="J2924">
        <v>0.17645429668583501</v>
      </c>
      <c r="K2924">
        <v>0.20973222867542099</v>
      </c>
      <c r="L2924">
        <v>1926.0865580786401</v>
      </c>
      <c r="M2924">
        <v>35.417187683171001</v>
      </c>
      <c r="N2924">
        <v>55.515013880410699</v>
      </c>
      <c r="O2924">
        <v>54.210318830358503</v>
      </c>
      <c r="P2924">
        <v>-0.121326149340225</v>
      </c>
      <c r="Q2924">
        <v>0.25718471365302198</v>
      </c>
      <c r="R2924">
        <v>0.93930707245894296</v>
      </c>
      <c r="S2924" t="s">
        <v>9235</v>
      </c>
      <c r="T2924" t="s">
        <v>12620</v>
      </c>
      <c r="U2924" t="s">
        <v>12620</v>
      </c>
      <c r="V2924" t="s">
        <v>12620</v>
      </c>
      <c r="W2924" t="s">
        <v>15499</v>
      </c>
      <c r="X2924">
        <v>4</v>
      </c>
      <c r="Y2924" t="s">
        <v>21664</v>
      </c>
      <c r="Z2924" t="s">
        <v>27871</v>
      </c>
      <c r="AA2924">
        <v>0.61685703023281924</v>
      </c>
      <c r="AB2924" t="str">
        <f>HYPERLINK("Melting_Curves/meltCurve_Q13315_ATM.pdf", "Melting_Curves/meltCurve_Q13315_ATM.pdf")</f>
        <v>Melting_Curves/meltCurve_Q13315_ATM.pdf</v>
      </c>
    </row>
    <row r="2925" spans="1:28" x14ac:dyDescent="0.25">
      <c r="A2925" t="s">
        <v>2929</v>
      </c>
      <c r="B2925">
        <v>0.99987803227770999</v>
      </c>
      <c r="C2925">
        <v>0.822031327812346</v>
      </c>
      <c r="D2925">
        <v>0.83968836580945905</v>
      </c>
      <c r="E2925">
        <v>0.57373463440401196</v>
      </c>
      <c r="F2925">
        <v>0.54237909750166902</v>
      </c>
      <c r="G2925">
        <v>0.38643965565195998</v>
      </c>
      <c r="H2925">
        <v>0.43115000424877697</v>
      </c>
      <c r="I2925">
        <v>0.38469454819737198</v>
      </c>
      <c r="J2925">
        <v>0.39289080217617101</v>
      </c>
      <c r="K2925">
        <v>0.31536047399205702</v>
      </c>
      <c r="L2925">
        <v>609.47546865071604</v>
      </c>
      <c r="M2925">
        <v>12.565706493019199</v>
      </c>
      <c r="N2925">
        <v>53.500926035182701</v>
      </c>
      <c r="O2925">
        <v>47.323824048996599</v>
      </c>
      <c r="P2925">
        <v>-4.34613479901792E-2</v>
      </c>
      <c r="Q2925">
        <v>0.345411108474518</v>
      </c>
      <c r="R2925">
        <v>0.96202930692877497</v>
      </c>
      <c r="S2925" t="s">
        <v>9236</v>
      </c>
      <c r="T2925" t="s">
        <v>12620</v>
      </c>
      <c r="U2925" t="s">
        <v>12620</v>
      </c>
      <c r="V2925" t="s">
        <v>12620</v>
      </c>
      <c r="W2925" t="s">
        <v>15500</v>
      </c>
      <c r="X2925">
        <v>7</v>
      </c>
      <c r="Y2925" t="s">
        <v>21665</v>
      </c>
      <c r="Z2925" t="s">
        <v>27872</v>
      </c>
      <c r="AA2925">
        <v>0.55382571044492834</v>
      </c>
      <c r="AB2925" t="str">
        <f>HYPERLINK("Melting_Curves/meltCurve_Q13322_2_GRB10.pdf", "Melting_Curves/meltCurve_Q13322_2_GRB10.pdf")</f>
        <v>Melting_Curves/meltCurve_Q13322_2_GRB10.pdf</v>
      </c>
    </row>
    <row r="2926" spans="1:28" x14ac:dyDescent="0.25">
      <c r="A2926" t="s">
        <v>2930</v>
      </c>
      <c r="B2926">
        <v>0.99987803227770999</v>
      </c>
      <c r="C2926">
        <v>0.92215234477479202</v>
      </c>
      <c r="D2926">
        <v>0.78627053018770798</v>
      </c>
      <c r="E2926">
        <v>0.43131722567075198</v>
      </c>
      <c r="F2926">
        <v>0.27146361893094301</v>
      </c>
      <c r="G2926">
        <v>0.210345105171893</v>
      </c>
      <c r="H2926">
        <v>0.18623744302727999</v>
      </c>
      <c r="I2926">
        <v>0.163177120056651</v>
      </c>
      <c r="J2926">
        <v>0.10783548083903199</v>
      </c>
      <c r="K2926">
        <v>8.5213055325637596E-2</v>
      </c>
      <c r="L2926">
        <v>902.66904695446499</v>
      </c>
      <c r="M2926">
        <v>18.599658965518199</v>
      </c>
      <c r="N2926">
        <v>49.327258691376301</v>
      </c>
      <c r="O2926">
        <v>47.980919809015397</v>
      </c>
      <c r="P2926">
        <v>-8.4354369393592699E-2</v>
      </c>
      <c r="Q2926">
        <v>0.12961312615725501</v>
      </c>
      <c r="R2926">
        <v>0.99395652624822695</v>
      </c>
      <c r="S2926" t="s">
        <v>9237</v>
      </c>
      <c r="T2926" t="s">
        <v>12620</v>
      </c>
      <c r="U2926" t="s">
        <v>12620</v>
      </c>
      <c r="V2926" t="s">
        <v>12620</v>
      </c>
      <c r="W2926" t="s">
        <v>15501</v>
      </c>
      <c r="X2926">
        <v>8</v>
      </c>
      <c r="Y2926" t="s">
        <v>21666</v>
      </c>
      <c r="Z2926" t="s">
        <v>27873</v>
      </c>
      <c r="AA2926">
        <v>0.39137427111711559</v>
      </c>
      <c r="AB2926" t="str">
        <f>HYPERLINK("Melting_Curves/meltCurve_Q13325_IFIT5.pdf", "Melting_Curves/meltCurve_Q13325_IFIT5.pdf")</f>
        <v>Melting_Curves/meltCurve_Q13325_IFIT5.pdf</v>
      </c>
    </row>
    <row r="2927" spans="1:28" x14ac:dyDescent="0.25">
      <c r="A2927" t="s">
        <v>2931</v>
      </c>
      <c r="B2927">
        <v>0.99987803227770999</v>
      </c>
      <c r="C2927">
        <v>1.0561638899993</v>
      </c>
      <c r="D2927">
        <v>0.80238363277420099</v>
      </c>
      <c r="E2927">
        <v>0.90970904862841695</v>
      </c>
      <c r="F2927">
        <v>0.40315005568734202</v>
      </c>
      <c r="G2927">
        <v>0.24347632425098001</v>
      </c>
      <c r="H2927">
        <v>0.176274511505041</v>
      </c>
      <c r="I2927">
        <v>0.12839024414112099</v>
      </c>
      <c r="J2927">
        <v>9.6218124091940402E-2</v>
      </c>
      <c r="K2927">
        <v>6.2666851320483399E-2</v>
      </c>
      <c r="L2927">
        <v>1956.75965622338</v>
      </c>
      <c r="M2927">
        <v>37.496602122629497</v>
      </c>
      <c r="N2927">
        <v>52.603995560096401</v>
      </c>
      <c r="O2927">
        <v>52.037221958305302</v>
      </c>
      <c r="P2927">
        <v>-0.156887101338576</v>
      </c>
      <c r="Q2927">
        <v>0.12910007087830799</v>
      </c>
      <c r="R2927">
        <v>0.961123993870868</v>
      </c>
      <c r="S2927" t="s">
        <v>9238</v>
      </c>
      <c r="T2927" t="s">
        <v>12620</v>
      </c>
      <c r="U2927" t="s">
        <v>12620</v>
      </c>
      <c r="V2927" t="s">
        <v>12620</v>
      </c>
      <c r="W2927" t="s">
        <v>15502</v>
      </c>
      <c r="X2927">
        <v>14</v>
      </c>
      <c r="Y2927" t="s">
        <v>21667</v>
      </c>
      <c r="Z2927" t="s">
        <v>27874</v>
      </c>
      <c r="AA2927">
        <v>0.48640520866913523</v>
      </c>
      <c r="AB2927" t="str">
        <f>HYPERLINK("Melting_Curves/meltCurve_Q13330_3_MTA1.pdf", "Melting_Curves/meltCurve_Q13330_3_MTA1.pdf")</f>
        <v>Melting_Curves/meltCurve_Q13330_3_MTA1.pdf</v>
      </c>
    </row>
    <row r="2928" spans="1:28" x14ac:dyDescent="0.25">
      <c r="A2928" t="s">
        <v>2932</v>
      </c>
      <c r="B2928">
        <v>0.99987803227770999</v>
      </c>
      <c r="C2928">
        <v>0.80103815982857296</v>
      </c>
      <c r="D2928">
        <v>0.97386098249486797</v>
      </c>
      <c r="E2928">
        <v>0.85142650866648795</v>
      </c>
      <c r="F2928">
        <v>1.0053041186340901</v>
      </c>
      <c r="G2928">
        <v>0.98278661860071603</v>
      </c>
      <c r="H2928">
        <v>0.86641564697380102</v>
      </c>
      <c r="I2928">
        <v>0.819871071226697</v>
      </c>
      <c r="J2928">
        <v>0.69390794205139605</v>
      </c>
      <c r="K2928">
        <v>0.54233903981467702</v>
      </c>
      <c r="L2928">
        <v>884.12881027259903</v>
      </c>
      <c r="M2928">
        <v>12.4145585278364</v>
      </c>
      <c r="O2928">
        <v>69.444925876038496</v>
      </c>
      <c r="P2928">
        <v>-4.4701545225424397E-2</v>
      </c>
      <c r="Q2928">
        <v>0</v>
      </c>
      <c r="R2928">
        <v>0.68946016731994897</v>
      </c>
      <c r="S2928" t="s">
        <v>9239</v>
      </c>
      <c r="T2928" t="s">
        <v>12620</v>
      </c>
      <c r="U2928" t="s">
        <v>12620</v>
      </c>
      <c r="V2928" t="s">
        <v>12620</v>
      </c>
      <c r="W2928" t="s">
        <v>15503</v>
      </c>
      <c r="X2928">
        <v>3</v>
      </c>
      <c r="Y2928" t="s">
        <v>21668</v>
      </c>
      <c r="Z2928" t="s">
        <v>27875</v>
      </c>
      <c r="AA2928">
        <v>0.90691532646154349</v>
      </c>
      <c r="AB2928" t="str">
        <f>HYPERLINK("Melting_Curves/meltCurve_Q13332_6_PTPRS.pdf", "Melting_Curves/meltCurve_Q13332_6_PTPRS.pdf")</f>
        <v>Melting_Curves/meltCurve_Q13332_6_PTPRS.pdf</v>
      </c>
    </row>
    <row r="2929" spans="1:28" x14ac:dyDescent="0.25">
      <c r="A2929" t="s">
        <v>2933</v>
      </c>
      <c r="B2929">
        <v>0.99987803227770999</v>
      </c>
      <c r="C2929">
        <v>0.87154572563924304</v>
      </c>
      <c r="D2929">
        <v>0.68430110417962398</v>
      </c>
      <c r="E2929">
        <v>0.48309896058031998</v>
      </c>
      <c r="F2929">
        <v>0.28597020508383802</v>
      </c>
      <c r="G2929">
        <v>0.18922902854026599</v>
      </c>
      <c r="H2929">
        <v>0.14161487424348501</v>
      </c>
      <c r="I2929">
        <v>8.8809896831144403E-2</v>
      </c>
      <c r="J2929">
        <v>7.7776287521270804E-2</v>
      </c>
      <c r="K2929">
        <v>4.41663965373481E-2</v>
      </c>
      <c r="L2929">
        <v>637.85784376470895</v>
      </c>
      <c r="M2929">
        <v>13.023609658683901</v>
      </c>
      <c r="N2929">
        <v>49.362962216677801</v>
      </c>
      <c r="O2929">
        <v>47.865446301561803</v>
      </c>
      <c r="P2929">
        <v>-6.4740808142919506E-2</v>
      </c>
      <c r="Q2929">
        <v>4.8403674636338601E-2</v>
      </c>
      <c r="R2929">
        <v>0.995196008519317</v>
      </c>
      <c r="S2929" t="s">
        <v>9240</v>
      </c>
      <c r="T2929" t="s">
        <v>12620</v>
      </c>
      <c r="U2929" t="s">
        <v>12620</v>
      </c>
      <c r="V2929" t="s">
        <v>12620</v>
      </c>
      <c r="W2929" t="s">
        <v>15504</v>
      </c>
      <c r="X2929">
        <v>8</v>
      </c>
      <c r="Y2929" t="s">
        <v>21669</v>
      </c>
      <c r="Z2929" t="s">
        <v>27876</v>
      </c>
      <c r="AA2929">
        <v>0.36356886176417091</v>
      </c>
      <c r="AB2929" t="str">
        <f>HYPERLINK("Melting_Curves/meltCurve_Q13347_EIF3I.pdf", "Melting_Curves/meltCurve_Q13347_EIF3I.pdf")</f>
        <v>Melting_Curves/meltCurve_Q13347_EIF3I.pdf</v>
      </c>
    </row>
    <row r="2930" spans="1:28" x14ac:dyDescent="0.25">
      <c r="A2930" t="s">
        <v>2934</v>
      </c>
      <c r="B2930">
        <v>0.99987803227770999</v>
      </c>
      <c r="C2930">
        <v>1.2973522994204501</v>
      </c>
      <c r="D2930">
        <v>0.38746760438195299</v>
      </c>
      <c r="E2930">
        <v>0.76982897232127701</v>
      </c>
      <c r="F2930">
        <v>0.34024415532851399</v>
      </c>
      <c r="G2930">
        <v>0.21915650750922999</v>
      </c>
      <c r="H2930">
        <v>0.14862715586710301</v>
      </c>
      <c r="I2930">
        <v>0.113586570453172</v>
      </c>
      <c r="J2930">
        <v>6.7149618529936395E-2</v>
      </c>
      <c r="K2930">
        <v>4.5597193310567198E-2</v>
      </c>
      <c r="L2930">
        <v>645.80654604529195</v>
      </c>
      <c r="M2930">
        <v>12.6943627840354</v>
      </c>
      <c r="N2930">
        <v>51.1336321010644</v>
      </c>
      <c r="O2930">
        <v>49.660575917088998</v>
      </c>
      <c r="P2930">
        <v>-6.1919267919739798E-2</v>
      </c>
      <c r="Q2930">
        <v>3.1270544465061903E-2</v>
      </c>
      <c r="R2930">
        <v>0.788808047973662</v>
      </c>
      <c r="S2930" t="s">
        <v>9241</v>
      </c>
      <c r="T2930" t="s">
        <v>12620</v>
      </c>
      <c r="U2930" t="s">
        <v>12620</v>
      </c>
      <c r="V2930" t="s">
        <v>12620</v>
      </c>
      <c r="W2930" t="s">
        <v>15505</v>
      </c>
      <c r="X2930">
        <v>13</v>
      </c>
      <c r="Y2930" t="s">
        <v>21670</v>
      </c>
      <c r="Z2930" t="s">
        <v>27877</v>
      </c>
      <c r="AA2930">
        <v>0.41168497616165589</v>
      </c>
      <c r="AB2930" t="str">
        <f>HYPERLINK("Melting_Curves/meltCurve_Q13362_4_PPP2R5C.pdf", "Melting_Curves/meltCurve_Q13362_4_PPP2R5C.pdf")</f>
        <v>Melting_Curves/meltCurve_Q13362_4_PPP2R5C.pdf</v>
      </c>
    </row>
    <row r="2931" spans="1:28" x14ac:dyDescent="0.25">
      <c r="A2931" t="s">
        <v>2935</v>
      </c>
      <c r="B2931">
        <v>0.99987803227770999</v>
      </c>
      <c r="C2931">
        <v>0.94429659902237395</v>
      </c>
      <c r="D2931">
        <v>0.98679263468495904</v>
      </c>
      <c r="E2931">
        <v>0.65175098968178402</v>
      </c>
      <c r="F2931">
        <v>0.30277582690841498</v>
      </c>
      <c r="G2931">
        <v>0.14950184631983801</v>
      </c>
      <c r="H2931">
        <v>7.5961960214275703E-2</v>
      </c>
      <c r="I2931">
        <v>5.0332004866499101E-2</v>
      </c>
      <c r="J2931">
        <v>3.6867679330061E-2</v>
      </c>
      <c r="K2931">
        <v>2.6575446749983599E-2</v>
      </c>
      <c r="L2931">
        <v>1309.7021712245501</v>
      </c>
      <c r="M2931">
        <v>25.6285408102801</v>
      </c>
      <c r="N2931">
        <v>51.304530107976902</v>
      </c>
      <c r="O2931">
        <v>50.7951744043377</v>
      </c>
      <c r="P2931">
        <v>-0.12010622457282</v>
      </c>
      <c r="Q2931">
        <v>4.7820579621925E-2</v>
      </c>
      <c r="R2931">
        <v>0.99596681837912004</v>
      </c>
      <c r="S2931" t="s">
        <v>9242</v>
      </c>
      <c r="T2931" t="s">
        <v>12620</v>
      </c>
      <c r="U2931" t="s">
        <v>12620</v>
      </c>
      <c r="V2931" t="s">
        <v>12620</v>
      </c>
      <c r="W2931" t="s">
        <v>15506</v>
      </c>
      <c r="X2931">
        <v>12</v>
      </c>
      <c r="Y2931" t="s">
        <v>21671</v>
      </c>
      <c r="Z2931" t="s">
        <v>27878</v>
      </c>
      <c r="AA2931">
        <v>0.40843182318233501</v>
      </c>
      <c r="AB2931" t="str">
        <f>HYPERLINK("Melting_Curves/meltCurve_Q13363_2_CTBP1.pdf", "Melting_Curves/meltCurve_Q13363_2_CTBP1.pdf")</f>
        <v>Melting_Curves/meltCurve_Q13363_2_CTBP1.pdf</v>
      </c>
    </row>
    <row r="2932" spans="1:28" x14ac:dyDescent="0.25">
      <c r="A2932" t="s">
        <v>2936</v>
      </c>
      <c r="B2932">
        <v>0.99987803227770999</v>
      </c>
      <c r="C2932">
        <v>0.80526493762953599</v>
      </c>
      <c r="D2932">
        <v>0.83967483576054303</v>
      </c>
      <c r="E2932">
        <v>1.26199006751881</v>
      </c>
      <c r="F2932">
        <v>1.19128520095548</v>
      </c>
      <c r="G2932">
        <v>0.79663201907529002</v>
      </c>
      <c r="H2932">
        <v>0.54029487310684599</v>
      </c>
      <c r="I2932">
        <v>0.39914494470635098</v>
      </c>
      <c r="J2932">
        <v>0.33437938394351502</v>
      </c>
      <c r="K2932">
        <v>0.26434521967910302</v>
      </c>
      <c r="L2932">
        <v>1817.5698108322699</v>
      </c>
      <c r="M2932">
        <v>30.490563644897399</v>
      </c>
      <c r="N2932">
        <v>61.4089433377858</v>
      </c>
      <c r="O2932">
        <v>59.356239799935501</v>
      </c>
      <c r="P2932">
        <v>-9.0507380584152905E-2</v>
      </c>
      <c r="Q2932">
        <v>0.29523835885459399</v>
      </c>
      <c r="R2932">
        <v>0.83520390372206299</v>
      </c>
      <c r="S2932" t="s">
        <v>9243</v>
      </c>
      <c r="T2932" t="s">
        <v>12620</v>
      </c>
      <c r="U2932" t="s">
        <v>12620</v>
      </c>
      <c r="V2932" t="s">
        <v>12620</v>
      </c>
      <c r="W2932" t="s">
        <v>15507</v>
      </c>
      <c r="X2932">
        <v>7</v>
      </c>
      <c r="Y2932" t="s">
        <v>21672</v>
      </c>
      <c r="Z2932" t="s">
        <v>27879</v>
      </c>
      <c r="AA2932">
        <v>0.76022819175198786</v>
      </c>
      <c r="AB2932" t="str">
        <f>HYPERLINK("Melting_Curves/meltCurve_Q13371_PDCL.pdf", "Melting_Curves/meltCurve_Q13371_PDCL.pdf")</f>
        <v>Melting_Curves/meltCurve_Q13371_PDCL.pdf</v>
      </c>
    </row>
    <row r="2933" spans="1:28" x14ac:dyDescent="0.25">
      <c r="A2933" t="s">
        <v>2937</v>
      </c>
      <c r="B2933">
        <v>0.99987803227770999</v>
      </c>
      <c r="C2933">
        <v>0.94277274334391703</v>
      </c>
      <c r="D2933">
        <v>0.82486657798220997</v>
      </c>
      <c r="E2933">
        <v>1.23177500563311</v>
      </c>
      <c r="F2933">
        <v>0.70449564280550803</v>
      </c>
      <c r="G2933">
        <v>0.288436041273955</v>
      </c>
      <c r="H2933">
        <v>0.13564745481425</v>
      </c>
      <c r="I2933">
        <v>0.10495801490153001</v>
      </c>
      <c r="J2933">
        <v>8.3577889130007799E-2</v>
      </c>
      <c r="K2933">
        <v>6.8573174945859003E-2</v>
      </c>
      <c r="L2933">
        <v>2066.0332077712401</v>
      </c>
      <c r="M2933">
        <v>37.868019107399597</v>
      </c>
      <c r="N2933">
        <v>54.878302638536397</v>
      </c>
      <c r="O2933">
        <v>54.4073088483456</v>
      </c>
      <c r="P2933">
        <v>-0.15678789395082501</v>
      </c>
      <c r="Q2933">
        <v>9.8935221145175001E-2</v>
      </c>
      <c r="R2933">
        <v>0.93936991979249596</v>
      </c>
      <c r="S2933" t="s">
        <v>9244</v>
      </c>
      <c r="T2933" t="s">
        <v>12620</v>
      </c>
      <c r="U2933" t="s">
        <v>12620</v>
      </c>
      <c r="V2933" t="s">
        <v>12620</v>
      </c>
      <c r="W2933" t="s">
        <v>15508</v>
      </c>
      <c r="X2933">
        <v>5</v>
      </c>
      <c r="Y2933" t="s">
        <v>21673</v>
      </c>
      <c r="Z2933" t="s">
        <v>27880</v>
      </c>
      <c r="AA2933">
        <v>0.53999411512714246</v>
      </c>
      <c r="AB2933" t="str">
        <f>HYPERLINK("Melting_Curves/meltCurve_Q13395_TARBP1.pdf", "Melting_Curves/meltCurve_Q13395_TARBP1.pdf")</f>
        <v>Melting_Curves/meltCurve_Q13395_TARBP1.pdf</v>
      </c>
    </row>
    <row r="2934" spans="1:28" x14ac:dyDescent="0.25">
      <c r="A2934" t="s">
        <v>2938</v>
      </c>
      <c r="B2934">
        <v>0.99987803227770999</v>
      </c>
      <c r="C2934">
        <v>0.85283062189110004</v>
      </c>
      <c r="D2934">
        <v>1.0299058273327</v>
      </c>
      <c r="E2934">
        <v>0.88364144749502604</v>
      </c>
      <c r="F2934">
        <v>1.08779343149074</v>
      </c>
      <c r="G2934">
        <v>1.0064691970158399</v>
      </c>
      <c r="H2934">
        <v>0.60451571498986401</v>
      </c>
      <c r="I2934">
        <v>0.223124991640656</v>
      </c>
      <c r="J2934">
        <v>9.5738631581276296E-2</v>
      </c>
      <c r="K2934">
        <v>6.7765604688792905E-2</v>
      </c>
      <c r="L2934">
        <v>2733.9603504830502</v>
      </c>
      <c r="M2934">
        <v>44.471659151016702</v>
      </c>
      <c r="N2934">
        <v>61.693003377775</v>
      </c>
      <c r="O2934">
        <v>61.3525651276113</v>
      </c>
      <c r="P2934">
        <v>-0.168119270604485</v>
      </c>
      <c r="Q2934">
        <v>7.2260299105218695E-2</v>
      </c>
      <c r="R2934">
        <v>0.96967341965875398</v>
      </c>
      <c r="S2934" t="s">
        <v>9245</v>
      </c>
      <c r="T2934" t="s">
        <v>12620</v>
      </c>
      <c r="U2934" t="s">
        <v>12620</v>
      </c>
      <c r="V2934" t="s">
        <v>12620</v>
      </c>
      <c r="W2934" t="s">
        <v>15509</v>
      </c>
      <c r="X2934">
        <v>12</v>
      </c>
      <c r="Y2934" t="s">
        <v>21674</v>
      </c>
      <c r="Z2934" t="s">
        <v>27881</v>
      </c>
      <c r="AA2934">
        <v>0.73933775577058247</v>
      </c>
      <c r="AB2934" t="str">
        <f>HYPERLINK("Melting_Curves/meltCurve_Q13404_UBE2V1.pdf", "Melting_Curves/meltCurve_Q13404_UBE2V1.pdf")</f>
        <v>Melting_Curves/meltCurve_Q13404_UBE2V1.pdf</v>
      </c>
    </row>
    <row r="2935" spans="1:28" x14ac:dyDescent="0.25">
      <c r="A2935" t="s">
        <v>2939</v>
      </c>
      <c r="B2935">
        <v>0.99987803227770999</v>
      </c>
      <c r="C2935">
        <v>0.87289471867926705</v>
      </c>
      <c r="D2935">
        <v>1.0166283743704401</v>
      </c>
      <c r="E2935">
        <v>1.5276202500470999</v>
      </c>
      <c r="F2935">
        <v>1.90586279124625</v>
      </c>
      <c r="G2935">
        <v>1.6057144724408701</v>
      </c>
      <c r="H2935">
        <v>0.697112879615987</v>
      </c>
      <c r="I2935">
        <v>0.403223621098242</v>
      </c>
      <c r="J2935">
        <v>0.33629392165136002</v>
      </c>
      <c r="K2935">
        <v>0.25894821755257502</v>
      </c>
      <c r="L2935">
        <v>5745.8119591863597</v>
      </c>
      <c r="M2935">
        <v>93.957488494377699</v>
      </c>
      <c r="N2935">
        <v>61.8570589910194</v>
      </c>
      <c r="O2935">
        <v>61.125629007439201</v>
      </c>
      <c r="P2935">
        <v>-0.25811572127240701</v>
      </c>
      <c r="Q2935">
        <v>0.32831391301139201</v>
      </c>
      <c r="R2935">
        <v>0.48643603188388701</v>
      </c>
      <c r="S2935" t="s">
        <v>9246</v>
      </c>
      <c r="T2935" t="s">
        <v>12620</v>
      </c>
      <c r="U2935" t="s">
        <v>12620</v>
      </c>
      <c r="V2935" t="s">
        <v>12620</v>
      </c>
      <c r="W2935" t="s">
        <v>15510</v>
      </c>
      <c r="X2935">
        <v>20</v>
      </c>
      <c r="Y2935" t="s">
        <v>21675</v>
      </c>
      <c r="Z2935" t="s">
        <v>27882</v>
      </c>
      <c r="AA2935">
        <v>0.80243775451583721</v>
      </c>
      <c r="AB2935" t="str">
        <f>HYPERLINK("Melting_Curves/meltCurve_Q13409_6_DYNC1I2.pdf", "Melting_Curves/meltCurve_Q13409_6_DYNC1I2.pdf")</f>
        <v>Melting_Curves/meltCurve_Q13409_6_DYNC1I2.pdf</v>
      </c>
    </row>
    <row r="2936" spans="1:28" x14ac:dyDescent="0.25">
      <c r="A2936" t="s">
        <v>2940</v>
      </c>
      <c r="B2936">
        <v>0.99987803227770999</v>
      </c>
      <c r="C2936">
        <v>0.996484827300957</v>
      </c>
      <c r="D2936">
        <v>0.90762055316814005</v>
      </c>
      <c r="E2936">
        <v>0.724452152615219</v>
      </c>
      <c r="F2936">
        <v>0.70513217094745195</v>
      </c>
      <c r="G2936">
        <v>0.61620259007942002</v>
      </c>
      <c r="H2936">
        <v>0.60557809822201503</v>
      </c>
      <c r="I2936">
        <v>0.69344897458111998</v>
      </c>
      <c r="J2936">
        <v>0.61715620933210102</v>
      </c>
      <c r="K2936">
        <v>0.50908151337175001</v>
      </c>
      <c r="L2936">
        <v>943.72065399838903</v>
      </c>
      <c r="M2936">
        <v>19.367070164309599</v>
      </c>
      <c r="O2936">
        <v>48.217508437518397</v>
      </c>
      <c r="P2936">
        <v>-3.9851737316599398E-2</v>
      </c>
      <c r="Q2936">
        <v>0.60314484999954698</v>
      </c>
      <c r="R2936">
        <v>0.92758795207366695</v>
      </c>
      <c r="S2936" t="s">
        <v>9247</v>
      </c>
      <c r="T2936" t="s">
        <v>12620</v>
      </c>
      <c r="U2936" t="s">
        <v>12620</v>
      </c>
      <c r="V2936" t="s">
        <v>12620</v>
      </c>
      <c r="W2936" t="s">
        <v>15511</v>
      </c>
      <c r="X2936">
        <v>5</v>
      </c>
      <c r="Y2936" t="s">
        <v>21676</v>
      </c>
      <c r="Z2936" t="s">
        <v>27883</v>
      </c>
      <c r="AA2936">
        <v>0.72455984451945765</v>
      </c>
      <c r="AB2936" t="str">
        <f>HYPERLINK("Melting_Curves/meltCurve_Q13416_ORC2.pdf", "Melting_Curves/meltCurve_Q13416_ORC2.pdf")</f>
        <v>Melting_Curves/meltCurve_Q13416_ORC2.pdf</v>
      </c>
    </row>
    <row r="2937" spans="1:28" x14ac:dyDescent="0.25">
      <c r="A2937" t="s">
        <v>2941</v>
      </c>
      <c r="B2937">
        <v>0.99987803227770999</v>
      </c>
      <c r="C2937">
        <v>1.09259554902877</v>
      </c>
      <c r="D2937">
        <v>0.86474587191560004</v>
      </c>
      <c r="E2937">
        <v>0.66718302437663202</v>
      </c>
      <c r="F2937">
        <v>0.248568187026288</v>
      </c>
      <c r="G2937">
        <v>0.14004808403660099</v>
      </c>
      <c r="H2937">
        <v>0.10417256070709</v>
      </c>
      <c r="I2937">
        <v>9.7144423771008695E-2</v>
      </c>
      <c r="J2937">
        <v>7.7939476930139098E-2</v>
      </c>
      <c r="K2937">
        <v>5.2028890258480003E-2</v>
      </c>
      <c r="L2937">
        <v>1406.1624761748899</v>
      </c>
      <c r="M2937">
        <v>27.747189049354699</v>
      </c>
      <c r="N2937">
        <v>50.996381535990601</v>
      </c>
      <c r="O2937">
        <v>50.416599128720598</v>
      </c>
      <c r="P2937">
        <v>-0.126637463309136</v>
      </c>
      <c r="Q2937">
        <v>7.9607507918441997E-2</v>
      </c>
      <c r="R2937">
        <v>0.98643114672919696</v>
      </c>
      <c r="S2937" t="s">
        <v>9248</v>
      </c>
      <c r="T2937" t="s">
        <v>12620</v>
      </c>
      <c r="U2937" t="s">
        <v>12620</v>
      </c>
      <c r="V2937" t="s">
        <v>12620</v>
      </c>
      <c r="W2937" t="s">
        <v>15512</v>
      </c>
      <c r="X2937">
        <v>23</v>
      </c>
      <c r="Y2937" t="s">
        <v>21677</v>
      </c>
      <c r="Z2937" t="s">
        <v>27884</v>
      </c>
      <c r="AA2937">
        <v>0.41392713163500888</v>
      </c>
      <c r="AB2937" t="str">
        <f>HYPERLINK("Melting_Curves/meltCurve_Q13418_ILK.pdf", "Melting_Curves/meltCurve_Q13418_ILK.pdf")</f>
        <v>Melting_Curves/meltCurve_Q13418_ILK.pdf</v>
      </c>
    </row>
    <row r="2938" spans="1:28" x14ac:dyDescent="0.25">
      <c r="A2938" t="s">
        <v>2942</v>
      </c>
      <c r="B2938">
        <v>0.99987803227770999</v>
      </c>
      <c r="C2938">
        <v>1.0552839527026401</v>
      </c>
      <c r="D2938">
        <v>0.78362922598413198</v>
      </c>
      <c r="E2938">
        <v>0.50142746005779504</v>
      </c>
      <c r="F2938">
        <v>0.24872444969655699</v>
      </c>
      <c r="G2938">
        <v>0.17176459606626501</v>
      </c>
      <c r="H2938">
        <v>0.110680762472104</v>
      </c>
      <c r="I2938">
        <v>0.103909379085073</v>
      </c>
      <c r="J2938">
        <v>7.8386328704479993E-2</v>
      </c>
      <c r="K2938">
        <v>5.95174705480601E-2</v>
      </c>
      <c r="L2938">
        <v>1001.6186778703</v>
      </c>
      <c r="M2938">
        <v>20.283999811259498</v>
      </c>
      <c r="N2938">
        <v>49.832487357742799</v>
      </c>
      <c r="O2938">
        <v>48.907298079628497</v>
      </c>
      <c r="P2938">
        <v>-9.4963544592782695E-2</v>
      </c>
      <c r="Q2938">
        <v>8.41513060747726E-2</v>
      </c>
      <c r="R2938">
        <v>0.98995334101892496</v>
      </c>
      <c r="S2938" t="s">
        <v>9249</v>
      </c>
      <c r="T2938" t="s">
        <v>12620</v>
      </c>
      <c r="U2938" t="s">
        <v>12620</v>
      </c>
      <c r="V2938" t="s">
        <v>12620</v>
      </c>
      <c r="W2938" t="s">
        <v>15513</v>
      </c>
      <c r="X2938">
        <v>9</v>
      </c>
      <c r="Y2938" t="s">
        <v>21678</v>
      </c>
      <c r="Z2938" t="s">
        <v>27885</v>
      </c>
      <c r="AA2938">
        <v>0.3829328670813601</v>
      </c>
      <c r="AB2938" t="str">
        <f>HYPERLINK("Melting_Curves/meltCurve_Q13425_SNTB2.pdf", "Melting_Curves/meltCurve_Q13425_SNTB2.pdf")</f>
        <v>Melting_Curves/meltCurve_Q13425_SNTB2.pdf</v>
      </c>
    </row>
    <row r="2939" spans="1:28" x14ac:dyDescent="0.25">
      <c r="A2939" t="s">
        <v>2943</v>
      </c>
      <c r="B2939">
        <v>0.99987803227770999</v>
      </c>
      <c r="C2939">
        <v>0.97047006740395703</v>
      </c>
      <c r="D2939">
        <v>1.03493073175235</v>
      </c>
      <c r="E2939">
        <v>1.0713289623329201</v>
      </c>
      <c r="F2939">
        <v>1.2553535553526001</v>
      </c>
      <c r="G2939">
        <v>1.14551868150896</v>
      </c>
      <c r="H2939">
        <v>1.0508649516436399</v>
      </c>
      <c r="I2939">
        <v>0.70115089913731199</v>
      </c>
      <c r="J2939">
        <v>0.61641467350225199</v>
      </c>
      <c r="K2939">
        <v>0.34394849303675801</v>
      </c>
      <c r="L2939">
        <v>2095.95649513026</v>
      </c>
      <c r="M2939">
        <v>31.729761454468498</v>
      </c>
      <c r="N2939">
        <v>67.643511136597496</v>
      </c>
      <c r="O2939">
        <v>65.795762639257006</v>
      </c>
      <c r="P2939">
        <v>-8.89148710744041E-2</v>
      </c>
      <c r="Q2939">
        <v>0.26249792726605398</v>
      </c>
      <c r="R2939">
        <v>0.826696592687161</v>
      </c>
      <c r="S2939" t="s">
        <v>9250</v>
      </c>
      <c r="T2939" t="s">
        <v>12620</v>
      </c>
      <c r="U2939" t="s">
        <v>12620</v>
      </c>
      <c r="V2939" t="s">
        <v>12620</v>
      </c>
      <c r="W2939" t="s">
        <v>15514</v>
      </c>
      <c r="X2939">
        <v>16</v>
      </c>
      <c r="Y2939" t="s">
        <v>21679</v>
      </c>
      <c r="Z2939" t="s">
        <v>27886</v>
      </c>
      <c r="AA2939">
        <v>0.89885158378407004</v>
      </c>
      <c r="AB2939" t="str">
        <f>HYPERLINK("Melting_Curves/meltCurve_Q13426_XRCC4.pdf", "Melting_Curves/meltCurve_Q13426_XRCC4.pdf")</f>
        <v>Melting_Curves/meltCurve_Q13426_XRCC4.pdf</v>
      </c>
    </row>
    <row r="2940" spans="1:28" x14ac:dyDescent="0.25">
      <c r="A2940" t="s">
        <v>2944</v>
      </c>
      <c r="B2940">
        <v>0.99987803227770999</v>
      </c>
      <c r="C2940">
        <v>0.87018238874243503</v>
      </c>
      <c r="D2940">
        <v>0.93812724425858396</v>
      </c>
      <c r="E2940">
        <v>0.677656380461654</v>
      </c>
      <c r="F2940">
        <v>0.56379796170768404</v>
      </c>
      <c r="G2940">
        <v>0.36264959575466499</v>
      </c>
      <c r="H2940">
        <v>0.34199299573902597</v>
      </c>
      <c r="I2940">
        <v>0.27045633697766502</v>
      </c>
      <c r="J2940">
        <v>0.31512006911670798</v>
      </c>
      <c r="K2940">
        <v>0.24922581786702699</v>
      </c>
      <c r="L2940">
        <v>742.22087589716705</v>
      </c>
      <c r="M2940">
        <v>14.462513658331</v>
      </c>
      <c r="N2940">
        <v>53.942221454680897</v>
      </c>
      <c r="O2940">
        <v>50.369040938407601</v>
      </c>
      <c r="P2940">
        <v>-5.3668052216533702E-2</v>
      </c>
      <c r="Q2940">
        <v>0.25244128508567099</v>
      </c>
      <c r="R2940">
        <v>0.97955365916461601</v>
      </c>
      <c r="S2940" t="s">
        <v>9251</v>
      </c>
      <c r="T2940" t="s">
        <v>12620</v>
      </c>
      <c r="U2940" t="s">
        <v>12620</v>
      </c>
      <c r="V2940" t="s">
        <v>12620</v>
      </c>
      <c r="W2940" t="s">
        <v>15515</v>
      </c>
      <c r="X2940">
        <v>10</v>
      </c>
      <c r="Y2940" t="s">
        <v>21680</v>
      </c>
      <c r="Z2940" t="s">
        <v>27887</v>
      </c>
      <c r="AA2940">
        <v>0.55265065891467369</v>
      </c>
      <c r="AB2940" t="str">
        <f>HYPERLINK("Melting_Curves/meltCurve_Q13427_PPIG.pdf", "Melting_Curves/meltCurve_Q13427_PPIG.pdf")</f>
        <v>Melting_Curves/meltCurve_Q13427_PPIG.pdf</v>
      </c>
    </row>
    <row r="2941" spans="1:28" x14ac:dyDescent="0.25">
      <c r="A2941" t="s">
        <v>2945</v>
      </c>
      <c r="B2941">
        <v>0.99987803227770999</v>
      </c>
      <c r="C2941">
        <v>0.968983549646389</v>
      </c>
      <c r="D2941">
        <v>0.96257187063905503</v>
      </c>
      <c r="E2941">
        <v>0.82384763952291995</v>
      </c>
      <c r="F2941">
        <v>0.83575050019251196</v>
      </c>
      <c r="G2941">
        <v>0.57902809725771598</v>
      </c>
      <c r="H2941">
        <v>0.552752058191605</v>
      </c>
      <c r="I2941">
        <v>0.52209893583265399</v>
      </c>
      <c r="J2941">
        <v>0.58288681560490396</v>
      </c>
      <c r="K2941">
        <v>0.46255803924309702</v>
      </c>
      <c r="L2941">
        <v>811.05990886515599</v>
      </c>
      <c r="M2941">
        <v>15.178458232268</v>
      </c>
      <c r="O2941">
        <v>52.533150583906497</v>
      </c>
      <c r="P2941">
        <v>-3.6799544592845998E-2</v>
      </c>
      <c r="Q2941">
        <v>0.490591157485669</v>
      </c>
      <c r="R2941">
        <v>0.95592496030957497</v>
      </c>
      <c r="S2941" t="s">
        <v>9252</v>
      </c>
      <c r="T2941" t="s">
        <v>12620</v>
      </c>
      <c r="U2941" t="s">
        <v>12620</v>
      </c>
      <c r="V2941" t="s">
        <v>12620</v>
      </c>
      <c r="W2941" t="s">
        <v>15516</v>
      </c>
      <c r="X2941">
        <v>51</v>
      </c>
      <c r="Y2941" t="s">
        <v>21681</v>
      </c>
      <c r="Z2941" t="s">
        <v>27888</v>
      </c>
      <c r="AA2941">
        <v>0.72930412968133207</v>
      </c>
      <c r="AB2941" t="str">
        <f>HYPERLINK("Melting_Curves/meltCurve_Q13428_3_TCOF1.pdf", "Melting_Curves/meltCurve_Q13428_3_TCOF1.pdf")</f>
        <v>Melting_Curves/meltCurve_Q13428_3_TCOF1.pdf</v>
      </c>
    </row>
    <row r="2942" spans="1:28" x14ac:dyDescent="0.25">
      <c r="A2942" t="s">
        <v>2946</v>
      </c>
      <c r="B2942">
        <v>0.99987803227770999</v>
      </c>
      <c r="C2942">
        <v>0.97028308618326797</v>
      </c>
      <c r="D2942">
        <v>1.0286184380273899</v>
      </c>
      <c r="E2942">
        <v>1.0351009822147601</v>
      </c>
      <c r="F2942">
        <v>1.0883084825509399</v>
      </c>
      <c r="G2942">
        <v>0.94998857993651298</v>
      </c>
      <c r="H2942">
        <v>1.0589241699640699</v>
      </c>
      <c r="I2942">
        <v>0.99307022188155702</v>
      </c>
      <c r="J2942">
        <v>1.14442605691663</v>
      </c>
      <c r="K2942">
        <v>0.86167942789525298</v>
      </c>
      <c r="L2942">
        <v>15000</v>
      </c>
      <c r="M2942">
        <v>212.45629384682101</v>
      </c>
      <c r="Q2942">
        <v>0</v>
      </c>
      <c r="R2942">
        <v>0.31667242574023202</v>
      </c>
      <c r="S2942" t="s">
        <v>9253</v>
      </c>
      <c r="T2942" t="s">
        <v>12620</v>
      </c>
      <c r="U2942" t="s">
        <v>12620</v>
      </c>
      <c r="V2942" t="s">
        <v>12620</v>
      </c>
      <c r="W2942" t="s">
        <v>15517</v>
      </c>
      <c r="X2942">
        <v>51</v>
      </c>
      <c r="Y2942" t="s">
        <v>21681</v>
      </c>
      <c r="Z2942" t="s">
        <v>27889</v>
      </c>
      <c r="AA2942">
        <v>0.99839459765616823</v>
      </c>
      <c r="AB2942" t="str">
        <f>HYPERLINK("Melting_Curves/meltCurve_Q13428_4_TCOF1.pdf", "Melting_Curves/meltCurve_Q13428_4_TCOF1.pdf")</f>
        <v>Melting_Curves/meltCurve_Q13428_4_TCOF1.pdf</v>
      </c>
    </row>
    <row r="2943" spans="1:28" x14ac:dyDescent="0.25">
      <c r="A2943" t="s">
        <v>2947</v>
      </c>
      <c r="B2943">
        <v>0.99987803227770999</v>
      </c>
      <c r="C2943">
        <v>0.77653966429294996</v>
      </c>
      <c r="D2943">
        <v>0.82975516197518295</v>
      </c>
      <c r="E2943">
        <v>0.43194618458685802</v>
      </c>
      <c r="F2943">
        <v>0.333824684867083</v>
      </c>
      <c r="G2943">
        <v>0.24864430024731601</v>
      </c>
      <c r="H2943">
        <v>0.23865067030511999</v>
      </c>
      <c r="I2943">
        <v>0.203603218320902</v>
      </c>
      <c r="J2943">
        <v>0.16260966478282299</v>
      </c>
      <c r="K2943">
        <v>0.142605105591499</v>
      </c>
      <c r="L2943">
        <v>703.34012790909696</v>
      </c>
      <c r="M2943">
        <v>14.5541911109836</v>
      </c>
      <c r="N2943">
        <v>49.657623261813498</v>
      </c>
      <c r="O2943">
        <v>47.440766209290999</v>
      </c>
      <c r="P2943">
        <v>-6.4309210058781097E-2</v>
      </c>
      <c r="Q2943">
        <v>0.161607445944672</v>
      </c>
      <c r="R2943">
        <v>0.96755620398003495</v>
      </c>
      <c r="S2943" t="s">
        <v>9254</v>
      </c>
      <c r="T2943" t="s">
        <v>12620</v>
      </c>
      <c r="U2943" t="s">
        <v>12620</v>
      </c>
      <c r="V2943" t="s">
        <v>12620</v>
      </c>
      <c r="W2943" t="s">
        <v>15518</v>
      </c>
      <c r="X2943">
        <v>4</v>
      </c>
      <c r="Y2943" t="s">
        <v>21682</v>
      </c>
      <c r="Z2943" t="s">
        <v>27890</v>
      </c>
      <c r="AA2943">
        <v>0.41681722463768089</v>
      </c>
      <c r="AB2943" t="str">
        <f>HYPERLINK("Melting_Curves/meltCurve_Q13432_UNC119.pdf", "Melting_Curves/meltCurve_Q13432_UNC119.pdf")</f>
        <v>Melting_Curves/meltCurve_Q13432_UNC119.pdf</v>
      </c>
    </row>
    <row r="2944" spans="1:28" x14ac:dyDescent="0.25">
      <c r="A2944" t="s">
        <v>2948</v>
      </c>
      <c r="B2944">
        <v>0.99987803227770999</v>
      </c>
      <c r="C2944">
        <v>0.864268491395216</v>
      </c>
      <c r="D2944">
        <v>0.90995974668054402</v>
      </c>
      <c r="E2944">
        <v>1.0460398250726699</v>
      </c>
      <c r="F2944">
        <v>1.0197464905254601</v>
      </c>
      <c r="G2944">
        <v>0.83733472151919197</v>
      </c>
      <c r="H2944">
        <v>0.79381617307345798</v>
      </c>
      <c r="I2944">
        <v>0.73473452024714903</v>
      </c>
      <c r="J2944">
        <v>0.662452953347622</v>
      </c>
      <c r="K2944">
        <v>0.52111794126794997</v>
      </c>
      <c r="L2944">
        <v>608.05227211680699</v>
      </c>
      <c r="M2944">
        <v>8.5270050415042</v>
      </c>
      <c r="O2944">
        <v>67.711608110244597</v>
      </c>
      <c r="P2944">
        <v>-3.1510834771581203E-2</v>
      </c>
      <c r="Q2944">
        <v>0</v>
      </c>
      <c r="R2944">
        <v>0.84612184976209803</v>
      </c>
      <c r="S2944" t="s">
        <v>9255</v>
      </c>
      <c r="T2944" t="s">
        <v>12620</v>
      </c>
      <c r="U2944" t="s">
        <v>12620</v>
      </c>
      <c r="V2944" t="s">
        <v>12620</v>
      </c>
      <c r="W2944" t="s">
        <v>15519</v>
      </c>
      <c r="X2944">
        <v>34</v>
      </c>
      <c r="Y2944" t="s">
        <v>19252</v>
      </c>
      <c r="Z2944" t="s">
        <v>27891</v>
      </c>
      <c r="AA2944">
        <v>0.8674038733399505</v>
      </c>
      <c r="AB2944" t="str">
        <f>HYPERLINK("Melting_Curves/meltCurve_Q13435_SF3B2.pdf", "Melting_Curves/meltCurve_Q13435_SF3B2.pdf")</f>
        <v>Melting_Curves/meltCurve_Q13435_SF3B2.pdf</v>
      </c>
    </row>
    <row r="2945" spans="1:28" x14ac:dyDescent="0.25">
      <c r="A2945" t="s">
        <v>2949</v>
      </c>
      <c r="B2945">
        <v>0.99987803227770999</v>
      </c>
      <c r="C2945">
        <v>1.1235384825353401</v>
      </c>
      <c r="D2945">
        <v>0.87508981039797296</v>
      </c>
      <c r="E2945">
        <v>0.81821506914687103</v>
      </c>
      <c r="F2945">
        <v>0.54029413185427999</v>
      </c>
      <c r="G2945">
        <v>0.497401557378089</v>
      </c>
      <c r="H2945">
        <v>0.42175178108665201</v>
      </c>
      <c r="I2945">
        <v>0.36604096752985199</v>
      </c>
      <c r="J2945">
        <v>0.36483499281739101</v>
      </c>
      <c r="K2945">
        <v>0.26114519637282102</v>
      </c>
      <c r="L2945">
        <v>852.52025554765703</v>
      </c>
      <c r="M2945">
        <v>16.3671708271592</v>
      </c>
      <c r="N2945">
        <v>55.652374629414098</v>
      </c>
      <c r="O2945">
        <v>51.328249482574201</v>
      </c>
      <c r="P2945">
        <v>-5.3832017954141699E-2</v>
      </c>
      <c r="Q2945">
        <v>0.32476879550055798</v>
      </c>
      <c r="R2945">
        <v>0.95062034912652205</v>
      </c>
      <c r="S2945" t="s">
        <v>9256</v>
      </c>
      <c r="T2945" t="s">
        <v>12620</v>
      </c>
      <c r="U2945" t="s">
        <v>12620</v>
      </c>
      <c r="V2945" t="s">
        <v>12620</v>
      </c>
      <c r="W2945" t="s">
        <v>15520</v>
      </c>
      <c r="X2945">
        <v>68</v>
      </c>
      <c r="Y2945" t="s">
        <v>21683</v>
      </c>
      <c r="Z2945" t="s">
        <v>27892</v>
      </c>
      <c r="AA2945">
        <v>0.60995671850941846</v>
      </c>
      <c r="AB2945" t="str">
        <f>HYPERLINK("Melting_Curves/meltCurve_Q13439_3_GOLGA4.pdf", "Melting_Curves/meltCurve_Q13439_3_GOLGA4.pdf")</f>
        <v>Melting_Curves/meltCurve_Q13439_3_GOLGA4.pdf</v>
      </c>
    </row>
    <row r="2946" spans="1:28" x14ac:dyDescent="0.25">
      <c r="A2946" t="s">
        <v>2950</v>
      </c>
      <c r="B2946">
        <v>0.99987803227770999</v>
      </c>
      <c r="C2946">
        <v>0.77978453578067997</v>
      </c>
      <c r="D2946">
        <v>1.0175379696176401</v>
      </c>
      <c r="E2946">
        <v>0.821423898294805</v>
      </c>
      <c r="F2946">
        <v>1.1554188983929601</v>
      </c>
      <c r="G2946">
        <v>0.81224102389402697</v>
      </c>
      <c r="H2946">
        <v>1.0423846959479699</v>
      </c>
      <c r="I2946">
        <v>1.0318608864552099</v>
      </c>
      <c r="J2946">
        <v>1.23856955645211</v>
      </c>
      <c r="K2946">
        <v>1.0577472850409899</v>
      </c>
      <c r="L2946">
        <v>15000</v>
      </c>
      <c r="M2946">
        <v>233.082435192482</v>
      </c>
      <c r="O2946">
        <v>64.350192750063698</v>
      </c>
      <c r="P2946">
        <v>0.13415832096452701</v>
      </c>
      <c r="Q2946">
        <v>1.14815550639944</v>
      </c>
      <c r="R2946">
        <v>0.22036145930596099</v>
      </c>
      <c r="S2946" t="s">
        <v>9257</v>
      </c>
      <c r="T2946" t="s">
        <v>12620</v>
      </c>
      <c r="U2946" t="s">
        <v>12620</v>
      </c>
      <c r="V2946" t="s">
        <v>12620</v>
      </c>
      <c r="W2946" t="s">
        <v>15521</v>
      </c>
      <c r="X2946">
        <v>11</v>
      </c>
      <c r="Y2946" t="s">
        <v>21684</v>
      </c>
      <c r="Z2946" t="s">
        <v>27893</v>
      </c>
      <c r="AA2946">
        <v>1.0278591032584361</v>
      </c>
      <c r="AB2946" t="str">
        <f>HYPERLINK("Melting_Curves/meltCurve_Q13442_PDAP1.pdf", "Melting_Curves/meltCurve_Q13442_PDAP1.pdf")</f>
        <v>Melting_Curves/meltCurve_Q13442_PDAP1.pdf</v>
      </c>
    </row>
    <row r="2947" spans="1:28" x14ac:dyDescent="0.25">
      <c r="A2947" t="s">
        <v>2951</v>
      </c>
      <c r="B2947">
        <v>0.99987803227770999</v>
      </c>
      <c r="C2947">
        <v>0.87689682261598301</v>
      </c>
      <c r="D2947">
        <v>0.98219745273349202</v>
      </c>
      <c r="E2947">
        <v>0.81009809363631002</v>
      </c>
      <c r="F2947">
        <v>1.08958716837977</v>
      </c>
      <c r="G2947">
        <v>0.87730490134921602</v>
      </c>
      <c r="H2947">
        <v>1.0254596632911499</v>
      </c>
      <c r="I2947">
        <v>1.03965541665973</v>
      </c>
      <c r="J2947">
        <v>1.0687795154921</v>
      </c>
      <c r="K2947">
        <v>0.89248643325798704</v>
      </c>
      <c r="L2947">
        <v>1.0000000000000001E-5</v>
      </c>
      <c r="M2947">
        <v>18.728133669597501</v>
      </c>
      <c r="Q2947">
        <v>0.96623434973118105</v>
      </c>
      <c r="R2947">
        <v>-2.2204460492503101E-16</v>
      </c>
      <c r="S2947" t="s">
        <v>9258</v>
      </c>
      <c r="T2947" t="s">
        <v>12620</v>
      </c>
      <c r="U2947" t="s">
        <v>12620</v>
      </c>
      <c r="V2947" t="s">
        <v>12620</v>
      </c>
      <c r="W2947" t="s">
        <v>15522</v>
      </c>
      <c r="X2947">
        <v>4</v>
      </c>
      <c r="Y2947" t="s">
        <v>21685</v>
      </c>
      <c r="Z2947" t="s">
        <v>27894</v>
      </c>
      <c r="AA2947">
        <v>0.96623434997946578</v>
      </c>
      <c r="AB2947" t="str">
        <f>HYPERLINK("Melting_Curves/meltCurve_Q13443_ADAM9.pdf", "Melting_Curves/meltCurve_Q13443_ADAM9.pdf")</f>
        <v>Melting_Curves/meltCurve_Q13443_ADAM9.pdf</v>
      </c>
    </row>
    <row r="2948" spans="1:28" x14ac:dyDescent="0.25">
      <c r="A2948" t="s">
        <v>2952</v>
      </c>
      <c r="B2948">
        <v>0.99987803227770999</v>
      </c>
      <c r="C2948">
        <v>0.994189877970451</v>
      </c>
      <c r="D2948">
        <v>0.63206888294656904</v>
      </c>
      <c r="E2948">
        <v>0.49033707633551099</v>
      </c>
      <c r="F2948">
        <v>0.34519488227901901</v>
      </c>
      <c r="G2948">
        <v>0.20918376429374699</v>
      </c>
      <c r="H2948">
        <v>0.16633377959305401</v>
      </c>
      <c r="I2948">
        <v>0.13041795823827201</v>
      </c>
      <c r="J2948">
        <v>0.123227342444377</v>
      </c>
      <c r="K2948">
        <v>8.8982455147314607E-2</v>
      </c>
      <c r="L2948">
        <v>701.55700957187196</v>
      </c>
      <c r="M2948">
        <v>14.381885663568999</v>
      </c>
      <c r="N2948">
        <v>49.591312934938003</v>
      </c>
      <c r="O2948">
        <v>47.866573607880298</v>
      </c>
      <c r="P2948">
        <v>-6.7253531651989995E-2</v>
      </c>
      <c r="Q2948">
        <v>0.10475938534580501</v>
      </c>
      <c r="R2948">
        <v>0.97790135621281804</v>
      </c>
      <c r="S2948" t="s">
        <v>9259</v>
      </c>
      <c r="T2948" t="s">
        <v>12620</v>
      </c>
      <c r="U2948" t="s">
        <v>12620</v>
      </c>
      <c r="V2948" t="s">
        <v>12620</v>
      </c>
      <c r="W2948" t="s">
        <v>15523</v>
      </c>
      <c r="X2948">
        <v>19</v>
      </c>
      <c r="Y2948" t="s">
        <v>21686</v>
      </c>
      <c r="Z2948" t="s">
        <v>27895</v>
      </c>
      <c r="AA2948">
        <v>0.39090620698205719</v>
      </c>
      <c r="AB2948" t="str">
        <f>HYPERLINK("Melting_Curves/meltCurve_Q13451_FKBP5.pdf", "Melting_Curves/meltCurve_Q13451_FKBP5.pdf")</f>
        <v>Melting_Curves/meltCurve_Q13451_FKBP5.pdf</v>
      </c>
    </row>
    <row r="2949" spans="1:28" x14ac:dyDescent="0.25">
      <c r="A2949" t="s">
        <v>2953</v>
      </c>
      <c r="B2949">
        <v>0.99987803227770999</v>
      </c>
      <c r="C2949">
        <v>1.1260723956831</v>
      </c>
      <c r="D2949">
        <v>0.85814304487512705</v>
      </c>
      <c r="E2949">
        <v>1.09840873552987</v>
      </c>
      <c r="F2949">
        <v>0.39551833356939797</v>
      </c>
      <c r="G2949">
        <v>0.228060773915259</v>
      </c>
      <c r="H2949">
        <v>0.13644670663382599</v>
      </c>
      <c r="I2949">
        <v>9.7733568566745893E-2</v>
      </c>
      <c r="J2949">
        <v>8.5849078257075995E-2</v>
      </c>
      <c r="K2949">
        <v>6.22128965947744E-2</v>
      </c>
      <c r="L2949">
        <v>13207.9592183389</v>
      </c>
      <c r="M2949">
        <v>250</v>
      </c>
      <c r="N2949">
        <v>52.891059158934397</v>
      </c>
      <c r="O2949">
        <v>52.8284628515527</v>
      </c>
      <c r="P2949">
        <v>-1.03866776882687</v>
      </c>
      <c r="Q2949">
        <v>0.122060568641621</v>
      </c>
      <c r="R2949">
        <v>0.96649839593262998</v>
      </c>
      <c r="S2949" t="s">
        <v>9260</v>
      </c>
      <c r="T2949" t="s">
        <v>12620</v>
      </c>
      <c r="U2949" t="s">
        <v>12620</v>
      </c>
      <c r="V2949" t="s">
        <v>12620</v>
      </c>
      <c r="W2949" t="s">
        <v>15524</v>
      </c>
      <c r="X2949">
        <v>45</v>
      </c>
      <c r="Y2949" t="s">
        <v>21687</v>
      </c>
      <c r="Z2949" t="s">
        <v>27896</v>
      </c>
      <c r="AA2949">
        <v>0.49766115594885252</v>
      </c>
      <c r="AB2949" t="str">
        <f>HYPERLINK("Melting_Curves/meltCurve_Q13464_ROCK1.pdf", "Melting_Curves/meltCurve_Q13464_ROCK1.pdf")</f>
        <v>Melting_Curves/meltCurve_Q13464_ROCK1.pdf</v>
      </c>
    </row>
    <row r="2950" spans="1:28" x14ac:dyDescent="0.25">
      <c r="A2950" t="s">
        <v>2954</v>
      </c>
      <c r="B2950">
        <v>0.99987803227770999</v>
      </c>
      <c r="C2950">
        <v>1.1349599833181701</v>
      </c>
      <c r="D2950">
        <v>1.0834682914436</v>
      </c>
      <c r="E2950">
        <v>0.92018472962017706</v>
      </c>
      <c r="F2950">
        <v>1.04447576060884</v>
      </c>
      <c r="G2950">
        <v>1.14221096680773</v>
      </c>
      <c r="H2950">
        <v>1.0451935032616499</v>
      </c>
      <c r="I2950">
        <v>0.76465527645791698</v>
      </c>
      <c r="J2950">
        <v>0.77610000893931796</v>
      </c>
      <c r="K2950">
        <v>0.54309228069274795</v>
      </c>
      <c r="L2950">
        <v>1796.4391623901099</v>
      </c>
      <c r="M2950">
        <v>26.780777317748498</v>
      </c>
      <c r="O2950">
        <v>66.708744742241905</v>
      </c>
      <c r="P2950">
        <v>-5.8423514487524503E-2</v>
      </c>
      <c r="Q2950">
        <v>0.41789293267205402</v>
      </c>
      <c r="R2950">
        <v>0.76967597945535304</v>
      </c>
      <c r="S2950" t="s">
        <v>9261</v>
      </c>
      <c r="T2950" t="s">
        <v>12620</v>
      </c>
      <c r="U2950" t="s">
        <v>12620</v>
      </c>
      <c r="V2950" t="s">
        <v>12620</v>
      </c>
      <c r="W2950" t="s">
        <v>15525</v>
      </c>
      <c r="X2950">
        <v>1</v>
      </c>
      <c r="Y2950" t="s">
        <v>21688</v>
      </c>
      <c r="Z2950" t="s">
        <v>27897</v>
      </c>
      <c r="AA2950">
        <v>0.93300709275881888</v>
      </c>
      <c r="AB2950" t="str">
        <f>HYPERLINK("Melting_Curves/meltCurve_Q13467_FZD5.pdf", "Melting_Curves/meltCurve_Q13467_FZD5.pdf")</f>
        <v>Melting_Curves/meltCurve_Q13467_FZD5.pdf</v>
      </c>
    </row>
    <row r="2951" spans="1:28" x14ac:dyDescent="0.25">
      <c r="A2951" t="s">
        <v>2955</v>
      </c>
      <c r="B2951">
        <v>0.99987803227770999</v>
      </c>
      <c r="C2951">
        <v>0.90045914174792696</v>
      </c>
      <c r="D2951">
        <v>0.67108452258615103</v>
      </c>
      <c r="E2951">
        <v>0.65387990159321097</v>
      </c>
      <c r="F2951">
        <v>0.39289619256918001</v>
      </c>
      <c r="G2951">
        <v>0.27925911816454602</v>
      </c>
      <c r="H2951">
        <v>6.4333413925772506E-2</v>
      </c>
      <c r="I2951">
        <v>0.103612706905418</v>
      </c>
      <c r="J2951">
        <v>0</v>
      </c>
      <c r="K2951">
        <v>0</v>
      </c>
      <c r="L2951">
        <v>596.79709045677305</v>
      </c>
      <c r="M2951">
        <v>11.6752968931275</v>
      </c>
      <c r="N2951">
        <v>51.116223964586801</v>
      </c>
      <c r="O2951">
        <v>49.6857171865949</v>
      </c>
      <c r="P2951">
        <v>-5.8761492673226501E-2</v>
      </c>
      <c r="Q2951">
        <v>0</v>
      </c>
      <c r="R2951">
        <v>0.97290919319785796</v>
      </c>
      <c r="S2951" t="s">
        <v>9262</v>
      </c>
      <c r="T2951" t="s">
        <v>12620</v>
      </c>
      <c r="U2951" t="s">
        <v>12620</v>
      </c>
      <c r="V2951" t="s">
        <v>12620</v>
      </c>
      <c r="W2951" t="s">
        <v>15526</v>
      </c>
      <c r="X2951">
        <v>2</v>
      </c>
      <c r="Y2951" t="s">
        <v>21689</v>
      </c>
      <c r="Z2951" t="s">
        <v>27898</v>
      </c>
      <c r="AA2951">
        <v>0.4041923092794365</v>
      </c>
      <c r="AB2951" t="str">
        <f>HYPERLINK("Melting_Curves/meltCurve_Q13472_2_TOP3A.pdf", "Melting_Curves/meltCurve_Q13472_2_TOP3A.pdf")</f>
        <v>Melting_Curves/meltCurve_Q13472_2_TOP3A.pdf</v>
      </c>
    </row>
    <row r="2952" spans="1:28" x14ac:dyDescent="0.25">
      <c r="A2952" t="s">
        <v>2956</v>
      </c>
      <c r="B2952">
        <v>0.99987803227770999</v>
      </c>
      <c r="C2952">
        <v>0.90455178880789699</v>
      </c>
      <c r="D2952">
        <v>0.95668155844498004</v>
      </c>
      <c r="E2952">
        <v>0.82362425725585298</v>
      </c>
      <c r="F2952">
        <v>0.90643639870651904</v>
      </c>
      <c r="G2952">
        <v>0.76360618460676599</v>
      </c>
      <c r="H2952">
        <v>0.73123127093448304</v>
      </c>
      <c r="I2952">
        <v>0.64018534423696305</v>
      </c>
      <c r="J2952">
        <v>0.63598790029567498</v>
      </c>
      <c r="K2952">
        <v>0.49316643976420399</v>
      </c>
      <c r="L2952">
        <v>337.75325386772602</v>
      </c>
      <c r="M2952">
        <v>4.6629798326843401</v>
      </c>
      <c r="O2952">
        <v>62.142518884322598</v>
      </c>
      <c r="P2952">
        <v>-1.8904882778127401E-2</v>
      </c>
      <c r="Q2952">
        <v>0</v>
      </c>
      <c r="R2952">
        <v>0.92790124561254295</v>
      </c>
      <c r="S2952" t="s">
        <v>9263</v>
      </c>
      <c r="T2952" t="s">
        <v>12620</v>
      </c>
      <c r="U2952" t="s">
        <v>12620</v>
      </c>
      <c r="V2952" t="s">
        <v>12620</v>
      </c>
      <c r="W2952" t="s">
        <v>15527</v>
      </c>
      <c r="X2952">
        <v>4</v>
      </c>
      <c r="Y2952" t="s">
        <v>21690</v>
      </c>
      <c r="Z2952" t="s">
        <v>27899</v>
      </c>
      <c r="AA2952">
        <v>0.79470650987321323</v>
      </c>
      <c r="AB2952" t="str">
        <f>HYPERLINK("Melting_Curves/meltCurve_Q13480_2_GAB1.pdf", "Melting_Curves/meltCurve_Q13480_2_GAB1.pdf")</f>
        <v>Melting_Curves/meltCurve_Q13480_2_GAB1.pdf</v>
      </c>
    </row>
    <row r="2953" spans="1:28" x14ac:dyDescent="0.25">
      <c r="A2953" t="s">
        <v>2957</v>
      </c>
      <c r="B2953">
        <v>0.99987803227770999</v>
      </c>
      <c r="C2953">
        <v>0.94119617116855803</v>
      </c>
      <c r="D2953">
        <v>1.1095744216486101</v>
      </c>
      <c r="E2953">
        <v>0.96960099213005302</v>
      </c>
      <c r="F2953">
        <v>1.14523523355835</v>
      </c>
      <c r="G2953">
        <v>0.44947631762312901</v>
      </c>
      <c r="H2953">
        <v>0.31740876906742699</v>
      </c>
      <c r="I2953">
        <v>0.26737696017565299</v>
      </c>
      <c r="J2953">
        <v>0.25440685296371301</v>
      </c>
      <c r="K2953">
        <v>0.222270729317601</v>
      </c>
      <c r="L2953">
        <v>14187.565980396201</v>
      </c>
      <c r="M2953">
        <v>250</v>
      </c>
      <c r="N2953">
        <v>56.922531952393399</v>
      </c>
      <c r="O2953">
        <v>56.746632305911497</v>
      </c>
      <c r="P2953">
        <v>-0.80911649930832896</v>
      </c>
      <c r="Q2953">
        <v>0.26536581751982902</v>
      </c>
      <c r="R2953">
        <v>0.96986410202120898</v>
      </c>
      <c r="S2953" t="s">
        <v>9264</v>
      </c>
      <c r="T2953" t="s">
        <v>12620</v>
      </c>
      <c r="U2953" t="s">
        <v>12620</v>
      </c>
      <c r="V2953" t="s">
        <v>12620</v>
      </c>
      <c r="W2953" t="s">
        <v>15528</v>
      </c>
      <c r="X2953">
        <v>9</v>
      </c>
      <c r="Y2953" t="s">
        <v>21691</v>
      </c>
      <c r="Z2953" t="s">
        <v>27900</v>
      </c>
      <c r="AA2953">
        <v>0.67561619876629708</v>
      </c>
      <c r="AB2953" t="str">
        <f>HYPERLINK("Melting_Curves/meltCurve_Q13492_3_PICALM.pdf", "Melting_Curves/meltCurve_Q13492_3_PICALM.pdf")</f>
        <v>Melting_Curves/meltCurve_Q13492_3_PICALM.pdf</v>
      </c>
    </row>
    <row r="2954" spans="1:28" x14ac:dyDescent="0.25">
      <c r="A2954" t="s">
        <v>2958</v>
      </c>
      <c r="B2954">
        <v>0.99987803227770999</v>
      </c>
      <c r="C2954">
        <v>1.06829454223954</v>
      </c>
      <c r="D2954">
        <v>1.02952047725942</v>
      </c>
      <c r="E2954">
        <v>1.08568601166497</v>
      </c>
      <c r="F2954">
        <v>0.72513953629776096</v>
      </c>
      <c r="G2954">
        <v>0.64005944255048897</v>
      </c>
      <c r="H2954">
        <v>0.53724676602554899</v>
      </c>
      <c r="I2954">
        <v>0.230172577274178</v>
      </c>
      <c r="J2954">
        <v>9.9407617691055605E-2</v>
      </c>
      <c r="K2954">
        <v>7.5451158918761002E-2</v>
      </c>
      <c r="L2954">
        <v>904.41923179978801</v>
      </c>
      <c r="M2954">
        <v>15.1759741604683</v>
      </c>
      <c r="N2954">
        <v>59.595464926217801</v>
      </c>
      <c r="O2954">
        <v>58.589413678286803</v>
      </c>
      <c r="P2954">
        <v>-6.47618650336379E-2</v>
      </c>
      <c r="Q2954">
        <v>0</v>
      </c>
      <c r="R2954">
        <v>0.95425405790124695</v>
      </c>
      <c r="S2954" t="s">
        <v>9265</v>
      </c>
      <c r="T2954" t="s">
        <v>12620</v>
      </c>
      <c r="U2954" t="s">
        <v>12620</v>
      </c>
      <c r="V2954" t="s">
        <v>12620</v>
      </c>
      <c r="W2954" t="s">
        <v>15529</v>
      </c>
      <c r="X2954">
        <v>11</v>
      </c>
      <c r="Y2954" t="s">
        <v>21692</v>
      </c>
      <c r="Z2954" t="s">
        <v>27901</v>
      </c>
      <c r="AA2954">
        <v>0.66170938859186312</v>
      </c>
      <c r="AB2954" t="str">
        <f>HYPERLINK("Melting_Curves/meltCurve_Q13496_MTM1.pdf", "Melting_Curves/meltCurve_Q13496_MTM1.pdf")</f>
        <v>Melting_Curves/meltCurve_Q13496_MTM1.pdf</v>
      </c>
    </row>
    <row r="2955" spans="1:28" x14ac:dyDescent="0.25">
      <c r="A2955" t="s">
        <v>2959</v>
      </c>
      <c r="B2955">
        <v>0.99987803227770999</v>
      </c>
      <c r="C2955">
        <v>0.77334785275606899</v>
      </c>
      <c r="D2955">
        <v>0.82682545557435805</v>
      </c>
      <c r="E2955">
        <v>0.86406530058028497</v>
      </c>
      <c r="F2955">
        <v>0.84993692159936496</v>
      </c>
      <c r="G2955">
        <v>0.69982659402287495</v>
      </c>
      <c r="H2955">
        <v>0.60964665830629805</v>
      </c>
      <c r="I2955">
        <v>0.57551631277533299</v>
      </c>
      <c r="J2955">
        <v>0.55687991441747098</v>
      </c>
      <c r="K2955">
        <v>0.45105430590038098</v>
      </c>
      <c r="L2955">
        <v>265.58725232679097</v>
      </c>
      <c r="M2955">
        <v>3.82785905707187</v>
      </c>
      <c r="N2955">
        <v>69.382714895960902</v>
      </c>
      <c r="O2955">
        <v>56.1482379631572</v>
      </c>
      <c r="P2955">
        <v>-1.7295568514342999E-2</v>
      </c>
      <c r="Q2955">
        <v>0</v>
      </c>
      <c r="R2955">
        <v>0.85774592457530696</v>
      </c>
      <c r="S2955" t="s">
        <v>9266</v>
      </c>
      <c r="T2955" t="s">
        <v>12620</v>
      </c>
      <c r="U2955" t="s">
        <v>12620</v>
      </c>
      <c r="V2955" t="s">
        <v>12620</v>
      </c>
      <c r="W2955" t="s">
        <v>15530</v>
      </c>
      <c r="X2955">
        <v>11</v>
      </c>
      <c r="Y2955" t="s">
        <v>21693</v>
      </c>
      <c r="Z2955" t="s">
        <v>27902</v>
      </c>
      <c r="AA2955">
        <v>0.72727656280102171</v>
      </c>
      <c r="AB2955" t="str">
        <f>HYPERLINK("Melting_Curves/meltCurve_Q13501_SQSTM1.pdf", "Melting_Curves/meltCurve_Q13501_SQSTM1.pdf")</f>
        <v>Melting_Curves/meltCurve_Q13501_SQSTM1.pdf</v>
      </c>
    </row>
    <row r="2956" spans="1:28" x14ac:dyDescent="0.25">
      <c r="A2956" t="s">
        <v>2960</v>
      </c>
      <c r="B2956">
        <v>0.99987803227770999</v>
      </c>
      <c r="C2956">
        <v>1.0557252924893501</v>
      </c>
      <c r="D2956">
        <v>1.07777957175423</v>
      </c>
      <c r="E2956">
        <v>1.4119905238054999</v>
      </c>
      <c r="F2956">
        <v>1.66548384609073</v>
      </c>
      <c r="G2956">
        <v>1.7040634846029099</v>
      </c>
      <c r="H2956">
        <v>1.58417983222805</v>
      </c>
      <c r="I2956">
        <v>1.4426773175962</v>
      </c>
      <c r="J2956">
        <v>1.10242672018003</v>
      </c>
      <c r="K2956">
        <v>1.04782058433576</v>
      </c>
      <c r="L2956">
        <v>3291.5355605585401</v>
      </c>
      <c r="M2956">
        <v>70.071448142500998</v>
      </c>
      <c r="O2956">
        <v>46.935775054568801</v>
      </c>
      <c r="P2956">
        <v>0.158077552030471</v>
      </c>
      <c r="Q2956">
        <v>1.4235385983664799</v>
      </c>
      <c r="R2956">
        <v>0.42251580588309301</v>
      </c>
      <c r="S2956" t="s">
        <v>9267</v>
      </c>
      <c r="T2956" t="s">
        <v>12620</v>
      </c>
      <c r="U2956" t="s">
        <v>12620</v>
      </c>
      <c r="V2956" t="s">
        <v>12620</v>
      </c>
      <c r="W2956" t="s">
        <v>15531</v>
      </c>
      <c r="X2956">
        <v>3</v>
      </c>
      <c r="Y2956" t="s">
        <v>21694</v>
      </c>
      <c r="Z2956" t="s">
        <v>27903</v>
      </c>
      <c r="AA2956">
        <v>1.324634480072048</v>
      </c>
      <c r="AB2956" t="str">
        <f>HYPERLINK("Melting_Curves/meltCurve_Q13503_MED21.pdf", "Melting_Curves/meltCurve_Q13503_MED21.pdf")</f>
        <v>Melting_Curves/meltCurve_Q13503_MED21.pdf</v>
      </c>
    </row>
    <row r="2957" spans="1:28" x14ac:dyDescent="0.25">
      <c r="A2957" t="s">
        <v>2961</v>
      </c>
      <c r="B2957">
        <v>0.99987803227770999</v>
      </c>
      <c r="C2957">
        <v>0.91658625267460003</v>
      </c>
      <c r="D2957">
        <v>0.90210918510818205</v>
      </c>
      <c r="E2957">
        <v>0.57112124909555795</v>
      </c>
      <c r="F2957">
        <v>0.50298287928548402</v>
      </c>
      <c r="G2957">
        <v>0.22376354492551201</v>
      </c>
      <c r="H2957">
        <v>0.151940093109628</v>
      </c>
      <c r="I2957">
        <v>0.15182543441233801</v>
      </c>
      <c r="J2957">
        <v>0.13835383070287599</v>
      </c>
      <c r="K2957">
        <v>0.124785790915603</v>
      </c>
      <c r="L2957">
        <v>780.70262458336401</v>
      </c>
      <c r="M2957">
        <v>15.269904166561799</v>
      </c>
      <c r="N2957">
        <v>51.920952378915999</v>
      </c>
      <c r="O2957">
        <v>50.2740884054788</v>
      </c>
      <c r="P2957">
        <v>-6.8032381861297397E-2</v>
      </c>
      <c r="Q2957">
        <v>0.10413483871967601</v>
      </c>
      <c r="R2957">
        <v>0.98878840305987703</v>
      </c>
      <c r="S2957" t="s">
        <v>9268</v>
      </c>
      <c r="T2957" t="s">
        <v>12620</v>
      </c>
      <c r="U2957" t="s">
        <v>12620</v>
      </c>
      <c r="V2957" t="s">
        <v>12620</v>
      </c>
      <c r="W2957" t="s">
        <v>15532</v>
      </c>
      <c r="X2957">
        <v>3</v>
      </c>
      <c r="Y2957" t="s">
        <v>21695</v>
      </c>
      <c r="Z2957" t="s">
        <v>27904</v>
      </c>
      <c r="AA2957">
        <v>0.45642699856477209</v>
      </c>
      <c r="AB2957" t="str">
        <f>HYPERLINK("Melting_Curves/meltCurve_Q13506_NAB1.pdf", "Melting_Curves/meltCurve_Q13506_NAB1.pdf")</f>
        <v>Melting_Curves/meltCurve_Q13506_NAB1.pdf</v>
      </c>
    </row>
    <row r="2958" spans="1:28" x14ac:dyDescent="0.25">
      <c r="A2958" t="s">
        <v>2962</v>
      </c>
      <c r="B2958">
        <v>0.99987803227770999</v>
      </c>
      <c r="C2958">
        <v>0.94268553957762702</v>
      </c>
      <c r="D2958">
        <v>0.92408536057724</v>
      </c>
      <c r="E2958">
        <v>1.01941857169354</v>
      </c>
      <c r="F2958">
        <v>0.78656510392077394</v>
      </c>
      <c r="G2958">
        <v>0.64881749016982204</v>
      </c>
      <c r="H2958">
        <v>0.19922736716991099</v>
      </c>
      <c r="I2958">
        <v>0.116983659975067</v>
      </c>
      <c r="J2958">
        <v>6.5735720211616999E-2</v>
      </c>
      <c r="K2958">
        <v>4.6107489869933599E-2</v>
      </c>
      <c r="L2958">
        <v>1229.6886274789299</v>
      </c>
      <c r="M2958">
        <v>21.277207707173201</v>
      </c>
      <c r="N2958">
        <v>57.8366184322267</v>
      </c>
      <c r="O2958">
        <v>57.290461827744501</v>
      </c>
      <c r="P2958">
        <v>-9.2123221075081196E-2</v>
      </c>
      <c r="Q2958">
        <v>7.8308284391847196E-3</v>
      </c>
      <c r="R2958">
        <v>0.98278182037017603</v>
      </c>
      <c r="S2958" t="s">
        <v>9269</v>
      </c>
      <c r="T2958" t="s">
        <v>12620</v>
      </c>
      <c r="U2958" t="s">
        <v>12620</v>
      </c>
      <c r="V2958" t="s">
        <v>12620</v>
      </c>
      <c r="W2958" t="s">
        <v>15533</v>
      </c>
      <c r="X2958">
        <v>21</v>
      </c>
      <c r="Y2958" t="s">
        <v>21696</v>
      </c>
      <c r="Z2958" t="s">
        <v>27905</v>
      </c>
      <c r="AA2958">
        <v>0.6070259139063805</v>
      </c>
      <c r="AB2958" t="str">
        <f>HYPERLINK("Melting_Curves/meltCurve_Q13509_TUBB3.pdf", "Melting_Curves/meltCurve_Q13509_TUBB3.pdf")</f>
        <v>Melting_Curves/meltCurve_Q13509_TUBB3.pdf</v>
      </c>
    </row>
    <row r="2959" spans="1:28" x14ac:dyDescent="0.25">
      <c r="A2959" t="s">
        <v>2963</v>
      </c>
      <c r="B2959">
        <v>0.99987803227770999</v>
      </c>
      <c r="C2959">
        <v>0.95718940239057104</v>
      </c>
      <c r="D2959">
        <v>0.15982491475456601</v>
      </c>
      <c r="E2959">
        <v>0.202184982594551</v>
      </c>
      <c r="F2959">
        <v>0.121630121197448</v>
      </c>
      <c r="G2959">
        <v>6.2978945323806199E-2</v>
      </c>
      <c r="H2959">
        <v>2.9755312327013402E-2</v>
      </c>
      <c r="I2959">
        <v>2.62816023763335E-2</v>
      </c>
      <c r="J2959">
        <v>1.6929613092931301E-2</v>
      </c>
      <c r="K2959">
        <v>1.0443202413639399E-2</v>
      </c>
      <c r="L2959">
        <v>3306.9687100881401</v>
      </c>
      <c r="M2959">
        <v>74.079846693191001</v>
      </c>
      <c r="N2959">
        <v>44.727414963433802</v>
      </c>
      <c r="O2959">
        <v>44.608099286064601</v>
      </c>
      <c r="P2959">
        <v>-0.38736261461571198</v>
      </c>
      <c r="Q2959">
        <v>6.6979316376128806E-2</v>
      </c>
      <c r="R2959">
        <v>0.97755409787147796</v>
      </c>
      <c r="S2959" t="s">
        <v>9270</v>
      </c>
      <c r="T2959" t="s">
        <v>12620</v>
      </c>
      <c r="U2959" t="s">
        <v>12620</v>
      </c>
      <c r="V2959" t="s">
        <v>12620</v>
      </c>
      <c r="W2959" t="s">
        <v>15534</v>
      </c>
      <c r="X2959">
        <v>1</v>
      </c>
      <c r="Y2959" t="s">
        <v>21697</v>
      </c>
      <c r="Z2959" t="s">
        <v>27906</v>
      </c>
      <c r="AA2959">
        <v>0.2121422616429044</v>
      </c>
      <c r="AB2959" t="str">
        <f>HYPERLINK("Melting_Curves/meltCurve_Q13516_OLIG2.pdf", "Melting_Curves/meltCurve_Q13516_OLIG2.pdf")</f>
        <v>Melting_Curves/meltCurve_Q13516_OLIG2.pdf</v>
      </c>
    </row>
    <row r="2960" spans="1:28" x14ac:dyDescent="0.25">
      <c r="A2960" t="s">
        <v>2964</v>
      </c>
      <c r="B2960">
        <v>0.99987803227770999</v>
      </c>
      <c r="C2960">
        <v>0.79255823474215803</v>
      </c>
      <c r="D2960">
        <v>0.96105553690255197</v>
      </c>
      <c r="E2960">
        <v>0.74355217756145997</v>
      </c>
      <c r="F2960">
        <v>0.85554901290490204</v>
      </c>
      <c r="G2960">
        <v>0.468125888662482</v>
      </c>
      <c r="H2960">
        <v>0.45218200465261799</v>
      </c>
      <c r="I2960">
        <v>0.43114128314927602</v>
      </c>
      <c r="J2960">
        <v>0.42991163904271901</v>
      </c>
      <c r="K2960">
        <v>0.39030483609633398</v>
      </c>
      <c r="L2960">
        <v>529.07010594261499</v>
      </c>
      <c r="M2960">
        <v>9.7339908632365404</v>
      </c>
      <c r="N2960">
        <v>60.179853641194804</v>
      </c>
      <c r="O2960">
        <v>52.207681161742698</v>
      </c>
      <c r="P2960">
        <v>-3.2404515766869403E-2</v>
      </c>
      <c r="Q2960">
        <v>0.30517582316292502</v>
      </c>
      <c r="R2960">
        <v>0.864752498696855</v>
      </c>
      <c r="S2960" t="s">
        <v>9271</v>
      </c>
      <c r="T2960" t="s">
        <v>12620</v>
      </c>
      <c r="U2960" t="s">
        <v>12620</v>
      </c>
      <c r="V2960" t="s">
        <v>12620</v>
      </c>
      <c r="W2960" t="s">
        <v>15535</v>
      </c>
      <c r="X2960">
        <v>6</v>
      </c>
      <c r="Y2960" t="s">
        <v>21698</v>
      </c>
      <c r="Z2960" t="s">
        <v>27907</v>
      </c>
      <c r="AA2960">
        <v>0.65786453327854733</v>
      </c>
      <c r="AB2960" t="str">
        <f>HYPERLINK("Melting_Curves/meltCurve_Q13526_PIN1.pdf", "Melting_Curves/meltCurve_Q13526_PIN1.pdf")</f>
        <v>Melting_Curves/meltCurve_Q13526_PIN1.pdf</v>
      </c>
    </row>
    <row r="2961" spans="1:28" x14ac:dyDescent="0.25">
      <c r="A2961" t="s">
        <v>2965</v>
      </c>
      <c r="B2961">
        <v>0.99987803227770999</v>
      </c>
      <c r="C2961">
        <v>1.0819506020340699</v>
      </c>
      <c r="D2961">
        <v>0.93182816943452196</v>
      </c>
      <c r="E2961">
        <v>1.16005929081943</v>
      </c>
      <c r="F2961">
        <v>1.36545507835462</v>
      </c>
      <c r="G2961">
        <v>0.32941254235685302</v>
      </c>
      <c r="H2961">
        <v>0.119723499189236</v>
      </c>
      <c r="I2961">
        <v>8.9095217905728996E-2</v>
      </c>
      <c r="J2961">
        <v>4.97152616544774E-2</v>
      </c>
      <c r="K2961">
        <v>2.9389070639435199E-2</v>
      </c>
      <c r="L2961">
        <v>14195.428249603699</v>
      </c>
      <c r="M2961">
        <v>250</v>
      </c>
      <c r="N2961">
        <v>56.817040964235701</v>
      </c>
      <c r="O2961">
        <v>56.7780914518668</v>
      </c>
      <c r="P2961">
        <v>-1.02154217631711</v>
      </c>
      <c r="Q2961">
        <v>7.1980756563805898E-2</v>
      </c>
      <c r="R2961">
        <v>0.93234126277212104</v>
      </c>
      <c r="S2961" t="s">
        <v>9272</v>
      </c>
      <c r="T2961" t="s">
        <v>12620</v>
      </c>
      <c r="U2961" t="s">
        <v>12620</v>
      </c>
      <c r="V2961" t="s">
        <v>12620</v>
      </c>
      <c r="W2961" t="s">
        <v>15536</v>
      </c>
      <c r="X2961">
        <v>3</v>
      </c>
      <c r="Y2961" t="s">
        <v>21699</v>
      </c>
      <c r="Z2961" t="s">
        <v>27908</v>
      </c>
      <c r="AA2961">
        <v>0.59119832130880878</v>
      </c>
      <c r="AB2961" t="str">
        <f>HYPERLINK("Melting_Curves/meltCurve_Q13535_2_ATR.pdf", "Melting_Curves/meltCurve_Q13535_2_ATR.pdf")</f>
        <v>Melting_Curves/meltCurve_Q13535_2_ATR.pdf</v>
      </c>
    </row>
    <row r="2962" spans="1:28" x14ac:dyDescent="0.25">
      <c r="A2962" t="s">
        <v>2966</v>
      </c>
      <c r="B2962">
        <v>0.99987803227770999</v>
      </c>
      <c r="C2962">
        <v>0.75955004384712199</v>
      </c>
      <c r="D2962">
        <v>1.01372185299891</v>
      </c>
      <c r="E2962">
        <v>0.78631989791954804</v>
      </c>
      <c r="F2962">
        <v>1.0023140151059999</v>
      </c>
      <c r="G2962">
        <v>0.43039378411956702</v>
      </c>
      <c r="H2962">
        <v>0.79728235591278396</v>
      </c>
      <c r="I2962">
        <v>0.93632608461311595</v>
      </c>
      <c r="J2962">
        <v>1.0906115106730501</v>
      </c>
      <c r="K2962">
        <v>0.90237555688791304</v>
      </c>
      <c r="L2962">
        <v>10231.631870258299</v>
      </c>
      <c r="M2962">
        <v>250</v>
      </c>
      <c r="O2962">
        <v>40.923908622740598</v>
      </c>
      <c r="P2962">
        <v>-0.21739268449966601</v>
      </c>
      <c r="Q2962">
        <v>0.85765506705972205</v>
      </c>
      <c r="R2962">
        <v>5.5695102967005201E-2</v>
      </c>
      <c r="S2962" t="s">
        <v>9273</v>
      </c>
      <c r="T2962" t="s">
        <v>12620</v>
      </c>
      <c r="U2962" t="s">
        <v>12620</v>
      </c>
      <c r="V2962" t="s">
        <v>12620</v>
      </c>
      <c r="W2962" t="s">
        <v>15537</v>
      </c>
      <c r="X2962">
        <v>8</v>
      </c>
      <c r="Y2962" t="s">
        <v>21700</v>
      </c>
      <c r="Z2962" t="s">
        <v>27909</v>
      </c>
      <c r="AA2962">
        <v>0.8620637536575021</v>
      </c>
      <c r="AB2962" t="str">
        <f>HYPERLINK("Melting_Curves/meltCurve_Q13541_EIF4EBP1.pdf", "Melting_Curves/meltCurve_Q13541_EIF4EBP1.pdf")</f>
        <v>Melting_Curves/meltCurve_Q13541_EIF4EBP1.pdf</v>
      </c>
    </row>
    <row r="2963" spans="1:28" x14ac:dyDescent="0.25">
      <c r="A2963" t="s">
        <v>2967</v>
      </c>
      <c r="B2963">
        <v>0.99987803227770999</v>
      </c>
      <c r="C2963">
        <v>0.90219481917273003</v>
      </c>
      <c r="D2963">
        <v>0.93402828305966001</v>
      </c>
      <c r="E2963">
        <v>1.0401479038971999</v>
      </c>
      <c r="F2963">
        <v>1.0533614918442</v>
      </c>
      <c r="G2963">
        <v>1.0529920443346801</v>
      </c>
      <c r="H2963">
        <v>0.78837782348988406</v>
      </c>
      <c r="I2963">
        <v>0.48593701828467301</v>
      </c>
      <c r="J2963">
        <v>0.53596233804312698</v>
      </c>
      <c r="K2963">
        <v>0.46327515968601801</v>
      </c>
      <c r="L2963">
        <v>15000</v>
      </c>
      <c r="M2963">
        <v>245.57517553472201</v>
      </c>
      <c r="N2963">
        <v>62.251317487849398</v>
      </c>
      <c r="O2963">
        <v>61.077041583943299</v>
      </c>
      <c r="P2963">
        <v>-0.50756271266662201</v>
      </c>
      <c r="Q2963">
        <v>0.49505598381157501</v>
      </c>
      <c r="R2963">
        <v>0.95476744979807104</v>
      </c>
      <c r="S2963" t="s">
        <v>9274</v>
      </c>
      <c r="T2963" t="s">
        <v>12620</v>
      </c>
      <c r="U2963" t="s">
        <v>12620</v>
      </c>
      <c r="V2963" t="s">
        <v>12620</v>
      </c>
      <c r="W2963" t="s">
        <v>15538</v>
      </c>
      <c r="X2963">
        <v>1</v>
      </c>
      <c r="Y2963" t="s">
        <v>21701</v>
      </c>
      <c r="Z2963" t="s">
        <v>27910</v>
      </c>
      <c r="AA2963">
        <v>0.84993779681158954</v>
      </c>
      <c r="AB2963" t="str">
        <f>HYPERLINK("Melting_Curves/meltCurve_Q13542_EIF4EBP2.pdf", "Melting_Curves/meltCurve_Q13542_EIF4EBP2.pdf")</f>
        <v>Melting_Curves/meltCurve_Q13542_EIF4EBP2.pdf</v>
      </c>
    </row>
    <row r="2964" spans="1:28" x14ac:dyDescent="0.25">
      <c r="A2964" t="s">
        <v>2968</v>
      </c>
      <c r="B2964">
        <v>0.99987803227770999</v>
      </c>
      <c r="C2964">
        <v>0.86618039545881698</v>
      </c>
      <c r="D2964">
        <v>1.4959784582697999</v>
      </c>
      <c r="E2964">
        <v>0.53670120951363798</v>
      </c>
      <c r="F2964">
        <v>0.31202657338648598</v>
      </c>
      <c r="G2964">
        <v>0.20918356716123301</v>
      </c>
      <c r="H2964">
        <v>0.16261179475766099</v>
      </c>
      <c r="I2964">
        <v>0.126947044975388</v>
      </c>
      <c r="J2964">
        <v>0.11890028089990801</v>
      </c>
      <c r="K2964">
        <v>8.9956610945024301E-2</v>
      </c>
      <c r="L2964">
        <v>3428.6872819862401</v>
      </c>
      <c r="M2964">
        <v>68.723951420817201</v>
      </c>
      <c r="N2964">
        <v>50.185358050887203</v>
      </c>
      <c r="O2964">
        <v>49.8485240526064</v>
      </c>
      <c r="P2964">
        <v>-0.28744843870992298</v>
      </c>
      <c r="Q2964">
        <v>0.16600389363301499</v>
      </c>
      <c r="R2964">
        <v>0.85686420377843098</v>
      </c>
      <c r="S2964" t="s">
        <v>9275</v>
      </c>
      <c r="T2964" t="s">
        <v>12620</v>
      </c>
      <c r="U2964" t="s">
        <v>12620</v>
      </c>
      <c r="V2964" t="s">
        <v>12620</v>
      </c>
      <c r="W2964" t="s">
        <v>15539</v>
      </c>
      <c r="X2964">
        <v>22</v>
      </c>
      <c r="Y2964" t="s">
        <v>21702</v>
      </c>
      <c r="Z2964" t="s">
        <v>27911</v>
      </c>
      <c r="AA2964">
        <v>0.44193352279306969</v>
      </c>
      <c r="AB2964" t="str">
        <f>HYPERLINK("Melting_Curves/meltCurve_Q13546_RIPK1.pdf", "Melting_Curves/meltCurve_Q13546_RIPK1.pdf")</f>
        <v>Melting_Curves/meltCurve_Q13546_RIPK1.pdf</v>
      </c>
    </row>
    <row r="2965" spans="1:28" x14ac:dyDescent="0.25">
      <c r="A2965" t="s">
        <v>2969</v>
      </c>
      <c r="B2965">
        <v>0.99987803227770999</v>
      </c>
      <c r="C2965">
        <v>0.98627615615369102</v>
      </c>
      <c r="D2965">
        <v>0.66986285766375697</v>
      </c>
      <c r="E2965">
        <v>0.68656752928199805</v>
      </c>
      <c r="F2965">
        <v>0.28398329839533398</v>
      </c>
      <c r="G2965">
        <v>0.16460132994270099</v>
      </c>
      <c r="H2965">
        <v>0.111898511320557</v>
      </c>
      <c r="I2965">
        <v>7.4352001687762598E-2</v>
      </c>
      <c r="J2965">
        <v>8.5941734199351194E-2</v>
      </c>
      <c r="K2965">
        <v>5.2478977098924601E-2</v>
      </c>
      <c r="L2965">
        <v>725.15969009009405</v>
      </c>
      <c r="M2965">
        <v>14.3891606013268</v>
      </c>
      <c r="N2965">
        <v>50.654422469684597</v>
      </c>
      <c r="O2965">
        <v>49.452854535042398</v>
      </c>
      <c r="P2965">
        <v>-7.0178209609403602E-2</v>
      </c>
      <c r="Q2965">
        <v>3.5356987702931303E-2</v>
      </c>
      <c r="R2965">
        <v>0.96376705324942702</v>
      </c>
      <c r="S2965" t="s">
        <v>9276</v>
      </c>
      <c r="T2965" t="s">
        <v>12620</v>
      </c>
      <c r="U2965" t="s">
        <v>12620</v>
      </c>
      <c r="V2965" t="s">
        <v>12620</v>
      </c>
      <c r="W2965" t="s">
        <v>15540</v>
      </c>
      <c r="X2965">
        <v>7</v>
      </c>
      <c r="Y2965" t="s">
        <v>21703</v>
      </c>
      <c r="Z2965" t="s">
        <v>27912</v>
      </c>
      <c r="AA2965">
        <v>0.39403176461173672</v>
      </c>
      <c r="AB2965" t="str">
        <f>HYPERLINK("Melting_Curves/meltCurve_Q13547_HDAC1.pdf", "Melting_Curves/meltCurve_Q13547_HDAC1.pdf")</f>
        <v>Melting_Curves/meltCurve_Q13547_HDAC1.pdf</v>
      </c>
    </row>
    <row r="2966" spans="1:28" x14ac:dyDescent="0.25">
      <c r="A2966" t="s">
        <v>2970</v>
      </c>
      <c r="B2966">
        <v>0.99987803227770999</v>
      </c>
      <c r="C2966">
        <v>0.95225173593054002</v>
      </c>
      <c r="D2966">
        <v>0.700333549965513</v>
      </c>
      <c r="E2966">
        <v>0.96926083859745304</v>
      </c>
      <c r="F2966">
        <v>0.67528955225828402</v>
      </c>
      <c r="G2966">
        <v>0.53890999472452805</v>
      </c>
      <c r="H2966">
        <v>0.49163504125330698</v>
      </c>
      <c r="I2966">
        <v>0.42712321226288902</v>
      </c>
      <c r="J2966">
        <v>0.18878342818806801</v>
      </c>
      <c r="K2966">
        <v>0.18536610033945</v>
      </c>
      <c r="L2966">
        <v>470.088093405341</v>
      </c>
      <c r="M2966">
        <v>7.9667363700064602</v>
      </c>
      <c r="N2966">
        <v>59.006362020771697</v>
      </c>
      <c r="O2966">
        <v>55.636337609914001</v>
      </c>
      <c r="P2966">
        <v>-3.5839381836455998E-2</v>
      </c>
      <c r="Q2966">
        <v>0</v>
      </c>
      <c r="R2966">
        <v>0.89110150798694698</v>
      </c>
      <c r="S2966" t="s">
        <v>9277</v>
      </c>
      <c r="T2966" t="s">
        <v>12620</v>
      </c>
      <c r="U2966" t="s">
        <v>12620</v>
      </c>
      <c r="V2966" t="s">
        <v>12620</v>
      </c>
      <c r="W2966" t="s">
        <v>15541</v>
      </c>
      <c r="X2966">
        <v>2</v>
      </c>
      <c r="Y2966" t="s">
        <v>21704</v>
      </c>
      <c r="Z2966" t="s">
        <v>27913</v>
      </c>
      <c r="AA2966">
        <v>0.62786819787180492</v>
      </c>
      <c r="AB2966" t="str">
        <f>HYPERLINK("Melting_Curves/meltCurve_Q13557_8_CAMK2D.pdf", "Melting_Curves/meltCurve_Q13557_8_CAMK2D.pdf")</f>
        <v>Melting_Curves/meltCurve_Q13557_8_CAMK2D.pdf</v>
      </c>
    </row>
    <row r="2967" spans="1:28" x14ac:dyDescent="0.25">
      <c r="A2967" t="s">
        <v>2971</v>
      </c>
      <c r="B2967">
        <v>0.99987803227770999</v>
      </c>
      <c r="C2967">
        <v>1.0312741228420399</v>
      </c>
      <c r="D2967">
        <v>1.16944636856585</v>
      </c>
      <c r="E2967">
        <v>1.7618592690154</v>
      </c>
      <c r="F2967">
        <v>1.5048727811987599</v>
      </c>
      <c r="G2967">
        <v>1.35986816314555</v>
      </c>
      <c r="H2967">
        <v>1.1866866082023</v>
      </c>
      <c r="I2967">
        <v>1.1046260593708701</v>
      </c>
      <c r="J2967">
        <v>0.98641564815626703</v>
      </c>
      <c r="K2967">
        <v>0.74198840440342795</v>
      </c>
      <c r="L2967">
        <v>15000</v>
      </c>
      <c r="M2967">
        <v>220.98905284762901</v>
      </c>
      <c r="O2967">
        <v>67.8711104632158</v>
      </c>
      <c r="P2967">
        <v>-0.21027979621673201</v>
      </c>
      <c r="Q2967">
        <v>0.74167186553508302</v>
      </c>
      <c r="R2967">
        <v>-0.35818262297836401</v>
      </c>
      <c r="S2967" t="s">
        <v>9278</v>
      </c>
      <c r="T2967" t="s">
        <v>12620</v>
      </c>
      <c r="U2967" t="s">
        <v>12620</v>
      </c>
      <c r="V2967" t="s">
        <v>12620</v>
      </c>
      <c r="W2967" t="s">
        <v>15542</v>
      </c>
      <c r="X2967">
        <v>26</v>
      </c>
      <c r="Y2967" t="s">
        <v>21705</v>
      </c>
      <c r="Z2967" t="s">
        <v>27914</v>
      </c>
      <c r="AA2967">
        <v>0.98175200146527675</v>
      </c>
      <c r="AB2967" t="str">
        <f>HYPERLINK("Melting_Curves/meltCurve_Q13561_DCTN2.pdf", "Melting_Curves/meltCurve_Q13561_DCTN2.pdf")</f>
        <v>Melting_Curves/meltCurve_Q13561_DCTN2.pdf</v>
      </c>
    </row>
    <row r="2968" spans="1:28" x14ac:dyDescent="0.25">
      <c r="A2968" t="s">
        <v>2972</v>
      </c>
      <c r="B2968">
        <v>0.99987803227770999</v>
      </c>
      <c r="C2968">
        <v>0.79792556660526903</v>
      </c>
      <c r="D2968">
        <v>1.0247782158490499</v>
      </c>
      <c r="E2968">
        <v>0.71851823476967103</v>
      </c>
      <c r="F2968">
        <v>0.91141565268979496</v>
      </c>
      <c r="G2968">
        <v>0.69111287218338802</v>
      </c>
      <c r="H2968">
        <v>0.76638590447209898</v>
      </c>
      <c r="I2968">
        <v>0.73614303086135002</v>
      </c>
      <c r="J2968">
        <v>0.75911120380382102</v>
      </c>
      <c r="K2968">
        <v>0.68067392236607505</v>
      </c>
      <c r="L2968">
        <v>354.10762165452599</v>
      </c>
      <c r="M2968">
        <v>7.0803641733334404</v>
      </c>
      <c r="O2968">
        <v>46.482874574277503</v>
      </c>
      <c r="P2968">
        <v>-1.24297865207985E-2</v>
      </c>
      <c r="Q2968">
        <v>0.67417110039705197</v>
      </c>
      <c r="R2968">
        <v>0.49314548571975098</v>
      </c>
      <c r="S2968" t="s">
        <v>9279</v>
      </c>
      <c r="T2968" t="s">
        <v>12620</v>
      </c>
      <c r="U2968" t="s">
        <v>12620</v>
      </c>
      <c r="V2968" t="s">
        <v>12620</v>
      </c>
      <c r="W2968" t="s">
        <v>15543</v>
      </c>
      <c r="X2968">
        <v>4</v>
      </c>
      <c r="Y2968" t="s">
        <v>21706</v>
      </c>
      <c r="Z2968" t="s">
        <v>27915</v>
      </c>
      <c r="AA2968">
        <v>0.80499321888084807</v>
      </c>
      <c r="AB2968" t="str">
        <f>HYPERLINK("Melting_Curves/meltCurve_Q13563_2_PKD2.pdf", "Melting_Curves/meltCurve_Q13563_2_PKD2.pdf")</f>
        <v>Melting_Curves/meltCurve_Q13563_2_PKD2.pdf</v>
      </c>
    </row>
    <row r="2969" spans="1:28" x14ac:dyDescent="0.25">
      <c r="A2969" t="s">
        <v>2973</v>
      </c>
      <c r="B2969">
        <v>0.99987803227770999</v>
      </c>
      <c r="C2969">
        <v>1.0545400588220299</v>
      </c>
      <c r="D2969">
        <v>0.94519833351627403</v>
      </c>
      <c r="E2969">
        <v>0.99044016983830896</v>
      </c>
      <c r="F2969">
        <v>0.49939884025623099</v>
      </c>
      <c r="G2969">
        <v>0.23370945997329601</v>
      </c>
      <c r="H2969">
        <v>0.158288172982255</v>
      </c>
      <c r="I2969">
        <v>0.138620338827671</v>
      </c>
      <c r="J2969">
        <v>8.9754181574662403E-2</v>
      </c>
      <c r="K2969">
        <v>5.88021525884534E-2</v>
      </c>
      <c r="L2969">
        <v>2594.4254069517701</v>
      </c>
      <c r="M2969">
        <v>49.166483211785099</v>
      </c>
      <c r="N2969">
        <v>53.091022569171301</v>
      </c>
      <c r="O2969">
        <v>52.681095346007602</v>
      </c>
      <c r="P2969">
        <v>-0.20317295748502301</v>
      </c>
      <c r="Q2969">
        <v>0.12921457768599101</v>
      </c>
      <c r="R2969">
        <v>0.98663188069155505</v>
      </c>
      <c r="S2969" t="s">
        <v>9280</v>
      </c>
      <c r="T2969" t="s">
        <v>12620</v>
      </c>
      <c r="U2969" t="s">
        <v>12620</v>
      </c>
      <c r="V2969" t="s">
        <v>12620</v>
      </c>
      <c r="W2969" t="s">
        <v>15544</v>
      </c>
      <c r="X2969">
        <v>22</v>
      </c>
      <c r="Y2969" t="s">
        <v>21707</v>
      </c>
      <c r="Z2969" t="s">
        <v>27916</v>
      </c>
      <c r="AA2969">
        <v>0.50192207948787371</v>
      </c>
      <c r="AB2969" t="str">
        <f>HYPERLINK("Melting_Curves/meltCurve_Q13564_2_NAE1.pdf", "Melting_Curves/meltCurve_Q13564_2_NAE1.pdf")</f>
        <v>Melting_Curves/meltCurve_Q13564_2_NAE1.pdf</v>
      </c>
    </row>
    <row r="2970" spans="1:28" x14ac:dyDescent="0.25">
      <c r="A2970" t="s">
        <v>2974</v>
      </c>
      <c r="B2970">
        <v>0.99987803227770999</v>
      </c>
      <c r="C2970">
        <v>0.888561643932542</v>
      </c>
      <c r="D2970">
        <v>0.81038357411818995</v>
      </c>
      <c r="E2970">
        <v>0.44089626985873898</v>
      </c>
      <c r="F2970">
        <v>0.27281059703355598</v>
      </c>
      <c r="G2970">
        <v>0.18454352834278601</v>
      </c>
      <c r="H2970">
        <v>0.15815408121538399</v>
      </c>
      <c r="I2970">
        <v>0.16305113313066</v>
      </c>
      <c r="J2970">
        <v>0.128641548229048</v>
      </c>
      <c r="K2970">
        <v>9.4316595875876194E-2</v>
      </c>
      <c r="L2970">
        <v>914.00918900294403</v>
      </c>
      <c r="M2970">
        <v>18.792037962882301</v>
      </c>
      <c r="N2970">
        <v>49.402589371789098</v>
      </c>
      <c r="O2970">
        <v>48.097365037704499</v>
      </c>
      <c r="P2970">
        <v>-8.5357051218114294E-2</v>
      </c>
      <c r="Q2970">
        <v>0.12616639480738701</v>
      </c>
      <c r="R2970">
        <v>0.99482670259316397</v>
      </c>
      <c r="S2970" t="s">
        <v>9281</v>
      </c>
      <c r="T2970" t="s">
        <v>12620</v>
      </c>
      <c r="U2970" t="s">
        <v>12620</v>
      </c>
      <c r="V2970" t="s">
        <v>12620</v>
      </c>
      <c r="W2970" t="s">
        <v>15545</v>
      </c>
      <c r="X2970">
        <v>5</v>
      </c>
      <c r="Y2970" t="s">
        <v>21708</v>
      </c>
      <c r="Z2970" t="s">
        <v>27917</v>
      </c>
      <c r="AA2970">
        <v>0.39174295691223082</v>
      </c>
      <c r="AB2970" t="str">
        <f>HYPERLINK("Melting_Curves/meltCurve_Q13572_ITPK1.pdf", "Melting_Curves/meltCurve_Q13572_ITPK1.pdf")</f>
        <v>Melting_Curves/meltCurve_Q13572_ITPK1.pdf</v>
      </c>
    </row>
    <row r="2971" spans="1:28" x14ac:dyDescent="0.25">
      <c r="A2971" t="s">
        <v>2975</v>
      </c>
      <c r="B2971">
        <v>0.99987803227770999</v>
      </c>
      <c r="C2971">
        <v>1.0013787049318701</v>
      </c>
      <c r="D2971">
        <v>1.0520554753357301</v>
      </c>
      <c r="E2971">
        <v>0.98570306575591304</v>
      </c>
      <c r="F2971">
        <v>0.91004992102026605</v>
      </c>
      <c r="G2971">
        <v>0.62408175698036294</v>
      </c>
      <c r="H2971">
        <v>0.53042812466650002</v>
      </c>
      <c r="I2971">
        <v>0.53430889729140996</v>
      </c>
      <c r="J2971">
        <v>0.44734379621114301</v>
      </c>
      <c r="K2971">
        <v>0.38689420667444502</v>
      </c>
      <c r="L2971">
        <v>1431.67803894188</v>
      </c>
      <c r="M2971">
        <v>25.600604484424501</v>
      </c>
      <c r="N2971">
        <v>61.283390668223198</v>
      </c>
      <c r="O2971">
        <v>55.585720141178498</v>
      </c>
      <c r="P2971">
        <v>-6.3705831035207397E-2</v>
      </c>
      <c r="Q2971">
        <v>0.44671757060522699</v>
      </c>
      <c r="R2971">
        <v>0.97844710332354001</v>
      </c>
      <c r="S2971" t="s">
        <v>9282</v>
      </c>
      <c r="T2971" t="s">
        <v>12620</v>
      </c>
      <c r="U2971" t="s">
        <v>12620</v>
      </c>
      <c r="V2971" t="s">
        <v>12620</v>
      </c>
      <c r="W2971" t="s">
        <v>15546</v>
      </c>
      <c r="X2971">
        <v>24</v>
      </c>
      <c r="Y2971" t="s">
        <v>21709</v>
      </c>
      <c r="Z2971" t="s">
        <v>27918</v>
      </c>
      <c r="AA2971">
        <v>0.74527723376053912</v>
      </c>
      <c r="AB2971" t="str">
        <f>HYPERLINK("Melting_Curves/meltCurve_Q13573_SNW1.pdf", "Melting_Curves/meltCurve_Q13573_SNW1.pdf")</f>
        <v>Melting_Curves/meltCurve_Q13573_SNW1.pdf</v>
      </c>
    </row>
    <row r="2972" spans="1:28" x14ac:dyDescent="0.25">
      <c r="A2972" t="s">
        <v>2976</v>
      </c>
      <c r="B2972">
        <v>0.99987803227770999</v>
      </c>
      <c r="C2972">
        <v>0.93590016262534603</v>
      </c>
      <c r="D2972">
        <v>0.94797322429700603</v>
      </c>
      <c r="E2972">
        <v>0.75524773063707495</v>
      </c>
      <c r="F2972">
        <v>0.92299104742080396</v>
      </c>
      <c r="G2972">
        <v>0.606381556187233</v>
      </c>
      <c r="H2972">
        <v>0.66971790719600299</v>
      </c>
      <c r="I2972">
        <v>0.51751461604618898</v>
      </c>
      <c r="J2972">
        <v>0.449187085755338</v>
      </c>
      <c r="K2972">
        <v>0.39928404825304398</v>
      </c>
      <c r="L2972">
        <v>384.257377792809</v>
      </c>
      <c r="M2972">
        <v>5.8891521129282198</v>
      </c>
      <c r="N2972">
        <v>65.248336332623296</v>
      </c>
      <c r="O2972">
        <v>58.910186522735103</v>
      </c>
      <c r="P2972">
        <v>-2.5078578491110001E-2</v>
      </c>
      <c r="Q2972">
        <v>0</v>
      </c>
      <c r="R2972">
        <v>0.90659168706225501</v>
      </c>
      <c r="S2972" t="s">
        <v>9283</v>
      </c>
      <c r="T2972" t="s">
        <v>12620</v>
      </c>
      <c r="U2972" t="s">
        <v>12620</v>
      </c>
      <c r="V2972" t="s">
        <v>12620</v>
      </c>
      <c r="W2972" t="s">
        <v>15547</v>
      </c>
      <c r="X2972">
        <v>1</v>
      </c>
      <c r="Y2972" t="s">
        <v>21710</v>
      </c>
      <c r="Z2972" t="s">
        <v>27919</v>
      </c>
      <c r="AA2972">
        <v>0.72790641170451387</v>
      </c>
      <c r="AB2972" t="str">
        <f>HYPERLINK("Melting_Curves/meltCurve_Q13574_2_DGKZ.pdf", "Melting_Curves/meltCurve_Q13574_2_DGKZ.pdf")</f>
        <v>Melting_Curves/meltCurve_Q13574_2_DGKZ.pdf</v>
      </c>
    </row>
    <row r="2973" spans="1:28" x14ac:dyDescent="0.25">
      <c r="A2973" t="s">
        <v>2977</v>
      </c>
      <c r="B2973">
        <v>0.99987803227770999</v>
      </c>
      <c r="C2973">
        <v>0.813224125271235</v>
      </c>
      <c r="D2973">
        <v>1.18292369144533</v>
      </c>
      <c r="E2973">
        <v>0.81101321568224904</v>
      </c>
      <c r="F2973">
        <v>0.33338996372325602</v>
      </c>
      <c r="G2973">
        <v>0.22424039351528799</v>
      </c>
      <c r="H2973">
        <v>0.150712677246471</v>
      </c>
      <c r="I2973">
        <v>0.13580760575741099</v>
      </c>
      <c r="J2973">
        <v>0.106580992373371</v>
      </c>
      <c r="K2973">
        <v>8.0425323723559705E-2</v>
      </c>
      <c r="L2973">
        <v>2202.5168066025099</v>
      </c>
      <c r="M2973">
        <v>42.728947159786003</v>
      </c>
      <c r="N2973">
        <v>51.929163257043101</v>
      </c>
      <c r="O2973">
        <v>51.433722816058797</v>
      </c>
      <c r="P2973">
        <v>-0.17962456573039701</v>
      </c>
      <c r="Q2973">
        <v>0.13513002288697301</v>
      </c>
      <c r="R2973">
        <v>0.950028366817673</v>
      </c>
      <c r="S2973" t="s">
        <v>9284</v>
      </c>
      <c r="T2973" t="s">
        <v>12620</v>
      </c>
      <c r="U2973" t="s">
        <v>12620</v>
      </c>
      <c r="V2973" t="s">
        <v>12620</v>
      </c>
      <c r="W2973" t="s">
        <v>15548</v>
      </c>
      <c r="X2973">
        <v>25</v>
      </c>
      <c r="Y2973" t="s">
        <v>21711</v>
      </c>
      <c r="Z2973" t="s">
        <v>27920</v>
      </c>
      <c r="AA2973">
        <v>0.47069425382967561</v>
      </c>
      <c r="AB2973" t="str">
        <f>HYPERLINK("Melting_Curves/meltCurve_Q13596_SNX1.pdf", "Melting_Curves/meltCurve_Q13596_SNX1.pdf")</f>
        <v>Melting_Curves/meltCurve_Q13596_SNX1.pdf</v>
      </c>
    </row>
    <row r="2974" spans="1:28" x14ac:dyDescent="0.25">
      <c r="A2974" t="s">
        <v>2978</v>
      </c>
      <c r="B2974">
        <v>0.99987803227770999</v>
      </c>
      <c r="C2974">
        <v>1.3336600106890399</v>
      </c>
      <c r="D2974">
        <v>0.94351724023324102</v>
      </c>
      <c r="E2974">
        <v>2.01020939683352</v>
      </c>
      <c r="F2974">
        <v>1.0647134437113299</v>
      </c>
      <c r="G2974">
        <v>1.01778812639665</v>
      </c>
      <c r="H2974">
        <v>0.81988359070539596</v>
      </c>
      <c r="I2974">
        <v>0.881957661381639</v>
      </c>
      <c r="J2974">
        <v>0.64109950682619998</v>
      </c>
      <c r="K2974">
        <v>4.6314044106339103E-2</v>
      </c>
      <c r="L2974">
        <v>4489.8283429924704</v>
      </c>
      <c r="M2974">
        <v>66.529982403465098</v>
      </c>
      <c r="N2974">
        <v>67.485789416562397</v>
      </c>
      <c r="O2974">
        <v>67.424894254481501</v>
      </c>
      <c r="P2974">
        <v>-0.246681889402763</v>
      </c>
      <c r="Q2974">
        <v>0</v>
      </c>
      <c r="R2974">
        <v>0.46715079852958202</v>
      </c>
      <c r="S2974" t="s">
        <v>9285</v>
      </c>
      <c r="T2974" t="s">
        <v>12620</v>
      </c>
      <c r="U2974" t="s">
        <v>12620</v>
      </c>
      <c r="V2974" t="s">
        <v>12620</v>
      </c>
      <c r="W2974" t="s">
        <v>15549</v>
      </c>
      <c r="X2974">
        <v>1</v>
      </c>
      <c r="Y2974" t="s">
        <v>21712</v>
      </c>
      <c r="Z2974" t="s">
        <v>27921</v>
      </c>
      <c r="AA2974">
        <v>0.91457272466413009</v>
      </c>
      <c r="AB2974" t="str">
        <f>HYPERLINK("Melting_Curves/meltCurve_Q13608_PEX6.pdf", "Melting_Curves/meltCurve_Q13608_PEX6.pdf")</f>
        <v>Melting_Curves/meltCurve_Q13608_PEX6.pdf</v>
      </c>
    </row>
    <row r="2975" spans="1:28" x14ac:dyDescent="0.25">
      <c r="A2975" t="s">
        <v>2979</v>
      </c>
      <c r="B2975">
        <v>0.99987803227770999</v>
      </c>
      <c r="C2975">
        <v>0.99640925924299095</v>
      </c>
      <c r="D2975">
        <v>1.00458823796939</v>
      </c>
      <c r="E2975">
        <v>0.66202181478612099</v>
      </c>
      <c r="F2975">
        <v>0.33020008295636599</v>
      </c>
      <c r="G2975">
        <v>0.18973710575755101</v>
      </c>
      <c r="H2975">
        <v>0.15368947145230899</v>
      </c>
      <c r="I2975">
        <v>0.11725589070324199</v>
      </c>
      <c r="J2975">
        <v>0.10855272072031399</v>
      </c>
      <c r="K2975">
        <v>8.8384691699091605E-2</v>
      </c>
      <c r="L2975">
        <v>1474.4611562313601</v>
      </c>
      <c r="M2975">
        <v>28.962218328011598</v>
      </c>
      <c r="N2975">
        <v>51.399210010616599</v>
      </c>
      <c r="O2975">
        <v>50.668956534117697</v>
      </c>
      <c r="P2975">
        <v>-0.125680853589725</v>
      </c>
      <c r="Q2975">
        <v>0.120499724134371</v>
      </c>
      <c r="R2975">
        <v>0.99671157202229199</v>
      </c>
      <c r="S2975" t="s">
        <v>9286</v>
      </c>
      <c r="T2975" t="s">
        <v>12620</v>
      </c>
      <c r="U2975" t="s">
        <v>12620</v>
      </c>
      <c r="V2975" t="s">
        <v>12620</v>
      </c>
      <c r="W2975" t="s">
        <v>15550</v>
      </c>
      <c r="X2975">
        <v>8</v>
      </c>
      <c r="Y2975" t="s">
        <v>21713</v>
      </c>
      <c r="Z2975" t="s">
        <v>27922</v>
      </c>
      <c r="AA2975">
        <v>0.44626420075440948</v>
      </c>
      <c r="AB2975" t="str">
        <f>HYPERLINK("Melting_Curves/meltCurve_Q13613_MTMR1.pdf", "Melting_Curves/meltCurve_Q13613_MTMR1.pdf")</f>
        <v>Melting_Curves/meltCurve_Q13613_MTMR1.pdf</v>
      </c>
    </row>
    <row r="2976" spans="1:28" x14ac:dyDescent="0.25">
      <c r="A2976" t="s">
        <v>2980</v>
      </c>
      <c r="B2976">
        <v>0.99987803227770999</v>
      </c>
      <c r="C2976">
        <v>1.0333235061860999</v>
      </c>
      <c r="D2976">
        <v>1.01084717476681</v>
      </c>
      <c r="E2976">
        <v>0.972743629227244</v>
      </c>
      <c r="F2976">
        <v>0.70801397562720203</v>
      </c>
      <c r="G2976">
        <v>0.42738792024564598</v>
      </c>
      <c r="H2976">
        <v>0.269557755071755</v>
      </c>
      <c r="I2976">
        <v>0.20332982211484299</v>
      </c>
      <c r="J2976">
        <v>0.176900403173125</v>
      </c>
      <c r="K2976">
        <v>0.13236600914430699</v>
      </c>
      <c r="L2976">
        <v>1211.8918321756</v>
      </c>
      <c r="M2976">
        <v>22.018602728269499</v>
      </c>
      <c r="N2976">
        <v>55.993930137708503</v>
      </c>
      <c r="O2976">
        <v>54.5914982338765</v>
      </c>
      <c r="P2976">
        <v>-8.5058044231562505E-2</v>
      </c>
      <c r="Q2976">
        <v>0.15646916779803499</v>
      </c>
      <c r="R2976">
        <v>0.99408724142143301</v>
      </c>
      <c r="S2976" t="s">
        <v>9287</v>
      </c>
      <c r="T2976" t="s">
        <v>12620</v>
      </c>
      <c r="U2976" t="s">
        <v>12620</v>
      </c>
      <c r="V2976" t="s">
        <v>12620</v>
      </c>
      <c r="W2976" t="s">
        <v>15551</v>
      </c>
      <c r="X2976">
        <v>6</v>
      </c>
      <c r="Y2976" t="s">
        <v>21714</v>
      </c>
      <c r="Z2976" t="s">
        <v>27923</v>
      </c>
      <c r="AA2976">
        <v>0.58900631543471382</v>
      </c>
      <c r="AB2976" t="str">
        <f>HYPERLINK("Melting_Curves/meltCurve_Q13614_MTMR2.pdf", "Melting_Curves/meltCurve_Q13614_MTMR2.pdf")</f>
        <v>Melting_Curves/meltCurve_Q13614_MTMR2.pdf</v>
      </c>
    </row>
    <row r="2977" spans="1:28" x14ac:dyDescent="0.25">
      <c r="A2977" t="s">
        <v>2981</v>
      </c>
      <c r="B2977">
        <v>0.99987803227770999</v>
      </c>
      <c r="C2977">
        <v>0.90927285426832605</v>
      </c>
      <c r="D2977">
        <v>0.90921468043631204</v>
      </c>
      <c r="E2977">
        <v>0.95723131194593902</v>
      </c>
      <c r="F2977">
        <v>1.07826635997166</v>
      </c>
      <c r="G2977">
        <v>0.77996807044836103</v>
      </c>
      <c r="H2977">
        <v>0.88310587895271497</v>
      </c>
      <c r="I2977">
        <v>0.80024399218599895</v>
      </c>
      <c r="J2977">
        <v>0.81789683128310298</v>
      </c>
      <c r="K2977">
        <v>0.55590575351083305</v>
      </c>
      <c r="L2977">
        <v>572.07982637198404</v>
      </c>
      <c r="M2977">
        <v>7.61191226337501</v>
      </c>
      <c r="Q2977">
        <v>0</v>
      </c>
      <c r="R2977">
        <v>0.64447161268590203</v>
      </c>
      <c r="S2977" t="s">
        <v>9288</v>
      </c>
      <c r="T2977" t="s">
        <v>12620</v>
      </c>
      <c r="U2977" t="s">
        <v>12620</v>
      </c>
      <c r="V2977" t="s">
        <v>12620</v>
      </c>
      <c r="W2977" t="s">
        <v>15552</v>
      </c>
      <c r="X2977">
        <v>1</v>
      </c>
      <c r="Y2977" t="s">
        <v>21715</v>
      </c>
      <c r="Z2977" t="s">
        <v>27924</v>
      </c>
      <c r="AA2977">
        <v>0.89710856237163772</v>
      </c>
      <c r="AB2977" t="str">
        <f>HYPERLINK("Melting_Curves/meltCurve_Q13615_3_MTMR3.pdf", "Melting_Curves/meltCurve_Q13615_3_MTMR3.pdf")</f>
        <v>Melting_Curves/meltCurve_Q13615_3_MTMR3.pdf</v>
      </c>
    </row>
    <row r="2978" spans="1:28" x14ac:dyDescent="0.25">
      <c r="A2978" t="s">
        <v>2982</v>
      </c>
      <c r="B2978">
        <v>0.99987803227770999</v>
      </c>
      <c r="C2978">
        <v>1.1224678224684499</v>
      </c>
      <c r="D2978">
        <v>0.89413003807881097</v>
      </c>
      <c r="E2978">
        <v>1.2954464645832999</v>
      </c>
      <c r="F2978">
        <v>1.0166647092296199</v>
      </c>
      <c r="G2978">
        <v>1.11842785401236</v>
      </c>
      <c r="H2978">
        <v>1.09525613161641</v>
      </c>
      <c r="I2978">
        <v>0.19938283287302799</v>
      </c>
      <c r="J2978">
        <v>9.6671607257078004E-2</v>
      </c>
      <c r="K2978">
        <v>6.7517333976704202E-2</v>
      </c>
      <c r="L2978">
        <v>15000</v>
      </c>
      <c r="M2978">
        <v>236.29497583328299</v>
      </c>
      <c r="N2978">
        <v>63.528172325816897</v>
      </c>
      <c r="O2978">
        <v>63.475431746644603</v>
      </c>
      <c r="P2978">
        <v>-0.85427593469208596</v>
      </c>
      <c r="Q2978">
        <v>8.2070480006132707E-2</v>
      </c>
      <c r="R2978">
        <v>0.93218776452296703</v>
      </c>
      <c r="S2978" t="s">
        <v>9289</v>
      </c>
      <c r="T2978" t="s">
        <v>12620</v>
      </c>
      <c r="U2978" t="s">
        <v>12620</v>
      </c>
      <c r="V2978" t="s">
        <v>12620</v>
      </c>
      <c r="W2978" t="s">
        <v>15553</v>
      </c>
      <c r="X2978">
        <v>41</v>
      </c>
      <c r="Y2978" t="s">
        <v>21716</v>
      </c>
      <c r="Z2978" t="s">
        <v>27925</v>
      </c>
      <c r="AA2978">
        <v>0.80061713436317039</v>
      </c>
      <c r="AB2978" t="str">
        <f>HYPERLINK("Melting_Curves/meltCurve_Q13616_CUL1.pdf", "Melting_Curves/meltCurve_Q13616_CUL1.pdf")</f>
        <v>Melting_Curves/meltCurve_Q13616_CUL1.pdf</v>
      </c>
    </row>
    <row r="2979" spans="1:28" x14ac:dyDescent="0.25">
      <c r="A2979" t="s">
        <v>2983</v>
      </c>
      <c r="B2979">
        <v>0.99987803227770999</v>
      </c>
      <c r="C2979">
        <v>1.12158999429087</v>
      </c>
      <c r="D2979">
        <v>0.90224574142925495</v>
      </c>
      <c r="E2979">
        <v>1.3051932610630399</v>
      </c>
      <c r="F2979">
        <v>0.92723092058589496</v>
      </c>
      <c r="G2979">
        <v>0.61913478890145601</v>
      </c>
      <c r="H2979">
        <v>0.20108081976002401</v>
      </c>
      <c r="I2979">
        <v>0.18148525609341901</v>
      </c>
      <c r="J2979">
        <v>0.11149760597469401</v>
      </c>
      <c r="K2979">
        <v>6.9909024492883304E-2</v>
      </c>
      <c r="L2979">
        <v>2084.4989400479299</v>
      </c>
      <c r="M2979">
        <v>36.268909708891201</v>
      </c>
      <c r="N2979">
        <v>57.866802516033999</v>
      </c>
      <c r="O2979">
        <v>57.299554295435399</v>
      </c>
      <c r="P2979">
        <v>-0.140954551525973</v>
      </c>
      <c r="Q2979">
        <v>0.109252740729364</v>
      </c>
      <c r="R2979">
        <v>0.93619529684940395</v>
      </c>
      <c r="S2979" t="s">
        <v>9290</v>
      </c>
      <c r="T2979" t="s">
        <v>12620</v>
      </c>
      <c r="U2979" t="s">
        <v>12620</v>
      </c>
      <c r="V2979" t="s">
        <v>12620</v>
      </c>
      <c r="W2979" t="s">
        <v>15554</v>
      </c>
      <c r="X2979">
        <v>23</v>
      </c>
      <c r="Y2979" t="s">
        <v>21717</v>
      </c>
      <c r="Z2979" t="s">
        <v>27926</v>
      </c>
      <c r="AA2979">
        <v>0.63226663316719312</v>
      </c>
      <c r="AB2979" t="str">
        <f>HYPERLINK("Melting_Curves/meltCurve_Q13617_CUL2.pdf", "Melting_Curves/meltCurve_Q13617_CUL2.pdf")</f>
        <v>Melting_Curves/meltCurve_Q13617_CUL2.pdf</v>
      </c>
    </row>
    <row r="2980" spans="1:28" x14ac:dyDescent="0.25">
      <c r="A2980" t="s">
        <v>2984</v>
      </c>
      <c r="B2980">
        <v>0.99987803227770999</v>
      </c>
      <c r="C2980">
        <v>1.0994878238289401</v>
      </c>
      <c r="D2980">
        <v>0.92302599634889004</v>
      </c>
      <c r="E2980">
        <v>1.2581624031921399</v>
      </c>
      <c r="F2980">
        <v>0.961190270062937</v>
      </c>
      <c r="G2980">
        <v>0.50897771078446696</v>
      </c>
      <c r="H2980">
        <v>0.15101133323531099</v>
      </c>
      <c r="I2980">
        <v>0.13054740872936399</v>
      </c>
      <c r="J2980">
        <v>9.4682171030140996E-2</v>
      </c>
      <c r="K2980">
        <v>6.8631937543680493E-2</v>
      </c>
      <c r="L2980">
        <v>2617.3442937458299</v>
      </c>
      <c r="M2980">
        <v>46.0840018615364</v>
      </c>
      <c r="N2980">
        <v>57.071655754334799</v>
      </c>
      <c r="O2980">
        <v>56.688425811347003</v>
      </c>
      <c r="P2980">
        <v>-0.182894954668435</v>
      </c>
      <c r="Q2980">
        <v>0.100076694727</v>
      </c>
      <c r="R2980">
        <v>0.95820574902559497</v>
      </c>
      <c r="S2980" t="s">
        <v>9291</v>
      </c>
      <c r="T2980" t="s">
        <v>12620</v>
      </c>
      <c r="U2980" t="s">
        <v>12620</v>
      </c>
      <c r="V2980" t="s">
        <v>12620</v>
      </c>
      <c r="W2980" t="s">
        <v>15555</v>
      </c>
      <c r="X2980">
        <v>44</v>
      </c>
      <c r="Y2980" t="s">
        <v>21718</v>
      </c>
      <c r="Z2980" t="s">
        <v>27927</v>
      </c>
      <c r="AA2980">
        <v>0.60653264611150426</v>
      </c>
      <c r="AB2980" t="str">
        <f>HYPERLINK("Melting_Curves/meltCurve_Q13618_CUL3.pdf", "Melting_Curves/meltCurve_Q13618_CUL3.pdf")</f>
        <v>Melting_Curves/meltCurve_Q13618_CUL3.pdf</v>
      </c>
    </row>
    <row r="2981" spans="1:28" x14ac:dyDescent="0.25">
      <c r="A2981" t="s">
        <v>2985</v>
      </c>
      <c r="B2981">
        <v>0.99987803227770999</v>
      </c>
      <c r="C2981">
        <v>1.0673542865156</v>
      </c>
      <c r="D2981">
        <v>0.84562047871679502</v>
      </c>
      <c r="E2981">
        <v>1.0990983792519</v>
      </c>
      <c r="F2981">
        <v>0.41729275398076399</v>
      </c>
      <c r="G2981">
        <v>0.24801632407358601</v>
      </c>
      <c r="H2981">
        <v>0.15415945965484901</v>
      </c>
      <c r="I2981">
        <v>0.131387934323595</v>
      </c>
      <c r="J2981">
        <v>0.103246177873872</v>
      </c>
      <c r="K2981">
        <v>7.0379841811705604E-2</v>
      </c>
      <c r="L2981">
        <v>13210.3661571553</v>
      </c>
      <c r="M2981">
        <v>250</v>
      </c>
      <c r="N2981">
        <v>52.911838177223203</v>
      </c>
      <c r="O2981">
        <v>52.8380849736564</v>
      </c>
      <c r="P2981">
        <v>-1.0155578566108701</v>
      </c>
      <c r="Q2981">
        <v>0.141437913850395</v>
      </c>
      <c r="R2981">
        <v>0.96718114263485599</v>
      </c>
      <c r="S2981" t="s">
        <v>9292</v>
      </c>
      <c r="T2981" t="s">
        <v>12620</v>
      </c>
      <c r="U2981" t="s">
        <v>12620</v>
      </c>
      <c r="V2981" t="s">
        <v>12620</v>
      </c>
      <c r="W2981" t="s">
        <v>15556</v>
      </c>
      <c r="X2981">
        <v>25</v>
      </c>
      <c r="Y2981" t="s">
        <v>21719</v>
      </c>
      <c r="Z2981" t="s">
        <v>27928</v>
      </c>
      <c r="AA2981">
        <v>0.5090240221115746</v>
      </c>
      <c r="AB2981" t="str">
        <f>HYPERLINK("Melting_Curves/meltCurve_Q13619_CUL4A.pdf", "Melting_Curves/meltCurve_Q13619_CUL4A.pdf")</f>
        <v>Melting_Curves/meltCurve_Q13619_CUL4A.pdf</v>
      </c>
    </row>
    <row r="2982" spans="1:28" x14ac:dyDescent="0.25">
      <c r="A2982" t="s">
        <v>2986</v>
      </c>
      <c r="B2982">
        <v>0.99987803227770999</v>
      </c>
      <c r="C2982">
        <v>1.0576849655559999</v>
      </c>
      <c r="D2982">
        <v>1.01016560908057</v>
      </c>
      <c r="E2982">
        <v>0.82861006146627403</v>
      </c>
      <c r="F2982">
        <v>0.51824155971086605</v>
      </c>
      <c r="G2982">
        <v>0.30593134302041602</v>
      </c>
      <c r="H2982">
        <v>0.26006008062543901</v>
      </c>
      <c r="I2982">
        <v>0.230577836308099</v>
      </c>
      <c r="J2982">
        <v>0.224950834400411</v>
      </c>
      <c r="K2982">
        <v>0.17336778860282701</v>
      </c>
      <c r="L2982">
        <v>1455.59542350227</v>
      </c>
      <c r="M2982">
        <v>27.868687921088899</v>
      </c>
      <c r="N2982">
        <v>53.3350707474453</v>
      </c>
      <c r="O2982">
        <v>51.963787085195499</v>
      </c>
      <c r="P2982">
        <v>-0.104681163008705</v>
      </c>
      <c r="Q2982">
        <v>0.21925540561002199</v>
      </c>
      <c r="R2982">
        <v>0.99375696470896002</v>
      </c>
      <c r="S2982" t="s">
        <v>9293</v>
      </c>
      <c r="T2982" t="s">
        <v>12620</v>
      </c>
      <c r="U2982" t="s">
        <v>12620</v>
      </c>
      <c r="V2982" t="s">
        <v>12620</v>
      </c>
      <c r="W2982" t="s">
        <v>15557</v>
      </c>
      <c r="X2982">
        <v>20</v>
      </c>
      <c r="Y2982" t="s">
        <v>21720</v>
      </c>
      <c r="Z2982" t="s">
        <v>27929</v>
      </c>
      <c r="AA2982">
        <v>0.54333945284618923</v>
      </c>
      <c r="AB2982" t="str">
        <f>HYPERLINK("Melting_Curves/meltCurve_Q13625_TP53BP2.pdf", "Melting_Curves/meltCurve_Q13625_TP53BP2.pdf")</f>
        <v>Melting_Curves/meltCurve_Q13625_TP53BP2.pdf</v>
      </c>
    </row>
    <row r="2983" spans="1:28" x14ac:dyDescent="0.25">
      <c r="A2983" t="s">
        <v>2987</v>
      </c>
      <c r="B2983">
        <v>0.99987803227770999</v>
      </c>
      <c r="C2983">
        <v>1.13651467928707</v>
      </c>
      <c r="D2983">
        <v>1.0183499460477701</v>
      </c>
      <c r="E2983">
        <v>1.04168513377078</v>
      </c>
      <c r="F2983">
        <v>0.48648289036806902</v>
      </c>
      <c r="G2983">
        <v>0.30453279377228099</v>
      </c>
      <c r="H2983">
        <v>0.139742335467964</v>
      </c>
      <c r="I2983">
        <v>9.51812548206869E-2</v>
      </c>
      <c r="J2983">
        <v>7.7552185897773199E-2</v>
      </c>
      <c r="K2983">
        <v>4.4636975934740898E-2</v>
      </c>
      <c r="L2983">
        <v>13230.3077631905</v>
      </c>
      <c r="M2983">
        <v>250</v>
      </c>
      <c r="N2983">
        <v>52.986387369387799</v>
      </c>
      <c r="O2983">
        <v>52.917865917113502</v>
      </c>
      <c r="P2983">
        <v>-1.0247853418228601</v>
      </c>
      <c r="Q2983">
        <v>0.13232909785726599</v>
      </c>
      <c r="R2983">
        <v>0.96750617121089999</v>
      </c>
      <c r="S2983" t="s">
        <v>9294</v>
      </c>
      <c r="T2983" t="s">
        <v>12620</v>
      </c>
      <c r="U2983" t="s">
        <v>12620</v>
      </c>
      <c r="V2983" t="s">
        <v>12620</v>
      </c>
      <c r="W2983" t="s">
        <v>15558</v>
      </c>
      <c r="X2983">
        <v>3</v>
      </c>
      <c r="Y2983" t="s">
        <v>21721</v>
      </c>
      <c r="Z2983" t="s">
        <v>27930</v>
      </c>
      <c r="AA2983">
        <v>0.50612222375001525</v>
      </c>
      <c r="AB2983" t="str">
        <f>HYPERLINK("Melting_Curves/meltCurve_Q13627_3_DYRK1A.pdf", "Melting_Curves/meltCurve_Q13627_3_DYRK1A.pdf")</f>
        <v>Melting_Curves/meltCurve_Q13627_3_DYRK1A.pdf</v>
      </c>
    </row>
    <row r="2984" spans="1:28" x14ac:dyDescent="0.25">
      <c r="A2984" t="s">
        <v>2988</v>
      </c>
      <c r="B2984">
        <v>0.99987803227770999</v>
      </c>
      <c r="C2984">
        <v>0.68880263049326895</v>
      </c>
      <c r="D2984">
        <v>1.11040164884181</v>
      </c>
      <c r="E2984">
        <v>0.976561951861453</v>
      </c>
      <c r="F2984">
        <v>0.76711712318716496</v>
      </c>
      <c r="G2984">
        <v>0.30726343859997801</v>
      </c>
      <c r="H2984">
        <v>0.11758746464052799</v>
      </c>
      <c r="I2984">
        <v>9.3284776599843494E-2</v>
      </c>
      <c r="J2984">
        <v>7.0276988518815697E-2</v>
      </c>
      <c r="K2984">
        <v>5.2448069411527097E-2</v>
      </c>
      <c r="L2984">
        <v>1680.93447987181</v>
      </c>
      <c r="M2984">
        <v>30.561515902241801</v>
      </c>
      <c r="N2984">
        <v>55.265418647222702</v>
      </c>
      <c r="O2984">
        <v>54.767788050536502</v>
      </c>
      <c r="P2984">
        <v>-0.130039472531184</v>
      </c>
      <c r="Q2984">
        <v>6.78562919467912E-2</v>
      </c>
      <c r="R2984">
        <v>0.93457796993902897</v>
      </c>
      <c r="S2984" t="s">
        <v>9295</v>
      </c>
      <c r="T2984" t="s">
        <v>12620</v>
      </c>
      <c r="U2984" t="s">
        <v>12620</v>
      </c>
      <c r="V2984" t="s">
        <v>12620</v>
      </c>
      <c r="W2984" t="s">
        <v>15559</v>
      </c>
      <c r="X2984">
        <v>12</v>
      </c>
      <c r="Y2984" t="s">
        <v>21722</v>
      </c>
      <c r="Z2984" t="s">
        <v>27931</v>
      </c>
      <c r="AA2984">
        <v>0.5399500912301185</v>
      </c>
      <c r="AB2984" t="str">
        <f>HYPERLINK("Melting_Curves/meltCurve_Q13630_TSTA3.pdf", "Melting_Curves/meltCurve_Q13630_TSTA3.pdf")</f>
        <v>Melting_Curves/meltCurve_Q13630_TSTA3.pdf</v>
      </c>
    </row>
    <row r="2985" spans="1:28" x14ac:dyDescent="0.25">
      <c r="A2985" t="s">
        <v>2989</v>
      </c>
      <c r="B2985">
        <v>0.99987803227770999</v>
      </c>
      <c r="C2985">
        <v>0.92384995091476396</v>
      </c>
      <c r="D2985">
        <v>0.93604871352500796</v>
      </c>
      <c r="E2985">
        <v>0.87310653487595402</v>
      </c>
      <c r="F2985">
        <v>0.91903303818404602</v>
      </c>
      <c r="G2985">
        <v>0.69151040322829405</v>
      </c>
      <c r="H2985">
        <v>0.42132504416703398</v>
      </c>
      <c r="I2985">
        <v>0.39427613928831701</v>
      </c>
      <c r="J2985">
        <v>8.7402694196397998E-2</v>
      </c>
      <c r="K2985">
        <v>4.03623412163941E-2</v>
      </c>
      <c r="L2985">
        <v>931.79618586311506</v>
      </c>
      <c r="M2985">
        <v>15.5133623219143</v>
      </c>
      <c r="N2985">
        <v>60.0641027180584</v>
      </c>
      <c r="O2985">
        <v>59.092597417351598</v>
      </c>
      <c r="P2985">
        <v>-6.56373906088943E-2</v>
      </c>
      <c r="Q2985">
        <v>0</v>
      </c>
      <c r="R2985">
        <v>0.96638107759624903</v>
      </c>
      <c r="S2985" t="s">
        <v>9296</v>
      </c>
      <c r="T2985" t="s">
        <v>12620</v>
      </c>
      <c r="U2985" t="s">
        <v>12620</v>
      </c>
      <c r="V2985" t="s">
        <v>12620</v>
      </c>
      <c r="W2985" t="s">
        <v>15560</v>
      </c>
      <c r="X2985">
        <v>2</v>
      </c>
      <c r="Y2985" t="s">
        <v>21723</v>
      </c>
      <c r="Z2985" t="s">
        <v>27932</v>
      </c>
      <c r="AA2985">
        <v>0.67583152289713733</v>
      </c>
      <c r="AB2985" t="str">
        <f>HYPERLINK("Melting_Curves/meltCurve_Q13637_RAB32.pdf", "Melting_Curves/meltCurve_Q13637_RAB32.pdf")</f>
        <v>Melting_Curves/meltCurve_Q13637_RAB32.pdf</v>
      </c>
    </row>
    <row r="2986" spans="1:28" x14ac:dyDescent="0.25">
      <c r="A2986" t="s">
        <v>2990</v>
      </c>
      <c r="B2986">
        <v>0.99987803227770999</v>
      </c>
      <c r="C2986">
        <v>1.1410575958895</v>
      </c>
      <c r="D2986">
        <v>1.0967154681437199</v>
      </c>
      <c r="E2986">
        <v>1.04313306586474</v>
      </c>
      <c r="F2986">
        <v>1.03947849601312</v>
      </c>
      <c r="G2986">
        <v>0.93721112451661903</v>
      </c>
      <c r="H2986">
        <v>0.81107450155706895</v>
      </c>
      <c r="I2986">
        <v>0.77206932180363397</v>
      </c>
      <c r="J2986">
        <v>0.49423419156595999</v>
      </c>
      <c r="K2986">
        <v>0.43704061975270397</v>
      </c>
      <c r="L2986">
        <v>1249.98373653575</v>
      </c>
      <c r="M2986">
        <v>19.103611082525902</v>
      </c>
      <c r="N2986">
        <v>67.950597529307004</v>
      </c>
      <c r="O2986">
        <v>64.727474912525295</v>
      </c>
      <c r="P2986">
        <v>-5.5066371543419701E-2</v>
      </c>
      <c r="Q2986">
        <v>0.25371848339025199</v>
      </c>
      <c r="R2986">
        <v>0.92136556689192495</v>
      </c>
      <c r="S2986" t="s">
        <v>9297</v>
      </c>
      <c r="T2986" t="s">
        <v>12620</v>
      </c>
      <c r="U2986" t="s">
        <v>12620</v>
      </c>
      <c r="V2986" t="s">
        <v>12620</v>
      </c>
      <c r="W2986" t="s">
        <v>15561</v>
      </c>
      <c r="X2986">
        <v>1</v>
      </c>
      <c r="Y2986" t="s">
        <v>21724</v>
      </c>
      <c r="Z2986" t="s">
        <v>27933</v>
      </c>
      <c r="AA2986">
        <v>0.8733916630509041</v>
      </c>
      <c r="AB2986" t="str">
        <f>HYPERLINK("Melting_Curves/meltCurve_Q13641_TPBG.pdf", "Melting_Curves/meltCurve_Q13641_TPBG.pdf")</f>
        <v>Melting_Curves/meltCurve_Q13641_TPBG.pdf</v>
      </c>
    </row>
    <row r="2987" spans="1:28" x14ac:dyDescent="0.25">
      <c r="A2987" t="s">
        <v>2991</v>
      </c>
      <c r="B2987">
        <v>0.99987803227770999</v>
      </c>
      <c r="C2987">
        <v>0.85010879253738203</v>
      </c>
      <c r="D2987">
        <v>0.99493745610534001</v>
      </c>
      <c r="E2987">
        <v>0.87777965789104995</v>
      </c>
      <c r="F2987">
        <v>1.1225323002702401</v>
      </c>
      <c r="G2987">
        <v>0.94953946260953903</v>
      </c>
      <c r="H2987">
        <v>0.99283512985507905</v>
      </c>
      <c r="I2987">
        <v>0.95035026949168599</v>
      </c>
      <c r="J2987">
        <v>1.0305151057545701</v>
      </c>
      <c r="K2987">
        <v>0.80618383074817901</v>
      </c>
      <c r="L2987">
        <v>15000</v>
      </c>
      <c r="M2987">
        <v>212.86029215474699</v>
      </c>
      <c r="Q2987">
        <v>0</v>
      </c>
      <c r="R2987">
        <v>0.24992631956127101</v>
      </c>
      <c r="S2987" t="s">
        <v>9298</v>
      </c>
      <c r="T2987" t="s">
        <v>12620</v>
      </c>
      <c r="U2987" t="s">
        <v>12620</v>
      </c>
      <c r="V2987" t="s">
        <v>12620</v>
      </c>
      <c r="W2987" t="s">
        <v>15562</v>
      </c>
      <c r="X2987">
        <v>17</v>
      </c>
      <c r="Y2987" t="s">
        <v>21725</v>
      </c>
      <c r="Z2987" t="s">
        <v>27934</v>
      </c>
      <c r="AA2987">
        <v>0.99767687925075432</v>
      </c>
      <c r="AB2987" t="str">
        <f>HYPERLINK("Melting_Curves/meltCurve_Q13642_1_FHL1.pdf", "Melting_Curves/meltCurve_Q13642_1_FHL1.pdf")</f>
        <v>Melting_Curves/meltCurve_Q13642_1_FHL1.pdf</v>
      </c>
    </row>
    <row r="2988" spans="1:28" x14ac:dyDescent="0.25">
      <c r="A2988" t="s">
        <v>2992</v>
      </c>
      <c r="B2988">
        <v>0.99987803227770999</v>
      </c>
      <c r="C2988">
        <v>0.88801294488114901</v>
      </c>
      <c r="D2988">
        <v>0.99130736221976301</v>
      </c>
      <c r="E2988">
        <v>0.87331357770490703</v>
      </c>
      <c r="F2988">
        <v>1.01953742899797</v>
      </c>
      <c r="G2988">
        <v>0.92214513903142403</v>
      </c>
      <c r="H2988">
        <v>0.96357944456998201</v>
      </c>
      <c r="I2988">
        <v>0.90419542888607396</v>
      </c>
      <c r="J2988">
        <v>1.0602712681330699</v>
      </c>
      <c r="K2988">
        <v>0.91224551575735302</v>
      </c>
      <c r="L2988">
        <v>10218.050926162499</v>
      </c>
      <c r="M2988">
        <v>250</v>
      </c>
      <c r="O2988">
        <v>40.8695881699729</v>
      </c>
      <c r="P2988">
        <v>-7.9077986795488997E-2</v>
      </c>
      <c r="Q2988">
        <v>0.94828984402164496</v>
      </c>
      <c r="R2988">
        <v>6.7895016489811694E-2</v>
      </c>
      <c r="S2988" t="s">
        <v>9299</v>
      </c>
      <c r="T2988" t="s">
        <v>12620</v>
      </c>
      <c r="U2988" t="s">
        <v>12620</v>
      </c>
      <c r="V2988" t="s">
        <v>12620</v>
      </c>
      <c r="W2988" t="s">
        <v>15563</v>
      </c>
      <c r="X2988">
        <v>7</v>
      </c>
      <c r="Y2988" t="s">
        <v>21726</v>
      </c>
      <c r="Z2988" t="s">
        <v>27935</v>
      </c>
      <c r="AA2988">
        <v>0.94979809285917061</v>
      </c>
      <c r="AB2988" t="str">
        <f>HYPERLINK("Melting_Curves/meltCurve_Q13643_FHL3.pdf", "Melting_Curves/meltCurve_Q13643_FHL3.pdf")</f>
        <v>Melting_Curves/meltCurve_Q13643_FHL3.pdf</v>
      </c>
    </row>
    <row r="2989" spans="1:28" x14ac:dyDescent="0.25">
      <c r="A2989" t="s">
        <v>2993</v>
      </c>
      <c r="B2989">
        <v>0.99987803227770999</v>
      </c>
      <c r="C2989">
        <v>0.91717694072369205</v>
      </c>
      <c r="D2989">
        <v>0.43460012191692299</v>
      </c>
      <c r="E2989">
        <v>0.31513352214045398</v>
      </c>
      <c r="F2989">
        <v>0.133463327058469</v>
      </c>
      <c r="G2989">
        <v>0.10019731512838601</v>
      </c>
      <c r="H2989">
        <v>5.23776369691644E-2</v>
      </c>
      <c r="I2989">
        <v>4.4472057246134199E-2</v>
      </c>
      <c r="J2989">
        <v>5.0505411082013001E-2</v>
      </c>
      <c r="K2989">
        <v>3.6525896991865002E-2</v>
      </c>
      <c r="L2989">
        <v>927.57701842896802</v>
      </c>
      <c r="M2989">
        <v>20.0923624213526</v>
      </c>
      <c r="N2989">
        <v>46.456484738728797</v>
      </c>
      <c r="O2989">
        <v>45.7156419745424</v>
      </c>
      <c r="P2989">
        <v>-0.103386673261297</v>
      </c>
      <c r="Q2989">
        <v>5.9097757078340897E-2</v>
      </c>
      <c r="R2989">
        <v>0.97433878180190603</v>
      </c>
      <c r="S2989" t="s">
        <v>9300</v>
      </c>
      <c r="T2989" t="s">
        <v>12620</v>
      </c>
      <c r="U2989" t="s">
        <v>12620</v>
      </c>
      <c r="V2989" t="s">
        <v>12620</v>
      </c>
      <c r="W2989" t="s">
        <v>15564</v>
      </c>
      <c r="X2989">
        <v>5</v>
      </c>
      <c r="Y2989" t="s">
        <v>21727</v>
      </c>
      <c r="Z2989" t="s">
        <v>27936</v>
      </c>
      <c r="AA2989">
        <v>0.26670648981194089</v>
      </c>
      <c r="AB2989" t="str">
        <f>HYPERLINK("Melting_Curves/meltCurve_Q13671_RIN1.pdf", "Melting_Curves/meltCurve_Q13671_RIN1.pdf")</f>
        <v>Melting_Curves/meltCurve_Q13671_RIN1.pdf</v>
      </c>
    </row>
    <row r="2990" spans="1:28" x14ac:dyDescent="0.25">
      <c r="A2990" t="s">
        <v>2994</v>
      </c>
      <c r="B2990">
        <v>0.99987803227770999</v>
      </c>
      <c r="C2990">
        <v>0.88900105937011897</v>
      </c>
      <c r="D2990">
        <v>0.75340245595990196</v>
      </c>
      <c r="E2990">
        <v>0.48658207521605301</v>
      </c>
      <c r="F2990">
        <v>0.42747981858124301</v>
      </c>
      <c r="G2990">
        <v>0.27321440619417198</v>
      </c>
      <c r="H2990">
        <v>9.4168886866607807E-2</v>
      </c>
      <c r="I2990">
        <v>7.0726612030274694E-2</v>
      </c>
      <c r="J2990">
        <v>3.8958908608520602E-2</v>
      </c>
      <c r="K2990">
        <v>2.03107497605526E-2</v>
      </c>
      <c r="L2990">
        <v>579.49253971654696</v>
      </c>
      <c r="M2990">
        <v>11.4251185266587</v>
      </c>
      <c r="N2990">
        <v>50.720921418612299</v>
      </c>
      <c r="O2990">
        <v>49.241618984684202</v>
      </c>
      <c r="P2990">
        <v>-5.80222792102933E-2</v>
      </c>
      <c r="Q2990">
        <v>0</v>
      </c>
      <c r="R2990">
        <v>0.99003849405354405</v>
      </c>
      <c r="S2990" t="s">
        <v>9301</v>
      </c>
      <c r="T2990" t="s">
        <v>12620</v>
      </c>
      <c r="U2990" t="s">
        <v>12620</v>
      </c>
      <c r="V2990" t="s">
        <v>12620</v>
      </c>
      <c r="W2990" t="s">
        <v>15565</v>
      </c>
      <c r="X2990">
        <v>4</v>
      </c>
      <c r="Y2990" t="s">
        <v>21728</v>
      </c>
      <c r="Z2990" t="s">
        <v>27937</v>
      </c>
      <c r="AA2990">
        <v>0.39296812008372423</v>
      </c>
      <c r="AB2990" t="str">
        <f>HYPERLINK("Melting_Curves/meltCurve_Q13686_ALKBH1.pdf", "Melting_Curves/meltCurve_Q13686_ALKBH1.pdf")</f>
        <v>Melting_Curves/meltCurve_Q13686_ALKBH1.pdf</v>
      </c>
    </row>
    <row r="2991" spans="1:28" x14ac:dyDescent="0.25">
      <c r="A2991" t="s">
        <v>2995</v>
      </c>
      <c r="B2991">
        <v>0.99987803227770999</v>
      </c>
      <c r="C2991">
        <v>0.93597055298912102</v>
      </c>
      <c r="D2991">
        <v>1.0720383456373099</v>
      </c>
      <c r="E2991">
        <v>0.97972389410590699</v>
      </c>
      <c r="F2991">
        <v>1.0232772668847101</v>
      </c>
      <c r="G2991">
        <v>1.0718015481318901</v>
      </c>
      <c r="H2991">
        <v>1.06810613578679</v>
      </c>
      <c r="I2991">
        <v>0.96685024328540403</v>
      </c>
      <c r="J2991">
        <v>0.85237718099255999</v>
      </c>
      <c r="K2991">
        <v>0.639727282083423</v>
      </c>
      <c r="L2991">
        <v>3384.7667221430402</v>
      </c>
      <c r="M2991">
        <v>49.8487025434749</v>
      </c>
      <c r="O2991">
        <v>67.791796100110602</v>
      </c>
      <c r="P2991">
        <v>-8.1030870717387807E-2</v>
      </c>
      <c r="Q2991">
        <v>0.55920834728325797</v>
      </c>
      <c r="R2991">
        <v>0.87029857519943299</v>
      </c>
      <c r="S2991" t="s">
        <v>9302</v>
      </c>
      <c r="T2991" t="s">
        <v>12620</v>
      </c>
      <c r="U2991" t="s">
        <v>12620</v>
      </c>
      <c r="V2991" t="s">
        <v>12620</v>
      </c>
      <c r="W2991" t="s">
        <v>15566</v>
      </c>
      <c r="X2991">
        <v>8</v>
      </c>
      <c r="Y2991" t="s">
        <v>21729</v>
      </c>
      <c r="Z2991" t="s">
        <v>27938</v>
      </c>
      <c r="AA2991">
        <v>0.96598031540801865</v>
      </c>
      <c r="AB2991" t="str">
        <f>HYPERLINK("Melting_Curves/meltCurve_Q13740_2_ALCAM.pdf", "Melting_Curves/meltCurve_Q13740_2_ALCAM.pdf")</f>
        <v>Melting_Curves/meltCurve_Q13740_2_ALCAM.pdf</v>
      </c>
    </row>
    <row r="2992" spans="1:28" x14ac:dyDescent="0.25">
      <c r="A2992" t="s">
        <v>2996</v>
      </c>
      <c r="B2992">
        <v>0.99987803227770999</v>
      </c>
      <c r="C2992">
        <v>1.06704523074947</v>
      </c>
      <c r="D2992">
        <v>0.93732493948600704</v>
      </c>
      <c r="E2992">
        <v>1.40188729414083</v>
      </c>
      <c r="F2992">
        <v>0.76896616770238302</v>
      </c>
      <c r="G2992">
        <v>0.30636274490651499</v>
      </c>
      <c r="H2992">
        <v>0.166970375715395</v>
      </c>
      <c r="I2992">
        <v>0.118557366804631</v>
      </c>
      <c r="J2992">
        <v>0.100949912251329</v>
      </c>
      <c r="K2992">
        <v>7.1625219842838303E-2</v>
      </c>
      <c r="L2992">
        <v>2296.0814315338198</v>
      </c>
      <c r="M2992">
        <v>41.760940041486002</v>
      </c>
      <c r="N2992">
        <v>55.324308590480001</v>
      </c>
      <c r="O2992">
        <v>54.855929528474903</v>
      </c>
      <c r="P2992">
        <v>-0.16862695671352201</v>
      </c>
      <c r="Q2992">
        <v>0.113988121956688</v>
      </c>
      <c r="R2992">
        <v>0.91292280036736595</v>
      </c>
      <c r="S2992" t="s">
        <v>9303</v>
      </c>
      <c r="T2992" t="s">
        <v>12620</v>
      </c>
      <c r="U2992" t="s">
        <v>12620</v>
      </c>
      <c r="V2992" t="s">
        <v>12620</v>
      </c>
      <c r="W2992" t="s">
        <v>15567</v>
      </c>
      <c r="X2992">
        <v>5</v>
      </c>
      <c r="Y2992" t="s">
        <v>21730</v>
      </c>
      <c r="Z2992" t="s">
        <v>27939</v>
      </c>
      <c r="AA2992">
        <v>0.55952858332039113</v>
      </c>
      <c r="AB2992" t="str">
        <f>HYPERLINK("Melting_Curves/meltCurve_Q13769_THOC5.pdf", "Melting_Curves/meltCurve_Q13769_THOC5.pdf")</f>
        <v>Melting_Curves/meltCurve_Q13769_THOC5.pdf</v>
      </c>
    </row>
    <row r="2993" spans="1:28" x14ac:dyDescent="0.25">
      <c r="A2993" t="s">
        <v>2997</v>
      </c>
      <c r="B2993">
        <v>0.99987803227770999</v>
      </c>
      <c r="C2993">
        <v>0.88588124994353201</v>
      </c>
      <c r="D2993">
        <v>1.0034334899886199</v>
      </c>
      <c r="E2993">
        <v>0.81020426056836903</v>
      </c>
      <c r="F2993">
        <v>0.85852808321488705</v>
      </c>
      <c r="G2993">
        <v>0.72327054195354501</v>
      </c>
      <c r="H2993">
        <v>0.74226371418315196</v>
      </c>
      <c r="I2993">
        <v>0.50144449122509904</v>
      </c>
      <c r="J2993">
        <v>0.49765841358848401</v>
      </c>
      <c r="K2993">
        <v>0.38401051348736198</v>
      </c>
      <c r="L2993">
        <v>425.49384910269498</v>
      </c>
      <c r="M2993">
        <v>6.4178856113779696</v>
      </c>
      <c r="N2993">
        <v>66.298135361466393</v>
      </c>
      <c r="O2993">
        <v>60.739612738956701</v>
      </c>
      <c r="P2993">
        <v>-2.6482733723401201E-2</v>
      </c>
      <c r="Q2993">
        <v>0</v>
      </c>
      <c r="R2993">
        <v>0.91933060811659695</v>
      </c>
      <c r="S2993" t="s">
        <v>9304</v>
      </c>
      <c r="T2993" t="s">
        <v>12620</v>
      </c>
      <c r="U2993" t="s">
        <v>12620</v>
      </c>
      <c r="V2993" t="s">
        <v>12620</v>
      </c>
      <c r="W2993" t="s">
        <v>15568</v>
      </c>
      <c r="X2993">
        <v>7</v>
      </c>
      <c r="Y2993" t="s">
        <v>21731</v>
      </c>
      <c r="Z2993" t="s">
        <v>27940</v>
      </c>
      <c r="AA2993">
        <v>0.75592671205672723</v>
      </c>
      <c r="AB2993" t="str">
        <f>HYPERLINK("Melting_Curves/meltCurve_Q13796_SHROOM2.pdf", "Melting_Curves/meltCurve_Q13796_SHROOM2.pdf")</f>
        <v>Melting_Curves/meltCurve_Q13796_SHROOM2.pdf</v>
      </c>
    </row>
    <row r="2994" spans="1:28" x14ac:dyDescent="0.25">
      <c r="A2994" t="s">
        <v>2998</v>
      </c>
      <c r="B2994">
        <v>0.99987803227770999</v>
      </c>
      <c r="C2994">
        <v>1.1344199244014701</v>
      </c>
      <c r="D2994">
        <v>0.84712541057026702</v>
      </c>
      <c r="E2994">
        <v>1.36207524943183</v>
      </c>
      <c r="F2994">
        <v>0.73730302066434705</v>
      </c>
      <c r="G2994">
        <v>1.6053509162184001</v>
      </c>
      <c r="H2994">
        <v>0.65321774874071104</v>
      </c>
      <c r="I2994">
        <v>0.38865511109025103</v>
      </c>
      <c r="J2994">
        <v>0.26027310072320398</v>
      </c>
      <c r="K2994">
        <v>0.180905835468261</v>
      </c>
      <c r="L2994">
        <v>4762.4306749766201</v>
      </c>
      <c r="M2994">
        <v>77.848598690825497</v>
      </c>
      <c r="N2994">
        <v>61.775635500097103</v>
      </c>
      <c r="O2994">
        <v>61.135215145718199</v>
      </c>
      <c r="P2994">
        <v>-0.23389318333189399</v>
      </c>
      <c r="Q2994">
        <v>0.26528630081405402</v>
      </c>
      <c r="R2994">
        <v>0.68330042689536796</v>
      </c>
      <c r="S2994" t="s">
        <v>9305</v>
      </c>
      <c r="T2994" t="s">
        <v>12620</v>
      </c>
      <c r="U2994" t="s">
        <v>12620</v>
      </c>
      <c r="V2994" t="s">
        <v>12620</v>
      </c>
      <c r="W2994" t="s">
        <v>15569</v>
      </c>
      <c r="X2994">
        <v>119</v>
      </c>
      <c r="Y2994" t="s">
        <v>21732</v>
      </c>
      <c r="Z2994" t="s">
        <v>27941</v>
      </c>
      <c r="AA2994">
        <v>0.78469888265723342</v>
      </c>
      <c r="AB2994" t="str">
        <f>HYPERLINK("Melting_Curves/meltCurve_Q13813_SPTAN1.pdf", "Melting_Curves/meltCurve_Q13813_SPTAN1.pdf")</f>
        <v>Melting_Curves/meltCurve_Q13813_SPTAN1.pdf</v>
      </c>
    </row>
    <row r="2995" spans="1:28" x14ac:dyDescent="0.25">
      <c r="A2995" t="s">
        <v>2999</v>
      </c>
      <c r="B2995">
        <v>0.99987803227770999</v>
      </c>
      <c r="C2995">
        <v>1.0195898124498399</v>
      </c>
      <c r="D2995">
        <v>0.87656274077556595</v>
      </c>
      <c r="E2995">
        <v>1.0958632750441599</v>
      </c>
      <c r="F2995">
        <v>0.75300572012372502</v>
      </c>
      <c r="G2995">
        <v>0.94145942665265903</v>
      </c>
      <c r="H2995">
        <v>0.71741548907961095</v>
      </c>
      <c r="I2995">
        <v>0.62777602131394605</v>
      </c>
      <c r="J2995">
        <v>0.38680816360017001</v>
      </c>
      <c r="K2995">
        <v>0.29839518182765301</v>
      </c>
      <c r="L2995">
        <v>848.52812192191902</v>
      </c>
      <c r="M2995">
        <v>12.949546854345</v>
      </c>
      <c r="N2995">
        <v>65.525699987798205</v>
      </c>
      <c r="O2995">
        <v>64.022112689159201</v>
      </c>
      <c r="P2995">
        <v>-5.05757657361788E-2</v>
      </c>
      <c r="Q2995">
        <v>0</v>
      </c>
      <c r="R2995">
        <v>0.88162730847430504</v>
      </c>
      <c r="S2995" t="s">
        <v>9306</v>
      </c>
      <c r="T2995" t="s">
        <v>12620</v>
      </c>
      <c r="U2995" t="s">
        <v>12620</v>
      </c>
      <c r="V2995" t="s">
        <v>12620</v>
      </c>
      <c r="W2995" t="s">
        <v>15570</v>
      </c>
      <c r="X2995">
        <v>117</v>
      </c>
      <c r="Y2995" t="s">
        <v>21732</v>
      </c>
      <c r="Z2995" t="s">
        <v>27942</v>
      </c>
      <c r="AA2995">
        <v>0.81046459234770341</v>
      </c>
      <c r="AB2995" t="str">
        <f>HYPERLINK("Melting_Curves/meltCurve_Q13813_3_SPTAN1.pdf", "Melting_Curves/meltCurve_Q13813_3_SPTAN1.pdf")</f>
        <v>Melting_Curves/meltCurve_Q13813_3_SPTAN1.pdf</v>
      </c>
    </row>
    <row r="2996" spans="1:28" x14ac:dyDescent="0.25">
      <c r="A2996" t="s">
        <v>3000</v>
      </c>
      <c r="B2996">
        <v>0.99987803227770999</v>
      </c>
      <c r="C2996">
        <v>0.93428953994654496</v>
      </c>
      <c r="D2996">
        <v>0.90198280439065803</v>
      </c>
      <c r="E2996">
        <v>0.51272754334823101</v>
      </c>
      <c r="F2996">
        <v>0.26453623632016898</v>
      </c>
      <c r="G2996">
        <v>0.18816264180780901</v>
      </c>
      <c r="H2996">
        <v>0.17464584534854699</v>
      </c>
      <c r="I2996">
        <v>0.19860652739557499</v>
      </c>
      <c r="J2996">
        <v>0.122254810220528</v>
      </c>
      <c r="K2996">
        <v>7.5954866948041599E-2</v>
      </c>
      <c r="L2996">
        <v>1218.3803809287699</v>
      </c>
      <c r="M2996">
        <v>24.635151675638198</v>
      </c>
      <c r="N2996">
        <v>50.128298166468099</v>
      </c>
      <c r="O2996">
        <v>49.134553926970803</v>
      </c>
      <c r="P2996">
        <v>-0.107734593917256</v>
      </c>
      <c r="Q2996">
        <v>0.140510146959758</v>
      </c>
      <c r="R2996">
        <v>0.99083891230964205</v>
      </c>
      <c r="S2996" t="s">
        <v>9307</v>
      </c>
      <c r="T2996" t="s">
        <v>12620</v>
      </c>
      <c r="U2996" t="s">
        <v>12620</v>
      </c>
      <c r="V2996" t="s">
        <v>12620</v>
      </c>
      <c r="W2996" t="s">
        <v>15571</v>
      </c>
      <c r="X2996">
        <v>4</v>
      </c>
      <c r="Y2996" t="s">
        <v>21733</v>
      </c>
      <c r="Z2996" t="s">
        <v>27943</v>
      </c>
      <c r="AA2996">
        <v>0.4193245300426594</v>
      </c>
      <c r="AB2996" t="str">
        <f>HYPERLINK("Melting_Curves/meltCurve_Q13825_AUH.pdf", "Melting_Curves/meltCurve_Q13825_AUH.pdf")</f>
        <v>Melting_Curves/meltCurve_Q13825_AUH.pdf</v>
      </c>
    </row>
    <row r="2997" spans="1:28" x14ac:dyDescent="0.25">
      <c r="A2997" t="s">
        <v>3001</v>
      </c>
      <c r="B2997">
        <v>0.99987803227770999</v>
      </c>
      <c r="C2997">
        <v>0.84552059983287697</v>
      </c>
      <c r="D2997">
        <v>0.86670889418369301</v>
      </c>
      <c r="E2997">
        <v>0.80189836402077497</v>
      </c>
      <c r="F2997">
        <v>0.80589222909195501</v>
      </c>
      <c r="G2997">
        <v>0.31980503571396302</v>
      </c>
      <c r="H2997">
        <v>0.137230216843269</v>
      </c>
      <c r="I2997">
        <v>0.111136376111006</v>
      </c>
      <c r="J2997">
        <v>7.8693532908199304E-2</v>
      </c>
      <c r="K2997">
        <v>5.69206390213833E-2</v>
      </c>
      <c r="L2997">
        <v>1012.83951737069</v>
      </c>
      <c r="M2997">
        <v>18.366616492922301</v>
      </c>
      <c r="N2997">
        <v>55.315302453797699</v>
      </c>
      <c r="O2997">
        <v>54.504414364031099</v>
      </c>
      <c r="P2997">
        <v>-8.1940495766513702E-2</v>
      </c>
      <c r="Q2997">
        <v>2.73842880373989E-2</v>
      </c>
      <c r="R2997">
        <v>0.95814177089192998</v>
      </c>
      <c r="S2997" t="s">
        <v>9308</v>
      </c>
      <c r="T2997" t="s">
        <v>12620</v>
      </c>
      <c r="U2997" t="s">
        <v>12620</v>
      </c>
      <c r="V2997" t="s">
        <v>12620</v>
      </c>
      <c r="W2997" t="s">
        <v>15572</v>
      </c>
      <c r="X2997">
        <v>25</v>
      </c>
      <c r="Y2997" t="s">
        <v>21734</v>
      </c>
      <c r="Z2997" t="s">
        <v>27944</v>
      </c>
      <c r="AA2997">
        <v>0.53297155476421487</v>
      </c>
      <c r="AB2997" t="str">
        <f>HYPERLINK("Melting_Curves/meltCurve_Q13838_DDX39B.pdf", "Melting_Curves/meltCurve_Q13838_DDX39B.pdf")</f>
        <v>Melting_Curves/meltCurve_Q13838_DDX39B.pdf</v>
      </c>
    </row>
    <row r="2998" spans="1:28" x14ac:dyDescent="0.25">
      <c r="A2998" t="s">
        <v>3002</v>
      </c>
      <c r="B2998">
        <v>0.99987803227770999</v>
      </c>
      <c r="C2998">
        <v>1.0976203642914699</v>
      </c>
      <c r="D2998">
        <v>0.830810499722204</v>
      </c>
      <c r="E2998">
        <v>1.12852920013388</v>
      </c>
      <c r="F2998">
        <v>0.778005446665337</v>
      </c>
      <c r="G2998">
        <v>1.2512640571284701</v>
      </c>
      <c r="H2998">
        <v>1.27610768305026</v>
      </c>
      <c r="I2998">
        <v>1.08209573174854</v>
      </c>
      <c r="J2998">
        <v>0.38014499777641803</v>
      </c>
      <c r="K2998">
        <v>0.13561917714341501</v>
      </c>
      <c r="L2998">
        <v>15000</v>
      </c>
      <c r="M2998">
        <v>224.81044496019899</v>
      </c>
      <c r="N2998">
        <v>66.816888534253295</v>
      </c>
      <c r="O2998">
        <v>66.7175983867958</v>
      </c>
      <c r="P2998">
        <v>-0.72818247431320904</v>
      </c>
      <c r="Q2998">
        <v>0.13558134268253</v>
      </c>
      <c r="R2998">
        <v>0.80360017105453596</v>
      </c>
      <c r="S2998" t="s">
        <v>9309</v>
      </c>
      <c r="T2998" t="s">
        <v>12620</v>
      </c>
      <c r="U2998" t="s">
        <v>12620</v>
      </c>
      <c r="V2998" t="s">
        <v>12620</v>
      </c>
      <c r="W2998" t="s">
        <v>15573</v>
      </c>
      <c r="X2998">
        <v>21</v>
      </c>
      <c r="Y2998" t="s">
        <v>21735</v>
      </c>
      <c r="Z2998" t="s">
        <v>27945</v>
      </c>
      <c r="AA2998">
        <v>0.90569809395422984</v>
      </c>
      <c r="AB2998" t="str">
        <f>HYPERLINK("Melting_Curves/meltCurve_Q13867_BLMH.pdf", "Melting_Curves/meltCurve_Q13867_BLMH.pdf")</f>
        <v>Melting_Curves/meltCurve_Q13867_BLMH.pdf</v>
      </c>
    </row>
    <row r="2999" spans="1:28" x14ac:dyDescent="0.25">
      <c r="A2999" t="s">
        <v>3003</v>
      </c>
      <c r="B2999">
        <v>0.99987803227770999</v>
      </c>
      <c r="C2999">
        <v>1.1653893276788301</v>
      </c>
      <c r="D2999">
        <v>1.11248977356487</v>
      </c>
      <c r="E2999">
        <v>1.6692300601065899</v>
      </c>
      <c r="F2999">
        <v>1.35318928120023</v>
      </c>
      <c r="G2999">
        <v>1.09308056778909</v>
      </c>
      <c r="H2999">
        <v>0.71775733112599505</v>
      </c>
      <c r="I2999">
        <v>0.34465952377839398</v>
      </c>
      <c r="J2999">
        <v>0.20560390860317401</v>
      </c>
      <c r="K2999">
        <v>0.101892115055343</v>
      </c>
      <c r="L2999">
        <v>2666.5915692764502</v>
      </c>
      <c r="M2999">
        <v>42.8467704066571</v>
      </c>
      <c r="N2999">
        <v>62.679292208122</v>
      </c>
      <c r="O2999">
        <v>62.100422024646797</v>
      </c>
      <c r="P2999">
        <v>-0.14992342201599601</v>
      </c>
      <c r="Q2999">
        <v>0.13082894864455399</v>
      </c>
      <c r="R2999">
        <v>0.73982529496419602</v>
      </c>
      <c r="S2999" t="s">
        <v>9310</v>
      </c>
      <c r="T2999" t="s">
        <v>12620</v>
      </c>
      <c r="U2999" t="s">
        <v>12620</v>
      </c>
      <c r="V2999" t="s">
        <v>12620</v>
      </c>
      <c r="W2999" t="s">
        <v>15574</v>
      </c>
      <c r="X2999">
        <v>8</v>
      </c>
      <c r="Y2999" t="s">
        <v>21736</v>
      </c>
      <c r="Z2999" t="s">
        <v>27946</v>
      </c>
      <c r="AA2999">
        <v>0.77781731125131737</v>
      </c>
      <c r="AB2999" t="str">
        <f>HYPERLINK("Melting_Curves/meltCurve_Q13868_EXOSC2.pdf", "Melting_Curves/meltCurve_Q13868_EXOSC2.pdf")</f>
        <v>Melting_Curves/meltCurve_Q13868_EXOSC2.pdf</v>
      </c>
    </row>
    <row r="3000" spans="1:28" x14ac:dyDescent="0.25">
      <c r="A3000" t="s">
        <v>3004</v>
      </c>
      <c r="B3000">
        <v>0.99987803227770999</v>
      </c>
      <c r="C3000">
        <v>1.0435673809466399</v>
      </c>
      <c r="D3000">
        <v>0.94658131936179102</v>
      </c>
      <c r="E3000">
        <v>0.87946765819788897</v>
      </c>
      <c r="F3000">
        <v>0.683069629928166</v>
      </c>
      <c r="G3000">
        <v>0.33750515935515601</v>
      </c>
      <c r="H3000">
        <v>0.106149845173295</v>
      </c>
      <c r="I3000">
        <v>9.4788578506929899E-2</v>
      </c>
      <c r="J3000">
        <v>5.8068065418052997E-2</v>
      </c>
      <c r="K3000">
        <v>4.1966643576303697E-2</v>
      </c>
      <c r="L3000">
        <v>1142.3393820706899</v>
      </c>
      <c r="M3000">
        <v>20.857202617354702</v>
      </c>
      <c r="N3000">
        <v>54.946722015788197</v>
      </c>
      <c r="O3000">
        <v>54.273521904866598</v>
      </c>
      <c r="P3000">
        <v>-9.2952477011281398E-2</v>
      </c>
      <c r="Q3000">
        <v>3.25223770836243E-2</v>
      </c>
      <c r="R3000">
        <v>0.99718687608966405</v>
      </c>
      <c r="S3000" t="s">
        <v>9311</v>
      </c>
      <c r="T3000" t="s">
        <v>12620</v>
      </c>
      <c r="U3000" t="s">
        <v>12620</v>
      </c>
      <c r="V3000" t="s">
        <v>12620</v>
      </c>
      <c r="W3000" t="s">
        <v>15575</v>
      </c>
      <c r="X3000">
        <v>22</v>
      </c>
      <c r="Y3000" t="s">
        <v>21737</v>
      </c>
      <c r="Z3000" t="s">
        <v>27947</v>
      </c>
      <c r="AA3000">
        <v>0.52096754439509219</v>
      </c>
      <c r="AB3000" t="str">
        <f>HYPERLINK("Melting_Curves/meltCurve_Q13885_TUBB2A.pdf", "Melting_Curves/meltCurve_Q13885_TUBB2A.pdf")</f>
        <v>Melting_Curves/meltCurve_Q13885_TUBB2A.pdf</v>
      </c>
    </row>
    <row r="3001" spans="1:28" x14ac:dyDescent="0.25">
      <c r="A3001" t="s">
        <v>3005</v>
      </c>
      <c r="B3001">
        <v>0.99987803227770999</v>
      </c>
      <c r="C3001">
        <v>0.88334154819013999</v>
      </c>
      <c r="D3001">
        <v>1.0194321720058099</v>
      </c>
      <c r="E3001">
        <v>0.86923232312781196</v>
      </c>
      <c r="F3001">
        <v>1.0197011104779501</v>
      </c>
      <c r="G3001">
        <v>0.84009820699869997</v>
      </c>
      <c r="H3001">
        <v>0.83052602243182605</v>
      </c>
      <c r="I3001">
        <v>0.86478175842058602</v>
      </c>
      <c r="J3001">
        <v>0.729280862811304</v>
      </c>
      <c r="K3001">
        <v>0.62155579916972703</v>
      </c>
      <c r="L3001">
        <v>440.43805680904501</v>
      </c>
      <c r="M3001">
        <v>5.59957780379513</v>
      </c>
      <c r="Q3001">
        <v>0</v>
      </c>
      <c r="R3001">
        <v>0.72703191147657698</v>
      </c>
      <c r="S3001" t="s">
        <v>9312</v>
      </c>
      <c r="T3001" t="s">
        <v>12620</v>
      </c>
      <c r="U3001" t="s">
        <v>12620</v>
      </c>
      <c r="V3001" t="s">
        <v>12620</v>
      </c>
      <c r="W3001" t="s">
        <v>15576</v>
      </c>
      <c r="X3001">
        <v>2</v>
      </c>
      <c r="Y3001" t="s">
        <v>21738</v>
      </c>
      <c r="Z3001" t="s">
        <v>27948</v>
      </c>
      <c r="AA3001">
        <v>0.88627965801204378</v>
      </c>
      <c r="AB3001" t="str">
        <f>HYPERLINK("Melting_Curves/meltCurve_Q13887_KLF5.pdf", "Melting_Curves/meltCurve_Q13887_KLF5.pdf")</f>
        <v>Melting_Curves/meltCurve_Q13887_KLF5.pdf</v>
      </c>
    </row>
    <row r="3002" spans="1:28" x14ac:dyDescent="0.25">
      <c r="A3002" t="s">
        <v>3006</v>
      </c>
      <c r="B3002">
        <v>0.99987803227770999</v>
      </c>
      <c r="C3002">
        <v>0.96886772109668295</v>
      </c>
      <c r="D3002">
        <v>0.89664668034614403</v>
      </c>
      <c r="E3002">
        <v>0.44985908046176898</v>
      </c>
      <c r="F3002">
        <v>0.28327743208657602</v>
      </c>
      <c r="G3002">
        <v>0.183608321762917</v>
      </c>
      <c r="H3002">
        <v>0.15383089718710599</v>
      </c>
      <c r="I3002">
        <v>0.13587557448117299</v>
      </c>
      <c r="J3002">
        <v>0.134836784714466</v>
      </c>
      <c r="K3002">
        <v>0.108079820385088</v>
      </c>
      <c r="L3002">
        <v>1240.3676191959901</v>
      </c>
      <c r="M3002">
        <v>25.231969495479301</v>
      </c>
      <c r="N3002">
        <v>49.793974422344299</v>
      </c>
      <c r="O3002">
        <v>48.852912209716102</v>
      </c>
      <c r="P3002">
        <v>-0.111351240850608</v>
      </c>
      <c r="Q3002">
        <v>0.13763975019815999</v>
      </c>
      <c r="R3002">
        <v>0.997051143807129</v>
      </c>
      <c r="S3002" t="s">
        <v>9313</v>
      </c>
      <c r="T3002" t="s">
        <v>12620</v>
      </c>
      <c r="U3002" t="s">
        <v>12620</v>
      </c>
      <c r="V3002" t="s">
        <v>12620</v>
      </c>
      <c r="W3002" t="s">
        <v>15577</v>
      </c>
      <c r="X3002">
        <v>11</v>
      </c>
      <c r="Y3002" t="s">
        <v>21739</v>
      </c>
      <c r="Z3002" t="s">
        <v>27949</v>
      </c>
      <c r="AA3002">
        <v>0.40841246924506852</v>
      </c>
      <c r="AB3002" t="str">
        <f>HYPERLINK("Melting_Curves/meltCurve_Q13895_BYSL.pdf", "Melting_Curves/meltCurve_Q13895_BYSL.pdf")</f>
        <v>Melting_Curves/meltCurve_Q13895_BYSL.pdf</v>
      </c>
    </row>
    <row r="3003" spans="1:28" x14ac:dyDescent="0.25">
      <c r="A3003" t="s">
        <v>3007</v>
      </c>
      <c r="B3003">
        <v>0.99987803227770999</v>
      </c>
      <c r="C3003">
        <v>0.79459039975616497</v>
      </c>
      <c r="D3003">
        <v>0.96519289861797197</v>
      </c>
      <c r="E3003">
        <v>0.75520302068434197</v>
      </c>
      <c r="F3003">
        <v>0.83847885825315005</v>
      </c>
      <c r="G3003">
        <v>0.59645842962790196</v>
      </c>
      <c r="H3003">
        <v>0.368238812350485</v>
      </c>
      <c r="I3003">
        <v>0.218637474352746</v>
      </c>
      <c r="J3003">
        <v>0.12638302932804299</v>
      </c>
      <c r="K3003">
        <v>8.2947155443228504E-2</v>
      </c>
      <c r="L3003">
        <v>706.97745115713599</v>
      </c>
      <c r="M3003">
        <v>12.185188752554399</v>
      </c>
      <c r="N3003">
        <v>58.019419814435302</v>
      </c>
      <c r="O3003">
        <v>56.523113679041202</v>
      </c>
      <c r="P3003">
        <v>-5.39069601698332E-2</v>
      </c>
      <c r="Q3003">
        <v>0</v>
      </c>
      <c r="R3003">
        <v>0.94324896333336705</v>
      </c>
      <c r="S3003" t="s">
        <v>9314</v>
      </c>
      <c r="T3003" t="s">
        <v>12620</v>
      </c>
      <c r="U3003" t="s">
        <v>12620</v>
      </c>
      <c r="V3003" t="s">
        <v>12620</v>
      </c>
      <c r="W3003" t="s">
        <v>15578</v>
      </c>
      <c r="X3003">
        <v>11</v>
      </c>
      <c r="Y3003" t="s">
        <v>21740</v>
      </c>
      <c r="Z3003" t="s">
        <v>27950</v>
      </c>
      <c r="AA3003">
        <v>0.61340545164250804</v>
      </c>
      <c r="AB3003" t="str">
        <f>HYPERLINK("Melting_Curves/meltCurve_Q13907_IDI1.pdf", "Melting_Curves/meltCurve_Q13907_IDI1.pdf")</f>
        <v>Melting_Curves/meltCurve_Q13907_IDI1.pdf</v>
      </c>
    </row>
    <row r="3004" spans="1:28" x14ac:dyDescent="0.25">
      <c r="A3004" t="s">
        <v>3008</v>
      </c>
      <c r="B3004">
        <v>0.99987803227770999</v>
      </c>
      <c r="C3004">
        <v>0.89743046341531896</v>
      </c>
      <c r="D3004">
        <v>0.96788515193219604</v>
      </c>
      <c r="E3004">
        <v>0.82119957916102804</v>
      </c>
      <c r="F3004">
        <v>0.72723186486716995</v>
      </c>
      <c r="G3004">
        <v>0.31696225026916502</v>
      </c>
      <c r="H3004">
        <v>0.21817761205924799</v>
      </c>
      <c r="I3004">
        <v>0.20274872534780999</v>
      </c>
      <c r="J3004">
        <v>0.16775266716762499</v>
      </c>
      <c r="K3004">
        <v>0.10887895069259999</v>
      </c>
      <c r="L3004">
        <v>1070.38902392462</v>
      </c>
      <c r="M3004">
        <v>19.736484422758998</v>
      </c>
      <c r="N3004">
        <v>55.067072354464401</v>
      </c>
      <c r="O3004">
        <v>53.686454880492498</v>
      </c>
      <c r="P3004">
        <v>-8.0047511543138106E-2</v>
      </c>
      <c r="Q3004">
        <v>0.129060755284581</v>
      </c>
      <c r="R3004">
        <v>0.98315398067853399</v>
      </c>
      <c r="S3004" t="s">
        <v>9315</v>
      </c>
      <c r="T3004" t="s">
        <v>12620</v>
      </c>
      <c r="U3004" t="s">
        <v>12620</v>
      </c>
      <c r="V3004" t="s">
        <v>12620</v>
      </c>
      <c r="W3004" t="s">
        <v>15579</v>
      </c>
      <c r="X3004">
        <v>12</v>
      </c>
      <c r="Y3004" t="s">
        <v>21741</v>
      </c>
      <c r="Z3004" t="s">
        <v>27951</v>
      </c>
      <c r="AA3004">
        <v>0.55433353967988874</v>
      </c>
      <c r="AB3004" t="str">
        <f>HYPERLINK("Melting_Curves/meltCurve_Q13951_CBFB.pdf", "Melting_Curves/meltCurve_Q13951_CBFB.pdf")</f>
        <v>Melting_Curves/meltCurve_Q13951_CBFB.pdf</v>
      </c>
    </row>
    <row r="3005" spans="1:28" x14ac:dyDescent="0.25">
      <c r="A3005" t="s">
        <v>3009</v>
      </c>
      <c r="B3005">
        <v>0.99987803227770999</v>
      </c>
      <c r="C3005">
        <v>0.85377153478308099</v>
      </c>
      <c r="D3005">
        <v>1.01252229376973</v>
      </c>
      <c r="E3005">
        <v>0.83964709575027596</v>
      </c>
      <c r="F3005">
        <v>0.83919439045416</v>
      </c>
      <c r="G3005">
        <v>0.41257003845166601</v>
      </c>
      <c r="H3005">
        <v>0.224653067434328</v>
      </c>
      <c r="I3005">
        <v>0.174894023249236</v>
      </c>
      <c r="J3005">
        <v>0.14104668648763899</v>
      </c>
      <c r="K3005">
        <v>9.61523365008249E-2</v>
      </c>
      <c r="L3005">
        <v>1152.2327114008899</v>
      </c>
      <c r="M3005">
        <v>20.686087770394</v>
      </c>
      <c r="N3005">
        <v>56.3110463144722</v>
      </c>
      <c r="O3005">
        <v>55.188147033990397</v>
      </c>
      <c r="P3005">
        <v>-8.4300822941304296E-2</v>
      </c>
      <c r="Q3005">
        <v>0.100405296280968</v>
      </c>
      <c r="R3005">
        <v>0.97314230837138804</v>
      </c>
      <c r="S3005" t="s">
        <v>9316</v>
      </c>
      <c r="T3005" t="s">
        <v>12620</v>
      </c>
      <c r="U3005" t="s">
        <v>12620</v>
      </c>
      <c r="V3005" t="s">
        <v>12620</v>
      </c>
      <c r="W3005" t="s">
        <v>15580</v>
      </c>
      <c r="X3005">
        <v>12</v>
      </c>
      <c r="Y3005" t="s">
        <v>21741</v>
      </c>
      <c r="Z3005" t="s">
        <v>27952</v>
      </c>
      <c r="AA3005">
        <v>0.5823894128845668</v>
      </c>
      <c r="AB3005" t="str">
        <f>HYPERLINK("Melting_Curves/meltCurve_Q13951_2_CBFB.pdf", "Melting_Curves/meltCurve_Q13951_2_CBFB.pdf")</f>
        <v>Melting_Curves/meltCurve_Q13951_2_CBFB.pdf</v>
      </c>
    </row>
    <row r="3006" spans="1:28" x14ac:dyDescent="0.25">
      <c r="A3006" t="s">
        <v>3010</v>
      </c>
      <c r="B3006">
        <v>0.99987803227770999</v>
      </c>
      <c r="C3006">
        <v>1.03454264675671</v>
      </c>
      <c r="D3006">
        <v>1.04711814430408</v>
      </c>
      <c r="E3006">
        <v>1.0147563742240899</v>
      </c>
      <c r="F3006">
        <v>1.0346661837986499</v>
      </c>
      <c r="G3006">
        <v>0.58643749204173401</v>
      </c>
      <c r="H3006">
        <v>0.17130606538742699</v>
      </c>
      <c r="I3006">
        <v>0.119407157264105</v>
      </c>
      <c r="J3006">
        <v>0.10424779923971</v>
      </c>
      <c r="K3006">
        <v>7.1673562619419304E-2</v>
      </c>
      <c r="L3006">
        <v>2781.0888527544698</v>
      </c>
      <c r="M3006">
        <v>48.594702765974397</v>
      </c>
      <c r="N3006">
        <v>57.5046237949622</v>
      </c>
      <c r="O3006">
        <v>57.133620061822903</v>
      </c>
      <c r="P3006">
        <v>-0.190637215684381</v>
      </c>
      <c r="Q3006">
        <v>0.103459163148058</v>
      </c>
      <c r="R3006">
        <v>0.99549747970433</v>
      </c>
      <c r="S3006" t="s">
        <v>9317</v>
      </c>
      <c r="T3006" t="s">
        <v>12620</v>
      </c>
      <c r="U3006" t="s">
        <v>12620</v>
      </c>
      <c r="V3006" t="s">
        <v>12620</v>
      </c>
      <c r="W3006" t="s">
        <v>15581</v>
      </c>
      <c r="X3006">
        <v>5</v>
      </c>
      <c r="Y3006" t="s">
        <v>21742</v>
      </c>
      <c r="Z3006" t="s">
        <v>27953</v>
      </c>
      <c r="AA3006">
        <v>0.62077008872763884</v>
      </c>
      <c r="AB3006" t="str">
        <f>HYPERLINK("Melting_Curves/meltCurve_Q13952_3_NFYC.pdf", "Melting_Curves/meltCurve_Q13952_3_NFYC.pdf")</f>
        <v>Melting_Curves/meltCurve_Q13952_3_NFYC.pdf</v>
      </c>
    </row>
    <row r="3007" spans="1:28" x14ac:dyDescent="0.25">
      <c r="A3007" t="s">
        <v>3011</v>
      </c>
      <c r="B3007">
        <v>0.99987803227770999</v>
      </c>
      <c r="C3007">
        <v>1.0669187212567199</v>
      </c>
      <c r="D3007">
        <v>0.93795569355687902</v>
      </c>
      <c r="E3007">
        <v>0.96859480954377897</v>
      </c>
      <c r="F3007">
        <v>0.58982833763833997</v>
      </c>
      <c r="G3007">
        <v>0.313744867813809</v>
      </c>
      <c r="H3007">
        <v>0.24131920125897899</v>
      </c>
      <c r="I3007">
        <v>0.22574779536756301</v>
      </c>
      <c r="J3007">
        <v>0.212856202546641</v>
      </c>
      <c r="K3007">
        <v>0.16860859278088999</v>
      </c>
      <c r="L3007">
        <v>1927.8163455936001</v>
      </c>
      <c r="M3007">
        <v>36.333310817234903</v>
      </c>
      <c r="N3007">
        <v>53.901230066234</v>
      </c>
      <c r="O3007">
        <v>52.899239779907603</v>
      </c>
      <c r="P3007">
        <v>-0.13452583584410399</v>
      </c>
      <c r="Q3007">
        <v>0.216554526394095</v>
      </c>
      <c r="R3007">
        <v>0.98859805403092205</v>
      </c>
      <c r="S3007" t="s">
        <v>9318</v>
      </c>
      <c r="T3007" t="s">
        <v>12620</v>
      </c>
      <c r="U3007" t="s">
        <v>12620</v>
      </c>
      <c r="V3007" t="s">
        <v>12620</v>
      </c>
      <c r="W3007" t="s">
        <v>15582</v>
      </c>
      <c r="X3007">
        <v>10</v>
      </c>
      <c r="Y3007" t="s">
        <v>21743</v>
      </c>
      <c r="Z3007" t="s">
        <v>27954</v>
      </c>
      <c r="AA3007">
        <v>0.56107296689406561</v>
      </c>
      <c r="AB3007" t="str">
        <f>HYPERLINK("Melting_Curves/meltCurve_Q14004_CDK13.pdf", "Melting_Curves/meltCurve_Q14004_CDK13.pdf")</f>
        <v>Melting_Curves/meltCurve_Q14004_CDK13.pdf</v>
      </c>
    </row>
    <row r="3008" spans="1:28" x14ac:dyDescent="0.25">
      <c r="A3008" t="s">
        <v>3012</v>
      </c>
      <c r="B3008">
        <v>0.99987803227770999</v>
      </c>
      <c r="C3008">
        <v>1.0258165983599301</v>
      </c>
      <c r="D3008">
        <v>0.83909979593342798</v>
      </c>
      <c r="E3008">
        <v>0.51258550662478597</v>
      </c>
      <c r="F3008">
        <v>0.29468693675353602</v>
      </c>
      <c r="G3008">
        <v>0.16856056772223399</v>
      </c>
      <c r="H3008">
        <v>0.116188035400125</v>
      </c>
      <c r="I3008">
        <v>0.10067470741616801</v>
      </c>
      <c r="J3008">
        <v>7.6435178580244498E-2</v>
      </c>
      <c r="K3008">
        <v>5.4134788409893699E-2</v>
      </c>
      <c r="L3008">
        <v>994.552786807095</v>
      </c>
      <c r="M3008">
        <v>19.965911412653</v>
      </c>
      <c r="N3008">
        <v>50.251034278004802</v>
      </c>
      <c r="O3008">
        <v>49.320923874025297</v>
      </c>
      <c r="P3008">
        <v>-9.3116346579186604E-2</v>
      </c>
      <c r="Q3008">
        <v>7.9945255470360604E-2</v>
      </c>
      <c r="R3008">
        <v>0.99599673485051299</v>
      </c>
      <c r="S3008" t="s">
        <v>9319</v>
      </c>
      <c r="T3008" t="s">
        <v>12620</v>
      </c>
      <c r="U3008" t="s">
        <v>12620</v>
      </c>
      <c r="V3008" t="s">
        <v>12620</v>
      </c>
      <c r="W3008" t="s">
        <v>15583</v>
      </c>
      <c r="X3008">
        <v>62</v>
      </c>
      <c r="Y3008" t="s">
        <v>21744</v>
      </c>
      <c r="Z3008" t="s">
        <v>27955</v>
      </c>
      <c r="AA3008">
        <v>0.39374252501958718</v>
      </c>
      <c r="AB3008" t="str">
        <f>HYPERLINK("Melting_Curves/meltCurve_Q14008_CKAP5.pdf", "Melting_Curves/meltCurve_Q14008_CKAP5.pdf")</f>
        <v>Melting_Curves/meltCurve_Q14008_CKAP5.pdf</v>
      </c>
    </row>
    <row r="3009" spans="1:28" x14ac:dyDescent="0.25">
      <c r="A3009" t="s">
        <v>3013</v>
      </c>
      <c r="B3009">
        <v>0.99987803227770999</v>
      </c>
      <c r="C3009">
        <v>0.88207295680078601</v>
      </c>
      <c r="D3009">
        <v>1.0396493333471499</v>
      </c>
      <c r="E3009">
        <v>0.95137060602655699</v>
      </c>
      <c r="F3009">
        <v>1.0742779612212701</v>
      </c>
      <c r="G3009">
        <v>0.74805744708326505</v>
      </c>
      <c r="H3009">
        <v>0.78483889663281303</v>
      </c>
      <c r="I3009">
        <v>0.78397488121751602</v>
      </c>
      <c r="J3009">
        <v>0.74614588650485603</v>
      </c>
      <c r="K3009">
        <v>0.66849243700822703</v>
      </c>
      <c r="L3009">
        <v>13979.947780520301</v>
      </c>
      <c r="M3009">
        <v>250</v>
      </c>
      <c r="O3009">
        <v>55.916212894176702</v>
      </c>
      <c r="P3009">
        <v>-0.284062690704318</v>
      </c>
      <c r="Q3009">
        <v>0.74586064329559698</v>
      </c>
      <c r="R3009">
        <v>0.82001915214844201</v>
      </c>
      <c r="S3009" t="s">
        <v>9320</v>
      </c>
      <c r="T3009" t="s">
        <v>12620</v>
      </c>
      <c r="U3009" t="s">
        <v>12620</v>
      </c>
      <c r="V3009" t="s">
        <v>12620</v>
      </c>
      <c r="W3009" t="s">
        <v>15584</v>
      </c>
      <c r="X3009">
        <v>4</v>
      </c>
      <c r="Y3009" t="s">
        <v>21745</v>
      </c>
      <c r="Z3009" t="s">
        <v>27956</v>
      </c>
      <c r="AA3009">
        <v>0.88074709993720635</v>
      </c>
      <c r="AB3009" t="str">
        <f>HYPERLINK("Melting_Curves/meltCurve_Q14011_CIRBP.pdf", "Melting_Curves/meltCurve_Q14011_CIRBP.pdf")</f>
        <v>Melting_Curves/meltCurve_Q14011_CIRBP.pdf</v>
      </c>
    </row>
    <row r="3010" spans="1:28" x14ac:dyDescent="0.25">
      <c r="A3010" t="s">
        <v>3014</v>
      </c>
      <c r="B3010">
        <v>0.99987803227770999</v>
      </c>
      <c r="C3010">
        <v>1.3133165786657599</v>
      </c>
      <c r="D3010">
        <v>0.97879401966885604</v>
      </c>
      <c r="E3010">
        <v>0.730114411909489</v>
      </c>
      <c r="F3010">
        <v>0.38528793060411598</v>
      </c>
      <c r="G3010">
        <v>0.242553968175307</v>
      </c>
      <c r="H3010">
        <v>0.12208929686653</v>
      </c>
      <c r="I3010">
        <v>0.11628317710972599</v>
      </c>
      <c r="J3010">
        <v>8.1354183998623403E-2</v>
      </c>
      <c r="K3010">
        <v>6.5182287114396206E-2</v>
      </c>
      <c r="L3010">
        <v>1343.77031005254</v>
      </c>
      <c r="M3010">
        <v>25.995494860563198</v>
      </c>
      <c r="N3010">
        <v>52.1457088804855</v>
      </c>
      <c r="O3010">
        <v>51.3894369858983</v>
      </c>
      <c r="P3010">
        <v>-0.113675596337352</v>
      </c>
      <c r="Q3010">
        <v>0.10112769463133101</v>
      </c>
      <c r="R3010">
        <v>0.94376056345012604</v>
      </c>
      <c r="S3010" t="s">
        <v>9321</v>
      </c>
      <c r="T3010" t="s">
        <v>12620</v>
      </c>
      <c r="U3010" t="s">
        <v>12620</v>
      </c>
      <c r="V3010" t="s">
        <v>12620</v>
      </c>
      <c r="W3010" t="s">
        <v>15585</v>
      </c>
      <c r="X3010">
        <v>8</v>
      </c>
      <c r="Y3010" t="s">
        <v>21746</v>
      </c>
      <c r="Z3010" t="s">
        <v>27957</v>
      </c>
      <c r="AA3010">
        <v>0.45904321759332722</v>
      </c>
      <c r="AB3010" t="str">
        <f>HYPERLINK("Melting_Curves/meltCurve_Q14012_CAMK1.pdf", "Melting_Curves/meltCurve_Q14012_CAMK1.pdf")</f>
        <v>Melting_Curves/meltCurve_Q14012_CAMK1.pdf</v>
      </c>
    </row>
    <row r="3011" spans="1:28" x14ac:dyDescent="0.25">
      <c r="A3011" t="s">
        <v>3015</v>
      </c>
      <c r="B3011">
        <v>0.99987803227770999</v>
      </c>
      <c r="C3011">
        <v>0.80133902761370401</v>
      </c>
      <c r="D3011">
        <v>0.98063062772711296</v>
      </c>
      <c r="E3011">
        <v>0.84048328048880205</v>
      </c>
      <c r="F3011">
        <v>1.1823191189720199</v>
      </c>
      <c r="G3011">
        <v>0.90905028517071795</v>
      </c>
      <c r="H3011">
        <v>0.60927783570738803</v>
      </c>
      <c r="I3011">
        <v>0.30759089277722101</v>
      </c>
      <c r="J3011">
        <v>0.128727473635393</v>
      </c>
      <c r="K3011">
        <v>8.1826023165214395E-2</v>
      </c>
      <c r="L3011">
        <v>1879.8214425016899</v>
      </c>
      <c r="M3011">
        <v>30.446477197987299</v>
      </c>
      <c r="N3011">
        <v>61.984271005292101</v>
      </c>
      <c r="O3011">
        <v>61.4773186224445</v>
      </c>
      <c r="P3011">
        <v>-0.116862772607292</v>
      </c>
      <c r="Q3011">
        <v>5.6131754239320202E-2</v>
      </c>
      <c r="R3011">
        <v>0.92462784414004195</v>
      </c>
      <c r="S3011" t="s">
        <v>9322</v>
      </c>
      <c r="T3011" t="s">
        <v>12620</v>
      </c>
      <c r="U3011" t="s">
        <v>12620</v>
      </c>
      <c r="V3011" t="s">
        <v>12620</v>
      </c>
      <c r="W3011" t="s">
        <v>15586</v>
      </c>
      <c r="X3011">
        <v>19</v>
      </c>
      <c r="Y3011" t="s">
        <v>21747</v>
      </c>
      <c r="Z3011" t="s">
        <v>27958</v>
      </c>
      <c r="AA3011">
        <v>0.74476207479530665</v>
      </c>
      <c r="AB3011" t="str">
        <f>HYPERLINK("Melting_Curves/meltCurve_Q14019_COTL1.pdf", "Melting_Curves/meltCurve_Q14019_COTL1.pdf")</f>
        <v>Melting_Curves/meltCurve_Q14019_COTL1.pdf</v>
      </c>
    </row>
    <row r="3012" spans="1:28" x14ac:dyDescent="0.25">
      <c r="A3012" t="s">
        <v>3016</v>
      </c>
      <c r="B3012">
        <v>0.99987803227770999</v>
      </c>
      <c r="C3012">
        <v>0.90458622060730398</v>
      </c>
      <c r="D3012">
        <v>1.04086271312798</v>
      </c>
      <c r="E3012">
        <v>0.61076427800913902</v>
      </c>
      <c r="F3012">
        <v>0.26862458136741002</v>
      </c>
      <c r="G3012">
        <v>0.14696402052427901</v>
      </c>
      <c r="H3012">
        <v>9.1868638594968605E-2</v>
      </c>
      <c r="I3012">
        <v>6.7073584052012095E-2</v>
      </c>
      <c r="J3012">
        <v>4.7966774549038797E-2</v>
      </c>
      <c r="K3012">
        <v>3.7543811869400603E-2</v>
      </c>
      <c r="L3012">
        <v>1545.16654686732</v>
      </c>
      <c r="M3012">
        <v>30.479345750993001</v>
      </c>
      <c r="N3012">
        <v>50.9465772423857</v>
      </c>
      <c r="O3012">
        <v>50.478817601339202</v>
      </c>
      <c r="P3012">
        <v>-0.140426582528412</v>
      </c>
      <c r="Q3012">
        <v>6.97277972717157E-2</v>
      </c>
      <c r="R3012">
        <v>0.98795045250606905</v>
      </c>
      <c r="S3012" t="s">
        <v>9323</v>
      </c>
      <c r="T3012" t="s">
        <v>12620</v>
      </c>
      <c r="U3012" t="s">
        <v>12620</v>
      </c>
      <c r="V3012" t="s">
        <v>12620</v>
      </c>
      <c r="W3012" t="s">
        <v>15587</v>
      </c>
      <c r="X3012">
        <v>7</v>
      </c>
      <c r="Y3012" t="s">
        <v>21748</v>
      </c>
      <c r="Z3012" t="s">
        <v>27959</v>
      </c>
      <c r="AA3012">
        <v>0.4070235720153707</v>
      </c>
      <c r="AB3012" t="str">
        <f>HYPERLINK("Melting_Curves/meltCurve_Q14032_BAAT.pdf", "Melting_Curves/meltCurve_Q14032_BAAT.pdf")</f>
        <v>Melting_Curves/meltCurve_Q14032_BAAT.pdf</v>
      </c>
    </row>
    <row r="3013" spans="1:28" x14ac:dyDescent="0.25">
      <c r="A3013" t="s">
        <v>3017</v>
      </c>
      <c r="B3013">
        <v>0.99987803227770999</v>
      </c>
      <c r="C3013">
        <v>0.735279399839329</v>
      </c>
      <c r="D3013">
        <v>0.93590630482047499</v>
      </c>
      <c r="E3013">
        <v>0.75664661688575996</v>
      </c>
      <c r="F3013">
        <v>1.1086701596440001</v>
      </c>
      <c r="G3013">
        <v>0.97010351386378602</v>
      </c>
      <c r="H3013">
        <v>1.0088550809044301</v>
      </c>
      <c r="I3013">
        <v>0.98159857386954996</v>
      </c>
      <c r="J3013">
        <v>1.1691365939132099</v>
      </c>
      <c r="K3013">
        <v>0.898971934007184</v>
      </c>
      <c r="L3013">
        <v>15000</v>
      </c>
      <c r="M3013">
        <v>212.09970394621899</v>
      </c>
      <c r="Q3013">
        <v>0</v>
      </c>
      <c r="R3013">
        <v>-5.2363479040587801E-2</v>
      </c>
      <c r="S3013" t="s">
        <v>9324</v>
      </c>
      <c r="T3013" t="s">
        <v>12620</v>
      </c>
      <c r="U3013" t="s">
        <v>12620</v>
      </c>
      <c r="V3013" t="s">
        <v>12620</v>
      </c>
      <c r="W3013" t="s">
        <v>15588</v>
      </c>
      <c r="X3013">
        <v>7</v>
      </c>
      <c r="Y3013" t="s">
        <v>21749</v>
      </c>
      <c r="Z3013" t="s">
        <v>27960</v>
      </c>
      <c r="AA3013">
        <v>0.99885142719879849</v>
      </c>
      <c r="AB3013" t="str">
        <f>HYPERLINK("Melting_Curves/meltCurve_Q14061_COX17.pdf", "Melting_Curves/meltCurve_Q14061_COX17.pdf")</f>
        <v>Melting_Curves/meltCurve_Q14061_COX17.pdf</v>
      </c>
    </row>
    <row r="3014" spans="1:28" x14ac:dyDescent="0.25">
      <c r="A3014" t="s">
        <v>3018</v>
      </c>
      <c r="B3014">
        <v>0.99987803227770999</v>
      </c>
      <c r="C3014">
        <v>0.96478427241682696</v>
      </c>
      <c r="D3014">
        <v>1.1571908629816601</v>
      </c>
      <c r="E3014">
        <v>1.1273127243463399</v>
      </c>
      <c r="F3014">
        <v>1.25868168541343</v>
      </c>
      <c r="G3014">
        <v>1.0726338573545</v>
      </c>
      <c r="H3014">
        <v>1.0787635435168801</v>
      </c>
      <c r="I3014">
        <v>0.77134404599191098</v>
      </c>
      <c r="J3014">
        <v>0.71057496707043499</v>
      </c>
      <c r="K3014">
        <v>0.53097757073966001</v>
      </c>
      <c r="L3014">
        <v>2542.1224509074</v>
      </c>
      <c r="M3014">
        <v>38.994790445847798</v>
      </c>
      <c r="O3014">
        <v>65.020592979406103</v>
      </c>
      <c r="P3014">
        <v>-7.0556253739997798E-2</v>
      </c>
      <c r="Q3014">
        <v>0.52941416418556997</v>
      </c>
      <c r="R3014">
        <v>0.706941065136796</v>
      </c>
      <c r="S3014" t="s">
        <v>9325</v>
      </c>
      <c r="T3014" t="s">
        <v>12620</v>
      </c>
      <c r="U3014" t="s">
        <v>12620</v>
      </c>
      <c r="V3014" t="s">
        <v>12620</v>
      </c>
      <c r="W3014" t="s">
        <v>15589</v>
      </c>
      <c r="X3014">
        <v>17</v>
      </c>
      <c r="Y3014" t="s">
        <v>21750</v>
      </c>
      <c r="Z3014" t="s">
        <v>27961</v>
      </c>
      <c r="AA3014">
        <v>0.92467287017391064</v>
      </c>
      <c r="AB3014" t="str">
        <f>HYPERLINK("Melting_Curves/meltCurve_Q14103_3_HNRNPD.pdf", "Melting_Curves/meltCurve_Q14103_3_HNRNPD.pdf")</f>
        <v>Melting_Curves/meltCurve_Q14103_3_HNRNPD.pdf</v>
      </c>
    </row>
    <row r="3015" spans="1:28" x14ac:dyDescent="0.25">
      <c r="A3015" t="s">
        <v>3019</v>
      </c>
      <c r="B3015">
        <v>0.99987803227770999</v>
      </c>
      <c r="C3015">
        <v>0.80698431739672905</v>
      </c>
      <c r="D3015">
        <v>0.99711883375541799</v>
      </c>
      <c r="E3015">
        <v>0.83668892897998504</v>
      </c>
      <c r="F3015">
        <v>1.08322157093104</v>
      </c>
      <c r="G3015">
        <v>0.82426446923491903</v>
      </c>
      <c r="H3015">
        <v>0.78269961791183695</v>
      </c>
      <c r="I3015">
        <v>0.513338271615701</v>
      </c>
      <c r="J3015">
        <v>0.26682934310439399</v>
      </c>
      <c r="K3015">
        <v>0.128129053334226</v>
      </c>
      <c r="L3015">
        <v>1340.7531147332099</v>
      </c>
      <c r="M3015">
        <v>20.9407670438381</v>
      </c>
      <c r="N3015">
        <v>64.025979399457398</v>
      </c>
      <c r="O3015">
        <v>63.450666389651502</v>
      </c>
      <c r="P3015">
        <v>-8.2510286309285502E-2</v>
      </c>
      <c r="Q3015">
        <v>0</v>
      </c>
      <c r="R3015">
        <v>0.90678633440833101</v>
      </c>
      <c r="S3015" t="s">
        <v>9326</v>
      </c>
      <c r="T3015" t="s">
        <v>12620</v>
      </c>
      <c r="U3015" t="s">
        <v>12620</v>
      </c>
      <c r="V3015" t="s">
        <v>12620</v>
      </c>
      <c r="W3015" t="s">
        <v>15590</v>
      </c>
      <c r="X3015">
        <v>14</v>
      </c>
      <c r="Y3015" t="s">
        <v>21751</v>
      </c>
      <c r="Z3015" t="s">
        <v>27962</v>
      </c>
      <c r="AA3015">
        <v>0.79609428141676397</v>
      </c>
      <c r="AB3015" t="str">
        <f>HYPERLINK("Melting_Curves/meltCurve_Q14116_2_IL18.pdf", "Melting_Curves/meltCurve_Q14116_2_IL18.pdf")</f>
        <v>Melting_Curves/meltCurve_Q14116_2_IL18.pdf</v>
      </c>
    </row>
    <row r="3016" spans="1:28" x14ac:dyDescent="0.25">
      <c r="A3016" t="s">
        <v>3020</v>
      </c>
      <c r="B3016">
        <v>0.99987803227770999</v>
      </c>
      <c r="C3016">
        <v>0.89721294585718403</v>
      </c>
      <c r="D3016">
        <v>0.97296149363102602</v>
      </c>
      <c r="E3016">
        <v>0.76587517369573899</v>
      </c>
      <c r="F3016">
        <v>0.65305996659199905</v>
      </c>
      <c r="G3016">
        <v>0.68173650804979902</v>
      </c>
      <c r="H3016">
        <v>0.71899695529345697</v>
      </c>
      <c r="I3016">
        <v>0.59578408117296999</v>
      </c>
      <c r="J3016">
        <v>0.56184674122336198</v>
      </c>
      <c r="K3016">
        <v>0.48033924846328502</v>
      </c>
      <c r="L3016">
        <v>408.51129191302198</v>
      </c>
      <c r="M3016">
        <v>7.5902498475589999</v>
      </c>
      <c r="O3016">
        <v>50.465690637012401</v>
      </c>
      <c r="P3016">
        <v>-2.0364800473057301E-2</v>
      </c>
      <c r="Q3016">
        <v>0.45914188051889498</v>
      </c>
      <c r="R3016">
        <v>0.87441971066799395</v>
      </c>
      <c r="S3016" t="s">
        <v>9327</v>
      </c>
      <c r="T3016" t="s">
        <v>12620</v>
      </c>
      <c r="U3016" t="s">
        <v>12620</v>
      </c>
      <c r="V3016" t="s">
        <v>12620</v>
      </c>
      <c r="W3016" t="s">
        <v>15591</v>
      </c>
      <c r="X3016">
        <v>5</v>
      </c>
      <c r="Y3016" t="s">
        <v>21752</v>
      </c>
      <c r="Z3016" t="s">
        <v>27963</v>
      </c>
      <c r="AA3016">
        <v>0.72785526764842223</v>
      </c>
      <c r="AB3016" t="str">
        <f>HYPERLINK("Melting_Curves/meltCurve_Q14118_DAG1.pdf", "Melting_Curves/meltCurve_Q14118_DAG1.pdf")</f>
        <v>Melting_Curves/meltCurve_Q14118_DAG1.pdf</v>
      </c>
    </row>
    <row r="3017" spans="1:28" x14ac:dyDescent="0.25">
      <c r="A3017" t="s">
        <v>3021</v>
      </c>
      <c r="B3017">
        <v>0.99987803227770999</v>
      </c>
      <c r="C3017">
        <v>1.0819369104055101</v>
      </c>
      <c r="D3017">
        <v>0.80641006869509801</v>
      </c>
      <c r="E3017">
        <v>0.67563997113898</v>
      </c>
      <c r="F3017">
        <v>0.35486919569867698</v>
      </c>
      <c r="G3017">
        <v>0.24920236117778199</v>
      </c>
      <c r="H3017">
        <v>0.17096751474396399</v>
      </c>
      <c r="I3017">
        <v>0.14764905252435201</v>
      </c>
      <c r="J3017">
        <v>0.14455957760163199</v>
      </c>
      <c r="K3017">
        <v>0.11072815080925801</v>
      </c>
      <c r="L3017">
        <v>944.48737178753004</v>
      </c>
      <c r="M3017">
        <v>18.611768028655199</v>
      </c>
      <c r="N3017">
        <v>51.559216532286896</v>
      </c>
      <c r="O3017">
        <v>50.171823471989597</v>
      </c>
      <c r="P3017">
        <v>-8.0957386493456004E-2</v>
      </c>
      <c r="Q3017">
        <v>0.127089044883306</v>
      </c>
      <c r="R3017">
        <v>0.98109481498308404</v>
      </c>
      <c r="S3017" t="s">
        <v>9328</v>
      </c>
      <c r="T3017" t="s">
        <v>12620</v>
      </c>
      <c r="U3017" t="s">
        <v>12620</v>
      </c>
      <c r="V3017" t="s">
        <v>12620</v>
      </c>
      <c r="W3017" t="s">
        <v>15592</v>
      </c>
      <c r="X3017">
        <v>8</v>
      </c>
      <c r="Y3017" t="s">
        <v>21753</v>
      </c>
      <c r="Z3017" t="s">
        <v>27964</v>
      </c>
      <c r="AA3017">
        <v>0.45366065039389769</v>
      </c>
      <c r="AB3017" t="str">
        <f>HYPERLINK("Melting_Curves/meltCurve_Q14123_PDE1C.pdf", "Melting_Curves/meltCurve_Q14123_PDE1C.pdf")</f>
        <v>Melting_Curves/meltCurve_Q14123_PDE1C.pdf</v>
      </c>
    </row>
    <row r="3018" spans="1:28" x14ac:dyDescent="0.25">
      <c r="A3018" t="s">
        <v>3022</v>
      </c>
      <c r="B3018">
        <v>0.99987803227770999</v>
      </c>
      <c r="C3018">
        <v>0.85789753128890101</v>
      </c>
      <c r="D3018">
        <v>1.0179116272778099</v>
      </c>
      <c r="E3018">
        <v>0.87554542253783196</v>
      </c>
      <c r="F3018">
        <v>1.0369792185397599</v>
      </c>
      <c r="G3018">
        <v>0.87913683604910398</v>
      </c>
      <c r="H3018">
        <v>1.0505154257823099</v>
      </c>
      <c r="I3018">
        <v>0.95613487496379002</v>
      </c>
      <c r="J3018">
        <v>1.00329807285623</v>
      </c>
      <c r="K3018">
        <v>0.88984586851766401</v>
      </c>
      <c r="L3018">
        <v>10212.284438123999</v>
      </c>
      <c r="M3018">
        <v>250</v>
      </c>
      <c r="O3018">
        <v>40.8465236904986</v>
      </c>
      <c r="P3018">
        <v>-7.3570496179045305E-2</v>
      </c>
      <c r="Q3018">
        <v>0.95191841582874803</v>
      </c>
      <c r="R3018">
        <v>4.1515144926985798E-2</v>
      </c>
      <c r="S3018" t="s">
        <v>9329</v>
      </c>
      <c r="T3018" t="s">
        <v>12620</v>
      </c>
      <c r="U3018" t="s">
        <v>12620</v>
      </c>
      <c r="V3018" t="s">
        <v>12620</v>
      </c>
      <c r="W3018" t="s">
        <v>15593</v>
      </c>
      <c r="X3018">
        <v>17</v>
      </c>
      <c r="Y3018" t="s">
        <v>21754</v>
      </c>
      <c r="Z3018" t="s">
        <v>27965</v>
      </c>
      <c r="AA3018">
        <v>0.95328402422118752</v>
      </c>
      <c r="AB3018" t="str">
        <f>HYPERLINK("Melting_Curves/meltCurve_Q14126_DSG2.pdf", "Melting_Curves/meltCurve_Q14126_DSG2.pdf")</f>
        <v>Melting_Curves/meltCurve_Q14126_DSG2.pdf</v>
      </c>
    </row>
    <row r="3019" spans="1:28" x14ac:dyDescent="0.25">
      <c r="A3019" t="s">
        <v>3023</v>
      </c>
      <c r="B3019">
        <v>0.99987803227770999</v>
      </c>
      <c r="C3019">
        <v>1.08510619990945</v>
      </c>
      <c r="D3019">
        <v>0.89961360900769605</v>
      </c>
      <c r="E3019">
        <v>0.67821360654666996</v>
      </c>
      <c r="F3019">
        <v>0.530464051781941</v>
      </c>
      <c r="G3019">
        <v>0.36351893556478998</v>
      </c>
      <c r="H3019">
        <v>0.268937637813982</v>
      </c>
      <c r="I3019">
        <v>0.25941560423346499</v>
      </c>
      <c r="J3019">
        <v>0.262632373259369</v>
      </c>
      <c r="K3019">
        <v>0.21380197848170801</v>
      </c>
      <c r="L3019">
        <v>908.64998707101802</v>
      </c>
      <c r="M3019">
        <v>17.687171329619201</v>
      </c>
      <c r="N3019">
        <v>53.265587624837103</v>
      </c>
      <c r="O3019">
        <v>50.7301823223751</v>
      </c>
      <c r="P3019">
        <v>-6.6835276268717603E-2</v>
      </c>
      <c r="Q3019">
        <v>0.233255236521279</v>
      </c>
      <c r="R3019">
        <v>0.98600338161607004</v>
      </c>
      <c r="S3019" t="s">
        <v>9330</v>
      </c>
      <c r="T3019" t="s">
        <v>12620</v>
      </c>
      <c r="U3019" t="s">
        <v>12620</v>
      </c>
      <c r="V3019" t="s">
        <v>12620</v>
      </c>
      <c r="W3019" t="s">
        <v>15594</v>
      </c>
      <c r="X3019">
        <v>13</v>
      </c>
      <c r="Y3019" t="s">
        <v>21755</v>
      </c>
      <c r="Z3019" t="s">
        <v>27966</v>
      </c>
      <c r="AA3019">
        <v>0.53720366684899357</v>
      </c>
      <c r="AB3019" t="str">
        <f>HYPERLINK("Melting_Curves/meltCurve_Q14137_BOP1.pdf", "Melting_Curves/meltCurve_Q14137_BOP1.pdf")</f>
        <v>Melting_Curves/meltCurve_Q14137_BOP1.pdf</v>
      </c>
    </row>
    <row r="3020" spans="1:28" x14ac:dyDescent="0.25">
      <c r="A3020" t="s">
        <v>3024</v>
      </c>
      <c r="B3020">
        <v>0.99987803227770999</v>
      </c>
      <c r="C3020">
        <v>1.3861900610000399</v>
      </c>
      <c r="D3020">
        <v>1.03954532147487</v>
      </c>
      <c r="E3020">
        <v>0.88709922014637399</v>
      </c>
      <c r="F3020">
        <v>0.33721742567070301</v>
      </c>
      <c r="G3020">
        <v>0.30723571376930098</v>
      </c>
      <c r="H3020">
        <v>0.21619811593813401</v>
      </c>
      <c r="I3020">
        <v>0.16395196683684499</v>
      </c>
      <c r="J3020">
        <v>0.11130360563568099</v>
      </c>
      <c r="K3020">
        <v>7.2751425427901306E-2</v>
      </c>
      <c r="L3020">
        <v>2707.0464473073298</v>
      </c>
      <c r="M3020">
        <v>52.371902841081003</v>
      </c>
      <c r="N3020">
        <v>52.105712985159698</v>
      </c>
      <c r="O3020">
        <v>51.6137110734469</v>
      </c>
      <c r="P3020">
        <v>-0.21026254121177301</v>
      </c>
      <c r="Q3020">
        <v>0.17112638854319201</v>
      </c>
      <c r="R3020">
        <v>0.91018043518925495</v>
      </c>
      <c r="S3020" t="s">
        <v>9331</v>
      </c>
      <c r="T3020" t="s">
        <v>12620</v>
      </c>
      <c r="U3020" t="s">
        <v>12620</v>
      </c>
      <c r="V3020" t="s">
        <v>12620</v>
      </c>
      <c r="W3020" t="s">
        <v>15595</v>
      </c>
      <c r="X3020">
        <v>4</v>
      </c>
      <c r="Y3020" t="s">
        <v>21756</v>
      </c>
      <c r="Z3020" t="s">
        <v>27967</v>
      </c>
      <c r="AA3020">
        <v>0.49580225391930549</v>
      </c>
      <c r="AB3020" t="str">
        <f>HYPERLINK("Melting_Curves/meltCurve_Q14139_UBE4A.pdf", "Melting_Curves/meltCurve_Q14139_UBE4A.pdf")</f>
        <v>Melting_Curves/meltCurve_Q14139_UBE4A.pdf</v>
      </c>
    </row>
    <row r="3021" spans="1:28" x14ac:dyDescent="0.25">
      <c r="A3021" t="s">
        <v>3025</v>
      </c>
      <c r="B3021">
        <v>0.99987803227770999</v>
      </c>
      <c r="C3021">
        <v>1.1140064385321899</v>
      </c>
      <c r="D3021">
        <v>0.99964996427431096</v>
      </c>
      <c r="E3021">
        <v>1.3928079976662</v>
      </c>
      <c r="F3021">
        <v>1.19445643990543</v>
      </c>
      <c r="G3021">
        <v>1.2838904621303699</v>
      </c>
      <c r="H3021">
        <v>1.1241439714561701</v>
      </c>
      <c r="I3021">
        <v>0.70672976256937803</v>
      </c>
      <c r="J3021">
        <v>0.195090402775179</v>
      </c>
      <c r="K3021">
        <v>0.118479972731821</v>
      </c>
      <c r="L3021">
        <v>5886.6185296785598</v>
      </c>
      <c r="M3021">
        <v>91.288229507535405</v>
      </c>
      <c r="N3021">
        <v>64.720350327865603</v>
      </c>
      <c r="O3021">
        <v>64.452956853278295</v>
      </c>
      <c r="P3021">
        <v>-0.30387366846824998</v>
      </c>
      <c r="Q3021">
        <v>0.14181481674920701</v>
      </c>
      <c r="R3021">
        <v>0.82513713908783204</v>
      </c>
      <c r="S3021" t="s">
        <v>9332</v>
      </c>
      <c r="T3021" t="s">
        <v>12620</v>
      </c>
      <c r="U3021" t="s">
        <v>12620</v>
      </c>
      <c r="V3021" t="s">
        <v>12620</v>
      </c>
      <c r="W3021" t="s">
        <v>15596</v>
      </c>
      <c r="X3021">
        <v>15</v>
      </c>
      <c r="Y3021" t="s">
        <v>21757</v>
      </c>
      <c r="Z3021" t="s">
        <v>27968</v>
      </c>
      <c r="AA3021">
        <v>0.84291579903764768</v>
      </c>
      <c r="AB3021" t="str">
        <f>HYPERLINK("Melting_Curves/meltCurve_Q14141_2_SEPT6.pdf", "Melting_Curves/meltCurve_Q14141_2_SEPT6.pdf")</f>
        <v>Melting_Curves/meltCurve_Q14141_2_SEPT6.pdf</v>
      </c>
    </row>
    <row r="3022" spans="1:28" x14ac:dyDescent="0.25">
      <c r="A3022" t="s">
        <v>3026</v>
      </c>
      <c r="B3022">
        <v>0.99987803227770999</v>
      </c>
      <c r="C3022">
        <v>1.4101342112678299</v>
      </c>
      <c r="D3022">
        <v>1.21527755304379</v>
      </c>
      <c r="E3022">
        <v>1.4167807502641601</v>
      </c>
      <c r="F3022">
        <v>1.1308786219532501</v>
      </c>
      <c r="G3022">
        <v>0.30009956750088301</v>
      </c>
      <c r="H3022">
        <v>0.188749147034528</v>
      </c>
      <c r="I3022">
        <v>0.18352199796398699</v>
      </c>
      <c r="J3022">
        <v>0.15909010162385701</v>
      </c>
      <c r="K3022">
        <v>0.13486724252945601</v>
      </c>
      <c r="L3022">
        <v>14155.578459193999</v>
      </c>
      <c r="M3022">
        <v>250</v>
      </c>
      <c r="N3022">
        <v>56.714216952566403</v>
      </c>
      <c r="O3022">
        <v>56.618712272928398</v>
      </c>
      <c r="P3022">
        <v>-0.920017402714434</v>
      </c>
      <c r="Q3022">
        <v>0.166557111473595</v>
      </c>
      <c r="R3022">
        <v>0.85747354289077904</v>
      </c>
      <c r="S3022" t="s">
        <v>9333</v>
      </c>
      <c r="T3022" t="s">
        <v>12620</v>
      </c>
      <c r="U3022" t="s">
        <v>12620</v>
      </c>
      <c r="V3022" t="s">
        <v>12620</v>
      </c>
      <c r="W3022" t="s">
        <v>15597</v>
      </c>
      <c r="X3022">
        <v>1</v>
      </c>
      <c r="Y3022" t="s">
        <v>21758</v>
      </c>
      <c r="Z3022" t="s">
        <v>27969</v>
      </c>
      <c r="AA3022">
        <v>0.62843157369702263</v>
      </c>
      <c r="AB3022" t="str">
        <f>HYPERLINK("Melting_Curves/meltCurve_Q14146_URB2.pdf", "Melting_Curves/meltCurve_Q14146_URB2.pdf")</f>
        <v>Melting_Curves/meltCurve_Q14146_URB2.pdf</v>
      </c>
    </row>
    <row r="3023" spans="1:28" x14ac:dyDescent="0.25">
      <c r="A3023" t="s">
        <v>3027</v>
      </c>
      <c r="B3023">
        <v>0.99987803227770999</v>
      </c>
      <c r="C3023">
        <v>0.96389682484906802</v>
      </c>
      <c r="D3023">
        <v>0.83711085372867899</v>
      </c>
      <c r="E3023">
        <v>0.40688772692993003</v>
      </c>
      <c r="F3023">
        <v>0.25204646949694498</v>
      </c>
      <c r="G3023">
        <v>0.24038154326677599</v>
      </c>
      <c r="H3023">
        <v>0.10865635968979601</v>
      </c>
      <c r="I3023">
        <v>6.1629673987319798E-2</v>
      </c>
      <c r="J3023">
        <v>4.3163297823795903E-2</v>
      </c>
      <c r="K3023">
        <v>4.0605148181437997E-2</v>
      </c>
      <c r="L3023">
        <v>942.71875686253895</v>
      </c>
      <c r="M3023">
        <v>19.187729166550199</v>
      </c>
      <c r="N3023">
        <v>49.533418873591202</v>
      </c>
      <c r="O3023">
        <v>48.607015648233698</v>
      </c>
      <c r="P3023">
        <v>-9.1574648065408396E-2</v>
      </c>
      <c r="Q3023">
        <v>7.2115441071734204E-2</v>
      </c>
      <c r="R3023">
        <v>0.98620635328406103</v>
      </c>
      <c r="S3023" t="s">
        <v>9334</v>
      </c>
      <c r="T3023" t="s">
        <v>12620</v>
      </c>
      <c r="U3023" t="s">
        <v>12620</v>
      </c>
      <c r="V3023" t="s">
        <v>12620</v>
      </c>
      <c r="W3023" t="s">
        <v>15598</v>
      </c>
      <c r="X3023">
        <v>4</v>
      </c>
      <c r="Y3023" t="s">
        <v>21759</v>
      </c>
      <c r="Z3023" t="s">
        <v>27970</v>
      </c>
      <c r="AA3023">
        <v>0.36865674511152169</v>
      </c>
      <c r="AB3023" t="str">
        <f>HYPERLINK("Melting_Curves/meltCurve_Q14147_DHX34.pdf", "Melting_Curves/meltCurve_Q14147_DHX34.pdf")</f>
        <v>Melting_Curves/meltCurve_Q14147_DHX34.pdf</v>
      </c>
    </row>
    <row r="3024" spans="1:28" x14ac:dyDescent="0.25">
      <c r="A3024" t="s">
        <v>3028</v>
      </c>
      <c r="B3024">
        <v>0.99987803227770999</v>
      </c>
      <c r="C3024">
        <v>1.01651092518889</v>
      </c>
      <c r="D3024">
        <v>0.89218553715155802</v>
      </c>
      <c r="E3024">
        <v>0.75261210508041099</v>
      </c>
      <c r="F3024">
        <v>0.76887847760021</v>
      </c>
      <c r="G3024">
        <v>0.69993894888931796</v>
      </c>
      <c r="H3024">
        <v>0.72671024515151605</v>
      </c>
      <c r="I3024">
        <v>0.70040252358848398</v>
      </c>
      <c r="J3024">
        <v>0.65741731173168905</v>
      </c>
      <c r="K3024">
        <v>0.53172040605668702</v>
      </c>
      <c r="L3024">
        <v>553.109484740639</v>
      </c>
      <c r="M3024">
        <v>10.9556525700708</v>
      </c>
      <c r="O3024">
        <v>48.891569679560298</v>
      </c>
      <c r="P3024">
        <v>-2.15489793805595E-2</v>
      </c>
      <c r="Q3024">
        <v>0.61546699050109299</v>
      </c>
      <c r="R3024">
        <v>0.87676269197006595</v>
      </c>
      <c r="S3024" t="s">
        <v>9335</v>
      </c>
      <c r="T3024" t="s">
        <v>12620</v>
      </c>
      <c r="U3024" t="s">
        <v>12620</v>
      </c>
      <c r="V3024" t="s">
        <v>12620</v>
      </c>
      <c r="W3024" t="s">
        <v>15599</v>
      </c>
      <c r="X3024">
        <v>11</v>
      </c>
      <c r="Y3024" t="s">
        <v>21760</v>
      </c>
      <c r="Z3024" t="s">
        <v>27971</v>
      </c>
      <c r="AA3024">
        <v>0.76463938229386208</v>
      </c>
      <c r="AB3024" t="str">
        <f>HYPERLINK("Melting_Curves/meltCurve_Q14149_MORC3.pdf", "Melting_Curves/meltCurve_Q14149_MORC3.pdf")</f>
        <v>Melting_Curves/meltCurve_Q14149_MORC3.pdf</v>
      </c>
    </row>
    <row r="3025" spans="1:28" x14ac:dyDescent="0.25">
      <c r="A3025" t="s">
        <v>3029</v>
      </c>
      <c r="B3025">
        <v>0.99987803227770999</v>
      </c>
      <c r="C3025">
        <v>0.90430941348070704</v>
      </c>
      <c r="D3025">
        <v>1.0224892554721601</v>
      </c>
      <c r="E3025">
        <v>0.96074025655976403</v>
      </c>
      <c r="F3025">
        <v>1.1573570734807599</v>
      </c>
      <c r="G3025">
        <v>1.0023648863154599</v>
      </c>
      <c r="H3025">
        <v>1.10312807623336</v>
      </c>
      <c r="I3025">
        <v>1.17534533797728</v>
      </c>
      <c r="J3025">
        <v>1.04146982468869</v>
      </c>
      <c r="K3025">
        <v>0.85132806509104098</v>
      </c>
      <c r="L3025">
        <v>15000</v>
      </c>
      <c r="M3025">
        <v>212.54062803844499</v>
      </c>
      <c r="Q3025">
        <v>0</v>
      </c>
      <c r="R3025">
        <v>0.179784128062104</v>
      </c>
      <c r="S3025" t="s">
        <v>9336</v>
      </c>
      <c r="T3025" t="s">
        <v>12620</v>
      </c>
      <c r="U3025" t="s">
        <v>12620</v>
      </c>
      <c r="V3025" t="s">
        <v>12620</v>
      </c>
      <c r="W3025" t="s">
        <v>15600</v>
      </c>
      <c r="X3025">
        <v>13</v>
      </c>
      <c r="Y3025" t="s">
        <v>19681</v>
      </c>
      <c r="Z3025" t="s">
        <v>27972</v>
      </c>
      <c r="AA3025">
        <v>0.99826418787688442</v>
      </c>
      <c r="AB3025" t="str">
        <f>HYPERLINK("Melting_Curves/meltCurve_Q14151_SAFB2.pdf", "Melting_Curves/meltCurve_Q14151_SAFB2.pdf")</f>
        <v>Melting_Curves/meltCurve_Q14151_SAFB2.pdf</v>
      </c>
    </row>
    <row r="3026" spans="1:28" x14ac:dyDescent="0.25">
      <c r="A3026" t="s">
        <v>3030</v>
      </c>
      <c r="B3026">
        <v>0.99987803227770999</v>
      </c>
      <c r="C3026">
        <v>0.784659532217445</v>
      </c>
      <c r="D3026">
        <v>0.78097806508860301</v>
      </c>
      <c r="E3026">
        <v>0.58876585467727305</v>
      </c>
      <c r="F3026">
        <v>0.45433684368000099</v>
      </c>
      <c r="G3026">
        <v>0.29661851929824301</v>
      </c>
      <c r="H3026">
        <v>0.28785229217082797</v>
      </c>
      <c r="I3026">
        <v>0.26983714022244698</v>
      </c>
      <c r="J3026">
        <v>0.29669936781165202</v>
      </c>
      <c r="K3026">
        <v>0.23134218676637799</v>
      </c>
      <c r="L3026">
        <v>568.29404939574601</v>
      </c>
      <c r="M3026">
        <v>11.6114763420728</v>
      </c>
      <c r="N3026">
        <v>51.538872880916102</v>
      </c>
      <c r="O3026">
        <v>47.558372885856599</v>
      </c>
      <c r="P3026">
        <v>-4.7534983102819402E-2</v>
      </c>
      <c r="Q3026">
        <v>0.22143660398461401</v>
      </c>
      <c r="R3026">
        <v>0.97463482965435799</v>
      </c>
      <c r="S3026" t="s">
        <v>9337</v>
      </c>
      <c r="T3026" t="s">
        <v>12620</v>
      </c>
      <c r="U3026" t="s">
        <v>12620</v>
      </c>
      <c r="V3026" t="s">
        <v>12620</v>
      </c>
      <c r="W3026" t="s">
        <v>15601</v>
      </c>
      <c r="X3026">
        <v>84</v>
      </c>
      <c r="Y3026" t="s">
        <v>21761</v>
      </c>
      <c r="Z3026" t="s">
        <v>27973</v>
      </c>
      <c r="AA3026">
        <v>0.48382919649012679</v>
      </c>
      <c r="AB3026" t="str">
        <f>HYPERLINK("Melting_Curves/meltCurve_Q14152_EIF3A.pdf", "Melting_Curves/meltCurve_Q14152_EIF3A.pdf")</f>
        <v>Melting_Curves/meltCurve_Q14152_EIF3A.pdf</v>
      </c>
    </row>
    <row r="3027" spans="1:28" x14ac:dyDescent="0.25">
      <c r="A3027" t="s">
        <v>3031</v>
      </c>
      <c r="B3027">
        <v>0.99987803227770999</v>
      </c>
      <c r="C3027">
        <v>1.0223210632599</v>
      </c>
      <c r="D3027">
        <v>1.01585511981015</v>
      </c>
      <c r="E3027">
        <v>0.85849680710461096</v>
      </c>
      <c r="F3027">
        <v>0.70274963663980305</v>
      </c>
      <c r="G3027">
        <v>0.53058811310633103</v>
      </c>
      <c r="H3027">
        <v>0.61551201301245595</v>
      </c>
      <c r="I3027">
        <v>0.64940570429782996</v>
      </c>
      <c r="J3027">
        <v>0.52331378199730405</v>
      </c>
      <c r="K3027">
        <v>0.45424948246407698</v>
      </c>
      <c r="L3027">
        <v>1552.1903006508501</v>
      </c>
      <c r="M3027">
        <v>30.122375634838299</v>
      </c>
      <c r="O3027">
        <v>51.303960243076801</v>
      </c>
      <c r="P3027">
        <v>-6.5959962584950294E-2</v>
      </c>
      <c r="Q3027">
        <v>0.55063487400122202</v>
      </c>
      <c r="R3027">
        <v>0.93802957109323304</v>
      </c>
      <c r="S3027" t="s">
        <v>9338</v>
      </c>
      <c r="T3027" t="s">
        <v>12620</v>
      </c>
      <c r="U3027" t="s">
        <v>12620</v>
      </c>
      <c r="V3027" t="s">
        <v>12620</v>
      </c>
      <c r="W3027" t="s">
        <v>15602</v>
      </c>
      <c r="X3027">
        <v>2</v>
      </c>
      <c r="Y3027" t="s">
        <v>21762</v>
      </c>
      <c r="Z3027" t="s">
        <v>27974</v>
      </c>
      <c r="AA3027">
        <v>0.72615982764832399</v>
      </c>
      <c r="AB3027" t="str">
        <f>HYPERLINK("Melting_Curves/meltCurve_Q14153_FAM53B.pdf", "Melting_Curves/meltCurve_Q14153_FAM53B.pdf")</f>
        <v>Melting_Curves/meltCurve_Q14153_FAM53B.pdf</v>
      </c>
    </row>
    <row r="3028" spans="1:28" x14ac:dyDescent="0.25">
      <c r="A3028" t="s">
        <v>3032</v>
      </c>
      <c r="B3028">
        <v>0.99987803227770999</v>
      </c>
      <c r="C3028">
        <v>0.93816462189580296</v>
      </c>
      <c r="D3028">
        <v>0.82425955947190599</v>
      </c>
      <c r="E3028">
        <v>0.87659394273940805</v>
      </c>
      <c r="F3028">
        <v>0.33022105201305402</v>
      </c>
      <c r="G3028">
        <v>0.17872811435679101</v>
      </c>
      <c r="H3028">
        <v>0.151630394013228</v>
      </c>
      <c r="I3028">
        <v>0.13737084727106399</v>
      </c>
      <c r="J3028">
        <v>0.13743989639236601</v>
      </c>
      <c r="K3028">
        <v>0.11397596441459699</v>
      </c>
      <c r="L3028">
        <v>2576.7750251305802</v>
      </c>
      <c r="M3028">
        <v>49.8386348636745</v>
      </c>
      <c r="N3028">
        <v>52.048936369689002</v>
      </c>
      <c r="O3028">
        <v>51.6193226859546</v>
      </c>
      <c r="P3028">
        <v>-0.20729238894479299</v>
      </c>
      <c r="Q3028">
        <v>0.141205740118623</v>
      </c>
      <c r="R3028">
        <v>0.97326411977210603</v>
      </c>
      <c r="S3028" t="s">
        <v>9339</v>
      </c>
      <c r="T3028" t="s">
        <v>12620</v>
      </c>
      <c r="U3028" t="s">
        <v>12620</v>
      </c>
      <c r="V3028" t="s">
        <v>12620</v>
      </c>
      <c r="W3028" t="s">
        <v>15603</v>
      </c>
      <c r="X3028">
        <v>8</v>
      </c>
      <c r="Y3028" t="s">
        <v>21763</v>
      </c>
      <c r="Z3028" t="s">
        <v>27975</v>
      </c>
      <c r="AA3028">
        <v>0.47817428552176572</v>
      </c>
      <c r="AB3028" t="str">
        <f>HYPERLINK("Melting_Curves/meltCurve_Q14155_1_ARHGEF7.pdf", "Melting_Curves/meltCurve_Q14155_1_ARHGEF7.pdf")</f>
        <v>Melting_Curves/meltCurve_Q14155_1_ARHGEF7.pdf</v>
      </c>
    </row>
    <row r="3029" spans="1:28" x14ac:dyDescent="0.25">
      <c r="A3029" t="s">
        <v>3033</v>
      </c>
      <c r="B3029">
        <v>0.99987803227770999</v>
      </c>
      <c r="C3029">
        <v>0.93060961815485899</v>
      </c>
      <c r="D3029">
        <v>1.0930168551761701</v>
      </c>
      <c r="E3029">
        <v>0.89390681389955895</v>
      </c>
      <c r="F3029">
        <v>0.81462820193027496</v>
      </c>
      <c r="G3029">
        <v>0.90161663664823</v>
      </c>
      <c r="H3029">
        <v>1.0049554751949701</v>
      </c>
      <c r="I3029">
        <v>0.91170441674847102</v>
      </c>
      <c r="J3029">
        <v>1.2268381061554099</v>
      </c>
      <c r="K3029">
        <v>1.10978323997918</v>
      </c>
      <c r="L3029">
        <v>5859.4452991506796</v>
      </c>
      <c r="M3029">
        <v>89.311398757617397</v>
      </c>
      <c r="O3029">
        <v>65.574042846093207</v>
      </c>
      <c r="P3029">
        <v>5.7873301211894199E-2</v>
      </c>
      <c r="Q3029">
        <v>1.1699664775651599</v>
      </c>
      <c r="R3029">
        <v>0.35416900035987697</v>
      </c>
      <c r="S3029" t="s">
        <v>9340</v>
      </c>
      <c r="T3029" t="s">
        <v>12620</v>
      </c>
      <c r="U3029" t="s">
        <v>12620</v>
      </c>
      <c r="V3029" t="s">
        <v>12620</v>
      </c>
      <c r="W3029" t="s">
        <v>15604</v>
      </c>
      <c r="X3029">
        <v>23</v>
      </c>
      <c r="Y3029" t="s">
        <v>21764</v>
      </c>
      <c r="Z3029" t="s">
        <v>27976</v>
      </c>
      <c r="AA3029">
        <v>1.0247535025529551</v>
      </c>
      <c r="AB3029" t="str">
        <f>HYPERLINK("Melting_Curves/meltCurve_Q14157_UBAP2L.pdf", "Melting_Curves/meltCurve_Q14157_UBAP2L.pdf")</f>
        <v>Melting_Curves/meltCurve_Q14157_UBAP2L.pdf</v>
      </c>
    </row>
    <row r="3030" spans="1:28" x14ac:dyDescent="0.25">
      <c r="A3030" t="s">
        <v>3034</v>
      </c>
      <c r="B3030">
        <v>0.99987803227770999</v>
      </c>
      <c r="C3030">
        <v>0.88750760514516902</v>
      </c>
      <c r="D3030">
        <v>1.0470292510141901</v>
      </c>
      <c r="E3030">
        <v>0.91870166860467595</v>
      </c>
      <c r="F3030">
        <v>1.0567623266111099</v>
      </c>
      <c r="G3030">
        <v>0.90209789237447702</v>
      </c>
      <c r="H3030">
        <v>0.94843615194683795</v>
      </c>
      <c r="I3030">
        <v>0.89683604592807797</v>
      </c>
      <c r="J3030">
        <v>0.90133805741721795</v>
      </c>
      <c r="K3030">
        <v>0.758520051822695</v>
      </c>
      <c r="L3030">
        <v>655.81910917292396</v>
      </c>
      <c r="M3030">
        <v>8.0458645593123492</v>
      </c>
      <c r="Q3030">
        <v>0</v>
      </c>
      <c r="R3030">
        <v>0.51319987212567397</v>
      </c>
      <c r="S3030" t="s">
        <v>9341</v>
      </c>
      <c r="T3030" t="s">
        <v>12620</v>
      </c>
      <c r="U3030" t="s">
        <v>12620</v>
      </c>
      <c r="V3030" t="s">
        <v>12620</v>
      </c>
      <c r="W3030" t="s">
        <v>15605</v>
      </c>
      <c r="X3030">
        <v>24</v>
      </c>
      <c r="Y3030" t="s">
        <v>21764</v>
      </c>
      <c r="Z3030" t="s">
        <v>27977</v>
      </c>
      <c r="AA3030">
        <v>0.95139544589775571</v>
      </c>
      <c r="AB3030" t="str">
        <f>HYPERLINK("Melting_Curves/meltCurve_Q14157_1_UBAP2L.pdf", "Melting_Curves/meltCurve_Q14157_1_UBAP2L.pdf")</f>
        <v>Melting_Curves/meltCurve_Q14157_1_UBAP2L.pdf</v>
      </c>
    </row>
    <row r="3031" spans="1:28" x14ac:dyDescent="0.25">
      <c r="A3031" t="s">
        <v>3035</v>
      </c>
      <c r="B3031">
        <v>0.99987803227770999</v>
      </c>
      <c r="C3031">
        <v>0.92817334973989296</v>
      </c>
      <c r="D3031">
        <v>0.73681666109028199</v>
      </c>
      <c r="E3031">
        <v>0.447031577701126</v>
      </c>
      <c r="F3031">
        <v>0.33924289140340502</v>
      </c>
      <c r="G3031">
        <v>0.24775966188513601</v>
      </c>
      <c r="H3031">
        <v>0.243578808346509</v>
      </c>
      <c r="I3031">
        <v>0.23660163113082899</v>
      </c>
      <c r="J3031">
        <v>0.23294462668462201</v>
      </c>
      <c r="K3031">
        <v>0.18491952208203599</v>
      </c>
      <c r="L3031">
        <v>902.87998382750698</v>
      </c>
      <c r="M3031">
        <v>18.902258810500602</v>
      </c>
      <c r="N3031">
        <v>49.266327403932799</v>
      </c>
      <c r="O3031">
        <v>47.240722397284699</v>
      </c>
      <c r="P3031">
        <v>-7.8142057304264004E-2</v>
      </c>
      <c r="Q3031">
        <v>0.21885771853792299</v>
      </c>
      <c r="R3031">
        <v>0.99707713837775802</v>
      </c>
      <c r="S3031" t="s">
        <v>9342</v>
      </c>
      <c r="T3031" t="s">
        <v>12620</v>
      </c>
      <c r="U3031" t="s">
        <v>12620</v>
      </c>
      <c r="V3031" t="s">
        <v>12620</v>
      </c>
      <c r="W3031" t="s">
        <v>15606</v>
      </c>
      <c r="X3031">
        <v>35</v>
      </c>
      <c r="Y3031" t="s">
        <v>21765</v>
      </c>
      <c r="Z3031" t="s">
        <v>27978</v>
      </c>
      <c r="AA3031">
        <v>0.43365144160103469</v>
      </c>
      <c r="AB3031" t="str">
        <f>HYPERLINK("Melting_Curves/meltCurve_Q14160_3_SCRIB.pdf", "Melting_Curves/meltCurve_Q14160_3_SCRIB.pdf")</f>
        <v>Melting_Curves/meltCurve_Q14160_3_SCRIB.pdf</v>
      </c>
    </row>
    <row r="3032" spans="1:28" x14ac:dyDescent="0.25">
      <c r="A3032" t="s">
        <v>3036</v>
      </c>
      <c r="B3032">
        <v>0.99987803227770999</v>
      </c>
      <c r="C3032">
        <v>0.79670743480454398</v>
      </c>
      <c r="D3032">
        <v>0.74089074529088195</v>
      </c>
      <c r="E3032">
        <v>0.60432841912037705</v>
      </c>
      <c r="F3032">
        <v>0.58534133084690898</v>
      </c>
      <c r="G3032">
        <v>0.431771279895307</v>
      </c>
      <c r="H3032">
        <v>0.45582868679190303</v>
      </c>
      <c r="I3032">
        <v>0.39163296035530099</v>
      </c>
      <c r="J3032">
        <v>0.38128588899353999</v>
      </c>
      <c r="K3032">
        <v>0.26244104736345403</v>
      </c>
      <c r="L3032">
        <v>394.83136123607602</v>
      </c>
      <c r="M3032">
        <v>7.8771023667781801</v>
      </c>
      <c r="N3032">
        <v>55.2553449730922</v>
      </c>
      <c r="O3032">
        <v>47.201876197812297</v>
      </c>
      <c r="P3032">
        <v>-3.0934561574443301E-2</v>
      </c>
      <c r="Q3032">
        <v>0.25941202042552303</v>
      </c>
      <c r="R3032">
        <v>0.95198658049154405</v>
      </c>
      <c r="S3032" t="s">
        <v>9343</v>
      </c>
      <c r="T3032" t="s">
        <v>12620</v>
      </c>
      <c r="U3032" t="s">
        <v>12620</v>
      </c>
      <c r="V3032" t="s">
        <v>12620</v>
      </c>
      <c r="W3032" t="s">
        <v>15607</v>
      </c>
      <c r="X3032">
        <v>10</v>
      </c>
      <c r="Y3032" t="s">
        <v>21766</v>
      </c>
      <c r="Z3032" t="s">
        <v>27979</v>
      </c>
      <c r="AA3032">
        <v>0.55367376671630031</v>
      </c>
      <c r="AB3032" t="str">
        <f>HYPERLINK("Melting_Curves/meltCurve_Q14161_GIT2.pdf", "Melting_Curves/meltCurve_Q14161_GIT2.pdf")</f>
        <v>Melting_Curves/meltCurve_Q14161_GIT2.pdf</v>
      </c>
    </row>
    <row r="3033" spans="1:28" x14ac:dyDescent="0.25">
      <c r="A3033" t="s">
        <v>3037</v>
      </c>
      <c r="B3033">
        <v>0.99987803227770999</v>
      </c>
      <c r="C3033">
        <v>1.07279503354286</v>
      </c>
      <c r="D3033">
        <v>0.75582472806670198</v>
      </c>
      <c r="E3033">
        <v>0.32764173383671702</v>
      </c>
      <c r="F3033">
        <v>0.217593596872943</v>
      </c>
      <c r="G3033">
        <v>0.13837346845548101</v>
      </c>
      <c r="H3033">
        <v>0.108113303097259</v>
      </c>
      <c r="I3033">
        <v>0.101878958639358</v>
      </c>
      <c r="J3033">
        <v>5.6970292070438501E-2</v>
      </c>
      <c r="K3033">
        <v>4.15320792012073E-2</v>
      </c>
      <c r="L3033">
        <v>1221.9827444821599</v>
      </c>
      <c r="M3033">
        <v>25.381972139643299</v>
      </c>
      <c r="N3033">
        <v>48.522624000527301</v>
      </c>
      <c r="O3033">
        <v>47.847868917607499</v>
      </c>
      <c r="P3033">
        <v>-0.120697681429513</v>
      </c>
      <c r="Q3033">
        <v>8.98967815238053E-2</v>
      </c>
      <c r="R3033">
        <v>0.98581242530281199</v>
      </c>
      <c r="S3033" t="s">
        <v>9344</v>
      </c>
      <c r="T3033" t="s">
        <v>12620</v>
      </c>
      <c r="U3033" t="s">
        <v>12620</v>
      </c>
      <c r="V3033" t="s">
        <v>12620</v>
      </c>
      <c r="W3033" t="s">
        <v>15608</v>
      </c>
      <c r="X3033">
        <v>17</v>
      </c>
      <c r="Y3033" t="s">
        <v>21767</v>
      </c>
      <c r="Z3033" t="s">
        <v>27980</v>
      </c>
      <c r="AA3033">
        <v>0.34473998442550141</v>
      </c>
      <c r="AB3033" t="str">
        <f>HYPERLINK("Melting_Curves/meltCurve_Q14166_TTLL12.pdf", "Melting_Curves/meltCurve_Q14166_TTLL12.pdf")</f>
        <v>Melting_Curves/meltCurve_Q14166_TTLL12.pdf</v>
      </c>
    </row>
    <row r="3034" spans="1:28" x14ac:dyDescent="0.25">
      <c r="A3034" t="s">
        <v>3038</v>
      </c>
      <c r="B3034">
        <v>0.99987803227770999</v>
      </c>
      <c r="C3034">
        <v>1.05210946820843</v>
      </c>
      <c r="D3034">
        <v>0.94793865745166805</v>
      </c>
      <c r="E3034">
        <v>1.1285913664059699</v>
      </c>
      <c r="F3034">
        <v>0.63221713272526003</v>
      </c>
      <c r="G3034">
        <v>0.288319347790783</v>
      </c>
      <c r="H3034">
        <v>0.18505665484196801</v>
      </c>
      <c r="I3034">
        <v>0.15696100182824901</v>
      </c>
      <c r="J3034">
        <v>0.119737640085733</v>
      </c>
      <c r="K3034">
        <v>8.8736821691279597E-2</v>
      </c>
      <c r="L3034">
        <v>2387.78604275199</v>
      </c>
      <c r="M3034">
        <v>44.555761135488801</v>
      </c>
      <c r="N3034">
        <v>54.031996998323002</v>
      </c>
      <c r="O3034">
        <v>53.483354875718398</v>
      </c>
      <c r="P3034">
        <v>-0.17651986008564599</v>
      </c>
      <c r="Q3034">
        <v>0.15244547043229101</v>
      </c>
      <c r="R3034">
        <v>0.97290007284095603</v>
      </c>
      <c r="S3034" t="s">
        <v>9345</v>
      </c>
      <c r="T3034" t="s">
        <v>12620</v>
      </c>
      <c r="U3034" t="s">
        <v>12620</v>
      </c>
      <c r="V3034" t="s">
        <v>12620</v>
      </c>
      <c r="W3034" t="s">
        <v>15609</v>
      </c>
      <c r="X3034">
        <v>12</v>
      </c>
      <c r="Y3034" t="s">
        <v>21768</v>
      </c>
      <c r="Z3034" t="s">
        <v>27981</v>
      </c>
      <c r="AA3034">
        <v>0.53893981427995985</v>
      </c>
      <c r="AB3034" t="str">
        <f>HYPERLINK("Melting_Curves/meltCurve_Q14181_POLA2.pdf", "Melting_Curves/meltCurve_Q14181_POLA2.pdf")</f>
        <v>Melting_Curves/meltCurve_Q14181_POLA2.pdf</v>
      </c>
    </row>
    <row r="3035" spans="1:28" x14ac:dyDescent="0.25">
      <c r="A3035" t="s">
        <v>3039</v>
      </c>
      <c r="B3035">
        <v>0.99987803227770999</v>
      </c>
      <c r="C3035">
        <v>1.00846096763227</v>
      </c>
      <c r="D3035">
        <v>0.84641180662757298</v>
      </c>
      <c r="E3035">
        <v>0.80856412959622603</v>
      </c>
      <c r="F3035">
        <v>0.52619268047974699</v>
      </c>
      <c r="G3035">
        <v>0.43627144800378198</v>
      </c>
      <c r="H3035">
        <v>0.31607012085932001</v>
      </c>
      <c r="I3035">
        <v>0.29419623614421098</v>
      </c>
      <c r="J3035">
        <v>0.27859999202764202</v>
      </c>
      <c r="K3035">
        <v>0.23326686191797399</v>
      </c>
      <c r="L3035">
        <v>754.54657419604098</v>
      </c>
      <c r="M3035">
        <v>14.4138080769252</v>
      </c>
      <c r="N3035">
        <v>54.738656096516202</v>
      </c>
      <c r="O3035">
        <v>51.372177680997098</v>
      </c>
      <c r="P3035">
        <v>-5.3770901026906702E-2</v>
      </c>
      <c r="Q3035">
        <v>0.23351214092323699</v>
      </c>
      <c r="R3035">
        <v>0.98361305049035097</v>
      </c>
      <c r="S3035" t="s">
        <v>9346</v>
      </c>
      <c r="T3035" t="s">
        <v>12620</v>
      </c>
      <c r="U3035" t="s">
        <v>12620</v>
      </c>
      <c r="V3035" t="s">
        <v>12620</v>
      </c>
      <c r="W3035" t="s">
        <v>15610</v>
      </c>
      <c r="X3035">
        <v>8</v>
      </c>
      <c r="Y3035" t="s">
        <v>21769</v>
      </c>
      <c r="Z3035" t="s">
        <v>27982</v>
      </c>
      <c r="AA3035">
        <v>0.56695764358429501</v>
      </c>
      <c r="AB3035" t="str">
        <f>HYPERLINK("Melting_Curves/meltCurve_Q14185_DOCK1.pdf", "Melting_Curves/meltCurve_Q14185_DOCK1.pdf")</f>
        <v>Melting_Curves/meltCurve_Q14185_DOCK1.pdf</v>
      </c>
    </row>
    <row r="3036" spans="1:28" x14ac:dyDescent="0.25">
      <c r="A3036" t="s">
        <v>3040</v>
      </c>
      <c r="B3036">
        <v>0.99987803227770999</v>
      </c>
      <c r="C3036">
        <v>0.97964308395094901</v>
      </c>
      <c r="D3036">
        <v>1.0407661317477801</v>
      </c>
      <c r="E3036">
        <v>0.95339073540377905</v>
      </c>
      <c r="F3036">
        <v>0.83167806476775397</v>
      </c>
      <c r="G3036">
        <v>0.64733846606742296</v>
      </c>
      <c r="H3036">
        <v>0.59105470693756501</v>
      </c>
      <c r="I3036">
        <v>0.489900011449379</v>
      </c>
      <c r="J3036">
        <v>0.479310586904859</v>
      </c>
      <c r="K3036">
        <v>0.31995942157815699</v>
      </c>
      <c r="L3036">
        <v>710.253019063186</v>
      </c>
      <c r="M3036">
        <v>12.1327615119662</v>
      </c>
      <c r="N3036">
        <v>63.1764093831436</v>
      </c>
      <c r="O3036">
        <v>57.017879995925803</v>
      </c>
      <c r="P3036">
        <v>-3.7525938265202501E-2</v>
      </c>
      <c r="Q3036">
        <v>0.29475103674939401</v>
      </c>
      <c r="R3036">
        <v>0.97202706551306695</v>
      </c>
      <c r="S3036" t="s">
        <v>9347</v>
      </c>
      <c r="T3036" t="s">
        <v>12620</v>
      </c>
      <c r="U3036" t="s">
        <v>12620</v>
      </c>
      <c r="V3036" t="s">
        <v>12620</v>
      </c>
      <c r="W3036" t="s">
        <v>15611</v>
      </c>
      <c r="X3036">
        <v>5</v>
      </c>
      <c r="Y3036" t="s">
        <v>21770</v>
      </c>
      <c r="Z3036" t="s">
        <v>27983</v>
      </c>
      <c r="AA3036">
        <v>0.73790312290884752</v>
      </c>
      <c r="AB3036" t="str">
        <f>HYPERLINK("Melting_Curves/meltCurve_Q14191_WRN.pdf", "Melting_Curves/meltCurve_Q14191_WRN.pdf")</f>
        <v>Melting_Curves/meltCurve_Q14191_WRN.pdf</v>
      </c>
    </row>
    <row r="3037" spans="1:28" x14ac:dyDescent="0.25">
      <c r="A3037" t="s">
        <v>3041</v>
      </c>
      <c r="B3037">
        <v>0.99987803227770999</v>
      </c>
      <c r="C3037">
        <v>0.93004823818486704</v>
      </c>
      <c r="D3037">
        <v>1.0445834301724699</v>
      </c>
      <c r="E3037">
        <v>0.91891019535208895</v>
      </c>
      <c r="F3037">
        <v>1.0288778952501101</v>
      </c>
      <c r="G3037">
        <v>0.84244677320359895</v>
      </c>
      <c r="H3037">
        <v>0.840702621643312</v>
      </c>
      <c r="I3037">
        <v>0.74551952426257195</v>
      </c>
      <c r="J3037">
        <v>0.75073467576832698</v>
      </c>
      <c r="K3037">
        <v>0.63005783546412297</v>
      </c>
      <c r="L3037">
        <v>544.28920930010804</v>
      </c>
      <c r="M3037">
        <v>7.8118818441156099</v>
      </c>
      <c r="O3037">
        <v>65.551156761291395</v>
      </c>
      <c r="P3037">
        <v>-2.05886634185731E-2</v>
      </c>
      <c r="Q3037">
        <v>0.30979771111077198</v>
      </c>
      <c r="R3037">
        <v>0.86419978550814702</v>
      </c>
      <c r="S3037" t="s">
        <v>9348</v>
      </c>
      <c r="T3037" t="s">
        <v>12620</v>
      </c>
      <c r="U3037" t="s">
        <v>12620</v>
      </c>
      <c r="V3037" t="s">
        <v>12620</v>
      </c>
      <c r="W3037" t="s">
        <v>15612</v>
      </c>
      <c r="X3037">
        <v>27</v>
      </c>
      <c r="Y3037" t="s">
        <v>21771</v>
      </c>
      <c r="Z3037" t="s">
        <v>27984</v>
      </c>
      <c r="AA3037">
        <v>0.88525457387950235</v>
      </c>
      <c r="AB3037" t="str">
        <f>HYPERLINK("Melting_Curves/meltCurve_Q14192_FHL2.pdf", "Melting_Curves/meltCurve_Q14192_FHL2.pdf")</f>
        <v>Melting_Curves/meltCurve_Q14192_FHL2.pdf</v>
      </c>
    </row>
    <row r="3038" spans="1:28" x14ac:dyDescent="0.25">
      <c r="A3038" t="s">
        <v>3042</v>
      </c>
      <c r="B3038">
        <v>0.99987803227770999</v>
      </c>
      <c r="C3038">
        <v>1.28870563308605</v>
      </c>
      <c r="D3038">
        <v>0.78231676724385701</v>
      </c>
      <c r="E3038">
        <v>1.2925485315179499</v>
      </c>
      <c r="F3038">
        <v>0.68402034073851103</v>
      </c>
      <c r="G3038">
        <v>0.84678160652642298</v>
      </c>
      <c r="H3038">
        <v>0.51067258659777004</v>
      </c>
      <c r="I3038">
        <v>0.16239084482965799</v>
      </c>
      <c r="J3038">
        <v>6.5558949874855194E-2</v>
      </c>
      <c r="K3038">
        <v>5.1572840068521197E-2</v>
      </c>
      <c r="L3038">
        <v>1427.8800766894201</v>
      </c>
      <c r="M3038">
        <v>23.584117602903898</v>
      </c>
      <c r="N3038">
        <v>60.544117968338597</v>
      </c>
      <c r="O3038">
        <v>60.113888723611097</v>
      </c>
      <c r="P3038">
        <v>-9.8082658589471905E-2</v>
      </c>
      <c r="Q3038">
        <v>0</v>
      </c>
      <c r="R3038">
        <v>0.84232115308959099</v>
      </c>
      <c r="S3038" t="s">
        <v>9349</v>
      </c>
      <c r="T3038" t="s">
        <v>12620</v>
      </c>
      <c r="U3038" t="s">
        <v>12620</v>
      </c>
      <c r="V3038" t="s">
        <v>12620</v>
      </c>
      <c r="W3038" t="s">
        <v>15613</v>
      </c>
      <c r="X3038">
        <v>33</v>
      </c>
      <c r="Y3038" t="s">
        <v>21772</v>
      </c>
      <c r="Z3038" t="s">
        <v>27985</v>
      </c>
      <c r="AA3038">
        <v>0.69187779631707125</v>
      </c>
      <c r="AB3038" t="str">
        <f>HYPERLINK("Melting_Curves/meltCurve_Q14195_2_DPYSL3.pdf", "Melting_Curves/meltCurve_Q14195_2_DPYSL3.pdf")</f>
        <v>Melting_Curves/meltCurve_Q14195_2_DPYSL3.pdf</v>
      </c>
    </row>
    <row r="3039" spans="1:28" x14ac:dyDescent="0.25">
      <c r="A3039" t="s">
        <v>3043</v>
      </c>
      <c r="B3039">
        <v>0.99987803227770999</v>
      </c>
      <c r="C3039">
        <v>0.90069607558804399</v>
      </c>
      <c r="D3039">
        <v>0.871437285118421</v>
      </c>
      <c r="E3039">
        <v>0.70977197257629498</v>
      </c>
      <c r="F3039">
        <v>0.68756727066160805</v>
      </c>
      <c r="G3039">
        <v>0.59658020065518902</v>
      </c>
      <c r="H3039">
        <v>0.48802769402157697</v>
      </c>
      <c r="I3039">
        <v>0.37150540433871099</v>
      </c>
      <c r="J3039">
        <v>0.39118086340914898</v>
      </c>
      <c r="K3039">
        <v>0.29298637293768498</v>
      </c>
      <c r="L3039">
        <v>369.28245933518298</v>
      </c>
      <c r="M3039">
        <v>6.3150928097098999</v>
      </c>
      <c r="N3039">
        <v>59.839301923051998</v>
      </c>
      <c r="O3039">
        <v>53.434716296282801</v>
      </c>
      <c r="P3039">
        <v>-2.76407378307649E-2</v>
      </c>
      <c r="Q3039">
        <v>6.6994335535282501E-2</v>
      </c>
      <c r="R3039">
        <v>0.98267715178007498</v>
      </c>
      <c r="S3039" t="s">
        <v>9350</v>
      </c>
      <c r="T3039" t="s">
        <v>12620</v>
      </c>
      <c r="U3039" t="s">
        <v>12620</v>
      </c>
      <c r="V3039" t="s">
        <v>12620</v>
      </c>
      <c r="W3039" t="s">
        <v>15614</v>
      </c>
      <c r="X3039">
        <v>10</v>
      </c>
      <c r="Y3039" t="s">
        <v>21773</v>
      </c>
      <c r="Z3039" t="s">
        <v>27986</v>
      </c>
      <c r="AA3039">
        <v>0.63069250284168632</v>
      </c>
      <c r="AB3039" t="str">
        <f>HYPERLINK("Melting_Curves/meltCurve_Q14202_2_ZMYM3.pdf", "Melting_Curves/meltCurve_Q14202_2_ZMYM3.pdf")</f>
        <v>Melting_Curves/meltCurve_Q14202_2_ZMYM3.pdf</v>
      </c>
    </row>
    <row r="3040" spans="1:28" x14ac:dyDescent="0.25">
      <c r="A3040" t="s">
        <v>3044</v>
      </c>
      <c r="B3040">
        <v>0.99987803227770999</v>
      </c>
      <c r="C3040">
        <v>0.79952244523149096</v>
      </c>
      <c r="D3040">
        <v>1.02011414533967</v>
      </c>
      <c r="E3040">
        <v>1.4049290316269401</v>
      </c>
      <c r="F3040">
        <v>0.89718495640316298</v>
      </c>
      <c r="G3040">
        <v>0.69361459006165005</v>
      </c>
      <c r="H3040">
        <v>0.42510059393245803</v>
      </c>
      <c r="I3040">
        <v>0.35288158724018998</v>
      </c>
      <c r="J3040">
        <v>0.33138734481755</v>
      </c>
      <c r="K3040">
        <v>0.223065732290186</v>
      </c>
      <c r="L3040">
        <v>1703.36536104625</v>
      </c>
      <c r="M3040">
        <v>29.486774164526899</v>
      </c>
      <c r="N3040">
        <v>59.475452851647098</v>
      </c>
      <c r="O3040">
        <v>57.503361272635097</v>
      </c>
      <c r="P3040">
        <v>-9.1578147292638495E-2</v>
      </c>
      <c r="Q3040">
        <v>0.28564387986691903</v>
      </c>
      <c r="R3040">
        <v>0.82967545136604903</v>
      </c>
      <c r="S3040" t="s">
        <v>9351</v>
      </c>
      <c r="T3040" t="s">
        <v>12620</v>
      </c>
      <c r="U3040" t="s">
        <v>12620</v>
      </c>
      <c r="V3040" t="s">
        <v>12620</v>
      </c>
      <c r="W3040" t="s">
        <v>15615</v>
      </c>
      <c r="X3040">
        <v>32</v>
      </c>
      <c r="Y3040" t="s">
        <v>21774</v>
      </c>
      <c r="Z3040" t="s">
        <v>27987</v>
      </c>
      <c r="AA3040">
        <v>0.71357009484943756</v>
      </c>
      <c r="AB3040" t="str">
        <f>HYPERLINK("Melting_Curves/meltCurve_Q14203_3_DCTN1.pdf", "Melting_Curves/meltCurve_Q14203_3_DCTN1.pdf")</f>
        <v>Melting_Curves/meltCurve_Q14203_3_DCTN1.pdf</v>
      </c>
    </row>
    <row r="3041" spans="1:28" x14ac:dyDescent="0.25">
      <c r="A3041" t="s">
        <v>3045</v>
      </c>
      <c r="B3041">
        <v>0.99987803227770999</v>
      </c>
      <c r="C3041">
        <v>0.77814285224832402</v>
      </c>
      <c r="D3041">
        <v>0.77441276144995896</v>
      </c>
      <c r="E3041">
        <v>1.18671161208045</v>
      </c>
      <c r="F3041">
        <v>0.42388428144282903</v>
      </c>
      <c r="G3041">
        <v>0.24176265952527201</v>
      </c>
      <c r="H3041">
        <v>0.12747642123637301</v>
      </c>
      <c r="I3041">
        <v>0.102752452335096</v>
      </c>
      <c r="J3041">
        <v>7.9972408032607203E-2</v>
      </c>
      <c r="K3041">
        <v>5.3931261664176E-2</v>
      </c>
      <c r="L3041">
        <v>13215.8920545904</v>
      </c>
      <c r="M3041">
        <v>250</v>
      </c>
      <c r="N3041">
        <v>52.922324662068597</v>
      </c>
      <c r="O3041">
        <v>52.860179232059103</v>
      </c>
      <c r="P3041">
        <v>-1.0390866554618601</v>
      </c>
      <c r="Q3041">
        <v>0.121178990430438</v>
      </c>
      <c r="R3041">
        <v>0.90323091281606405</v>
      </c>
      <c r="S3041" t="s">
        <v>9352</v>
      </c>
      <c r="T3041" t="s">
        <v>12620</v>
      </c>
      <c r="U3041" t="s">
        <v>12620</v>
      </c>
      <c r="V3041" t="s">
        <v>12620</v>
      </c>
      <c r="W3041" t="s">
        <v>15616</v>
      </c>
      <c r="X3041">
        <v>160</v>
      </c>
      <c r="Y3041" t="s">
        <v>21775</v>
      </c>
      <c r="Z3041" t="s">
        <v>27988</v>
      </c>
      <c r="AA3041">
        <v>0.49808632309823431</v>
      </c>
      <c r="AB3041" t="str">
        <f>HYPERLINK("Melting_Curves/meltCurve_Q14204_DYNC1H1.pdf", "Melting_Curves/meltCurve_Q14204_DYNC1H1.pdf")</f>
        <v>Melting_Curves/meltCurve_Q14204_DYNC1H1.pdf</v>
      </c>
    </row>
    <row r="3042" spans="1:28" x14ac:dyDescent="0.25">
      <c r="A3042" t="s">
        <v>3046</v>
      </c>
      <c r="B3042">
        <v>0.99987803227770999</v>
      </c>
      <c r="C3042">
        <v>0.96745763155964204</v>
      </c>
      <c r="D3042">
        <v>0.85679098704096801</v>
      </c>
      <c r="E3042">
        <v>0.78877286235366695</v>
      </c>
      <c r="F3042">
        <v>0.82767929098096604</v>
      </c>
      <c r="G3042">
        <v>0.60136916298506105</v>
      </c>
      <c r="H3042">
        <v>0.552716849086063</v>
      </c>
      <c r="I3042">
        <v>0.41764377760761301</v>
      </c>
      <c r="J3042">
        <v>0.52124759124669995</v>
      </c>
      <c r="K3042">
        <v>0.51403261105444298</v>
      </c>
      <c r="L3042">
        <v>552.31646731788101</v>
      </c>
      <c r="M3042">
        <v>10.2906237666351</v>
      </c>
      <c r="N3042">
        <v>65.564369120067099</v>
      </c>
      <c r="O3042">
        <v>51.763530338646</v>
      </c>
      <c r="P3042">
        <v>-2.8705657204111001E-2</v>
      </c>
      <c r="Q3042">
        <v>0.42267492739015999</v>
      </c>
      <c r="R3042">
        <v>0.93120168348119403</v>
      </c>
      <c r="S3042" t="s">
        <v>9353</v>
      </c>
      <c r="T3042" t="s">
        <v>12620</v>
      </c>
      <c r="U3042" t="s">
        <v>12620</v>
      </c>
      <c r="V3042" t="s">
        <v>12620</v>
      </c>
      <c r="W3042" t="s">
        <v>15617</v>
      </c>
      <c r="X3042">
        <v>5</v>
      </c>
      <c r="Y3042" t="s">
        <v>21776</v>
      </c>
      <c r="Z3042" t="s">
        <v>27989</v>
      </c>
      <c r="AA3042">
        <v>0.70359640407402024</v>
      </c>
      <c r="AB3042" t="str">
        <f>HYPERLINK("Melting_Curves/meltCurve_Q14207_NPAT.pdf", "Melting_Curves/meltCurve_Q14207_NPAT.pdf")</f>
        <v>Melting_Curves/meltCurve_Q14207_NPAT.pdf</v>
      </c>
    </row>
    <row r="3043" spans="1:28" x14ac:dyDescent="0.25">
      <c r="A3043" t="s">
        <v>3047</v>
      </c>
      <c r="B3043">
        <v>0.99987803227770999</v>
      </c>
      <c r="C3043">
        <v>0.90160942364391505</v>
      </c>
      <c r="D3043">
        <v>1.0797039656596401</v>
      </c>
      <c r="E3043">
        <v>1.0136613845328299</v>
      </c>
      <c r="F3043">
        <v>1.1982441776200301</v>
      </c>
      <c r="G3043">
        <v>0.89378307588673001</v>
      </c>
      <c r="H3043">
        <v>0.171569143083699</v>
      </c>
      <c r="I3043">
        <v>0.102169732837605</v>
      </c>
      <c r="J3043">
        <v>7.7474632857945397E-2</v>
      </c>
      <c r="K3043">
        <v>5.67191664880543E-2</v>
      </c>
      <c r="L3043">
        <v>3686.1427825098399</v>
      </c>
      <c r="M3043">
        <v>62.593525885175801</v>
      </c>
      <c r="N3043">
        <v>59.0467201493584</v>
      </c>
      <c r="O3043">
        <v>58.830139152388099</v>
      </c>
      <c r="P3043">
        <v>-0.245654856731919</v>
      </c>
      <c r="Q3043">
        <v>7.6460117576212697E-2</v>
      </c>
      <c r="R3043">
        <v>0.97264958487599296</v>
      </c>
      <c r="S3043" t="s">
        <v>9354</v>
      </c>
      <c r="T3043" t="s">
        <v>12620</v>
      </c>
      <c r="U3043" t="s">
        <v>12620</v>
      </c>
      <c r="V3043" t="s">
        <v>12620</v>
      </c>
      <c r="W3043" t="s">
        <v>15618</v>
      </c>
      <c r="X3043">
        <v>12</v>
      </c>
      <c r="Y3043" t="s">
        <v>21777</v>
      </c>
      <c r="Z3043" t="s">
        <v>27990</v>
      </c>
      <c r="AA3043">
        <v>0.65951297235812534</v>
      </c>
      <c r="AB3043" t="str">
        <f>HYPERLINK("Melting_Curves/meltCurve_Q14232_EIF2B1.pdf", "Melting_Curves/meltCurve_Q14232_EIF2B1.pdf")</f>
        <v>Melting_Curves/meltCurve_Q14232_EIF2B1.pdf</v>
      </c>
    </row>
    <row r="3044" spans="1:28" x14ac:dyDescent="0.25">
      <c r="A3044" t="s">
        <v>3048</v>
      </c>
      <c r="B3044">
        <v>0.99987803227770999</v>
      </c>
      <c r="C3044">
        <v>0.90558960588819504</v>
      </c>
      <c r="D3044">
        <v>1.06711644521989</v>
      </c>
      <c r="E3044">
        <v>0.958670258911266</v>
      </c>
      <c r="F3044">
        <v>1.13029832489003</v>
      </c>
      <c r="G3044">
        <v>0.72358216754106996</v>
      </c>
      <c r="H3044">
        <v>0.22163166386888999</v>
      </c>
      <c r="I3044">
        <v>0.16064278419716099</v>
      </c>
      <c r="J3044">
        <v>0.108608520373687</v>
      </c>
      <c r="K3044">
        <v>9.0153198669312998E-2</v>
      </c>
      <c r="L3044">
        <v>2653.4904364813601</v>
      </c>
      <c r="M3044">
        <v>45.680796497219198</v>
      </c>
      <c r="N3044">
        <v>58.431500595022797</v>
      </c>
      <c r="O3044">
        <v>57.976669250746099</v>
      </c>
      <c r="P3044">
        <v>-0.173764342207504</v>
      </c>
      <c r="Q3044">
        <v>0.11785559542875899</v>
      </c>
      <c r="R3044">
        <v>0.97832959168382305</v>
      </c>
      <c r="S3044" t="s">
        <v>9355</v>
      </c>
      <c r="T3044" t="s">
        <v>12620</v>
      </c>
      <c r="U3044" t="s">
        <v>12620</v>
      </c>
      <c r="V3044" t="s">
        <v>12620</v>
      </c>
      <c r="W3044" t="s">
        <v>15619</v>
      </c>
      <c r="X3044">
        <v>20</v>
      </c>
      <c r="Y3044" t="s">
        <v>21778</v>
      </c>
      <c r="Z3044" t="s">
        <v>27991</v>
      </c>
      <c r="AA3044">
        <v>0.65240659149164981</v>
      </c>
      <c r="AB3044" t="str">
        <f>HYPERLINK("Melting_Curves/meltCurve_Q14240_EIF4A2.pdf", "Melting_Curves/meltCurve_Q14240_EIF4A2.pdf")</f>
        <v>Melting_Curves/meltCurve_Q14240_EIF4A2.pdf</v>
      </c>
    </row>
    <row r="3045" spans="1:28" x14ac:dyDescent="0.25">
      <c r="A3045" t="s">
        <v>3049</v>
      </c>
      <c r="B3045">
        <v>0.99987803227770999</v>
      </c>
      <c r="C3045">
        <v>0.88060974327234898</v>
      </c>
      <c r="D3045">
        <v>0.89259258964046495</v>
      </c>
      <c r="E3045">
        <v>0.74077380205658605</v>
      </c>
      <c r="F3045">
        <v>0.81492546544717004</v>
      </c>
      <c r="G3045">
        <v>0.62806449141931997</v>
      </c>
      <c r="H3045">
        <v>0.67541149913346299</v>
      </c>
      <c r="I3045">
        <v>0.59425204314860802</v>
      </c>
      <c r="J3045">
        <v>0.63220944910180399</v>
      </c>
      <c r="K3045">
        <v>0.52058880590955703</v>
      </c>
      <c r="L3045">
        <v>362.31375235646698</v>
      </c>
      <c r="M3045">
        <v>6.7593339191817998</v>
      </c>
      <c r="O3045">
        <v>49.496268849143803</v>
      </c>
      <c r="P3045">
        <v>-1.79526407319806E-2</v>
      </c>
      <c r="Q3045">
        <v>0.475261599379243</v>
      </c>
      <c r="R3045">
        <v>0.89905780305439797</v>
      </c>
      <c r="S3045" t="s">
        <v>9356</v>
      </c>
      <c r="T3045" t="s">
        <v>12620</v>
      </c>
      <c r="U3045" t="s">
        <v>12620</v>
      </c>
      <c r="V3045" t="s">
        <v>12620</v>
      </c>
      <c r="W3045" t="s">
        <v>15620</v>
      </c>
      <c r="X3045">
        <v>11</v>
      </c>
      <c r="Y3045" t="s">
        <v>21779</v>
      </c>
      <c r="Z3045" t="s">
        <v>27992</v>
      </c>
      <c r="AA3045">
        <v>0.73399463826524125</v>
      </c>
      <c r="AB3045" t="str">
        <f>HYPERLINK("Melting_Curves/meltCurve_Q14241_TCEB3.pdf", "Melting_Curves/meltCurve_Q14241_TCEB3.pdf")</f>
        <v>Melting_Curves/meltCurve_Q14241_TCEB3.pdf</v>
      </c>
    </row>
    <row r="3046" spans="1:28" x14ac:dyDescent="0.25">
      <c r="A3046" t="s">
        <v>3050</v>
      </c>
      <c r="B3046">
        <v>0.99987803227770999</v>
      </c>
      <c r="C3046">
        <v>0.85572664824127098</v>
      </c>
      <c r="D3046">
        <v>0.97342348957056901</v>
      </c>
      <c r="E3046">
        <v>0.87219325430486006</v>
      </c>
      <c r="F3046">
        <v>1.0157772513488601</v>
      </c>
      <c r="G3046">
        <v>0.71925378917614202</v>
      </c>
      <c r="H3046">
        <v>0.87240747026061405</v>
      </c>
      <c r="I3046">
        <v>0.75622940279261197</v>
      </c>
      <c r="J3046">
        <v>1.0136913616741301</v>
      </c>
      <c r="K3046">
        <v>0.84931010971746201</v>
      </c>
      <c r="L3046">
        <v>410.43666421416702</v>
      </c>
      <c r="M3046">
        <v>9.1742697030716602</v>
      </c>
      <c r="O3046">
        <v>42.766064067455098</v>
      </c>
      <c r="P3046">
        <v>-7.7758359636770098E-3</v>
      </c>
      <c r="Q3046">
        <v>0.85510891309547299</v>
      </c>
      <c r="R3046">
        <v>0.12267696095639299</v>
      </c>
      <c r="S3046" t="s">
        <v>9357</v>
      </c>
      <c r="T3046" t="s">
        <v>12620</v>
      </c>
      <c r="U3046" t="s">
        <v>12620</v>
      </c>
      <c r="V3046" t="s">
        <v>12620</v>
      </c>
      <c r="W3046" t="s">
        <v>15621</v>
      </c>
      <c r="X3046">
        <v>28</v>
      </c>
      <c r="Y3046" t="s">
        <v>21780</v>
      </c>
      <c r="Z3046" t="s">
        <v>27993</v>
      </c>
      <c r="AA3046">
        <v>0.88964530580190471</v>
      </c>
      <c r="AB3046" t="str">
        <f>HYPERLINK("Melting_Curves/meltCurve_Q14244_MAP7.pdf", "Melting_Curves/meltCurve_Q14244_MAP7.pdf")</f>
        <v>Melting_Curves/meltCurve_Q14244_MAP7.pdf</v>
      </c>
    </row>
    <row r="3047" spans="1:28" x14ac:dyDescent="0.25">
      <c r="A3047" t="s">
        <v>3051</v>
      </c>
      <c r="B3047">
        <v>0.99987803227770999</v>
      </c>
      <c r="C3047">
        <v>0.872508755096015</v>
      </c>
      <c r="D3047">
        <v>1.04575705885002</v>
      </c>
      <c r="E3047">
        <v>0.93425499623865804</v>
      </c>
      <c r="F3047">
        <v>1.09302925554624</v>
      </c>
      <c r="G3047">
        <v>0.95467310698758601</v>
      </c>
      <c r="H3047">
        <v>1.0764055535884001</v>
      </c>
      <c r="I3047">
        <v>0.98737393295734899</v>
      </c>
      <c r="J3047">
        <v>1.1163780419667799</v>
      </c>
      <c r="K3047">
        <v>0.93791115503800904</v>
      </c>
      <c r="L3047">
        <v>3497.7858691287402</v>
      </c>
      <c r="M3047">
        <v>67.971807669309399</v>
      </c>
      <c r="O3047">
        <v>51.414865168828399</v>
      </c>
      <c r="P3047">
        <v>8.3872018522795494E-3</v>
      </c>
      <c r="Q3047">
        <v>1.02537680471754</v>
      </c>
      <c r="R3047">
        <v>6.4882895998514503E-2</v>
      </c>
      <c r="S3047" t="s">
        <v>9358</v>
      </c>
      <c r="T3047" t="s">
        <v>12620</v>
      </c>
      <c r="U3047" t="s">
        <v>12620</v>
      </c>
      <c r="V3047" t="s">
        <v>12620</v>
      </c>
      <c r="W3047" t="s">
        <v>15622</v>
      </c>
      <c r="X3047">
        <v>60</v>
      </c>
      <c r="Y3047" t="s">
        <v>21781</v>
      </c>
      <c r="Z3047" t="s">
        <v>27994</v>
      </c>
      <c r="AA3047">
        <v>1.015652315862061</v>
      </c>
      <c r="AB3047" t="str">
        <f>HYPERLINK("Melting_Curves/meltCurve_Q14247_CTTN.pdf", "Melting_Curves/meltCurve_Q14247_CTTN.pdf")</f>
        <v>Melting_Curves/meltCurve_Q14247_CTTN.pdf</v>
      </c>
    </row>
    <row r="3048" spans="1:28" x14ac:dyDescent="0.25">
      <c r="A3048" t="s">
        <v>3052</v>
      </c>
      <c r="B3048">
        <v>0.99987803227770999</v>
      </c>
      <c r="C3048">
        <v>0.91116372877904295</v>
      </c>
      <c r="D3048">
        <v>1.0039208634389001</v>
      </c>
      <c r="E3048">
        <v>0.81240588708816797</v>
      </c>
      <c r="F3048">
        <v>0.90908849043453899</v>
      </c>
      <c r="G3048">
        <v>0.66135438004602998</v>
      </c>
      <c r="H3048">
        <v>0.78969995578340901</v>
      </c>
      <c r="I3048">
        <v>0.66052924257151302</v>
      </c>
      <c r="J3048">
        <v>0.86686672275965004</v>
      </c>
      <c r="K3048">
        <v>0.73016041863966297</v>
      </c>
      <c r="L3048">
        <v>886.85014460889704</v>
      </c>
      <c r="M3048">
        <v>17.797601184574098</v>
      </c>
      <c r="O3048">
        <v>49.213433779810103</v>
      </c>
      <c r="P3048">
        <v>-2.30524449813981E-2</v>
      </c>
      <c r="Q3048">
        <v>0.74503722248152604</v>
      </c>
      <c r="R3048">
        <v>0.60187862967166095</v>
      </c>
      <c r="S3048" t="s">
        <v>9359</v>
      </c>
      <c r="T3048" t="s">
        <v>12620</v>
      </c>
      <c r="U3048" t="s">
        <v>12620</v>
      </c>
      <c r="V3048" t="s">
        <v>12620</v>
      </c>
      <c r="W3048" t="s">
        <v>15623</v>
      </c>
      <c r="X3048">
        <v>54</v>
      </c>
      <c r="Y3048" t="s">
        <v>21781</v>
      </c>
      <c r="Z3048" t="s">
        <v>27995</v>
      </c>
      <c r="AA3048">
        <v>0.83303114166163683</v>
      </c>
      <c r="AB3048" t="str">
        <f>HYPERLINK("Melting_Curves/meltCurve_Q14247_3_CTTN.pdf", "Melting_Curves/meltCurve_Q14247_3_CTTN.pdf")</f>
        <v>Melting_Curves/meltCurve_Q14247_3_CTTN.pdf</v>
      </c>
    </row>
    <row r="3049" spans="1:28" x14ac:dyDescent="0.25">
      <c r="A3049" t="s">
        <v>3053</v>
      </c>
      <c r="B3049">
        <v>0.99987803227770999</v>
      </c>
      <c r="C3049">
        <v>1.1198012493191001</v>
      </c>
      <c r="D3049">
        <v>0.746754211514293</v>
      </c>
      <c r="E3049">
        <v>0.64242243703736301</v>
      </c>
      <c r="F3049">
        <v>0.24100440251597499</v>
      </c>
      <c r="G3049">
        <v>0.167830040898552</v>
      </c>
      <c r="H3049">
        <v>6.2353343552180703E-2</v>
      </c>
      <c r="I3049">
        <v>4.9754696928984002E-2</v>
      </c>
      <c r="J3049">
        <v>3.73980139198129E-2</v>
      </c>
      <c r="K3049">
        <v>2.2640780041665899E-2</v>
      </c>
      <c r="L3049">
        <v>955.25668419688895</v>
      </c>
      <c r="M3049">
        <v>18.9137385410226</v>
      </c>
      <c r="N3049">
        <v>50.663809505870098</v>
      </c>
      <c r="O3049">
        <v>49.951532877532998</v>
      </c>
      <c r="P3049">
        <v>-9.1955830389462506E-2</v>
      </c>
      <c r="Q3049">
        <v>2.8611235025038401E-2</v>
      </c>
      <c r="R3049">
        <v>0.96879364162679904</v>
      </c>
      <c r="S3049" t="s">
        <v>9360</v>
      </c>
      <c r="T3049" t="s">
        <v>12620</v>
      </c>
      <c r="U3049" t="s">
        <v>12620</v>
      </c>
      <c r="V3049" t="s">
        <v>12620</v>
      </c>
      <c r="W3049" t="s">
        <v>15624</v>
      </c>
      <c r="X3049">
        <v>3</v>
      </c>
      <c r="Y3049" t="s">
        <v>21782</v>
      </c>
      <c r="Z3049" t="s">
        <v>27996</v>
      </c>
      <c r="AA3049">
        <v>0.38379971427024062</v>
      </c>
      <c r="AB3049" t="str">
        <f>HYPERLINK("Melting_Curves/meltCurve_Q14249_ENDOG.pdf", "Melting_Curves/meltCurve_Q14249_ENDOG.pdf")</f>
        <v>Melting_Curves/meltCurve_Q14249_ENDOG.pdf</v>
      </c>
    </row>
    <row r="3050" spans="1:28" x14ac:dyDescent="0.25">
      <c r="A3050" t="s">
        <v>3054</v>
      </c>
      <c r="B3050">
        <v>0.99987803227770999</v>
      </c>
      <c r="C3050">
        <v>0.92427066148334303</v>
      </c>
      <c r="D3050">
        <v>0.93513202526123695</v>
      </c>
      <c r="E3050">
        <v>0.87010970014890099</v>
      </c>
      <c r="F3050">
        <v>0.84740847472234104</v>
      </c>
      <c r="G3050">
        <v>0.89934928879693998</v>
      </c>
      <c r="H3050">
        <v>0.71986076729489701</v>
      </c>
      <c r="I3050">
        <v>0.97484349357310596</v>
      </c>
      <c r="J3050">
        <v>0.59058981274869105</v>
      </c>
      <c r="K3050">
        <v>0.54807697486945595</v>
      </c>
      <c r="L3050">
        <v>354.01210887279802</v>
      </c>
      <c r="M3050">
        <v>4.54874599990326</v>
      </c>
      <c r="O3050">
        <v>66.335900135959207</v>
      </c>
      <c r="P3050">
        <v>-1.7287497912475101E-2</v>
      </c>
      <c r="Q3050">
        <v>0</v>
      </c>
      <c r="R3050">
        <v>0.60161741602457797</v>
      </c>
      <c r="S3050" t="s">
        <v>9361</v>
      </c>
      <c r="T3050" t="s">
        <v>12620</v>
      </c>
      <c r="U3050" t="s">
        <v>12620</v>
      </c>
      <c r="V3050" t="s">
        <v>12620</v>
      </c>
      <c r="W3050" t="s">
        <v>15625</v>
      </c>
      <c r="X3050">
        <v>9</v>
      </c>
      <c r="Y3050" t="s">
        <v>21783</v>
      </c>
      <c r="Z3050" t="s">
        <v>27997</v>
      </c>
      <c r="AA3050">
        <v>0.84601849027257903</v>
      </c>
      <c r="AB3050" t="str">
        <f>HYPERLINK("Melting_Curves/meltCurve_Q14257_RCN2.pdf", "Melting_Curves/meltCurve_Q14257_RCN2.pdf")</f>
        <v>Melting_Curves/meltCurve_Q14257_RCN2.pdf</v>
      </c>
    </row>
    <row r="3051" spans="1:28" x14ac:dyDescent="0.25">
      <c r="A3051" t="s">
        <v>3055</v>
      </c>
      <c r="B3051">
        <v>0.99987803227770999</v>
      </c>
      <c r="C3051">
        <v>1.1812459228221299</v>
      </c>
      <c r="D3051">
        <v>0.57576107175190105</v>
      </c>
      <c r="E3051">
        <v>0.64063674713875696</v>
      </c>
      <c r="F3051">
        <v>0.30881912315160698</v>
      </c>
      <c r="G3051">
        <v>0.173097290644082</v>
      </c>
      <c r="H3051">
        <v>0.117353645191422</v>
      </c>
      <c r="I3051">
        <v>9.08816643349145E-2</v>
      </c>
      <c r="J3051">
        <v>6.5290507521477095E-2</v>
      </c>
      <c r="K3051">
        <v>4.5350486802810903E-2</v>
      </c>
      <c r="L3051">
        <v>756.53280285872097</v>
      </c>
      <c r="M3051">
        <v>15.0856256601454</v>
      </c>
      <c r="N3051">
        <v>50.473447980742002</v>
      </c>
      <c r="O3051">
        <v>49.2927777629018</v>
      </c>
      <c r="P3051">
        <v>-7.2984639637904997E-2</v>
      </c>
      <c r="Q3051">
        <v>4.6175367889263998E-2</v>
      </c>
      <c r="R3051">
        <v>0.91585576169624305</v>
      </c>
      <c r="S3051" t="s">
        <v>9362</v>
      </c>
      <c r="T3051" t="s">
        <v>12620</v>
      </c>
      <c r="U3051" t="s">
        <v>12620</v>
      </c>
      <c r="V3051" t="s">
        <v>12620</v>
      </c>
      <c r="W3051" t="s">
        <v>15626</v>
      </c>
      <c r="X3051">
        <v>18</v>
      </c>
      <c r="Y3051" t="s">
        <v>21784</v>
      </c>
      <c r="Z3051" t="s">
        <v>27998</v>
      </c>
      <c r="AA3051">
        <v>0.39127351345708861</v>
      </c>
      <c r="AB3051" t="str">
        <f>HYPERLINK("Melting_Curves/meltCurve_Q14258_TRIM25.pdf", "Melting_Curves/meltCurve_Q14258_TRIM25.pdf")</f>
        <v>Melting_Curves/meltCurve_Q14258_TRIM25.pdf</v>
      </c>
    </row>
    <row r="3052" spans="1:28" x14ac:dyDescent="0.25">
      <c r="A3052" t="s">
        <v>3056</v>
      </c>
      <c r="B3052">
        <v>0.99987803227770999</v>
      </c>
      <c r="C3052">
        <v>0.90964641739464802</v>
      </c>
      <c r="D3052">
        <v>0.89372376781594498</v>
      </c>
      <c r="E3052">
        <v>0.51769873398544097</v>
      </c>
      <c r="F3052">
        <v>0.44056416513376001</v>
      </c>
      <c r="G3052">
        <v>0.26822734655375702</v>
      </c>
      <c r="H3052">
        <v>0.18846686148116601</v>
      </c>
      <c r="I3052">
        <v>0.144358311527442</v>
      </c>
      <c r="J3052">
        <v>0.101050561225813</v>
      </c>
      <c r="K3052">
        <v>7.7926307462682295E-2</v>
      </c>
      <c r="L3052">
        <v>695.15131982311095</v>
      </c>
      <c r="M3052">
        <v>13.6668879626446</v>
      </c>
      <c r="N3052">
        <v>51.528701804829304</v>
      </c>
      <c r="O3052">
        <v>49.812011065481897</v>
      </c>
      <c r="P3052">
        <v>-6.3057456765141406E-2</v>
      </c>
      <c r="Q3052">
        <v>8.0826228769658795E-2</v>
      </c>
      <c r="R3052">
        <v>0.98819698667915401</v>
      </c>
      <c r="S3052" t="s">
        <v>9363</v>
      </c>
      <c r="T3052" t="s">
        <v>12620</v>
      </c>
      <c r="U3052" t="s">
        <v>12620</v>
      </c>
      <c r="V3052" t="s">
        <v>12620</v>
      </c>
      <c r="W3052" t="s">
        <v>15627</v>
      </c>
      <c r="X3052">
        <v>5</v>
      </c>
      <c r="Y3052" t="s">
        <v>21785</v>
      </c>
      <c r="Z3052" t="s">
        <v>27999</v>
      </c>
      <c r="AA3052">
        <v>0.43850213693236029</v>
      </c>
      <c r="AB3052" t="str">
        <f>HYPERLINK("Melting_Curves/meltCurve_Q14289_2_PTK2B.pdf", "Melting_Curves/meltCurve_Q14289_2_PTK2B.pdf")</f>
        <v>Melting_Curves/meltCurve_Q14289_2_PTK2B.pdf</v>
      </c>
    </row>
    <row r="3053" spans="1:28" x14ac:dyDescent="0.25">
      <c r="A3053" t="s">
        <v>3057</v>
      </c>
      <c r="B3053">
        <v>0.99987803227770999</v>
      </c>
      <c r="C3053">
        <v>0.92975801583622197</v>
      </c>
      <c r="D3053">
        <v>0.93842875335824205</v>
      </c>
      <c r="E3053">
        <v>0.79411555291399205</v>
      </c>
      <c r="F3053">
        <v>0.49233739245617902</v>
      </c>
      <c r="G3053">
        <v>0.44261951511878</v>
      </c>
      <c r="H3053">
        <v>0.23846164018473701</v>
      </c>
      <c r="I3053">
        <v>0.144725410815984</v>
      </c>
      <c r="J3053">
        <v>0.11130509318444901</v>
      </c>
      <c r="K3053">
        <v>7.4810853579713302E-2</v>
      </c>
      <c r="L3053">
        <v>647.52607939201698</v>
      </c>
      <c r="M3053">
        <v>11.8720757976389</v>
      </c>
      <c r="N3053">
        <v>54.662342827848398</v>
      </c>
      <c r="O3053">
        <v>53.063506825964097</v>
      </c>
      <c r="P3053">
        <v>-5.5225371585325499E-2</v>
      </c>
      <c r="Q3053">
        <v>1.2905336402381101E-2</v>
      </c>
      <c r="R3053">
        <v>0.98542059357356504</v>
      </c>
      <c r="S3053" t="s">
        <v>9364</v>
      </c>
      <c r="T3053" t="s">
        <v>12620</v>
      </c>
      <c r="U3053" t="s">
        <v>12620</v>
      </c>
      <c r="V3053" t="s">
        <v>12620</v>
      </c>
      <c r="W3053" t="s">
        <v>15628</v>
      </c>
      <c r="X3053">
        <v>24</v>
      </c>
      <c r="Y3053" t="s">
        <v>21786</v>
      </c>
      <c r="Z3053" t="s">
        <v>28000</v>
      </c>
      <c r="AA3053">
        <v>0.51598797502231419</v>
      </c>
      <c r="AB3053" t="str">
        <f>HYPERLINK("Melting_Curves/meltCurve_Q14315_2_FLNC.pdf", "Melting_Curves/meltCurve_Q14315_2_FLNC.pdf")</f>
        <v>Melting_Curves/meltCurve_Q14315_2_FLNC.pdf</v>
      </c>
    </row>
    <row r="3054" spans="1:28" x14ac:dyDescent="0.25">
      <c r="A3054" t="s">
        <v>3058</v>
      </c>
      <c r="B3054">
        <v>0.99987803227770999</v>
      </c>
      <c r="C3054">
        <v>0.91958933760866102</v>
      </c>
      <c r="D3054">
        <v>0.85597360851563398</v>
      </c>
      <c r="E3054">
        <v>0.58758393628994798</v>
      </c>
      <c r="F3054">
        <v>0.51053288443156797</v>
      </c>
      <c r="G3054">
        <v>0.35359973996855398</v>
      </c>
      <c r="H3054">
        <v>0.277151188432117</v>
      </c>
      <c r="I3054">
        <v>0.233302337489767</v>
      </c>
      <c r="J3054">
        <v>0.219613654345578</v>
      </c>
      <c r="K3054">
        <v>0.20467660137181701</v>
      </c>
      <c r="L3054">
        <v>651.91671244175495</v>
      </c>
      <c r="M3054">
        <v>12.842457498949001</v>
      </c>
      <c r="N3054">
        <v>52.675270273542097</v>
      </c>
      <c r="O3054">
        <v>49.579029765351599</v>
      </c>
      <c r="P3054">
        <v>-5.2700103017331801E-2</v>
      </c>
      <c r="Q3054">
        <v>0.18634387027281599</v>
      </c>
      <c r="R3054">
        <v>0.99511372799878695</v>
      </c>
      <c r="S3054" t="s">
        <v>9365</v>
      </c>
      <c r="T3054" t="s">
        <v>12620</v>
      </c>
      <c r="U3054" t="s">
        <v>12620</v>
      </c>
      <c r="V3054" t="s">
        <v>12620</v>
      </c>
      <c r="W3054" t="s">
        <v>15629</v>
      </c>
      <c r="X3054">
        <v>3</v>
      </c>
      <c r="Y3054" t="s">
        <v>21787</v>
      </c>
      <c r="Z3054" t="s">
        <v>28001</v>
      </c>
      <c r="AA3054">
        <v>0.50256420176735206</v>
      </c>
      <c r="AB3054" t="str">
        <f>HYPERLINK("Melting_Curves/meltCurve_Q14318_FKBP8.pdf", "Melting_Curves/meltCurve_Q14318_FKBP8.pdf")</f>
        <v>Melting_Curves/meltCurve_Q14318_FKBP8.pdf</v>
      </c>
    </row>
    <row r="3055" spans="1:28" x14ac:dyDescent="0.25">
      <c r="A3055" t="s">
        <v>3059</v>
      </c>
      <c r="B3055">
        <v>0.99987803227770999</v>
      </c>
      <c r="C3055">
        <v>0.74557983735257805</v>
      </c>
      <c r="D3055">
        <v>0.98891930693554697</v>
      </c>
      <c r="E3055">
        <v>0.83475529695815698</v>
      </c>
      <c r="F3055">
        <v>0.94121205255326501</v>
      </c>
      <c r="G3055">
        <v>0.49621142160322901</v>
      </c>
      <c r="H3055">
        <v>0.27435068684196401</v>
      </c>
      <c r="I3055">
        <v>0.198766756623343</v>
      </c>
      <c r="J3055">
        <v>0.18624629053476399</v>
      </c>
      <c r="K3055">
        <v>0.148282310173489</v>
      </c>
      <c r="L3055">
        <v>1447.16805743993</v>
      </c>
      <c r="M3055">
        <v>25.652391735445001</v>
      </c>
      <c r="N3055">
        <v>57.263170073410897</v>
      </c>
      <c r="O3055">
        <v>56.075051499996597</v>
      </c>
      <c r="P3055">
        <v>-9.6283436336974407E-2</v>
      </c>
      <c r="Q3055">
        <v>0.15812390669398599</v>
      </c>
      <c r="R3055">
        <v>0.921926214809065</v>
      </c>
      <c r="S3055" t="s">
        <v>9366</v>
      </c>
      <c r="T3055" t="s">
        <v>12620</v>
      </c>
      <c r="U3055" t="s">
        <v>12620</v>
      </c>
      <c r="V3055" t="s">
        <v>12620</v>
      </c>
      <c r="W3055" t="s">
        <v>15630</v>
      </c>
      <c r="X3055">
        <v>16</v>
      </c>
      <c r="Y3055" t="s">
        <v>21788</v>
      </c>
      <c r="Z3055" t="s">
        <v>28002</v>
      </c>
      <c r="AA3055">
        <v>0.62612160617848833</v>
      </c>
      <c r="AB3055" t="str">
        <f>HYPERLINK("Melting_Curves/meltCurve_Q14320_FAM50A.pdf", "Melting_Curves/meltCurve_Q14320_FAM50A.pdf")</f>
        <v>Melting_Curves/meltCurve_Q14320_FAM50A.pdf</v>
      </c>
    </row>
    <row r="3056" spans="1:28" x14ac:dyDescent="0.25">
      <c r="A3056" t="s">
        <v>3060</v>
      </c>
      <c r="B3056">
        <v>0.99987803227770999</v>
      </c>
      <c r="C3056">
        <v>0.87776521488210202</v>
      </c>
      <c r="D3056">
        <v>0.91301222594290099</v>
      </c>
      <c r="E3056">
        <v>0.71788680817412198</v>
      </c>
      <c r="F3056">
        <v>0.54877585297839904</v>
      </c>
      <c r="G3056">
        <v>0.25691791711239098</v>
      </c>
      <c r="H3056">
        <v>0.24935476457509201</v>
      </c>
      <c r="I3056">
        <v>0.19206768599627499</v>
      </c>
      <c r="J3056">
        <v>0.23437371669207199</v>
      </c>
      <c r="K3056">
        <v>0.17658612684314501</v>
      </c>
      <c r="L3056">
        <v>862.84935056506299</v>
      </c>
      <c r="M3056">
        <v>16.6497093561693</v>
      </c>
      <c r="N3056">
        <v>53.186640827121401</v>
      </c>
      <c r="O3056">
        <v>51.093397637211602</v>
      </c>
      <c r="P3056">
        <v>-6.7324116528133193E-2</v>
      </c>
      <c r="Q3056">
        <v>0.17365819879549901</v>
      </c>
      <c r="R3056">
        <v>0.98247883385092105</v>
      </c>
      <c r="S3056" t="s">
        <v>9367</v>
      </c>
      <c r="T3056" t="s">
        <v>12620</v>
      </c>
      <c r="U3056" t="s">
        <v>12620</v>
      </c>
      <c r="V3056" t="s">
        <v>12620</v>
      </c>
      <c r="W3056" t="s">
        <v>15631</v>
      </c>
      <c r="X3056">
        <v>7</v>
      </c>
      <c r="Y3056" t="s">
        <v>21789</v>
      </c>
      <c r="Z3056" t="s">
        <v>28003</v>
      </c>
      <c r="AA3056">
        <v>0.51506255198395423</v>
      </c>
      <c r="AB3056" t="str">
        <f>HYPERLINK("Melting_Curves/meltCurve_Q14331_FRG1.pdf", "Melting_Curves/meltCurve_Q14331_FRG1.pdf")</f>
        <v>Melting_Curves/meltCurve_Q14331_FRG1.pdf</v>
      </c>
    </row>
    <row r="3057" spans="1:28" x14ac:dyDescent="0.25">
      <c r="A3057" t="s">
        <v>3061</v>
      </c>
      <c r="B3057">
        <v>0.99987803227770999</v>
      </c>
      <c r="C3057">
        <v>0.71543083503438898</v>
      </c>
      <c r="D3057">
        <v>0.76804658563113404</v>
      </c>
      <c r="E3057">
        <v>0.47654980996824697</v>
      </c>
      <c r="F3057">
        <v>0.34026434689886798</v>
      </c>
      <c r="G3057">
        <v>0.109552654182687</v>
      </c>
      <c r="H3057">
        <v>4.8647389300282902E-2</v>
      </c>
      <c r="I3057">
        <v>3.7290704378661998E-2</v>
      </c>
      <c r="J3057">
        <v>2.8526223364249099E-2</v>
      </c>
      <c r="K3057">
        <v>2.67660962730971E-2</v>
      </c>
      <c r="L3057">
        <v>607.84686240275596</v>
      </c>
      <c r="M3057">
        <v>12.3251482893189</v>
      </c>
      <c r="N3057">
        <v>49.317610469157302</v>
      </c>
      <c r="O3057">
        <v>48.073263077233399</v>
      </c>
      <c r="P3057">
        <v>-6.4109584381411497E-2</v>
      </c>
      <c r="Q3057">
        <v>0</v>
      </c>
      <c r="R3057">
        <v>0.97106791521956803</v>
      </c>
      <c r="S3057" t="s">
        <v>9368</v>
      </c>
      <c r="T3057" t="s">
        <v>12620</v>
      </c>
      <c r="U3057" t="s">
        <v>12620</v>
      </c>
      <c r="V3057" t="s">
        <v>12620</v>
      </c>
      <c r="W3057" t="s">
        <v>15632</v>
      </c>
      <c r="X3057">
        <v>1</v>
      </c>
      <c r="Y3057" t="s">
        <v>21790</v>
      </c>
      <c r="Z3057" t="s">
        <v>28004</v>
      </c>
      <c r="AA3057">
        <v>0.34507021879425631</v>
      </c>
      <c r="AB3057" t="str">
        <f>HYPERLINK("Melting_Curves/meltCurve_Q14344_GNA13.pdf", "Melting_Curves/meltCurve_Q14344_GNA13.pdf")</f>
        <v>Melting_Curves/meltCurve_Q14344_GNA13.pdf</v>
      </c>
    </row>
    <row r="3058" spans="1:28" x14ac:dyDescent="0.25">
      <c r="A3058" t="s">
        <v>3062</v>
      </c>
      <c r="B3058">
        <v>0.99987803227770999</v>
      </c>
      <c r="C3058">
        <v>0.83994074682285103</v>
      </c>
      <c r="D3058">
        <v>1.00663543303506</v>
      </c>
      <c r="E3058">
        <v>0.79637180214964598</v>
      </c>
      <c r="F3058">
        <v>0.63190338109910005</v>
      </c>
      <c r="G3058">
        <v>0.182834972605014</v>
      </c>
      <c r="H3058">
        <v>0.170841577139174</v>
      </c>
      <c r="I3058">
        <v>0.170420578174767</v>
      </c>
      <c r="J3058">
        <v>0.13464564691466199</v>
      </c>
      <c r="K3058">
        <v>8.6578250573439403E-2</v>
      </c>
      <c r="L3058">
        <v>1329.9681366445</v>
      </c>
      <c r="M3058">
        <v>25.0356677879976</v>
      </c>
      <c r="N3058">
        <v>53.696499859960397</v>
      </c>
      <c r="O3058">
        <v>52.787479131746203</v>
      </c>
      <c r="P3058">
        <v>-0.104658659093327</v>
      </c>
      <c r="Q3058">
        <v>0.117324477079981</v>
      </c>
      <c r="R3058">
        <v>0.97035225357365795</v>
      </c>
      <c r="S3058" t="s">
        <v>9369</v>
      </c>
      <c r="T3058" t="s">
        <v>12620</v>
      </c>
      <c r="U3058" t="s">
        <v>12620</v>
      </c>
      <c r="V3058" t="s">
        <v>12620</v>
      </c>
      <c r="W3058" t="s">
        <v>15633</v>
      </c>
      <c r="X3058">
        <v>5</v>
      </c>
      <c r="Y3058" t="s">
        <v>21791</v>
      </c>
      <c r="Z3058" t="s">
        <v>28005</v>
      </c>
      <c r="AA3058">
        <v>0.5115463618356324</v>
      </c>
      <c r="AB3058" t="str">
        <f>HYPERLINK("Melting_Curves/meltCurve_Q14353_GAMT.pdf", "Melting_Curves/meltCurve_Q14353_GAMT.pdf")</f>
        <v>Melting_Curves/meltCurve_Q14353_GAMT.pdf</v>
      </c>
    </row>
    <row r="3059" spans="1:28" x14ac:dyDescent="0.25">
      <c r="A3059" t="s">
        <v>3063</v>
      </c>
      <c r="B3059">
        <v>0.99987803227770999</v>
      </c>
      <c r="C3059">
        <v>1.01715577900877</v>
      </c>
      <c r="D3059">
        <v>0.97167185436968295</v>
      </c>
      <c r="E3059">
        <v>0.58387280515198703</v>
      </c>
      <c r="F3059">
        <v>0.22724320176516899</v>
      </c>
      <c r="G3059">
        <v>0.15248179605058901</v>
      </c>
      <c r="H3059">
        <v>0.112607519911971</v>
      </c>
      <c r="I3059">
        <v>0.100588085010811</v>
      </c>
      <c r="J3059">
        <v>7.8999943908526105E-2</v>
      </c>
      <c r="K3059">
        <v>5.3393774473591699E-2</v>
      </c>
      <c r="L3059">
        <v>1657.4563638248401</v>
      </c>
      <c r="M3059">
        <v>32.974883186838703</v>
      </c>
      <c r="N3059">
        <v>50.583262707571301</v>
      </c>
      <c r="O3059">
        <v>50.080426561622403</v>
      </c>
      <c r="P3059">
        <v>-0.14915362393983</v>
      </c>
      <c r="Q3059">
        <v>9.3898995087036197E-2</v>
      </c>
      <c r="R3059">
        <v>0.99719884401208803</v>
      </c>
      <c r="S3059" t="s">
        <v>9370</v>
      </c>
      <c r="T3059" t="s">
        <v>12620</v>
      </c>
      <c r="U3059" t="s">
        <v>12620</v>
      </c>
      <c r="V3059" t="s">
        <v>12620</v>
      </c>
      <c r="W3059" t="s">
        <v>15634</v>
      </c>
      <c r="X3059">
        <v>13</v>
      </c>
      <c r="Y3059" t="s">
        <v>21792</v>
      </c>
      <c r="Z3059" t="s">
        <v>28006</v>
      </c>
      <c r="AA3059">
        <v>0.4085629685782563</v>
      </c>
      <c r="AB3059" t="str">
        <f>HYPERLINK("Melting_Curves/meltCurve_Q14376_GALE.pdf", "Melting_Curves/meltCurve_Q14376_GALE.pdf")</f>
        <v>Melting_Curves/meltCurve_Q14376_GALE.pdf</v>
      </c>
    </row>
    <row r="3060" spans="1:28" x14ac:dyDescent="0.25">
      <c r="A3060" t="s">
        <v>3064</v>
      </c>
      <c r="B3060">
        <v>0.99987803227770999</v>
      </c>
      <c r="C3060">
        <v>1.07605737863228</v>
      </c>
      <c r="D3060">
        <v>0.79811037287375297</v>
      </c>
      <c r="E3060">
        <v>0.59445519196277896</v>
      </c>
      <c r="F3060">
        <v>0.29790350779616298</v>
      </c>
      <c r="G3060">
        <v>0.22781024775998601</v>
      </c>
      <c r="H3060">
        <v>0.13315747618344101</v>
      </c>
      <c r="I3060">
        <v>0.119327706920988</v>
      </c>
      <c r="J3060">
        <v>0.12618698955802801</v>
      </c>
      <c r="K3060">
        <v>8.2526287935431597E-2</v>
      </c>
      <c r="L3060">
        <v>962.53107438621203</v>
      </c>
      <c r="M3060">
        <v>19.2204218446849</v>
      </c>
      <c r="N3060">
        <v>50.716375190873897</v>
      </c>
      <c r="O3060">
        <v>49.545914467506201</v>
      </c>
      <c r="P3060">
        <v>-8.6574036264949999E-2</v>
      </c>
      <c r="Q3060">
        <v>0.10736060630318001</v>
      </c>
      <c r="R3060">
        <v>0.98394798881735002</v>
      </c>
      <c r="S3060" t="s">
        <v>9371</v>
      </c>
      <c r="T3060" t="s">
        <v>12620</v>
      </c>
      <c r="U3060" t="s">
        <v>12620</v>
      </c>
      <c r="V3060" t="s">
        <v>12620</v>
      </c>
      <c r="W3060" t="s">
        <v>15635</v>
      </c>
      <c r="X3060">
        <v>3</v>
      </c>
      <c r="Y3060" t="s">
        <v>21793</v>
      </c>
      <c r="Z3060" t="s">
        <v>28007</v>
      </c>
      <c r="AA3060">
        <v>0.42066149360673932</v>
      </c>
      <c r="AB3060" t="str">
        <f>HYPERLINK("Melting_Curves/meltCurve_Q14432_PDE3A.pdf", "Melting_Curves/meltCurve_Q14432_PDE3A.pdf")</f>
        <v>Melting_Curves/meltCurve_Q14432_PDE3A.pdf</v>
      </c>
    </row>
    <row r="3061" spans="1:28" x14ac:dyDescent="0.25">
      <c r="A3061" t="s">
        <v>3065</v>
      </c>
      <c r="B3061">
        <v>0.99987803227770999</v>
      </c>
      <c r="C3061">
        <v>1.0858583694105199</v>
      </c>
      <c r="D3061">
        <v>1.0494270799505401</v>
      </c>
      <c r="E3061">
        <v>1.1389822675343</v>
      </c>
      <c r="F3061">
        <v>1.0488438808079099</v>
      </c>
      <c r="G3061">
        <v>0.98642099899824498</v>
      </c>
      <c r="H3061">
        <v>1.1578445381156801</v>
      </c>
      <c r="I3061">
        <v>1.0765971909962799</v>
      </c>
      <c r="J3061">
        <v>1.1339051226849901</v>
      </c>
      <c r="K3061">
        <v>0.84745109358443105</v>
      </c>
      <c r="L3061">
        <v>15000</v>
      </c>
      <c r="M3061">
        <v>212.57086820470801</v>
      </c>
      <c r="Q3061">
        <v>0</v>
      </c>
      <c r="R3061">
        <v>-5.6721450353260497E-2</v>
      </c>
      <c r="S3061" t="s">
        <v>9372</v>
      </c>
      <c r="T3061" t="s">
        <v>12620</v>
      </c>
      <c r="U3061" t="s">
        <v>12620</v>
      </c>
      <c r="V3061" t="s">
        <v>12620</v>
      </c>
      <c r="W3061" t="s">
        <v>15636</v>
      </c>
      <c r="X3061">
        <v>20</v>
      </c>
      <c r="Y3061" t="s">
        <v>21794</v>
      </c>
      <c r="Z3061" t="s">
        <v>28008</v>
      </c>
      <c r="AA3061">
        <v>0.99821509402579334</v>
      </c>
      <c r="AB3061" t="str">
        <f>HYPERLINK("Melting_Curves/meltCurve_Q14444_2_CAPRIN1.pdf", "Melting_Curves/meltCurve_Q14444_2_CAPRIN1.pdf")</f>
        <v>Melting_Curves/meltCurve_Q14444_2_CAPRIN1.pdf</v>
      </c>
    </row>
    <row r="3062" spans="1:28" x14ac:dyDescent="0.25">
      <c r="A3062" t="s">
        <v>3066</v>
      </c>
      <c r="B3062">
        <v>0.99987803227770999</v>
      </c>
      <c r="C3062">
        <v>0.99559722677193596</v>
      </c>
      <c r="D3062">
        <v>0.96689818480498102</v>
      </c>
      <c r="E3062">
        <v>0.82648154737426105</v>
      </c>
      <c r="F3062">
        <v>0.74408930634228099</v>
      </c>
      <c r="G3062">
        <v>0.54640792869198296</v>
      </c>
      <c r="H3062">
        <v>0.43404617833863002</v>
      </c>
      <c r="I3062">
        <v>0.39722826409072398</v>
      </c>
      <c r="J3062">
        <v>0.27884956804964101</v>
      </c>
      <c r="K3062">
        <v>0.26011971816222501</v>
      </c>
      <c r="L3062">
        <v>643.95763449582296</v>
      </c>
      <c r="M3062">
        <v>11.4252548662043</v>
      </c>
      <c r="N3062">
        <v>58.806222728546402</v>
      </c>
      <c r="O3062">
        <v>54.718865896070298</v>
      </c>
      <c r="P3062">
        <v>-4.23473798569661E-2</v>
      </c>
      <c r="Q3062">
        <v>0.18898078419640599</v>
      </c>
      <c r="R3062">
        <v>0.99441294269943703</v>
      </c>
      <c r="S3062" t="s">
        <v>9373</v>
      </c>
      <c r="T3062" t="s">
        <v>12620</v>
      </c>
      <c r="U3062" t="s">
        <v>12620</v>
      </c>
      <c r="V3062" t="s">
        <v>12620</v>
      </c>
      <c r="W3062" t="s">
        <v>15637</v>
      </c>
      <c r="X3062">
        <v>3</v>
      </c>
      <c r="Y3062" t="s">
        <v>21795</v>
      </c>
      <c r="Z3062" t="s">
        <v>28009</v>
      </c>
      <c r="AA3062">
        <v>0.64701321697040493</v>
      </c>
      <c r="AB3062" t="str">
        <f>HYPERLINK("Melting_Curves/meltCurve_Q14449_GRB14.pdf", "Melting_Curves/meltCurve_Q14449_GRB14.pdf")</f>
        <v>Melting_Curves/meltCurve_Q14449_GRB14.pdf</v>
      </c>
    </row>
    <row r="3063" spans="1:28" x14ac:dyDescent="0.25">
      <c r="A3063" t="s">
        <v>3067</v>
      </c>
      <c r="B3063">
        <v>0.99987803227770999</v>
      </c>
      <c r="C3063">
        <v>0.87503770552084803</v>
      </c>
      <c r="D3063">
        <v>0.77060760784763904</v>
      </c>
      <c r="E3063">
        <v>0.64586375543004704</v>
      </c>
      <c r="F3063">
        <v>0.72230058597617997</v>
      </c>
      <c r="G3063">
        <v>0.57071309959254701</v>
      </c>
      <c r="H3063">
        <v>0.56760668458691799</v>
      </c>
      <c r="I3063">
        <v>0.62650919570696295</v>
      </c>
      <c r="J3063">
        <v>0.55869768193249103</v>
      </c>
      <c r="K3063">
        <v>0.50699059128771296</v>
      </c>
      <c r="L3063">
        <v>571.83166616158496</v>
      </c>
      <c r="M3063">
        <v>12.2737860984156</v>
      </c>
      <c r="O3063">
        <v>45.404704805723398</v>
      </c>
      <c r="P3063">
        <v>-3.0189746762208501E-2</v>
      </c>
      <c r="Q3063">
        <v>0.55337209912601304</v>
      </c>
      <c r="R3063">
        <v>0.91219583265909199</v>
      </c>
      <c r="S3063" t="s">
        <v>9374</v>
      </c>
      <c r="T3063" t="s">
        <v>12620</v>
      </c>
      <c r="U3063" t="s">
        <v>12620</v>
      </c>
      <c r="V3063" t="s">
        <v>12620</v>
      </c>
      <c r="W3063" t="s">
        <v>15638</v>
      </c>
      <c r="X3063">
        <v>3</v>
      </c>
      <c r="Y3063" t="s">
        <v>21796</v>
      </c>
      <c r="Z3063" t="s">
        <v>28010</v>
      </c>
      <c r="AA3063">
        <v>0.67003416014187311</v>
      </c>
      <c r="AB3063" t="str">
        <f>HYPERLINK("Melting_Curves/meltCurve_Q14451_GRB7.pdf", "Melting_Curves/meltCurve_Q14451_GRB7.pdf")</f>
        <v>Melting_Curves/meltCurve_Q14451_GRB7.pdf</v>
      </c>
    </row>
    <row r="3064" spans="1:28" x14ac:dyDescent="0.25">
      <c r="A3064" t="s">
        <v>3068</v>
      </c>
      <c r="B3064">
        <v>0.99987803227770999</v>
      </c>
      <c r="C3064">
        <v>0.98147301276634102</v>
      </c>
      <c r="D3064">
        <v>0.83343915594456397</v>
      </c>
      <c r="E3064">
        <v>1.1699109928068601</v>
      </c>
      <c r="F3064">
        <v>0.64457384662620199</v>
      </c>
      <c r="G3064">
        <v>0.347952706296217</v>
      </c>
      <c r="H3064">
        <v>0.21411872607294699</v>
      </c>
      <c r="I3064">
        <v>0.18260698963725</v>
      </c>
      <c r="J3064">
        <v>0.14901352172409801</v>
      </c>
      <c r="K3064">
        <v>0.11324872453012</v>
      </c>
      <c r="L3064">
        <v>1908.3822587053801</v>
      </c>
      <c r="M3064">
        <v>35.284853379252702</v>
      </c>
      <c r="N3064">
        <v>54.724040879438398</v>
      </c>
      <c r="O3064">
        <v>53.9121885045924</v>
      </c>
      <c r="P3064">
        <v>-0.135995762567763</v>
      </c>
      <c r="Q3064">
        <v>0.168844038358236</v>
      </c>
      <c r="R3064">
        <v>0.94088311585595497</v>
      </c>
      <c r="S3064" t="s">
        <v>9375</v>
      </c>
      <c r="T3064" t="s">
        <v>12620</v>
      </c>
      <c r="U3064" t="s">
        <v>12620</v>
      </c>
      <c r="V3064" t="s">
        <v>12620</v>
      </c>
      <c r="W3064" t="s">
        <v>15639</v>
      </c>
      <c r="X3064">
        <v>7</v>
      </c>
      <c r="Y3064" t="s">
        <v>21797</v>
      </c>
      <c r="Z3064" t="s">
        <v>28011</v>
      </c>
      <c r="AA3064">
        <v>0.56305193710092871</v>
      </c>
      <c r="AB3064" t="str">
        <f>HYPERLINK("Melting_Curves/meltCurve_Q14457_BECN1.pdf", "Melting_Curves/meltCurve_Q14457_BECN1.pdf")</f>
        <v>Melting_Curves/meltCurve_Q14457_BECN1.pdf</v>
      </c>
    </row>
    <row r="3065" spans="1:28" x14ac:dyDescent="0.25">
      <c r="A3065" t="s">
        <v>3069</v>
      </c>
      <c r="B3065">
        <v>0.99987803227770999</v>
      </c>
      <c r="C3065">
        <v>1.7908130643715301</v>
      </c>
      <c r="D3065">
        <v>1.36519491784527</v>
      </c>
      <c r="E3065">
        <v>2.9950131901365098</v>
      </c>
      <c r="F3065">
        <v>1.2541203540327099</v>
      </c>
      <c r="G3065">
        <v>1.5461629440899201</v>
      </c>
      <c r="H3065">
        <v>2.1088981449533399</v>
      </c>
      <c r="I3065">
        <v>1.32881090899188</v>
      </c>
      <c r="J3065">
        <v>0.416108378704175</v>
      </c>
      <c r="K3065">
        <v>0.132376123785969</v>
      </c>
      <c r="L3065">
        <v>15000</v>
      </c>
      <c r="M3065">
        <v>224.601598980761</v>
      </c>
      <c r="N3065">
        <v>66.876440466167693</v>
      </c>
      <c r="O3065">
        <v>66.779644627716294</v>
      </c>
      <c r="P3065">
        <v>-0.72958185147193499</v>
      </c>
      <c r="Q3065">
        <v>0.13230888301395999</v>
      </c>
      <c r="R3065">
        <v>-7.6321915024584602E-2</v>
      </c>
      <c r="S3065" t="s">
        <v>9376</v>
      </c>
      <c r="T3065" t="s">
        <v>12620</v>
      </c>
      <c r="U3065" t="s">
        <v>12620</v>
      </c>
      <c r="V3065" t="s">
        <v>12620</v>
      </c>
      <c r="W3065" t="s">
        <v>15640</v>
      </c>
      <c r="X3065">
        <v>1</v>
      </c>
      <c r="Y3065" t="s">
        <v>21798</v>
      </c>
      <c r="Z3065" t="s">
        <v>28012</v>
      </c>
      <c r="AA3065">
        <v>0.90713583578093282</v>
      </c>
      <c r="AB3065" t="str">
        <f>HYPERLINK("Melting_Curves/meltCurve_Q14469_HES1.pdf", "Melting_Curves/meltCurve_Q14469_HES1.pdf")</f>
        <v>Melting_Curves/meltCurve_Q14469_HES1.pdf</v>
      </c>
    </row>
    <row r="3066" spans="1:28" x14ac:dyDescent="0.25">
      <c r="A3066" t="s">
        <v>3070</v>
      </c>
      <c r="B3066">
        <v>0.99987803227770999</v>
      </c>
      <c r="C3066">
        <v>0.84411333670972499</v>
      </c>
      <c r="D3066">
        <v>0.94122072026489001</v>
      </c>
      <c r="E3066">
        <v>0.69863816760462705</v>
      </c>
      <c r="F3066">
        <v>0.77537122687770899</v>
      </c>
      <c r="G3066">
        <v>0.54716060044916504</v>
      </c>
      <c r="H3066">
        <v>0.58210962790380305</v>
      </c>
      <c r="I3066">
        <v>0.56842031516428604</v>
      </c>
      <c r="J3066">
        <v>0.61010052123434499</v>
      </c>
      <c r="K3066">
        <v>0.51863515950987804</v>
      </c>
      <c r="L3066">
        <v>544.35811988700505</v>
      </c>
      <c r="M3066">
        <v>10.9200156045939</v>
      </c>
      <c r="O3066">
        <v>48.265276321414298</v>
      </c>
      <c r="P3066">
        <v>-2.6724845398293201E-2</v>
      </c>
      <c r="Q3066">
        <v>0.527680318566774</v>
      </c>
      <c r="R3066">
        <v>0.86973819215206105</v>
      </c>
      <c r="S3066" t="s">
        <v>9377</v>
      </c>
      <c r="T3066" t="s">
        <v>12620</v>
      </c>
      <c r="U3066" t="s">
        <v>12620</v>
      </c>
      <c r="V3066" t="s">
        <v>12620</v>
      </c>
      <c r="W3066" t="s">
        <v>15641</v>
      </c>
      <c r="X3066">
        <v>6</v>
      </c>
      <c r="Y3066" t="s">
        <v>21799</v>
      </c>
      <c r="Z3066" t="s">
        <v>28013</v>
      </c>
      <c r="AA3066">
        <v>0.70180695332850063</v>
      </c>
      <c r="AB3066" t="str">
        <f>HYPERLINK("Melting_Curves/meltCurve_Q14493_SLBP.pdf", "Melting_Curves/meltCurve_Q14493_SLBP.pdf")</f>
        <v>Melting_Curves/meltCurve_Q14493_SLBP.pdf</v>
      </c>
    </row>
    <row r="3067" spans="1:28" x14ac:dyDescent="0.25">
      <c r="A3067" t="s">
        <v>3071</v>
      </c>
      <c r="B3067">
        <v>0.99987803227770999</v>
      </c>
      <c r="C3067">
        <v>0.78404879738230604</v>
      </c>
      <c r="D3067">
        <v>0.95551813156519205</v>
      </c>
      <c r="E3067">
        <v>0.78159113673321101</v>
      </c>
      <c r="F3067">
        <v>0.81853495675188503</v>
      </c>
      <c r="G3067">
        <v>0.728087847178577</v>
      </c>
      <c r="H3067">
        <v>0.67621137832702305</v>
      </c>
      <c r="I3067">
        <v>0.73765936205466998</v>
      </c>
      <c r="J3067">
        <v>0.64054082837871995</v>
      </c>
      <c r="K3067">
        <v>0.58706352754508995</v>
      </c>
      <c r="L3067">
        <v>198.21016733381799</v>
      </c>
      <c r="M3067">
        <v>2.4084227779619298</v>
      </c>
      <c r="O3067">
        <v>54.415657122031902</v>
      </c>
      <c r="P3067">
        <v>-1.1486171064770701E-2</v>
      </c>
      <c r="Q3067">
        <v>1.7399520221857302E-2</v>
      </c>
      <c r="R3067">
        <v>0.76855924982249701</v>
      </c>
      <c r="S3067" t="s">
        <v>9378</v>
      </c>
      <c r="T3067" t="s">
        <v>12620</v>
      </c>
      <c r="U3067" t="s">
        <v>12620</v>
      </c>
      <c r="V3067" t="s">
        <v>12620</v>
      </c>
      <c r="W3067" t="s">
        <v>15642</v>
      </c>
      <c r="X3067">
        <v>4</v>
      </c>
      <c r="Y3067" t="s">
        <v>21799</v>
      </c>
      <c r="Z3067" t="s">
        <v>28014</v>
      </c>
      <c r="AA3067">
        <v>0.77156367641649548</v>
      </c>
      <c r="AB3067" t="str">
        <f>HYPERLINK("Melting_Curves/meltCurve_Q14493_2_SLBP.pdf", "Melting_Curves/meltCurve_Q14493_2_SLBP.pdf")</f>
        <v>Melting_Curves/meltCurve_Q14493_2_SLBP.pdf</v>
      </c>
    </row>
    <row r="3068" spans="1:28" x14ac:dyDescent="0.25">
      <c r="A3068" t="s">
        <v>3072</v>
      </c>
      <c r="B3068">
        <v>0.99987803227770999</v>
      </c>
      <c r="C3068">
        <v>1.07892112935922</v>
      </c>
      <c r="D3068">
        <v>1.0834969347246799</v>
      </c>
      <c r="E3068">
        <v>1.02556967090966</v>
      </c>
      <c r="F3068">
        <v>0.62780090107764697</v>
      </c>
      <c r="G3068">
        <v>0.39756458570028003</v>
      </c>
      <c r="H3068">
        <v>0.23381396484268399</v>
      </c>
      <c r="I3068">
        <v>0.184590027582718</v>
      </c>
      <c r="J3068">
        <v>0.13574646022725401</v>
      </c>
      <c r="K3068">
        <v>0.103366116245361</v>
      </c>
      <c r="L3068">
        <v>1337.91308485845</v>
      </c>
      <c r="M3068">
        <v>24.537099424750402</v>
      </c>
      <c r="N3068">
        <v>55.281958903658698</v>
      </c>
      <c r="O3068">
        <v>54.167835715831501</v>
      </c>
      <c r="P3068">
        <v>-9.7109423661341607E-2</v>
      </c>
      <c r="Q3068">
        <v>0.142501600384701</v>
      </c>
      <c r="R3068">
        <v>0.97544148702772904</v>
      </c>
      <c r="S3068" t="s">
        <v>9379</v>
      </c>
      <c r="T3068" t="s">
        <v>12620</v>
      </c>
      <c r="U3068" t="s">
        <v>12620</v>
      </c>
      <c r="V3068" t="s">
        <v>12620</v>
      </c>
      <c r="W3068" t="s">
        <v>15643</v>
      </c>
      <c r="X3068">
        <v>8</v>
      </c>
      <c r="Y3068" t="s">
        <v>21800</v>
      </c>
      <c r="Z3068" t="s">
        <v>28015</v>
      </c>
      <c r="AA3068">
        <v>0.56591479132595834</v>
      </c>
      <c r="AB3068" t="str">
        <f>HYPERLINK("Melting_Curves/meltCurve_Q14498_2_RBM39.pdf", "Melting_Curves/meltCurve_Q14498_2_RBM39.pdf")</f>
        <v>Melting_Curves/meltCurve_Q14498_2_RBM39.pdf</v>
      </c>
    </row>
    <row r="3069" spans="1:28" x14ac:dyDescent="0.25">
      <c r="A3069" t="s">
        <v>3073</v>
      </c>
      <c r="B3069">
        <v>0.99987803227770999</v>
      </c>
      <c r="C3069">
        <v>0.95139840186234703</v>
      </c>
      <c r="D3069">
        <v>0.95402858011124303</v>
      </c>
      <c r="E3069">
        <v>0.68278671963271398</v>
      </c>
      <c r="F3069">
        <v>0.48200754220391601</v>
      </c>
      <c r="G3069">
        <v>0.34102527784925801</v>
      </c>
      <c r="H3069">
        <v>0.29275169043555799</v>
      </c>
      <c r="I3069">
        <v>0.27830215580284001</v>
      </c>
      <c r="J3069">
        <v>0.214298280975491</v>
      </c>
      <c r="K3069">
        <v>0.17911149238484</v>
      </c>
      <c r="L3069">
        <v>913.83042644678903</v>
      </c>
      <c r="M3069">
        <v>17.8258452711828</v>
      </c>
      <c r="N3069">
        <v>52.978937814225901</v>
      </c>
      <c r="O3069">
        <v>50.6322708016896</v>
      </c>
      <c r="P3069">
        <v>-6.8728053385862395E-2</v>
      </c>
      <c r="Q3069">
        <v>0.21918366722628099</v>
      </c>
      <c r="R3069">
        <v>0.99191983510117698</v>
      </c>
      <c r="S3069" t="s">
        <v>9380</v>
      </c>
      <c r="T3069" t="s">
        <v>12620</v>
      </c>
      <c r="U3069" t="s">
        <v>12620</v>
      </c>
      <c r="V3069" t="s">
        <v>12620</v>
      </c>
      <c r="W3069" t="s">
        <v>15644</v>
      </c>
      <c r="X3069">
        <v>14</v>
      </c>
      <c r="Y3069" t="s">
        <v>21801</v>
      </c>
      <c r="Z3069" t="s">
        <v>28016</v>
      </c>
      <c r="AA3069">
        <v>0.52570700345319543</v>
      </c>
      <c r="AB3069" t="str">
        <f>HYPERLINK("Melting_Curves/meltCurve_Q14511_3_NEDD9.pdf", "Melting_Curves/meltCurve_Q14511_3_NEDD9.pdf")</f>
        <v>Melting_Curves/meltCurve_Q14511_3_NEDD9.pdf</v>
      </c>
    </row>
    <row r="3070" spans="1:28" x14ac:dyDescent="0.25">
      <c r="A3070" t="s">
        <v>3074</v>
      </c>
      <c r="B3070">
        <v>0.99987803227770999</v>
      </c>
      <c r="C3070">
        <v>0.76041484738222098</v>
      </c>
      <c r="D3070">
        <v>0.86973203847222103</v>
      </c>
      <c r="E3070">
        <v>0.740041377273982</v>
      </c>
      <c r="F3070">
        <v>0.981531927139765</v>
      </c>
      <c r="G3070">
        <v>0.82422065001802003</v>
      </c>
      <c r="H3070">
        <v>0.82633560391652605</v>
      </c>
      <c r="I3070">
        <v>0.65369367476736495</v>
      </c>
      <c r="J3070">
        <v>0.86823844895094304</v>
      </c>
      <c r="K3070">
        <v>0.76797144910089898</v>
      </c>
      <c r="L3070">
        <v>10244.878135097601</v>
      </c>
      <c r="M3070">
        <v>250</v>
      </c>
      <c r="O3070">
        <v>40.9768751923677</v>
      </c>
      <c r="P3070">
        <v>-0.28942825781290699</v>
      </c>
      <c r="Q3070">
        <v>0.81024208112419405</v>
      </c>
      <c r="R3070">
        <v>0.31493505544838402</v>
      </c>
      <c r="S3070" t="s">
        <v>9381</v>
      </c>
      <c r="T3070" t="s">
        <v>12620</v>
      </c>
      <c r="U3070" t="s">
        <v>12620</v>
      </c>
      <c r="V3070" t="s">
        <v>12620</v>
      </c>
      <c r="W3070" t="s">
        <v>15645</v>
      </c>
      <c r="X3070">
        <v>1</v>
      </c>
      <c r="Y3070" t="s">
        <v>21802</v>
      </c>
      <c r="Z3070" t="s">
        <v>28017</v>
      </c>
      <c r="AA3070">
        <v>0.81645355199911085</v>
      </c>
      <c r="AB3070" t="str">
        <f>HYPERLINK("Melting_Curves/meltCurve_Q14517_FAT1.pdf", "Melting_Curves/meltCurve_Q14517_FAT1.pdf")</f>
        <v>Melting_Curves/meltCurve_Q14517_FAT1.pdf</v>
      </c>
    </row>
    <row r="3071" spans="1:28" x14ac:dyDescent="0.25">
      <c r="A3071" t="s">
        <v>3075</v>
      </c>
      <c r="B3071">
        <v>0.99987803227770999</v>
      </c>
      <c r="C3071">
        <v>1.0068209070893599</v>
      </c>
      <c r="D3071">
        <v>1.11747073067227</v>
      </c>
      <c r="E3071">
        <v>1.0403723929161199</v>
      </c>
      <c r="F3071">
        <v>1.0825804209031</v>
      </c>
      <c r="G3071">
        <v>0.63580059972165204</v>
      </c>
      <c r="H3071">
        <v>0.130625606273747</v>
      </c>
      <c r="I3071">
        <v>0.120890280134012</v>
      </c>
      <c r="J3071">
        <v>7.4212854832495803E-2</v>
      </c>
      <c r="K3071">
        <v>4.54344083658616E-2</v>
      </c>
      <c r="L3071">
        <v>3519.9830417776002</v>
      </c>
      <c r="M3071">
        <v>61.320412965853301</v>
      </c>
      <c r="N3071">
        <v>57.580088341504698</v>
      </c>
      <c r="O3071">
        <v>57.342165574493599</v>
      </c>
      <c r="P3071">
        <v>-0.24438574927772799</v>
      </c>
      <c r="Q3071">
        <v>8.5876833354843002E-2</v>
      </c>
      <c r="R3071">
        <v>0.98701601897949098</v>
      </c>
      <c r="S3071" t="s">
        <v>9382</v>
      </c>
      <c r="T3071" t="s">
        <v>12620</v>
      </c>
      <c r="U3071" t="s">
        <v>12620</v>
      </c>
      <c r="V3071" t="s">
        <v>12620</v>
      </c>
      <c r="W3071" t="s">
        <v>15646</v>
      </c>
      <c r="X3071">
        <v>1</v>
      </c>
      <c r="Y3071" t="s">
        <v>21803</v>
      </c>
      <c r="Z3071" t="s">
        <v>28018</v>
      </c>
      <c r="AA3071">
        <v>0.61769864331135849</v>
      </c>
      <c r="AB3071" t="str">
        <f>HYPERLINK("Melting_Curves/meltCurve_Q14520_2_HABP2.pdf", "Melting_Curves/meltCurve_Q14520_2_HABP2.pdf")</f>
        <v>Melting_Curves/meltCurve_Q14520_2_HABP2.pdf</v>
      </c>
    </row>
    <row r="3072" spans="1:28" x14ac:dyDescent="0.25">
      <c r="A3072" t="s">
        <v>3076</v>
      </c>
      <c r="B3072">
        <v>0.99987803227770999</v>
      </c>
      <c r="C3072">
        <v>0.90593631165823696</v>
      </c>
      <c r="D3072">
        <v>0.79183079155287095</v>
      </c>
      <c r="E3072">
        <v>0.54022657232087901</v>
      </c>
      <c r="F3072">
        <v>0.38844429044134499</v>
      </c>
      <c r="G3072">
        <v>0.22960277580998101</v>
      </c>
      <c r="H3072">
        <v>0.17163208074358399</v>
      </c>
      <c r="I3072">
        <v>0.14418383968114701</v>
      </c>
      <c r="J3072">
        <v>0.14694866750517599</v>
      </c>
      <c r="K3072">
        <v>0.107985254130292</v>
      </c>
      <c r="L3072">
        <v>701.82370230346805</v>
      </c>
      <c r="M3072">
        <v>14.071057839281</v>
      </c>
      <c r="N3072">
        <v>50.741984174257801</v>
      </c>
      <c r="O3072">
        <v>48.902129220649499</v>
      </c>
      <c r="P3072">
        <v>-6.4273370181990794E-2</v>
      </c>
      <c r="Q3072">
        <v>0.10662099083502501</v>
      </c>
      <c r="R3072">
        <v>0.99856602414096596</v>
      </c>
      <c r="S3072" t="s">
        <v>9383</v>
      </c>
      <c r="T3072" t="s">
        <v>12620</v>
      </c>
      <c r="U3072" t="s">
        <v>12620</v>
      </c>
      <c r="V3072" t="s">
        <v>12620</v>
      </c>
      <c r="W3072" t="s">
        <v>15647</v>
      </c>
      <c r="X3072">
        <v>6</v>
      </c>
      <c r="Y3072" t="s">
        <v>21804</v>
      </c>
      <c r="Z3072" t="s">
        <v>28019</v>
      </c>
      <c r="AA3072">
        <v>0.42468791992892763</v>
      </c>
      <c r="AB3072" t="str">
        <f>HYPERLINK("Melting_Curves/meltCurve_Q14527_HLTF.pdf", "Melting_Curves/meltCurve_Q14527_HLTF.pdf")</f>
        <v>Melting_Curves/meltCurve_Q14527_HLTF.pdf</v>
      </c>
    </row>
    <row r="3073" spans="1:28" x14ac:dyDescent="0.25">
      <c r="A3073" t="s">
        <v>3077</v>
      </c>
      <c r="B3073">
        <v>0.99987803227770999</v>
      </c>
      <c r="C3073">
        <v>0.88424171051916001</v>
      </c>
      <c r="D3073">
        <v>0.93485234778986204</v>
      </c>
      <c r="E3073">
        <v>0.84284501911974097</v>
      </c>
      <c r="F3073">
        <v>0.79425983171221304</v>
      </c>
      <c r="G3073">
        <v>0.20593740017388401</v>
      </c>
      <c r="H3073">
        <v>0.12090333767122299</v>
      </c>
      <c r="I3073">
        <v>9.6507046342734604E-2</v>
      </c>
      <c r="J3073">
        <v>7.1576762664892504E-2</v>
      </c>
      <c r="K3073">
        <v>4.8060092370655498E-2</v>
      </c>
      <c r="L3073">
        <v>1809.2885163876699</v>
      </c>
      <c r="M3073">
        <v>33.185541697940302</v>
      </c>
      <c r="N3073">
        <v>54.765936641982499</v>
      </c>
      <c r="O3073">
        <v>54.323550299366097</v>
      </c>
      <c r="P3073">
        <v>-0.14216527293070999</v>
      </c>
      <c r="Q3073">
        <v>6.9126098351349696E-2</v>
      </c>
      <c r="R3073">
        <v>0.97696374970039501</v>
      </c>
      <c r="S3073" t="s">
        <v>9384</v>
      </c>
      <c r="T3073" t="s">
        <v>12620</v>
      </c>
      <c r="U3073" t="s">
        <v>12620</v>
      </c>
      <c r="V3073" t="s">
        <v>12620</v>
      </c>
      <c r="W3073" t="s">
        <v>15648</v>
      </c>
      <c r="X3073">
        <v>5</v>
      </c>
      <c r="Y3073" t="s">
        <v>21805</v>
      </c>
      <c r="Z3073" t="s">
        <v>28020</v>
      </c>
      <c r="AA3073">
        <v>0.52474076096363775</v>
      </c>
      <c r="AB3073" t="str">
        <f>HYPERLINK("Melting_Curves/meltCurve_Q14554_PDIA5.pdf", "Melting_Curves/meltCurve_Q14554_PDIA5.pdf")</f>
        <v>Melting_Curves/meltCurve_Q14554_PDIA5.pdf</v>
      </c>
    </row>
    <row r="3074" spans="1:28" x14ac:dyDescent="0.25">
      <c r="A3074" t="s">
        <v>3078</v>
      </c>
      <c r="B3074">
        <v>0.99987803227770999</v>
      </c>
      <c r="C3074">
        <v>0.96639847486017205</v>
      </c>
      <c r="D3074">
        <v>0.96182273441459398</v>
      </c>
      <c r="E3074">
        <v>1.2590199031856699</v>
      </c>
      <c r="F3074">
        <v>0.92760688806366098</v>
      </c>
      <c r="G3074">
        <v>0.47674605446560198</v>
      </c>
      <c r="H3074">
        <v>0.20721991201363499</v>
      </c>
      <c r="I3074">
        <v>0.144168369933174</v>
      </c>
      <c r="J3074">
        <v>0.10231925919123</v>
      </c>
      <c r="K3074">
        <v>7.0179959121748403E-2</v>
      </c>
      <c r="L3074">
        <v>2191.5845229930001</v>
      </c>
      <c r="M3074">
        <v>38.747412728688502</v>
      </c>
      <c r="N3074">
        <v>56.937022543496802</v>
      </c>
      <c r="O3074">
        <v>56.4107702253567</v>
      </c>
      <c r="P3074">
        <v>-0.15232589262262899</v>
      </c>
      <c r="Q3074">
        <v>0.112941988677112</v>
      </c>
      <c r="R3074">
        <v>0.95867667513918098</v>
      </c>
      <c r="S3074" t="s">
        <v>9385</v>
      </c>
      <c r="T3074" t="s">
        <v>12620</v>
      </c>
      <c r="U3074" t="s">
        <v>12620</v>
      </c>
      <c r="V3074" t="s">
        <v>12620</v>
      </c>
      <c r="W3074" t="s">
        <v>15649</v>
      </c>
      <c r="X3074">
        <v>11</v>
      </c>
      <c r="Y3074" t="s">
        <v>21806</v>
      </c>
      <c r="Z3074" t="s">
        <v>28021</v>
      </c>
      <c r="AA3074">
        <v>0.6062791197239128</v>
      </c>
      <c r="AB3074" t="str">
        <f>HYPERLINK("Melting_Curves/meltCurve_Q14558_2_PRPSAP1.pdf", "Melting_Curves/meltCurve_Q14558_2_PRPSAP1.pdf")</f>
        <v>Melting_Curves/meltCurve_Q14558_2_PRPSAP1.pdf</v>
      </c>
    </row>
    <row r="3075" spans="1:28" x14ac:dyDescent="0.25">
      <c r="A3075" t="s">
        <v>3079</v>
      </c>
      <c r="B3075">
        <v>0.99987803227770999</v>
      </c>
      <c r="C3075">
        <v>1.06962086971251</v>
      </c>
      <c r="D3075">
        <v>1.0284010505293499</v>
      </c>
      <c r="E3075">
        <v>1.0435403518536901</v>
      </c>
      <c r="F3075">
        <v>0.86824254149800095</v>
      </c>
      <c r="G3075">
        <v>0.53397478298433998</v>
      </c>
      <c r="H3075">
        <v>0.44132837791832802</v>
      </c>
      <c r="I3075">
        <v>0.50549844986606796</v>
      </c>
      <c r="J3075">
        <v>0.278859870005503</v>
      </c>
      <c r="K3075">
        <v>5.9989690422086302E-2</v>
      </c>
      <c r="L3075">
        <v>728.30667315090795</v>
      </c>
      <c r="M3075">
        <v>12.024102132624201</v>
      </c>
      <c r="N3075">
        <v>60.570566167027501</v>
      </c>
      <c r="O3075">
        <v>58.9681759827698</v>
      </c>
      <c r="P3075">
        <v>-5.0989275792973798E-2</v>
      </c>
      <c r="Q3075">
        <v>0</v>
      </c>
      <c r="R3075">
        <v>0.93010402714873697</v>
      </c>
      <c r="S3075" t="s">
        <v>9386</v>
      </c>
      <c r="T3075" t="s">
        <v>12620</v>
      </c>
      <c r="U3075" t="s">
        <v>12620</v>
      </c>
      <c r="V3075" t="s">
        <v>12620</v>
      </c>
      <c r="W3075" t="s">
        <v>15650</v>
      </c>
      <c r="X3075">
        <v>8</v>
      </c>
      <c r="Y3075" t="s">
        <v>21807</v>
      </c>
      <c r="Z3075" t="s">
        <v>28022</v>
      </c>
      <c r="AA3075">
        <v>0.6845875444668984</v>
      </c>
      <c r="AB3075" t="str">
        <f>HYPERLINK("Melting_Curves/meltCurve_Q14562_DHX8.pdf", "Melting_Curves/meltCurve_Q14562_DHX8.pdf")</f>
        <v>Melting_Curves/meltCurve_Q14562_DHX8.pdf</v>
      </c>
    </row>
    <row r="3076" spans="1:28" x14ac:dyDescent="0.25">
      <c r="A3076" t="s">
        <v>3080</v>
      </c>
      <c r="B3076">
        <v>0.99987803227770999</v>
      </c>
      <c r="C3076">
        <v>0.91782709521858696</v>
      </c>
      <c r="D3076">
        <v>0.76099610269108797</v>
      </c>
      <c r="E3076">
        <v>1.0871808619910599</v>
      </c>
      <c r="F3076">
        <v>0.37415111324176498</v>
      </c>
      <c r="G3076">
        <v>0.23073558648593301</v>
      </c>
      <c r="H3076">
        <v>0.14123274988585</v>
      </c>
      <c r="I3076">
        <v>0.116846513799131</v>
      </c>
      <c r="J3076">
        <v>9.2648149842501401E-2</v>
      </c>
      <c r="K3076">
        <v>6.4439391864335796E-2</v>
      </c>
      <c r="L3076">
        <v>13200.2876828098</v>
      </c>
      <c r="M3076">
        <v>250</v>
      </c>
      <c r="N3076">
        <v>52.864354095748503</v>
      </c>
      <c r="O3076">
        <v>52.797771943682001</v>
      </c>
      <c r="P3076">
        <v>-1.0308431785894101</v>
      </c>
      <c r="Q3076">
        <v>0.129180434415748</v>
      </c>
      <c r="R3076">
        <v>0.94355889264071702</v>
      </c>
      <c r="S3076" t="s">
        <v>9387</v>
      </c>
      <c r="T3076" t="s">
        <v>12620</v>
      </c>
      <c r="U3076" t="s">
        <v>12620</v>
      </c>
      <c r="V3076" t="s">
        <v>12620</v>
      </c>
      <c r="W3076" t="s">
        <v>15651</v>
      </c>
      <c r="X3076">
        <v>40</v>
      </c>
      <c r="Y3076" t="s">
        <v>21808</v>
      </c>
      <c r="Z3076" t="s">
        <v>28023</v>
      </c>
      <c r="AA3076">
        <v>0.5008442130415528</v>
      </c>
      <c r="AB3076" t="str">
        <f>HYPERLINK("Melting_Curves/meltCurve_Q14566_MCM6.pdf", "Melting_Curves/meltCurve_Q14566_MCM6.pdf")</f>
        <v>Melting_Curves/meltCurve_Q14566_MCM6.pdf</v>
      </c>
    </row>
    <row r="3077" spans="1:28" x14ac:dyDescent="0.25">
      <c r="A3077" t="s">
        <v>3081</v>
      </c>
      <c r="B3077">
        <v>0.99987803227770999</v>
      </c>
      <c r="C3077">
        <v>0.96046145221397605</v>
      </c>
      <c r="D3077">
        <v>1.0579459781568501</v>
      </c>
      <c r="E3077">
        <v>0.95386895306614805</v>
      </c>
      <c r="F3077">
        <v>0.523385251865367</v>
      </c>
      <c r="G3077">
        <v>0.25961452015526898</v>
      </c>
      <c r="H3077">
        <v>0.151654039213275</v>
      </c>
      <c r="I3077">
        <v>0.105296186820767</v>
      </c>
      <c r="J3077">
        <v>8.9527193244484604E-2</v>
      </c>
      <c r="K3077">
        <v>5.9629824315089099E-2</v>
      </c>
      <c r="L3077">
        <v>1675.1399289435899</v>
      </c>
      <c r="M3077">
        <v>31.5046915803443</v>
      </c>
      <c r="N3077">
        <v>53.571358062339797</v>
      </c>
      <c r="O3077">
        <v>52.958259695209001</v>
      </c>
      <c r="P3077">
        <v>-0.13312985934853799</v>
      </c>
      <c r="Q3077">
        <v>0.104858456153914</v>
      </c>
      <c r="R3077">
        <v>0.98874605053253495</v>
      </c>
      <c r="S3077" t="s">
        <v>9388</v>
      </c>
      <c r="T3077" t="s">
        <v>12620</v>
      </c>
      <c r="U3077" t="s">
        <v>12620</v>
      </c>
      <c r="V3077" t="s">
        <v>12620</v>
      </c>
      <c r="W3077" t="s">
        <v>15652</v>
      </c>
      <c r="X3077">
        <v>19</v>
      </c>
      <c r="Y3077" t="s">
        <v>21809</v>
      </c>
      <c r="Z3077" t="s">
        <v>28024</v>
      </c>
      <c r="AA3077">
        <v>0.50314522167527997</v>
      </c>
      <c r="AB3077" t="str">
        <f>HYPERLINK("Melting_Curves/meltCurve_Q14651_PLS1.pdf", "Melting_Curves/meltCurve_Q14651_PLS1.pdf")</f>
        <v>Melting_Curves/meltCurve_Q14651_PLS1.pdf</v>
      </c>
    </row>
    <row r="3078" spans="1:28" x14ac:dyDescent="0.25">
      <c r="A3078" t="s">
        <v>3082</v>
      </c>
      <c r="B3078">
        <v>0.99987803227770999</v>
      </c>
      <c r="C3078">
        <v>0.89906854116378898</v>
      </c>
      <c r="D3078">
        <v>1.0053418214826899</v>
      </c>
      <c r="E3078">
        <v>0.82059883145482404</v>
      </c>
      <c r="F3078">
        <v>0.83532716665464801</v>
      </c>
      <c r="G3078">
        <v>0.32745128288862402</v>
      </c>
      <c r="H3078">
        <v>0.101648538050005</v>
      </c>
      <c r="I3078">
        <v>7.4207119551897405E-2</v>
      </c>
      <c r="J3078">
        <v>5.0614845198956003E-2</v>
      </c>
      <c r="K3078">
        <v>3.9815464087628101E-2</v>
      </c>
      <c r="L3078">
        <v>1414.7821292496001</v>
      </c>
      <c r="M3078">
        <v>25.5431707489582</v>
      </c>
      <c r="N3078">
        <v>55.535530439549298</v>
      </c>
      <c r="O3078">
        <v>55.051731880593898</v>
      </c>
      <c r="P3078">
        <v>-0.1121896955971</v>
      </c>
      <c r="Q3078">
        <v>3.2827634519786E-2</v>
      </c>
      <c r="R3078">
        <v>0.981700387071894</v>
      </c>
      <c r="S3078" t="s">
        <v>9389</v>
      </c>
      <c r="T3078" t="s">
        <v>12620</v>
      </c>
      <c r="U3078" t="s">
        <v>12620</v>
      </c>
      <c r="V3078" t="s">
        <v>12620</v>
      </c>
      <c r="W3078" t="s">
        <v>15653</v>
      </c>
      <c r="X3078">
        <v>9</v>
      </c>
      <c r="Y3078" t="s">
        <v>21810</v>
      </c>
      <c r="Z3078" t="s">
        <v>28025</v>
      </c>
      <c r="AA3078">
        <v>0.53752327340237116</v>
      </c>
      <c r="AB3078" t="str">
        <f>HYPERLINK("Melting_Curves/meltCurve_Q14653_IRF3.pdf", "Melting_Curves/meltCurve_Q14653_IRF3.pdf")</f>
        <v>Melting_Curves/meltCurve_Q14653_IRF3.pdf</v>
      </c>
    </row>
    <row r="3079" spans="1:28" x14ac:dyDescent="0.25">
      <c r="A3079" t="s">
        <v>3083</v>
      </c>
      <c r="B3079">
        <v>0.99987803227770999</v>
      </c>
      <c r="C3079">
        <v>1.01680876060807</v>
      </c>
      <c r="D3079">
        <v>0.97013156968750003</v>
      </c>
      <c r="E3079">
        <v>0.85033948484011901</v>
      </c>
      <c r="F3079">
        <v>0.80143807244191201</v>
      </c>
      <c r="G3079">
        <v>0.50130146905289896</v>
      </c>
      <c r="H3079">
        <v>0.27339976412482903</v>
      </c>
      <c r="I3079">
        <v>0.10718162096023</v>
      </c>
      <c r="J3079">
        <v>7.3374310731191106E-2</v>
      </c>
      <c r="K3079">
        <v>5.4665084645382098E-2</v>
      </c>
      <c r="L3079">
        <v>925.56457523474705</v>
      </c>
      <c r="M3079">
        <v>16.2454790950957</v>
      </c>
      <c r="N3079">
        <v>56.9736707265224</v>
      </c>
      <c r="O3079">
        <v>56.131357230455997</v>
      </c>
      <c r="P3079">
        <v>-7.2360089471333697E-2</v>
      </c>
      <c r="Q3079">
        <v>0</v>
      </c>
      <c r="R3079">
        <v>0.99574598054575603</v>
      </c>
      <c r="S3079" t="s">
        <v>9390</v>
      </c>
      <c r="T3079" t="s">
        <v>12620</v>
      </c>
      <c r="U3079" t="s">
        <v>12620</v>
      </c>
      <c r="V3079" t="s">
        <v>12620</v>
      </c>
      <c r="W3079" t="s">
        <v>15654</v>
      </c>
      <c r="X3079">
        <v>3</v>
      </c>
      <c r="Y3079" t="s">
        <v>21811</v>
      </c>
      <c r="Z3079" t="s">
        <v>28026</v>
      </c>
      <c r="AA3079">
        <v>0.58083561024693664</v>
      </c>
      <c r="AB3079" t="str">
        <f>HYPERLINK("Melting_Curves/meltCurve_Q14657_LAGE3.pdf", "Melting_Curves/meltCurve_Q14657_LAGE3.pdf")</f>
        <v>Melting_Curves/meltCurve_Q14657_LAGE3.pdf</v>
      </c>
    </row>
    <row r="3080" spans="1:28" x14ac:dyDescent="0.25">
      <c r="A3080" t="s">
        <v>3084</v>
      </c>
      <c r="B3080">
        <v>0.99987803227770999</v>
      </c>
      <c r="C3080">
        <v>0.96718880258215401</v>
      </c>
      <c r="D3080">
        <v>0.61723379897284103</v>
      </c>
      <c r="E3080">
        <v>0.53312086195838004</v>
      </c>
      <c r="F3080">
        <v>0.38099264916661302</v>
      </c>
      <c r="G3080">
        <v>0.20184521956975399</v>
      </c>
      <c r="H3080">
        <v>0.14785725354144</v>
      </c>
      <c r="I3080">
        <v>0.12666079377539699</v>
      </c>
      <c r="J3080">
        <v>0.11870675400252099</v>
      </c>
      <c r="K3080">
        <v>9.0170722011143498E-2</v>
      </c>
      <c r="L3080">
        <v>626.21934314185796</v>
      </c>
      <c r="M3080">
        <v>12.6971924591475</v>
      </c>
      <c r="N3080">
        <v>49.994011704292397</v>
      </c>
      <c r="O3080">
        <v>48.144133178592398</v>
      </c>
      <c r="P3080">
        <v>-6.0754841190706101E-2</v>
      </c>
      <c r="Q3080">
        <v>7.8717888586497003E-2</v>
      </c>
      <c r="R3080">
        <v>0.97571511067804995</v>
      </c>
      <c r="S3080" t="s">
        <v>9391</v>
      </c>
      <c r="T3080" t="s">
        <v>12620</v>
      </c>
      <c r="U3080" t="s">
        <v>12620</v>
      </c>
      <c r="V3080" t="s">
        <v>12620</v>
      </c>
      <c r="W3080" t="s">
        <v>15655</v>
      </c>
      <c r="X3080">
        <v>26</v>
      </c>
      <c r="Y3080" t="s">
        <v>21812</v>
      </c>
      <c r="Z3080" t="s">
        <v>28027</v>
      </c>
      <c r="AA3080">
        <v>0.39512938963913319</v>
      </c>
      <c r="AB3080" t="str">
        <f>HYPERLINK("Melting_Curves/meltCurve_Q14669_3_TRIP12.pdf", "Melting_Curves/meltCurve_Q14669_3_TRIP12.pdf")</f>
        <v>Melting_Curves/meltCurve_Q14669_3_TRIP12.pdf</v>
      </c>
    </row>
    <row r="3081" spans="1:28" x14ac:dyDescent="0.25">
      <c r="A3081" t="s">
        <v>3085</v>
      </c>
      <c r="B3081">
        <v>0.99987803227770999</v>
      </c>
      <c r="C3081">
        <v>0.95635617194011502</v>
      </c>
      <c r="D3081">
        <v>1.05916732581421</v>
      </c>
      <c r="E3081">
        <v>0.86211385301968002</v>
      </c>
      <c r="F3081">
        <v>0.73885682883147497</v>
      </c>
      <c r="G3081">
        <v>0.60366370345069398</v>
      </c>
      <c r="H3081">
        <v>0.61119819407490406</v>
      </c>
      <c r="I3081">
        <v>0.55733495643289899</v>
      </c>
      <c r="J3081">
        <v>0.54875438368785101</v>
      </c>
      <c r="K3081">
        <v>0.45881153438334199</v>
      </c>
      <c r="L3081">
        <v>1056.0615128924601</v>
      </c>
      <c r="M3081">
        <v>20.048125081385901</v>
      </c>
      <c r="O3081">
        <v>52.160634570051997</v>
      </c>
      <c r="P3081">
        <v>-4.5447929606459499E-2</v>
      </c>
      <c r="Q3081">
        <v>0.52703493903245602</v>
      </c>
      <c r="R3081">
        <v>0.95744924601353198</v>
      </c>
      <c r="S3081" t="s">
        <v>9392</v>
      </c>
      <c r="T3081" t="s">
        <v>12620</v>
      </c>
      <c r="U3081" t="s">
        <v>12620</v>
      </c>
      <c r="V3081" t="s">
        <v>12620</v>
      </c>
      <c r="W3081" t="s">
        <v>15656</v>
      </c>
      <c r="X3081">
        <v>17</v>
      </c>
      <c r="Y3081" t="s">
        <v>21813</v>
      </c>
      <c r="Z3081" t="s">
        <v>28028</v>
      </c>
      <c r="AA3081">
        <v>0.7333776720266203</v>
      </c>
      <c r="AB3081" t="str">
        <f>HYPERLINK("Melting_Curves/meltCurve_Q14671_2_PUM1.pdf", "Melting_Curves/meltCurve_Q14671_2_PUM1.pdf")</f>
        <v>Melting_Curves/meltCurve_Q14671_2_PUM1.pdf</v>
      </c>
    </row>
    <row r="3082" spans="1:28" x14ac:dyDescent="0.25">
      <c r="A3082" t="s">
        <v>3086</v>
      </c>
      <c r="B3082">
        <v>0.99987803227770999</v>
      </c>
      <c r="C3082">
        <v>0.93203965088595997</v>
      </c>
      <c r="D3082">
        <v>0.96748410621789604</v>
      </c>
      <c r="E3082">
        <v>0.89446741776747696</v>
      </c>
      <c r="F3082">
        <v>0.898047904872873</v>
      </c>
      <c r="G3082">
        <v>0.75400275619596901</v>
      </c>
      <c r="H3082">
        <v>0.78359042838172999</v>
      </c>
      <c r="I3082">
        <v>0.73324133051060503</v>
      </c>
      <c r="J3082">
        <v>0.724059969056704</v>
      </c>
      <c r="K3082">
        <v>0.54306725787445298</v>
      </c>
      <c r="L3082">
        <v>326.25707528184603</v>
      </c>
      <c r="M3082">
        <v>4.2090477562930202</v>
      </c>
      <c r="O3082">
        <v>64.638449542476494</v>
      </c>
      <c r="P3082">
        <v>-1.6456652878084201E-2</v>
      </c>
      <c r="Q3082">
        <v>0</v>
      </c>
      <c r="R3082">
        <v>0.90284762066316204</v>
      </c>
      <c r="S3082" t="s">
        <v>9393</v>
      </c>
      <c r="T3082" t="s">
        <v>12620</v>
      </c>
      <c r="U3082" t="s">
        <v>12620</v>
      </c>
      <c r="V3082" t="s">
        <v>12620</v>
      </c>
      <c r="W3082" t="s">
        <v>15657</v>
      </c>
      <c r="X3082">
        <v>29</v>
      </c>
      <c r="Y3082" t="s">
        <v>21814</v>
      </c>
      <c r="Z3082" t="s">
        <v>28029</v>
      </c>
      <c r="AA3082">
        <v>0.82998794918129748</v>
      </c>
      <c r="AB3082" t="str">
        <f>HYPERLINK("Melting_Curves/meltCurve_Q14676_MDC1.pdf", "Melting_Curves/meltCurve_Q14676_MDC1.pdf")</f>
        <v>Melting_Curves/meltCurve_Q14676_MDC1.pdf</v>
      </c>
    </row>
    <row r="3083" spans="1:28" x14ac:dyDescent="0.25">
      <c r="A3083" t="s">
        <v>3087</v>
      </c>
      <c r="B3083">
        <v>0.99987803227770999</v>
      </c>
      <c r="C3083">
        <v>0.88751249511318397</v>
      </c>
      <c r="D3083">
        <v>1.1281365316324901</v>
      </c>
      <c r="E3083">
        <v>0.95302203876218206</v>
      </c>
      <c r="F3083">
        <v>1.0313057905085199</v>
      </c>
      <c r="G3083">
        <v>0.81899947615144897</v>
      </c>
      <c r="H3083">
        <v>0.56319838560681601</v>
      </c>
      <c r="I3083">
        <v>0.43121735126650501</v>
      </c>
      <c r="J3083">
        <v>0.29656860783337202</v>
      </c>
      <c r="K3083">
        <v>0.22945608738954901</v>
      </c>
      <c r="L3083">
        <v>1265.75787379902</v>
      </c>
      <c r="M3083">
        <v>20.8265404266334</v>
      </c>
      <c r="N3083">
        <v>62.2377600420728</v>
      </c>
      <c r="O3083">
        <v>60.224183002726598</v>
      </c>
      <c r="P3083">
        <v>-6.9735448733851402E-2</v>
      </c>
      <c r="Q3083">
        <v>0.19340539488504099</v>
      </c>
      <c r="R3083">
        <v>0.96148413170658698</v>
      </c>
      <c r="S3083" t="s">
        <v>9394</v>
      </c>
      <c r="T3083" t="s">
        <v>12620</v>
      </c>
      <c r="U3083" t="s">
        <v>12620</v>
      </c>
      <c r="V3083" t="s">
        <v>12620</v>
      </c>
      <c r="W3083" t="s">
        <v>15658</v>
      </c>
      <c r="X3083">
        <v>18</v>
      </c>
      <c r="Y3083" t="s">
        <v>21815</v>
      </c>
      <c r="Z3083" t="s">
        <v>28030</v>
      </c>
      <c r="AA3083">
        <v>0.75745206430106837</v>
      </c>
      <c r="AB3083" t="str">
        <f>HYPERLINK("Melting_Curves/meltCurve_Q14677_CLINT1.pdf", "Melting_Curves/meltCurve_Q14677_CLINT1.pdf")</f>
        <v>Melting_Curves/meltCurve_Q14677_CLINT1.pdf</v>
      </c>
    </row>
    <row r="3084" spans="1:28" x14ac:dyDescent="0.25">
      <c r="A3084" t="s">
        <v>3088</v>
      </c>
      <c r="B3084">
        <v>0.99987803227770999</v>
      </c>
      <c r="C3084">
        <v>1.01432306771347</v>
      </c>
      <c r="D3084">
        <v>0.84177468379315801</v>
      </c>
      <c r="E3084">
        <v>0.66200780271466297</v>
      </c>
      <c r="F3084">
        <v>0.56174019621871196</v>
      </c>
      <c r="G3084">
        <v>0.42969922819212297</v>
      </c>
      <c r="H3084">
        <v>0.30256931909033602</v>
      </c>
      <c r="I3084">
        <v>0.29281114902685001</v>
      </c>
      <c r="J3084">
        <v>0.213130548359453</v>
      </c>
      <c r="K3084">
        <v>0.18217382140395599</v>
      </c>
      <c r="L3084">
        <v>596.82023946926404</v>
      </c>
      <c r="M3084">
        <v>11.346252993888999</v>
      </c>
      <c r="N3084">
        <v>54.436920276197696</v>
      </c>
      <c r="O3084">
        <v>51.046180842325001</v>
      </c>
      <c r="P3084">
        <v>-4.6747024338972397E-2</v>
      </c>
      <c r="Q3084">
        <v>0.159002415882637</v>
      </c>
      <c r="R3084">
        <v>0.98844322515660399</v>
      </c>
      <c r="S3084" t="s">
        <v>9395</v>
      </c>
      <c r="T3084" t="s">
        <v>12620</v>
      </c>
      <c r="U3084" t="s">
        <v>12620</v>
      </c>
      <c r="V3084" t="s">
        <v>12620</v>
      </c>
      <c r="W3084" t="s">
        <v>15659</v>
      </c>
      <c r="X3084">
        <v>5</v>
      </c>
      <c r="Y3084" t="s">
        <v>21816</v>
      </c>
      <c r="Z3084" t="s">
        <v>28031</v>
      </c>
      <c r="AA3084">
        <v>0.53856437210346919</v>
      </c>
      <c r="AB3084" t="str">
        <f>HYPERLINK("Melting_Curves/meltCurve_Q14678_KANK1.pdf", "Melting_Curves/meltCurve_Q14678_KANK1.pdf")</f>
        <v>Melting_Curves/meltCurve_Q14678_KANK1.pdf</v>
      </c>
    </row>
    <row r="3085" spans="1:28" x14ac:dyDescent="0.25">
      <c r="A3085" t="s">
        <v>3089</v>
      </c>
      <c r="B3085">
        <v>0.99987803227770999</v>
      </c>
      <c r="C3085">
        <v>0.94081297020434096</v>
      </c>
      <c r="D3085">
        <v>0.70555488554941004</v>
      </c>
      <c r="E3085">
        <v>0.95097269682586005</v>
      </c>
      <c r="F3085">
        <v>0.50301029286037402</v>
      </c>
      <c r="G3085">
        <v>0.30952690324753002</v>
      </c>
      <c r="H3085">
        <v>0.181404467462987</v>
      </c>
      <c r="I3085">
        <v>0.14551376108744399</v>
      </c>
      <c r="J3085">
        <v>0.150593466664382</v>
      </c>
      <c r="K3085">
        <v>0.104532983642629</v>
      </c>
      <c r="L3085">
        <v>787.00471015133405</v>
      </c>
      <c r="M3085">
        <v>14.7366921220755</v>
      </c>
      <c r="N3085">
        <v>53.993163884485497</v>
      </c>
      <c r="O3085">
        <v>52.449935418293897</v>
      </c>
      <c r="P3085">
        <v>-6.5035373078822997E-2</v>
      </c>
      <c r="Q3085">
        <v>7.4220108008821395E-2</v>
      </c>
      <c r="R3085">
        <v>0.92434740820348604</v>
      </c>
      <c r="S3085" t="s">
        <v>9396</v>
      </c>
      <c r="T3085" t="s">
        <v>12620</v>
      </c>
      <c r="U3085" t="s">
        <v>12620</v>
      </c>
      <c r="V3085" t="s">
        <v>12620</v>
      </c>
      <c r="W3085" t="s">
        <v>15660</v>
      </c>
      <c r="X3085">
        <v>40</v>
      </c>
      <c r="Y3085" t="s">
        <v>21817</v>
      </c>
      <c r="Z3085" t="s">
        <v>28032</v>
      </c>
      <c r="AA3085">
        <v>0.50790388917015628</v>
      </c>
      <c r="AB3085" t="str">
        <f>HYPERLINK("Melting_Curves/meltCurve_Q14683_SMC1A.pdf", "Melting_Curves/meltCurve_Q14683_SMC1A.pdf")</f>
        <v>Melting_Curves/meltCurve_Q14683_SMC1A.pdf</v>
      </c>
    </row>
    <row r="3086" spans="1:28" x14ac:dyDescent="0.25">
      <c r="A3086" t="s">
        <v>3090</v>
      </c>
      <c r="B3086">
        <v>0.99987803227770999</v>
      </c>
      <c r="C3086">
        <v>0.72234843378670899</v>
      </c>
      <c r="D3086">
        <v>1.15379854810129</v>
      </c>
      <c r="E3086">
        <v>0.83443224011834005</v>
      </c>
      <c r="F3086">
        <v>1.13030508619078</v>
      </c>
      <c r="G3086">
        <v>0.91493059419037104</v>
      </c>
      <c r="H3086">
        <v>1.09821657479955</v>
      </c>
      <c r="I3086">
        <v>1.01465755289186</v>
      </c>
      <c r="J3086">
        <v>1.0397900141638501</v>
      </c>
      <c r="K3086">
        <v>0.92054575920788695</v>
      </c>
      <c r="L3086">
        <v>15000</v>
      </c>
      <c r="M3086">
        <v>211.835885133061</v>
      </c>
      <c r="Q3086">
        <v>0</v>
      </c>
      <c r="R3086">
        <v>2.02453059316451E-2</v>
      </c>
      <c r="S3086" t="s">
        <v>9397</v>
      </c>
      <c r="T3086" t="s">
        <v>12620</v>
      </c>
      <c r="U3086" t="s">
        <v>12620</v>
      </c>
      <c r="V3086" t="s">
        <v>12620</v>
      </c>
      <c r="W3086" t="s">
        <v>15661</v>
      </c>
      <c r="X3086">
        <v>5</v>
      </c>
      <c r="Y3086" t="s">
        <v>21818</v>
      </c>
      <c r="Z3086" t="s">
        <v>28033</v>
      </c>
      <c r="AA3086">
        <v>0.99910703216084318</v>
      </c>
      <c r="AB3086" t="str">
        <f>HYPERLINK("Melting_Curves/meltCurve_Q14684_2_RRP1B.pdf", "Melting_Curves/meltCurve_Q14684_2_RRP1B.pdf")</f>
        <v>Melting_Curves/meltCurve_Q14684_2_RRP1B.pdf</v>
      </c>
    </row>
    <row r="3087" spans="1:28" x14ac:dyDescent="0.25">
      <c r="A3087" t="s">
        <v>3091</v>
      </c>
      <c r="B3087">
        <v>0.99987803227770999</v>
      </c>
      <c r="C3087">
        <v>0.94541523299384</v>
      </c>
      <c r="D3087">
        <v>1.0076454618342801</v>
      </c>
      <c r="E3087">
        <v>0.92949460852648502</v>
      </c>
      <c r="F3087">
        <v>0.93141479355949097</v>
      </c>
      <c r="G3087">
        <v>0.81443634218026895</v>
      </c>
      <c r="H3087">
        <v>0.81019077866887002</v>
      </c>
      <c r="I3087">
        <v>0.76444527524324501</v>
      </c>
      <c r="J3087">
        <v>0.72176228892785599</v>
      </c>
      <c r="K3087">
        <v>0.59776020306668298</v>
      </c>
      <c r="L3087">
        <v>396.94696548400901</v>
      </c>
      <c r="M3087">
        <v>5.1291199919852799</v>
      </c>
      <c r="O3087">
        <v>67.940727306401001</v>
      </c>
      <c r="P3087">
        <v>-1.8979467430727499E-2</v>
      </c>
      <c r="Q3087">
        <v>0</v>
      </c>
      <c r="R3087">
        <v>0.94685570122695595</v>
      </c>
      <c r="S3087" t="s">
        <v>9398</v>
      </c>
      <c r="T3087" t="s">
        <v>12620</v>
      </c>
      <c r="U3087" t="s">
        <v>12620</v>
      </c>
      <c r="V3087" t="s">
        <v>12620</v>
      </c>
      <c r="W3087" t="s">
        <v>15662</v>
      </c>
      <c r="X3087">
        <v>11</v>
      </c>
      <c r="Y3087" t="s">
        <v>21819</v>
      </c>
      <c r="Z3087" t="s">
        <v>28034</v>
      </c>
      <c r="AA3087">
        <v>0.86164617213142392</v>
      </c>
      <c r="AB3087" t="str">
        <f>HYPERLINK("Melting_Curves/meltCurve_Q14686_NCOA6.pdf", "Melting_Curves/meltCurve_Q14686_NCOA6.pdf")</f>
        <v>Melting_Curves/meltCurve_Q14686_NCOA6.pdf</v>
      </c>
    </row>
    <row r="3088" spans="1:28" x14ac:dyDescent="0.25">
      <c r="A3088" t="s">
        <v>3092</v>
      </c>
      <c r="B3088">
        <v>0.99987803227770999</v>
      </c>
      <c r="C3088">
        <v>0.98856082983203897</v>
      </c>
      <c r="D3088">
        <v>1.03002383262242</v>
      </c>
      <c r="E3088">
        <v>0.91589504331268301</v>
      </c>
      <c r="F3088">
        <v>0.80759949036855305</v>
      </c>
      <c r="G3088">
        <v>0.54021165719662001</v>
      </c>
      <c r="H3088">
        <v>0.43430957353769101</v>
      </c>
      <c r="I3088">
        <v>0.60697053649371002</v>
      </c>
      <c r="J3088">
        <v>0.219156177946499</v>
      </c>
      <c r="K3088">
        <v>0.16160406076914699</v>
      </c>
      <c r="L3088">
        <v>585.78090033314197</v>
      </c>
      <c r="M3088">
        <v>9.6559057440192397</v>
      </c>
      <c r="N3088">
        <v>60.665540137780098</v>
      </c>
      <c r="O3088">
        <v>58.234911341735597</v>
      </c>
      <c r="P3088">
        <v>-4.1475439327167102E-2</v>
      </c>
      <c r="Q3088">
        <v>0</v>
      </c>
      <c r="R3088">
        <v>0.91453652226055604</v>
      </c>
      <c r="S3088" t="s">
        <v>9399</v>
      </c>
      <c r="T3088" t="s">
        <v>12620</v>
      </c>
      <c r="U3088" t="s">
        <v>12620</v>
      </c>
      <c r="V3088" t="s">
        <v>12620</v>
      </c>
      <c r="W3088" t="s">
        <v>15663</v>
      </c>
      <c r="X3088">
        <v>8</v>
      </c>
      <c r="Y3088" t="s">
        <v>21820</v>
      </c>
      <c r="Z3088" t="s">
        <v>28035</v>
      </c>
      <c r="AA3088">
        <v>0.67778312763069337</v>
      </c>
      <c r="AB3088" t="str">
        <f>HYPERLINK("Melting_Curves/meltCurve_Q14687_2_GSE1.pdf", "Melting_Curves/meltCurve_Q14687_2_GSE1.pdf")</f>
        <v>Melting_Curves/meltCurve_Q14687_2_GSE1.pdf</v>
      </c>
    </row>
    <row r="3089" spans="1:28" x14ac:dyDescent="0.25">
      <c r="A3089" t="s">
        <v>3093</v>
      </c>
      <c r="B3089">
        <v>0.99987803227770999</v>
      </c>
      <c r="C3089">
        <v>0.96093355387065904</v>
      </c>
      <c r="D3089">
        <v>0.89302587478142303</v>
      </c>
      <c r="E3089">
        <v>0.96517738435585498</v>
      </c>
      <c r="F3089">
        <v>0.72977702694962199</v>
      </c>
      <c r="G3089">
        <v>0.37682352576559902</v>
      </c>
      <c r="H3089">
        <v>0.34252067809241699</v>
      </c>
      <c r="I3089">
        <v>0.27788177573313</v>
      </c>
      <c r="J3089">
        <v>0.238555001726931</v>
      </c>
      <c r="K3089">
        <v>0.17300993263241399</v>
      </c>
      <c r="L3089">
        <v>1368.7226607832699</v>
      </c>
      <c r="M3089">
        <v>25.201792373707601</v>
      </c>
      <c r="N3089">
        <v>55.697310199941398</v>
      </c>
      <c r="O3089">
        <v>53.972033184879301</v>
      </c>
      <c r="P3089">
        <v>-8.9533230282450901E-2</v>
      </c>
      <c r="Q3089">
        <v>0.23303431695082</v>
      </c>
      <c r="R3089">
        <v>0.97806279547586905</v>
      </c>
      <c r="S3089" t="s">
        <v>9400</v>
      </c>
      <c r="T3089" t="s">
        <v>12620</v>
      </c>
      <c r="U3089" t="s">
        <v>12620</v>
      </c>
      <c r="V3089" t="s">
        <v>12620</v>
      </c>
      <c r="W3089" t="s">
        <v>15664</v>
      </c>
      <c r="X3089">
        <v>12</v>
      </c>
      <c r="Y3089" t="s">
        <v>21821</v>
      </c>
      <c r="Z3089" t="s">
        <v>28036</v>
      </c>
      <c r="AA3089">
        <v>0.60588968136663623</v>
      </c>
      <c r="AB3089" t="str">
        <f>HYPERLINK("Melting_Curves/meltCurve_Q14689_6_DIP2A.pdf", "Melting_Curves/meltCurve_Q14689_6_DIP2A.pdf")</f>
        <v>Melting_Curves/meltCurve_Q14689_6_DIP2A.pdf</v>
      </c>
    </row>
    <row r="3090" spans="1:28" x14ac:dyDescent="0.25">
      <c r="A3090" t="s">
        <v>3094</v>
      </c>
      <c r="B3090">
        <v>0.99987803227770999</v>
      </c>
      <c r="C3090">
        <v>1.4659175074961699</v>
      </c>
      <c r="D3090">
        <v>1.57096825860411</v>
      </c>
      <c r="E3090">
        <v>1.38531120170856</v>
      </c>
      <c r="F3090">
        <v>0.745314229756601</v>
      </c>
      <c r="G3090">
        <v>0.46010161288333301</v>
      </c>
      <c r="H3090">
        <v>0.15664624248190201</v>
      </c>
      <c r="I3090">
        <v>0.26179443388686502</v>
      </c>
      <c r="J3090">
        <v>0</v>
      </c>
      <c r="K3090">
        <v>0.17552870320514699</v>
      </c>
      <c r="L3090">
        <v>1867.8660842076399</v>
      </c>
      <c r="M3090">
        <v>33.464153905219703</v>
      </c>
      <c r="N3090">
        <v>56.352396488666997</v>
      </c>
      <c r="O3090">
        <v>55.618728427326097</v>
      </c>
      <c r="P3090">
        <v>-0.129932890569155</v>
      </c>
      <c r="Q3090">
        <v>0.13618952446219301</v>
      </c>
      <c r="R3090">
        <v>0.76376882399465096</v>
      </c>
      <c r="S3090" t="s">
        <v>9401</v>
      </c>
      <c r="T3090" t="s">
        <v>12620</v>
      </c>
      <c r="U3090" t="s">
        <v>12620</v>
      </c>
      <c r="V3090" t="s">
        <v>12620</v>
      </c>
      <c r="W3090" t="s">
        <v>15665</v>
      </c>
      <c r="X3090">
        <v>1</v>
      </c>
      <c r="Y3090" t="s">
        <v>21822</v>
      </c>
      <c r="Z3090" t="s">
        <v>28037</v>
      </c>
      <c r="AA3090">
        <v>0.59630546647678728</v>
      </c>
      <c r="AB3090" t="str">
        <f>HYPERLINK("Melting_Curves/meltCurve_Q14690_PDCD11.pdf", "Melting_Curves/meltCurve_Q14690_PDCD11.pdf")</f>
        <v>Melting_Curves/meltCurve_Q14690_PDCD11.pdf</v>
      </c>
    </row>
    <row r="3091" spans="1:28" x14ac:dyDescent="0.25">
      <c r="A3091" t="s">
        <v>3095</v>
      </c>
      <c r="B3091">
        <v>0.99987803227770999</v>
      </c>
      <c r="C3091">
        <v>0.96145325070852194</v>
      </c>
      <c r="D3091">
        <v>0.96396026374210597</v>
      </c>
      <c r="E3091">
        <v>0.83019632289793699</v>
      </c>
      <c r="F3091">
        <v>0.22012385595703199</v>
      </c>
      <c r="G3091">
        <v>0.118574788451327</v>
      </c>
      <c r="H3091">
        <v>7.9866687597546296E-2</v>
      </c>
      <c r="I3091">
        <v>6.7673764801695596E-2</v>
      </c>
      <c r="J3091">
        <v>6.1324582525944901E-2</v>
      </c>
      <c r="K3091">
        <v>4.4154343179730798E-2</v>
      </c>
      <c r="L3091">
        <v>2745.7729648720001</v>
      </c>
      <c r="M3091">
        <v>53.439872194454097</v>
      </c>
      <c r="N3091">
        <v>51.5320749569523</v>
      </c>
      <c r="O3091">
        <v>51.308809492761</v>
      </c>
      <c r="P3091">
        <v>-0.241459057280034</v>
      </c>
      <c r="Q3091">
        <v>7.2679822224808399E-2</v>
      </c>
      <c r="R3091">
        <v>0.99688702845870403</v>
      </c>
      <c r="S3091" t="s">
        <v>9402</v>
      </c>
      <c r="T3091" t="s">
        <v>12620</v>
      </c>
      <c r="U3091" t="s">
        <v>12620</v>
      </c>
      <c r="V3091" t="s">
        <v>12620</v>
      </c>
      <c r="W3091" t="s">
        <v>15666</v>
      </c>
      <c r="X3091">
        <v>12</v>
      </c>
      <c r="Y3091" t="s">
        <v>21823</v>
      </c>
      <c r="Z3091" t="s">
        <v>28038</v>
      </c>
      <c r="AA3091">
        <v>0.4263004903695774</v>
      </c>
      <c r="AB3091" t="str">
        <f>HYPERLINK("Melting_Curves/meltCurve_Q14691_GINS1.pdf", "Melting_Curves/meltCurve_Q14691_GINS1.pdf")</f>
        <v>Melting_Curves/meltCurve_Q14691_GINS1.pdf</v>
      </c>
    </row>
    <row r="3092" spans="1:28" x14ac:dyDescent="0.25">
      <c r="A3092" t="s">
        <v>3096</v>
      </c>
      <c r="B3092">
        <v>0.99987803227770999</v>
      </c>
      <c r="C3092">
        <v>0.85812926732401396</v>
      </c>
      <c r="D3092">
        <v>0.62903147086310596</v>
      </c>
      <c r="E3092">
        <v>0.51373054974880195</v>
      </c>
      <c r="F3092">
        <v>0.36330622806544599</v>
      </c>
      <c r="G3092">
        <v>0.28307767060379502</v>
      </c>
      <c r="H3092">
        <v>0.28412739547752403</v>
      </c>
      <c r="I3092">
        <v>0.249496120653866</v>
      </c>
      <c r="J3092">
        <v>0.25480295553385601</v>
      </c>
      <c r="K3092">
        <v>0.204960859551507</v>
      </c>
      <c r="L3092">
        <v>665.08363958524296</v>
      </c>
      <c r="M3092">
        <v>14.0885927817877</v>
      </c>
      <c r="N3092">
        <v>49.377321811520602</v>
      </c>
      <c r="O3092">
        <v>46.2866772093451</v>
      </c>
      <c r="P3092">
        <v>-5.8538732509908098E-2</v>
      </c>
      <c r="Q3092">
        <v>0.230806504550294</v>
      </c>
      <c r="R3092">
        <v>0.98559138762221599</v>
      </c>
      <c r="S3092" t="s">
        <v>9403</v>
      </c>
      <c r="T3092" t="s">
        <v>12620</v>
      </c>
      <c r="U3092" t="s">
        <v>12620</v>
      </c>
      <c r="V3092" t="s">
        <v>12620</v>
      </c>
      <c r="W3092" t="s">
        <v>15667</v>
      </c>
      <c r="X3092">
        <v>13</v>
      </c>
      <c r="Y3092" t="s">
        <v>21824</v>
      </c>
      <c r="Z3092" t="s">
        <v>28039</v>
      </c>
      <c r="AA3092">
        <v>0.4390176009818228</v>
      </c>
      <c r="AB3092" t="str">
        <f>HYPERLINK("Melting_Curves/meltCurve_Q14694_USP10.pdf", "Melting_Curves/meltCurve_Q14694_USP10.pdf")</f>
        <v>Melting_Curves/meltCurve_Q14694_USP10.pdf</v>
      </c>
    </row>
    <row r="3093" spans="1:28" x14ac:dyDescent="0.25">
      <c r="A3093" t="s">
        <v>3097</v>
      </c>
      <c r="B3093">
        <v>0.99987803227770999</v>
      </c>
      <c r="C3093">
        <v>0.77128201644579897</v>
      </c>
      <c r="D3093">
        <v>0.95545965765127905</v>
      </c>
      <c r="E3093">
        <v>0.83470434660886095</v>
      </c>
      <c r="F3093">
        <v>1.07909394051993</v>
      </c>
      <c r="G3093">
        <v>0.98807880743644605</v>
      </c>
      <c r="H3093">
        <v>0.86426109265811102</v>
      </c>
      <c r="I3093">
        <v>0.64206539676724095</v>
      </c>
      <c r="J3093">
        <v>0.52451614485415299</v>
      </c>
      <c r="K3093">
        <v>0.29143990252003499</v>
      </c>
      <c r="L3093">
        <v>1301.02044494339</v>
      </c>
      <c r="M3093">
        <v>19.633510144630701</v>
      </c>
      <c r="N3093">
        <v>66.726404296138796</v>
      </c>
      <c r="O3093">
        <v>65.589337662839995</v>
      </c>
      <c r="P3093">
        <v>-7.0090159142220207E-2</v>
      </c>
      <c r="Q3093">
        <v>6.3436726377952002E-2</v>
      </c>
      <c r="R3093">
        <v>0.82794296705297599</v>
      </c>
      <c r="S3093" t="s">
        <v>9404</v>
      </c>
      <c r="T3093" t="s">
        <v>12620</v>
      </c>
      <c r="U3093" t="s">
        <v>12620</v>
      </c>
      <c r="V3093" t="s">
        <v>12620</v>
      </c>
      <c r="W3093" t="s">
        <v>15668</v>
      </c>
      <c r="X3093">
        <v>10</v>
      </c>
      <c r="Y3093" t="s">
        <v>21825</v>
      </c>
      <c r="Z3093" t="s">
        <v>28040</v>
      </c>
      <c r="AA3093">
        <v>0.86139769839607561</v>
      </c>
      <c r="AB3093" t="str">
        <f>HYPERLINK("Melting_Curves/meltCurve_Q14696_MESDC2.pdf", "Melting_Curves/meltCurve_Q14696_MESDC2.pdf")</f>
        <v>Melting_Curves/meltCurve_Q14696_MESDC2.pdf</v>
      </c>
    </row>
    <row r="3094" spans="1:28" x14ac:dyDescent="0.25">
      <c r="A3094" t="s">
        <v>3098</v>
      </c>
      <c r="B3094">
        <v>0.99987803227770999</v>
      </c>
      <c r="C3094">
        <v>1.3612044547228599</v>
      </c>
      <c r="D3094">
        <v>0.744512264668859</v>
      </c>
      <c r="E3094">
        <v>0.75929302872843996</v>
      </c>
      <c r="F3094">
        <v>0.22645909793885899</v>
      </c>
      <c r="G3094">
        <v>0.14972513533165599</v>
      </c>
      <c r="H3094">
        <v>9.8844346377267994E-2</v>
      </c>
      <c r="I3094">
        <v>8.0934732078033506E-2</v>
      </c>
      <c r="J3094">
        <v>6.0451205504497001E-2</v>
      </c>
      <c r="K3094">
        <v>4.1147623936995698E-2</v>
      </c>
      <c r="L3094">
        <v>1777.44792262947</v>
      </c>
      <c r="M3094">
        <v>34.795931192924201</v>
      </c>
      <c r="N3094">
        <v>51.320528069732802</v>
      </c>
      <c r="O3094">
        <v>50.914227230003497</v>
      </c>
      <c r="P3094">
        <v>-0.15810277286591501</v>
      </c>
      <c r="Q3094">
        <v>7.4644558219970999E-2</v>
      </c>
      <c r="R3094">
        <v>0.90295650912403802</v>
      </c>
      <c r="S3094" t="s">
        <v>9405</v>
      </c>
      <c r="T3094" t="s">
        <v>12620</v>
      </c>
      <c r="U3094" t="s">
        <v>12620</v>
      </c>
      <c r="V3094" t="s">
        <v>12620</v>
      </c>
      <c r="W3094" t="s">
        <v>15669</v>
      </c>
      <c r="X3094">
        <v>34</v>
      </c>
      <c r="Y3094" t="s">
        <v>21826</v>
      </c>
      <c r="Z3094" t="s">
        <v>28041</v>
      </c>
      <c r="AA3094">
        <v>0.42079837015960547</v>
      </c>
      <c r="AB3094" t="str">
        <f>HYPERLINK("Melting_Curves/meltCurve_Q14697_GANAB.pdf", "Melting_Curves/meltCurve_Q14697_GANAB.pdf")</f>
        <v>Melting_Curves/meltCurve_Q14697_GANAB.pdf</v>
      </c>
    </row>
    <row r="3095" spans="1:28" x14ac:dyDescent="0.25">
      <c r="A3095" t="s">
        <v>3099</v>
      </c>
      <c r="B3095">
        <v>0.99987803227770999</v>
      </c>
      <c r="C3095">
        <v>0.67265045168489901</v>
      </c>
      <c r="D3095">
        <v>0.409448996294626</v>
      </c>
      <c r="E3095">
        <v>0.35907390240173298</v>
      </c>
      <c r="F3095">
        <v>0.31211015357128202</v>
      </c>
      <c r="G3095">
        <v>0.15843874389545501</v>
      </c>
      <c r="H3095">
        <v>0.10451934225078</v>
      </c>
      <c r="I3095">
        <v>0.103313502699937</v>
      </c>
      <c r="J3095">
        <v>7.6999226007313196E-2</v>
      </c>
      <c r="K3095">
        <v>5.4119272063509E-2</v>
      </c>
      <c r="L3095">
        <v>560.02384814444702</v>
      </c>
      <c r="M3095">
        <v>12.2504456284213</v>
      </c>
      <c r="N3095">
        <v>46.342073299200599</v>
      </c>
      <c r="O3095">
        <v>44.547628740617803</v>
      </c>
      <c r="P3095">
        <v>-6.3509086577273194E-2</v>
      </c>
      <c r="Q3095">
        <v>7.6425857900242603E-2</v>
      </c>
      <c r="R3095">
        <v>0.94709183466358504</v>
      </c>
      <c r="S3095" t="s">
        <v>9406</v>
      </c>
      <c r="T3095" t="s">
        <v>12620</v>
      </c>
      <c r="U3095" t="s">
        <v>12620</v>
      </c>
      <c r="V3095" t="s">
        <v>12620</v>
      </c>
      <c r="W3095" t="s">
        <v>15670</v>
      </c>
      <c r="X3095">
        <v>9</v>
      </c>
      <c r="Y3095" t="s">
        <v>21827</v>
      </c>
      <c r="Z3095" t="s">
        <v>28042</v>
      </c>
      <c r="AA3095">
        <v>0.29381559642505928</v>
      </c>
      <c r="AB3095" t="str">
        <f>HYPERLINK("Melting_Curves/meltCurve_Q14764_MVP.pdf", "Melting_Curves/meltCurve_Q14764_MVP.pdf")</f>
        <v>Melting_Curves/meltCurve_Q14764_MVP.pdf</v>
      </c>
    </row>
    <row r="3096" spans="1:28" x14ac:dyDescent="0.25">
      <c r="A3096" t="s">
        <v>3100</v>
      </c>
      <c r="B3096">
        <v>0.99987803227770999</v>
      </c>
      <c r="C3096">
        <v>0.90973481035164006</v>
      </c>
      <c r="D3096">
        <v>0.92855364382722605</v>
      </c>
      <c r="E3096">
        <v>0.88149536933367201</v>
      </c>
      <c r="F3096">
        <v>0.73550170421740402</v>
      </c>
      <c r="G3096">
        <v>0.65579434894805799</v>
      </c>
      <c r="H3096">
        <v>0.45967772311760602</v>
      </c>
      <c r="I3096">
        <v>0.47394529605376801</v>
      </c>
      <c r="J3096">
        <v>0.29084675885817801</v>
      </c>
      <c r="K3096">
        <v>0.27259829885783299</v>
      </c>
      <c r="L3096">
        <v>474.08204752774202</v>
      </c>
      <c r="M3096">
        <v>7.7717925690815903</v>
      </c>
      <c r="N3096">
        <v>61.0003471914413</v>
      </c>
      <c r="O3096">
        <v>57.356587290941</v>
      </c>
      <c r="P3096">
        <v>-3.3917571604826502E-2</v>
      </c>
      <c r="Q3096">
        <v>0</v>
      </c>
      <c r="R3096">
        <v>0.98018604440894597</v>
      </c>
      <c r="S3096" t="s">
        <v>9407</v>
      </c>
      <c r="T3096" t="s">
        <v>12620</v>
      </c>
      <c r="U3096" t="s">
        <v>12620</v>
      </c>
      <c r="V3096" t="s">
        <v>12620</v>
      </c>
      <c r="W3096" t="s">
        <v>15671</v>
      </c>
      <c r="X3096">
        <v>3</v>
      </c>
      <c r="Y3096" t="s">
        <v>21828</v>
      </c>
      <c r="Z3096" t="s">
        <v>28043</v>
      </c>
      <c r="AA3096">
        <v>0.67246596755693999</v>
      </c>
      <c r="AB3096" t="str">
        <f>HYPERLINK("Melting_Curves/meltCurve_Q14781_CBX2.pdf", "Melting_Curves/meltCurve_Q14781_CBX2.pdf")</f>
        <v>Melting_Curves/meltCurve_Q14781_CBX2.pdf</v>
      </c>
    </row>
    <row r="3097" spans="1:28" x14ac:dyDescent="0.25">
      <c r="A3097" t="s">
        <v>3101</v>
      </c>
      <c r="B3097">
        <v>0.99987803227770999</v>
      </c>
      <c r="C3097">
        <v>0.98771363390203604</v>
      </c>
      <c r="D3097">
        <v>0.95081809145281004</v>
      </c>
      <c r="E3097">
        <v>0.92229939814798201</v>
      </c>
      <c r="F3097">
        <v>0.91048569101459498</v>
      </c>
      <c r="G3097">
        <v>0.81933287387751397</v>
      </c>
      <c r="H3097">
        <v>0.84151810568355701</v>
      </c>
      <c r="I3097">
        <v>0.75809717773598495</v>
      </c>
      <c r="J3097">
        <v>0.70858008172333298</v>
      </c>
      <c r="K3097">
        <v>0.50540208231528105</v>
      </c>
      <c r="L3097">
        <v>471.641482182353</v>
      </c>
      <c r="M3097">
        <v>6.4015482277816398</v>
      </c>
      <c r="O3097">
        <v>67.471750142848904</v>
      </c>
      <c r="P3097">
        <v>-2.37802397963266E-2</v>
      </c>
      <c r="Q3097">
        <v>0</v>
      </c>
      <c r="R3097">
        <v>0.91838123166624896</v>
      </c>
      <c r="S3097" t="s">
        <v>9408</v>
      </c>
      <c r="T3097" t="s">
        <v>12620</v>
      </c>
      <c r="U3097" t="s">
        <v>12620</v>
      </c>
      <c r="V3097" t="s">
        <v>12620</v>
      </c>
      <c r="W3097" t="s">
        <v>15672</v>
      </c>
      <c r="X3097">
        <v>12</v>
      </c>
      <c r="Y3097" t="s">
        <v>21829</v>
      </c>
      <c r="Z3097" t="s">
        <v>28044</v>
      </c>
      <c r="AA3097">
        <v>0.85778103888684987</v>
      </c>
      <c r="AB3097" t="str">
        <f>HYPERLINK("Melting_Curves/meltCurve_Q14789_GOLGB1.pdf", "Melting_Curves/meltCurve_Q14789_GOLGB1.pdf")</f>
        <v>Melting_Curves/meltCurve_Q14789_GOLGB1.pdf</v>
      </c>
    </row>
    <row r="3098" spans="1:28" x14ac:dyDescent="0.25">
      <c r="A3098" t="s">
        <v>3102</v>
      </c>
      <c r="B3098">
        <v>0.99987803227770999</v>
      </c>
      <c r="C3098">
        <v>1.17235372666302</v>
      </c>
      <c r="D3098">
        <v>1.1999436789359199</v>
      </c>
      <c r="E3098">
        <v>1.01269728605598</v>
      </c>
      <c r="F3098">
        <v>0.97441144129762802</v>
      </c>
      <c r="G3098">
        <v>1.1685087706430499</v>
      </c>
      <c r="H3098">
        <v>1.20945321282606</v>
      </c>
      <c r="I3098">
        <v>1.8744421928859101</v>
      </c>
      <c r="J3098">
        <v>0.75576202506102397</v>
      </c>
      <c r="K3098">
        <v>0.46815349807113399</v>
      </c>
      <c r="L3098">
        <v>15000</v>
      </c>
      <c r="M3098">
        <v>223.71630442961899</v>
      </c>
      <c r="N3098">
        <v>67.884203407654297</v>
      </c>
      <c r="O3098">
        <v>67.043840346575706</v>
      </c>
      <c r="P3098">
        <v>-0.443725223930377</v>
      </c>
      <c r="Q3098">
        <v>0.468093390138211</v>
      </c>
      <c r="R3098">
        <v>0.23105394959172099</v>
      </c>
      <c r="S3098" t="s">
        <v>9409</v>
      </c>
      <c r="T3098" t="s">
        <v>12620</v>
      </c>
      <c r="U3098" t="s">
        <v>12620</v>
      </c>
      <c r="V3098" t="s">
        <v>12620</v>
      </c>
      <c r="W3098" t="s">
        <v>15673</v>
      </c>
      <c r="X3098">
        <v>14</v>
      </c>
      <c r="Y3098" t="s">
        <v>21830</v>
      </c>
      <c r="Z3098" t="s">
        <v>28045</v>
      </c>
      <c r="AA3098">
        <v>0.94775942184343942</v>
      </c>
      <c r="AB3098" t="str">
        <f>HYPERLINK("Melting_Curves/meltCurve_Q14790_3_CASP8.pdf", "Melting_Curves/meltCurve_Q14790_3_CASP8.pdf")</f>
        <v>Melting_Curves/meltCurve_Q14790_3_CASP8.pdf</v>
      </c>
    </row>
    <row r="3099" spans="1:28" x14ac:dyDescent="0.25">
      <c r="A3099" t="s">
        <v>3103</v>
      </c>
      <c r="B3099">
        <v>0.99987803227770999</v>
      </c>
      <c r="C3099">
        <v>0.62796337643692202</v>
      </c>
      <c r="D3099">
        <v>1.1053636893426</v>
      </c>
      <c r="E3099">
        <v>0.68539268014926602</v>
      </c>
      <c r="F3099">
        <v>0.26858854009624999</v>
      </c>
      <c r="G3099">
        <v>0.148965546923746</v>
      </c>
      <c r="H3099">
        <v>0.103499195484148</v>
      </c>
      <c r="I3099">
        <v>9.4451318849899005E-2</v>
      </c>
      <c r="J3099">
        <v>6.3829869066849898E-2</v>
      </c>
      <c r="K3099">
        <v>4.7932883344687503E-2</v>
      </c>
      <c r="L3099">
        <v>1875.5136615490401</v>
      </c>
      <c r="M3099">
        <v>36.798384971744397</v>
      </c>
      <c r="N3099">
        <v>51.234080607664403</v>
      </c>
      <c r="O3099">
        <v>50.817466091422801</v>
      </c>
      <c r="P3099">
        <v>-0.16524795774888401</v>
      </c>
      <c r="Q3099">
        <v>8.7192770695616706E-2</v>
      </c>
      <c r="R3099">
        <v>0.89434909491756798</v>
      </c>
      <c r="S3099" t="s">
        <v>9410</v>
      </c>
      <c r="T3099" t="s">
        <v>12620</v>
      </c>
      <c r="U3099" t="s">
        <v>12620</v>
      </c>
      <c r="V3099" t="s">
        <v>12620</v>
      </c>
      <c r="W3099" t="s">
        <v>15674</v>
      </c>
      <c r="X3099">
        <v>16</v>
      </c>
      <c r="Y3099" t="s">
        <v>21830</v>
      </c>
      <c r="Z3099" t="s">
        <v>28046</v>
      </c>
      <c r="AA3099">
        <v>0.42469740497643349</v>
      </c>
      <c r="AB3099" t="str">
        <f>HYPERLINK("Melting_Curves/meltCurve_Q14790_9_CASP8.pdf", "Melting_Curves/meltCurve_Q14790_9_CASP8.pdf")</f>
        <v>Melting_Curves/meltCurve_Q14790_9_CASP8.pdf</v>
      </c>
    </row>
    <row r="3100" spans="1:28" x14ac:dyDescent="0.25">
      <c r="A3100" t="s">
        <v>3104</v>
      </c>
      <c r="B3100">
        <v>0.99987803227770999</v>
      </c>
      <c r="C3100">
        <v>1.0380719022329099</v>
      </c>
      <c r="D3100">
        <v>0.84142899854159003</v>
      </c>
      <c r="E3100">
        <v>0.59816873373523904</v>
      </c>
      <c r="F3100">
        <v>0.40267415231748599</v>
      </c>
      <c r="G3100">
        <v>0.27513292115708499</v>
      </c>
      <c r="H3100">
        <v>0.25273456776605102</v>
      </c>
      <c r="I3100">
        <v>0.24015883263549201</v>
      </c>
      <c r="J3100">
        <v>0.221717728421788</v>
      </c>
      <c r="K3100">
        <v>0.16320860171842799</v>
      </c>
      <c r="L3100">
        <v>958.74458348272697</v>
      </c>
      <c r="M3100">
        <v>19.2107300876194</v>
      </c>
      <c r="N3100">
        <v>51.345649264419301</v>
      </c>
      <c r="O3100">
        <v>49.375382823917697</v>
      </c>
      <c r="P3100">
        <v>-7.7025239528098505E-2</v>
      </c>
      <c r="Q3100">
        <v>0.2081497954481</v>
      </c>
      <c r="R3100">
        <v>0.99121575448836596</v>
      </c>
      <c r="S3100" t="s">
        <v>9411</v>
      </c>
      <c r="T3100" t="s">
        <v>12620</v>
      </c>
      <c r="U3100" t="s">
        <v>12620</v>
      </c>
      <c r="V3100" t="s">
        <v>12620</v>
      </c>
      <c r="W3100" t="s">
        <v>15675</v>
      </c>
      <c r="X3100">
        <v>8</v>
      </c>
      <c r="Y3100" t="s">
        <v>21831</v>
      </c>
      <c r="Z3100" t="s">
        <v>28047</v>
      </c>
      <c r="AA3100">
        <v>0.48156609435681319</v>
      </c>
      <c r="AB3100" t="str">
        <f>HYPERLINK("Melting_Curves/meltCurve_Q147X3_NAA30.pdf", "Melting_Curves/meltCurve_Q147X3_NAA30.pdf")</f>
        <v>Melting_Curves/meltCurve_Q147X3_NAA30.pdf</v>
      </c>
    </row>
    <row r="3101" spans="1:28" x14ac:dyDescent="0.25">
      <c r="A3101" t="s">
        <v>3105</v>
      </c>
      <c r="B3101">
        <v>0.99987803227770999</v>
      </c>
      <c r="C3101">
        <v>0.85270924518575997</v>
      </c>
      <c r="D3101">
        <v>0.98584312690521003</v>
      </c>
      <c r="E3101">
        <v>0.90447220475747603</v>
      </c>
      <c r="F3101">
        <v>0.80554133683423901</v>
      </c>
      <c r="G3101">
        <v>0.76746349424961002</v>
      </c>
      <c r="H3101">
        <v>0.61267049384184102</v>
      </c>
      <c r="I3101">
        <v>0.60948944113424297</v>
      </c>
      <c r="J3101">
        <v>0.46016010991803302</v>
      </c>
      <c r="K3101">
        <v>0.33009968254185201</v>
      </c>
      <c r="L3101">
        <v>464.177918502826</v>
      </c>
      <c r="M3101">
        <v>7.0908079492642502</v>
      </c>
      <c r="N3101">
        <v>65.461922060942399</v>
      </c>
      <c r="O3101">
        <v>60.853847182599402</v>
      </c>
      <c r="P3101">
        <v>-2.9181988436197501E-2</v>
      </c>
      <c r="Q3101">
        <v>0</v>
      </c>
      <c r="R3101">
        <v>0.94078013248634995</v>
      </c>
      <c r="S3101" t="s">
        <v>9412</v>
      </c>
      <c r="T3101" t="s">
        <v>12620</v>
      </c>
      <c r="U3101" t="s">
        <v>12620</v>
      </c>
      <c r="V3101" t="s">
        <v>12620</v>
      </c>
      <c r="W3101" t="s">
        <v>15676</v>
      </c>
      <c r="X3101">
        <v>2</v>
      </c>
      <c r="Y3101" t="s">
        <v>21832</v>
      </c>
      <c r="Z3101" t="s">
        <v>28048</v>
      </c>
      <c r="AA3101">
        <v>0.75334262943430841</v>
      </c>
      <c r="AB3101" t="str">
        <f>HYPERLINK("Melting_Curves/meltCurve_Q14807_2_KIF22.pdf", "Melting_Curves/meltCurve_Q14807_2_KIF22.pdf")</f>
        <v>Melting_Curves/meltCurve_Q14807_2_KIF22.pdf</v>
      </c>
    </row>
    <row r="3102" spans="1:28" x14ac:dyDescent="0.25">
      <c r="A3102" t="s">
        <v>3106</v>
      </c>
      <c r="B3102">
        <v>0.99987803227770999</v>
      </c>
      <c r="C3102">
        <v>1.0299683702079701</v>
      </c>
      <c r="D3102">
        <v>1.05806536478</v>
      </c>
      <c r="E3102">
        <v>0.93540379779740701</v>
      </c>
      <c r="F3102">
        <v>0.90362452349054101</v>
      </c>
      <c r="G3102">
        <v>0.64144562997668597</v>
      </c>
      <c r="H3102">
        <v>0.44735257406080903</v>
      </c>
      <c r="I3102">
        <v>0.38565334607873902</v>
      </c>
      <c r="J3102">
        <v>0.300329979838307</v>
      </c>
      <c r="K3102">
        <v>0.22817974946582201</v>
      </c>
      <c r="L3102">
        <v>1009.98685411748</v>
      </c>
      <c r="M3102">
        <v>17.4109460114943</v>
      </c>
      <c r="N3102">
        <v>60.018483645653198</v>
      </c>
      <c r="O3102">
        <v>57.259712013286702</v>
      </c>
      <c r="P3102">
        <v>-5.9228979750289699E-2</v>
      </c>
      <c r="Q3102">
        <v>0.220893901478354</v>
      </c>
      <c r="R3102">
        <v>0.98980141165374602</v>
      </c>
      <c r="S3102" t="s">
        <v>9413</v>
      </c>
      <c r="T3102" t="s">
        <v>12620</v>
      </c>
      <c r="U3102" t="s">
        <v>12620</v>
      </c>
      <c r="V3102" t="s">
        <v>12620</v>
      </c>
      <c r="W3102" t="s">
        <v>15677</v>
      </c>
      <c r="X3102">
        <v>12</v>
      </c>
      <c r="Y3102" t="s">
        <v>21833</v>
      </c>
      <c r="Z3102" t="s">
        <v>28049</v>
      </c>
      <c r="AA3102">
        <v>0.69842424791968372</v>
      </c>
      <c r="AB3102" t="str">
        <f>HYPERLINK("Melting_Curves/meltCurve_Q14814_4_MEF2D.pdf", "Melting_Curves/meltCurve_Q14814_4_MEF2D.pdf")</f>
        <v>Melting_Curves/meltCurve_Q14814_4_MEF2D.pdf</v>
      </c>
    </row>
    <row r="3103" spans="1:28" x14ac:dyDescent="0.25">
      <c r="A3103" t="s">
        <v>3107</v>
      </c>
      <c r="B3103">
        <v>0.99987803227770999</v>
      </c>
      <c r="C3103">
        <v>0.96641981336539196</v>
      </c>
      <c r="D3103">
        <v>0.74586300633418401</v>
      </c>
      <c r="E3103">
        <v>0.53881485756436298</v>
      </c>
      <c r="F3103">
        <v>0.31250125302908899</v>
      </c>
      <c r="G3103">
        <v>0.19921483135498899</v>
      </c>
      <c r="H3103">
        <v>0.151141883975038</v>
      </c>
      <c r="I3103">
        <v>0.121959333324153</v>
      </c>
      <c r="J3103">
        <v>0.113905440491048</v>
      </c>
      <c r="K3103">
        <v>8.6226332789732005E-2</v>
      </c>
      <c r="L3103">
        <v>780.17379571192203</v>
      </c>
      <c r="M3103">
        <v>15.7645188746041</v>
      </c>
      <c r="N3103">
        <v>50.158148002997301</v>
      </c>
      <c r="O3103">
        <v>48.713409755429304</v>
      </c>
      <c r="P3103">
        <v>-7.3240335974884593E-2</v>
      </c>
      <c r="Q3103">
        <v>9.48052706634019E-2</v>
      </c>
      <c r="R3103">
        <v>0.99528029189847</v>
      </c>
      <c r="S3103" t="s">
        <v>9414</v>
      </c>
      <c r="T3103" t="s">
        <v>12620</v>
      </c>
      <c r="U3103" t="s">
        <v>12620</v>
      </c>
      <c r="V3103" t="s">
        <v>12620</v>
      </c>
      <c r="W3103" t="s">
        <v>15678</v>
      </c>
      <c r="X3103">
        <v>32</v>
      </c>
      <c r="Y3103" t="s">
        <v>21834</v>
      </c>
      <c r="Z3103" t="s">
        <v>28050</v>
      </c>
      <c r="AA3103">
        <v>0.40115289397931309</v>
      </c>
      <c r="AB3103" t="str">
        <f>HYPERLINK("Melting_Curves/meltCurve_Q14839_2_CHD4.pdf", "Melting_Curves/meltCurve_Q14839_2_CHD4.pdf")</f>
        <v>Melting_Curves/meltCurve_Q14839_2_CHD4.pdf</v>
      </c>
    </row>
    <row r="3104" spans="1:28" x14ac:dyDescent="0.25">
      <c r="A3104" t="s">
        <v>3108</v>
      </c>
      <c r="B3104">
        <v>0.99987803227770999</v>
      </c>
      <c r="C3104">
        <v>0.86159968349226301</v>
      </c>
      <c r="D3104">
        <v>0.98395663873807904</v>
      </c>
      <c r="E3104">
        <v>0.87298477553037801</v>
      </c>
      <c r="F3104">
        <v>1.07179183049083</v>
      </c>
      <c r="G3104">
        <v>0.76602491014305496</v>
      </c>
      <c r="H3104">
        <v>0.97144506477724102</v>
      </c>
      <c r="I3104">
        <v>0.88870662677675505</v>
      </c>
      <c r="J3104">
        <v>1.0199322555699299</v>
      </c>
      <c r="K3104">
        <v>0.82397505760299194</v>
      </c>
      <c r="L3104">
        <v>82.488835342218394</v>
      </c>
      <c r="M3104">
        <v>1.0000000000000001E-5</v>
      </c>
      <c r="Q3104">
        <v>0.58695510729347999</v>
      </c>
      <c r="R3104">
        <v>3.31165104388794E-2</v>
      </c>
      <c r="S3104" t="s">
        <v>9415</v>
      </c>
      <c r="T3104" t="s">
        <v>12620</v>
      </c>
      <c r="U3104" t="s">
        <v>12620</v>
      </c>
      <c r="V3104" t="s">
        <v>12620</v>
      </c>
      <c r="W3104" t="s">
        <v>15679</v>
      </c>
      <c r="X3104">
        <v>28</v>
      </c>
      <c r="Y3104" t="s">
        <v>21835</v>
      </c>
      <c r="Z3104" t="s">
        <v>28051</v>
      </c>
      <c r="AA3104">
        <v>0.92580982627891861</v>
      </c>
      <c r="AB3104" t="str">
        <f>HYPERLINK("Melting_Curves/meltCurve_Q14847_LASP1.pdf", "Melting_Curves/meltCurve_Q14847_LASP1.pdf")</f>
        <v>Melting_Curves/meltCurve_Q14847_LASP1.pdf</v>
      </c>
    </row>
    <row r="3105" spans="1:28" x14ac:dyDescent="0.25">
      <c r="A3105" t="s">
        <v>3109</v>
      </c>
      <c r="B3105">
        <v>0.99987803227770999</v>
      </c>
      <c r="C3105">
        <v>0.84078659544039003</v>
      </c>
      <c r="D3105">
        <v>1.12925128313487</v>
      </c>
      <c r="E3105">
        <v>0.74634407933807001</v>
      </c>
      <c r="F3105">
        <v>0.66800486000268999</v>
      </c>
      <c r="G3105">
        <v>0.53426521084930301</v>
      </c>
      <c r="H3105">
        <v>0.356646649256604</v>
      </c>
      <c r="I3105">
        <v>0.198239319365657</v>
      </c>
      <c r="J3105">
        <v>0.17092681981012001</v>
      </c>
      <c r="K3105">
        <v>0.104523131122498</v>
      </c>
      <c r="L3105">
        <v>629.03667286581799</v>
      </c>
      <c r="M3105">
        <v>11.030184482786501</v>
      </c>
      <c r="N3105">
        <v>57.028662871311496</v>
      </c>
      <c r="O3105">
        <v>55.250388090043401</v>
      </c>
      <c r="P3105">
        <v>-4.9926652584974598E-2</v>
      </c>
      <c r="Q3105">
        <v>0</v>
      </c>
      <c r="R3105">
        <v>0.94334892585506003</v>
      </c>
      <c r="S3105" t="s">
        <v>9416</v>
      </c>
      <c r="T3105" t="s">
        <v>12620</v>
      </c>
      <c r="U3105" t="s">
        <v>12620</v>
      </c>
      <c r="V3105" t="s">
        <v>12620</v>
      </c>
      <c r="W3105" t="s">
        <v>15680</v>
      </c>
      <c r="X3105">
        <v>1</v>
      </c>
      <c r="Y3105" t="s">
        <v>21836</v>
      </c>
      <c r="Z3105" t="s">
        <v>28052</v>
      </c>
      <c r="AA3105">
        <v>0.58407779755975353</v>
      </c>
      <c r="AB3105" t="str">
        <f>HYPERLINK("Melting_Curves/meltCurve_Q14872_MTF1.pdf", "Melting_Curves/meltCurve_Q14872_MTF1.pdf")</f>
        <v>Melting_Curves/meltCurve_Q14872_MTF1.pdf</v>
      </c>
    </row>
    <row r="3106" spans="1:28" x14ac:dyDescent="0.25">
      <c r="A3106" t="s">
        <v>3110</v>
      </c>
      <c r="B3106">
        <v>0.99987803227770999</v>
      </c>
      <c r="C3106">
        <v>0.89200646354973701</v>
      </c>
      <c r="D3106">
        <v>1.0128994367039501</v>
      </c>
      <c r="E3106">
        <v>0.89622120774018998</v>
      </c>
      <c r="F3106">
        <v>0.53372151851959304</v>
      </c>
      <c r="G3106">
        <v>0.186199214851615</v>
      </c>
      <c r="H3106">
        <v>0.13694286561702401</v>
      </c>
      <c r="I3106">
        <v>0.109168827495719</v>
      </c>
      <c r="J3106">
        <v>7.97109177342714E-2</v>
      </c>
      <c r="K3106">
        <v>4.9236118283049003E-2</v>
      </c>
      <c r="L3106">
        <v>1668.73654070973</v>
      </c>
      <c r="M3106">
        <v>31.480470864795802</v>
      </c>
      <c r="N3106">
        <v>53.341069602116598</v>
      </c>
      <c r="O3106">
        <v>52.796099448223401</v>
      </c>
      <c r="P3106">
        <v>-0.13578884476870801</v>
      </c>
      <c r="Q3106">
        <v>8.9075530896591495E-2</v>
      </c>
      <c r="R3106">
        <v>0.99023823694913504</v>
      </c>
      <c r="S3106" t="s">
        <v>9417</v>
      </c>
      <c r="T3106" t="s">
        <v>12620</v>
      </c>
      <c r="U3106" t="s">
        <v>12620</v>
      </c>
      <c r="V3106" t="s">
        <v>12620</v>
      </c>
      <c r="W3106" t="s">
        <v>15681</v>
      </c>
      <c r="X3106">
        <v>18</v>
      </c>
      <c r="Y3106" t="s">
        <v>21837</v>
      </c>
      <c r="Z3106" t="s">
        <v>28053</v>
      </c>
      <c r="AA3106">
        <v>0.48944569698486029</v>
      </c>
      <c r="AB3106" t="str">
        <f>HYPERLINK("Melting_Curves/meltCurve_Q14914_2_PTGR1.pdf", "Melting_Curves/meltCurve_Q14914_2_PTGR1.pdf")</f>
        <v>Melting_Curves/meltCurve_Q14914_2_PTGR1.pdf</v>
      </c>
    </row>
    <row r="3107" spans="1:28" x14ac:dyDescent="0.25">
      <c r="A3107" t="s">
        <v>3111</v>
      </c>
      <c r="B3107">
        <v>0.99987803227770999</v>
      </c>
      <c r="C3107">
        <v>0.86323475473382205</v>
      </c>
      <c r="D3107">
        <v>0.883852206727748</v>
      </c>
      <c r="E3107">
        <v>0.84373740740789005</v>
      </c>
      <c r="F3107">
        <v>0.93362851265812596</v>
      </c>
      <c r="G3107">
        <v>0.78885791884587997</v>
      </c>
      <c r="H3107">
        <v>0.500260376599445</v>
      </c>
      <c r="I3107">
        <v>0.36148741726091199</v>
      </c>
      <c r="J3107">
        <v>0.24193774250459199</v>
      </c>
      <c r="K3107">
        <v>0.163607242108258</v>
      </c>
      <c r="L3107">
        <v>805.91702794279604</v>
      </c>
      <c r="M3107">
        <v>13.128406416181701</v>
      </c>
      <c r="N3107">
        <v>61.387269952382802</v>
      </c>
      <c r="O3107">
        <v>60.0153624839879</v>
      </c>
      <c r="P3107">
        <v>-5.4696990443885499E-2</v>
      </c>
      <c r="Q3107">
        <v>0</v>
      </c>
      <c r="R3107">
        <v>0.94701918757275605</v>
      </c>
      <c r="S3107" t="s">
        <v>9418</v>
      </c>
      <c r="T3107" t="s">
        <v>12620</v>
      </c>
      <c r="U3107" t="s">
        <v>12620</v>
      </c>
      <c r="V3107" t="s">
        <v>12620</v>
      </c>
      <c r="W3107" t="s">
        <v>15682</v>
      </c>
      <c r="X3107">
        <v>3</v>
      </c>
      <c r="Y3107" t="s">
        <v>21838</v>
      </c>
      <c r="Z3107" t="s">
        <v>28054</v>
      </c>
      <c r="AA3107">
        <v>0.70955254284276892</v>
      </c>
      <c r="AB3107" t="str">
        <f>HYPERLINK("Melting_Curves/meltCurve_Q14919_2_DRAP1.pdf", "Melting_Curves/meltCurve_Q14919_2_DRAP1.pdf")</f>
        <v>Melting_Curves/meltCurve_Q14919_2_DRAP1.pdf</v>
      </c>
    </row>
    <row r="3108" spans="1:28" x14ac:dyDescent="0.25">
      <c r="A3108" t="s">
        <v>3112</v>
      </c>
      <c r="B3108">
        <v>0.99987803227770999</v>
      </c>
      <c r="C3108">
        <v>0.97386764832509598</v>
      </c>
      <c r="D3108">
        <v>1.01210355226544</v>
      </c>
      <c r="E3108">
        <v>0.93776951218427496</v>
      </c>
      <c r="F3108">
        <v>0.92174053639993103</v>
      </c>
      <c r="G3108">
        <v>0.70750714444274299</v>
      </c>
      <c r="H3108">
        <v>0.72968741900357903</v>
      </c>
      <c r="I3108">
        <v>0.64925300997947399</v>
      </c>
      <c r="J3108">
        <v>0.63988218161843202</v>
      </c>
      <c r="K3108">
        <v>0.52786463749567802</v>
      </c>
      <c r="L3108">
        <v>680.10347348274695</v>
      </c>
      <c r="M3108">
        <v>11.6756881609423</v>
      </c>
      <c r="O3108">
        <v>56.619505518915602</v>
      </c>
      <c r="P3108">
        <v>-2.5146779428392899E-2</v>
      </c>
      <c r="Q3108">
        <v>0.51234851012732496</v>
      </c>
      <c r="R3108">
        <v>0.94955067082602396</v>
      </c>
      <c r="S3108" t="s">
        <v>9419</v>
      </c>
      <c r="T3108" t="s">
        <v>12620</v>
      </c>
      <c r="U3108" t="s">
        <v>12620</v>
      </c>
      <c r="V3108" t="s">
        <v>12620</v>
      </c>
      <c r="W3108" t="s">
        <v>15683</v>
      </c>
      <c r="X3108">
        <v>28</v>
      </c>
      <c r="Y3108" t="s">
        <v>21839</v>
      </c>
      <c r="Z3108" t="s">
        <v>28055</v>
      </c>
      <c r="AA3108">
        <v>0.81447038198039834</v>
      </c>
      <c r="AB3108" t="str">
        <f>HYPERLINK("Melting_Curves/meltCurve_Q14966_ZNF638.pdf", "Melting_Curves/meltCurve_Q14966_ZNF638.pdf")</f>
        <v>Melting_Curves/meltCurve_Q14966_ZNF638.pdf</v>
      </c>
    </row>
    <row r="3109" spans="1:28" x14ac:dyDescent="0.25">
      <c r="A3109" t="s">
        <v>3113</v>
      </c>
      <c r="B3109">
        <v>0.99987803227770999</v>
      </c>
      <c r="C3109">
        <v>1.1416240511106599</v>
      </c>
      <c r="D3109">
        <v>0.79753733539719296</v>
      </c>
      <c r="E3109">
        <v>1.1342330176742901</v>
      </c>
      <c r="F3109">
        <v>0.62441880347760204</v>
      </c>
      <c r="G3109">
        <v>0.38894099044720998</v>
      </c>
      <c r="H3109">
        <v>0.156257781932928</v>
      </c>
      <c r="I3109">
        <v>0.120387235741874</v>
      </c>
      <c r="J3109">
        <v>9.4723174451329495E-2</v>
      </c>
      <c r="K3109">
        <v>6.4107631732180204E-2</v>
      </c>
      <c r="L3109">
        <v>1390.8664184521499</v>
      </c>
      <c r="M3109">
        <v>25.3420750637958</v>
      </c>
      <c r="N3109">
        <v>55.2989961027505</v>
      </c>
      <c r="O3109">
        <v>54.545334847249499</v>
      </c>
      <c r="P3109">
        <v>-0.106087600259644</v>
      </c>
      <c r="Q3109">
        <v>8.6655397150296007E-2</v>
      </c>
      <c r="R3109">
        <v>0.93442975893153102</v>
      </c>
      <c r="S3109" t="s">
        <v>9420</v>
      </c>
      <c r="T3109" t="s">
        <v>12620</v>
      </c>
      <c r="U3109" t="s">
        <v>12620</v>
      </c>
      <c r="V3109" t="s">
        <v>12620</v>
      </c>
      <c r="W3109" t="s">
        <v>15684</v>
      </c>
      <c r="X3109">
        <v>35</v>
      </c>
      <c r="Y3109" t="s">
        <v>21840</v>
      </c>
      <c r="Z3109" t="s">
        <v>28056</v>
      </c>
      <c r="AA3109">
        <v>0.54803908239399746</v>
      </c>
      <c r="AB3109" t="str">
        <f>HYPERLINK("Melting_Curves/meltCurve_Q14974_KPNB1.pdf", "Melting_Curves/meltCurve_Q14974_KPNB1.pdf")</f>
        <v>Melting_Curves/meltCurve_Q14974_KPNB1.pdf</v>
      </c>
    </row>
    <row r="3110" spans="1:28" x14ac:dyDescent="0.25">
      <c r="A3110" t="s">
        <v>3114</v>
      </c>
      <c r="B3110">
        <v>0.99987803227770999</v>
      </c>
      <c r="C3110">
        <v>0.889790279285402</v>
      </c>
      <c r="D3110">
        <v>0.97504175767021195</v>
      </c>
      <c r="E3110">
        <v>1.0136162486634599</v>
      </c>
      <c r="F3110">
        <v>1.0301750673900301</v>
      </c>
      <c r="G3110">
        <v>0.76164109732833296</v>
      </c>
      <c r="H3110">
        <v>1.0989224880831401</v>
      </c>
      <c r="I3110">
        <v>0.94356942761648299</v>
      </c>
      <c r="J3110">
        <v>1.3769627144257699</v>
      </c>
      <c r="K3110">
        <v>1.0925449681686401</v>
      </c>
      <c r="L3110">
        <v>15000</v>
      </c>
      <c r="M3110">
        <v>229.582774394078</v>
      </c>
      <c r="O3110">
        <v>65.330970563098106</v>
      </c>
      <c r="P3110">
        <v>0.20616309320284601</v>
      </c>
      <c r="Q3110">
        <v>1.23466624087662</v>
      </c>
      <c r="R3110">
        <v>0.46085573835936999</v>
      </c>
      <c r="S3110" t="s">
        <v>9421</v>
      </c>
      <c r="T3110" t="s">
        <v>12620</v>
      </c>
      <c r="U3110" t="s">
        <v>12620</v>
      </c>
      <c r="V3110" t="s">
        <v>12620</v>
      </c>
      <c r="W3110" t="s">
        <v>15685</v>
      </c>
      <c r="X3110">
        <v>29</v>
      </c>
      <c r="Y3110" t="s">
        <v>21841</v>
      </c>
      <c r="Z3110" t="s">
        <v>28057</v>
      </c>
      <c r="AA3110">
        <v>1.036451557627148</v>
      </c>
      <c r="AB3110" t="str">
        <f>HYPERLINK("Melting_Curves/meltCurve_Q14978_2_NOLC1.pdf", "Melting_Curves/meltCurve_Q14978_2_NOLC1.pdf")</f>
        <v>Melting_Curves/meltCurve_Q14978_2_NOLC1.pdf</v>
      </c>
    </row>
    <row r="3111" spans="1:28" x14ac:dyDescent="0.25">
      <c r="A3111" t="s">
        <v>3115</v>
      </c>
      <c r="B3111">
        <v>0.99987803227770999</v>
      </c>
      <c r="C3111">
        <v>1.12070159558183</v>
      </c>
      <c r="D3111">
        <v>1.06395560764765</v>
      </c>
      <c r="E3111">
        <v>1.0689108085462999</v>
      </c>
      <c r="F3111">
        <v>0.786773121539182</v>
      </c>
      <c r="G3111">
        <v>0.60886127573256199</v>
      </c>
      <c r="H3111">
        <v>0.48327511440646698</v>
      </c>
      <c r="I3111">
        <v>0.42226322794391402</v>
      </c>
      <c r="J3111">
        <v>0.28762606923324102</v>
      </c>
      <c r="K3111">
        <v>0</v>
      </c>
      <c r="L3111">
        <v>789.858790751019</v>
      </c>
      <c r="M3111">
        <v>13.0581006849473</v>
      </c>
      <c r="N3111">
        <v>60.488030466671397</v>
      </c>
      <c r="O3111">
        <v>59.122166522660002</v>
      </c>
      <c r="P3111">
        <v>-5.5226189821355999E-2</v>
      </c>
      <c r="Q3111">
        <v>0</v>
      </c>
      <c r="R3111">
        <v>0.93546377909130096</v>
      </c>
      <c r="S3111" t="s">
        <v>9422</v>
      </c>
      <c r="T3111" t="s">
        <v>12620</v>
      </c>
      <c r="U3111" t="s">
        <v>12620</v>
      </c>
      <c r="V3111" t="s">
        <v>12620</v>
      </c>
      <c r="W3111" t="s">
        <v>15686</v>
      </c>
      <c r="X3111">
        <v>108</v>
      </c>
      <c r="Y3111" t="s">
        <v>21842</v>
      </c>
      <c r="Z3111" t="s">
        <v>28058</v>
      </c>
      <c r="AA3111">
        <v>0.68478997948294129</v>
      </c>
      <c r="AB3111" t="str">
        <f>HYPERLINK("Melting_Curves/meltCurve_Q14980_NUMA1.pdf", "Melting_Curves/meltCurve_Q14980_NUMA1.pdf")</f>
        <v>Melting_Curves/meltCurve_Q14980_NUMA1.pdf</v>
      </c>
    </row>
    <row r="3112" spans="1:28" x14ac:dyDescent="0.25">
      <c r="A3112" t="s">
        <v>3116</v>
      </c>
      <c r="B3112">
        <v>0.99987803227770999</v>
      </c>
      <c r="C3112">
        <v>1.1260279331802701</v>
      </c>
      <c r="D3112">
        <v>0.943506650700497</v>
      </c>
      <c r="E3112">
        <v>1.0629770390884199</v>
      </c>
      <c r="F3112">
        <v>0.766761877356683</v>
      </c>
      <c r="G3112">
        <v>0.63357877960324005</v>
      </c>
      <c r="H3112">
        <v>0.41824563292474098</v>
      </c>
      <c r="I3112">
        <v>0.306486777238618</v>
      </c>
      <c r="J3112">
        <v>0.277829658330707</v>
      </c>
      <c r="K3112">
        <v>0.19406871921229801</v>
      </c>
      <c r="L3112">
        <v>982.35802828651799</v>
      </c>
      <c r="M3112">
        <v>17.072460076909302</v>
      </c>
      <c r="N3112">
        <v>59.135850340115397</v>
      </c>
      <c r="O3112">
        <v>56.768444507567096</v>
      </c>
      <c r="P3112">
        <v>-6.1313850920367202E-2</v>
      </c>
      <c r="Q3112">
        <v>0.18453921521875999</v>
      </c>
      <c r="R3112">
        <v>0.96369668956459797</v>
      </c>
      <c r="S3112" t="s">
        <v>9423</v>
      </c>
      <c r="T3112" t="s">
        <v>12620</v>
      </c>
      <c r="U3112" t="s">
        <v>12620</v>
      </c>
      <c r="V3112" t="s">
        <v>12620</v>
      </c>
      <c r="W3112" t="s">
        <v>15687</v>
      </c>
      <c r="X3112">
        <v>108</v>
      </c>
      <c r="Y3112" t="s">
        <v>21842</v>
      </c>
      <c r="Z3112" t="s">
        <v>28059</v>
      </c>
      <c r="AA3112">
        <v>0.67240631275666085</v>
      </c>
      <c r="AB3112" t="str">
        <f>HYPERLINK("Melting_Curves/meltCurve_Q14980_2_NUMA1.pdf", "Melting_Curves/meltCurve_Q14980_2_NUMA1.pdf")</f>
        <v>Melting_Curves/meltCurve_Q14980_2_NUMA1.pdf</v>
      </c>
    </row>
    <row r="3113" spans="1:28" x14ac:dyDescent="0.25">
      <c r="A3113" t="s">
        <v>3117</v>
      </c>
      <c r="B3113">
        <v>0.99987803227770999</v>
      </c>
      <c r="C3113">
        <v>0.847913498548863</v>
      </c>
      <c r="D3113">
        <v>0.78538977193173198</v>
      </c>
      <c r="E3113">
        <v>1.29569580636818</v>
      </c>
      <c r="F3113">
        <v>0.436890279481497</v>
      </c>
      <c r="G3113">
        <v>0.227597850188197</v>
      </c>
      <c r="H3113">
        <v>0.149663405661838</v>
      </c>
      <c r="I3113">
        <v>0.129773559293032</v>
      </c>
      <c r="J3113">
        <v>9.2335926825265396E-2</v>
      </c>
      <c r="K3113">
        <v>6.4338547618202693E-2</v>
      </c>
      <c r="L3113">
        <v>13217.354172634101</v>
      </c>
      <c r="M3113">
        <v>250</v>
      </c>
      <c r="N3113">
        <v>52.934747874403598</v>
      </c>
      <c r="O3113">
        <v>52.866032572957799</v>
      </c>
      <c r="P3113">
        <v>-1.0253017590708799</v>
      </c>
      <c r="Q3113">
        <v>0.13274180839513799</v>
      </c>
      <c r="R3113">
        <v>0.90320939154880997</v>
      </c>
      <c r="S3113" t="s">
        <v>9424</v>
      </c>
      <c r="T3113" t="s">
        <v>12620</v>
      </c>
      <c r="U3113" t="s">
        <v>12620</v>
      </c>
      <c r="V3113" t="s">
        <v>12620</v>
      </c>
      <c r="W3113" t="s">
        <v>15688</v>
      </c>
      <c r="X3113">
        <v>14</v>
      </c>
      <c r="Y3113" t="s">
        <v>21843</v>
      </c>
      <c r="Z3113" t="s">
        <v>28060</v>
      </c>
      <c r="AA3113">
        <v>0.50485917848424799</v>
      </c>
      <c r="AB3113" t="str">
        <f>HYPERLINK("Melting_Curves/meltCurve_Q14997_PSME4.pdf", "Melting_Curves/meltCurve_Q14997_PSME4.pdf")</f>
        <v>Melting_Curves/meltCurve_Q14997_PSME4.pdf</v>
      </c>
    </row>
    <row r="3114" spans="1:28" x14ac:dyDescent="0.25">
      <c r="A3114" t="s">
        <v>3118</v>
      </c>
      <c r="B3114">
        <v>0.99987803227770999</v>
      </c>
      <c r="C3114">
        <v>1.12506849724442</v>
      </c>
      <c r="D3114">
        <v>0.83647513951550101</v>
      </c>
      <c r="E3114">
        <v>0.84223574504531495</v>
      </c>
      <c r="F3114">
        <v>0.40561938316701401</v>
      </c>
      <c r="G3114">
        <v>0.27796431488908502</v>
      </c>
      <c r="H3114">
        <v>0.180266081068295</v>
      </c>
      <c r="I3114">
        <v>0.146971393893745</v>
      </c>
      <c r="J3114">
        <v>0.12946559965690799</v>
      </c>
      <c r="K3114">
        <v>8.9260938733675202E-2</v>
      </c>
      <c r="L3114">
        <v>1186.81432943606</v>
      </c>
      <c r="M3114">
        <v>22.7790183569318</v>
      </c>
      <c r="N3114">
        <v>52.777999636699498</v>
      </c>
      <c r="O3114">
        <v>51.704626816667698</v>
      </c>
      <c r="P3114">
        <v>-9.6192189298591302E-2</v>
      </c>
      <c r="Q3114">
        <v>0.126654762882497</v>
      </c>
      <c r="R3114">
        <v>0.96634892545279405</v>
      </c>
      <c r="S3114" t="s">
        <v>9425</v>
      </c>
      <c r="T3114" t="s">
        <v>12620</v>
      </c>
      <c r="U3114" t="s">
        <v>12620</v>
      </c>
      <c r="V3114" t="s">
        <v>12620</v>
      </c>
      <c r="W3114" t="s">
        <v>15689</v>
      </c>
      <c r="X3114">
        <v>27</v>
      </c>
      <c r="Y3114" t="s">
        <v>21844</v>
      </c>
      <c r="Z3114" t="s">
        <v>28061</v>
      </c>
      <c r="AA3114">
        <v>0.48846029973287591</v>
      </c>
      <c r="AB3114" t="str">
        <f>HYPERLINK("Melting_Curves/meltCurve_Q14C86_5_GAPVD1.pdf", "Melting_Curves/meltCurve_Q14C86_5_GAPVD1.pdf")</f>
        <v>Melting_Curves/meltCurve_Q14C86_5_GAPVD1.pdf</v>
      </c>
    </row>
    <row r="3115" spans="1:28" x14ac:dyDescent="0.25">
      <c r="A3115" t="s">
        <v>3119</v>
      </c>
      <c r="B3115">
        <v>0.99987803227770999</v>
      </c>
      <c r="C3115">
        <v>0.688048741428535</v>
      </c>
      <c r="D3115">
        <v>0.73658757655438201</v>
      </c>
      <c r="E3115">
        <v>0.40989361964413001</v>
      </c>
      <c r="F3115">
        <v>0.60111359993800895</v>
      </c>
      <c r="G3115">
        <v>0.41374990353971502</v>
      </c>
      <c r="H3115">
        <v>0.443637739193813</v>
      </c>
      <c r="I3115">
        <v>0.45225286630599898</v>
      </c>
      <c r="J3115">
        <v>0.394205918816387</v>
      </c>
      <c r="K3115">
        <v>0.29232712768227198</v>
      </c>
      <c r="L3115">
        <v>553.27104444294798</v>
      </c>
      <c r="M3115">
        <v>12.188771424748699</v>
      </c>
      <c r="N3115">
        <v>51.544347357500399</v>
      </c>
      <c r="O3115">
        <v>44.221872285878597</v>
      </c>
      <c r="P3115">
        <v>-4.2505435662824401E-2</v>
      </c>
      <c r="Q3115">
        <v>0.38328679368153701</v>
      </c>
      <c r="R3115">
        <v>0.823245674204377</v>
      </c>
      <c r="S3115" t="s">
        <v>9426</v>
      </c>
      <c r="T3115" t="s">
        <v>12620</v>
      </c>
      <c r="U3115" t="s">
        <v>12620</v>
      </c>
      <c r="V3115" t="s">
        <v>12620</v>
      </c>
      <c r="W3115" t="s">
        <v>15690</v>
      </c>
      <c r="X3115">
        <v>1</v>
      </c>
      <c r="Y3115" t="s">
        <v>21845</v>
      </c>
      <c r="Z3115" t="s">
        <v>28062</v>
      </c>
      <c r="AA3115">
        <v>0.52292605322017982</v>
      </c>
      <c r="AB3115" t="str">
        <f>HYPERLINK("Melting_Curves/meltCurve_Q14CB8_4_ARHGAP19.pdf", "Melting_Curves/meltCurve_Q14CB8_4_ARHGAP19.pdf")</f>
        <v>Melting_Curves/meltCurve_Q14CB8_4_ARHGAP19.pdf</v>
      </c>
    </row>
    <row r="3116" spans="1:28" x14ac:dyDescent="0.25">
      <c r="A3116" t="s">
        <v>3120</v>
      </c>
      <c r="B3116">
        <v>0.99987803227770999</v>
      </c>
      <c r="C3116">
        <v>0.90730477769510198</v>
      </c>
      <c r="D3116">
        <v>0.90128415500354697</v>
      </c>
      <c r="E3116">
        <v>0.61576308075821995</v>
      </c>
      <c r="F3116">
        <v>0.41793403107841498</v>
      </c>
      <c r="G3116">
        <v>0.24553894942344501</v>
      </c>
      <c r="H3116">
        <v>0.21301554731215999</v>
      </c>
      <c r="I3116">
        <v>0.21581754762695901</v>
      </c>
      <c r="J3116">
        <v>0.17255418333391501</v>
      </c>
      <c r="K3116">
        <v>0.15169872862763001</v>
      </c>
      <c r="L3116">
        <v>891.28730286230996</v>
      </c>
      <c r="M3116">
        <v>17.657369570423398</v>
      </c>
      <c r="N3116">
        <v>51.656349037418401</v>
      </c>
      <c r="O3116">
        <v>49.842714283675498</v>
      </c>
      <c r="P3116">
        <v>-7.3875606774028504E-2</v>
      </c>
      <c r="Q3116">
        <v>0.165908665920353</v>
      </c>
      <c r="R3116">
        <v>0.99437689529418605</v>
      </c>
      <c r="S3116" t="s">
        <v>9427</v>
      </c>
      <c r="T3116" t="s">
        <v>12620</v>
      </c>
      <c r="U3116" t="s">
        <v>12620</v>
      </c>
      <c r="V3116" t="s">
        <v>12620</v>
      </c>
      <c r="W3116" t="s">
        <v>15691</v>
      </c>
      <c r="X3116">
        <v>4</v>
      </c>
      <c r="Y3116" t="s">
        <v>21846</v>
      </c>
      <c r="Z3116" t="s">
        <v>28063</v>
      </c>
      <c r="AA3116">
        <v>0.47184657463843011</v>
      </c>
      <c r="AB3116" t="str">
        <f>HYPERLINK("Melting_Curves/meltCurve_Q14CS0_UBXN2B.pdf", "Melting_Curves/meltCurve_Q14CS0_UBXN2B.pdf")</f>
        <v>Melting_Curves/meltCurve_Q14CS0_UBXN2B.pdf</v>
      </c>
    </row>
    <row r="3117" spans="1:28" x14ac:dyDescent="0.25">
      <c r="A3117" t="s">
        <v>3121</v>
      </c>
      <c r="B3117">
        <v>0.99987803227770999</v>
      </c>
      <c r="C3117">
        <v>0.95584332876328804</v>
      </c>
      <c r="D3117">
        <v>0.70277822564849202</v>
      </c>
      <c r="E3117">
        <v>1.0909983920342701</v>
      </c>
      <c r="F3117">
        <v>0.37676631357446799</v>
      </c>
      <c r="G3117">
        <v>0.19197079870934</v>
      </c>
      <c r="H3117">
        <v>0.112928568944342</v>
      </c>
      <c r="I3117">
        <v>9.2935248122048494E-2</v>
      </c>
      <c r="J3117">
        <v>6.5101515752345296E-2</v>
      </c>
      <c r="K3117">
        <v>4.8056952470667998E-2</v>
      </c>
      <c r="L3117">
        <v>13206.5547442358</v>
      </c>
      <c r="M3117">
        <v>250</v>
      </c>
      <c r="N3117">
        <v>52.874579426247998</v>
      </c>
      <c r="O3117">
        <v>52.822855855407497</v>
      </c>
      <c r="P3117">
        <v>-1.0622789363174401</v>
      </c>
      <c r="Q3117">
        <v>0.10219858127138701</v>
      </c>
      <c r="R3117">
        <v>0.93280169072642005</v>
      </c>
      <c r="S3117" t="s">
        <v>9428</v>
      </c>
      <c r="T3117" t="s">
        <v>12620</v>
      </c>
      <c r="U3117" t="s">
        <v>12620</v>
      </c>
      <c r="V3117" t="s">
        <v>12620</v>
      </c>
      <c r="W3117" t="s">
        <v>15692</v>
      </c>
      <c r="X3117">
        <v>24</v>
      </c>
      <c r="Y3117" t="s">
        <v>21847</v>
      </c>
      <c r="Z3117" t="s">
        <v>28064</v>
      </c>
      <c r="AA3117">
        <v>0.48612840219640779</v>
      </c>
      <c r="AB3117" t="str">
        <f>HYPERLINK("Melting_Curves/meltCurve_Q14CX7_NAA25.pdf", "Melting_Curves/meltCurve_Q14CX7_NAA25.pdf")</f>
        <v>Melting_Curves/meltCurve_Q14CX7_NAA25.pdf</v>
      </c>
    </row>
    <row r="3118" spans="1:28" x14ac:dyDescent="0.25">
      <c r="A3118" t="s">
        <v>3122</v>
      </c>
      <c r="B3118">
        <v>0.99987803227770999</v>
      </c>
      <c r="C3118">
        <v>0.99000055409768795</v>
      </c>
      <c r="D3118">
        <v>0.61836811142942405</v>
      </c>
      <c r="E3118">
        <v>0.46530055948996701</v>
      </c>
      <c r="F3118">
        <v>0.24513562451045401</v>
      </c>
      <c r="G3118">
        <v>0.15518394573626601</v>
      </c>
      <c r="H3118">
        <v>0.11268185338834399</v>
      </c>
      <c r="I3118">
        <v>0.107998471654391</v>
      </c>
      <c r="J3118">
        <v>9.7472136220112804E-2</v>
      </c>
      <c r="K3118">
        <v>7.79026448915104E-2</v>
      </c>
      <c r="L3118">
        <v>801.10855714818001</v>
      </c>
      <c r="M3118">
        <v>16.614454932495399</v>
      </c>
      <c r="N3118">
        <v>48.782158852667102</v>
      </c>
      <c r="O3118">
        <v>47.535297881702299</v>
      </c>
      <c r="P3118">
        <v>-7.9742281488358199E-2</v>
      </c>
      <c r="Q3118">
        <v>8.7465632288574402E-2</v>
      </c>
      <c r="R3118">
        <v>0.98137676546454899</v>
      </c>
      <c r="S3118" t="s">
        <v>9429</v>
      </c>
      <c r="T3118" t="s">
        <v>12620</v>
      </c>
      <c r="U3118" t="s">
        <v>12620</v>
      </c>
      <c r="V3118" t="s">
        <v>12620</v>
      </c>
      <c r="W3118" t="s">
        <v>15693</v>
      </c>
      <c r="X3118">
        <v>20</v>
      </c>
      <c r="Y3118" t="s">
        <v>21848</v>
      </c>
      <c r="Z3118" t="s">
        <v>28065</v>
      </c>
      <c r="AA3118">
        <v>0.35638574688731162</v>
      </c>
      <c r="AB3118" t="str">
        <f>HYPERLINK("Melting_Curves/meltCurve_Q15003_NCAPH.pdf", "Melting_Curves/meltCurve_Q15003_NCAPH.pdf")</f>
        <v>Melting_Curves/meltCurve_Q15003_NCAPH.pdf</v>
      </c>
    </row>
    <row r="3119" spans="1:28" x14ac:dyDescent="0.25">
      <c r="A3119" t="s">
        <v>3123</v>
      </c>
      <c r="B3119">
        <v>0.99987803227770999</v>
      </c>
      <c r="C3119">
        <v>1.1750967729067701</v>
      </c>
      <c r="D3119">
        <v>1.14748665514276</v>
      </c>
      <c r="E3119">
        <v>1.22309411348879</v>
      </c>
      <c r="F3119">
        <v>1.2652917878593299</v>
      </c>
      <c r="G3119">
        <v>1.32135320519824</v>
      </c>
      <c r="H3119">
        <v>1.48123520774245</v>
      </c>
      <c r="I3119">
        <v>1.3906222059039901</v>
      </c>
      <c r="J3119">
        <v>1.4610809416186901</v>
      </c>
      <c r="K3119">
        <v>1.2351527941185201</v>
      </c>
      <c r="L3119">
        <v>497.49940721452401</v>
      </c>
      <c r="M3119">
        <v>10.441970518650001</v>
      </c>
      <c r="O3119">
        <v>45.996223940714202</v>
      </c>
      <c r="P3119">
        <v>2.2773325120611199E-2</v>
      </c>
      <c r="Q3119">
        <v>1.40109492132467</v>
      </c>
      <c r="R3119">
        <v>0.727432786465121</v>
      </c>
      <c r="S3119" t="s">
        <v>9430</v>
      </c>
      <c r="T3119" t="s">
        <v>12620</v>
      </c>
      <c r="U3119" t="s">
        <v>12620</v>
      </c>
      <c r="V3119" t="s">
        <v>12620</v>
      </c>
      <c r="W3119" t="s">
        <v>15694</v>
      </c>
      <c r="X3119">
        <v>10</v>
      </c>
      <c r="Y3119" t="s">
        <v>21849</v>
      </c>
      <c r="Z3119" t="s">
        <v>28066</v>
      </c>
      <c r="AA3119">
        <v>1.2784961547422979</v>
      </c>
      <c r="AB3119" t="str">
        <f>HYPERLINK("Melting_Curves/meltCurve_Q15004_KIAA0101.pdf", "Melting_Curves/meltCurve_Q15004_KIAA0101.pdf")</f>
        <v>Melting_Curves/meltCurve_Q15004_KIAA0101.pdf</v>
      </c>
    </row>
    <row r="3120" spans="1:28" x14ac:dyDescent="0.25">
      <c r="A3120" t="s">
        <v>3124</v>
      </c>
      <c r="B3120">
        <v>0.99987803227770999</v>
      </c>
      <c r="C3120">
        <v>1.0990967748474201</v>
      </c>
      <c r="D3120">
        <v>0.86360420234996604</v>
      </c>
      <c r="E3120">
        <v>1.1045245567770301</v>
      </c>
      <c r="F3120">
        <v>0.63114415028208704</v>
      </c>
      <c r="G3120">
        <v>0.44436390733556702</v>
      </c>
      <c r="H3120">
        <v>0.37792319108933897</v>
      </c>
      <c r="I3120">
        <v>0.31955575950995302</v>
      </c>
      <c r="J3120">
        <v>0.389069835664063</v>
      </c>
      <c r="K3120">
        <v>0.33530767963809299</v>
      </c>
      <c r="L3120">
        <v>13231.0348900808</v>
      </c>
      <c r="M3120">
        <v>250</v>
      </c>
      <c r="N3120">
        <v>53.216259249475897</v>
      </c>
      <c r="O3120">
        <v>52.920770985817903</v>
      </c>
      <c r="P3120">
        <v>-0.74020576764794999</v>
      </c>
      <c r="Q3120">
        <v>0.37324405675934302</v>
      </c>
      <c r="R3120">
        <v>0.94942482862361999</v>
      </c>
      <c r="S3120" t="s">
        <v>9431</v>
      </c>
      <c r="T3120" t="s">
        <v>12620</v>
      </c>
      <c r="U3120" t="s">
        <v>12620</v>
      </c>
      <c r="V3120" t="s">
        <v>12620</v>
      </c>
      <c r="W3120" t="s">
        <v>15695</v>
      </c>
      <c r="X3120">
        <v>11</v>
      </c>
      <c r="Y3120" t="s">
        <v>21850</v>
      </c>
      <c r="Z3120" t="s">
        <v>28067</v>
      </c>
      <c r="AA3120">
        <v>0.64331164652743533</v>
      </c>
      <c r="AB3120" t="str">
        <f>HYPERLINK("Melting_Curves/meltCurve_Q15007_WTAP.pdf", "Melting_Curves/meltCurve_Q15007_WTAP.pdf")</f>
        <v>Melting_Curves/meltCurve_Q15007_WTAP.pdf</v>
      </c>
    </row>
    <row r="3121" spans="1:28" x14ac:dyDescent="0.25">
      <c r="A3121" t="s">
        <v>3125</v>
      </c>
      <c r="B3121">
        <v>0.99987803227770999</v>
      </c>
      <c r="C3121">
        <v>0.92632146926079995</v>
      </c>
      <c r="D3121">
        <v>0.78760472619980904</v>
      </c>
      <c r="E3121">
        <v>1.44734459011079</v>
      </c>
      <c r="F3121">
        <v>1.1438773789163099</v>
      </c>
      <c r="G3121">
        <v>0.63493103022873498</v>
      </c>
      <c r="H3121">
        <v>0.201580281775118</v>
      </c>
      <c r="I3121">
        <v>0.137098702980504</v>
      </c>
      <c r="J3121">
        <v>0.105832337333464</v>
      </c>
      <c r="K3121">
        <v>6.9244870750483495E-2</v>
      </c>
      <c r="L3121">
        <v>3202.3259209471498</v>
      </c>
      <c r="M3121">
        <v>55.766976796011598</v>
      </c>
      <c r="N3121">
        <v>57.702044797041502</v>
      </c>
      <c r="O3121">
        <v>57.349638527918202</v>
      </c>
      <c r="P3121">
        <v>-0.214398989932998</v>
      </c>
      <c r="Q3121">
        <v>0.118066040305095</v>
      </c>
      <c r="R3121">
        <v>0.87259288233953403</v>
      </c>
      <c r="S3121" t="s">
        <v>9432</v>
      </c>
      <c r="T3121" t="s">
        <v>12620</v>
      </c>
      <c r="U3121" t="s">
        <v>12620</v>
      </c>
      <c r="V3121" t="s">
        <v>12620</v>
      </c>
      <c r="W3121" t="s">
        <v>12809</v>
      </c>
      <c r="X3121">
        <v>21</v>
      </c>
      <c r="Y3121" t="s">
        <v>19057</v>
      </c>
      <c r="Z3121" t="s">
        <v>28068</v>
      </c>
      <c r="AA3121">
        <v>0.63206550021197327</v>
      </c>
      <c r="AB3121" t="str">
        <f>HYPERLINK("Melting_Curves/meltCurve_Q15008_PSMD6.pdf", "Melting_Curves/meltCurve_Q15008_PSMD6.pdf")</f>
        <v>Melting_Curves/meltCurve_Q15008_PSMD6.pdf</v>
      </c>
    </row>
    <row r="3122" spans="1:28" x14ac:dyDescent="0.25">
      <c r="A3122" t="s">
        <v>3126</v>
      </c>
      <c r="B3122">
        <v>0.99987803227770999</v>
      </c>
      <c r="C3122">
        <v>0.93361879419070104</v>
      </c>
      <c r="D3122">
        <v>0.94509851977314496</v>
      </c>
      <c r="E3122">
        <v>0.659296772705117</v>
      </c>
      <c r="F3122">
        <v>0.385388543981798</v>
      </c>
      <c r="G3122">
        <v>0.21497503847548499</v>
      </c>
      <c r="H3122">
        <v>0.147776457544982</v>
      </c>
      <c r="I3122">
        <v>0.12855882870216201</v>
      </c>
      <c r="J3122">
        <v>0.10724888120588801</v>
      </c>
      <c r="K3122">
        <v>7.8623940929844496E-2</v>
      </c>
      <c r="L3122">
        <v>1038.5471711806799</v>
      </c>
      <c r="M3122">
        <v>20.284843425988999</v>
      </c>
      <c r="N3122">
        <v>51.774969241289099</v>
      </c>
      <c r="O3122">
        <v>50.708394840229701</v>
      </c>
      <c r="P3122">
        <v>-8.9896151939209606E-2</v>
      </c>
      <c r="Q3122">
        <v>0.10113193756579</v>
      </c>
      <c r="R3122">
        <v>0.99654258590079103</v>
      </c>
      <c r="S3122" t="s">
        <v>9433</v>
      </c>
      <c r="T3122" t="s">
        <v>12620</v>
      </c>
      <c r="U3122" t="s">
        <v>12620</v>
      </c>
      <c r="V3122" t="s">
        <v>12620</v>
      </c>
      <c r="W3122" t="s">
        <v>15696</v>
      </c>
      <c r="X3122">
        <v>3</v>
      </c>
      <c r="Y3122" t="s">
        <v>21851</v>
      </c>
      <c r="Z3122" t="s">
        <v>28069</v>
      </c>
      <c r="AA3122">
        <v>0.44880259857607729</v>
      </c>
      <c r="AB3122" t="str">
        <f>HYPERLINK("Melting_Curves/meltCurve_Q15013_MAD2L1BP.pdf", "Melting_Curves/meltCurve_Q15013_MAD2L1BP.pdf")</f>
        <v>Melting_Curves/meltCurve_Q15013_MAD2L1BP.pdf</v>
      </c>
    </row>
    <row r="3123" spans="1:28" x14ac:dyDescent="0.25">
      <c r="A3123" t="s">
        <v>3127</v>
      </c>
      <c r="B3123">
        <v>0.99987803227770999</v>
      </c>
      <c r="C3123">
        <v>0.96637547183434702</v>
      </c>
      <c r="D3123">
        <v>1.03364334017725</v>
      </c>
      <c r="E3123">
        <v>0.96450636518933297</v>
      </c>
      <c r="F3123">
        <v>0.81316376220088404</v>
      </c>
      <c r="G3123">
        <v>0.465327248539254</v>
      </c>
      <c r="H3123">
        <v>0.28446790938252797</v>
      </c>
      <c r="I3123">
        <v>0.2173307602948</v>
      </c>
      <c r="J3123">
        <v>0.189811330201447</v>
      </c>
      <c r="K3123">
        <v>0.14567325333884601</v>
      </c>
      <c r="L3123">
        <v>1319.3506474099499</v>
      </c>
      <c r="M3123">
        <v>23.651530274613499</v>
      </c>
      <c r="N3123">
        <v>56.758837612180997</v>
      </c>
      <c r="O3123">
        <v>55.388701204405997</v>
      </c>
      <c r="P3123">
        <v>-8.8918692054632001E-2</v>
      </c>
      <c r="Q3123">
        <v>0.16707158232104199</v>
      </c>
      <c r="R3123">
        <v>0.99655827972061495</v>
      </c>
      <c r="S3123" t="s">
        <v>9434</v>
      </c>
      <c r="T3123" t="s">
        <v>12620</v>
      </c>
      <c r="U3123" t="s">
        <v>12620</v>
      </c>
      <c r="V3123" t="s">
        <v>12620</v>
      </c>
      <c r="W3123" t="s">
        <v>15697</v>
      </c>
      <c r="X3123">
        <v>12</v>
      </c>
      <c r="Y3123" t="s">
        <v>21852</v>
      </c>
      <c r="Z3123" t="s">
        <v>28070</v>
      </c>
      <c r="AA3123">
        <v>0.61367238275114744</v>
      </c>
      <c r="AB3123" t="str">
        <f>HYPERLINK("Melting_Curves/meltCurve_Q15014_MORF4L2.pdf", "Melting_Curves/meltCurve_Q15014_MORF4L2.pdf")</f>
        <v>Melting_Curves/meltCurve_Q15014_MORF4L2.pdf</v>
      </c>
    </row>
    <row r="3124" spans="1:28" x14ac:dyDescent="0.25">
      <c r="A3124" t="s">
        <v>3128</v>
      </c>
      <c r="B3124">
        <v>0.99987803227770999</v>
      </c>
      <c r="C3124">
        <v>1.06217826187529</v>
      </c>
      <c r="D3124">
        <v>1.00445585920763</v>
      </c>
      <c r="E3124">
        <v>1.20736276580819</v>
      </c>
      <c r="F3124">
        <v>0.88384816493158003</v>
      </c>
      <c r="G3124">
        <v>0.85273594723610602</v>
      </c>
      <c r="H3124">
        <v>0.60131700236868302</v>
      </c>
      <c r="I3124">
        <v>0.27571912186428099</v>
      </c>
      <c r="J3124">
        <v>0.173200608605283</v>
      </c>
      <c r="K3124">
        <v>0.12838040148663099</v>
      </c>
      <c r="L3124">
        <v>1495.6839274510901</v>
      </c>
      <c r="M3124">
        <v>24.414666562703498</v>
      </c>
      <c r="N3124">
        <v>61.655811310292897</v>
      </c>
      <c r="O3124">
        <v>60.855137176106403</v>
      </c>
      <c r="P3124">
        <v>-9.3053581452350001E-2</v>
      </c>
      <c r="Q3124">
        <v>7.2245395514346805E-2</v>
      </c>
      <c r="R3124">
        <v>0.95676408867639195</v>
      </c>
      <c r="S3124" t="s">
        <v>9435</v>
      </c>
      <c r="T3124" t="s">
        <v>12620</v>
      </c>
      <c r="U3124" t="s">
        <v>12620</v>
      </c>
      <c r="V3124" t="s">
        <v>12620</v>
      </c>
      <c r="W3124" t="s">
        <v>15698</v>
      </c>
      <c r="X3124">
        <v>14</v>
      </c>
      <c r="Y3124" t="s">
        <v>21853</v>
      </c>
      <c r="Z3124" t="s">
        <v>28071</v>
      </c>
      <c r="AA3124">
        <v>0.73525780887995107</v>
      </c>
      <c r="AB3124" t="str">
        <f>HYPERLINK("Melting_Curves/meltCurve_Q15018_FAM175B.pdf", "Melting_Curves/meltCurve_Q15018_FAM175B.pdf")</f>
        <v>Melting_Curves/meltCurve_Q15018_FAM175B.pdf</v>
      </c>
    </row>
    <row r="3125" spans="1:28" x14ac:dyDescent="0.25">
      <c r="A3125" t="s">
        <v>3129</v>
      </c>
      <c r="B3125">
        <v>0.99987803227770999</v>
      </c>
      <c r="C3125">
        <v>1.0726214646454599</v>
      </c>
      <c r="D3125">
        <v>0.91273345543235596</v>
      </c>
      <c r="E3125">
        <v>1.2513403164124901</v>
      </c>
      <c r="F3125">
        <v>0.99457683444313305</v>
      </c>
      <c r="G3125">
        <v>0.87979577091910999</v>
      </c>
      <c r="H3125">
        <v>0.63772005126170395</v>
      </c>
      <c r="I3125">
        <v>0.40750108455679801</v>
      </c>
      <c r="J3125">
        <v>0.16263232445235301</v>
      </c>
      <c r="K3125">
        <v>9.89123296400094E-2</v>
      </c>
      <c r="L3125">
        <v>1430.00891735598</v>
      </c>
      <c r="M3125">
        <v>22.853066431033199</v>
      </c>
      <c r="N3125">
        <v>62.622446309325099</v>
      </c>
      <c r="O3125">
        <v>62.100825396300202</v>
      </c>
      <c r="P3125">
        <v>-9.1196712926551807E-2</v>
      </c>
      <c r="Q3125">
        <v>8.7487945598327104E-3</v>
      </c>
      <c r="R3125">
        <v>0.94373889402743305</v>
      </c>
      <c r="S3125" t="s">
        <v>9436</v>
      </c>
      <c r="T3125" t="s">
        <v>12620</v>
      </c>
      <c r="U3125" t="s">
        <v>12620</v>
      </c>
      <c r="V3125" t="s">
        <v>12620</v>
      </c>
      <c r="W3125" t="s">
        <v>15699</v>
      </c>
      <c r="X3125">
        <v>21</v>
      </c>
      <c r="Y3125" t="s">
        <v>21854</v>
      </c>
      <c r="Z3125" t="s">
        <v>28072</v>
      </c>
      <c r="AA3125">
        <v>0.75728023253062904</v>
      </c>
      <c r="AB3125" t="str">
        <f>HYPERLINK("Melting_Curves/meltCurve_Q15019_SEPT2.pdf", "Melting_Curves/meltCurve_Q15019_SEPT2.pdf")</f>
        <v>Melting_Curves/meltCurve_Q15019_SEPT2.pdf</v>
      </c>
    </row>
    <row r="3126" spans="1:28" x14ac:dyDescent="0.25">
      <c r="A3126" t="s">
        <v>3130</v>
      </c>
      <c r="B3126">
        <v>0.99987803227770999</v>
      </c>
      <c r="C3126">
        <v>0.91032691864217996</v>
      </c>
      <c r="D3126">
        <v>0.84703892497723499</v>
      </c>
      <c r="E3126">
        <v>1.126345158733</v>
      </c>
      <c r="F3126">
        <v>0.42527175691761399</v>
      </c>
      <c r="G3126">
        <v>0.22983677330446201</v>
      </c>
      <c r="H3126">
        <v>0.16944837282547001</v>
      </c>
      <c r="I3126">
        <v>0.135040340641366</v>
      </c>
      <c r="J3126">
        <v>0.12820364757984901</v>
      </c>
      <c r="K3126">
        <v>9.7746067171284395E-2</v>
      </c>
      <c r="L3126">
        <v>13210.5876315565</v>
      </c>
      <c r="M3126">
        <v>250</v>
      </c>
      <c r="N3126">
        <v>52.9190968156718</v>
      </c>
      <c r="O3126">
        <v>52.838971430195201</v>
      </c>
      <c r="P3126">
        <v>-1.0029825271717301</v>
      </c>
      <c r="Q3126">
        <v>0.15205499893403901</v>
      </c>
      <c r="R3126">
        <v>0.96290118645587797</v>
      </c>
      <c r="S3126" t="s">
        <v>9437</v>
      </c>
      <c r="T3126" t="s">
        <v>12620</v>
      </c>
      <c r="U3126" t="s">
        <v>12620</v>
      </c>
      <c r="V3126" t="s">
        <v>12620</v>
      </c>
      <c r="W3126" t="s">
        <v>15700</v>
      </c>
      <c r="X3126">
        <v>22</v>
      </c>
      <c r="Y3126" t="s">
        <v>21855</v>
      </c>
      <c r="Z3126" t="s">
        <v>28073</v>
      </c>
      <c r="AA3126">
        <v>0.5151205329242583</v>
      </c>
      <c r="AB3126" t="str">
        <f>HYPERLINK("Melting_Curves/meltCurve_Q15020_SART3.pdf", "Melting_Curves/meltCurve_Q15020_SART3.pdf")</f>
        <v>Melting_Curves/meltCurve_Q15020_SART3.pdf</v>
      </c>
    </row>
    <row r="3127" spans="1:28" x14ac:dyDescent="0.25">
      <c r="A3127" t="s">
        <v>3131</v>
      </c>
      <c r="B3127">
        <v>0.99987803227770999</v>
      </c>
      <c r="C3127">
        <v>1.0288441226376701</v>
      </c>
      <c r="D3127">
        <v>0.66406244743815401</v>
      </c>
      <c r="E3127">
        <v>0.40124318924384</v>
      </c>
      <c r="F3127">
        <v>0.20626889208767701</v>
      </c>
      <c r="G3127">
        <v>0.12603552707413301</v>
      </c>
      <c r="H3127">
        <v>9.2173526633874903E-2</v>
      </c>
      <c r="I3127">
        <v>8.1320358408801197E-2</v>
      </c>
      <c r="J3127">
        <v>6.5403424661110501E-2</v>
      </c>
      <c r="K3127">
        <v>5.0344631306706897E-2</v>
      </c>
      <c r="L3127">
        <v>946.522441015097</v>
      </c>
      <c r="M3127">
        <v>19.646840858494102</v>
      </c>
      <c r="N3127">
        <v>48.552269730902097</v>
      </c>
      <c r="O3127">
        <v>47.686037340025798</v>
      </c>
      <c r="P3127">
        <v>-9.5745807992613396E-2</v>
      </c>
      <c r="Q3127">
        <v>7.04706717051196E-2</v>
      </c>
      <c r="R3127">
        <v>0.98671012803602798</v>
      </c>
      <c r="S3127" t="s">
        <v>9438</v>
      </c>
      <c r="T3127" t="s">
        <v>12620</v>
      </c>
      <c r="U3127" t="s">
        <v>12620</v>
      </c>
      <c r="V3127" t="s">
        <v>12620</v>
      </c>
      <c r="W3127" t="s">
        <v>15701</v>
      </c>
      <c r="X3127">
        <v>43</v>
      </c>
      <c r="Y3127" t="s">
        <v>21856</v>
      </c>
      <c r="Z3127" t="s">
        <v>28074</v>
      </c>
      <c r="AA3127">
        <v>0.33749115405777308</v>
      </c>
      <c r="AB3127" t="str">
        <f>HYPERLINK("Melting_Curves/meltCurve_Q15021_NCAPD2.pdf", "Melting_Curves/meltCurve_Q15021_NCAPD2.pdf")</f>
        <v>Melting_Curves/meltCurve_Q15021_NCAPD2.pdf</v>
      </c>
    </row>
    <row r="3128" spans="1:28" x14ac:dyDescent="0.25">
      <c r="A3128" t="s">
        <v>3132</v>
      </c>
      <c r="B3128">
        <v>0.99987803227770999</v>
      </c>
      <c r="C3128">
        <v>1.0753365638994501</v>
      </c>
      <c r="D3128">
        <v>1.1612153836817201</v>
      </c>
      <c r="E3128">
        <v>1.5063716895792301</v>
      </c>
      <c r="F3128">
        <v>1.38979351154133</v>
      </c>
      <c r="G3128">
        <v>1.28908901196869</v>
      </c>
      <c r="H3128">
        <v>0.92809572240413696</v>
      </c>
      <c r="I3128">
        <v>0.57135011089673104</v>
      </c>
      <c r="J3128">
        <v>0.27921086933001199</v>
      </c>
      <c r="K3128">
        <v>0.18795343942777101</v>
      </c>
      <c r="L3128">
        <v>3286.53553279478</v>
      </c>
      <c r="M3128">
        <v>51.450709237952601</v>
      </c>
      <c r="N3128">
        <v>64.490553265844298</v>
      </c>
      <c r="O3128">
        <v>63.7810819831492</v>
      </c>
      <c r="P3128">
        <v>-0.162657747617731</v>
      </c>
      <c r="Q3128">
        <v>0.19344324575097199</v>
      </c>
      <c r="R3128">
        <v>0.71674344695433101</v>
      </c>
      <c r="S3128" t="s">
        <v>9439</v>
      </c>
      <c r="T3128" t="s">
        <v>12620</v>
      </c>
      <c r="U3128" t="s">
        <v>12620</v>
      </c>
      <c r="V3128" t="s">
        <v>12620</v>
      </c>
      <c r="W3128" t="s">
        <v>15702</v>
      </c>
      <c r="X3128">
        <v>10</v>
      </c>
      <c r="Y3128" t="s">
        <v>21857</v>
      </c>
      <c r="Z3128" t="s">
        <v>28075</v>
      </c>
      <c r="AA3128">
        <v>0.83707406627715053</v>
      </c>
      <c r="AB3128" t="str">
        <f>HYPERLINK("Melting_Curves/meltCurve_Q15024_EXOSC7.pdf", "Melting_Curves/meltCurve_Q15024_EXOSC7.pdf")</f>
        <v>Melting_Curves/meltCurve_Q15024_EXOSC7.pdf</v>
      </c>
    </row>
    <row r="3129" spans="1:28" x14ac:dyDescent="0.25">
      <c r="A3129" t="s">
        <v>3133</v>
      </c>
      <c r="B3129">
        <v>0.99987803227770999</v>
      </c>
      <c r="C3129">
        <v>1.0708994378872601</v>
      </c>
      <c r="D3129">
        <v>1.0420856291432301</v>
      </c>
      <c r="E3129">
        <v>1.38290933275831</v>
      </c>
      <c r="F3129">
        <v>1.51502630038825</v>
      </c>
      <c r="G3129">
        <v>1.54941056754065</v>
      </c>
      <c r="H3129">
        <v>0.71562188178944297</v>
      </c>
      <c r="I3129">
        <v>0.23784786336043701</v>
      </c>
      <c r="J3129">
        <v>0.142462516808122</v>
      </c>
      <c r="K3129">
        <v>0.107331127473798</v>
      </c>
      <c r="L3129">
        <v>4345.2189880042997</v>
      </c>
      <c r="M3129">
        <v>70.420414062255603</v>
      </c>
      <c r="N3129">
        <v>61.987720702148401</v>
      </c>
      <c r="O3129">
        <v>61.654264695638503</v>
      </c>
      <c r="P3129">
        <v>-0.246204090368985</v>
      </c>
      <c r="Q3129">
        <v>0.137776799023754</v>
      </c>
      <c r="R3129">
        <v>0.73711042595878296</v>
      </c>
      <c r="S3129" t="s">
        <v>9440</v>
      </c>
      <c r="T3129" t="s">
        <v>12620</v>
      </c>
      <c r="U3129" t="s">
        <v>12620</v>
      </c>
      <c r="V3129" t="s">
        <v>12620</v>
      </c>
      <c r="W3129" t="s">
        <v>15703</v>
      </c>
      <c r="X3129">
        <v>44</v>
      </c>
      <c r="Y3129" t="s">
        <v>21858</v>
      </c>
      <c r="Z3129" t="s">
        <v>28076</v>
      </c>
      <c r="AA3129">
        <v>0.76273747773173262</v>
      </c>
      <c r="AB3129" t="str">
        <f>HYPERLINK("Melting_Curves/meltCurve_Q15029_2_EFTUD2.pdf", "Melting_Curves/meltCurve_Q15029_2_EFTUD2.pdf")</f>
        <v>Melting_Curves/meltCurve_Q15029_2_EFTUD2.pdf</v>
      </c>
    </row>
    <row r="3130" spans="1:28" x14ac:dyDescent="0.25">
      <c r="A3130" t="s">
        <v>3134</v>
      </c>
      <c r="B3130">
        <v>0.99987803227770999</v>
      </c>
      <c r="C3130">
        <v>0.86495265585037695</v>
      </c>
      <c r="D3130">
        <v>1.0197965482315801</v>
      </c>
      <c r="E3130">
        <v>0.82510047137728504</v>
      </c>
      <c r="F3130">
        <v>0.82466728724406502</v>
      </c>
      <c r="G3130">
        <v>0.58889806888548901</v>
      </c>
      <c r="H3130">
        <v>0.61799012051225299</v>
      </c>
      <c r="I3130">
        <v>0.53382085770056098</v>
      </c>
      <c r="J3130">
        <v>0.50492849023529596</v>
      </c>
      <c r="K3130">
        <v>0.37637017180242199</v>
      </c>
      <c r="L3130">
        <v>434.81398346934702</v>
      </c>
      <c r="M3130">
        <v>7.2324292782053199</v>
      </c>
      <c r="N3130">
        <v>64.947804017035295</v>
      </c>
      <c r="O3130">
        <v>56.034184468036699</v>
      </c>
      <c r="P3130">
        <v>-2.5600559703750501E-2</v>
      </c>
      <c r="Q3130">
        <v>0.20792773261332201</v>
      </c>
      <c r="R3130">
        <v>0.92097380095616399</v>
      </c>
      <c r="S3130" t="s">
        <v>9441</v>
      </c>
      <c r="T3130" t="s">
        <v>12620</v>
      </c>
      <c r="U3130" t="s">
        <v>12620</v>
      </c>
      <c r="V3130" t="s">
        <v>12620</v>
      </c>
      <c r="W3130" t="s">
        <v>15704</v>
      </c>
      <c r="X3130">
        <v>16</v>
      </c>
      <c r="Y3130" t="s">
        <v>21859</v>
      </c>
      <c r="Z3130" t="s">
        <v>28077</v>
      </c>
      <c r="AA3130">
        <v>0.72126676375497134</v>
      </c>
      <c r="AB3130" t="str">
        <f>HYPERLINK("Melting_Curves/meltCurve_Q15032_2_R3HDM1.pdf", "Melting_Curves/meltCurve_Q15032_2_R3HDM1.pdf")</f>
        <v>Melting_Curves/meltCurve_Q15032_2_R3HDM1.pdf</v>
      </c>
    </row>
    <row r="3131" spans="1:28" x14ac:dyDescent="0.25">
      <c r="A3131" t="s">
        <v>3135</v>
      </c>
      <c r="B3131">
        <v>0.99987803227770999</v>
      </c>
      <c r="C3131">
        <v>0.95516554895541905</v>
      </c>
      <c r="D3131">
        <v>0.94894640872981895</v>
      </c>
      <c r="E3131">
        <v>0.67268858109706897</v>
      </c>
      <c r="F3131">
        <v>0.37383730716524799</v>
      </c>
      <c r="G3131">
        <v>0.19684076622355201</v>
      </c>
      <c r="H3131">
        <v>0.13316862069780999</v>
      </c>
      <c r="I3131">
        <v>0.106982651038806</v>
      </c>
      <c r="J3131">
        <v>6.4807245836968896E-2</v>
      </c>
      <c r="K3131">
        <v>4.1421246362702599E-2</v>
      </c>
      <c r="L3131">
        <v>1057.3284447751701</v>
      </c>
      <c r="M3131">
        <v>20.563556819711302</v>
      </c>
      <c r="N3131">
        <v>51.804659985898397</v>
      </c>
      <c r="O3131">
        <v>50.9387361088584</v>
      </c>
      <c r="P3131">
        <v>-9.3738889697417796E-2</v>
      </c>
      <c r="Q3131">
        <v>7.1210976178103805E-2</v>
      </c>
      <c r="R3131">
        <v>0.99673535247093104</v>
      </c>
      <c r="S3131" t="s">
        <v>9442</v>
      </c>
      <c r="T3131" t="s">
        <v>12620</v>
      </c>
      <c r="U3131" t="s">
        <v>12620</v>
      </c>
      <c r="V3131" t="s">
        <v>12620</v>
      </c>
      <c r="W3131" t="s">
        <v>15705</v>
      </c>
      <c r="X3131">
        <v>16</v>
      </c>
      <c r="Y3131" t="s">
        <v>21860</v>
      </c>
      <c r="Z3131" t="s">
        <v>28078</v>
      </c>
      <c r="AA3131">
        <v>0.43692966663870758</v>
      </c>
      <c r="AB3131" t="str">
        <f>HYPERLINK("Melting_Curves/meltCurve_Q15036_2_SNX17.pdf", "Melting_Curves/meltCurve_Q15036_2_SNX17.pdf")</f>
        <v>Melting_Curves/meltCurve_Q15036_2_SNX17.pdf</v>
      </c>
    </row>
    <row r="3132" spans="1:28" x14ac:dyDescent="0.25">
      <c r="A3132" t="s">
        <v>3136</v>
      </c>
      <c r="B3132">
        <v>0.99987803227770999</v>
      </c>
      <c r="C3132">
        <v>1.0870937253316599</v>
      </c>
      <c r="D3132">
        <v>0.86060023807363395</v>
      </c>
      <c r="E3132">
        <v>0.62346833020909198</v>
      </c>
      <c r="F3132">
        <v>0.36674874453983097</v>
      </c>
      <c r="G3132">
        <v>0.27578713943530597</v>
      </c>
      <c r="H3132">
        <v>0.18287247420298999</v>
      </c>
      <c r="I3132">
        <v>0.13543650132427401</v>
      </c>
      <c r="J3132">
        <v>0.109193419711708</v>
      </c>
      <c r="K3132">
        <v>7.5334483391933604E-2</v>
      </c>
      <c r="L3132">
        <v>915.18623572346098</v>
      </c>
      <c r="M3132">
        <v>17.9889768650932</v>
      </c>
      <c r="N3132">
        <v>51.591835243718201</v>
      </c>
      <c r="O3132">
        <v>50.258653293704398</v>
      </c>
      <c r="P3132">
        <v>-7.9589210814856107E-2</v>
      </c>
      <c r="Q3132">
        <v>0.110600363582375</v>
      </c>
      <c r="R3132">
        <v>0.98447944658208497</v>
      </c>
      <c r="S3132" t="s">
        <v>9443</v>
      </c>
      <c r="T3132" t="s">
        <v>12620</v>
      </c>
      <c r="U3132" t="s">
        <v>12620</v>
      </c>
      <c r="V3132" t="s">
        <v>12620</v>
      </c>
      <c r="W3132" t="s">
        <v>15706</v>
      </c>
      <c r="X3132">
        <v>21</v>
      </c>
      <c r="Y3132" t="s">
        <v>21861</v>
      </c>
      <c r="Z3132" t="s">
        <v>28079</v>
      </c>
      <c r="AA3132">
        <v>0.44802722315443338</v>
      </c>
      <c r="AB3132" t="str">
        <f>HYPERLINK("Melting_Curves/meltCurve_Q15042_RAB3GAP1.pdf", "Melting_Curves/meltCurve_Q15042_RAB3GAP1.pdf")</f>
        <v>Melting_Curves/meltCurve_Q15042_RAB3GAP1.pdf</v>
      </c>
    </row>
    <row r="3133" spans="1:28" x14ac:dyDescent="0.25">
      <c r="A3133" t="s">
        <v>3137</v>
      </c>
      <c r="B3133">
        <v>0.99987803227770999</v>
      </c>
      <c r="C3133">
        <v>0.848568290190443</v>
      </c>
      <c r="D3133">
        <v>1.05002573844479</v>
      </c>
      <c r="E3133">
        <v>0.90791135335233497</v>
      </c>
      <c r="F3133">
        <v>1.09084929568084</v>
      </c>
      <c r="G3133">
        <v>0.86796467851564596</v>
      </c>
      <c r="H3133">
        <v>0.89302145067941696</v>
      </c>
      <c r="I3133">
        <v>0.91470187070977205</v>
      </c>
      <c r="J3133">
        <v>0.79593433070740305</v>
      </c>
      <c r="K3133">
        <v>0.66120048780978702</v>
      </c>
      <c r="L3133">
        <v>755.47762643243698</v>
      </c>
      <c r="M3133">
        <v>10.008226514440199</v>
      </c>
      <c r="Q3133">
        <v>0</v>
      </c>
      <c r="R3133">
        <v>0.59169511868217695</v>
      </c>
      <c r="S3133" t="s">
        <v>9444</v>
      </c>
      <c r="T3133" t="s">
        <v>12620</v>
      </c>
      <c r="U3133" t="s">
        <v>12620</v>
      </c>
      <c r="V3133" t="s">
        <v>12620</v>
      </c>
      <c r="W3133" t="s">
        <v>15707</v>
      </c>
      <c r="X3133">
        <v>2</v>
      </c>
      <c r="Y3133" t="s">
        <v>21862</v>
      </c>
      <c r="Z3133" t="s">
        <v>28080</v>
      </c>
      <c r="AA3133">
        <v>0.93170428498463254</v>
      </c>
      <c r="AB3133" t="str">
        <f>HYPERLINK("Melting_Curves/meltCurve_Q15043_2_SLC39A14.pdf", "Melting_Curves/meltCurve_Q15043_2_SLC39A14.pdf")</f>
        <v>Melting_Curves/meltCurve_Q15043_2_SLC39A14.pdf</v>
      </c>
    </row>
    <row r="3134" spans="1:28" x14ac:dyDescent="0.25">
      <c r="A3134" t="s">
        <v>3138</v>
      </c>
      <c r="B3134">
        <v>0.99987803227770999</v>
      </c>
      <c r="C3134">
        <v>0.91226912954217998</v>
      </c>
      <c r="D3134">
        <v>1.09665271100022</v>
      </c>
      <c r="E3134">
        <v>1.2464647272632201</v>
      </c>
      <c r="F3134">
        <v>0.719127389562497</v>
      </c>
      <c r="G3134">
        <v>0.34558149324480703</v>
      </c>
      <c r="H3134">
        <v>0.17285669611475299</v>
      </c>
      <c r="I3134">
        <v>0.13545682218833299</v>
      </c>
      <c r="J3134">
        <v>0.115986207832115</v>
      </c>
      <c r="K3134">
        <v>6.9069007320029005E-2</v>
      </c>
      <c r="L3134">
        <v>1913.30600384334</v>
      </c>
      <c r="M3134">
        <v>34.8312106012717</v>
      </c>
      <c r="N3134">
        <v>55.3593585193004</v>
      </c>
      <c r="O3134">
        <v>54.750673663714203</v>
      </c>
      <c r="P3134">
        <v>-0.140249740960463</v>
      </c>
      <c r="Q3134">
        <v>0.118177063179015</v>
      </c>
      <c r="R3134">
        <v>0.94538559220896301</v>
      </c>
      <c r="S3134" t="s">
        <v>9445</v>
      </c>
      <c r="T3134" t="s">
        <v>12620</v>
      </c>
      <c r="U3134" t="s">
        <v>12620</v>
      </c>
      <c r="V3134" t="s">
        <v>12620</v>
      </c>
      <c r="W3134" t="s">
        <v>15708</v>
      </c>
      <c r="X3134">
        <v>26</v>
      </c>
      <c r="Y3134" t="s">
        <v>21863</v>
      </c>
      <c r="Z3134" t="s">
        <v>28081</v>
      </c>
      <c r="AA3134">
        <v>0.56143878513895829</v>
      </c>
      <c r="AB3134" t="str">
        <f>HYPERLINK("Melting_Curves/meltCurve_Q15046_KARS.pdf", "Melting_Curves/meltCurve_Q15046_KARS.pdf")</f>
        <v>Melting_Curves/meltCurve_Q15046_KARS.pdf</v>
      </c>
    </row>
    <row r="3135" spans="1:28" x14ac:dyDescent="0.25">
      <c r="A3135" t="s">
        <v>3139</v>
      </c>
      <c r="B3135">
        <v>0.99987803227770999</v>
      </c>
      <c r="C3135">
        <v>1.1808039347192201</v>
      </c>
      <c r="D3135">
        <v>0.85805922322319494</v>
      </c>
      <c r="E3135">
        <v>0.73106391071685795</v>
      </c>
      <c r="F3135">
        <v>0.47979007367105803</v>
      </c>
      <c r="G3135">
        <v>0.40985114086208901</v>
      </c>
      <c r="H3135">
        <v>0.35359855765235798</v>
      </c>
      <c r="I3135">
        <v>0.27323244187708901</v>
      </c>
      <c r="J3135">
        <v>0.29264089427113099</v>
      </c>
      <c r="K3135">
        <v>0.222608238910047</v>
      </c>
      <c r="L3135">
        <v>967.83546013062403</v>
      </c>
      <c r="M3135">
        <v>18.924599939348099</v>
      </c>
      <c r="N3135">
        <v>53.383605528361898</v>
      </c>
      <c r="O3135">
        <v>50.5808788044125</v>
      </c>
      <c r="P3135">
        <v>-6.7895355058591497E-2</v>
      </c>
      <c r="Q3135">
        <v>0.27415793641726299</v>
      </c>
      <c r="R3135">
        <v>0.94809282851292098</v>
      </c>
      <c r="S3135" t="s">
        <v>9446</v>
      </c>
      <c r="T3135" t="s">
        <v>12620</v>
      </c>
      <c r="U3135" t="s">
        <v>12620</v>
      </c>
      <c r="V3135" t="s">
        <v>12620</v>
      </c>
      <c r="W3135" t="s">
        <v>15709</v>
      </c>
      <c r="X3135">
        <v>10</v>
      </c>
      <c r="Y3135" t="s">
        <v>21864</v>
      </c>
      <c r="Z3135" t="s">
        <v>28082</v>
      </c>
      <c r="AA3135">
        <v>0.55488001301061929</v>
      </c>
      <c r="AB3135" t="str">
        <f>HYPERLINK("Melting_Curves/meltCurve_Q15047_3_SETDB1.pdf", "Melting_Curves/meltCurve_Q15047_3_SETDB1.pdf")</f>
        <v>Melting_Curves/meltCurve_Q15047_3_SETDB1.pdf</v>
      </c>
    </row>
    <row r="3136" spans="1:28" x14ac:dyDescent="0.25">
      <c r="A3136" t="s">
        <v>3140</v>
      </c>
      <c r="B3136">
        <v>0.99987803227770999</v>
      </c>
      <c r="C3136">
        <v>0.84746651521789695</v>
      </c>
      <c r="D3136">
        <v>0.69985911435970705</v>
      </c>
      <c r="E3136">
        <v>0.248897366702406</v>
      </c>
      <c r="F3136">
        <v>9.1410176490372794E-2</v>
      </c>
      <c r="G3136">
        <v>6.5346763221896503E-2</v>
      </c>
      <c r="H3136">
        <v>2.1317309234331699E-2</v>
      </c>
      <c r="I3136">
        <v>1.41157727710612E-2</v>
      </c>
      <c r="J3136">
        <v>1.8047238920318801E-2</v>
      </c>
      <c r="K3136">
        <v>1.0257682172388699E-2</v>
      </c>
      <c r="L3136">
        <v>1000.11133834097</v>
      </c>
      <c r="M3136">
        <v>21.0835421433123</v>
      </c>
      <c r="N3136">
        <v>47.4942749263531</v>
      </c>
      <c r="O3136">
        <v>47.015070606750001</v>
      </c>
      <c r="P3136">
        <v>-0.11067353563678101</v>
      </c>
      <c r="Q3136">
        <v>1.28436964495507E-2</v>
      </c>
      <c r="R3136">
        <v>0.99556126594057703</v>
      </c>
      <c r="S3136" t="s">
        <v>9447</v>
      </c>
      <c r="T3136" t="s">
        <v>12620</v>
      </c>
      <c r="U3136" t="s">
        <v>12620</v>
      </c>
      <c r="V3136" t="s">
        <v>12620</v>
      </c>
      <c r="W3136" t="s">
        <v>15710</v>
      </c>
      <c r="X3136">
        <v>5</v>
      </c>
      <c r="Y3136" t="s">
        <v>21865</v>
      </c>
      <c r="Z3136" t="s">
        <v>28083</v>
      </c>
      <c r="AA3136">
        <v>0.27020299758508948</v>
      </c>
      <c r="AB3136" t="str">
        <f>HYPERLINK("Melting_Curves/meltCurve_Q15048_LRRC14.pdf", "Melting_Curves/meltCurve_Q15048_LRRC14.pdf")</f>
        <v>Melting_Curves/meltCurve_Q15048_LRRC14.pdf</v>
      </c>
    </row>
    <row r="3137" spans="1:28" x14ac:dyDescent="0.25">
      <c r="A3137" t="s">
        <v>3141</v>
      </c>
      <c r="B3137">
        <v>0.99987803227770999</v>
      </c>
      <c r="C3137">
        <v>0.75087820938743099</v>
      </c>
      <c r="D3137">
        <v>0.83414374323512397</v>
      </c>
      <c r="E3137">
        <v>0.73969001528962097</v>
      </c>
      <c r="F3137">
        <v>0.83763619237986997</v>
      </c>
      <c r="G3137">
        <v>1.2277106105047</v>
      </c>
      <c r="H3137">
        <v>0.70303515914970904</v>
      </c>
      <c r="I3137">
        <v>0.69041415606719103</v>
      </c>
      <c r="J3137">
        <v>0.83330452671187605</v>
      </c>
      <c r="K3137">
        <v>0.750361833665249</v>
      </c>
      <c r="L3137">
        <v>1.0000000000000001E-5</v>
      </c>
      <c r="M3137">
        <v>1.0000000000000001E-5</v>
      </c>
      <c r="Q3137">
        <v>0.67341209637121502</v>
      </c>
      <c r="R3137">
        <v>8.0538578028921393E-9</v>
      </c>
      <c r="S3137" t="s">
        <v>9448</v>
      </c>
      <c r="T3137" t="s">
        <v>12620</v>
      </c>
      <c r="U3137" t="s">
        <v>12620</v>
      </c>
      <c r="V3137" t="s">
        <v>12620</v>
      </c>
      <c r="W3137" t="s">
        <v>15711</v>
      </c>
      <c r="X3137">
        <v>1</v>
      </c>
      <c r="Y3137" t="s">
        <v>21866</v>
      </c>
      <c r="Z3137" t="s">
        <v>28084</v>
      </c>
      <c r="AA3137">
        <v>0.83670524694616077</v>
      </c>
      <c r="AB3137" t="str">
        <f>HYPERLINK("Melting_Curves/meltCurve_Q15050_RRS1.pdf", "Melting_Curves/meltCurve_Q15050_RRS1.pdf")</f>
        <v>Melting_Curves/meltCurve_Q15050_RRS1.pdf</v>
      </c>
    </row>
    <row r="3138" spans="1:28" x14ac:dyDescent="0.25">
      <c r="A3138" t="s">
        <v>3142</v>
      </c>
      <c r="B3138">
        <v>0.99987803227770999</v>
      </c>
      <c r="C3138">
        <v>0.70069332698974895</v>
      </c>
      <c r="D3138">
        <v>0.54190252751272905</v>
      </c>
      <c r="E3138">
        <v>0.58100844149363695</v>
      </c>
      <c r="F3138">
        <v>0.55207189510363497</v>
      </c>
      <c r="G3138">
        <v>0.45699222240378401</v>
      </c>
      <c r="H3138">
        <v>0.462705183702393</v>
      </c>
      <c r="I3138">
        <v>0.44846110679315798</v>
      </c>
      <c r="J3138">
        <v>0.45987867012120198</v>
      </c>
      <c r="K3138">
        <v>0.38389760108891702</v>
      </c>
      <c r="L3138">
        <v>1603.1188552851199</v>
      </c>
      <c r="M3138">
        <v>37.527014630477403</v>
      </c>
      <c r="N3138">
        <v>46.736578873047897</v>
      </c>
      <c r="O3138">
        <v>42.598296025058502</v>
      </c>
      <c r="P3138">
        <v>-0.11449331180309801</v>
      </c>
      <c r="Q3138">
        <v>0.480139094653593</v>
      </c>
      <c r="R3138">
        <v>0.89939103446589796</v>
      </c>
      <c r="S3138" t="s">
        <v>9449</v>
      </c>
      <c r="T3138" t="s">
        <v>12620</v>
      </c>
      <c r="U3138" t="s">
        <v>12620</v>
      </c>
      <c r="V3138" t="s">
        <v>12620</v>
      </c>
      <c r="W3138" t="s">
        <v>15712</v>
      </c>
      <c r="X3138">
        <v>10</v>
      </c>
      <c r="Y3138" t="s">
        <v>21867</v>
      </c>
      <c r="Z3138" t="s">
        <v>28085</v>
      </c>
      <c r="AA3138">
        <v>0.53024114050899807</v>
      </c>
      <c r="AB3138" t="str">
        <f>HYPERLINK("Melting_Curves/meltCurve_Q15054_POLD3.pdf", "Melting_Curves/meltCurve_Q15054_POLD3.pdf")</f>
        <v>Melting_Curves/meltCurve_Q15054_POLD3.pdf</v>
      </c>
    </row>
    <row r="3139" spans="1:28" x14ac:dyDescent="0.25">
      <c r="A3139" t="s">
        <v>3143</v>
      </c>
      <c r="B3139">
        <v>0.99987803227770999</v>
      </c>
      <c r="C3139">
        <v>0.89785978411299505</v>
      </c>
      <c r="D3139">
        <v>0.96348920807855898</v>
      </c>
      <c r="E3139">
        <v>0.90455038098169305</v>
      </c>
      <c r="F3139">
        <v>0.98184601117134795</v>
      </c>
      <c r="G3139">
        <v>0.72232971446974203</v>
      </c>
      <c r="H3139">
        <v>0.74753216668792899</v>
      </c>
      <c r="I3139">
        <v>0.75523767629271199</v>
      </c>
      <c r="J3139">
        <v>0.77844586306254304</v>
      </c>
      <c r="K3139">
        <v>0.62560964750196402</v>
      </c>
      <c r="L3139">
        <v>328.16879862217002</v>
      </c>
      <c r="M3139">
        <v>4.8352246173125399</v>
      </c>
      <c r="O3139">
        <v>58.762283545529399</v>
      </c>
      <c r="P3139">
        <v>-1.2692391780050501E-2</v>
      </c>
      <c r="Q3139">
        <v>0.387209272113331</v>
      </c>
      <c r="R3139">
        <v>0.75410587831399101</v>
      </c>
      <c r="S3139" t="s">
        <v>9450</v>
      </c>
      <c r="T3139" t="s">
        <v>12620</v>
      </c>
      <c r="U3139" t="s">
        <v>12620</v>
      </c>
      <c r="V3139" t="s">
        <v>12620</v>
      </c>
      <c r="W3139" t="s">
        <v>15713</v>
      </c>
      <c r="X3139">
        <v>24</v>
      </c>
      <c r="Y3139" t="s">
        <v>21868</v>
      </c>
      <c r="Z3139" t="s">
        <v>28086</v>
      </c>
      <c r="AA3139">
        <v>0.84192360006570988</v>
      </c>
      <c r="AB3139" t="str">
        <f>HYPERLINK("Melting_Curves/meltCurve_Q15056_EIF4H.pdf", "Melting_Curves/meltCurve_Q15056_EIF4H.pdf")</f>
        <v>Melting_Curves/meltCurve_Q15056_EIF4H.pdf</v>
      </c>
    </row>
    <row r="3140" spans="1:28" x14ac:dyDescent="0.25">
      <c r="A3140" t="s">
        <v>3144</v>
      </c>
      <c r="B3140">
        <v>0.99987803227770999</v>
      </c>
      <c r="C3140">
        <v>0.90750457960981101</v>
      </c>
      <c r="D3140">
        <v>0.97423995189691803</v>
      </c>
      <c r="E3140">
        <v>0.89455070853011998</v>
      </c>
      <c r="F3140">
        <v>1.02924131254022</v>
      </c>
      <c r="G3140">
        <v>0.85228950365141798</v>
      </c>
      <c r="H3140">
        <v>0.82387314518557198</v>
      </c>
      <c r="I3140">
        <v>0.84451783675172698</v>
      </c>
      <c r="J3140">
        <v>0.76826562106581697</v>
      </c>
      <c r="K3140">
        <v>0.668039931715108</v>
      </c>
      <c r="L3140">
        <v>379.190481621929</v>
      </c>
      <c r="M3140">
        <v>4.5532518937179596</v>
      </c>
      <c r="Q3140">
        <v>0</v>
      </c>
      <c r="R3140">
        <v>0.77079726210857302</v>
      </c>
      <c r="S3140" t="s">
        <v>9451</v>
      </c>
      <c r="T3140" t="s">
        <v>12620</v>
      </c>
      <c r="U3140" t="s">
        <v>12620</v>
      </c>
      <c r="V3140" t="s">
        <v>12620</v>
      </c>
      <c r="W3140" t="s">
        <v>15714</v>
      </c>
      <c r="X3140">
        <v>22</v>
      </c>
      <c r="Y3140" t="s">
        <v>21868</v>
      </c>
      <c r="Z3140" t="s">
        <v>28087</v>
      </c>
      <c r="AA3140">
        <v>0.88941843019941225</v>
      </c>
      <c r="AB3140" t="str">
        <f>HYPERLINK("Melting_Curves/meltCurve_Q15056_2_EIF4H.pdf", "Melting_Curves/meltCurve_Q15056_2_EIF4H.pdf")</f>
        <v>Melting_Curves/meltCurve_Q15056_2_EIF4H.pdf</v>
      </c>
    </row>
    <row r="3141" spans="1:28" x14ac:dyDescent="0.25">
      <c r="A3141" t="s">
        <v>3145</v>
      </c>
      <c r="B3141">
        <v>0.99987803227770999</v>
      </c>
      <c r="C3141">
        <v>1.10503827862153</v>
      </c>
      <c r="D3141">
        <v>0.93497131417415102</v>
      </c>
      <c r="E3141">
        <v>0.82700298636048297</v>
      </c>
      <c r="F3141">
        <v>0.32411669168956397</v>
      </c>
      <c r="G3141">
        <v>0.224542285043246</v>
      </c>
      <c r="H3141">
        <v>0.16574003845445401</v>
      </c>
      <c r="I3141">
        <v>0.13699987668123001</v>
      </c>
      <c r="J3141">
        <v>0.111742155343612</v>
      </c>
      <c r="K3141">
        <v>8.0967843261193703E-2</v>
      </c>
      <c r="L3141">
        <v>2169.8589384768802</v>
      </c>
      <c r="M3141">
        <v>42.112750902611197</v>
      </c>
      <c r="N3141">
        <v>51.924095555402502</v>
      </c>
      <c r="O3141">
        <v>51.4092100151003</v>
      </c>
      <c r="P3141">
        <v>-0.17647736798432301</v>
      </c>
      <c r="Q3141">
        <v>0.13826130411970899</v>
      </c>
      <c r="R3141">
        <v>0.98430629505232303</v>
      </c>
      <c r="S3141" t="s">
        <v>9452</v>
      </c>
      <c r="T3141" t="s">
        <v>12620</v>
      </c>
      <c r="U3141" t="s">
        <v>12620</v>
      </c>
      <c r="V3141" t="s">
        <v>12620</v>
      </c>
      <c r="W3141" t="s">
        <v>15715</v>
      </c>
      <c r="X3141">
        <v>19</v>
      </c>
      <c r="Y3141" t="s">
        <v>21869</v>
      </c>
      <c r="Z3141" t="s">
        <v>28088</v>
      </c>
      <c r="AA3141">
        <v>0.47207857762164313</v>
      </c>
      <c r="AB3141" t="str">
        <f>HYPERLINK("Melting_Curves/meltCurve_Q15057_ACAP2.pdf", "Melting_Curves/meltCurve_Q15057_ACAP2.pdf")</f>
        <v>Melting_Curves/meltCurve_Q15057_ACAP2.pdf</v>
      </c>
    </row>
    <row r="3142" spans="1:28" x14ac:dyDescent="0.25">
      <c r="A3142" t="s">
        <v>3146</v>
      </c>
      <c r="B3142">
        <v>0.99987803227770999</v>
      </c>
      <c r="C3142">
        <v>0.90613294408165801</v>
      </c>
      <c r="D3142">
        <v>1.0454605468143701</v>
      </c>
      <c r="E3142">
        <v>0.76986281227406805</v>
      </c>
      <c r="F3142">
        <v>0.74738852897372898</v>
      </c>
      <c r="G3142">
        <v>0.52362361875354402</v>
      </c>
      <c r="H3142">
        <v>0.54212637585918899</v>
      </c>
      <c r="I3142">
        <v>0.49242098218353098</v>
      </c>
      <c r="J3142">
        <v>0.46830975560632598</v>
      </c>
      <c r="K3142">
        <v>0.396802303482435</v>
      </c>
      <c r="L3142">
        <v>803.25640888759699</v>
      </c>
      <c r="M3142">
        <v>15.2132145038962</v>
      </c>
      <c r="N3142">
        <v>60.798145971060102</v>
      </c>
      <c r="O3142">
        <v>51.912818301294401</v>
      </c>
      <c r="P3142">
        <v>-4.15864708250029E-2</v>
      </c>
      <c r="Q3142">
        <v>0.43242382011318498</v>
      </c>
      <c r="R3142">
        <v>0.94312789715621803</v>
      </c>
      <c r="S3142" t="s">
        <v>9453</v>
      </c>
      <c r="T3142" t="s">
        <v>12620</v>
      </c>
      <c r="U3142" t="s">
        <v>12620</v>
      </c>
      <c r="V3142" t="s">
        <v>12620</v>
      </c>
      <c r="W3142" t="s">
        <v>15716</v>
      </c>
      <c r="X3142">
        <v>10</v>
      </c>
      <c r="Y3142" t="s">
        <v>21870</v>
      </c>
      <c r="Z3142" t="s">
        <v>28089</v>
      </c>
      <c r="AA3142">
        <v>0.6866570099764826</v>
      </c>
      <c r="AB3142" t="str">
        <f>HYPERLINK("Melting_Curves/meltCurve_Q15058_KIF14.pdf", "Melting_Curves/meltCurve_Q15058_KIF14.pdf")</f>
        <v>Melting_Curves/meltCurve_Q15058_KIF14.pdf</v>
      </c>
    </row>
    <row r="3143" spans="1:28" x14ac:dyDescent="0.25">
      <c r="A3143" t="s">
        <v>3147</v>
      </c>
      <c r="B3143">
        <v>0.99987803227770999</v>
      </c>
      <c r="C3143">
        <v>0.91785317350798201</v>
      </c>
      <c r="D3143">
        <v>1.0110364590672101</v>
      </c>
      <c r="E3143">
        <v>0.80555848976314604</v>
      </c>
      <c r="F3143">
        <v>0.56293500919731299</v>
      </c>
      <c r="G3143">
        <v>0.36618271631574001</v>
      </c>
      <c r="H3143">
        <v>0.325830303198757</v>
      </c>
      <c r="I3143">
        <v>0.28995409648489501</v>
      </c>
      <c r="J3143">
        <v>0.32106850599396602</v>
      </c>
      <c r="K3143">
        <v>0.24738945426874001</v>
      </c>
      <c r="L3143">
        <v>1274.6506221618099</v>
      </c>
      <c r="M3143">
        <v>24.489370766006399</v>
      </c>
      <c r="N3143">
        <v>53.940681410932797</v>
      </c>
      <c r="O3143">
        <v>51.705796649870301</v>
      </c>
      <c r="P3143">
        <v>-8.4288348133968904E-2</v>
      </c>
      <c r="Q3143">
        <v>0.28815931975238002</v>
      </c>
      <c r="R3143">
        <v>0.98811681901179405</v>
      </c>
      <c r="S3143" t="s">
        <v>9454</v>
      </c>
      <c r="T3143" t="s">
        <v>12620</v>
      </c>
      <c r="U3143" t="s">
        <v>12620</v>
      </c>
      <c r="V3143" t="s">
        <v>12620</v>
      </c>
      <c r="W3143" t="s">
        <v>15717</v>
      </c>
      <c r="X3143">
        <v>16</v>
      </c>
      <c r="Y3143" t="s">
        <v>21871</v>
      </c>
      <c r="Z3143" t="s">
        <v>28090</v>
      </c>
      <c r="AA3143">
        <v>0.58082550929551191</v>
      </c>
      <c r="AB3143" t="str">
        <f>HYPERLINK("Melting_Curves/meltCurve_Q15059_BRD3.pdf", "Melting_Curves/meltCurve_Q15059_BRD3.pdf")</f>
        <v>Melting_Curves/meltCurve_Q15059_BRD3.pdf</v>
      </c>
    </row>
    <row r="3144" spans="1:28" x14ac:dyDescent="0.25">
      <c r="A3144" t="s">
        <v>3148</v>
      </c>
      <c r="B3144">
        <v>0.99987803227770999</v>
      </c>
      <c r="C3144">
        <v>0.93702441312641205</v>
      </c>
      <c r="D3144">
        <v>0.99150045042769497</v>
      </c>
      <c r="E3144">
        <v>0.97747818768050598</v>
      </c>
      <c r="F3144">
        <v>1.00196275928476</v>
      </c>
      <c r="G3144">
        <v>0.82285668375542198</v>
      </c>
      <c r="H3144">
        <v>0.44108976335281402</v>
      </c>
      <c r="I3144">
        <v>0.20523112348525499</v>
      </c>
      <c r="J3144">
        <v>9.9101746945361599E-2</v>
      </c>
      <c r="K3144">
        <v>5.81406575738189E-2</v>
      </c>
      <c r="L3144">
        <v>1618.2358062506</v>
      </c>
      <c r="M3144">
        <v>26.8570013737212</v>
      </c>
      <c r="N3144">
        <v>60.431213476999702</v>
      </c>
      <c r="O3144">
        <v>59.922702920492597</v>
      </c>
      <c r="P3144">
        <v>-0.107801161099305</v>
      </c>
      <c r="Q3144">
        <v>3.7916333436367099E-2</v>
      </c>
      <c r="R3144">
        <v>0.99655479759237797</v>
      </c>
      <c r="S3144" t="s">
        <v>9455</v>
      </c>
      <c r="T3144" t="s">
        <v>12620</v>
      </c>
      <c r="U3144" t="s">
        <v>12620</v>
      </c>
      <c r="V3144" t="s">
        <v>12620</v>
      </c>
      <c r="W3144" t="s">
        <v>15718</v>
      </c>
      <c r="X3144">
        <v>8</v>
      </c>
      <c r="Y3144" t="s">
        <v>21872</v>
      </c>
      <c r="Z3144" t="s">
        <v>28091</v>
      </c>
      <c r="AA3144">
        <v>0.69392279254179112</v>
      </c>
      <c r="AB3144" t="str">
        <f>HYPERLINK("Melting_Curves/meltCurve_Q15061_WDR43.pdf", "Melting_Curves/meltCurve_Q15061_WDR43.pdf")</f>
        <v>Melting_Curves/meltCurve_Q15061_WDR43.pdf</v>
      </c>
    </row>
    <row r="3145" spans="1:28" x14ac:dyDescent="0.25">
      <c r="A3145" t="s">
        <v>3149</v>
      </c>
      <c r="B3145">
        <v>0.99987803227770999</v>
      </c>
      <c r="C3145">
        <v>1.1855639193366201</v>
      </c>
      <c r="D3145">
        <v>1.00343901283374</v>
      </c>
      <c r="E3145">
        <v>1.1170099923171599</v>
      </c>
      <c r="F3145">
        <v>0.80380641646060802</v>
      </c>
      <c r="G3145">
        <v>0.64119737730416604</v>
      </c>
      <c r="H3145">
        <v>0.72401772365938599</v>
      </c>
      <c r="I3145">
        <v>0.55206011301168101</v>
      </c>
      <c r="J3145">
        <v>0.41974011384109899</v>
      </c>
      <c r="K3145">
        <v>0.18537754607592799</v>
      </c>
      <c r="L3145">
        <v>696.08065151256994</v>
      </c>
      <c r="M3145">
        <v>10.8804074020507</v>
      </c>
      <c r="N3145">
        <v>63.975622553102198</v>
      </c>
      <c r="O3145">
        <v>61.928298202315197</v>
      </c>
      <c r="P3145">
        <v>-4.3938856860136898E-2</v>
      </c>
      <c r="Q3145">
        <v>0</v>
      </c>
      <c r="R3145">
        <v>0.87308581065032997</v>
      </c>
      <c r="S3145" t="s">
        <v>9456</v>
      </c>
      <c r="T3145" t="s">
        <v>12620</v>
      </c>
      <c r="U3145" t="s">
        <v>12620</v>
      </c>
      <c r="V3145" t="s">
        <v>12620</v>
      </c>
      <c r="W3145" t="s">
        <v>15719</v>
      </c>
      <c r="X3145">
        <v>4</v>
      </c>
      <c r="Y3145" t="s">
        <v>21873</v>
      </c>
      <c r="Z3145" t="s">
        <v>28092</v>
      </c>
      <c r="AA3145">
        <v>0.76355385202992321</v>
      </c>
      <c r="AB3145" t="str">
        <f>HYPERLINK("Melting_Curves/meltCurve_Q15067_2_ACOX1.pdf", "Melting_Curves/meltCurve_Q15067_2_ACOX1.pdf")</f>
        <v>Melting_Curves/meltCurve_Q15067_2_ACOX1.pdf</v>
      </c>
    </row>
    <row r="3146" spans="1:28" x14ac:dyDescent="0.25">
      <c r="A3146" t="s">
        <v>3150</v>
      </c>
      <c r="B3146">
        <v>0.99987803227770999</v>
      </c>
      <c r="C3146">
        <v>0.776752269984473</v>
      </c>
      <c r="D3146">
        <v>0.90449852449991497</v>
      </c>
      <c r="E3146">
        <v>0.70186478311426104</v>
      </c>
      <c r="F3146">
        <v>0.97257680476729302</v>
      </c>
      <c r="G3146">
        <v>0.51406128735512202</v>
      </c>
      <c r="H3146">
        <v>0.59496742217277898</v>
      </c>
      <c r="I3146">
        <v>0.58750049647953995</v>
      </c>
      <c r="J3146">
        <v>0.512878693286141</v>
      </c>
      <c r="K3146">
        <v>0.25755199837903803</v>
      </c>
      <c r="L3146">
        <v>325.00286206708199</v>
      </c>
      <c r="M3146">
        <v>5.0620622056989104</v>
      </c>
      <c r="N3146">
        <v>64.203648441039405</v>
      </c>
      <c r="O3146">
        <v>56.195535943758401</v>
      </c>
      <c r="P3146">
        <v>-2.26521431380853E-2</v>
      </c>
      <c r="Q3146">
        <v>0</v>
      </c>
      <c r="R3146">
        <v>0.72070747966195503</v>
      </c>
      <c r="S3146" t="s">
        <v>9457</v>
      </c>
      <c r="T3146" t="s">
        <v>12620</v>
      </c>
      <c r="U3146" t="s">
        <v>12620</v>
      </c>
      <c r="V3146" t="s">
        <v>12620</v>
      </c>
      <c r="W3146" t="s">
        <v>15720</v>
      </c>
      <c r="X3146">
        <v>1</v>
      </c>
      <c r="Y3146" t="s">
        <v>21874</v>
      </c>
      <c r="Z3146" t="s">
        <v>28093</v>
      </c>
      <c r="AA3146">
        <v>0.69266756927816531</v>
      </c>
      <c r="AB3146" t="str">
        <f>HYPERLINK("Melting_Curves/meltCurve_Q15072_ZNF146.pdf", "Melting_Curves/meltCurve_Q15072_ZNF146.pdf")</f>
        <v>Melting_Curves/meltCurve_Q15072_ZNF146.pdf</v>
      </c>
    </row>
    <row r="3147" spans="1:28" x14ac:dyDescent="0.25">
      <c r="A3147" t="s">
        <v>3151</v>
      </c>
      <c r="B3147">
        <v>0.99987803227770999</v>
      </c>
      <c r="C3147">
        <v>1.11883477031016</v>
      </c>
      <c r="D3147">
        <v>1.04272765055282</v>
      </c>
      <c r="E3147">
        <v>1.12235517627991</v>
      </c>
      <c r="F3147">
        <v>0.97227526087882599</v>
      </c>
      <c r="G3147">
        <v>1.0816929349851401</v>
      </c>
      <c r="H3147">
        <v>1.30986364576766</v>
      </c>
      <c r="I3147">
        <v>1.2280669955422701</v>
      </c>
      <c r="J3147">
        <v>1.3371112994649901</v>
      </c>
      <c r="K3147">
        <v>0.883817142250367</v>
      </c>
      <c r="L3147">
        <v>410.256784355604</v>
      </c>
      <c r="M3147">
        <v>8.2917878731788903</v>
      </c>
      <c r="O3147">
        <v>46.850193808967703</v>
      </c>
      <c r="P3147">
        <v>7.8436295355651803E-3</v>
      </c>
      <c r="Q3147">
        <v>1.17709691713875</v>
      </c>
      <c r="R3147">
        <v>0.109277112011248</v>
      </c>
      <c r="S3147" t="s">
        <v>9458</v>
      </c>
      <c r="T3147" t="s">
        <v>12620</v>
      </c>
      <c r="U3147" t="s">
        <v>12620</v>
      </c>
      <c r="V3147" t="s">
        <v>12620</v>
      </c>
      <c r="W3147" t="s">
        <v>15721</v>
      </c>
      <c r="X3147">
        <v>98</v>
      </c>
      <c r="Y3147" t="s">
        <v>21875</v>
      </c>
      <c r="Z3147" t="s">
        <v>28094</v>
      </c>
      <c r="AA3147">
        <v>1.110466979396123</v>
      </c>
      <c r="AB3147" t="str">
        <f>HYPERLINK("Melting_Curves/meltCurve_Q15075_EEA1.pdf", "Melting_Curves/meltCurve_Q15075_EEA1.pdf")</f>
        <v>Melting_Curves/meltCurve_Q15075_EEA1.pdf</v>
      </c>
    </row>
    <row r="3148" spans="1:28" x14ac:dyDescent="0.25">
      <c r="A3148" t="s">
        <v>3152</v>
      </c>
      <c r="B3148">
        <v>0.99987803227770999</v>
      </c>
      <c r="C3148">
        <v>1.0270465326312299</v>
      </c>
      <c r="D3148">
        <v>0.81030935452538</v>
      </c>
      <c r="E3148">
        <v>0.48865600259539399</v>
      </c>
      <c r="F3148">
        <v>0.23219943923354699</v>
      </c>
      <c r="G3148">
        <v>0.13180127977120801</v>
      </c>
      <c r="H3148">
        <v>9.4910342485694202E-2</v>
      </c>
      <c r="I3148">
        <v>8.1691396677817496E-2</v>
      </c>
      <c r="J3148">
        <v>6.9871628095447405E-2</v>
      </c>
      <c r="K3148">
        <v>5.42966168706316E-2</v>
      </c>
      <c r="L3148">
        <v>1060.8493427835001</v>
      </c>
      <c r="M3148">
        <v>21.476565181896898</v>
      </c>
      <c r="N3148">
        <v>49.743719465940302</v>
      </c>
      <c r="O3148">
        <v>48.973376374666302</v>
      </c>
      <c r="P3148">
        <v>-0.101988167891734</v>
      </c>
      <c r="Q3148">
        <v>6.9761163503770499E-2</v>
      </c>
      <c r="R3148">
        <v>0.99603648864984495</v>
      </c>
      <c r="S3148" t="s">
        <v>9459</v>
      </c>
      <c r="T3148" t="s">
        <v>12620</v>
      </c>
      <c r="U3148" t="s">
        <v>12620</v>
      </c>
      <c r="V3148" t="s">
        <v>12620</v>
      </c>
      <c r="W3148" t="s">
        <v>15722</v>
      </c>
      <c r="X3148">
        <v>10</v>
      </c>
      <c r="Y3148" t="s">
        <v>21876</v>
      </c>
      <c r="Z3148" t="s">
        <v>28095</v>
      </c>
      <c r="AA3148">
        <v>0.37235868818779072</v>
      </c>
      <c r="AB3148" t="str">
        <f>HYPERLINK("Melting_Curves/meltCurve_Q15102_PAFAH1B3.pdf", "Melting_Curves/meltCurve_Q15102_PAFAH1B3.pdf")</f>
        <v>Melting_Curves/meltCurve_Q15102_PAFAH1B3.pdf</v>
      </c>
    </row>
    <row r="3149" spans="1:28" x14ac:dyDescent="0.25">
      <c r="A3149" t="s">
        <v>3153</v>
      </c>
      <c r="B3149">
        <v>0.99987803227770999</v>
      </c>
      <c r="C3149">
        <v>0.83342485357479201</v>
      </c>
      <c r="D3149">
        <v>0.96789857973452897</v>
      </c>
      <c r="E3149">
        <v>0.86083235923365897</v>
      </c>
      <c r="F3149">
        <v>0.98460658088471498</v>
      </c>
      <c r="G3149">
        <v>0.72011401214216897</v>
      </c>
      <c r="H3149">
        <v>0.77305704864813696</v>
      </c>
      <c r="I3149">
        <v>0.76882720006521899</v>
      </c>
      <c r="J3149">
        <v>0.78427139480885</v>
      </c>
      <c r="K3149">
        <v>0.653034304638759</v>
      </c>
      <c r="L3149">
        <v>217.82150339852299</v>
      </c>
      <c r="M3149">
        <v>2.28411943080244</v>
      </c>
      <c r="O3149">
        <v>61.244285461858901</v>
      </c>
      <c r="P3149">
        <v>-9.9271795905639098E-3</v>
      </c>
      <c r="Q3149">
        <v>0</v>
      </c>
      <c r="R3149">
        <v>0.61569925694902095</v>
      </c>
      <c r="S3149" t="s">
        <v>9460</v>
      </c>
      <c r="T3149" t="s">
        <v>12620</v>
      </c>
      <c r="U3149" t="s">
        <v>12620</v>
      </c>
      <c r="V3149" t="s">
        <v>12620</v>
      </c>
      <c r="W3149" t="s">
        <v>15723</v>
      </c>
      <c r="X3149">
        <v>8</v>
      </c>
      <c r="Y3149" t="s">
        <v>21877</v>
      </c>
      <c r="Z3149" t="s">
        <v>28096</v>
      </c>
      <c r="AA3149">
        <v>0.83757350566699995</v>
      </c>
      <c r="AB3149" t="str">
        <f>HYPERLINK("Melting_Curves/meltCurve_Q15121_PEA15.pdf", "Melting_Curves/meltCurve_Q15121_PEA15.pdf")</f>
        <v>Melting_Curves/meltCurve_Q15121_PEA15.pdf</v>
      </c>
    </row>
    <row r="3150" spans="1:28" x14ac:dyDescent="0.25">
      <c r="A3150" t="s">
        <v>3154</v>
      </c>
      <c r="B3150">
        <v>0.99987803227770999</v>
      </c>
      <c r="C3150">
        <v>0.79271518453915601</v>
      </c>
      <c r="D3150">
        <v>0.77714985132806702</v>
      </c>
      <c r="E3150">
        <v>0.29369812819767299</v>
      </c>
      <c r="F3150">
        <v>0.16351145047166801</v>
      </c>
      <c r="G3150">
        <v>0.108571258448624</v>
      </c>
      <c r="H3150">
        <v>8.8987051028167993E-2</v>
      </c>
      <c r="I3150">
        <v>6.9966776615318194E-2</v>
      </c>
      <c r="J3150">
        <v>5.5551929194821902E-2</v>
      </c>
      <c r="K3150">
        <v>4.2730238760613999E-2</v>
      </c>
      <c r="L3150">
        <v>924.44989832381702</v>
      </c>
      <c r="M3150">
        <v>19.364931100535198</v>
      </c>
      <c r="N3150">
        <v>48.030086575247999</v>
      </c>
      <c r="O3150">
        <v>47.238014906852698</v>
      </c>
      <c r="P3150">
        <v>-9.6803159297809693E-2</v>
      </c>
      <c r="Q3150">
        <v>5.54843765283927E-2</v>
      </c>
      <c r="R3150">
        <v>0.98154354616786299</v>
      </c>
      <c r="S3150" t="s">
        <v>9461</v>
      </c>
      <c r="T3150" t="s">
        <v>12620</v>
      </c>
      <c r="U3150" t="s">
        <v>12620</v>
      </c>
      <c r="V3150" t="s">
        <v>12620</v>
      </c>
      <c r="W3150" t="s">
        <v>15724</v>
      </c>
      <c r="X3150">
        <v>15</v>
      </c>
      <c r="Y3150" t="s">
        <v>21878</v>
      </c>
      <c r="Z3150" t="s">
        <v>28097</v>
      </c>
      <c r="AA3150">
        <v>0.31358619454110331</v>
      </c>
      <c r="AB3150" t="str">
        <f>HYPERLINK("Melting_Curves/meltCurve_Q15126_PMVK.pdf", "Melting_Curves/meltCurve_Q15126_PMVK.pdf")</f>
        <v>Melting_Curves/meltCurve_Q15126_PMVK.pdf</v>
      </c>
    </row>
    <row r="3151" spans="1:28" x14ac:dyDescent="0.25">
      <c r="A3151" t="s">
        <v>3155</v>
      </c>
      <c r="B3151">
        <v>0.99987803227770999</v>
      </c>
      <c r="C3151">
        <v>1.01866651674186</v>
      </c>
      <c r="D3151">
        <v>0.85720487133446399</v>
      </c>
      <c r="E3151">
        <v>0.70748980992773003</v>
      </c>
      <c r="F3151">
        <v>0.45551338335149499</v>
      </c>
      <c r="G3151">
        <v>0.318941048613745</v>
      </c>
      <c r="H3151">
        <v>0.18431927018267499</v>
      </c>
      <c r="I3151">
        <v>0.24883262746577101</v>
      </c>
      <c r="J3151">
        <v>0.10510393753658</v>
      </c>
      <c r="K3151">
        <v>5.3506630669296701E-2</v>
      </c>
      <c r="L3151">
        <v>726.948355732035</v>
      </c>
      <c r="M3151">
        <v>13.9010434183817</v>
      </c>
      <c r="N3151">
        <v>52.9996015732751</v>
      </c>
      <c r="O3151">
        <v>51.247955822475902</v>
      </c>
      <c r="P3151">
        <v>-6.2096361092939402E-2</v>
      </c>
      <c r="Q3151">
        <v>8.44202014790673E-2</v>
      </c>
      <c r="R3151">
        <v>0.98351588781691601</v>
      </c>
      <c r="S3151" t="s">
        <v>9462</v>
      </c>
      <c r="T3151" t="s">
        <v>12620</v>
      </c>
      <c r="U3151" t="s">
        <v>12620</v>
      </c>
      <c r="V3151" t="s">
        <v>12620</v>
      </c>
      <c r="W3151" t="s">
        <v>15725</v>
      </c>
      <c r="X3151">
        <v>4</v>
      </c>
      <c r="Y3151" t="s">
        <v>21879</v>
      </c>
      <c r="Z3151" t="s">
        <v>28098</v>
      </c>
      <c r="AA3151">
        <v>0.48225324814869391</v>
      </c>
      <c r="AB3151" t="str">
        <f>HYPERLINK("Melting_Curves/meltCurve_Q15139_PRKD1.pdf", "Melting_Curves/meltCurve_Q15139_PRKD1.pdf")</f>
        <v>Melting_Curves/meltCurve_Q15139_PRKD1.pdf</v>
      </c>
    </row>
    <row r="3152" spans="1:28" x14ac:dyDescent="0.25">
      <c r="A3152" t="s">
        <v>3156</v>
      </c>
      <c r="B3152">
        <v>0.99987803227770999</v>
      </c>
      <c r="C3152">
        <v>1.0954677710570699</v>
      </c>
      <c r="D3152">
        <v>0.97551995023175198</v>
      </c>
      <c r="E3152">
        <v>1.0213559936388901</v>
      </c>
      <c r="F3152">
        <v>0.67627724062128503</v>
      </c>
      <c r="G3152">
        <v>0.28736364190841301</v>
      </c>
      <c r="H3152">
        <v>0.19952526878098301</v>
      </c>
      <c r="I3152">
        <v>0.20034255286369301</v>
      </c>
      <c r="J3152">
        <v>0.115348484553182</v>
      </c>
      <c r="K3152">
        <v>8.1912886642671504E-2</v>
      </c>
      <c r="L3152">
        <v>1802.6672978407701</v>
      </c>
      <c r="M3152">
        <v>33.353270820718102</v>
      </c>
      <c r="N3152">
        <v>54.604497286170698</v>
      </c>
      <c r="O3152">
        <v>53.854508867208899</v>
      </c>
      <c r="P3152">
        <v>-0.13251183289902499</v>
      </c>
      <c r="Q3152">
        <v>0.14415239573318001</v>
      </c>
      <c r="R3152">
        <v>0.984541634122583</v>
      </c>
      <c r="S3152" t="s">
        <v>9463</v>
      </c>
      <c r="T3152" t="s">
        <v>12620</v>
      </c>
      <c r="U3152" t="s">
        <v>12620</v>
      </c>
      <c r="V3152" t="s">
        <v>12620</v>
      </c>
      <c r="W3152" t="s">
        <v>15726</v>
      </c>
      <c r="X3152">
        <v>11</v>
      </c>
      <c r="Y3152" t="s">
        <v>21880</v>
      </c>
      <c r="Z3152" t="s">
        <v>28099</v>
      </c>
      <c r="AA3152">
        <v>0.54948471061344617</v>
      </c>
      <c r="AB3152" t="str">
        <f>HYPERLINK("Melting_Curves/meltCurve_Q15147_4_PLCB4.pdf", "Melting_Curves/meltCurve_Q15147_4_PLCB4.pdf")</f>
        <v>Melting_Curves/meltCurve_Q15147_4_PLCB4.pdf</v>
      </c>
    </row>
    <row r="3153" spans="1:28" x14ac:dyDescent="0.25">
      <c r="A3153" t="s">
        <v>3157</v>
      </c>
      <c r="B3153">
        <v>0.99987803227770999</v>
      </c>
      <c r="C3153">
        <v>1.09293510106102</v>
      </c>
      <c r="D3153">
        <v>0.97836754274686</v>
      </c>
      <c r="E3153">
        <v>1.0480405531094701</v>
      </c>
      <c r="F3153">
        <v>0.63056099743451499</v>
      </c>
      <c r="G3153">
        <v>0.383207332842875</v>
      </c>
      <c r="H3153">
        <v>0.30162374467990699</v>
      </c>
      <c r="I3153">
        <v>0.25031543868906903</v>
      </c>
      <c r="J3153">
        <v>0.24802777045495</v>
      </c>
      <c r="K3153">
        <v>0.17507208706848601</v>
      </c>
      <c r="L3153">
        <v>1965.60305157022</v>
      </c>
      <c r="M3153">
        <v>36.7827618135248</v>
      </c>
      <c r="N3153">
        <v>54.475865052254001</v>
      </c>
      <c r="O3153">
        <v>53.280944952332703</v>
      </c>
      <c r="P3153">
        <v>-0.129118591247253</v>
      </c>
      <c r="Q3153">
        <v>0.25187339845641199</v>
      </c>
      <c r="R3153">
        <v>0.97397103256301898</v>
      </c>
      <c r="S3153" t="s">
        <v>9464</v>
      </c>
      <c r="T3153" t="s">
        <v>12620</v>
      </c>
      <c r="U3153" t="s">
        <v>12620</v>
      </c>
      <c r="V3153" t="s">
        <v>12620</v>
      </c>
      <c r="W3153" t="s">
        <v>15727</v>
      </c>
      <c r="X3153">
        <v>228</v>
      </c>
      <c r="Y3153" t="s">
        <v>21881</v>
      </c>
      <c r="Z3153" t="s">
        <v>28100</v>
      </c>
      <c r="AA3153">
        <v>0.59025138433819435</v>
      </c>
      <c r="AB3153" t="str">
        <f>HYPERLINK("Melting_Curves/meltCurve_Q15149_PLEC.pdf", "Melting_Curves/meltCurve_Q15149_PLEC.pdf")</f>
        <v>Melting_Curves/meltCurve_Q15149_PLEC.pdf</v>
      </c>
    </row>
    <row r="3154" spans="1:28" x14ac:dyDescent="0.25">
      <c r="A3154" t="s">
        <v>3158</v>
      </c>
      <c r="B3154">
        <v>0.99987803227770999</v>
      </c>
      <c r="C3154">
        <v>1.0117546294147799</v>
      </c>
      <c r="D3154">
        <v>0.93448191772794598</v>
      </c>
      <c r="E3154">
        <v>0.82681974401792402</v>
      </c>
      <c r="F3154">
        <v>0.76249977059826402</v>
      </c>
      <c r="G3154">
        <v>0.43527886397298698</v>
      </c>
      <c r="H3154">
        <v>0.199399362086052</v>
      </c>
      <c r="I3154">
        <v>0.200231821346878</v>
      </c>
      <c r="J3154">
        <v>0.24474564235653901</v>
      </c>
      <c r="K3154">
        <v>0.14570479119912899</v>
      </c>
      <c r="L3154">
        <v>1030.1410675524701</v>
      </c>
      <c r="M3154">
        <v>18.785379946226701</v>
      </c>
      <c r="N3154">
        <v>55.906545071670401</v>
      </c>
      <c r="O3154">
        <v>54.2272992820008</v>
      </c>
      <c r="P3154">
        <v>-7.3539100521602396E-2</v>
      </c>
      <c r="Q3154">
        <v>0.15090132308912901</v>
      </c>
      <c r="R3154">
        <v>0.98600591634816104</v>
      </c>
      <c r="S3154" t="s">
        <v>9465</v>
      </c>
      <c r="T3154" t="s">
        <v>12620</v>
      </c>
      <c r="U3154" t="s">
        <v>12620</v>
      </c>
      <c r="V3154" t="s">
        <v>12620</v>
      </c>
      <c r="W3154" t="s">
        <v>15728</v>
      </c>
      <c r="X3154">
        <v>225</v>
      </c>
      <c r="Y3154" t="s">
        <v>21881</v>
      </c>
      <c r="Z3154" t="s">
        <v>28101</v>
      </c>
      <c r="AA3154">
        <v>0.58329896312296126</v>
      </c>
      <c r="AB3154" t="str">
        <f>HYPERLINK("Melting_Curves/meltCurve_Q15149_2_PLEC.pdf", "Melting_Curves/meltCurve_Q15149_2_PLEC.pdf")</f>
        <v>Melting_Curves/meltCurve_Q15149_2_PLEC.pdf</v>
      </c>
    </row>
    <row r="3155" spans="1:28" x14ac:dyDescent="0.25">
      <c r="A3155" t="s">
        <v>3159</v>
      </c>
      <c r="B3155">
        <v>0.99987803227770999</v>
      </c>
      <c r="C3155">
        <v>1.0435699656431201</v>
      </c>
      <c r="D3155">
        <v>0.90869569715698295</v>
      </c>
      <c r="E3155">
        <v>0.88564156557786</v>
      </c>
      <c r="F3155">
        <v>0.57388864372018</v>
      </c>
      <c r="G3155">
        <v>0.363856819286003</v>
      </c>
      <c r="H3155">
        <v>0.14946803747419199</v>
      </c>
      <c r="I3155">
        <v>8.2182553390721502E-2</v>
      </c>
      <c r="J3155">
        <v>6.4120793127490597E-2</v>
      </c>
      <c r="K3155">
        <v>4.0755637564353901E-2</v>
      </c>
      <c r="L3155">
        <v>938.98287724409897</v>
      </c>
      <c r="M3155">
        <v>17.233477546610398</v>
      </c>
      <c r="N3155">
        <v>54.6225323911993</v>
      </c>
      <c r="O3155">
        <v>53.7682034502078</v>
      </c>
      <c r="P3155">
        <v>-7.8443734146744701E-2</v>
      </c>
      <c r="Q3155">
        <v>2.1084079026662698E-2</v>
      </c>
      <c r="R3155">
        <v>0.99197278913190901</v>
      </c>
      <c r="S3155" t="s">
        <v>9466</v>
      </c>
      <c r="T3155" t="s">
        <v>12620</v>
      </c>
      <c r="U3155" t="s">
        <v>12620</v>
      </c>
      <c r="V3155" t="s">
        <v>12620</v>
      </c>
      <c r="W3155" t="s">
        <v>15729</v>
      </c>
      <c r="X3155">
        <v>224</v>
      </c>
      <c r="Y3155" t="s">
        <v>21881</v>
      </c>
      <c r="Z3155" t="s">
        <v>28102</v>
      </c>
      <c r="AA3155">
        <v>0.51016505368888199</v>
      </c>
      <c r="AB3155" t="str">
        <f>HYPERLINK("Melting_Curves/meltCurve_Q15149_3_PLEC.pdf", "Melting_Curves/meltCurve_Q15149_3_PLEC.pdf")</f>
        <v>Melting_Curves/meltCurve_Q15149_3_PLEC.pdf</v>
      </c>
    </row>
    <row r="3156" spans="1:28" x14ac:dyDescent="0.25">
      <c r="A3156" t="s">
        <v>3160</v>
      </c>
      <c r="B3156">
        <v>0.99987803227770999</v>
      </c>
      <c r="C3156">
        <v>1.1800777397717599</v>
      </c>
      <c r="D3156">
        <v>1.08940087436488</v>
      </c>
      <c r="E3156">
        <v>1.2289373732100899</v>
      </c>
      <c r="F3156">
        <v>0.83256744914026803</v>
      </c>
      <c r="G3156">
        <v>0.46261045242332299</v>
      </c>
      <c r="H3156">
        <v>0.239698079415822</v>
      </c>
      <c r="I3156">
        <v>0.22222765044478801</v>
      </c>
      <c r="J3156">
        <v>0.16439290426966099</v>
      </c>
      <c r="K3156">
        <v>0.119209994214204</v>
      </c>
      <c r="L3156">
        <v>1879.2169002364201</v>
      </c>
      <c r="M3156">
        <v>33.585209626433397</v>
      </c>
      <c r="N3156">
        <v>56.650971737944701</v>
      </c>
      <c r="O3156">
        <v>55.756446452307301</v>
      </c>
      <c r="P3156">
        <v>-0.12509585184028499</v>
      </c>
      <c r="Q3156">
        <v>0.16929252911266199</v>
      </c>
      <c r="R3156">
        <v>0.94217830882256803</v>
      </c>
      <c r="S3156" t="s">
        <v>9467</v>
      </c>
      <c r="T3156" t="s">
        <v>12620</v>
      </c>
      <c r="U3156" t="s">
        <v>12620</v>
      </c>
      <c r="V3156" t="s">
        <v>12620</v>
      </c>
      <c r="W3156" t="s">
        <v>15730</v>
      </c>
      <c r="X3156">
        <v>226</v>
      </c>
      <c r="Y3156" t="s">
        <v>21881</v>
      </c>
      <c r="Z3156" t="s">
        <v>28103</v>
      </c>
      <c r="AA3156">
        <v>0.61553793727690331</v>
      </c>
      <c r="AB3156" t="str">
        <f>HYPERLINK("Melting_Curves/meltCurve_Q15149_4_PLEC.pdf", "Melting_Curves/meltCurve_Q15149_4_PLEC.pdf")</f>
        <v>Melting_Curves/meltCurve_Q15149_4_PLEC.pdf</v>
      </c>
    </row>
    <row r="3157" spans="1:28" x14ac:dyDescent="0.25">
      <c r="A3157" t="s">
        <v>3161</v>
      </c>
      <c r="B3157">
        <v>0.99987803227770999</v>
      </c>
      <c r="C3157">
        <v>0.89143438882445003</v>
      </c>
      <c r="D3157">
        <v>0.98525364406043603</v>
      </c>
      <c r="E3157">
        <v>0.86772333370617005</v>
      </c>
      <c r="F3157">
        <v>0.61701869070760196</v>
      </c>
      <c r="G3157">
        <v>0.33161183381346199</v>
      </c>
      <c r="H3157">
        <v>0.193513393849362</v>
      </c>
      <c r="I3157">
        <v>9.7585878883324706E-2</v>
      </c>
      <c r="J3157">
        <v>0.100108003968397</v>
      </c>
      <c r="K3157">
        <v>9.6417497895963003E-2</v>
      </c>
      <c r="L3157">
        <v>1051.52861731644</v>
      </c>
      <c r="M3157">
        <v>19.4250569128541</v>
      </c>
      <c r="N3157">
        <v>54.613647277738998</v>
      </c>
      <c r="O3157">
        <v>53.5686809612519</v>
      </c>
      <c r="P3157">
        <v>-8.3529791301940798E-2</v>
      </c>
      <c r="Q3157">
        <v>7.8629767922193602E-2</v>
      </c>
      <c r="R3157">
        <v>0.99088363788424505</v>
      </c>
      <c r="S3157" t="s">
        <v>9468</v>
      </c>
      <c r="T3157" t="s">
        <v>12620</v>
      </c>
      <c r="U3157" t="s">
        <v>12620</v>
      </c>
      <c r="V3157" t="s">
        <v>12620</v>
      </c>
      <c r="W3157" t="s">
        <v>15731</v>
      </c>
      <c r="X3157">
        <v>226</v>
      </c>
      <c r="Y3157" t="s">
        <v>21881</v>
      </c>
      <c r="Z3157" t="s">
        <v>28104</v>
      </c>
      <c r="AA3157">
        <v>0.52575948788178373</v>
      </c>
      <c r="AB3157" t="str">
        <f>HYPERLINK("Melting_Curves/meltCurve_Q15149_8_PLEC.pdf", "Melting_Curves/meltCurve_Q15149_8_PLEC.pdf")</f>
        <v>Melting_Curves/meltCurve_Q15149_8_PLEC.pdf</v>
      </c>
    </row>
    <row r="3158" spans="1:28" x14ac:dyDescent="0.25">
      <c r="A3158" t="s">
        <v>3162</v>
      </c>
      <c r="B3158">
        <v>0.99987803227770999</v>
      </c>
      <c r="C3158">
        <v>0.94944915950207998</v>
      </c>
      <c r="D3158">
        <v>0.99568892335103598</v>
      </c>
      <c r="E3158">
        <v>0.93274741269141903</v>
      </c>
      <c r="F3158">
        <v>0.990793991960633</v>
      </c>
      <c r="G3158">
        <v>0.86469261309350198</v>
      </c>
      <c r="H3158">
        <v>0.87593066091370997</v>
      </c>
      <c r="I3158">
        <v>0.83577853463896301</v>
      </c>
      <c r="J3158">
        <v>0.77344599340646703</v>
      </c>
      <c r="K3158">
        <v>0.59039867163299198</v>
      </c>
      <c r="L3158">
        <v>606.85647470722699</v>
      </c>
      <c r="M3158">
        <v>8.0860885801903901</v>
      </c>
      <c r="Q3158">
        <v>0</v>
      </c>
      <c r="R3158">
        <v>0.89174039097244195</v>
      </c>
      <c r="S3158" t="s">
        <v>9469</v>
      </c>
      <c r="T3158" t="s">
        <v>12620</v>
      </c>
      <c r="U3158" t="s">
        <v>12620</v>
      </c>
      <c r="V3158" t="s">
        <v>12620</v>
      </c>
      <c r="W3158" t="s">
        <v>15732</v>
      </c>
      <c r="X3158">
        <v>40</v>
      </c>
      <c r="Y3158" t="s">
        <v>21882</v>
      </c>
      <c r="Z3158" t="s">
        <v>28105</v>
      </c>
      <c r="AA3158">
        <v>0.90364488680352406</v>
      </c>
      <c r="AB3158" t="str">
        <f>HYPERLINK("Melting_Curves/meltCurve_Q15154_PCM1.pdf", "Melting_Curves/meltCurve_Q15154_PCM1.pdf")</f>
        <v>Melting_Curves/meltCurve_Q15154_PCM1.pdf</v>
      </c>
    </row>
    <row r="3159" spans="1:28" x14ac:dyDescent="0.25">
      <c r="A3159" t="s">
        <v>3163</v>
      </c>
      <c r="B3159">
        <v>0.99987803227770999</v>
      </c>
      <c r="C3159">
        <v>0.99613581697701004</v>
      </c>
      <c r="D3159">
        <v>1.05270445981158</v>
      </c>
      <c r="E3159">
        <v>0.99229718840324899</v>
      </c>
      <c r="F3159">
        <v>1.1289337693193799</v>
      </c>
      <c r="G3159">
        <v>0.95178149191019401</v>
      </c>
      <c r="H3159">
        <v>1.08022504918816</v>
      </c>
      <c r="I3159">
        <v>0.98628132127794699</v>
      </c>
      <c r="J3159">
        <v>1.0781860065747499</v>
      </c>
      <c r="K3159">
        <v>0.91542976906986295</v>
      </c>
      <c r="L3159">
        <v>15000</v>
      </c>
      <c r="M3159">
        <v>211.90382091468001</v>
      </c>
      <c r="Q3159">
        <v>0</v>
      </c>
      <c r="R3159">
        <v>0.100149951474913</v>
      </c>
      <c r="S3159" t="s">
        <v>9470</v>
      </c>
      <c r="T3159" t="s">
        <v>12620</v>
      </c>
      <c r="U3159" t="s">
        <v>12620</v>
      </c>
      <c r="V3159" t="s">
        <v>12620</v>
      </c>
      <c r="W3159" t="s">
        <v>15733</v>
      </c>
      <c r="X3159">
        <v>7</v>
      </c>
      <c r="Y3159" t="s">
        <v>21883</v>
      </c>
      <c r="Z3159" t="s">
        <v>28106</v>
      </c>
      <c r="AA3159">
        <v>0.99904696774498514</v>
      </c>
      <c r="AB3159" t="str">
        <f>HYPERLINK("Melting_Curves/meltCurve_Q15170_2_TCEAL1.pdf", "Melting_Curves/meltCurve_Q15170_2_TCEAL1.pdf")</f>
        <v>Melting_Curves/meltCurve_Q15170_2_TCEAL1.pdf</v>
      </c>
    </row>
    <row r="3160" spans="1:28" x14ac:dyDescent="0.25">
      <c r="A3160" t="s">
        <v>3164</v>
      </c>
      <c r="B3160">
        <v>0.99987803227770999</v>
      </c>
      <c r="C3160">
        <v>1.18477202906986</v>
      </c>
      <c r="D3160">
        <v>0.98091065577230996</v>
      </c>
      <c r="E3160">
        <v>0.76835124743911998</v>
      </c>
      <c r="F3160">
        <v>0.22381797616483301</v>
      </c>
      <c r="G3160">
        <v>0.15675839915852</v>
      </c>
      <c r="H3160">
        <v>0.11559545020842001</v>
      </c>
      <c r="I3160">
        <v>0.10279744713785501</v>
      </c>
      <c r="J3160">
        <v>6.9761267000954502E-2</v>
      </c>
      <c r="K3160">
        <v>4.5863353301936E-2</v>
      </c>
      <c r="L3160">
        <v>2464.99142604075</v>
      </c>
      <c r="M3160">
        <v>48.250403980760602</v>
      </c>
      <c r="N3160">
        <v>51.313580679448997</v>
      </c>
      <c r="O3160">
        <v>50.999952703610397</v>
      </c>
      <c r="P3160">
        <v>-0.213871117300175</v>
      </c>
      <c r="Q3160">
        <v>9.5766645197396305E-2</v>
      </c>
      <c r="R3160">
        <v>0.97839547978654395</v>
      </c>
      <c r="S3160" t="s">
        <v>9471</v>
      </c>
      <c r="T3160" t="s">
        <v>12620</v>
      </c>
      <c r="U3160" t="s">
        <v>12620</v>
      </c>
      <c r="V3160" t="s">
        <v>12620</v>
      </c>
      <c r="W3160" t="s">
        <v>15734</v>
      </c>
      <c r="X3160">
        <v>8</v>
      </c>
      <c r="Y3160" t="s">
        <v>21884</v>
      </c>
      <c r="Z3160" t="s">
        <v>28107</v>
      </c>
      <c r="AA3160">
        <v>0.43214448310622411</v>
      </c>
      <c r="AB3160" t="str">
        <f>HYPERLINK("Melting_Curves/meltCurve_Q15172_PPP2R5A.pdf", "Melting_Curves/meltCurve_Q15172_PPP2R5A.pdf")</f>
        <v>Melting_Curves/meltCurve_Q15172_PPP2R5A.pdf</v>
      </c>
    </row>
    <row r="3161" spans="1:28" x14ac:dyDescent="0.25">
      <c r="A3161" t="s">
        <v>3165</v>
      </c>
      <c r="B3161">
        <v>0.99987803227770999</v>
      </c>
      <c r="C3161">
        <v>0.69423737983545997</v>
      </c>
      <c r="D3161">
        <v>1.2405047005146901</v>
      </c>
      <c r="E3161">
        <v>1.0549271714864801</v>
      </c>
      <c r="F3161">
        <v>0.63301964366119901</v>
      </c>
      <c r="G3161">
        <v>0.26108809856788001</v>
      </c>
      <c r="H3161">
        <v>9.8595274139912203E-2</v>
      </c>
      <c r="I3161">
        <v>7.83234679662317E-2</v>
      </c>
      <c r="J3161">
        <v>5.4200301747062599E-2</v>
      </c>
      <c r="K3161">
        <v>3.6939414684207202E-2</v>
      </c>
      <c r="L3161">
        <v>1799.3197904399201</v>
      </c>
      <c r="M3161">
        <v>33.233577890194802</v>
      </c>
      <c r="N3161">
        <v>54.374150230493697</v>
      </c>
      <c r="O3161">
        <v>53.946718208631303</v>
      </c>
      <c r="P3161">
        <v>-0.143809613259157</v>
      </c>
      <c r="Q3161">
        <v>6.6242867006414699E-2</v>
      </c>
      <c r="R3161">
        <v>0.91270800361343996</v>
      </c>
      <c r="S3161" t="s">
        <v>9472</v>
      </c>
      <c r="T3161" t="s">
        <v>12620</v>
      </c>
      <c r="U3161" t="s">
        <v>12620</v>
      </c>
      <c r="V3161" t="s">
        <v>12620</v>
      </c>
      <c r="W3161" t="s">
        <v>15735</v>
      </c>
      <c r="X3161">
        <v>16</v>
      </c>
      <c r="Y3161" t="s">
        <v>21885</v>
      </c>
      <c r="Z3161" t="s">
        <v>28108</v>
      </c>
      <c r="AA3161">
        <v>0.51143910013326777</v>
      </c>
      <c r="AB3161" t="str">
        <f>HYPERLINK("Melting_Curves/meltCurve_Q15181_PPA1.pdf", "Melting_Curves/meltCurve_Q15181_PPA1.pdf")</f>
        <v>Melting_Curves/meltCurve_Q15181_PPA1.pdf</v>
      </c>
    </row>
    <row r="3162" spans="1:28" x14ac:dyDescent="0.25">
      <c r="A3162" t="s">
        <v>3166</v>
      </c>
      <c r="B3162">
        <v>0.99987803227770999</v>
      </c>
      <c r="C3162">
        <v>0.90293530079780904</v>
      </c>
      <c r="D3162">
        <v>0.81136627065016198</v>
      </c>
      <c r="E3162">
        <v>0.39914563122660401</v>
      </c>
      <c r="F3162">
        <v>0.17323289134177999</v>
      </c>
      <c r="G3162">
        <v>0.104575862871864</v>
      </c>
      <c r="H3162">
        <v>8.3440057838608903E-2</v>
      </c>
      <c r="I3162">
        <v>6.7389898220036104E-2</v>
      </c>
      <c r="J3162">
        <v>5.8575605204676501E-2</v>
      </c>
      <c r="K3162">
        <v>4.0351685927208801E-2</v>
      </c>
      <c r="L3162">
        <v>1052.7544362715701</v>
      </c>
      <c r="M3162">
        <v>21.6302081319165</v>
      </c>
      <c r="N3162">
        <v>48.940298781430101</v>
      </c>
      <c r="O3162">
        <v>48.260297331747701</v>
      </c>
      <c r="P3162">
        <v>-0.105756007873005</v>
      </c>
      <c r="Q3162">
        <v>5.61914477193136E-2</v>
      </c>
      <c r="R3162">
        <v>0.99711692230099003</v>
      </c>
      <c r="S3162" t="s">
        <v>9473</v>
      </c>
      <c r="T3162" t="s">
        <v>12620</v>
      </c>
      <c r="U3162" t="s">
        <v>12620</v>
      </c>
      <c r="V3162" t="s">
        <v>12620</v>
      </c>
      <c r="W3162" t="s">
        <v>15736</v>
      </c>
      <c r="X3162">
        <v>18</v>
      </c>
      <c r="Y3162" t="s">
        <v>21886</v>
      </c>
      <c r="Z3162" t="s">
        <v>28109</v>
      </c>
      <c r="AA3162">
        <v>0.34025172708790558</v>
      </c>
      <c r="AB3162" t="str">
        <f>HYPERLINK("Melting_Curves/meltCurve_Q15208_STK38.pdf", "Melting_Curves/meltCurve_Q15208_STK38.pdf")</f>
        <v>Melting_Curves/meltCurve_Q15208_STK38.pdf</v>
      </c>
    </row>
    <row r="3163" spans="1:28" x14ac:dyDescent="0.25">
      <c r="A3163" t="s">
        <v>3167</v>
      </c>
      <c r="B3163">
        <v>0.99987803227770999</v>
      </c>
      <c r="C3163">
        <v>0.84961555411265799</v>
      </c>
      <c r="D3163">
        <v>0.672834880348675</v>
      </c>
      <c r="E3163">
        <v>0.42812424182157699</v>
      </c>
      <c r="F3163">
        <v>0.35229148674329702</v>
      </c>
      <c r="G3163">
        <v>0.25072232797899802</v>
      </c>
      <c r="H3163">
        <v>0.236502527360826</v>
      </c>
      <c r="I3163">
        <v>0.21156249643833699</v>
      </c>
      <c r="J3163">
        <v>0.21735137265771301</v>
      </c>
      <c r="K3163">
        <v>0.179710671437569</v>
      </c>
      <c r="L3163">
        <v>727.05948592267396</v>
      </c>
      <c r="M3163">
        <v>15.393368885117299</v>
      </c>
      <c r="N3163">
        <v>48.857386563062597</v>
      </c>
      <c r="O3163">
        <v>46.456425035514101</v>
      </c>
      <c r="P3163">
        <v>-6.6244531988864694E-2</v>
      </c>
      <c r="Q3163">
        <v>0.20038239793424101</v>
      </c>
      <c r="R3163">
        <v>0.99486717913746203</v>
      </c>
      <c r="S3163" t="s">
        <v>9474</v>
      </c>
      <c r="T3163" t="s">
        <v>12620</v>
      </c>
      <c r="U3163" t="s">
        <v>12620</v>
      </c>
      <c r="V3163" t="s">
        <v>12620</v>
      </c>
      <c r="W3163" t="s">
        <v>15737</v>
      </c>
      <c r="X3163">
        <v>26</v>
      </c>
      <c r="Y3163" t="s">
        <v>21887</v>
      </c>
      <c r="Z3163" t="s">
        <v>28110</v>
      </c>
      <c r="AA3163">
        <v>0.41345814911962547</v>
      </c>
      <c r="AB3163" t="str">
        <f>HYPERLINK("Melting_Curves/meltCurve_Q15233_NONO.pdf", "Melting_Curves/meltCurve_Q15233_NONO.pdf")</f>
        <v>Melting_Curves/meltCurve_Q15233_NONO.pdf</v>
      </c>
    </row>
    <row r="3164" spans="1:28" x14ac:dyDescent="0.25">
      <c r="A3164" t="s">
        <v>3168</v>
      </c>
      <c r="B3164">
        <v>0.99987803227770999</v>
      </c>
      <c r="C3164">
        <v>0.89160520162176404</v>
      </c>
      <c r="D3164">
        <v>1.0285668292971299</v>
      </c>
      <c r="E3164">
        <v>0.90833541016040098</v>
      </c>
      <c r="F3164">
        <v>0.94955971346661805</v>
      </c>
      <c r="G3164">
        <v>0.4691543844378</v>
      </c>
      <c r="H3164">
        <v>0.155981407549354</v>
      </c>
      <c r="I3164">
        <v>0.13489846510679701</v>
      </c>
      <c r="J3164">
        <v>9.9382069035583095E-2</v>
      </c>
      <c r="K3164">
        <v>6.7760051447532499E-2</v>
      </c>
      <c r="L3164">
        <v>2040.75028816895</v>
      </c>
      <c r="M3164">
        <v>36.118969064020597</v>
      </c>
      <c r="N3164">
        <v>56.831236272401803</v>
      </c>
      <c r="O3164">
        <v>56.328435684613602</v>
      </c>
      <c r="P3164">
        <v>-0.145122579245343</v>
      </c>
      <c r="Q3164">
        <v>9.4713708118892806E-2</v>
      </c>
      <c r="R3164">
        <v>0.98639736652907595</v>
      </c>
      <c r="S3164" t="s">
        <v>9475</v>
      </c>
      <c r="T3164" t="s">
        <v>12620</v>
      </c>
      <c r="U3164" t="s">
        <v>12620</v>
      </c>
      <c r="V3164" t="s">
        <v>12620</v>
      </c>
      <c r="W3164" t="s">
        <v>15738</v>
      </c>
      <c r="X3164">
        <v>15</v>
      </c>
      <c r="Y3164" t="s">
        <v>21888</v>
      </c>
      <c r="Z3164" t="s">
        <v>28111</v>
      </c>
      <c r="AA3164">
        <v>0.59691766710515481</v>
      </c>
      <c r="AB3164" t="str">
        <f>HYPERLINK("Melting_Curves/meltCurve_Q15257_PPP2R4.pdf", "Melting_Curves/meltCurve_Q15257_PPP2R4.pdf")</f>
        <v>Melting_Curves/meltCurve_Q15257_PPP2R4.pdf</v>
      </c>
    </row>
    <row r="3165" spans="1:28" x14ac:dyDescent="0.25">
      <c r="A3165" t="s">
        <v>3169</v>
      </c>
      <c r="B3165">
        <v>0.99987803227770999</v>
      </c>
      <c r="C3165">
        <v>0.98675319746141399</v>
      </c>
      <c r="D3165">
        <v>1.0075668467218599</v>
      </c>
      <c r="E3165">
        <v>0.90691358752762696</v>
      </c>
      <c r="F3165">
        <v>0.77932550906587605</v>
      </c>
      <c r="G3165">
        <v>0.68535783132568695</v>
      </c>
      <c r="H3165">
        <v>0.73820733502033498</v>
      </c>
      <c r="I3165">
        <v>0.65505894168058099</v>
      </c>
      <c r="J3165">
        <v>0.65152889038057304</v>
      </c>
      <c r="K3165">
        <v>0.54276570953959702</v>
      </c>
      <c r="L3165">
        <v>772.44390654453002</v>
      </c>
      <c r="M3165">
        <v>14.4547449774459</v>
      </c>
      <c r="O3165">
        <v>52.447216986819498</v>
      </c>
      <c r="P3165">
        <v>-2.7204673080011101E-2</v>
      </c>
      <c r="Q3165">
        <v>0.60521120843387899</v>
      </c>
      <c r="R3165">
        <v>0.93429355350492305</v>
      </c>
      <c r="S3165" t="s">
        <v>9476</v>
      </c>
      <c r="T3165" t="s">
        <v>12620</v>
      </c>
      <c r="U3165" t="s">
        <v>12620</v>
      </c>
      <c r="V3165" t="s">
        <v>12620</v>
      </c>
      <c r="W3165" t="s">
        <v>15739</v>
      </c>
      <c r="X3165">
        <v>5</v>
      </c>
      <c r="Y3165" t="s">
        <v>21889</v>
      </c>
      <c r="Z3165" t="s">
        <v>28112</v>
      </c>
      <c r="AA3165">
        <v>0.79080398416327224</v>
      </c>
      <c r="AB3165" t="str">
        <f>HYPERLINK("Melting_Curves/meltCurve_Q15262_2_PTPRK.pdf", "Melting_Curves/meltCurve_Q15262_2_PTPRK.pdf")</f>
        <v>Melting_Curves/meltCurve_Q15262_2_PTPRK.pdf</v>
      </c>
    </row>
    <row r="3166" spans="1:28" x14ac:dyDescent="0.25">
      <c r="A3166" t="s">
        <v>3170</v>
      </c>
      <c r="B3166">
        <v>0.99987803227770999</v>
      </c>
      <c r="C3166">
        <v>1.1716669696554201</v>
      </c>
      <c r="D3166">
        <v>0.99114589803043596</v>
      </c>
      <c r="E3166">
        <v>1.10814047534736</v>
      </c>
      <c r="F3166">
        <v>0.87512646727292698</v>
      </c>
      <c r="G3166">
        <v>0.88657992217814297</v>
      </c>
      <c r="H3166">
        <v>0.86405434445304197</v>
      </c>
      <c r="I3166">
        <v>0.78997382312081499</v>
      </c>
      <c r="J3166">
        <v>0.79925831833803096</v>
      </c>
      <c r="K3166">
        <v>0.61414440856087604</v>
      </c>
      <c r="L3166">
        <v>586.56041502996595</v>
      </c>
      <c r="M3166">
        <v>7.7576107569051898</v>
      </c>
      <c r="Q3166">
        <v>0</v>
      </c>
      <c r="R3166">
        <v>0.74093568857379899</v>
      </c>
      <c r="S3166" t="s">
        <v>9477</v>
      </c>
      <c r="T3166" t="s">
        <v>12620</v>
      </c>
      <c r="U3166" t="s">
        <v>12620</v>
      </c>
      <c r="V3166" t="s">
        <v>12620</v>
      </c>
      <c r="W3166" t="s">
        <v>15740</v>
      </c>
      <c r="X3166">
        <v>41</v>
      </c>
      <c r="Y3166" t="s">
        <v>21890</v>
      </c>
      <c r="Z3166" t="s">
        <v>28113</v>
      </c>
      <c r="AA3166">
        <v>0.90392304638009147</v>
      </c>
      <c r="AB3166" t="str">
        <f>HYPERLINK("Melting_Curves/meltCurve_Q15276_RABEP1.pdf", "Melting_Curves/meltCurve_Q15276_RABEP1.pdf")</f>
        <v>Melting_Curves/meltCurve_Q15276_RABEP1.pdf</v>
      </c>
    </row>
    <row r="3167" spans="1:28" x14ac:dyDescent="0.25">
      <c r="A3167" t="s">
        <v>3171</v>
      </c>
      <c r="B3167">
        <v>0.99987803227770999</v>
      </c>
      <c r="C3167">
        <v>1.0280601876487601</v>
      </c>
      <c r="D3167">
        <v>0.76270989886493301</v>
      </c>
      <c r="E3167">
        <v>0.653480669841914</v>
      </c>
      <c r="F3167">
        <v>0.47743606653638498</v>
      </c>
      <c r="G3167">
        <v>0.372255699370801</v>
      </c>
      <c r="H3167">
        <v>0.220637363989029</v>
      </c>
      <c r="I3167">
        <v>0.166472968694864</v>
      </c>
      <c r="J3167">
        <v>0.110540939198098</v>
      </c>
      <c r="K3167">
        <v>7.1878267125083398E-2</v>
      </c>
      <c r="L3167">
        <v>560.40702860491206</v>
      </c>
      <c r="M3167">
        <v>10.5978309748476</v>
      </c>
      <c r="N3167">
        <v>53.109533094309199</v>
      </c>
      <c r="O3167">
        <v>51.100799511550299</v>
      </c>
      <c r="P3167">
        <v>-5.0703865644794101E-2</v>
      </c>
      <c r="Q3167">
        <v>2.2441608738886801E-2</v>
      </c>
      <c r="R3167">
        <v>0.98289880044576206</v>
      </c>
      <c r="S3167" t="s">
        <v>9478</v>
      </c>
      <c r="T3167" t="s">
        <v>12620</v>
      </c>
      <c r="U3167" t="s">
        <v>12620</v>
      </c>
      <c r="V3167" t="s">
        <v>12620</v>
      </c>
      <c r="W3167" t="s">
        <v>15741</v>
      </c>
      <c r="X3167">
        <v>4</v>
      </c>
      <c r="Y3167" t="s">
        <v>21891</v>
      </c>
      <c r="Z3167" t="s">
        <v>28114</v>
      </c>
      <c r="AA3167">
        <v>0.47418350928284642</v>
      </c>
      <c r="AB3167" t="str">
        <f>HYPERLINK("Melting_Curves/meltCurve_Q15283_2_RASA2.pdf", "Melting_Curves/meltCurve_Q15283_2_RASA2.pdf")</f>
        <v>Melting_Curves/meltCurve_Q15283_2_RASA2.pdf</v>
      </c>
    </row>
    <row r="3168" spans="1:28" x14ac:dyDescent="0.25">
      <c r="A3168" t="s">
        <v>3172</v>
      </c>
      <c r="B3168">
        <v>0.99987803227770999</v>
      </c>
      <c r="C3168">
        <v>0.88149608607790397</v>
      </c>
      <c r="D3168">
        <v>0.98662985116842705</v>
      </c>
      <c r="E3168">
        <v>0.88505176648494699</v>
      </c>
      <c r="F3168">
        <v>0.92556763579794399</v>
      </c>
      <c r="G3168">
        <v>0.51421370399634103</v>
      </c>
      <c r="H3168">
        <v>0.28737401157357501</v>
      </c>
      <c r="I3168">
        <v>0.165232025956453</v>
      </c>
      <c r="J3168">
        <v>0.158140214603609</v>
      </c>
      <c r="K3168">
        <v>0.108286110757391</v>
      </c>
      <c r="L3168">
        <v>1323.25832338697</v>
      </c>
      <c r="M3168">
        <v>23.268385487425601</v>
      </c>
      <c r="N3168">
        <v>57.509058717518997</v>
      </c>
      <c r="O3168">
        <v>56.4543238153895</v>
      </c>
      <c r="P3168">
        <v>-9.12937088202571E-2</v>
      </c>
      <c r="Q3168">
        <v>0.114019887371154</v>
      </c>
      <c r="R3168">
        <v>0.97968979125703903</v>
      </c>
      <c r="S3168" t="s">
        <v>9479</v>
      </c>
      <c r="T3168" t="s">
        <v>12620</v>
      </c>
      <c r="U3168" t="s">
        <v>12620</v>
      </c>
      <c r="V3168" t="s">
        <v>12620</v>
      </c>
      <c r="W3168" t="s">
        <v>15742</v>
      </c>
      <c r="X3168">
        <v>8</v>
      </c>
      <c r="Y3168" t="s">
        <v>21892</v>
      </c>
      <c r="Z3168" t="s">
        <v>28115</v>
      </c>
      <c r="AA3168">
        <v>0.62114281193596799</v>
      </c>
      <c r="AB3168" t="str">
        <f>HYPERLINK("Melting_Curves/meltCurve_Q15286_RAB35.pdf", "Melting_Curves/meltCurve_Q15286_RAB35.pdf")</f>
        <v>Melting_Curves/meltCurve_Q15286_RAB35.pdf</v>
      </c>
    </row>
    <row r="3169" spans="1:28" x14ac:dyDescent="0.25">
      <c r="A3169" t="s">
        <v>3173</v>
      </c>
      <c r="B3169">
        <v>0.99987803227770999</v>
      </c>
      <c r="C3169">
        <v>1.1654161651144599</v>
      </c>
      <c r="D3169">
        <v>0.96520211470564699</v>
      </c>
      <c r="E3169">
        <v>1.1673494848974999</v>
      </c>
      <c r="F3169">
        <v>1.24127222463239</v>
      </c>
      <c r="G3169">
        <v>1.1959752552255201</v>
      </c>
      <c r="H3169">
        <v>1.2612897837361801</v>
      </c>
      <c r="I3169">
        <v>0.81416356918949795</v>
      </c>
      <c r="J3169">
        <v>0.50614891368105097</v>
      </c>
      <c r="K3169">
        <v>0.19123932651983</v>
      </c>
      <c r="L3169">
        <v>3198.3434728812099</v>
      </c>
      <c r="M3169">
        <v>48.096219757063103</v>
      </c>
      <c r="N3169">
        <v>66.903175324586996</v>
      </c>
      <c r="O3169">
        <v>66.384173079807695</v>
      </c>
      <c r="P3169">
        <v>-0.15828517491816499</v>
      </c>
      <c r="Q3169">
        <v>0.126116465486727</v>
      </c>
      <c r="R3169">
        <v>0.79377125035856999</v>
      </c>
      <c r="S3169" t="s">
        <v>9480</v>
      </c>
      <c r="T3169" t="s">
        <v>12620</v>
      </c>
      <c r="U3169" t="s">
        <v>12620</v>
      </c>
      <c r="V3169" t="s">
        <v>12620</v>
      </c>
      <c r="W3169" t="s">
        <v>15743</v>
      </c>
      <c r="X3169">
        <v>18</v>
      </c>
      <c r="Y3169" t="s">
        <v>21893</v>
      </c>
      <c r="Z3169" t="s">
        <v>28116</v>
      </c>
      <c r="AA3169">
        <v>0.89674555035051307</v>
      </c>
      <c r="AB3169" t="str">
        <f>HYPERLINK("Melting_Curves/meltCurve_Q15291_RBBP5.pdf", "Melting_Curves/meltCurve_Q15291_RBBP5.pdf")</f>
        <v>Melting_Curves/meltCurve_Q15291_RBBP5.pdf</v>
      </c>
    </row>
    <row r="3170" spans="1:28" x14ac:dyDescent="0.25">
      <c r="A3170" t="s">
        <v>3174</v>
      </c>
      <c r="B3170">
        <v>0.99987803227770999</v>
      </c>
      <c r="C3170">
        <v>1.42429904645059</v>
      </c>
      <c r="D3170">
        <v>1.13444214487553</v>
      </c>
      <c r="E3170">
        <v>1.32743309860118</v>
      </c>
      <c r="F3170">
        <v>0.99314093277748206</v>
      </c>
      <c r="G3170">
        <v>0.90393420401264302</v>
      </c>
      <c r="H3170">
        <v>0.78448779084153397</v>
      </c>
      <c r="I3170">
        <v>0.80577953153206305</v>
      </c>
      <c r="J3170">
        <v>0.28250735881661199</v>
      </c>
      <c r="K3170">
        <v>0.25448308609661002</v>
      </c>
      <c r="L3170">
        <v>1661.1141498307099</v>
      </c>
      <c r="M3170">
        <v>25.3610150935144</v>
      </c>
      <c r="N3170">
        <v>65.8082538180646</v>
      </c>
      <c r="O3170">
        <v>65.095554379175695</v>
      </c>
      <c r="P3170">
        <v>-9.1924294106450005E-2</v>
      </c>
      <c r="Q3170">
        <v>5.6222804814610498E-2</v>
      </c>
      <c r="R3170">
        <v>0.73760514676895395</v>
      </c>
      <c r="S3170" t="s">
        <v>9481</v>
      </c>
      <c r="T3170" t="s">
        <v>12620</v>
      </c>
      <c r="U3170" t="s">
        <v>12620</v>
      </c>
      <c r="V3170" t="s">
        <v>12620</v>
      </c>
      <c r="W3170" t="s">
        <v>15744</v>
      </c>
      <c r="X3170">
        <v>18</v>
      </c>
      <c r="Y3170" t="s">
        <v>21893</v>
      </c>
      <c r="Z3170" t="s">
        <v>28117</v>
      </c>
      <c r="AA3170">
        <v>0.85088706164257899</v>
      </c>
      <c r="AB3170" t="str">
        <f>HYPERLINK("Melting_Curves/meltCurve_Q15291_2_RBBP5.pdf", "Melting_Curves/meltCurve_Q15291_2_RBBP5.pdf")</f>
        <v>Melting_Curves/meltCurve_Q15291_2_RBBP5.pdf</v>
      </c>
    </row>
    <row r="3171" spans="1:28" x14ac:dyDescent="0.25">
      <c r="A3171" t="s">
        <v>3175</v>
      </c>
      <c r="B3171">
        <v>0.99987803227770999</v>
      </c>
      <c r="C3171">
        <v>0.91684130195081803</v>
      </c>
      <c r="D3171">
        <v>1.0418942832818401</v>
      </c>
      <c r="E3171">
        <v>0.94748797523088302</v>
      </c>
      <c r="F3171">
        <v>1.03872673676542</v>
      </c>
      <c r="G3171">
        <v>0.98903790165052796</v>
      </c>
      <c r="H3171">
        <v>0.95808719318788305</v>
      </c>
      <c r="I3171">
        <v>1.0400754847990299</v>
      </c>
      <c r="J3171">
        <v>0.83615086795345195</v>
      </c>
      <c r="K3171">
        <v>0.654784584556796</v>
      </c>
      <c r="L3171">
        <v>15000</v>
      </c>
      <c r="M3171">
        <v>223.778829295067</v>
      </c>
      <c r="O3171">
        <v>67.025110414519006</v>
      </c>
      <c r="P3171">
        <v>-0.288167821656858</v>
      </c>
      <c r="Q3171">
        <v>0.65475766030439597</v>
      </c>
      <c r="R3171">
        <v>0.87291194259333005</v>
      </c>
      <c r="S3171" t="s">
        <v>9482</v>
      </c>
      <c r="T3171" t="s">
        <v>12620</v>
      </c>
      <c r="U3171" t="s">
        <v>12620</v>
      </c>
      <c r="V3171" t="s">
        <v>12620</v>
      </c>
      <c r="W3171" t="s">
        <v>15745</v>
      </c>
      <c r="X3171">
        <v>21</v>
      </c>
      <c r="Y3171" t="s">
        <v>21894</v>
      </c>
      <c r="Z3171" t="s">
        <v>28118</v>
      </c>
      <c r="AA3171">
        <v>0.96587681736280373</v>
      </c>
      <c r="AB3171" t="str">
        <f>HYPERLINK("Melting_Curves/meltCurve_Q15293_RCN1.pdf", "Melting_Curves/meltCurve_Q15293_RCN1.pdf")</f>
        <v>Melting_Curves/meltCurve_Q15293_RCN1.pdf</v>
      </c>
    </row>
    <row r="3172" spans="1:28" x14ac:dyDescent="0.25">
      <c r="A3172" t="s">
        <v>3176</v>
      </c>
      <c r="B3172">
        <v>0.99987803227770999</v>
      </c>
      <c r="C3172">
        <v>1.0422720581091001</v>
      </c>
      <c r="D3172">
        <v>0.90981615934036697</v>
      </c>
      <c r="E3172">
        <v>0.59243087459164101</v>
      </c>
      <c r="F3172">
        <v>0.297999036455248</v>
      </c>
      <c r="G3172">
        <v>0.208524345299268</v>
      </c>
      <c r="H3172">
        <v>0.13938402278463</v>
      </c>
      <c r="I3172">
        <v>8.8732227997204496E-2</v>
      </c>
      <c r="J3172">
        <v>9.0921974121059096E-2</v>
      </c>
      <c r="K3172">
        <v>5.8920492435735002E-2</v>
      </c>
      <c r="L3172">
        <v>1139.88650512086</v>
      </c>
      <c r="M3172">
        <v>22.5942794346767</v>
      </c>
      <c r="N3172">
        <v>50.921564656416201</v>
      </c>
      <c r="O3172">
        <v>50.060014625641998</v>
      </c>
      <c r="P3172">
        <v>-0.102191121870777</v>
      </c>
      <c r="Q3172">
        <v>9.4357295452969198E-2</v>
      </c>
      <c r="R3172">
        <v>0.99385404701704105</v>
      </c>
      <c r="S3172" t="s">
        <v>9483</v>
      </c>
      <c r="T3172" t="s">
        <v>12620</v>
      </c>
      <c r="U3172" t="s">
        <v>12620</v>
      </c>
      <c r="V3172" t="s">
        <v>12620</v>
      </c>
      <c r="W3172" t="s">
        <v>15746</v>
      </c>
      <c r="X3172">
        <v>9</v>
      </c>
      <c r="Y3172" t="s">
        <v>21895</v>
      </c>
      <c r="Z3172" t="s">
        <v>28119</v>
      </c>
      <c r="AA3172">
        <v>0.41976484857314023</v>
      </c>
      <c r="AB3172" t="str">
        <f>HYPERLINK("Melting_Curves/meltCurve_Q15311_RALBP1.pdf", "Melting_Curves/meltCurve_Q15311_RALBP1.pdf")</f>
        <v>Melting_Curves/meltCurve_Q15311_RALBP1.pdf</v>
      </c>
    </row>
    <row r="3173" spans="1:28" x14ac:dyDescent="0.25">
      <c r="A3173" t="s">
        <v>3177</v>
      </c>
      <c r="B3173">
        <v>0.99987803227770999</v>
      </c>
      <c r="C3173">
        <v>0.87931481987761795</v>
      </c>
      <c r="D3173">
        <v>1.4392191155316401</v>
      </c>
      <c r="E3173">
        <v>0.79319329625856305</v>
      </c>
      <c r="F3173">
        <v>0.62103461100384305</v>
      </c>
      <c r="G3173">
        <v>0.45925026700074001</v>
      </c>
      <c r="H3173">
        <v>0.50711712758697303</v>
      </c>
      <c r="I3173">
        <v>0.50322445970243301</v>
      </c>
      <c r="J3173">
        <v>0.42788900580932698</v>
      </c>
      <c r="K3173">
        <v>0.34644611709943401</v>
      </c>
      <c r="L3173">
        <v>1953.02579566298</v>
      </c>
      <c r="M3173">
        <v>38.007324143583403</v>
      </c>
      <c r="N3173">
        <v>54.6874624687497</v>
      </c>
      <c r="O3173">
        <v>51.243878236615899</v>
      </c>
      <c r="P3173">
        <v>-0.102055491777163</v>
      </c>
      <c r="Q3173">
        <v>0.44961073063755802</v>
      </c>
      <c r="R3173">
        <v>0.76789052269927804</v>
      </c>
      <c r="S3173" t="s">
        <v>9484</v>
      </c>
      <c r="T3173" t="s">
        <v>12620</v>
      </c>
      <c r="U3173" t="s">
        <v>12620</v>
      </c>
      <c r="V3173" t="s">
        <v>12620</v>
      </c>
      <c r="W3173" t="s">
        <v>15747</v>
      </c>
      <c r="X3173">
        <v>2</v>
      </c>
      <c r="Y3173" t="s">
        <v>21896</v>
      </c>
      <c r="Z3173" t="s">
        <v>28120</v>
      </c>
      <c r="AA3173">
        <v>0.66065910946770046</v>
      </c>
      <c r="AB3173" t="str">
        <f>HYPERLINK("Melting_Curves/meltCurve_Q15329_2_E2F5.pdf", "Melting_Curves/meltCurve_Q15329_2_E2F5.pdf")</f>
        <v>Melting_Curves/meltCurve_Q15329_2_E2F5.pdf</v>
      </c>
    </row>
    <row r="3174" spans="1:28" x14ac:dyDescent="0.25">
      <c r="A3174" t="s">
        <v>3178</v>
      </c>
      <c r="B3174">
        <v>0.99987803227770999</v>
      </c>
      <c r="C3174">
        <v>0.89587182455914505</v>
      </c>
      <c r="D3174">
        <v>0.61968080437667405</v>
      </c>
      <c r="E3174">
        <v>0.514455132883612</v>
      </c>
      <c r="F3174">
        <v>0.36219185838087697</v>
      </c>
      <c r="G3174">
        <v>0.241332225296777</v>
      </c>
      <c r="H3174">
        <v>0.22047485074262599</v>
      </c>
      <c r="I3174">
        <v>0.204344682566279</v>
      </c>
      <c r="J3174">
        <v>0.16028931943635499</v>
      </c>
      <c r="K3174">
        <v>0.119851722014823</v>
      </c>
      <c r="L3174">
        <v>610.64074577116901</v>
      </c>
      <c r="M3174">
        <v>12.6337929877324</v>
      </c>
      <c r="N3174">
        <v>49.639882813425103</v>
      </c>
      <c r="O3174">
        <v>47.170918099833898</v>
      </c>
      <c r="P3174">
        <v>-5.7501603930116899E-2</v>
      </c>
      <c r="Q3174">
        <v>0.14139228958390401</v>
      </c>
      <c r="R3174">
        <v>0.98218772575149005</v>
      </c>
      <c r="S3174" t="s">
        <v>9485</v>
      </c>
      <c r="T3174" t="s">
        <v>12620</v>
      </c>
      <c r="U3174" t="s">
        <v>12620</v>
      </c>
      <c r="V3174" t="s">
        <v>12620</v>
      </c>
      <c r="W3174" t="s">
        <v>15748</v>
      </c>
      <c r="X3174">
        <v>11</v>
      </c>
      <c r="Y3174" t="s">
        <v>21897</v>
      </c>
      <c r="Z3174" t="s">
        <v>28121</v>
      </c>
      <c r="AA3174">
        <v>0.40993371974006743</v>
      </c>
      <c r="AB3174" t="str">
        <f>HYPERLINK("Melting_Curves/meltCurve_Q15334_LLGL1.pdf", "Melting_Curves/meltCurve_Q15334_LLGL1.pdf")</f>
        <v>Melting_Curves/meltCurve_Q15334_LLGL1.pdf</v>
      </c>
    </row>
    <row r="3175" spans="1:28" x14ac:dyDescent="0.25">
      <c r="A3175" t="s">
        <v>3179</v>
      </c>
      <c r="B3175">
        <v>0.99987803227770999</v>
      </c>
      <c r="C3175">
        <v>1.02968055801438</v>
      </c>
      <c r="D3175">
        <v>0.71453448314059098</v>
      </c>
      <c r="E3175">
        <v>0.38138618192326201</v>
      </c>
      <c r="F3175">
        <v>0.25976832962991597</v>
      </c>
      <c r="G3175">
        <v>0.17525576435100901</v>
      </c>
      <c r="H3175">
        <v>0.159229383312469</v>
      </c>
      <c r="I3175">
        <v>0.13949845995312399</v>
      </c>
      <c r="J3175">
        <v>0.141900039747412</v>
      </c>
      <c r="K3175">
        <v>0.121111788436011</v>
      </c>
      <c r="L3175">
        <v>1088.7351100492699</v>
      </c>
      <c r="M3175">
        <v>22.744228693457998</v>
      </c>
      <c r="N3175">
        <v>48.600867258242403</v>
      </c>
      <c r="O3175">
        <v>47.503190180398299</v>
      </c>
      <c r="P3175">
        <v>-0.102336457084475</v>
      </c>
      <c r="Q3175">
        <v>0.14506433679956099</v>
      </c>
      <c r="R3175">
        <v>0.99065811757477096</v>
      </c>
      <c r="S3175" t="s">
        <v>9486</v>
      </c>
      <c r="T3175" t="s">
        <v>12620</v>
      </c>
      <c r="U3175" t="s">
        <v>12620</v>
      </c>
      <c r="V3175" t="s">
        <v>12620</v>
      </c>
      <c r="W3175" t="s">
        <v>15749</v>
      </c>
      <c r="X3175">
        <v>9</v>
      </c>
      <c r="Y3175" t="s">
        <v>21898</v>
      </c>
      <c r="Z3175" t="s">
        <v>28122</v>
      </c>
      <c r="AA3175">
        <v>0.37855743125367158</v>
      </c>
      <c r="AB3175" t="str">
        <f>HYPERLINK("Melting_Curves/meltCurve_Q15345_LRRC41.pdf", "Melting_Curves/meltCurve_Q15345_LRRC41.pdf")</f>
        <v>Melting_Curves/meltCurve_Q15345_LRRC41.pdf</v>
      </c>
    </row>
    <row r="3176" spans="1:28" x14ac:dyDescent="0.25">
      <c r="A3176" t="s">
        <v>3180</v>
      </c>
      <c r="B3176">
        <v>0.99987803227770999</v>
      </c>
      <c r="C3176">
        <v>0.88431408514236098</v>
      </c>
      <c r="D3176">
        <v>1.0732932812696601</v>
      </c>
      <c r="E3176">
        <v>0.88629106714152595</v>
      </c>
      <c r="F3176">
        <v>1.0381360525506</v>
      </c>
      <c r="G3176">
        <v>0.72903772768171904</v>
      </c>
      <c r="H3176">
        <v>0.587287811100907</v>
      </c>
      <c r="I3176">
        <v>0.42816458753828301</v>
      </c>
      <c r="J3176">
        <v>0.287356728219544</v>
      </c>
      <c r="K3176">
        <v>0.17959519707254801</v>
      </c>
      <c r="L3176">
        <v>880.80593438026904</v>
      </c>
      <c r="M3176">
        <v>14.1462365993566</v>
      </c>
      <c r="N3176">
        <v>62.428997897922102</v>
      </c>
      <c r="O3176">
        <v>61.059714466639498</v>
      </c>
      <c r="P3176">
        <v>-5.6866242013542199E-2</v>
      </c>
      <c r="Q3176">
        <v>1.8312930516770701E-2</v>
      </c>
      <c r="R3176">
        <v>0.95354134030033899</v>
      </c>
      <c r="S3176" t="s">
        <v>9487</v>
      </c>
      <c r="T3176" t="s">
        <v>12620</v>
      </c>
      <c r="U3176" t="s">
        <v>12620</v>
      </c>
      <c r="V3176" t="s">
        <v>12620</v>
      </c>
      <c r="W3176" t="s">
        <v>15750</v>
      </c>
      <c r="X3176">
        <v>16</v>
      </c>
      <c r="Y3176" t="s">
        <v>21899</v>
      </c>
      <c r="Z3176" t="s">
        <v>28123</v>
      </c>
      <c r="AA3176">
        <v>0.74058439472049453</v>
      </c>
      <c r="AB3176" t="str">
        <f>HYPERLINK("Melting_Curves/meltCurve_Q15365_PCBP1.pdf", "Melting_Curves/meltCurve_Q15365_PCBP1.pdf")</f>
        <v>Melting_Curves/meltCurve_Q15365_PCBP1.pdf</v>
      </c>
    </row>
    <row r="3177" spans="1:28" x14ac:dyDescent="0.25">
      <c r="A3177" t="s">
        <v>3181</v>
      </c>
      <c r="B3177">
        <v>0.99987803227770999</v>
      </c>
      <c r="C3177">
        <v>0.955450891115043</v>
      </c>
      <c r="D3177">
        <v>1.0146829223217</v>
      </c>
      <c r="E3177">
        <v>0.75728266382717802</v>
      </c>
      <c r="F3177">
        <v>0.48233727536088</v>
      </c>
      <c r="G3177">
        <v>0.29559146861779001</v>
      </c>
      <c r="H3177">
        <v>0.128442851308876</v>
      </c>
      <c r="I3177">
        <v>0.120238475564567</v>
      </c>
      <c r="J3177">
        <v>6.0469978683012099E-2</v>
      </c>
      <c r="K3177">
        <v>4.5501935773912199E-2</v>
      </c>
      <c r="L3177">
        <v>972.06458298597499</v>
      </c>
      <c r="M3177">
        <v>18.367808127819899</v>
      </c>
      <c r="N3177">
        <v>53.268051390110401</v>
      </c>
      <c r="O3177">
        <v>52.306854809031599</v>
      </c>
      <c r="P3177">
        <v>-8.2857816774003404E-2</v>
      </c>
      <c r="Q3177">
        <v>5.6210884081672297E-2</v>
      </c>
      <c r="R3177">
        <v>0.99303729034014498</v>
      </c>
      <c r="S3177" t="s">
        <v>9488</v>
      </c>
      <c r="T3177" t="s">
        <v>12620</v>
      </c>
      <c r="U3177" t="s">
        <v>12620</v>
      </c>
      <c r="V3177" t="s">
        <v>12620</v>
      </c>
      <c r="W3177" t="s">
        <v>15751</v>
      </c>
      <c r="X3177">
        <v>14</v>
      </c>
      <c r="Y3177" t="s">
        <v>19371</v>
      </c>
      <c r="Z3177" t="s">
        <v>28124</v>
      </c>
      <c r="AA3177">
        <v>0.47771544064511501</v>
      </c>
      <c r="AB3177" t="str">
        <f>HYPERLINK("Melting_Curves/meltCurve_Q15366_PCBP2.pdf", "Melting_Curves/meltCurve_Q15366_PCBP2.pdf")</f>
        <v>Melting_Curves/meltCurve_Q15366_PCBP2.pdf</v>
      </c>
    </row>
    <row r="3178" spans="1:28" x14ac:dyDescent="0.25">
      <c r="A3178" t="s">
        <v>3182</v>
      </c>
      <c r="B3178">
        <v>0.99987803227770999</v>
      </c>
      <c r="C3178">
        <v>0.87429856109955495</v>
      </c>
      <c r="D3178">
        <v>1.01257090379711</v>
      </c>
      <c r="E3178">
        <v>0.79321787474620098</v>
      </c>
      <c r="F3178">
        <v>0.80599403670907699</v>
      </c>
      <c r="G3178">
        <v>0.484209343044812</v>
      </c>
      <c r="H3178">
        <v>0.33982999206491998</v>
      </c>
      <c r="I3178">
        <v>0.21071185452011101</v>
      </c>
      <c r="J3178">
        <v>0.161253164781198</v>
      </c>
      <c r="K3178">
        <v>0.10500751021006401</v>
      </c>
      <c r="L3178">
        <v>695.194727434936</v>
      </c>
      <c r="M3178">
        <v>12.1198174269426</v>
      </c>
      <c r="N3178">
        <v>57.394239923802701</v>
      </c>
      <c r="O3178">
        <v>55.865556027728999</v>
      </c>
      <c r="P3178">
        <v>-5.4054601037834001E-2</v>
      </c>
      <c r="Q3178">
        <v>3.5856428504550098E-3</v>
      </c>
      <c r="R3178">
        <v>0.97663332900152999</v>
      </c>
      <c r="S3178" t="s">
        <v>9489</v>
      </c>
      <c r="T3178" t="s">
        <v>12620</v>
      </c>
      <c r="U3178" t="s">
        <v>12620</v>
      </c>
      <c r="V3178" t="s">
        <v>12620</v>
      </c>
      <c r="W3178" t="s">
        <v>15752</v>
      </c>
      <c r="X3178">
        <v>14</v>
      </c>
      <c r="Y3178" t="s">
        <v>19371</v>
      </c>
      <c r="Z3178" t="s">
        <v>28125</v>
      </c>
      <c r="AA3178">
        <v>0.59557755063512119</v>
      </c>
      <c r="AB3178" t="str">
        <f>HYPERLINK("Melting_Curves/meltCurve_Q15366_6_PCBP2.pdf", "Melting_Curves/meltCurve_Q15366_6_PCBP2.pdf")</f>
        <v>Melting_Curves/meltCurve_Q15366_6_PCBP2.pdf</v>
      </c>
    </row>
    <row r="3179" spans="1:28" x14ac:dyDescent="0.25">
      <c r="A3179" t="s">
        <v>3183</v>
      </c>
      <c r="B3179">
        <v>0.99987803227770999</v>
      </c>
      <c r="C3179">
        <v>0.92403210251743695</v>
      </c>
      <c r="D3179">
        <v>1.0998959449703001</v>
      </c>
      <c r="E3179">
        <v>1.03616525201164</v>
      </c>
      <c r="F3179">
        <v>1.1664965539636301</v>
      </c>
      <c r="G3179">
        <v>0.67959622536490705</v>
      </c>
      <c r="H3179">
        <v>0.35143385566142898</v>
      </c>
      <c r="I3179">
        <v>0.30182966172543901</v>
      </c>
      <c r="J3179">
        <v>0.288494467114075</v>
      </c>
      <c r="K3179">
        <v>0.23393203542719099</v>
      </c>
      <c r="L3179">
        <v>4898.3434367093996</v>
      </c>
      <c r="M3179">
        <v>85.737500436256596</v>
      </c>
      <c r="N3179">
        <v>57.725383068502602</v>
      </c>
      <c r="O3179">
        <v>57.1008065364584</v>
      </c>
      <c r="P3179">
        <v>-0.26542008775300502</v>
      </c>
      <c r="Q3179">
        <v>0.292925522996489</v>
      </c>
      <c r="R3179">
        <v>0.96011596245291198</v>
      </c>
      <c r="S3179" t="s">
        <v>9490</v>
      </c>
      <c r="T3179" t="s">
        <v>12620</v>
      </c>
      <c r="U3179" t="s">
        <v>12620</v>
      </c>
      <c r="V3179" t="s">
        <v>12620</v>
      </c>
      <c r="W3179" t="s">
        <v>15753</v>
      </c>
      <c r="X3179">
        <v>15</v>
      </c>
      <c r="Y3179" t="s">
        <v>21900</v>
      </c>
      <c r="Z3179" t="s">
        <v>28126</v>
      </c>
      <c r="AA3179">
        <v>0.69731281916140408</v>
      </c>
      <c r="AB3179" t="str">
        <f>HYPERLINK("Melting_Curves/meltCurve_Q15370_2_TCEB2.pdf", "Melting_Curves/meltCurve_Q15370_2_TCEB2.pdf")</f>
        <v>Melting_Curves/meltCurve_Q15370_2_TCEB2.pdf</v>
      </c>
    </row>
    <row r="3180" spans="1:28" x14ac:dyDescent="0.25">
      <c r="A3180" t="s">
        <v>3184</v>
      </c>
      <c r="B3180">
        <v>0.99987803227770999</v>
      </c>
      <c r="C3180">
        <v>0.75857513288530898</v>
      </c>
      <c r="D3180">
        <v>0.83105283939126595</v>
      </c>
      <c r="E3180">
        <v>0.41091892923270001</v>
      </c>
      <c r="F3180">
        <v>0.19344300469425599</v>
      </c>
      <c r="G3180">
        <v>9.4036929253374701E-2</v>
      </c>
      <c r="H3180">
        <v>5.4713160462465799E-2</v>
      </c>
      <c r="I3180">
        <v>4.7889643652456002E-2</v>
      </c>
      <c r="J3180">
        <v>3.8312491346401502E-2</v>
      </c>
      <c r="K3180">
        <v>2.8348412802023701E-2</v>
      </c>
      <c r="L3180">
        <v>803.16068861635495</v>
      </c>
      <c r="M3180">
        <v>16.458902400603201</v>
      </c>
      <c r="N3180">
        <v>48.908303091827698</v>
      </c>
      <c r="O3180">
        <v>48.094651076159899</v>
      </c>
      <c r="P3180">
        <v>-8.4001158126062195E-2</v>
      </c>
      <c r="Q3180">
        <v>1.8227882655432601E-2</v>
      </c>
      <c r="R3180">
        <v>0.97427785355774799</v>
      </c>
      <c r="S3180" t="s">
        <v>9491</v>
      </c>
      <c r="T3180" t="s">
        <v>12620</v>
      </c>
      <c r="U3180" t="s">
        <v>12620</v>
      </c>
      <c r="V3180" t="s">
        <v>12620</v>
      </c>
      <c r="W3180" t="s">
        <v>15754</v>
      </c>
      <c r="X3180">
        <v>10</v>
      </c>
      <c r="Y3180" t="s">
        <v>21901</v>
      </c>
      <c r="Z3180" t="s">
        <v>28127</v>
      </c>
      <c r="AA3180">
        <v>0.32655037985876972</v>
      </c>
      <c r="AB3180" t="str">
        <f>HYPERLINK("Melting_Curves/meltCurve_Q15382_RHEB.pdf", "Melting_Curves/meltCurve_Q15382_RHEB.pdf")</f>
        <v>Melting_Curves/meltCurve_Q15382_RHEB.pdf</v>
      </c>
    </row>
    <row r="3181" spans="1:28" x14ac:dyDescent="0.25">
      <c r="A3181" t="s">
        <v>3185</v>
      </c>
      <c r="B3181">
        <v>0.99987803227770999</v>
      </c>
      <c r="C3181">
        <v>0.80853187264514303</v>
      </c>
      <c r="D3181">
        <v>0.34779616087031101</v>
      </c>
      <c r="E3181">
        <v>0.77089378570536404</v>
      </c>
      <c r="F3181">
        <v>0.34314794140692201</v>
      </c>
      <c r="G3181">
        <v>0.22180264297032001</v>
      </c>
      <c r="H3181">
        <v>0.17727680446816099</v>
      </c>
      <c r="I3181">
        <v>0.15041915059494099</v>
      </c>
      <c r="J3181">
        <v>0.12128197110748901</v>
      </c>
      <c r="K3181">
        <v>9.5336947502673505E-2</v>
      </c>
      <c r="L3181">
        <v>392.83794130671998</v>
      </c>
      <c r="M3181">
        <v>7.89224576697689</v>
      </c>
      <c r="N3181">
        <v>49.775178515508699</v>
      </c>
      <c r="O3181">
        <v>46.8835172745394</v>
      </c>
      <c r="P3181">
        <v>-4.21343852005251E-2</v>
      </c>
      <c r="Q3181">
        <v>0</v>
      </c>
      <c r="R3181">
        <v>0.80250690531966695</v>
      </c>
      <c r="S3181" t="s">
        <v>9492</v>
      </c>
      <c r="T3181" t="s">
        <v>12620</v>
      </c>
      <c r="U3181" t="s">
        <v>12620</v>
      </c>
      <c r="V3181" t="s">
        <v>12620</v>
      </c>
      <c r="W3181" t="s">
        <v>15755</v>
      </c>
      <c r="X3181">
        <v>12</v>
      </c>
      <c r="Y3181" t="s">
        <v>21902</v>
      </c>
      <c r="Z3181" t="s">
        <v>28128</v>
      </c>
      <c r="AA3181">
        <v>0.38784469815203387</v>
      </c>
      <c r="AB3181" t="str">
        <f>HYPERLINK("Melting_Curves/meltCurve_Q15386_UBE3C.pdf", "Melting_Curves/meltCurve_Q15386_UBE3C.pdf")</f>
        <v>Melting_Curves/meltCurve_Q15386_UBE3C.pdf</v>
      </c>
    </row>
    <row r="3182" spans="1:28" x14ac:dyDescent="0.25">
      <c r="A3182" t="s">
        <v>3186</v>
      </c>
      <c r="B3182">
        <v>0.99987803227770999</v>
      </c>
      <c r="C3182">
        <v>1.0479841711195901</v>
      </c>
      <c r="D3182">
        <v>0.90303973487496303</v>
      </c>
      <c r="E3182">
        <v>1.35473861305541</v>
      </c>
      <c r="F3182">
        <v>1.1283488857831601</v>
      </c>
      <c r="G3182">
        <v>0.71603370475734296</v>
      </c>
      <c r="H3182">
        <v>0.30704483378675801</v>
      </c>
      <c r="I3182">
        <v>0.19745589946391301</v>
      </c>
      <c r="J3182">
        <v>0.13972122658844099</v>
      </c>
      <c r="K3182">
        <v>8.7136070481741601E-2</v>
      </c>
      <c r="L3182">
        <v>2152.4527519506501</v>
      </c>
      <c r="M3182">
        <v>36.813152520328401</v>
      </c>
      <c r="N3182">
        <v>58.9503942673918</v>
      </c>
      <c r="O3182">
        <v>58.297936405433902</v>
      </c>
      <c r="P3182">
        <v>-0.13739693128724201</v>
      </c>
      <c r="Q3182">
        <v>0.12966606159400301</v>
      </c>
      <c r="R3182">
        <v>0.91543031493815596</v>
      </c>
      <c r="S3182" t="s">
        <v>9493</v>
      </c>
      <c r="T3182" t="s">
        <v>12620</v>
      </c>
      <c r="U3182" t="s">
        <v>12620</v>
      </c>
      <c r="V3182" t="s">
        <v>12620</v>
      </c>
      <c r="W3182" t="s">
        <v>15756</v>
      </c>
      <c r="X3182">
        <v>32</v>
      </c>
      <c r="Y3182" t="s">
        <v>21903</v>
      </c>
      <c r="Z3182" t="s">
        <v>28129</v>
      </c>
      <c r="AA3182">
        <v>0.6694882877305961</v>
      </c>
      <c r="AB3182" t="str">
        <f>HYPERLINK("Melting_Curves/meltCurve_Q15393_SF3B3.pdf", "Melting_Curves/meltCurve_Q15393_SF3B3.pdf")</f>
        <v>Melting_Curves/meltCurve_Q15393_SF3B3.pdf</v>
      </c>
    </row>
    <row r="3183" spans="1:28" x14ac:dyDescent="0.25">
      <c r="A3183" t="s">
        <v>3187</v>
      </c>
      <c r="B3183">
        <v>0.99987803227770999</v>
      </c>
      <c r="C3183">
        <v>1.04777863768085</v>
      </c>
      <c r="D3183">
        <v>0.87289866662885296</v>
      </c>
      <c r="E3183">
        <v>0.75768322177666003</v>
      </c>
      <c r="F3183">
        <v>0.57085907523111001</v>
      </c>
      <c r="G3183">
        <v>0.43869907392274399</v>
      </c>
      <c r="H3183">
        <v>0.33623259728885901</v>
      </c>
      <c r="I3183">
        <v>0.302521943881564</v>
      </c>
      <c r="J3183">
        <v>0.295264062657147</v>
      </c>
      <c r="K3183">
        <v>0.24666345205429799</v>
      </c>
      <c r="L3183">
        <v>768.65986125433506</v>
      </c>
      <c r="M3183">
        <v>14.7034205115052</v>
      </c>
      <c r="N3183">
        <v>54.902231244883197</v>
      </c>
      <c r="O3183">
        <v>51.339177722029</v>
      </c>
      <c r="P3183">
        <v>-5.3531698563918401E-2</v>
      </c>
      <c r="Q3183">
        <v>0.25242614898316901</v>
      </c>
      <c r="R3183">
        <v>0.98968470665285702</v>
      </c>
      <c r="S3183" t="s">
        <v>9494</v>
      </c>
      <c r="T3183" t="s">
        <v>12620</v>
      </c>
      <c r="U3183" t="s">
        <v>12620</v>
      </c>
      <c r="V3183" t="s">
        <v>12620</v>
      </c>
      <c r="W3183" t="s">
        <v>15757</v>
      </c>
      <c r="X3183">
        <v>27</v>
      </c>
      <c r="Y3183" t="s">
        <v>21904</v>
      </c>
      <c r="Z3183" t="s">
        <v>28130</v>
      </c>
      <c r="AA3183">
        <v>0.57541885476026455</v>
      </c>
      <c r="AB3183" t="str">
        <f>HYPERLINK("Melting_Curves/meltCurve_Q15398_3_DLGAP5.pdf", "Melting_Curves/meltCurve_Q15398_3_DLGAP5.pdf")</f>
        <v>Melting_Curves/meltCurve_Q15398_3_DLGAP5.pdf</v>
      </c>
    </row>
    <row r="3184" spans="1:28" x14ac:dyDescent="0.25">
      <c r="A3184" t="s">
        <v>3188</v>
      </c>
      <c r="B3184">
        <v>0.99987803227770999</v>
      </c>
      <c r="C3184">
        <v>1.07366539182236</v>
      </c>
      <c r="D3184">
        <v>1.0236119489675799</v>
      </c>
      <c r="E3184">
        <v>1.04861375563825</v>
      </c>
      <c r="F3184">
        <v>1.1441156361600999</v>
      </c>
      <c r="G3184">
        <v>0.642837657013134</v>
      </c>
      <c r="H3184">
        <v>0.38530285672374198</v>
      </c>
      <c r="I3184">
        <v>0.22688442177520801</v>
      </c>
      <c r="J3184">
        <v>0.107629926503557</v>
      </c>
      <c r="K3184">
        <v>6.1515656707776901E-2</v>
      </c>
      <c r="L3184">
        <v>1544.60755907626</v>
      </c>
      <c r="M3184">
        <v>26.179109033407201</v>
      </c>
      <c r="N3184">
        <v>59.393904424583503</v>
      </c>
      <c r="O3184">
        <v>58.660482597319799</v>
      </c>
      <c r="P3184">
        <v>-0.102711970558759</v>
      </c>
      <c r="Q3184">
        <v>7.9408469553213998E-2</v>
      </c>
      <c r="R3184">
        <v>0.96647309230073097</v>
      </c>
      <c r="S3184" t="s">
        <v>9495</v>
      </c>
      <c r="T3184" t="s">
        <v>12620</v>
      </c>
      <c r="U3184" t="s">
        <v>12620</v>
      </c>
      <c r="V3184" t="s">
        <v>12620</v>
      </c>
      <c r="W3184" t="s">
        <v>15758</v>
      </c>
      <c r="X3184">
        <v>17</v>
      </c>
      <c r="Y3184" t="s">
        <v>21905</v>
      </c>
      <c r="Z3184" t="s">
        <v>28131</v>
      </c>
      <c r="AA3184">
        <v>0.66962495069412076</v>
      </c>
      <c r="AB3184" t="str">
        <f>HYPERLINK("Melting_Curves/meltCurve_Q15404_RSU1.pdf", "Melting_Curves/meltCurve_Q15404_RSU1.pdf")</f>
        <v>Melting_Curves/meltCurve_Q15404_RSU1.pdf</v>
      </c>
    </row>
    <row r="3185" spans="1:28" x14ac:dyDescent="0.25">
      <c r="A3185" t="s">
        <v>3189</v>
      </c>
      <c r="B3185">
        <v>0.99987803227770999</v>
      </c>
      <c r="C3185">
        <v>0.95345164753239797</v>
      </c>
      <c r="D3185">
        <v>1.1288559455560201</v>
      </c>
      <c r="E3185">
        <v>0.93034880006776799</v>
      </c>
      <c r="F3185">
        <v>0.96447043046479197</v>
      </c>
      <c r="G3185">
        <v>0.49800249355480097</v>
      </c>
      <c r="H3185">
        <v>0.33561100428160601</v>
      </c>
      <c r="I3185">
        <v>0.30349506500055301</v>
      </c>
      <c r="J3185">
        <v>0.27381981625484397</v>
      </c>
      <c r="K3185">
        <v>0.245087223622352</v>
      </c>
      <c r="L3185">
        <v>2460.0384894754402</v>
      </c>
      <c r="M3185">
        <v>43.9408335071208</v>
      </c>
      <c r="N3185">
        <v>57.065273934193002</v>
      </c>
      <c r="O3185">
        <v>55.869681119289297</v>
      </c>
      <c r="P3185">
        <v>-0.14110991533280901</v>
      </c>
      <c r="Q3185">
        <v>0.28233019921722902</v>
      </c>
      <c r="R3185">
        <v>0.97718455155625905</v>
      </c>
      <c r="S3185" t="s">
        <v>9496</v>
      </c>
      <c r="T3185" t="s">
        <v>12620</v>
      </c>
      <c r="U3185" t="s">
        <v>12620</v>
      </c>
      <c r="V3185" t="s">
        <v>12620</v>
      </c>
      <c r="W3185" t="s">
        <v>15759</v>
      </c>
      <c r="X3185">
        <v>11</v>
      </c>
      <c r="Y3185" t="s">
        <v>21906</v>
      </c>
      <c r="Z3185" t="s">
        <v>28132</v>
      </c>
      <c r="AA3185">
        <v>0.66702551055709658</v>
      </c>
      <c r="AB3185" t="str">
        <f>HYPERLINK("Melting_Curves/meltCurve_Q15417_CNN3.pdf", "Melting_Curves/meltCurve_Q15417_CNN3.pdf")</f>
        <v>Melting_Curves/meltCurve_Q15417_CNN3.pdf</v>
      </c>
    </row>
    <row r="3186" spans="1:28" x14ac:dyDescent="0.25">
      <c r="A3186" t="s">
        <v>3190</v>
      </c>
      <c r="B3186">
        <v>0.99987803227770999</v>
      </c>
      <c r="C3186">
        <v>0.81180974611740397</v>
      </c>
      <c r="D3186">
        <v>0.95727318328974698</v>
      </c>
      <c r="E3186">
        <v>0.85735981869769795</v>
      </c>
      <c r="F3186">
        <v>1.10957527370164</v>
      </c>
      <c r="G3186">
        <v>0.91556289694086601</v>
      </c>
      <c r="H3186">
        <v>0.95719713639005699</v>
      </c>
      <c r="I3186">
        <v>0.88365392236461904</v>
      </c>
      <c r="J3186">
        <v>0.91897823983818006</v>
      </c>
      <c r="K3186">
        <v>0.73917104817903001</v>
      </c>
      <c r="L3186">
        <v>828.17097375376295</v>
      </c>
      <c r="M3186">
        <v>10.6140576647706</v>
      </c>
      <c r="Q3186">
        <v>0</v>
      </c>
      <c r="R3186">
        <v>0.14478564532485799</v>
      </c>
      <c r="S3186" t="s">
        <v>9497</v>
      </c>
      <c r="T3186" t="s">
        <v>12620</v>
      </c>
      <c r="U3186" t="s">
        <v>12620</v>
      </c>
      <c r="V3186" t="s">
        <v>12620</v>
      </c>
      <c r="W3186" t="s">
        <v>15760</v>
      </c>
      <c r="X3186">
        <v>13</v>
      </c>
      <c r="Y3186" t="s">
        <v>21907</v>
      </c>
      <c r="Z3186" t="s">
        <v>28133</v>
      </c>
      <c r="AA3186">
        <v>0.95624566372146869</v>
      </c>
      <c r="AB3186" t="str">
        <f>HYPERLINK("Melting_Curves/meltCurve_Q15424_SAFB.pdf", "Melting_Curves/meltCurve_Q15424_SAFB.pdf")</f>
        <v>Melting_Curves/meltCurve_Q15424_SAFB.pdf</v>
      </c>
    </row>
    <row r="3187" spans="1:28" x14ac:dyDescent="0.25">
      <c r="A3187" t="s">
        <v>3191</v>
      </c>
      <c r="B3187">
        <v>0.99987803227770999</v>
      </c>
      <c r="C3187">
        <v>0.94100491616131199</v>
      </c>
      <c r="D3187">
        <v>0.99919652069281495</v>
      </c>
      <c r="E3187">
        <v>1.3796032140558501</v>
      </c>
      <c r="F3187">
        <v>1.44753694966772</v>
      </c>
      <c r="G3187">
        <v>1.2294633255193199</v>
      </c>
      <c r="H3187">
        <v>0.56988012218302897</v>
      </c>
      <c r="I3187">
        <v>0.405372963287781</v>
      </c>
      <c r="J3187">
        <v>0.24127449540992699</v>
      </c>
      <c r="K3187">
        <v>0.17642005607154301</v>
      </c>
      <c r="L3187">
        <v>4051.04998548207</v>
      </c>
      <c r="M3187">
        <v>66.588059429806293</v>
      </c>
      <c r="N3187">
        <v>61.513527112743901</v>
      </c>
      <c r="O3187">
        <v>60.782683215341599</v>
      </c>
      <c r="P3187">
        <v>-0.20281133638391599</v>
      </c>
      <c r="Q3187">
        <v>0.25948201817382299</v>
      </c>
      <c r="R3187">
        <v>0.77933576790411896</v>
      </c>
      <c r="S3187" t="s">
        <v>9498</v>
      </c>
      <c r="T3187" t="s">
        <v>12620</v>
      </c>
      <c r="U3187" t="s">
        <v>12620</v>
      </c>
      <c r="V3187" t="s">
        <v>12620</v>
      </c>
      <c r="W3187" t="s">
        <v>15761</v>
      </c>
      <c r="X3187">
        <v>6</v>
      </c>
      <c r="Y3187" t="s">
        <v>21908</v>
      </c>
      <c r="Z3187" t="s">
        <v>28134</v>
      </c>
      <c r="AA3187">
        <v>0.77494571069176987</v>
      </c>
      <c r="AB3187" t="str">
        <f>HYPERLINK("Melting_Curves/meltCurve_Q15427_SF3B4.pdf", "Melting_Curves/meltCurve_Q15427_SF3B4.pdf")</f>
        <v>Melting_Curves/meltCurve_Q15427_SF3B4.pdf</v>
      </c>
    </row>
    <row r="3188" spans="1:28" x14ac:dyDescent="0.25">
      <c r="A3188" t="s">
        <v>3192</v>
      </c>
      <c r="B3188">
        <v>0.99987803227770999</v>
      </c>
      <c r="C3188">
        <v>0.97085373504211803</v>
      </c>
      <c r="D3188">
        <v>0.87125024220368097</v>
      </c>
      <c r="E3188">
        <v>0.82217065337203399</v>
      </c>
      <c r="F3188">
        <v>0.41331726318835499</v>
      </c>
      <c r="G3188">
        <v>0.2283858444256</v>
      </c>
      <c r="H3188">
        <v>0.20957144233483699</v>
      </c>
      <c r="I3188">
        <v>0.19485382143874799</v>
      </c>
      <c r="J3188">
        <v>0.1218080433333</v>
      </c>
      <c r="K3188">
        <v>6.1193884452977097E-2</v>
      </c>
      <c r="L3188">
        <v>1212.51102584824</v>
      </c>
      <c r="M3188">
        <v>23.343469734368199</v>
      </c>
      <c r="N3188">
        <v>52.629629881264201</v>
      </c>
      <c r="O3188">
        <v>51.565508388132699</v>
      </c>
      <c r="P3188">
        <v>-9.8304085660494103E-2</v>
      </c>
      <c r="Q3188">
        <v>0.13140406452573999</v>
      </c>
      <c r="R3188">
        <v>0.979171930442718</v>
      </c>
      <c r="S3188" t="s">
        <v>9499</v>
      </c>
      <c r="T3188" t="s">
        <v>12620</v>
      </c>
      <c r="U3188" t="s">
        <v>12620</v>
      </c>
      <c r="V3188" t="s">
        <v>12620</v>
      </c>
      <c r="W3188" t="s">
        <v>15762</v>
      </c>
      <c r="X3188">
        <v>8</v>
      </c>
      <c r="Y3188" t="s">
        <v>21909</v>
      </c>
      <c r="Z3188" t="s">
        <v>28135</v>
      </c>
      <c r="AA3188">
        <v>0.48620341527424749</v>
      </c>
      <c r="AB3188" t="str">
        <f>HYPERLINK("Melting_Curves/meltCurve_Q15428_SF3A2.pdf", "Melting_Curves/meltCurve_Q15428_SF3A2.pdf")</f>
        <v>Melting_Curves/meltCurve_Q15428_SF3A2.pdf</v>
      </c>
    </row>
    <row r="3189" spans="1:28" x14ac:dyDescent="0.25">
      <c r="A3189" t="s">
        <v>3193</v>
      </c>
      <c r="B3189">
        <v>0.99987803227770999</v>
      </c>
      <c r="C3189">
        <v>1.0169426185835</v>
      </c>
      <c r="D3189">
        <v>0.83395013234398696</v>
      </c>
      <c r="E3189">
        <v>1.0169683168191399</v>
      </c>
      <c r="F3189">
        <v>0.62036813610291097</v>
      </c>
      <c r="G3189">
        <v>0.393067591369125</v>
      </c>
      <c r="H3189">
        <v>0.187002110291204</v>
      </c>
      <c r="I3189">
        <v>0.130949168634267</v>
      </c>
      <c r="J3189">
        <v>8.7919323724514206E-2</v>
      </c>
      <c r="K3189">
        <v>6.2510011020578002E-2</v>
      </c>
      <c r="L3189">
        <v>1083.9864188189799</v>
      </c>
      <c r="M3189">
        <v>19.72061784664</v>
      </c>
      <c r="N3189">
        <v>55.354787936076399</v>
      </c>
      <c r="O3189">
        <v>54.411310833312498</v>
      </c>
      <c r="P3189">
        <v>-8.4768379264406293E-2</v>
      </c>
      <c r="Q3189">
        <v>6.4491801513454794E-2</v>
      </c>
      <c r="R3189">
        <v>0.969454720240016</v>
      </c>
      <c r="S3189" t="s">
        <v>9500</v>
      </c>
      <c r="T3189" t="s">
        <v>12620</v>
      </c>
      <c r="U3189" t="s">
        <v>12620</v>
      </c>
      <c r="V3189" t="s">
        <v>12620</v>
      </c>
      <c r="W3189" t="s">
        <v>15763</v>
      </c>
      <c r="X3189">
        <v>21</v>
      </c>
      <c r="Y3189" t="s">
        <v>21910</v>
      </c>
      <c r="Z3189" t="s">
        <v>28136</v>
      </c>
      <c r="AA3189">
        <v>0.5439528219067995</v>
      </c>
      <c r="AB3189" t="str">
        <f>HYPERLINK("Melting_Curves/meltCurve_Q15435_PPP1R7.pdf", "Melting_Curves/meltCurve_Q15435_PPP1R7.pdf")</f>
        <v>Melting_Curves/meltCurve_Q15435_PPP1R7.pdf</v>
      </c>
    </row>
    <row r="3190" spans="1:28" x14ac:dyDescent="0.25">
      <c r="A3190" t="s">
        <v>3194</v>
      </c>
      <c r="B3190">
        <v>0.99987803227770999</v>
      </c>
      <c r="C3190">
        <v>1.1052258044110701</v>
      </c>
      <c r="D3190">
        <v>0.96142121673954595</v>
      </c>
      <c r="E3190">
        <v>0.95232245583683695</v>
      </c>
      <c r="F3190">
        <v>0.61456256563466205</v>
      </c>
      <c r="G3190">
        <v>0.50686843113666202</v>
      </c>
      <c r="H3190">
        <v>0.19992668676335901</v>
      </c>
      <c r="I3190">
        <v>0.13620384833108601</v>
      </c>
      <c r="J3190">
        <v>8.4930069200704797E-2</v>
      </c>
      <c r="K3190">
        <v>6.6847618112847104E-2</v>
      </c>
      <c r="L3190">
        <v>916.32359489459805</v>
      </c>
      <c r="M3190">
        <v>16.3918486383951</v>
      </c>
      <c r="N3190">
        <v>56.099475140586897</v>
      </c>
      <c r="O3190">
        <v>55.089060954499701</v>
      </c>
      <c r="P3190">
        <v>-7.2299277460276298E-2</v>
      </c>
      <c r="Q3190">
        <v>2.81474824488725E-2</v>
      </c>
      <c r="R3190">
        <v>0.97829635940492898</v>
      </c>
      <c r="S3190" t="s">
        <v>9501</v>
      </c>
      <c r="T3190" t="s">
        <v>12620</v>
      </c>
      <c r="U3190" t="s">
        <v>12620</v>
      </c>
      <c r="V3190" t="s">
        <v>12620</v>
      </c>
      <c r="W3190" t="s">
        <v>15764</v>
      </c>
      <c r="X3190">
        <v>18</v>
      </c>
      <c r="Y3190" t="s">
        <v>21911</v>
      </c>
      <c r="Z3190" t="s">
        <v>28137</v>
      </c>
      <c r="AA3190">
        <v>0.55925863455403035</v>
      </c>
      <c r="AB3190" t="str">
        <f>HYPERLINK("Melting_Curves/meltCurve_Q15437_SEC23B.pdf", "Melting_Curves/meltCurve_Q15437_SEC23B.pdf")</f>
        <v>Melting_Curves/meltCurve_Q15437_SEC23B.pdf</v>
      </c>
    </row>
    <row r="3191" spans="1:28" x14ac:dyDescent="0.25">
      <c r="A3191" t="s">
        <v>3195</v>
      </c>
      <c r="B3191">
        <v>0.99987803227770999</v>
      </c>
      <c r="C3191">
        <v>1.0893428069634301</v>
      </c>
      <c r="D3191">
        <v>1.02106755374311</v>
      </c>
      <c r="E3191">
        <v>0.88776535496252595</v>
      </c>
      <c r="F3191">
        <v>0.70407711793800598</v>
      </c>
      <c r="G3191">
        <v>0.43781339077819997</v>
      </c>
      <c r="H3191">
        <v>0.424507758578542</v>
      </c>
      <c r="I3191">
        <v>0.32435691279828599</v>
      </c>
      <c r="J3191">
        <v>0.37171951224697403</v>
      </c>
      <c r="K3191">
        <v>0.23807963628176501</v>
      </c>
      <c r="L3191">
        <v>1198.28547507696</v>
      </c>
      <c r="M3191">
        <v>22.319894926021501</v>
      </c>
      <c r="N3191">
        <v>56.193669957725099</v>
      </c>
      <c r="O3191">
        <v>53.261493049140597</v>
      </c>
      <c r="P3191">
        <v>-7.1738189581937506E-2</v>
      </c>
      <c r="Q3191">
        <v>0.31526514101529202</v>
      </c>
      <c r="R3191">
        <v>0.97541626785930502</v>
      </c>
      <c r="S3191" t="s">
        <v>9502</v>
      </c>
      <c r="T3191" t="s">
        <v>12620</v>
      </c>
      <c r="U3191" t="s">
        <v>12620</v>
      </c>
      <c r="V3191" t="s">
        <v>12620</v>
      </c>
      <c r="W3191" t="s">
        <v>15765</v>
      </c>
      <c r="X3191">
        <v>7</v>
      </c>
      <c r="Y3191" t="s">
        <v>21912</v>
      </c>
      <c r="Z3191" t="s">
        <v>28138</v>
      </c>
      <c r="AA3191">
        <v>0.63542086113838792</v>
      </c>
      <c r="AB3191" t="str">
        <f>HYPERLINK("Melting_Curves/meltCurve_Q15438_2_CYTH1.pdf", "Melting_Curves/meltCurve_Q15438_2_CYTH1.pdf")</f>
        <v>Melting_Curves/meltCurve_Q15438_2_CYTH1.pdf</v>
      </c>
    </row>
    <row r="3192" spans="1:28" x14ac:dyDescent="0.25">
      <c r="A3192" t="s">
        <v>3196</v>
      </c>
      <c r="B3192">
        <v>0.99987803227770999</v>
      </c>
      <c r="C3192">
        <v>0.94628455986369397</v>
      </c>
      <c r="D3192">
        <v>0.90181796512088896</v>
      </c>
      <c r="E3192">
        <v>0.865356932363886</v>
      </c>
      <c r="F3192">
        <v>0.66908219500934896</v>
      </c>
      <c r="G3192">
        <v>0.49352988192835601</v>
      </c>
      <c r="H3192">
        <v>0.31403267613157798</v>
      </c>
      <c r="I3192">
        <v>0.21138260517449201</v>
      </c>
      <c r="J3192">
        <v>0.187490565449801</v>
      </c>
      <c r="K3192">
        <v>0.13669097212379799</v>
      </c>
      <c r="L3192">
        <v>667.60350514607296</v>
      </c>
      <c r="M3192">
        <v>11.8874931478873</v>
      </c>
      <c r="N3192">
        <v>56.683874934124397</v>
      </c>
      <c r="O3192">
        <v>54.641634488897701</v>
      </c>
      <c r="P3192">
        <v>-5.1572697276573903E-2</v>
      </c>
      <c r="Q3192">
        <v>5.2008100052720101E-2</v>
      </c>
      <c r="R3192">
        <v>0.99526083197368598</v>
      </c>
      <c r="S3192" t="s">
        <v>9503</v>
      </c>
      <c r="T3192" t="s">
        <v>12620</v>
      </c>
      <c r="U3192" t="s">
        <v>12620</v>
      </c>
      <c r="V3192" t="s">
        <v>12620</v>
      </c>
      <c r="W3192" t="s">
        <v>15766</v>
      </c>
      <c r="X3192">
        <v>25</v>
      </c>
      <c r="Y3192" t="s">
        <v>21913</v>
      </c>
      <c r="Z3192" t="s">
        <v>28139</v>
      </c>
      <c r="AA3192">
        <v>0.58153968750803775</v>
      </c>
      <c r="AB3192" t="str">
        <f>HYPERLINK("Melting_Curves/meltCurve_Q15459_SF3A1.pdf", "Melting_Curves/meltCurve_Q15459_SF3A1.pdf")</f>
        <v>Melting_Curves/meltCurve_Q15459_SF3A1.pdf</v>
      </c>
    </row>
    <row r="3193" spans="1:28" x14ac:dyDescent="0.25">
      <c r="A3193" t="s">
        <v>3197</v>
      </c>
      <c r="B3193">
        <v>0.99987803227770999</v>
      </c>
      <c r="C3193">
        <v>0.95796778681317596</v>
      </c>
      <c r="D3193">
        <v>1.1291054816695201</v>
      </c>
      <c r="E3193">
        <v>0.88599439776170197</v>
      </c>
      <c r="F3193">
        <v>0.93660783567672501</v>
      </c>
      <c r="G3193">
        <v>0.48079486927738802</v>
      </c>
      <c r="H3193">
        <v>0.40163388450263598</v>
      </c>
      <c r="I3193">
        <v>0.37906962799351401</v>
      </c>
      <c r="J3193">
        <v>0.33998613774734898</v>
      </c>
      <c r="K3193">
        <v>0.30875797877979</v>
      </c>
      <c r="L3193">
        <v>2368.7661828731498</v>
      </c>
      <c r="M3193">
        <v>42.8213176130458</v>
      </c>
      <c r="N3193">
        <v>56.931326409707403</v>
      </c>
      <c r="O3193">
        <v>55.197234929663303</v>
      </c>
      <c r="P3193">
        <v>-0.125778702420173</v>
      </c>
      <c r="Q3193">
        <v>0.351479692082873</v>
      </c>
      <c r="R3193">
        <v>0.96341297718891805</v>
      </c>
      <c r="S3193" t="s">
        <v>9504</v>
      </c>
      <c r="T3193" t="s">
        <v>12620</v>
      </c>
      <c r="U3193" t="s">
        <v>12620</v>
      </c>
      <c r="V3193" t="s">
        <v>12620</v>
      </c>
      <c r="W3193" t="s">
        <v>15767</v>
      </c>
      <c r="X3193">
        <v>6</v>
      </c>
      <c r="Y3193" t="s">
        <v>21914</v>
      </c>
      <c r="Z3193" t="s">
        <v>28140</v>
      </c>
      <c r="AA3193">
        <v>0.6847582550874084</v>
      </c>
      <c r="AB3193" t="str">
        <f>HYPERLINK("Melting_Curves/meltCurve_Q15464_SHB.pdf", "Melting_Curves/meltCurve_Q15464_SHB.pdf")</f>
        <v>Melting_Curves/meltCurve_Q15464_SHB.pdf</v>
      </c>
    </row>
    <row r="3194" spans="1:28" x14ac:dyDescent="0.25">
      <c r="A3194" t="s">
        <v>3198</v>
      </c>
      <c r="B3194">
        <v>0.99987803227770999</v>
      </c>
      <c r="C3194">
        <v>0.93522150850413099</v>
      </c>
      <c r="D3194">
        <v>0.50970362608624897</v>
      </c>
      <c r="E3194">
        <v>0.37753912586773802</v>
      </c>
      <c r="F3194">
        <v>0.22723723343712199</v>
      </c>
      <c r="G3194">
        <v>0.17126746199996601</v>
      </c>
      <c r="H3194">
        <v>0.11094971689646101</v>
      </c>
      <c r="I3194">
        <v>9.8496830800387694E-2</v>
      </c>
      <c r="J3194">
        <v>7.4581885425519204E-2</v>
      </c>
      <c r="K3194">
        <v>5.3052381381448001E-2</v>
      </c>
      <c r="L3194">
        <v>783.31767855707005</v>
      </c>
      <c r="M3194">
        <v>16.674139566228401</v>
      </c>
      <c r="N3194">
        <v>47.532134955919197</v>
      </c>
      <c r="O3194">
        <v>46.317915348156298</v>
      </c>
      <c r="P3194">
        <v>-8.2054456076111795E-2</v>
      </c>
      <c r="Q3194">
        <v>8.8328136503190102E-2</v>
      </c>
      <c r="R3194">
        <v>0.97398318888431001</v>
      </c>
      <c r="S3194" t="s">
        <v>9505</v>
      </c>
      <c r="T3194" t="s">
        <v>12620</v>
      </c>
      <c r="U3194" t="s">
        <v>12620</v>
      </c>
      <c r="V3194" t="s">
        <v>12620</v>
      </c>
      <c r="W3194" t="s">
        <v>15768</v>
      </c>
      <c r="X3194">
        <v>15</v>
      </c>
      <c r="Y3194" t="s">
        <v>21915</v>
      </c>
      <c r="Z3194" t="s">
        <v>28141</v>
      </c>
      <c r="AA3194">
        <v>0.32024487211813568</v>
      </c>
      <c r="AB3194" t="str">
        <f>HYPERLINK("Melting_Curves/meltCurve_Q15477_SKIV2L.pdf", "Melting_Curves/meltCurve_Q15477_SKIV2L.pdf")</f>
        <v>Melting_Curves/meltCurve_Q15477_SKIV2L.pdf</v>
      </c>
    </row>
    <row r="3195" spans="1:28" x14ac:dyDescent="0.25">
      <c r="A3195" t="s">
        <v>3199</v>
      </c>
      <c r="B3195">
        <v>0.99987803227770999</v>
      </c>
      <c r="C3195">
        <v>0.88676938431996599</v>
      </c>
      <c r="D3195">
        <v>1.0089424916865799</v>
      </c>
      <c r="E3195">
        <v>0.85565857627164699</v>
      </c>
      <c r="F3195">
        <v>1.0062416510135599</v>
      </c>
      <c r="G3195">
        <v>0.88233910113838199</v>
      </c>
      <c r="H3195">
        <v>0.76858720318705098</v>
      </c>
      <c r="I3195">
        <v>0.80616226107547595</v>
      </c>
      <c r="J3195">
        <v>0.63787262945460399</v>
      </c>
      <c r="K3195">
        <v>0.50704467574105605</v>
      </c>
      <c r="L3195">
        <v>588.59299164234096</v>
      </c>
      <c r="M3195">
        <v>8.2266002213224603</v>
      </c>
      <c r="O3195">
        <v>67.693156119186895</v>
      </c>
      <c r="P3195">
        <v>-3.0412901060717701E-2</v>
      </c>
      <c r="Q3195">
        <v>0</v>
      </c>
      <c r="R3195">
        <v>0.84073340717199696</v>
      </c>
      <c r="S3195" t="s">
        <v>9506</v>
      </c>
      <c r="T3195" t="s">
        <v>12620</v>
      </c>
      <c r="U3195" t="s">
        <v>12620</v>
      </c>
      <c r="V3195" t="s">
        <v>12620</v>
      </c>
      <c r="W3195" t="s">
        <v>15769</v>
      </c>
      <c r="X3195">
        <v>3</v>
      </c>
      <c r="Y3195" t="s">
        <v>21916</v>
      </c>
      <c r="Z3195" t="s">
        <v>28142</v>
      </c>
      <c r="AA3195">
        <v>0.86607653176442212</v>
      </c>
      <c r="AB3195" t="str">
        <f>HYPERLINK("Melting_Curves/meltCurve_Q15506_SPA17.pdf", "Melting_Curves/meltCurve_Q15506_SPA17.pdf")</f>
        <v>Melting_Curves/meltCurve_Q15506_SPA17.pdf</v>
      </c>
    </row>
    <row r="3196" spans="1:28" x14ac:dyDescent="0.25">
      <c r="A3196" t="s">
        <v>3200</v>
      </c>
      <c r="B3196">
        <v>0.99987803227770999</v>
      </c>
      <c r="C3196">
        <v>0.77890054593509095</v>
      </c>
      <c r="D3196">
        <v>0.88785021571244105</v>
      </c>
      <c r="E3196">
        <v>0.76584500923409005</v>
      </c>
      <c r="F3196">
        <v>0.99436581013997405</v>
      </c>
      <c r="G3196">
        <v>0.71943218042409096</v>
      </c>
      <c r="H3196">
        <v>0.90458859848405304</v>
      </c>
      <c r="I3196">
        <v>0.80556609242487498</v>
      </c>
      <c r="J3196">
        <v>1.1251682718446201</v>
      </c>
      <c r="K3196">
        <v>1.0235698714335699</v>
      </c>
      <c r="L3196">
        <v>10226.148948779601</v>
      </c>
      <c r="M3196">
        <v>250</v>
      </c>
      <c r="O3196">
        <v>40.9020024458707</v>
      </c>
      <c r="P3196">
        <v>-0.16888487664126201</v>
      </c>
      <c r="Q3196">
        <v>0.88947639091345299</v>
      </c>
      <c r="R3196">
        <v>6.8902447504359102E-2</v>
      </c>
      <c r="S3196" t="s">
        <v>9507</v>
      </c>
      <c r="T3196" t="s">
        <v>12620</v>
      </c>
      <c r="U3196" t="s">
        <v>12620</v>
      </c>
      <c r="V3196" t="s">
        <v>12620</v>
      </c>
      <c r="W3196" t="s">
        <v>15770</v>
      </c>
      <c r="X3196">
        <v>1</v>
      </c>
      <c r="Y3196" t="s">
        <v>21917</v>
      </c>
      <c r="Z3196" t="s">
        <v>28143</v>
      </c>
      <c r="AA3196">
        <v>0.89281896570389729</v>
      </c>
      <c r="AB3196" t="str">
        <f>HYPERLINK("Melting_Curves/meltCurve_Q15526_2_SURF1.pdf", "Melting_Curves/meltCurve_Q15526_2_SURF1.pdf")</f>
        <v>Melting_Curves/meltCurve_Q15526_2_SURF1.pdf</v>
      </c>
    </row>
    <row r="3197" spans="1:28" x14ac:dyDescent="0.25">
      <c r="A3197" t="s">
        <v>3201</v>
      </c>
      <c r="B3197">
        <v>0.99987803227770999</v>
      </c>
      <c r="C3197">
        <v>1.1451115045696001</v>
      </c>
      <c r="D3197">
        <v>0.98869287688259899</v>
      </c>
      <c r="E3197">
        <v>1.0574499129880299</v>
      </c>
      <c r="F3197">
        <v>0.52947638580518197</v>
      </c>
      <c r="G3197">
        <v>0.366734414320744</v>
      </c>
      <c r="H3197">
        <v>0.31163319449364901</v>
      </c>
      <c r="I3197">
        <v>0.27403859567514899</v>
      </c>
      <c r="J3197">
        <v>0.25136061764295298</v>
      </c>
      <c r="K3197">
        <v>0.154931294552342</v>
      </c>
      <c r="L3197">
        <v>13218.0989627691</v>
      </c>
      <c r="M3197">
        <v>250</v>
      </c>
      <c r="N3197">
        <v>53.0387562567863</v>
      </c>
      <c r="O3197">
        <v>52.8689967447459</v>
      </c>
      <c r="P3197">
        <v>-0.86092537971766603</v>
      </c>
      <c r="Q3197">
        <v>0.27173960708094402</v>
      </c>
      <c r="R3197">
        <v>0.96450594808337298</v>
      </c>
      <c r="S3197" t="s">
        <v>9508</v>
      </c>
      <c r="T3197" t="s">
        <v>12620</v>
      </c>
      <c r="U3197" t="s">
        <v>12620</v>
      </c>
      <c r="V3197" t="s">
        <v>12620</v>
      </c>
      <c r="W3197" t="s">
        <v>15771</v>
      </c>
      <c r="X3197">
        <v>9</v>
      </c>
      <c r="Y3197" t="s">
        <v>21918</v>
      </c>
      <c r="Z3197" t="s">
        <v>28144</v>
      </c>
      <c r="AA3197">
        <v>0.58428905120879426</v>
      </c>
      <c r="AB3197" t="str">
        <f>HYPERLINK("Melting_Curves/meltCurve_Q15527_SURF2.pdf", "Melting_Curves/meltCurve_Q15527_SURF2.pdf")</f>
        <v>Melting_Curves/meltCurve_Q15527_SURF2.pdf</v>
      </c>
    </row>
    <row r="3198" spans="1:28" x14ac:dyDescent="0.25">
      <c r="A3198" t="s">
        <v>3202</v>
      </c>
      <c r="B3198">
        <v>0.99987803227770999</v>
      </c>
      <c r="C3198">
        <v>1.08728242164427</v>
      </c>
      <c r="D3198">
        <v>0.90681382038167602</v>
      </c>
      <c r="E3198">
        <v>0.701513118617899</v>
      </c>
      <c r="F3198">
        <v>0.41208233875918998</v>
      </c>
      <c r="G3198">
        <v>0.24157155982928499</v>
      </c>
      <c r="H3198">
        <v>0.20374636275425501</v>
      </c>
      <c r="I3198">
        <v>0.181123155706922</v>
      </c>
      <c r="J3198">
        <v>0.140977801096797</v>
      </c>
      <c r="K3198">
        <v>0.11166922745952899</v>
      </c>
      <c r="L3198">
        <v>1120.3148764249199</v>
      </c>
      <c r="M3198">
        <v>21.8477726768756</v>
      </c>
      <c r="N3198">
        <v>52.115515308478699</v>
      </c>
      <c r="O3198">
        <v>50.8543894635052</v>
      </c>
      <c r="P3198">
        <v>-9.1508658397132098E-2</v>
      </c>
      <c r="Q3198">
        <v>0.14801158319822699</v>
      </c>
      <c r="R3198">
        <v>0.98943966529163796</v>
      </c>
      <c r="S3198" t="s">
        <v>9509</v>
      </c>
      <c r="T3198" t="s">
        <v>12620</v>
      </c>
      <c r="U3198" t="s">
        <v>12620</v>
      </c>
      <c r="V3198" t="s">
        <v>12620</v>
      </c>
      <c r="W3198" t="s">
        <v>15772</v>
      </c>
      <c r="X3198">
        <v>3</v>
      </c>
      <c r="Y3198" t="s">
        <v>21919</v>
      </c>
      <c r="Z3198" t="s">
        <v>28145</v>
      </c>
      <c r="AA3198">
        <v>0.47832197812490163</v>
      </c>
      <c r="AB3198" t="str">
        <f>HYPERLINK("Melting_Curves/meltCurve_Q15542_2_TAF5.pdf", "Melting_Curves/meltCurve_Q15542_2_TAF5.pdf")</f>
        <v>Melting_Curves/meltCurve_Q15542_2_TAF5.pdf</v>
      </c>
    </row>
    <row r="3199" spans="1:28" x14ac:dyDescent="0.25">
      <c r="A3199" t="s">
        <v>3203</v>
      </c>
      <c r="B3199">
        <v>0.99987803227770999</v>
      </c>
      <c r="C3199">
        <v>0.91608184405621096</v>
      </c>
      <c r="D3199">
        <v>0.98807869133267701</v>
      </c>
      <c r="E3199">
        <v>0.82612886341853597</v>
      </c>
      <c r="F3199">
        <v>0.90387335231584098</v>
      </c>
      <c r="G3199">
        <v>0.66516090259696103</v>
      </c>
      <c r="H3199">
        <v>0.72100289929194195</v>
      </c>
      <c r="I3199">
        <v>0.63363910767399001</v>
      </c>
      <c r="J3199">
        <v>0.66130478538942905</v>
      </c>
      <c r="K3199">
        <v>0.55968862537350095</v>
      </c>
      <c r="L3199">
        <v>464.26689167374201</v>
      </c>
      <c r="M3199">
        <v>8.1701553892911694</v>
      </c>
      <c r="O3199">
        <v>53.724781994325603</v>
      </c>
      <c r="P3199">
        <v>-1.8856972103097301E-2</v>
      </c>
      <c r="Q3199">
        <v>0.50452391544957997</v>
      </c>
      <c r="R3199">
        <v>0.88448408468859796</v>
      </c>
      <c r="S3199" t="s">
        <v>9510</v>
      </c>
      <c r="T3199" t="s">
        <v>12620</v>
      </c>
      <c r="U3199" t="s">
        <v>12620</v>
      </c>
      <c r="V3199" t="s">
        <v>12620</v>
      </c>
      <c r="W3199" t="s">
        <v>15773</v>
      </c>
      <c r="X3199">
        <v>11</v>
      </c>
      <c r="Y3199" t="s">
        <v>21920</v>
      </c>
      <c r="Z3199" t="s">
        <v>28146</v>
      </c>
      <c r="AA3199">
        <v>0.78924981994814913</v>
      </c>
      <c r="AB3199" t="str">
        <f>HYPERLINK("Melting_Curves/meltCurve_Q15545_TAF7.pdf", "Melting_Curves/meltCurve_Q15545_TAF7.pdf")</f>
        <v>Melting_Curves/meltCurve_Q15545_TAF7.pdf</v>
      </c>
    </row>
    <row r="3200" spans="1:28" x14ac:dyDescent="0.25">
      <c r="A3200" t="s">
        <v>3204</v>
      </c>
      <c r="B3200">
        <v>0.99987803227770999</v>
      </c>
      <c r="C3200">
        <v>1.07140423160563</v>
      </c>
      <c r="D3200">
        <v>0.981741491389168</v>
      </c>
      <c r="E3200">
        <v>0.78814005996199299</v>
      </c>
      <c r="F3200">
        <v>0.63892469448352496</v>
      </c>
      <c r="G3200">
        <v>0.336478026912294</v>
      </c>
      <c r="H3200">
        <v>0.36022330700511002</v>
      </c>
      <c r="I3200">
        <v>0.30787594753423397</v>
      </c>
      <c r="J3200">
        <v>0.233208031192287</v>
      </c>
      <c r="K3200">
        <v>0.17985100057662201</v>
      </c>
      <c r="L3200">
        <v>1012.5874517512</v>
      </c>
      <c r="M3200">
        <v>19.1160963752762</v>
      </c>
      <c r="N3200">
        <v>54.773414484039399</v>
      </c>
      <c r="O3200">
        <v>52.400950910041502</v>
      </c>
      <c r="P3200">
        <v>-6.99078582596072E-2</v>
      </c>
      <c r="Q3200">
        <v>0.23350554308747201</v>
      </c>
      <c r="R3200">
        <v>0.97973710979446904</v>
      </c>
      <c r="S3200" t="s">
        <v>9511</v>
      </c>
      <c r="T3200" t="s">
        <v>12620</v>
      </c>
      <c r="U3200" t="s">
        <v>12620</v>
      </c>
      <c r="V3200" t="s">
        <v>12620</v>
      </c>
      <c r="W3200" t="s">
        <v>15774</v>
      </c>
      <c r="X3200">
        <v>4</v>
      </c>
      <c r="Y3200" t="s">
        <v>21921</v>
      </c>
      <c r="Z3200" t="s">
        <v>28147</v>
      </c>
      <c r="AA3200">
        <v>0.57627799123702639</v>
      </c>
      <c r="AB3200" t="str">
        <f>HYPERLINK("Melting_Curves/meltCurve_Q15554_3_TERF2.pdf", "Melting_Curves/meltCurve_Q15554_3_TERF2.pdf")</f>
        <v>Melting_Curves/meltCurve_Q15554_3_TERF2.pdf</v>
      </c>
    </row>
    <row r="3201" spans="1:28" x14ac:dyDescent="0.25">
      <c r="A3201" t="s">
        <v>3205</v>
      </c>
      <c r="B3201">
        <v>0.99987803227770999</v>
      </c>
      <c r="C3201">
        <v>0.87935534328380704</v>
      </c>
      <c r="D3201">
        <v>0.98024589669777995</v>
      </c>
      <c r="E3201">
        <v>0.792173234226352</v>
      </c>
      <c r="F3201">
        <v>0.74555628187248302</v>
      </c>
      <c r="G3201">
        <v>0.47629911999409003</v>
      </c>
      <c r="H3201">
        <v>0.381726128953772</v>
      </c>
      <c r="I3201">
        <v>0.33811902389724902</v>
      </c>
      <c r="J3201">
        <v>0.36575512699746099</v>
      </c>
      <c r="K3201">
        <v>0.29814939769607202</v>
      </c>
      <c r="L3201">
        <v>782.57862835901199</v>
      </c>
      <c r="M3201">
        <v>14.513518834218701</v>
      </c>
      <c r="N3201">
        <v>57.240259072005898</v>
      </c>
      <c r="O3201">
        <v>52.928008702128999</v>
      </c>
      <c r="P3201">
        <v>-4.9054655616438701E-2</v>
      </c>
      <c r="Q3201">
        <v>0.28451071546540802</v>
      </c>
      <c r="R3201">
        <v>0.97209503774738604</v>
      </c>
      <c r="S3201" t="s">
        <v>9512</v>
      </c>
      <c r="T3201" t="s">
        <v>12620</v>
      </c>
      <c r="U3201" t="s">
        <v>12620</v>
      </c>
      <c r="V3201" t="s">
        <v>12620</v>
      </c>
      <c r="W3201" t="s">
        <v>15775</v>
      </c>
      <c r="X3201">
        <v>4</v>
      </c>
      <c r="Y3201" t="s">
        <v>21922</v>
      </c>
      <c r="Z3201" t="s">
        <v>28148</v>
      </c>
      <c r="AA3201">
        <v>0.63186591831814831</v>
      </c>
      <c r="AB3201" t="str">
        <f>HYPERLINK("Melting_Curves/meltCurve_Q15583_4_TGIF1.pdf", "Melting_Curves/meltCurve_Q15583_4_TGIF1.pdf")</f>
        <v>Melting_Curves/meltCurve_Q15583_4_TGIF1.pdf</v>
      </c>
    </row>
    <row r="3202" spans="1:28" x14ac:dyDescent="0.25">
      <c r="A3202" t="s">
        <v>3206</v>
      </c>
      <c r="B3202">
        <v>0.99987803227770999</v>
      </c>
      <c r="C3202">
        <v>0.936444098139116</v>
      </c>
      <c r="D3202">
        <v>0.93277962055671304</v>
      </c>
      <c r="E3202">
        <v>0.67675811565534105</v>
      </c>
      <c r="F3202">
        <v>0.53190030857635096</v>
      </c>
      <c r="G3202">
        <v>0.44972300082205302</v>
      </c>
      <c r="H3202">
        <v>0.41364748802115497</v>
      </c>
      <c r="I3202">
        <v>0.404998480780139</v>
      </c>
      <c r="J3202">
        <v>0.38742085361775602</v>
      </c>
      <c r="K3202">
        <v>0.30646858737139698</v>
      </c>
      <c r="L3202">
        <v>883.09571618841699</v>
      </c>
      <c r="M3202">
        <v>17.593666931461499</v>
      </c>
      <c r="N3202">
        <v>54.231012360043799</v>
      </c>
      <c r="O3202">
        <v>49.558957166112101</v>
      </c>
      <c r="P3202">
        <v>-5.6355597338845702E-2</v>
      </c>
      <c r="Q3202">
        <v>0.365050228694212</v>
      </c>
      <c r="R3202">
        <v>0.98603186557909595</v>
      </c>
      <c r="S3202" t="s">
        <v>9513</v>
      </c>
      <c r="T3202" t="s">
        <v>12620</v>
      </c>
      <c r="U3202" t="s">
        <v>12620</v>
      </c>
      <c r="V3202" t="s">
        <v>12620</v>
      </c>
      <c r="W3202" t="s">
        <v>15776</v>
      </c>
      <c r="X3202">
        <v>13</v>
      </c>
      <c r="Y3202" t="s">
        <v>21923</v>
      </c>
      <c r="Z3202" t="s">
        <v>28149</v>
      </c>
      <c r="AA3202">
        <v>0.59207863929668569</v>
      </c>
      <c r="AB3202" t="str">
        <f>HYPERLINK("Melting_Curves/meltCurve_Q15596_NCOA2.pdf", "Melting_Curves/meltCurve_Q15596_NCOA2.pdf")</f>
        <v>Melting_Curves/meltCurve_Q15596_NCOA2.pdf</v>
      </c>
    </row>
    <row r="3203" spans="1:28" x14ac:dyDescent="0.25">
      <c r="A3203" t="s">
        <v>3207</v>
      </c>
      <c r="B3203">
        <v>0.99987803227770999</v>
      </c>
      <c r="C3203">
        <v>0.888714922558556</v>
      </c>
      <c r="D3203">
        <v>0.94710080939475005</v>
      </c>
      <c r="E3203">
        <v>0.83959587023858195</v>
      </c>
      <c r="F3203">
        <v>0.96123919730429397</v>
      </c>
      <c r="G3203">
        <v>0.75481512514686699</v>
      </c>
      <c r="H3203">
        <v>0.71139748117867196</v>
      </c>
      <c r="I3203">
        <v>0.64179555469529603</v>
      </c>
      <c r="J3203">
        <v>0.64641689022326798</v>
      </c>
      <c r="K3203">
        <v>0.54028223865779801</v>
      </c>
      <c r="L3203">
        <v>328.38575959812999</v>
      </c>
      <c r="M3203">
        <v>4.4534630004874698</v>
      </c>
      <c r="O3203">
        <v>62.490545367195701</v>
      </c>
      <c r="P3203">
        <v>-1.7977850200692602E-2</v>
      </c>
      <c r="Q3203">
        <v>0</v>
      </c>
      <c r="R3203">
        <v>0.89223611027903105</v>
      </c>
      <c r="S3203" t="s">
        <v>9514</v>
      </c>
      <c r="T3203" t="s">
        <v>12620</v>
      </c>
      <c r="U3203" t="s">
        <v>12620</v>
      </c>
      <c r="V3203" t="s">
        <v>12620</v>
      </c>
      <c r="W3203" t="s">
        <v>15777</v>
      </c>
      <c r="X3203">
        <v>6</v>
      </c>
      <c r="Y3203" t="s">
        <v>21924</v>
      </c>
      <c r="Z3203" t="s">
        <v>28150</v>
      </c>
      <c r="AA3203">
        <v>0.80180079393335568</v>
      </c>
      <c r="AB3203" t="str">
        <f>HYPERLINK("Melting_Curves/meltCurve_Q15599_SLC9A3R2.pdf", "Melting_Curves/meltCurve_Q15599_SLC9A3R2.pdf")</f>
        <v>Melting_Curves/meltCurve_Q15599_SLC9A3R2.pdf</v>
      </c>
    </row>
    <row r="3204" spans="1:28" x14ac:dyDescent="0.25">
      <c r="A3204" t="s">
        <v>3208</v>
      </c>
      <c r="B3204">
        <v>0.99987803227770999</v>
      </c>
      <c r="C3204">
        <v>0.87895256699958402</v>
      </c>
      <c r="D3204">
        <v>0.969048684519771</v>
      </c>
      <c r="E3204">
        <v>0.75692145208815698</v>
      </c>
      <c r="F3204">
        <v>0.49079927222891701</v>
      </c>
      <c r="G3204">
        <v>0.28088397495171002</v>
      </c>
      <c r="H3204">
        <v>0.30168503168007699</v>
      </c>
      <c r="I3204">
        <v>0.20506169628859999</v>
      </c>
      <c r="J3204">
        <v>0.121600916347979</v>
      </c>
      <c r="K3204">
        <v>8.4197954384335999E-2</v>
      </c>
      <c r="L3204">
        <v>808.29908425676501</v>
      </c>
      <c r="M3204">
        <v>15.3647917239389</v>
      </c>
      <c r="N3204">
        <v>53.520527272388598</v>
      </c>
      <c r="O3204">
        <v>51.740249328393197</v>
      </c>
      <c r="P3204">
        <v>-6.5684845251723301E-2</v>
      </c>
      <c r="Q3204">
        <v>0.115318226402039</v>
      </c>
      <c r="R3204">
        <v>0.97488668063764805</v>
      </c>
      <c r="S3204" t="s">
        <v>9515</v>
      </c>
      <c r="T3204" t="s">
        <v>12620</v>
      </c>
      <c r="U3204" t="s">
        <v>12620</v>
      </c>
      <c r="V3204" t="s">
        <v>12620</v>
      </c>
      <c r="W3204" t="s">
        <v>15778</v>
      </c>
      <c r="X3204">
        <v>10</v>
      </c>
      <c r="Y3204" t="s">
        <v>21925</v>
      </c>
      <c r="Z3204" t="s">
        <v>28151</v>
      </c>
      <c r="AA3204">
        <v>0.50577272562622444</v>
      </c>
      <c r="AB3204" t="str">
        <f>HYPERLINK("Melting_Curves/meltCurve_Q15628_TRADD.pdf", "Melting_Curves/meltCurve_Q15628_TRADD.pdf")</f>
        <v>Melting_Curves/meltCurve_Q15628_TRADD.pdf</v>
      </c>
    </row>
    <row r="3205" spans="1:28" x14ac:dyDescent="0.25">
      <c r="A3205" t="s">
        <v>3209</v>
      </c>
      <c r="B3205">
        <v>0.99987803227770999</v>
      </c>
      <c r="C3205">
        <v>1.1128620125108399</v>
      </c>
      <c r="D3205">
        <v>0.85120936438337202</v>
      </c>
      <c r="E3205">
        <v>0.97177524046892605</v>
      </c>
      <c r="F3205">
        <v>0.41369181876009298</v>
      </c>
      <c r="G3205">
        <v>0.28499699213879698</v>
      </c>
      <c r="H3205">
        <v>0.174177148763208</v>
      </c>
      <c r="I3205">
        <v>0.20584674626893701</v>
      </c>
      <c r="J3205">
        <v>0.136193043227089</v>
      </c>
      <c r="K3205">
        <v>0.11783328856641299</v>
      </c>
      <c r="L3205">
        <v>3414.7651882507598</v>
      </c>
      <c r="M3205">
        <v>65.331572783583198</v>
      </c>
      <c r="N3205">
        <v>52.6339197426081</v>
      </c>
      <c r="O3205">
        <v>52.219315306040301</v>
      </c>
      <c r="P3205">
        <v>-0.25571514365828701</v>
      </c>
      <c r="Q3205">
        <v>0.18243108276782699</v>
      </c>
      <c r="R3205">
        <v>0.96525637747802995</v>
      </c>
      <c r="S3205" t="s">
        <v>9516</v>
      </c>
      <c r="T3205" t="s">
        <v>12620</v>
      </c>
      <c r="U3205" t="s">
        <v>12620</v>
      </c>
      <c r="V3205" t="s">
        <v>12620</v>
      </c>
      <c r="W3205" t="s">
        <v>15779</v>
      </c>
      <c r="X3205">
        <v>4</v>
      </c>
      <c r="Y3205" t="s">
        <v>21926</v>
      </c>
      <c r="Z3205" t="s">
        <v>28152</v>
      </c>
      <c r="AA3205">
        <v>0.51786983548171828</v>
      </c>
      <c r="AB3205" t="str">
        <f>HYPERLINK("Melting_Curves/meltCurve_Q15633_2_TARBP2.pdf", "Melting_Curves/meltCurve_Q15633_2_TARBP2.pdf")</f>
        <v>Melting_Curves/meltCurve_Q15633_2_TARBP2.pdf</v>
      </c>
    </row>
    <row r="3206" spans="1:28" x14ac:dyDescent="0.25">
      <c r="A3206" t="s">
        <v>3210</v>
      </c>
      <c r="B3206">
        <v>0.99987803227770999</v>
      </c>
      <c r="C3206">
        <v>0.90722197599296694</v>
      </c>
      <c r="D3206">
        <v>1.02622453000293</v>
      </c>
      <c r="E3206">
        <v>0.94368001005968705</v>
      </c>
      <c r="F3206">
        <v>1.1236866541045101</v>
      </c>
      <c r="G3206">
        <v>0.95450604157130303</v>
      </c>
      <c r="H3206">
        <v>0.95187891901738098</v>
      </c>
      <c r="I3206">
        <v>0.84259336996576395</v>
      </c>
      <c r="J3206">
        <v>0.81315092742093698</v>
      </c>
      <c r="K3206">
        <v>0.64977426777124203</v>
      </c>
      <c r="L3206">
        <v>1006.25241848801</v>
      </c>
      <c r="M3206">
        <v>13.7342806803846</v>
      </c>
      <c r="Q3206">
        <v>5.4780637947080798E-3</v>
      </c>
      <c r="R3206">
        <v>0.79021601656128104</v>
      </c>
      <c r="S3206" t="s">
        <v>9517</v>
      </c>
      <c r="T3206" t="s">
        <v>12620</v>
      </c>
      <c r="U3206" t="s">
        <v>12620</v>
      </c>
      <c r="V3206" t="s">
        <v>12620</v>
      </c>
      <c r="W3206" t="s">
        <v>15780</v>
      </c>
      <c r="X3206">
        <v>23</v>
      </c>
      <c r="Y3206" t="s">
        <v>21927</v>
      </c>
      <c r="Z3206" t="s">
        <v>28153</v>
      </c>
      <c r="AA3206">
        <v>0.94040734724092678</v>
      </c>
      <c r="AB3206" t="str">
        <f>HYPERLINK("Melting_Curves/meltCurve_Q15637_5_SF1.pdf", "Melting_Curves/meltCurve_Q15637_5_SF1.pdf")</f>
        <v>Melting_Curves/meltCurve_Q15637_5_SF1.pdf</v>
      </c>
    </row>
    <row r="3207" spans="1:28" x14ac:dyDescent="0.25">
      <c r="A3207" t="s">
        <v>3211</v>
      </c>
      <c r="B3207">
        <v>0.99987803227770999</v>
      </c>
      <c r="C3207">
        <v>0.94218297823021002</v>
      </c>
      <c r="D3207">
        <v>1.1660766529245199</v>
      </c>
      <c r="E3207">
        <v>0.89371749241383802</v>
      </c>
      <c r="F3207">
        <v>0.55889126215709395</v>
      </c>
      <c r="G3207">
        <v>0.55121562639977195</v>
      </c>
      <c r="H3207">
        <v>0.42755481707732801</v>
      </c>
      <c r="I3207">
        <v>0.51080128948673997</v>
      </c>
      <c r="J3207">
        <v>0.28638779719624302</v>
      </c>
      <c r="K3207">
        <v>0.20101844938538799</v>
      </c>
      <c r="L3207">
        <v>908.491999438422</v>
      </c>
      <c r="M3207">
        <v>16.870973788493199</v>
      </c>
      <c r="N3207">
        <v>57.125716885914798</v>
      </c>
      <c r="O3207">
        <v>53.109905723541601</v>
      </c>
      <c r="P3207">
        <v>-5.4799960347366602E-2</v>
      </c>
      <c r="Q3207">
        <v>0.31000178198213901</v>
      </c>
      <c r="R3207">
        <v>0.88406009671376995</v>
      </c>
      <c r="S3207" t="s">
        <v>9518</v>
      </c>
      <c r="T3207" t="s">
        <v>12620</v>
      </c>
      <c r="U3207" t="s">
        <v>12620</v>
      </c>
      <c r="V3207" t="s">
        <v>12620</v>
      </c>
      <c r="W3207" t="s">
        <v>15781</v>
      </c>
      <c r="X3207">
        <v>29</v>
      </c>
      <c r="Y3207" t="s">
        <v>21928</v>
      </c>
      <c r="Z3207" t="s">
        <v>28154</v>
      </c>
      <c r="AA3207">
        <v>0.64072350583841642</v>
      </c>
      <c r="AB3207" t="str">
        <f>HYPERLINK("Melting_Curves/meltCurve_Q15642_TRIP10.pdf", "Melting_Curves/meltCurve_Q15642_TRIP10.pdf")</f>
        <v>Melting_Curves/meltCurve_Q15642_TRIP10.pdf</v>
      </c>
    </row>
    <row r="3208" spans="1:28" x14ac:dyDescent="0.25">
      <c r="A3208" t="s">
        <v>3212</v>
      </c>
      <c r="B3208">
        <v>0.99987803227770999</v>
      </c>
      <c r="C3208">
        <v>1.0157027683300199</v>
      </c>
      <c r="D3208">
        <v>0.94571821002373602</v>
      </c>
      <c r="E3208">
        <v>0.85881307101519699</v>
      </c>
      <c r="F3208">
        <v>0.33697392424122002</v>
      </c>
      <c r="G3208">
        <v>0.19315311965453</v>
      </c>
      <c r="H3208">
        <v>0.13394975294228401</v>
      </c>
      <c r="I3208">
        <v>0.118810649279828</v>
      </c>
      <c r="J3208">
        <v>0.120023881885581</v>
      </c>
      <c r="K3208">
        <v>9.2445484111789503E-2</v>
      </c>
      <c r="L3208">
        <v>2344.45475111719</v>
      </c>
      <c r="M3208">
        <v>45.322698751877397</v>
      </c>
      <c r="N3208">
        <v>52.066044585292602</v>
      </c>
      <c r="O3208">
        <v>51.627647358716601</v>
      </c>
      <c r="P3208">
        <v>-0.191499374526413</v>
      </c>
      <c r="Q3208">
        <v>0.12744390237778699</v>
      </c>
      <c r="R3208">
        <v>0.99533125286183299</v>
      </c>
      <c r="S3208" t="s">
        <v>9519</v>
      </c>
      <c r="T3208" t="s">
        <v>12620</v>
      </c>
      <c r="U3208" t="s">
        <v>12620</v>
      </c>
      <c r="V3208" t="s">
        <v>12620</v>
      </c>
      <c r="W3208" t="s">
        <v>15782</v>
      </c>
      <c r="X3208">
        <v>29</v>
      </c>
      <c r="Y3208" t="s">
        <v>21928</v>
      </c>
      <c r="Z3208" t="s">
        <v>28155</v>
      </c>
      <c r="AA3208">
        <v>0.4709821955532012</v>
      </c>
      <c r="AB3208" t="str">
        <f>HYPERLINK("Melting_Curves/meltCurve_Q15642_2_TRIP10.pdf", "Melting_Curves/meltCurve_Q15642_2_TRIP10.pdf")</f>
        <v>Melting_Curves/meltCurve_Q15642_2_TRIP10.pdf</v>
      </c>
    </row>
    <row r="3209" spans="1:28" x14ac:dyDescent="0.25">
      <c r="A3209" t="s">
        <v>3213</v>
      </c>
      <c r="B3209">
        <v>0.99987803227770999</v>
      </c>
      <c r="C3209">
        <v>1.1368793614113399</v>
      </c>
      <c r="D3209">
        <v>0.89417297656430095</v>
      </c>
      <c r="E3209">
        <v>0.85314909094272795</v>
      </c>
      <c r="F3209">
        <v>0.62429012465204403</v>
      </c>
      <c r="G3209">
        <v>0.52899205679660999</v>
      </c>
      <c r="H3209">
        <v>0.43331836109267402</v>
      </c>
      <c r="I3209">
        <v>0.38152038097346302</v>
      </c>
      <c r="J3209">
        <v>0.35499386831678298</v>
      </c>
      <c r="K3209">
        <v>0.253291350013644</v>
      </c>
      <c r="L3209">
        <v>750.17878234567399</v>
      </c>
      <c r="M3209">
        <v>13.915992962217</v>
      </c>
      <c r="N3209">
        <v>57.422732449535197</v>
      </c>
      <c r="O3209">
        <v>52.831052497744601</v>
      </c>
      <c r="P3209">
        <v>-4.6978968611754698E-2</v>
      </c>
      <c r="Q3209">
        <v>0.28668753993428098</v>
      </c>
      <c r="R3209">
        <v>0.95544625938277605</v>
      </c>
      <c r="S3209" t="s">
        <v>9520</v>
      </c>
      <c r="T3209" t="s">
        <v>12620</v>
      </c>
      <c r="U3209" t="s">
        <v>12620</v>
      </c>
      <c r="V3209" t="s">
        <v>12620</v>
      </c>
      <c r="W3209" t="s">
        <v>15783</v>
      </c>
      <c r="X3209">
        <v>23</v>
      </c>
      <c r="Y3209" t="s">
        <v>21929</v>
      </c>
      <c r="Z3209" t="s">
        <v>28156</v>
      </c>
      <c r="AA3209">
        <v>0.63346709495009179</v>
      </c>
      <c r="AB3209" t="str">
        <f>HYPERLINK("Melting_Curves/meltCurve_Q15643_TRIP11.pdf", "Melting_Curves/meltCurve_Q15643_TRIP11.pdf")</f>
        <v>Melting_Curves/meltCurve_Q15643_TRIP11.pdf</v>
      </c>
    </row>
    <row r="3210" spans="1:28" x14ac:dyDescent="0.25">
      <c r="A3210" t="s">
        <v>3214</v>
      </c>
      <c r="B3210">
        <v>0.99987803227770999</v>
      </c>
      <c r="C3210">
        <v>0.83939367547350097</v>
      </c>
      <c r="D3210">
        <v>0.51095942571622299</v>
      </c>
      <c r="E3210">
        <v>0.32764668941788</v>
      </c>
      <c r="F3210">
        <v>0.18201230590651801</v>
      </c>
      <c r="G3210">
        <v>0.12953479471726001</v>
      </c>
      <c r="H3210">
        <v>6.6357167448676299E-2</v>
      </c>
      <c r="I3210">
        <v>6.2777988134826199E-2</v>
      </c>
      <c r="J3210">
        <v>4.3330719589163701E-2</v>
      </c>
      <c r="K3210">
        <v>2.9120943381339599E-2</v>
      </c>
      <c r="L3210">
        <v>746.35745336544596</v>
      </c>
      <c r="M3210">
        <v>15.993735624197701</v>
      </c>
      <c r="N3210">
        <v>46.972279272052198</v>
      </c>
      <c r="O3210">
        <v>45.954358710144</v>
      </c>
      <c r="P3210">
        <v>-8.2701779646506601E-2</v>
      </c>
      <c r="Q3210">
        <v>4.9575784354519398E-2</v>
      </c>
      <c r="R3210">
        <v>0.98897907320468703</v>
      </c>
      <c r="S3210" t="s">
        <v>9521</v>
      </c>
      <c r="T3210" t="s">
        <v>12620</v>
      </c>
      <c r="U3210" t="s">
        <v>12620</v>
      </c>
      <c r="V3210" t="s">
        <v>12620</v>
      </c>
      <c r="W3210" t="s">
        <v>15784</v>
      </c>
      <c r="X3210">
        <v>9</v>
      </c>
      <c r="Y3210" t="s">
        <v>21930</v>
      </c>
      <c r="Z3210" t="s">
        <v>28157</v>
      </c>
      <c r="AA3210">
        <v>0.28380964502193551</v>
      </c>
      <c r="AB3210" t="str">
        <f>HYPERLINK("Melting_Curves/meltCurve_Q15645_TRIP13.pdf", "Melting_Curves/meltCurve_Q15645_TRIP13.pdf")</f>
        <v>Melting_Curves/meltCurve_Q15645_TRIP13.pdf</v>
      </c>
    </row>
    <row r="3211" spans="1:28" x14ac:dyDescent="0.25">
      <c r="A3211" t="s">
        <v>3215</v>
      </c>
      <c r="B3211">
        <v>0.99987803227770999</v>
      </c>
      <c r="C3211">
        <v>1.0286489937133401</v>
      </c>
      <c r="D3211">
        <v>1.0175739953688401</v>
      </c>
      <c r="E3211">
        <v>1.03783950840475</v>
      </c>
      <c r="F3211">
        <v>0.83080094280213601</v>
      </c>
      <c r="G3211">
        <v>0.64325409588221905</v>
      </c>
      <c r="H3211">
        <v>0.54630535077712705</v>
      </c>
      <c r="I3211">
        <v>0.54178607695967995</v>
      </c>
      <c r="J3211">
        <v>0.43671342422793802</v>
      </c>
      <c r="K3211">
        <v>0.36238534623801</v>
      </c>
      <c r="L3211">
        <v>1029.3195496625101</v>
      </c>
      <c r="M3211">
        <v>18.199917953188699</v>
      </c>
      <c r="N3211">
        <v>62.216054972307901</v>
      </c>
      <c r="O3211">
        <v>55.886738516858699</v>
      </c>
      <c r="P3211">
        <v>-4.8483290852174399E-2</v>
      </c>
      <c r="Q3211">
        <v>0.40451489548615899</v>
      </c>
      <c r="R3211">
        <v>0.96721982291168196</v>
      </c>
      <c r="S3211" t="s">
        <v>9522</v>
      </c>
      <c r="T3211" t="s">
        <v>12620</v>
      </c>
      <c r="U3211" t="s">
        <v>12620</v>
      </c>
      <c r="V3211" t="s">
        <v>12620</v>
      </c>
      <c r="W3211" t="s">
        <v>15785</v>
      </c>
      <c r="X3211">
        <v>14</v>
      </c>
      <c r="Y3211" t="s">
        <v>21931</v>
      </c>
      <c r="Z3211" t="s">
        <v>28158</v>
      </c>
      <c r="AA3211">
        <v>0.74150812176662451</v>
      </c>
      <c r="AB3211" t="str">
        <f>HYPERLINK("Melting_Curves/meltCurve_Q15648_MED1.pdf", "Melting_Curves/meltCurve_Q15648_MED1.pdf")</f>
        <v>Melting_Curves/meltCurve_Q15648_MED1.pdf</v>
      </c>
    </row>
    <row r="3212" spans="1:28" x14ac:dyDescent="0.25">
      <c r="A3212" t="s">
        <v>3216</v>
      </c>
      <c r="B3212">
        <v>0.99987803227770999</v>
      </c>
      <c r="C3212">
        <v>0.82056227798965997</v>
      </c>
      <c r="D3212">
        <v>0.97626794005744699</v>
      </c>
      <c r="E3212">
        <v>0.82450518378036097</v>
      </c>
      <c r="F3212">
        <v>1.03092230949553</v>
      </c>
      <c r="G3212">
        <v>0.77273066069128604</v>
      </c>
      <c r="H3212">
        <v>0.81277208310553295</v>
      </c>
      <c r="I3212">
        <v>0.75134828737911696</v>
      </c>
      <c r="J3212">
        <v>0.76294733015446503</v>
      </c>
      <c r="K3212">
        <v>0.61789148355759105</v>
      </c>
      <c r="L3212">
        <v>264.18507291334498</v>
      </c>
      <c r="M3212">
        <v>3.0261311602618299</v>
      </c>
      <c r="O3212">
        <v>64.5255008126326</v>
      </c>
      <c r="P3212">
        <v>-1.2077781779569601E-2</v>
      </c>
      <c r="Q3212">
        <v>0</v>
      </c>
      <c r="R3212">
        <v>0.585618649543169</v>
      </c>
      <c r="S3212" t="s">
        <v>9523</v>
      </c>
      <c r="T3212" t="s">
        <v>12620</v>
      </c>
      <c r="U3212" t="s">
        <v>12620</v>
      </c>
      <c r="V3212" t="s">
        <v>12620</v>
      </c>
      <c r="W3212" t="s">
        <v>15786</v>
      </c>
      <c r="X3212">
        <v>6</v>
      </c>
      <c r="Y3212" t="s">
        <v>21932</v>
      </c>
      <c r="Z3212" t="s">
        <v>28159</v>
      </c>
      <c r="AA3212">
        <v>0.84526391065016382</v>
      </c>
      <c r="AB3212" t="str">
        <f>HYPERLINK("Melting_Curves/meltCurve_Q15649_ZNHIT3.pdf", "Melting_Curves/meltCurve_Q15649_ZNHIT3.pdf")</f>
        <v>Melting_Curves/meltCurve_Q15649_ZNHIT3.pdf</v>
      </c>
    </row>
    <row r="3213" spans="1:28" x14ac:dyDescent="0.25">
      <c r="A3213" t="s">
        <v>3217</v>
      </c>
      <c r="B3213">
        <v>0.99987803227770999</v>
      </c>
      <c r="C3213">
        <v>0.96915922511354302</v>
      </c>
      <c r="D3213">
        <v>0.99969085847366201</v>
      </c>
      <c r="E3213">
        <v>0.88735754793034405</v>
      </c>
      <c r="F3213">
        <v>0.86351861612979197</v>
      </c>
      <c r="G3213">
        <v>0.64004403759045003</v>
      </c>
      <c r="H3213">
        <v>0.64368628615149104</v>
      </c>
      <c r="I3213">
        <v>0.56160236307327205</v>
      </c>
      <c r="J3213">
        <v>0.52645645201370095</v>
      </c>
      <c r="K3213">
        <v>0.38146454382492001</v>
      </c>
      <c r="L3213">
        <v>516.99138742342905</v>
      </c>
      <c r="M3213">
        <v>8.4986031705214593</v>
      </c>
      <c r="N3213">
        <v>65.938869110855094</v>
      </c>
      <c r="O3213">
        <v>57.744804079777197</v>
      </c>
      <c r="P3213">
        <v>-2.7948269313380899E-2</v>
      </c>
      <c r="Q3213">
        <v>0.241092757836847</v>
      </c>
      <c r="R3213">
        <v>0.96356239210941197</v>
      </c>
      <c r="S3213" t="s">
        <v>9524</v>
      </c>
      <c r="T3213" t="s">
        <v>12620</v>
      </c>
      <c r="U3213" t="s">
        <v>12620</v>
      </c>
      <c r="V3213" t="s">
        <v>12620</v>
      </c>
      <c r="W3213" t="s">
        <v>15787</v>
      </c>
      <c r="X3213">
        <v>4</v>
      </c>
      <c r="Y3213" t="s">
        <v>21933</v>
      </c>
      <c r="Z3213" t="s">
        <v>28160</v>
      </c>
      <c r="AA3213">
        <v>0.75301303127471853</v>
      </c>
      <c r="AB3213" t="str">
        <f>HYPERLINK("Melting_Curves/meltCurve_Q15650_TRIP4.pdf", "Melting_Curves/meltCurve_Q15650_TRIP4.pdf")</f>
        <v>Melting_Curves/meltCurve_Q15650_TRIP4.pdf</v>
      </c>
    </row>
    <row r="3214" spans="1:28" x14ac:dyDescent="0.25">
      <c r="A3214" t="s">
        <v>3218</v>
      </c>
      <c r="B3214">
        <v>0.99987803227770999</v>
      </c>
      <c r="C3214">
        <v>0.59802457091624095</v>
      </c>
      <c r="D3214">
        <v>0.84743634413996405</v>
      </c>
      <c r="E3214">
        <v>0.71199164562900796</v>
      </c>
      <c r="F3214">
        <v>1.2582355127842499</v>
      </c>
      <c r="G3214">
        <v>0.90755226424699198</v>
      </c>
      <c r="H3214">
        <v>1.01892318999187</v>
      </c>
      <c r="I3214">
        <v>1.0080292026456099</v>
      </c>
      <c r="J3214">
        <v>1.1966202937621999</v>
      </c>
      <c r="K3214">
        <v>0.94440895541747705</v>
      </c>
      <c r="L3214">
        <v>15000</v>
      </c>
      <c r="M3214">
        <v>232.35860406246999</v>
      </c>
      <c r="O3214">
        <v>64.550606634351894</v>
      </c>
      <c r="P3214">
        <v>6.3438138502424399E-2</v>
      </c>
      <c r="Q3214">
        <v>1.0704939733688299</v>
      </c>
      <c r="R3214">
        <v>-4.4230178909919503E-2</v>
      </c>
      <c r="S3214" t="s">
        <v>9525</v>
      </c>
      <c r="T3214" t="s">
        <v>12620</v>
      </c>
      <c r="U3214" t="s">
        <v>12620</v>
      </c>
      <c r="V3214" t="s">
        <v>12620</v>
      </c>
      <c r="W3214" t="s">
        <v>15788</v>
      </c>
      <c r="X3214">
        <v>1</v>
      </c>
      <c r="Y3214" t="s">
        <v>21934</v>
      </c>
      <c r="Z3214" t="s">
        <v>28161</v>
      </c>
      <c r="AA3214">
        <v>1.0127844972347699</v>
      </c>
      <c r="AB3214" t="str">
        <f>HYPERLINK("Melting_Curves/meltCurve_Q15651_HMGN3.pdf", "Melting_Curves/meltCurve_Q15651_HMGN3.pdf")</f>
        <v>Melting_Curves/meltCurve_Q15651_HMGN3.pdf</v>
      </c>
    </row>
    <row r="3215" spans="1:28" x14ac:dyDescent="0.25">
      <c r="A3215" t="s">
        <v>3219</v>
      </c>
      <c r="B3215">
        <v>0.99987803227770999</v>
      </c>
      <c r="C3215">
        <v>0.94038278302656397</v>
      </c>
      <c r="D3215">
        <v>1.0526307374353201</v>
      </c>
      <c r="E3215">
        <v>0.92297048733736697</v>
      </c>
      <c r="F3215">
        <v>0.97521360006452296</v>
      </c>
      <c r="G3215">
        <v>0.78043946109471996</v>
      </c>
      <c r="H3215">
        <v>0.81626488767004102</v>
      </c>
      <c r="I3215">
        <v>0.74862642189320305</v>
      </c>
      <c r="J3215">
        <v>0.79289063568791895</v>
      </c>
      <c r="K3215">
        <v>0.65454137947269597</v>
      </c>
      <c r="L3215">
        <v>681.23228409970295</v>
      </c>
      <c r="M3215">
        <v>11.7376336584739</v>
      </c>
      <c r="O3215">
        <v>56.430493874527201</v>
      </c>
      <c r="P3215">
        <v>-1.71615479057858E-2</v>
      </c>
      <c r="Q3215">
        <v>0.67005943746232999</v>
      </c>
      <c r="R3215">
        <v>0.82911659942051397</v>
      </c>
      <c r="S3215" t="s">
        <v>9526</v>
      </c>
      <c r="T3215" t="s">
        <v>12620</v>
      </c>
      <c r="U3215" t="s">
        <v>12620</v>
      </c>
      <c r="V3215" t="s">
        <v>12620</v>
      </c>
      <c r="W3215" t="s">
        <v>15789</v>
      </c>
      <c r="X3215">
        <v>19</v>
      </c>
      <c r="Y3215" t="s">
        <v>21935</v>
      </c>
      <c r="Z3215" t="s">
        <v>28162</v>
      </c>
      <c r="AA3215">
        <v>0.8725029940301966</v>
      </c>
      <c r="AB3215" t="str">
        <f>HYPERLINK("Melting_Curves/meltCurve_Q15652_JMJD1C.pdf", "Melting_Curves/meltCurve_Q15652_JMJD1C.pdf")</f>
        <v>Melting_Curves/meltCurve_Q15652_JMJD1C.pdf</v>
      </c>
    </row>
    <row r="3216" spans="1:28" x14ac:dyDescent="0.25">
      <c r="A3216" t="s">
        <v>3220</v>
      </c>
      <c r="B3216">
        <v>0.99987803227770999</v>
      </c>
      <c r="C3216">
        <v>0.94377518459674803</v>
      </c>
      <c r="D3216">
        <v>1.03727300233259</v>
      </c>
      <c r="E3216">
        <v>0.88789185617441002</v>
      </c>
      <c r="F3216">
        <v>0.92345341848500695</v>
      </c>
      <c r="G3216">
        <v>0.78330679104262502</v>
      </c>
      <c r="H3216">
        <v>0.656540345791501</v>
      </c>
      <c r="I3216">
        <v>0.59289261175294605</v>
      </c>
      <c r="J3216">
        <v>0.438021815323346</v>
      </c>
      <c r="K3216">
        <v>0.30934779403902402</v>
      </c>
      <c r="L3216">
        <v>627.79113467512298</v>
      </c>
      <c r="M3216">
        <v>9.6225173357859699</v>
      </c>
      <c r="N3216">
        <v>65.241874940356595</v>
      </c>
      <c r="O3216">
        <v>62.610901223708602</v>
      </c>
      <c r="P3216">
        <v>-3.8443536137833502E-2</v>
      </c>
      <c r="Q3216">
        <v>0</v>
      </c>
      <c r="R3216">
        <v>0.97619814110046998</v>
      </c>
      <c r="S3216" t="s">
        <v>9527</v>
      </c>
      <c r="T3216" t="s">
        <v>12620</v>
      </c>
      <c r="U3216" t="s">
        <v>12620</v>
      </c>
      <c r="V3216" t="s">
        <v>12620</v>
      </c>
      <c r="W3216" t="s">
        <v>15790</v>
      </c>
      <c r="X3216">
        <v>17</v>
      </c>
      <c r="Y3216" t="s">
        <v>21936</v>
      </c>
      <c r="Z3216" t="s">
        <v>28163</v>
      </c>
      <c r="AA3216">
        <v>0.78045143510195025</v>
      </c>
      <c r="AB3216" t="str">
        <f>HYPERLINK("Melting_Curves/meltCurve_Q15654_TRIP6.pdf", "Melting_Curves/meltCurve_Q15654_TRIP6.pdf")</f>
        <v>Melting_Curves/meltCurve_Q15654_TRIP6.pdf</v>
      </c>
    </row>
    <row r="3217" spans="1:28" x14ac:dyDescent="0.25">
      <c r="A3217" t="s">
        <v>3221</v>
      </c>
      <c r="B3217">
        <v>0.99987803227770999</v>
      </c>
      <c r="C3217">
        <v>0.89980516294317703</v>
      </c>
      <c r="D3217">
        <v>1.0292392318708099</v>
      </c>
      <c r="E3217">
        <v>0.92012106922532899</v>
      </c>
      <c r="F3217">
        <v>0.96814876670168803</v>
      </c>
      <c r="G3217">
        <v>0.31875533223276598</v>
      </c>
      <c r="H3217">
        <v>0.18010424832139299</v>
      </c>
      <c r="I3217">
        <v>0.146596420919091</v>
      </c>
      <c r="J3217">
        <v>0.12858655009456699</v>
      </c>
      <c r="K3217">
        <v>0.10181556237519</v>
      </c>
      <c r="L3217">
        <v>3253.4001118405799</v>
      </c>
      <c r="M3217">
        <v>58.377136003114103</v>
      </c>
      <c r="N3217">
        <v>56.038510831946503</v>
      </c>
      <c r="O3217">
        <v>55.665439049194397</v>
      </c>
      <c r="P3217">
        <v>-0.22621984886587701</v>
      </c>
      <c r="Q3217">
        <v>0.13715387424092099</v>
      </c>
      <c r="R3217">
        <v>0.98745558695616398</v>
      </c>
      <c r="S3217" t="s">
        <v>9528</v>
      </c>
      <c r="T3217" t="s">
        <v>12620</v>
      </c>
      <c r="U3217" t="s">
        <v>12620</v>
      </c>
      <c r="V3217" t="s">
        <v>12620</v>
      </c>
      <c r="W3217" t="s">
        <v>15791</v>
      </c>
      <c r="X3217">
        <v>18</v>
      </c>
      <c r="Y3217" t="s">
        <v>21937</v>
      </c>
      <c r="Z3217" t="s">
        <v>28164</v>
      </c>
      <c r="AA3217">
        <v>0.59114712557590521</v>
      </c>
      <c r="AB3217" t="str">
        <f>HYPERLINK("Melting_Curves/meltCurve_Q15691_MAPRE1.pdf", "Melting_Curves/meltCurve_Q15691_MAPRE1.pdf")</f>
        <v>Melting_Curves/meltCurve_Q15691_MAPRE1.pdf</v>
      </c>
    </row>
    <row r="3218" spans="1:28" x14ac:dyDescent="0.25">
      <c r="A3218" t="s">
        <v>3222</v>
      </c>
      <c r="B3218">
        <v>0.99987803227770999</v>
      </c>
      <c r="C3218">
        <v>0.93316302057411404</v>
      </c>
      <c r="D3218">
        <v>1.0156927208415101</v>
      </c>
      <c r="E3218">
        <v>0.94140799838968303</v>
      </c>
      <c r="F3218">
        <v>1.08915163257799</v>
      </c>
      <c r="G3218">
        <v>1.0455223889662899</v>
      </c>
      <c r="H3218">
        <v>1.0777445977159501</v>
      </c>
      <c r="I3218">
        <v>1.0845231940188</v>
      </c>
      <c r="J3218">
        <v>1.02121387386846</v>
      </c>
      <c r="K3218">
        <v>0.81786503917433295</v>
      </c>
      <c r="L3218">
        <v>15000</v>
      </c>
      <c r="M3218">
        <v>212.783750401627</v>
      </c>
      <c r="Q3218">
        <v>0</v>
      </c>
      <c r="R3218">
        <v>0.51000005970083695</v>
      </c>
      <c r="S3218" t="s">
        <v>9529</v>
      </c>
      <c r="T3218" t="s">
        <v>12620</v>
      </c>
      <c r="U3218" t="s">
        <v>12620</v>
      </c>
      <c r="V3218" t="s">
        <v>12620</v>
      </c>
      <c r="W3218" t="s">
        <v>15792</v>
      </c>
      <c r="X3218">
        <v>12</v>
      </c>
      <c r="Y3218" t="s">
        <v>21938</v>
      </c>
      <c r="Z3218" t="s">
        <v>28165</v>
      </c>
      <c r="AA3218">
        <v>0.99783191144569794</v>
      </c>
      <c r="AB3218" t="str">
        <f>HYPERLINK("Melting_Curves/meltCurve_Q15714_TSC22D1.pdf", "Melting_Curves/meltCurve_Q15714_TSC22D1.pdf")</f>
        <v>Melting_Curves/meltCurve_Q15714_TSC22D1.pdf</v>
      </c>
    </row>
    <row r="3219" spans="1:28" x14ac:dyDescent="0.25">
      <c r="A3219" t="s">
        <v>3223</v>
      </c>
      <c r="B3219">
        <v>0.99987803227770999</v>
      </c>
      <c r="C3219">
        <v>0.90718107447884799</v>
      </c>
      <c r="D3219">
        <v>0.945752130708581</v>
      </c>
      <c r="E3219">
        <v>0.73953622436262001</v>
      </c>
      <c r="F3219">
        <v>0.70475808370794002</v>
      </c>
      <c r="G3219">
        <v>0.359704253375773</v>
      </c>
      <c r="H3219">
        <v>0.19162281210864701</v>
      </c>
      <c r="I3219">
        <v>0.14274606229155301</v>
      </c>
      <c r="J3219">
        <v>0.110243694531887</v>
      </c>
      <c r="K3219">
        <v>7.9785156211946998E-2</v>
      </c>
      <c r="L3219">
        <v>743.50454564633901</v>
      </c>
      <c r="M3219">
        <v>13.556876648886499</v>
      </c>
      <c r="N3219">
        <v>55.013919713971497</v>
      </c>
      <c r="O3219">
        <v>53.691281260787903</v>
      </c>
      <c r="P3219">
        <v>-6.1834312162007098E-2</v>
      </c>
      <c r="Q3219">
        <v>2.0580731442064199E-2</v>
      </c>
      <c r="R3219">
        <v>0.98720847333488804</v>
      </c>
      <c r="S3219" t="s">
        <v>9530</v>
      </c>
      <c r="T3219" t="s">
        <v>12620</v>
      </c>
      <c r="U3219" t="s">
        <v>12620</v>
      </c>
      <c r="V3219" t="s">
        <v>12620</v>
      </c>
      <c r="W3219" t="s">
        <v>15793</v>
      </c>
      <c r="X3219">
        <v>6</v>
      </c>
      <c r="Y3219" t="s">
        <v>21939</v>
      </c>
      <c r="Z3219" t="s">
        <v>28166</v>
      </c>
      <c r="AA3219">
        <v>0.5263256974849716</v>
      </c>
      <c r="AB3219" t="str">
        <f>HYPERLINK("Melting_Curves/meltCurve_Q15717_ELAVL1.pdf", "Melting_Curves/meltCurve_Q15717_ELAVL1.pdf")</f>
        <v>Melting_Curves/meltCurve_Q15717_ELAVL1.pdf</v>
      </c>
    </row>
    <row r="3220" spans="1:28" x14ac:dyDescent="0.25">
      <c r="A3220" t="s">
        <v>3224</v>
      </c>
      <c r="B3220">
        <v>0.99987803227770999</v>
      </c>
      <c r="C3220">
        <v>0.953203164383016</v>
      </c>
      <c r="D3220">
        <v>0.89650747318641799</v>
      </c>
      <c r="E3220">
        <v>0.66398795235900299</v>
      </c>
      <c r="F3220">
        <v>0.636001041906336</v>
      </c>
      <c r="G3220">
        <v>0.32223701513463598</v>
      </c>
      <c r="H3220">
        <v>0.28700633068556403</v>
      </c>
      <c r="I3220">
        <v>0.24389853312311899</v>
      </c>
      <c r="J3220">
        <v>0.29011130495710002</v>
      </c>
      <c r="K3220">
        <v>0.243497358382015</v>
      </c>
      <c r="L3220">
        <v>764.80102722686297</v>
      </c>
      <c r="M3220">
        <v>14.7690192368641</v>
      </c>
      <c r="N3220">
        <v>53.935961618053298</v>
      </c>
      <c r="O3220">
        <v>50.862554341015397</v>
      </c>
      <c r="P3220">
        <v>-5.6438204974871897E-2</v>
      </c>
      <c r="Q3220">
        <v>0.22262049947374099</v>
      </c>
      <c r="R3220">
        <v>0.981222752223603</v>
      </c>
      <c r="S3220" t="s">
        <v>9531</v>
      </c>
      <c r="T3220" t="s">
        <v>12620</v>
      </c>
      <c r="U3220" t="s">
        <v>12620</v>
      </c>
      <c r="V3220" t="s">
        <v>12620</v>
      </c>
      <c r="W3220" t="s">
        <v>15794</v>
      </c>
      <c r="X3220">
        <v>9</v>
      </c>
      <c r="Y3220" t="s">
        <v>21940</v>
      </c>
      <c r="Z3220" t="s">
        <v>28167</v>
      </c>
      <c r="AA3220">
        <v>0.54591356848477934</v>
      </c>
      <c r="AB3220" t="str">
        <f>HYPERLINK("Melting_Curves/meltCurve_Q15746_4_MYLK.pdf", "Melting_Curves/meltCurve_Q15746_4_MYLK.pdf")</f>
        <v>Melting_Curves/meltCurve_Q15746_4_MYLK.pdf</v>
      </c>
    </row>
    <row r="3221" spans="1:28" x14ac:dyDescent="0.25">
      <c r="A3221" t="s">
        <v>3225</v>
      </c>
      <c r="B3221">
        <v>0.99987803227770999</v>
      </c>
      <c r="C3221">
        <v>1.0435229700272199</v>
      </c>
      <c r="D3221">
        <v>1.0520282587488201</v>
      </c>
      <c r="E3221">
        <v>0.81716253765263003</v>
      </c>
      <c r="F3221">
        <v>0.37497892369477798</v>
      </c>
      <c r="G3221">
        <v>0.215779597682209</v>
      </c>
      <c r="H3221">
        <v>0.129164888195929</v>
      </c>
      <c r="I3221">
        <v>0.104898181541904</v>
      </c>
      <c r="J3221">
        <v>7.2323155429525804E-2</v>
      </c>
      <c r="K3221">
        <v>4.7891966843709E-2</v>
      </c>
      <c r="L3221">
        <v>1739.4686164213599</v>
      </c>
      <c r="M3221">
        <v>33.498200409263298</v>
      </c>
      <c r="N3221">
        <v>52.2749303437839</v>
      </c>
      <c r="O3221">
        <v>51.743223757460598</v>
      </c>
      <c r="P3221">
        <v>-0.14568552948169</v>
      </c>
      <c r="Q3221">
        <v>9.9867334944218802E-2</v>
      </c>
      <c r="R3221">
        <v>0.99058241262743096</v>
      </c>
      <c r="S3221" t="s">
        <v>9532</v>
      </c>
      <c r="T3221" t="s">
        <v>12620</v>
      </c>
      <c r="U3221" t="s">
        <v>12620</v>
      </c>
      <c r="V3221" t="s">
        <v>12620</v>
      </c>
      <c r="W3221" t="s">
        <v>15795</v>
      </c>
      <c r="X3221">
        <v>14</v>
      </c>
      <c r="Y3221" t="s">
        <v>21941</v>
      </c>
      <c r="Z3221" t="s">
        <v>28168</v>
      </c>
      <c r="AA3221">
        <v>0.46234767023284101</v>
      </c>
      <c r="AB3221" t="str">
        <f>HYPERLINK("Melting_Curves/meltCurve_Q15750_2_TAB1.pdf", "Melting_Curves/meltCurve_Q15750_2_TAB1.pdf")</f>
        <v>Melting_Curves/meltCurve_Q15750_2_TAB1.pdf</v>
      </c>
    </row>
    <row r="3222" spans="1:28" x14ac:dyDescent="0.25">
      <c r="A3222" t="s">
        <v>3226</v>
      </c>
      <c r="B3222">
        <v>0.99987803227770999</v>
      </c>
      <c r="C3222">
        <v>0.78941075643011904</v>
      </c>
      <c r="D3222">
        <v>0.92653900955624402</v>
      </c>
      <c r="E3222">
        <v>0.97621441798813202</v>
      </c>
      <c r="F3222">
        <v>1.0063942369321399</v>
      </c>
      <c r="G3222">
        <v>0.80333928110527697</v>
      </c>
      <c r="H3222">
        <v>0.59485965021734999</v>
      </c>
      <c r="I3222">
        <v>0.55442661573952601</v>
      </c>
      <c r="J3222">
        <v>0.54746570819047402</v>
      </c>
      <c r="K3222">
        <v>0.48803012003976198</v>
      </c>
      <c r="L3222">
        <v>1880.77211504608</v>
      </c>
      <c r="M3222">
        <v>32.553127003053397</v>
      </c>
      <c r="O3222">
        <v>57.558752051299003</v>
      </c>
      <c r="P3222">
        <v>-6.7779042827768796E-2</v>
      </c>
      <c r="Q3222">
        <v>0.52062872688673201</v>
      </c>
      <c r="R3222">
        <v>0.86170971356218795</v>
      </c>
      <c r="S3222" t="s">
        <v>9533</v>
      </c>
      <c r="T3222" t="s">
        <v>12620</v>
      </c>
      <c r="U3222" t="s">
        <v>12620</v>
      </c>
      <c r="V3222" t="s">
        <v>12620</v>
      </c>
      <c r="W3222" t="s">
        <v>15796</v>
      </c>
      <c r="X3222">
        <v>3</v>
      </c>
      <c r="Y3222" t="s">
        <v>21942</v>
      </c>
      <c r="Z3222" t="s">
        <v>28169</v>
      </c>
      <c r="AA3222">
        <v>0.80741520940548173</v>
      </c>
      <c r="AB3222" t="str">
        <f>HYPERLINK("Melting_Curves/meltCurve_Q15751_HERC1.pdf", "Melting_Curves/meltCurve_Q15751_HERC1.pdf")</f>
        <v>Melting_Curves/meltCurve_Q15751_HERC1.pdf</v>
      </c>
    </row>
    <row r="3223" spans="1:28" x14ac:dyDescent="0.25">
      <c r="A3223" t="s">
        <v>3227</v>
      </c>
      <c r="B3223">
        <v>0.99987803227770999</v>
      </c>
      <c r="C3223">
        <v>0.63743947875593798</v>
      </c>
      <c r="D3223">
        <v>0.83539294303579203</v>
      </c>
      <c r="E3223">
        <v>0.68509952747105796</v>
      </c>
      <c r="F3223">
        <v>0.97151417420868702</v>
      </c>
      <c r="G3223">
        <v>0.56062779666709694</v>
      </c>
      <c r="H3223">
        <v>0.87002706935101803</v>
      </c>
      <c r="I3223">
        <v>0.78346589932174204</v>
      </c>
      <c r="J3223">
        <v>1.2614212187389</v>
      </c>
      <c r="K3223">
        <v>0.90138540030187098</v>
      </c>
      <c r="L3223">
        <v>10225.625985082001</v>
      </c>
      <c r="M3223">
        <v>250</v>
      </c>
      <c r="O3223">
        <v>40.899866983222097</v>
      </c>
      <c r="P3223">
        <v>-0.25360444174352897</v>
      </c>
      <c r="Q3223">
        <v>0.83404171367245294</v>
      </c>
      <c r="R3223">
        <v>6.6842584089230495E-2</v>
      </c>
      <c r="S3223" t="s">
        <v>9534</v>
      </c>
      <c r="T3223" t="s">
        <v>12620</v>
      </c>
      <c r="U3223" t="s">
        <v>12620</v>
      </c>
      <c r="V3223" t="s">
        <v>12620</v>
      </c>
      <c r="W3223" t="s">
        <v>15797</v>
      </c>
      <c r="X3223">
        <v>1</v>
      </c>
      <c r="Y3223" t="s">
        <v>21943</v>
      </c>
      <c r="Z3223" t="s">
        <v>28170</v>
      </c>
      <c r="AA3223">
        <v>0.83904927105423299</v>
      </c>
      <c r="AB3223" t="str">
        <f>HYPERLINK("Melting_Curves/meltCurve_Q15758_3_SLC1A5.pdf", "Melting_Curves/meltCurve_Q15758_3_SLC1A5.pdf")</f>
        <v>Melting_Curves/meltCurve_Q15758_3_SLC1A5.pdf</v>
      </c>
    </row>
    <row r="3224" spans="1:28" x14ac:dyDescent="0.25">
      <c r="A3224" t="s">
        <v>3228</v>
      </c>
      <c r="B3224">
        <v>0.99987803227770999</v>
      </c>
      <c r="C3224">
        <v>0.77738180126610501</v>
      </c>
      <c r="D3224">
        <v>0.65879483301318698</v>
      </c>
      <c r="E3224">
        <v>0.68562812357390202</v>
      </c>
      <c r="F3224">
        <v>0.58287628528237201</v>
      </c>
      <c r="G3224">
        <v>0.41277518015348802</v>
      </c>
      <c r="H3224">
        <v>0.34998886347841401</v>
      </c>
      <c r="I3224">
        <v>0.260185024362102</v>
      </c>
      <c r="J3224">
        <v>0.313295896605642</v>
      </c>
      <c r="K3224">
        <v>0.26158660341249002</v>
      </c>
      <c r="L3224">
        <v>358.33653756821701</v>
      </c>
      <c r="M3224">
        <v>6.8849197951472902</v>
      </c>
      <c r="N3224">
        <v>54.301502729272897</v>
      </c>
      <c r="O3224">
        <v>48.186966185532</v>
      </c>
      <c r="P3224">
        <v>-3.1340317737603103E-2</v>
      </c>
      <c r="Q3224">
        <v>0.12433218270280399</v>
      </c>
      <c r="R3224">
        <v>0.94367968860121199</v>
      </c>
      <c r="S3224" t="s">
        <v>9535</v>
      </c>
      <c r="T3224" t="s">
        <v>12620</v>
      </c>
      <c r="U3224" t="s">
        <v>12620</v>
      </c>
      <c r="V3224" t="s">
        <v>12620</v>
      </c>
      <c r="W3224" t="s">
        <v>15798</v>
      </c>
      <c r="X3224">
        <v>2</v>
      </c>
      <c r="Y3224" t="s">
        <v>21944</v>
      </c>
      <c r="Z3224" t="s">
        <v>28171</v>
      </c>
      <c r="AA3224">
        <v>0.52205909420506313</v>
      </c>
      <c r="AB3224" t="str">
        <f>HYPERLINK("Melting_Curves/meltCurve_Q15773_MLF2.pdf", "Melting_Curves/meltCurve_Q15773_MLF2.pdf")</f>
        <v>Melting_Curves/meltCurve_Q15773_MLF2.pdf</v>
      </c>
    </row>
    <row r="3225" spans="1:28" x14ac:dyDescent="0.25">
      <c r="A3225" t="s">
        <v>3229</v>
      </c>
      <c r="B3225">
        <v>0.99987803227770999</v>
      </c>
      <c r="C3225">
        <v>0.897767330966597</v>
      </c>
      <c r="D3225">
        <v>0.53952922868779296</v>
      </c>
      <c r="E3225">
        <v>0.29550527469332499</v>
      </c>
      <c r="F3225">
        <v>0.17311185631783499</v>
      </c>
      <c r="G3225">
        <v>0.107985885727511</v>
      </c>
      <c r="H3225">
        <v>7.9768208263981302E-2</v>
      </c>
      <c r="I3225">
        <v>7.1508134389377698E-2</v>
      </c>
      <c r="J3225">
        <v>6.7550503384075103E-2</v>
      </c>
      <c r="K3225">
        <v>5.1320790872658999E-2</v>
      </c>
      <c r="L3225">
        <v>906.93906643803803</v>
      </c>
      <c r="M3225">
        <v>19.4606778328655</v>
      </c>
      <c r="N3225">
        <v>46.978091114782004</v>
      </c>
      <c r="O3225">
        <v>46.1199401736231</v>
      </c>
      <c r="P3225">
        <v>-9.7915063813177605E-2</v>
      </c>
      <c r="Q3225">
        <v>7.18364145053485E-2</v>
      </c>
      <c r="R3225">
        <v>0.99304362040609095</v>
      </c>
      <c r="S3225" t="s">
        <v>9536</v>
      </c>
      <c r="T3225" t="s">
        <v>12620</v>
      </c>
      <c r="U3225" t="s">
        <v>12620</v>
      </c>
      <c r="V3225" t="s">
        <v>12620</v>
      </c>
      <c r="W3225" t="s">
        <v>15799</v>
      </c>
      <c r="X3225">
        <v>14</v>
      </c>
      <c r="Y3225" t="s">
        <v>21945</v>
      </c>
      <c r="Z3225" t="s">
        <v>28172</v>
      </c>
      <c r="AA3225">
        <v>0.29085466482236799</v>
      </c>
      <c r="AB3225" t="str">
        <f>HYPERLINK("Melting_Curves/meltCurve_Q15785_TOMM34.pdf", "Melting_Curves/meltCurve_Q15785_TOMM34.pdf")</f>
        <v>Melting_Curves/meltCurve_Q15785_TOMM34.pdf</v>
      </c>
    </row>
    <row r="3226" spans="1:28" x14ac:dyDescent="0.25">
      <c r="A3226" t="s">
        <v>3230</v>
      </c>
      <c r="B3226">
        <v>0.99987803227770999</v>
      </c>
      <c r="C3226">
        <v>0.92308371525956101</v>
      </c>
      <c r="D3226">
        <v>0.97600286361297595</v>
      </c>
      <c r="E3226">
        <v>0.83778841453616304</v>
      </c>
      <c r="F3226">
        <v>0.83691134442949</v>
      </c>
      <c r="G3226">
        <v>0.709659088598246</v>
      </c>
      <c r="H3226">
        <v>0.70626652269150403</v>
      </c>
      <c r="I3226">
        <v>0.62046943156693501</v>
      </c>
      <c r="J3226">
        <v>0.59145164643389503</v>
      </c>
      <c r="K3226">
        <v>0.52356124751762101</v>
      </c>
      <c r="L3226">
        <v>376.00981140701202</v>
      </c>
      <c r="M3226">
        <v>6.0262497803092003</v>
      </c>
      <c r="O3226">
        <v>56.566488545146001</v>
      </c>
      <c r="P3226">
        <v>-1.87237148204186E-2</v>
      </c>
      <c r="Q3226">
        <v>0.29922008601739503</v>
      </c>
      <c r="R3226">
        <v>0.96643436541752303</v>
      </c>
      <c r="S3226" t="s">
        <v>9537</v>
      </c>
      <c r="T3226" t="s">
        <v>12620</v>
      </c>
      <c r="U3226" t="s">
        <v>12620</v>
      </c>
      <c r="V3226" t="s">
        <v>12620</v>
      </c>
      <c r="W3226" t="s">
        <v>15800</v>
      </c>
      <c r="X3226">
        <v>5</v>
      </c>
      <c r="Y3226" t="s">
        <v>21946</v>
      </c>
      <c r="Z3226" t="s">
        <v>28173</v>
      </c>
      <c r="AA3226">
        <v>0.77556315005380616</v>
      </c>
      <c r="AB3226" t="str">
        <f>HYPERLINK("Melting_Curves/meltCurve_Q15788_2_NCOA1.pdf", "Melting_Curves/meltCurve_Q15788_2_NCOA1.pdf")</f>
        <v>Melting_Curves/meltCurve_Q15788_2_NCOA1.pdf</v>
      </c>
    </row>
    <row r="3227" spans="1:28" x14ac:dyDescent="0.25">
      <c r="A3227" t="s">
        <v>3231</v>
      </c>
      <c r="B3227">
        <v>0.99987803227770999</v>
      </c>
      <c r="C3227">
        <v>0.93861054257259502</v>
      </c>
      <c r="D3227">
        <v>0.97044484688199595</v>
      </c>
      <c r="E3227">
        <v>0.64196129723657203</v>
      </c>
      <c r="F3227">
        <v>0.24449815120995</v>
      </c>
      <c r="G3227">
        <v>0.13503883622098101</v>
      </c>
      <c r="H3227">
        <v>9.3131375431092303E-2</v>
      </c>
      <c r="I3227">
        <v>7.7828720402433799E-2</v>
      </c>
      <c r="J3227">
        <v>6.7215142295707797E-2</v>
      </c>
      <c r="K3227">
        <v>5.0653251494765697E-2</v>
      </c>
      <c r="L3227">
        <v>1616.7676928784799</v>
      </c>
      <c r="M3227">
        <v>31.904167003240001</v>
      </c>
      <c r="N3227">
        <v>50.940129547917302</v>
      </c>
      <c r="O3227">
        <v>50.477917967365102</v>
      </c>
      <c r="P3227">
        <v>-0.145955360517425</v>
      </c>
      <c r="Q3227">
        <v>7.6298316778352707E-2</v>
      </c>
      <c r="R3227">
        <v>0.99634097423810797</v>
      </c>
      <c r="S3227" t="s">
        <v>9538</v>
      </c>
      <c r="T3227" t="s">
        <v>12620</v>
      </c>
      <c r="U3227" t="s">
        <v>12620</v>
      </c>
      <c r="V3227" t="s">
        <v>12620</v>
      </c>
      <c r="W3227" t="s">
        <v>15801</v>
      </c>
      <c r="X3227">
        <v>20</v>
      </c>
      <c r="Y3227" t="s">
        <v>21947</v>
      </c>
      <c r="Z3227" t="s">
        <v>28174</v>
      </c>
      <c r="AA3227">
        <v>0.41010957008082749</v>
      </c>
      <c r="AB3227" t="str">
        <f>HYPERLINK("Melting_Curves/meltCurve_Q15796_2_SMAD2.pdf", "Melting_Curves/meltCurve_Q15796_2_SMAD2.pdf")</f>
        <v>Melting_Curves/meltCurve_Q15796_2_SMAD2.pdf</v>
      </c>
    </row>
    <row r="3228" spans="1:28" x14ac:dyDescent="0.25">
      <c r="A3228" t="s">
        <v>3232</v>
      </c>
      <c r="B3228">
        <v>0.99987803227770999</v>
      </c>
      <c r="C3228">
        <v>0.87330363371228004</v>
      </c>
      <c r="D3228">
        <v>0.97374225854684904</v>
      </c>
      <c r="E3228">
        <v>0.89044330882326606</v>
      </c>
      <c r="F3228">
        <v>0.96856966120245302</v>
      </c>
      <c r="G3228">
        <v>0.52931224884213701</v>
      </c>
      <c r="H3228">
        <v>0.25594809406269298</v>
      </c>
      <c r="I3228">
        <v>0.22163761054043299</v>
      </c>
      <c r="J3228">
        <v>0.15004397054685201</v>
      </c>
      <c r="K3228">
        <v>9.8468526143405205E-2</v>
      </c>
      <c r="L3228">
        <v>1609.4132813604899</v>
      </c>
      <c r="M3228">
        <v>28.2889681944302</v>
      </c>
      <c r="N3228">
        <v>57.547211609852098</v>
      </c>
      <c r="O3228">
        <v>56.609886343812803</v>
      </c>
      <c r="P3228">
        <v>-0.107727634674271</v>
      </c>
      <c r="Q3228">
        <v>0.13769934728806901</v>
      </c>
      <c r="R3228">
        <v>0.97381892926176905</v>
      </c>
      <c r="S3228" t="s">
        <v>9539</v>
      </c>
      <c r="T3228" t="s">
        <v>12620</v>
      </c>
      <c r="U3228" t="s">
        <v>12620</v>
      </c>
      <c r="V3228" t="s">
        <v>12620</v>
      </c>
      <c r="W3228" t="s">
        <v>15802</v>
      </c>
      <c r="X3228">
        <v>11</v>
      </c>
      <c r="Y3228" t="s">
        <v>21948</v>
      </c>
      <c r="Z3228" t="s">
        <v>28175</v>
      </c>
      <c r="AA3228">
        <v>0.62959198833544572</v>
      </c>
      <c r="AB3228" t="str">
        <f>HYPERLINK("Melting_Curves/meltCurve_Q15814_TBCC.pdf", "Melting_Curves/meltCurve_Q15814_TBCC.pdf")</f>
        <v>Melting_Curves/meltCurve_Q15814_TBCC.pdf</v>
      </c>
    </row>
    <row r="3229" spans="1:28" x14ac:dyDescent="0.25">
      <c r="A3229" t="s">
        <v>3233</v>
      </c>
      <c r="B3229">
        <v>0.99987803227770999</v>
      </c>
      <c r="C3229">
        <v>0.98131338414665503</v>
      </c>
      <c r="D3229">
        <v>0.95235341366444604</v>
      </c>
      <c r="E3229">
        <v>0.89187585138265901</v>
      </c>
      <c r="F3229">
        <v>0.96497920895303702</v>
      </c>
      <c r="G3229">
        <v>0.81585164560716095</v>
      </c>
      <c r="H3229">
        <v>0.66945522124684298</v>
      </c>
      <c r="I3229">
        <v>0.40036156870378697</v>
      </c>
      <c r="J3229">
        <v>0.27753219540543</v>
      </c>
      <c r="K3229">
        <v>0.20428765808461599</v>
      </c>
      <c r="L3229">
        <v>934.34510385450699</v>
      </c>
      <c r="M3229">
        <v>14.8417324613569</v>
      </c>
      <c r="N3229">
        <v>62.976021703851202</v>
      </c>
      <c r="O3229">
        <v>61.8441690787133</v>
      </c>
      <c r="P3229">
        <v>-5.98468816359045E-2</v>
      </c>
      <c r="Q3229">
        <v>2.5986716129761198E-3</v>
      </c>
      <c r="R3229">
        <v>0.98229640991398204</v>
      </c>
      <c r="S3229" t="s">
        <v>9540</v>
      </c>
      <c r="T3229" t="s">
        <v>12620</v>
      </c>
      <c r="U3229" t="s">
        <v>12620</v>
      </c>
      <c r="V3229" t="s">
        <v>12620</v>
      </c>
      <c r="W3229" t="s">
        <v>15803</v>
      </c>
      <c r="X3229">
        <v>2</v>
      </c>
      <c r="Y3229" t="s">
        <v>21949</v>
      </c>
      <c r="Z3229" t="s">
        <v>28176</v>
      </c>
      <c r="AA3229">
        <v>0.75651615326115007</v>
      </c>
      <c r="AB3229" t="str">
        <f>HYPERLINK("Melting_Curves/meltCurve_Q15818_NPTX1.pdf", "Melting_Curves/meltCurve_Q15818_NPTX1.pdf")</f>
        <v>Melting_Curves/meltCurve_Q15818_NPTX1.pdf</v>
      </c>
    </row>
    <row r="3230" spans="1:28" x14ac:dyDescent="0.25">
      <c r="A3230" t="s">
        <v>3234</v>
      </c>
      <c r="B3230">
        <v>0.99987803227770999</v>
      </c>
      <c r="C3230">
        <v>0.83824860172027504</v>
      </c>
      <c r="D3230">
        <v>1.0191258241352501</v>
      </c>
      <c r="E3230">
        <v>0.851979644243816</v>
      </c>
      <c r="F3230">
        <v>1.08486103372197</v>
      </c>
      <c r="G3230">
        <v>0.66672865625655398</v>
      </c>
      <c r="H3230">
        <v>0.25820461557123298</v>
      </c>
      <c r="I3230">
        <v>0.135375042171865</v>
      </c>
      <c r="J3230">
        <v>7.6715922504197995E-2</v>
      </c>
      <c r="K3230">
        <v>5.7534026150052202E-2</v>
      </c>
      <c r="L3230">
        <v>1929.86099409537</v>
      </c>
      <c r="M3230">
        <v>33.132189419854399</v>
      </c>
      <c r="N3230">
        <v>58.521198280932197</v>
      </c>
      <c r="O3230">
        <v>58.036349403312897</v>
      </c>
      <c r="P3230">
        <v>-0.13247215715213601</v>
      </c>
      <c r="Q3230">
        <v>7.1819075619137807E-2</v>
      </c>
      <c r="R3230">
        <v>0.96037072189524697</v>
      </c>
      <c r="S3230" t="s">
        <v>9541</v>
      </c>
      <c r="T3230" t="s">
        <v>12620</v>
      </c>
      <c r="U3230" t="s">
        <v>12620</v>
      </c>
      <c r="V3230" t="s">
        <v>12620</v>
      </c>
      <c r="W3230" t="s">
        <v>15804</v>
      </c>
      <c r="X3230">
        <v>14</v>
      </c>
      <c r="Y3230" t="s">
        <v>21950</v>
      </c>
      <c r="Z3230" t="s">
        <v>28177</v>
      </c>
      <c r="AA3230">
        <v>0.64152465055418295</v>
      </c>
      <c r="AB3230" t="str">
        <f>HYPERLINK("Melting_Curves/meltCurve_Q15819_UBE2V2.pdf", "Melting_Curves/meltCurve_Q15819_UBE2V2.pdf")</f>
        <v>Melting_Curves/meltCurve_Q15819_UBE2V2.pdf</v>
      </c>
    </row>
    <row r="3231" spans="1:28" x14ac:dyDescent="0.25">
      <c r="A3231" t="s">
        <v>3235</v>
      </c>
      <c r="B3231">
        <v>0.99987803227770999</v>
      </c>
      <c r="C3231">
        <v>1.0555165526038299</v>
      </c>
      <c r="D3231">
        <v>0.98409261542289905</v>
      </c>
      <c r="E3231">
        <v>0.39367206798504401</v>
      </c>
      <c r="F3231">
        <v>0.16460298869176301</v>
      </c>
      <c r="G3231">
        <v>0.10596125266720401</v>
      </c>
      <c r="H3231">
        <v>6.8743854900411905E-2</v>
      </c>
      <c r="I3231">
        <v>5.4442836082372E-2</v>
      </c>
      <c r="J3231">
        <v>3.7571209859270899E-2</v>
      </c>
      <c r="K3231">
        <v>2.2841923111435999E-2</v>
      </c>
      <c r="L3231">
        <v>1964.6741527183301</v>
      </c>
      <c r="M3231">
        <v>39.811612583324198</v>
      </c>
      <c r="N3231">
        <v>49.517413462297498</v>
      </c>
      <c r="O3231">
        <v>49.225251138695498</v>
      </c>
      <c r="P3231">
        <v>-0.18940846642874201</v>
      </c>
      <c r="Q3231">
        <v>6.32221052187803E-2</v>
      </c>
      <c r="R3231">
        <v>0.99398812653254498</v>
      </c>
      <c r="S3231" t="s">
        <v>9542</v>
      </c>
      <c r="T3231" t="s">
        <v>12620</v>
      </c>
      <c r="U3231" t="s">
        <v>12620</v>
      </c>
      <c r="V3231" t="s">
        <v>12620</v>
      </c>
      <c r="W3231" t="s">
        <v>15805</v>
      </c>
      <c r="X3231">
        <v>14</v>
      </c>
      <c r="Y3231" t="s">
        <v>21951</v>
      </c>
      <c r="Z3231" t="s">
        <v>28178</v>
      </c>
      <c r="AA3231">
        <v>0.35839043510107133</v>
      </c>
      <c r="AB3231" t="str">
        <f>HYPERLINK("Melting_Curves/meltCurve_Q15833_STXBP2.pdf", "Melting_Curves/meltCurve_Q15833_STXBP2.pdf")</f>
        <v>Melting_Curves/meltCurve_Q15833_STXBP2.pdf</v>
      </c>
    </row>
    <row r="3232" spans="1:28" x14ac:dyDescent="0.25">
      <c r="A3232" t="s">
        <v>3236</v>
      </c>
      <c r="B3232">
        <v>0.99987803227770999</v>
      </c>
      <c r="C3232">
        <v>0.84130743430935595</v>
      </c>
      <c r="D3232">
        <v>1.0562464052946201</v>
      </c>
      <c r="E3232">
        <v>0.80733568421272905</v>
      </c>
      <c r="F3232">
        <v>0.94111404513387398</v>
      </c>
      <c r="G3232">
        <v>0.64221347102077497</v>
      </c>
      <c r="H3232">
        <v>0.84959546563064403</v>
      </c>
      <c r="I3232">
        <v>0.71790401991577901</v>
      </c>
      <c r="J3232">
        <v>0.86788265333266701</v>
      </c>
      <c r="K3232">
        <v>0.81979947239476503</v>
      </c>
      <c r="S3232" t="s">
        <v>9543</v>
      </c>
      <c r="T3232" t="s">
        <v>12620</v>
      </c>
      <c r="U3232" t="s">
        <v>12621</v>
      </c>
      <c r="V3232" t="s">
        <v>12620</v>
      </c>
      <c r="W3232" t="s">
        <v>15806</v>
      </c>
      <c r="X3232">
        <v>2</v>
      </c>
      <c r="Y3232" t="s">
        <v>21952</v>
      </c>
      <c r="Z3232" t="s">
        <v>28179</v>
      </c>
      <c r="AB3232" t="str">
        <f>HYPERLINK("Melting_Curves/meltCurve_Q15836_VAMP3.pdf", "Melting_Curves/meltCurve_Q15836_VAMP3.pdf")</f>
        <v>Melting_Curves/meltCurve_Q15836_VAMP3.pdf</v>
      </c>
    </row>
    <row r="3233" spans="1:28" x14ac:dyDescent="0.25">
      <c r="A3233" t="s">
        <v>3237</v>
      </c>
      <c r="B3233">
        <v>0.99987803227770999</v>
      </c>
      <c r="C3233">
        <v>1.0060178470641601</v>
      </c>
      <c r="D3233">
        <v>0.93349950640771595</v>
      </c>
      <c r="E3233">
        <v>0.86095385263597202</v>
      </c>
      <c r="F3233">
        <v>0.74305187233140602</v>
      </c>
      <c r="G3233">
        <v>0.54978366175943605</v>
      </c>
      <c r="H3233">
        <v>0.48028235759228299</v>
      </c>
      <c r="I3233">
        <v>0.41576908486175101</v>
      </c>
      <c r="J3233">
        <v>0.342377705521136</v>
      </c>
      <c r="K3233">
        <v>0.255987998133829</v>
      </c>
      <c r="L3233">
        <v>595.77079363876499</v>
      </c>
      <c r="M3233">
        <v>10.455873813553699</v>
      </c>
      <c r="N3233">
        <v>59.678003922675401</v>
      </c>
      <c r="O3233">
        <v>55.013583620505997</v>
      </c>
      <c r="P3233">
        <v>-3.85804756147533E-2</v>
      </c>
      <c r="Q3233">
        <v>0.188368076783022</v>
      </c>
      <c r="R3233">
        <v>0.99176621398411902</v>
      </c>
      <c r="S3233" t="s">
        <v>9544</v>
      </c>
      <c r="T3233" t="s">
        <v>12620</v>
      </c>
      <c r="U3233" t="s">
        <v>12620</v>
      </c>
      <c r="V3233" t="s">
        <v>12620</v>
      </c>
      <c r="W3233" t="s">
        <v>15807</v>
      </c>
      <c r="X3233">
        <v>2</v>
      </c>
      <c r="Y3233" t="s">
        <v>21953</v>
      </c>
      <c r="Z3233" t="s">
        <v>28180</v>
      </c>
      <c r="AA3233">
        <v>0.66099684749365628</v>
      </c>
      <c r="AB3233" t="str">
        <f>HYPERLINK("Melting_Curves/meltCurve_Q15853_2_USF2.pdf", "Melting_Curves/meltCurve_Q15853_2_USF2.pdf")</f>
        <v>Melting_Curves/meltCurve_Q15853_2_USF2.pdf</v>
      </c>
    </row>
    <row r="3234" spans="1:28" x14ac:dyDescent="0.25">
      <c r="A3234" t="s">
        <v>3238</v>
      </c>
      <c r="B3234">
        <v>0.99987803227770999</v>
      </c>
      <c r="C3234">
        <v>0.78976048494275997</v>
      </c>
      <c r="D3234">
        <v>0.86294407393597905</v>
      </c>
      <c r="E3234">
        <v>0.81067974314728097</v>
      </c>
      <c r="F3234">
        <v>0.79171464568130201</v>
      </c>
      <c r="G3234">
        <v>0.67570944350690498</v>
      </c>
      <c r="H3234">
        <v>0.53055726293609995</v>
      </c>
      <c r="I3234">
        <v>0.58479676487187504</v>
      </c>
      <c r="J3234">
        <v>0.46934771730462899</v>
      </c>
      <c r="K3234">
        <v>0.41281183968636698</v>
      </c>
      <c r="L3234">
        <v>284.207100763261</v>
      </c>
      <c r="M3234">
        <v>4.3169659698982503</v>
      </c>
      <c r="N3234">
        <v>65.834918067146006</v>
      </c>
      <c r="O3234">
        <v>55.307318568704297</v>
      </c>
      <c r="P3234">
        <v>-1.9709335721993598E-2</v>
      </c>
      <c r="Q3234">
        <v>0</v>
      </c>
      <c r="R3234">
        <v>0.91545622085851497</v>
      </c>
      <c r="S3234" t="s">
        <v>9545</v>
      </c>
      <c r="T3234" t="s">
        <v>12620</v>
      </c>
      <c r="U3234" t="s">
        <v>12620</v>
      </c>
      <c r="V3234" t="s">
        <v>12620</v>
      </c>
      <c r="W3234" t="s">
        <v>15808</v>
      </c>
      <c r="X3234">
        <v>2</v>
      </c>
      <c r="Y3234" t="s">
        <v>21954</v>
      </c>
      <c r="Z3234" t="s">
        <v>28181</v>
      </c>
      <c r="AA3234">
        <v>0.69775589464061738</v>
      </c>
      <c r="AB3234" t="str">
        <f>HYPERLINK("Melting_Curves/meltCurve_Q15906_VPS72.pdf", "Melting_Curves/meltCurve_Q15906_VPS72.pdf")</f>
        <v>Melting_Curves/meltCurve_Q15906_VPS72.pdf</v>
      </c>
    </row>
    <row r="3235" spans="1:28" x14ac:dyDescent="0.25">
      <c r="A3235" t="s">
        <v>3239</v>
      </c>
      <c r="B3235">
        <v>0.99987803227770999</v>
      </c>
      <c r="C3235">
        <v>0.99341424195636396</v>
      </c>
      <c r="D3235">
        <v>0.869324175752479</v>
      </c>
      <c r="E3235">
        <v>1.0102253920541999</v>
      </c>
      <c r="F3235">
        <v>0.92542613577649402</v>
      </c>
      <c r="G3235">
        <v>0.64114847617353898</v>
      </c>
      <c r="H3235">
        <v>0.301281302527174</v>
      </c>
      <c r="I3235">
        <v>0.207062540718781</v>
      </c>
      <c r="J3235">
        <v>0.12864333000063299</v>
      </c>
      <c r="K3235">
        <v>8.1561445727429793E-2</v>
      </c>
      <c r="L3235">
        <v>1361.3065762732999</v>
      </c>
      <c r="M3235">
        <v>23.414079559115599</v>
      </c>
      <c r="N3235">
        <v>58.600702347230602</v>
      </c>
      <c r="O3235">
        <v>57.721386774400202</v>
      </c>
      <c r="P3235">
        <v>-9.2895254315561004E-2</v>
      </c>
      <c r="Q3235">
        <v>8.3978629243869299E-2</v>
      </c>
      <c r="R3235">
        <v>0.98640937314064303</v>
      </c>
      <c r="S3235" t="s">
        <v>9546</v>
      </c>
      <c r="T3235" t="s">
        <v>12620</v>
      </c>
      <c r="U3235" t="s">
        <v>12620</v>
      </c>
      <c r="V3235" t="s">
        <v>12620</v>
      </c>
      <c r="W3235" t="s">
        <v>15809</v>
      </c>
      <c r="X3235">
        <v>14</v>
      </c>
      <c r="Y3235" t="s">
        <v>21955</v>
      </c>
      <c r="Z3235" t="s">
        <v>28182</v>
      </c>
      <c r="AA3235">
        <v>0.64650502643950913</v>
      </c>
      <c r="AB3235" t="str">
        <f>HYPERLINK("Melting_Curves/meltCurve_Q15907_RAB11B.pdf", "Melting_Curves/meltCurve_Q15907_RAB11B.pdf")</f>
        <v>Melting_Curves/meltCurve_Q15907_RAB11B.pdf</v>
      </c>
    </row>
    <row r="3236" spans="1:28" x14ac:dyDescent="0.25">
      <c r="A3236" t="s">
        <v>3240</v>
      </c>
      <c r="B3236">
        <v>0.99987803227770999</v>
      </c>
      <c r="C3236">
        <v>1.0294569808779599</v>
      </c>
      <c r="D3236">
        <v>0.67907171285818302</v>
      </c>
      <c r="E3236">
        <v>0.60048341813143602</v>
      </c>
      <c r="F3236">
        <v>0.37053996141891699</v>
      </c>
      <c r="G3236">
        <v>0.213152696188875</v>
      </c>
      <c r="H3236">
        <v>0.159251184449411</v>
      </c>
      <c r="I3236">
        <v>0.16272818502942801</v>
      </c>
      <c r="J3236">
        <v>0.215542615579603</v>
      </c>
      <c r="K3236">
        <v>0.289464465968929</v>
      </c>
      <c r="L3236">
        <v>837.24353373086399</v>
      </c>
      <c r="M3236">
        <v>17.104691456640001</v>
      </c>
      <c r="N3236">
        <v>50.366328057484402</v>
      </c>
      <c r="O3236">
        <v>48.293822761070103</v>
      </c>
      <c r="P3236">
        <v>-7.1627778676052301E-2</v>
      </c>
      <c r="Q3236">
        <v>0.191105956246192</v>
      </c>
      <c r="R3236">
        <v>0.95510772207394001</v>
      </c>
      <c r="S3236" t="s">
        <v>9547</v>
      </c>
      <c r="T3236" t="s">
        <v>12620</v>
      </c>
      <c r="U3236" t="s">
        <v>12620</v>
      </c>
      <c r="V3236" t="s">
        <v>12620</v>
      </c>
      <c r="W3236" t="s">
        <v>15810</v>
      </c>
      <c r="X3236">
        <v>3</v>
      </c>
      <c r="Y3236" t="s">
        <v>21956</v>
      </c>
      <c r="Z3236" t="s">
        <v>28183</v>
      </c>
      <c r="AA3236">
        <v>0.44789737486971781</v>
      </c>
      <c r="AB3236" t="str">
        <f>HYPERLINK("Melting_Curves/meltCurve_Q15910_EZH2.pdf", "Melting_Curves/meltCurve_Q15910_EZH2.pdf")</f>
        <v>Melting_Curves/meltCurve_Q15910_EZH2.pdf</v>
      </c>
    </row>
    <row r="3237" spans="1:28" x14ac:dyDescent="0.25">
      <c r="A3237" t="s">
        <v>3241</v>
      </c>
      <c r="B3237">
        <v>0.99987803227770999</v>
      </c>
      <c r="C3237">
        <v>0.89069584209188002</v>
      </c>
      <c r="D3237">
        <v>1.0077881778175899</v>
      </c>
      <c r="E3237">
        <v>0.88166973065517396</v>
      </c>
      <c r="F3237">
        <v>1.0932323868136</v>
      </c>
      <c r="G3237">
        <v>0.90659146085093401</v>
      </c>
      <c r="H3237">
        <v>1.0345464760632801</v>
      </c>
      <c r="I3237">
        <v>0.93995033530187699</v>
      </c>
      <c r="J3237">
        <v>1.0462259052271701</v>
      </c>
      <c r="K3237">
        <v>0.87345978082634701</v>
      </c>
      <c r="L3237">
        <v>6.0446010540457901E-5</v>
      </c>
      <c r="M3237">
        <v>1.5700995204960099E-3</v>
      </c>
      <c r="Q3237">
        <v>0.93485794516699405</v>
      </c>
      <c r="R3237">
        <v>-1.3338885551661399E-11</v>
      </c>
      <c r="S3237" t="s">
        <v>9548</v>
      </c>
      <c r="T3237" t="s">
        <v>12620</v>
      </c>
      <c r="U3237" t="s">
        <v>12620</v>
      </c>
      <c r="V3237" t="s">
        <v>12620</v>
      </c>
      <c r="W3237" t="s">
        <v>15811</v>
      </c>
      <c r="X3237">
        <v>28</v>
      </c>
      <c r="Y3237" t="s">
        <v>21957</v>
      </c>
      <c r="Z3237" t="s">
        <v>28184</v>
      </c>
      <c r="AA3237">
        <v>0.96740342107422805</v>
      </c>
      <c r="AB3237" t="str">
        <f>HYPERLINK("Melting_Curves/meltCurve_Q15942_ZYX.pdf", "Melting_Curves/meltCurve_Q15942_ZYX.pdf")</f>
        <v>Melting_Curves/meltCurve_Q15942_ZYX.pdf</v>
      </c>
    </row>
    <row r="3238" spans="1:28" x14ac:dyDescent="0.25">
      <c r="A3238" t="s">
        <v>3242</v>
      </c>
      <c r="B3238">
        <v>0.99987803227770999</v>
      </c>
      <c r="C3238">
        <v>0.83131018381584398</v>
      </c>
      <c r="D3238">
        <v>1.10128115496381</v>
      </c>
      <c r="E3238">
        <v>0.84861762233931204</v>
      </c>
      <c r="F3238">
        <v>1.1779358629336201</v>
      </c>
      <c r="G3238">
        <v>1.0591645828894101</v>
      </c>
      <c r="H3238">
        <v>1.0074316904546701</v>
      </c>
      <c r="I3238">
        <v>1.0756432818916299</v>
      </c>
      <c r="J3238">
        <v>0.85417934054217504</v>
      </c>
      <c r="K3238">
        <v>0.74763483989373003</v>
      </c>
      <c r="L3238">
        <v>15000</v>
      </c>
      <c r="M3238">
        <v>224.194066304757</v>
      </c>
      <c r="O3238">
        <v>66.901013825371706</v>
      </c>
      <c r="P3238">
        <v>-0.21144104355749099</v>
      </c>
      <c r="Q3238">
        <v>0.74761836078256805</v>
      </c>
      <c r="R3238">
        <v>0.42603193710257797</v>
      </c>
      <c r="S3238" t="s">
        <v>9549</v>
      </c>
      <c r="T3238" t="s">
        <v>12620</v>
      </c>
      <c r="U3238" t="s">
        <v>12620</v>
      </c>
      <c r="V3238" t="s">
        <v>12620</v>
      </c>
      <c r="W3238" t="s">
        <v>15812</v>
      </c>
      <c r="X3238">
        <v>1</v>
      </c>
      <c r="Y3238" t="s">
        <v>21958</v>
      </c>
      <c r="Z3238" t="s">
        <v>28185</v>
      </c>
      <c r="AA3238">
        <v>0.97401044782589541</v>
      </c>
      <c r="AB3238" t="str">
        <f>HYPERLINK("Melting_Curves/meltCurve_Q16143_SNCB.pdf", "Melting_Curves/meltCurve_Q16143_SNCB.pdf")</f>
        <v>Melting_Curves/meltCurve_Q16143_SNCB.pdf</v>
      </c>
    </row>
    <row r="3239" spans="1:28" x14ac:dyDescent="0.25">
      <c r="A3239" t="s">
        <v>3243</v>
      </c>
      <c r="B3239">
        <v>0.99987803227770999</v>
      </c>
      <c r="C3239">
        <v>1.0434907420364401</v>
      </c>
      <c r="D3239">
        <v>0.90177548530883</v>
      </c>
      <c r="E3239">
        <v>1.3766509912826099</v>
      </c>
      <c r="F3239">
        <v>0.73828011072137301</v>
      </c>
      <c r="G3239">
        <v>0.37626211814641303</v>
      </c>
      <c r="H3239">
        <v>0.16038943991606999</v>
      </c>
      <c r="I3239">
        <v>0.132062626648209</v>
      </c>
      <c r="J3239">
        <v>0.1024630163024</v>
      </c>
      <c r="K3239">
        <v>7.4401787738214306E-2</v>
      </c>
      <c r="L3239">
        <v>1949.1132341433399</v>
      </c>
      <c r="M3239">
        <v>35.214852268835898</v>
      </c>
      <c r="N3239">
        <v>55.740908541984297</v>
      </c>
      <c r="O3239">
        <v>55.171600434356797</v>
      </c>
      <c r="P3239">
        <v>-0.14207872701281099</v>
      </c>
      <c r="Q3239">
        <v>0.109616149507378</v>
      </c>
      <c r="R3239">
        <v>0.91087300674004001</v>
      </c>
      <c r="S3239" t="s">
        <v>9550</v>
      </c>
      <c r="T3239" t="s">
        <v>12620</v>
      </c>
      <c r="U3239" t="s">
        <v>12620</v>
      </c>
      <c r="V3239" t="s">
        <v>12620</v>
      </c>
      <c r="W3239" t="s">
        <v>15813</v>
      </c>
      <c r="X3239">
        <v>30</v>
      </c>
      <c r="Y3239" t="s">
        <v>21959</v>
      </c>
      <c r="Z3239" t="s">
        <v>28186</v>
      </c>
      <c r="AA3239">
        <v>0.56952875624011079</v>
      </c>
      <c r="AB3239" t="str">
        <f>HYPERLINK("Melting_Curves/meltCurve_Q16181_SEPT7.pdf", "Melting_Curves/meltCurve_Q16181_SEPT7.pdf")</f>
        <v>Melting_Curves/meltCurve_Q16181_SEPT7.pdf</v>
      </c>
    </row>
    <row r="3240" spans="1:28" x14ac:dyDescent="0.25">
      <c r="A3240" t="s">
        <v>3244</v>
      </c>
      <c r="B3240">
        <v>0.99987803227770999</v>
      </c>
      <c r="C3240">
        <v>0.788649282855022</v>
      </c>
      <c r="D3240">
        <v>0.81017347082637503</v>
      </c>
      <c r="E3240">
        <v>0.89134133556024897</v>
      </c>
      <c r="F3240">
        <v>0.73094139499175603</v>
      </c>
      <c r="G3240">
        <v>0.58952701065066404</v>
      </c>
      <c r="H3240">
        <v>0.49133429243847099</v>
      </c>
      <c r="I3240">
        <v>0.46649887177418897</v>
      </c>
      <c r="J3240">
        <v>0.46580238950098102</v>
      </c>
      <c r="K3240">
        <v>0.36725741534936002</v>
      </c>
      <c r="L3240">
        <v>303.194486340693</v>
      </c>
      <c r="M3240">
        <v>4.8302597441404904</v>
      </c>
      <c r="N3240">
        <v>62.769811036126299</v>
      </c>
      <c r="O3240">
        <v>54.332424899005296</v>
      </c>
      <c r="P3240">
        <v>-2.2378696322879699E-2</v>
      </c>
      <c r="Q3240">
        <v>0</v>
      </c>
      <c r="R3240">
        <v>0.90779682746777302</v>
      </c>
      <c r="S3240" t="s">
        <v>9551</v>
      </c>
      <c r="T3240" t="s">
        <v>12620</v>
      </c>
      <c r="U3240" t="s">
        <v>12620</v>
      </c>
      <c r="V3240" t="s">
        <v>12620</v>
      </c>
      <c r="W3240" t="s">
        <v>15814</v>
      </c>
      <c r="X3240">
        <v>8</v>
      </c>
      <c r="Y3240" t="s">
        <v>21960</v>
      </c>
      <c r="Z3240" t="s">
        <v>28187</v>
      </c>
      <c r="AA3240">
        <v>0.66401169360064283</v>
      </c>
      <c r="AB3240" t="str">
        <f>HYPERLINK("Melting_Curves/meltCurve_Q16186_ADRM1.pdf", "Melting_Curves/meltCurve_Q16186_ADRM1.pdf")</f>
        <v>Melting_Curves/meltCurve_Q16186_ADRM1.pdf</v>
      </c>
    </row>
    <row r="3241" spans="1:28" x14ac:dyDescent="0.25">
      <c r="A3241" t="s">
        <v>3245</v>
      </c>
      <c r="B3241">
        <v>0.99987803227770999</v>
      </c>
      <c r="C3241">
        <v>1.0826147377659301</v>
      </c>
      <c r="D3241">
        <v>1.0124139193358901</v>
      </c>
      <c r="E3241">
        <v>1.1628862533934901</v>
      </c>
      <c r="F3241">
        <v>0.96295735317078301</v>
      </c>
      <c r="G3241">
        <v>0.781307386831955</v>
      </c>
      <c r="H3241">
        <v>0.66121743549887801</v>
      </c>
      <c r="I3241">
        <v>0.58139484412297404</v>
      </c>
      <c r="J3241">
        <v>0.42728905877219497</v>
      </c>
      <c r="K3241">
        <v>0.32754056864317099</v>
      </c>
      <c r="L3241">
        <v>963.45671513024104</v>
      </c>
      <c r="M3241">
        <v>15.484327972211201</v>
      </c>
      <c r="N3241">
        <v>64.825204826839695</v>
      </c>
      <c r="O3241">
        <v>61.211348551023498</v>
      </c>
      <c r="P3241">
        <v>-4.8601976472077202E-2</v>
      </c>
      <c r="Q3241">
        <v>0.231551645021983</v>
      </c>
      <c r="R3241">
        <v>0.93715794803170205</v>
      </c>
      <c r="S3241" t="s">
        <v>9552</v>
      </c>
      <c r="T3241" t="s">
        <v>12620</v>
      </c>
      <c r="U3241" t="s">
        <v>12620</v>
      </c>
      <c r="V3241" t="s">
        <v>12620</v>
      </c>
      <c r="W3241" t="s">
        <v>15815</v>
      </c>
      <c r="X3241">
        <v>26</v>
      </c>
      <c r="Y3241" t="s">
        <v>21961</v>
      </c>
      <c r="Z3241" t="s">
        <v>28188</v>
      </c>
      <c r="AA3241">
        <v>0.79833241960003376</v>
      </c>
      <c r="AB3241" t="str">
        <f>HYPERLINK("Melting_Curves/meltCurve_Q16204_CCDC6.pdf", "Melting_Curves/meltCurve_Q16204_CCDC6.pdf")</f>
        <v>Melting_Curves/meltCurve_Q16204_CCDC6.pdf</v>
      </c>
    </row>
    <row r="3242" spans="1:28" x14ac:dyDescent="0.25">
      <c r="A3242" t="s">
        <v>3246</v>
      </c>
      <c r="B3242">
        <v>0.99987803227770999</v>
      </c>
      <c r="C3242">
        <v>0.99782602541260601</v>
      </c>
      <c r="D3242">
        <v>1.04966097660389</v>
      </c>
      <c r="E3242">
        <v>0.757102500156418</v>
      </c>
      <c r="F3242">
        <v>0.44053594023635301</v>
      </c>
      <c r="G3242">
        <v>0.31714313293565499</v>
      </c>
      <c r="H3242">
        <v>0.26183253725269701</v>
      </c>
      <c r="I3242">
        <v>0.221138294500691</v>
      </c>
      <c r="J3242">
        <v>0.21069337468205099</v>
      </c>
      <c r="K3242">
        <v>0.165140578301747</v>
      </c>
      <c r="L3242">
        <v>1482.1746195339499</v>
      </c>
      <c r="M3242">
        <v>28.796901600910999</v>
      </c>
      <c r="N3242">
        <v>52.531773236487098</v>
      </c>
      <c r="O3242">
        <v>51.223642631794398</v>
      </c>
      <c r="P3242">
        <v>-0.10953696060524599</v>
      </c>
      <c r="Q3242">
        <v>0.22063294333265801</v>
      </c>
      <c r="R3242">
        <v>0.98943911685664399</v>
      </c>
      <c r="S3242" t="s">
        <v>9553</v>
      </c>
      <c r="T3242" t="s">
        <v>12620</v>
      </c>
      <c r="U3242" t="s">
        <v>12620</v>
      </c>
      <c r="V3242" t="s">
        <v>12620</v>
      </c>
      <c r="W3242" t="s">
        <v>15816</v>
      </c>
      <c r="X3242">
        <v>10</v>
      </c>
      <c r="Y3242" t="s">
        <v>21962</v>
      </c>
      <c r="Z3242" t="s">
        <v>28189</v>
      </c>
      <c r="AA3242">
        <v>0.52396615017484616</v>
      </c>
      <c r="AB3242" t="str">
        <f>HYPERLINK("Melting_Curves/meltCurve_Q16222_2_UAP1.pdf", "Melting_Curves/meltCurve_Q16222_2_UAP1.pdf")</f>
        <v>Melting_Curves/meltCurve_Q16222_2_UAP1.pdf</v>
      </c>
    </row>
    <row r="3243" spans="1:28" x14ac:dyDescent="0.25">
      <c r="A3243" t="s">
        <v>3247</v>
      </c>
      <c r="B3243">
        <v>0.99987803227770999</v>
      </c>
      <c r="C3243">
        <v>1.0823865412278999</v>
      </c>
      <c r="D3243">
        <v>1.0175561141664</v>
      </c>
      <c r="E3243">
        <v>1.00887953025466</v>
      </c>
      <c r="F3243">
        <v>0.83028755825636702</v>
      </c>
      <c r="G3243">
        <v>0.50128841365218602</v>
      </c>
      <c r="H3243">
        <v>0.34000967559705098</v>
      </c>
      <c r="I3243">
        <v>0.30346104659263401</v>
      </c>
      <c r="J3243">
        <v>0.29026950338445301</v>
      </c>
      <c r="K3243">
        <v>0.23123452684893001</v>
      </c>
      <c r="L3243">
        <v>1538.30929558448</v>
      </c>
      <c r="M3243">
        <v>27.722138286073601</v>
      </c>
      <c r="N3243">
        <v>57.083753667840398</v>
      </c>
      <c r="O3243">
        <v>55.203931856113599</v>
      </c>
      <c r="P3243">
        <v>-9.17254453008534E-2</v>
      </c>
      <c r="Q3243">
        <v>0.26938372207025102</v>
      </c>
      <c r="R3243">
        <v>0.98993097436792798</v>
      </c>
      <c r="S3243" t="s">
        <v>9554</v>
      </c>
      <c r="T3243" t="s">
        <v>12620</v>
      </c>
      <c r="U3243" t="s">
        <v>12620</v>
      </c>
      <c r="V3243" t="s">
        <v>12620</v>
      </c>
      <c r="W3243" t="s">
        <v>15817</v>
      </c>
      <c r="X3243">
        <v>4</v>
      </c>
      <c r="Y3243" t="s">
        <v>21963</v>
      </c>
      <c r="Z3243" t="s">
        <v>28190</v>
      </c>
      <c r="AA3243">
        <v>0.65225257665494596</v>
      </c>
      <c r="AB3243" t="str">
        <f>HYPERLINK("Melting_Curves/meltCurve_Q16254_E2F4.pdf", "Melting_Curves/meltCurve_Q16254_E2F4.pdf")</f>
        <v>Melting_Curves/meltCurve_Q16254_E2F4.pdf</v>
      </c>
    </row>
    <row r="3244" spans="1:28" x14ac:dyDescent="0.25">
      <c r="A3244" t="s">
        <v>3248</v>
      </c>
      <c r="B3244">
        <v>0.99987803227770999</v>
      </c>
      <c r="C3244">
        <v>0.84663782131945597</v>
      </c>
      <c r="D3244">
        <v>0.95518338868094199</v>
      </c>
      <c r="E3244">
        <v>0.81277130950541698</v>
      </c>
      <c r="F3244">
        <v>1.01654623962082</v>
      </c>
      <c r="G3244">
        <v>0.79592300867080301</v>
      </c>
      <c r="H3244">
        <v>0.70414020354407003</v>
      </c>
      <c r="I3244">
        <v>0.62432107112410495</v>
      </c>
      <c r="J3244">
        <v>0.64157184819552304</v>
      </c>
      <c r="K3244">
        <v>0.53258464635299796</v>
      </c>
      <c r="L3244">
        <v>354.78365531371901</v>
      </c>
      <c r="M3244">
        <v>4.86683402542159</v>
      </c>
      <c r="O3244">
        <v>63.2158274587158</v>
      </c>
      <c r="P3244">
        <v>-1.9376221923115E-2</v>
      </c>
      <c r="Q3244">
        <v>0</v>
      </c>
      <c r="R3244">
        <v>0.79691197925218904</v>
      </c>
      <c r="S3244" t="s">
        <v>9555</v>
      </c>
      <c r="T3244" t="s">
        <v>12620</v>
      </c>
      <c r="U3244" t="s">
        <v>12620</v>
      </c>
      <c r="V3244" t="s">
        <v>12620</v>
      </c>
      <c r="W3244" t="s">
        <v>15818</v>
      </c>
      <c r="X3244">
        <v>7</v>
      </c>
      <c r="Y3244" t="s">
        <v>21964</v>
      </c>
      <c r="Z3244" t="s">
        <v>28191</v>
      </c>
      <c r="AA3244">
        <v>0.80693597718120358</v>
      </c>
      <c r="AB3244" t="str">
        <f>HYPERLINK("Melting_Curves/meltCurve_Q16270_2_IGFBP7.pdf", "Melting_Curves/meltCurve_Q16270_2_IGFBP7.pdf")</f>
        <v>Melting_Curves/meltCurve_Q16270_2_IGFBP7.pdf</v>
      </c>
    </row>
    <row r="3245" spans="1:28" x14ac:dyDescent="0.25">
      <c r="A3245" t="s">
        <v>3249</v>
      </c>
      <c r="B3245">
        <v>0.99987803227770999</v>
      </c>
      <c r="C3245">
        <v>1.0800589367528699</v>
      </c>
      <c r="D3245">
        <v>0.88884448889575496</v>
      </c>
      <c r="E3245">
        <v>1.11369184488441</v>
      </c>
      <c r="F3245">
        <v>0.95977125956111897</v>
      </c>
      <c r="G3245">
        <v>0.77398729903451102</v>
      </c>
      <c r="H3245">
        <v>0.188065789140407</v>
      </c>
      <c r="I3245">
        <v>0.17703054774889901</v>
      </c>
      <c r="J3245">
        <v>0.122346403859772</v>
      </c>
      <c r="K3245">
        <v>8.8034297951703894E-2</v>
      </c>
      <c r="L3245">
        <v>2926.8491562732102</v>
      </c>
      <c r="M3245">
        <v>50.311374167938503</v>
      </c>
      <c r="N3245">
        <v>58.500547950001099</v>
      </c>
      <c r="O3245">
        <v>58.083021277390301</v>
      </c>
      <c r="P3245">
        <v>-0.19008873315432401</v>
      </c>
      <c r="Q3245">
        <v>0.12219317281445</v>
      </c>
      <c r="R3245">
        <v>0.97888687199856705</v>
      </c>
      <c r="S3245" t="s">
        <v>9556</v>
      </c>
      <c r="T3245" t="s">
        <v>12620</v>
      </c>
      <c r="U3245" t="s">
        <v>12620</v>
      </c>
      <c r="V3245" t="s">
        <v>12620</v>
      </c>
      <c r="W3245" t="s">
        <v>15819</v>
      </c>
      <c r="X3245">
        <v>22</v>
      </c>
      <c r="Y3245" t="s">
        <v>21965</v>
      </c>
      <c r="Z3245" t="s">
        <v>28192</v>
      </c>
      <c r="AA3245">
        <v>0.65620317601391975</v>
      </c>
      <c r="AB3245" t="str">
        <f>HYPERLINK("Melting_Curves/meltCurve_Q16401_2_PSMD5.pdf", "Melting_Curves/meltCurve_Q16401_2_PSMD5.pdf")</f>
        <v>Melting_Curves/meltCurve_Q16401_2_PSMD5.pdf</v>
      </c>
    </row>
    <row r="3246" spans="1:28" x14ac:dyDescent="0.25">
      <c r="A3246" t="s">
        <v>3250</v>
      </c>
      <c r="B3246">
        <v>0.99987803227770999</v>
      </c>
      <c r="C3246">
        <v>1.03489881108848</v>
      </c>
      <c r="D3246">
        <v>0.99255928283862305</v>
      </c>
      <c r="E3246">
        <v>0.72103126308559495</v>
      </c>
      <c r="F3246">
        <v>0.251200036113012</v>
      </c>
      <c r="G3246">
        <v>0.176151173051248</v>
      </c>
      <c r="H3246">
        <v>0.142031280531868</v>
      </c>
      <c r="I3246">
        <v>0.12196602853951601</v>
      </c>
      <c r="J3246">
        <v>0.10358830919478799</v>
      </c>
      <c r="K3246">
        <v>7.5966021690260496E-2</v>
      </c>
      <c r="L3246">
        <v>2148.1632350456898</v>
      </c>
      <c r="M3246">
        <v>42.208582402896504</v>
      </c>
      <c r="N3246">
        <v>51.228904868067403</v>
      </c>
      <c r="O3246">
        <v>50.7801692266438</v>
      </c>
      <c r="P3246">
        <v>-0.18274543066458701</v>
      </c>
      <c r="Q3246">
        <v>0.120574613391984</v>
      </c>
      <c r="R3246">
        <v>0.99612720855779602</v>
      </c>
      <c r="S3246" t="s">
        <v>9557</v>
      </c>
      <c r="T3246" t="s">
        <v>12620</v>
      </c>
      <c r="U3246" t="s">
        <v>12620</v>
      </c>
      <c r="V3246" t="s">
        <v>12620</v>
      </c>
      <c r="W3246" t="s">
        <v>15820</v>
      </c>
      <c r="X3246">
        <v>14</v>
      </c>
      <c r="Y3246" t="s">
        <v>21966</v>
      </c>
      <c r="Z3246" t="s">
        <v>28193</v>
      </c>
      <c r="AA3246">
        <v>0.44269929129814639</v>
      </c>
      <c r="AB3246" t="str">
        <f>HYPERLINK("Melting_Curves/meltCurve_Q16512_PKN1.pdf", "Melting_Curves/meltCurve_Q16512_PKN1.pdf")</f>
        <v>Melting_Curves/meltCurve_Q16512_PKN1.pdf</v>
      </c>
    </row>
    <row r="3247" spans="1:28" x14ac:dyDescent="0.25">
      <c r="A3247" t="s">
        <v>3251</v>
      </c>
      <c r="B3247">
        <v>0.99987803227770999</v>
      </c>
      <c r="C3247">
        <v>1.0971292388316201</v>
      </c>
      <c r="D3247">
        <v>0.91059115445155403</v>
      </c>
      <c r="E3247">
        <v>0.606822269472168</v>
      </c>
      <c r="F3247">
        <v>0.27813307561628797</v>
      </c>
      <c r="G3247">
        <v>0.202573819195458</v>
      </c>
      <c r="H3247">
        <v>0.157635093170679</v>
      </c>
      <c r="I3247">
        <v>0.143725499975914</v>
      </c>
      <c r="J3247">
        <v>0.103531068652746</v>
      </c>
      <c r="K3247">
        <v>7.7493088297904994E-2</v>
      </c>
      <c r="L3247">
        <v>1348.0630149032099</v>
      </c>
      <c r="M3247">
        <v>26.802588161873899</v>
      </c>
      <c r="N3247">
        <v>50.836478283369701</v>
      </c>
      <c r="O3247">
        <v>50.018526175386199</v>
      </c>
      <c r="P3247">
        <v>-0.11735622078267</v>
      </c>
      <c r="Q3247">
        <v>0.123976446629675</v>
      </c>
      <c r="R3247">
        <v>0.98801625620723299</v>
      </c>
      <c r="S3247" t="s">
        <v>9558</v>
      </c>
      <c r="T3247" t="s">
        <v>12620</v>
      </c>
      <c r="U3247" t="s">
        <v>12620</v>
      </c>
      <c r="V3247" t="s">
        <v>12620</v>
      </c>
      <c r="W3247" t="s">
        <v>15821</v>
      </c>
      <c r="X3247">
        <v>20</v>
      </c>
      <c r="Y3247" t="s">
        <v>21967</v>
      </c>
      <c r="Z3247" t="s">
        <v>28194</v>
      </c>
      <c r="AA3247">
        <v>0.4314591212765656</v>
      </c>
      <c r="AB3247" t="str">
        <f>HYPERLINK("Melting_Curves/meltCurve_Q16513_PKN2.pdf", "Melting_Curves/meltCurve_Q16513_PKN2.pdf")</f>
        <v>Melting_Curves/meltCurve_Q16513_PKN2.pdf</v>
      </c>
    </row>
    <row r="3248" spans="1:28" x14ac:dyDescent="0.25">
      <c r="A3248" t="s">
        <v>3252</v>
      </c>
      <c r="B3248">
        <v>0.99987803227770999</v>
      </c>
      <c r="C3248">
        <v>0.99187907403560305</v>
      </c>
      <c r="D3248">
        <v>0.95906596418668799</v>
      </c>
      <c r="E3248">
        <v>0.90213903927363603</v>
      </c>
      <c r="F3248">
        <v>0.71999597892724299</v>
      </c>
      <c r="G3248">
        <v>0.60286171890076501</v>
      </c>
      <c r="H3248">
        <v>0.47273258619150199</v>
      </c>
      <c r="I3248">
        <v>0.40621292361023797</v>
      </c>
      <c r="J3248">
        <v>0.31619162759390501</v>
      </c>
      <c r="K3248">
        <v>0.219113491386981</v>
      </c>
      <c r="L3248">
        <v>571.350151242734</v>
      </c>
      <c r="M3248">
        <v>9.6973908330151595</v>
      </c>
      <c r="N3248">
        <v>60.085998174900602</v>
      </c>
      <c r="O3248">
        <v>56.576140831787903</v>
      </c>
      <c r="P3248">
        <v>-3.9191277415159501E-2</v>
      </c>
      <c r="Q3248">
        <v>8.5906960384644196E-2</v>
      </c>
      <c r="R3248">
        <v>0.991510052860615</v>
      </c>
      <c r="S3248" t="s">
        <v>9559</v>
      </c>
      <c r="T3248" t="s">
        <v>12620</v>
      </c>
      <c r="U3248" t="s">
        <v>12620</v>
      </c>
      <c r="V3248" t="s">
        <v>12620</v>
      </c>
      <c r="W3248" t="s">
        <v>15822</v>
      </c>
      <c r="X3248">
        <v>4</v>
      </c>
      <c r="Y3248" t="s">
        <v>21968</v>
      </c>
      <c r="Z3248" t="s">
        <v>28195</v>
      </c>
      <c r="AA3248">
        <v>0.66500871027724229</v>
      </c>
      <c r="AB3248" t="str">
        <f>HYPERLINK("Melting_Curves/meltCurve_Q16526_CRY1.pdf", "Melting_Curves/meltCurve_Q16526_CRY1.pdf")</f>
        <v>Melting_Curves/meltCurve_Q16526_CRY1.pdf</v>
      </c>
    </row>
    <row r="3249" spans="1:28" x14ac:dyDescent="0.25">
      <c r="A3249" t="s">
        <v>3253</v>
      </c>
      <c r="B3249">
        <v>0.99987803227770999</v>
      </c>
      <c r="C3249">
        <v>0.77495859355406205</v>
      </c>
      <c r="D3249">
        <v>1.0153317076286701</v>
      </c>
      <c r="E3249">
        <v>0.85627825177160499</v>
      </c>
      <c r="F3249">
        <v>1.15034257391598</v>
      </c>
      <c r="G3249">
        <v>0.88987834371427899</v>
      </c>
      <c r="H3249">
        <v>0.93527198596329897</v>
      </c>
      <c r="I3249">
        <v>0.868767572904104</v>
      </c>
      <c r="J3249">
        <v>0.94205783951573197</v>
      </c>
      <c r="K3249">
        <v>0.79937963418900704</v>
      </c>
      <c r="L3249">
        <v>152.31777305337101</v>
      </c>
      <c r="M3249">
        <v>0.214687234912734</v>
      </c>
      <c r="O3249">
        <v>61.692056095340597</v>
      </c>
      <c r="P3249">
        <v>-3.44012463968807E-3</v>
      </c>
      <c r="Q3249">
        <v>0</v>
      </c>
      <c r="R3249">
        <v>5.2781963888601999E-2</v>
      </c>
      <c r="S3249" t="s">
        <v>9560</v>
      </c>
      <c r="T3249" t="s">
        <v>12620</v>
      </c>
      <c r="U3249" t="s">
        <v>12620</v>
      </c>
      <c r="V3249" t="s">
        <v>12620</v>
      </c>
      <c r="W3249" t="s">
        <v>15823</v>
      </c>
      <c r="X3249">
        <v>10</v>
      </c>
      <c r="Y3249" t="s">
        <v>21969</v>
      </c>
      <c r="Z3249" t="s">
        <v>28196</v>
      </c>
      <c r="AA3249">
        <v>0.92696062462701501</v>
      </c>
      <c r="AB3249" t="str">
        <f>HYPERLINK("Melting_Curves/meltCurve_Q16527_CSRP2.pdf", "Melting_Curves/meltCurve_Q16527_CSRP2.pdf")</f>
        <v>Melting_Curves/meltCurve_Q16527_CSRP2.pdf</v>
      </c>
    </row>
    <row r="3250" spans="1:28" x14ac:dyDescent="0.25">
      <c r="A3250" t="s">
        <v>3254</v>
      </c>
      <c r="B3250">
        <v>0.99987803227770999</v>
      </c>
      <c r="C3250">
        <v>1.12288827950051</v>
      </c>
      <c r="D3250">
        <v>0.96883364523751303</v>
      </c>
      <c r="E3250">
        <v>1.28880356121745</v>
      </c>
      <c r="F3250">
        <v>1.0752975867468999</v>
      </c>
      <c r="G3250">
        <v>1.3026815457607099</v>
      </c>
      <c r="H3250">
        <v>1.1998703523799701</v>
      </c>
      <c r="I3250">
        <v>0.42211112532698802</v>
      </c>
      <c r="J3250">
        <v>0.18443081096748401</v>
      </c>
      <c r="K3250">
        <v>0.10436780537682799</v>
      </c>
      <c r="L3250">
        <v>15000</v>
      </c>
      <c r="M3250">
        <v>235.10764510486999</v>
      </c>
      <c r="N3250">
        <v>63.893169361027901</v>
      </c>
      <c r="O3250">
        <v>63.795926093799501</v>
      </c>
      <c r="P3250">
        <v>-0.78829799339921203</v>
      </c>
      <c r="Q3250">
        <v>0.14438824348669699</v>
      </c>
      <c r="R3250">
        <v>0.87106789529522499</v>
      </c>
      <c r="S3250" t="s">
        <v>9561</v>
      </c>
      <c r="T3250" t="s">
        <v>12620</v>
      </c>
      <c r="U3250" t="s">
        <v>12620</v>
      </c>
      <c r="V3250" t="s">
        <v>12620</v>
      </c>
      <c r="W3250" t="s">
        <v>15824</v>
      </c>
      <c r="X3250">
        <v>52</v>
      </c>
      <c r="Y3250" t="s">
        <v>21970</v>
      </c>
      <c r="Z3250" t="s">
        <v>28197</v>
      </c>
      <c r="AA3250">
        <v>0.8232979385572905</v>
      </c>
      <c r="AB3250" t="str">
        <f>HYPERLINK("Melting_Curves/meltCurve_Q16531_DDB1.pdf", "Melting_Curves/meltCurve_Q16531_DDB1.pdf")</f>
        <v>Melting_Curves/meltCurve_Q16531_DDB1.pdf</v>
      </c>
    </row>
    <row r="3251" spans="1:28" x14ac:dyDescent="0.25">
      <c r="A3251" t="s">
        <v>3255</v>
      </c>
      <c r="B3251">
        <v>0.99987803227770999</v>
      </c>
      <c r="C3251">
        <v>0.91324949182651505</v>
      </c>
      <c r="D3251">
        <v>0.75795292073130605</v>
      </c>
      <c r="E3251">
        <v>0.28465513609646198</v>
      </c>
      <c r="F3251">
        <v>0.161908505648094</v>
      </c>
      <c r="G3251">
        <v>0.10191148694285899</v>
      </c>
      <c r="H3251">
        <v>6.7750102977543497E-2</v>
      </c>
      <c r="I3251">
        <v>5.8154117695228102E-2</v>
      </c>
      <c r="J3251">
        <v>5.2522563418004299E-2</v>
      </c>
      <c r="K3251">
        <v>3.7320592888675098E-2</v>
      </c>
      <c r="L3251">
        <v>1121.80032216174</v>
      </c>
      <c r="M3251">
        <v>23.443840146257301</v>
      </c>
      <c r="N3251">
        <v>48.100886638854703</v>
      </c>
      <c r="O3251">
        <v>47.506453821789599</v>
      </c>
      <c r="P3251">
        <v>-0.116288472296185</v>
      </c>
      <c r="Q3251">
        <v>5.7431371351932603E-2</v>
      </c>
      <c r="R3251">
        <v>0.99759809173993497</v>
      </c>
      <c r="S3251" t="s">
        <v>9562</v>
      </c>
      <c r="T3251" t="s">
        <v>12620</v>
      </c>
      <c r="U3251" t="s">
        <v>12620</v>
      </c>
      <c r="V3251" t="s">
        <v>12620</v>
      </c>
      <c r="W3251" t="s">
        <v>15825</v>
      </c>
      <c r="X3251">
        <v>9</v>
      </c>
      <c r="Y3251" t="s">
        <v>21971</v>
      </c>
      <c r="Z3251" t="s">
        <v>28198</v>
      </c>
      <c r="AA3251">
        <v>0.31365021580572</v>
      </c>
      <c r="AB3251" t="str">
        <f>HYPERLINK("Melting_Curves/meltCurve_Q16539_MAPK14.pdf", "Melting_Curves/meltCurve_Q16539_MAPK14.pdf")</f>
        <v>Melting_Curves/meltCurve_Q16539_MAPK14.pdf</v>
      </c>
    </row>
    <row r="3252" spans="1:28" x14ac:dyDescent="0.25">
      <c r="A3252" t="s">
        <v>3256</v>
      </c>
      <c r="B3252">
        <v>0.99987803227770999</v>
      </c>
      <c r="C3252">
        <v>1.00005039494603</v>
      </c>
      <c r="D3252">
        <v>0.982645258122259</v>
      </c>
      <c r="E3252">
        <v>1.0228331364437699</v>
      </c>
      <c r="F3252">
        <v>1.1932672618500999</v>
      </c>
      <c r="G3252">
        <v>1.0132926657791901</v>
      </c>
      <c r="H3252">
        <v>0.71867849273733597</v>
      </c>
      <c r="I3252">
        <v>0.307822147992666</v>
      </c>
      <c r="J3252">
        <v>0.144541033115689</v>
      </c>
      <c r="K3252">
        <v>9.6324364723584299E-2</v>
      </c>
      <c r="L3252">
        <v>2680.7904329254402</v>
      </c>
      <c r="M3252">
        <v>43.1122852808533</v>
      </c>
      <c r="N3252">
        <v>62.4985793122827</v>
      </c>
      <c r="O3252">
        <v>62.048249071447998</v>
      </c>
      <c r="P3252">
        <v>-0.156646450001172</v>
      </c>
      <c r="Q3252">
        <v>9.8203883316714494E-2</v>
      </c>
      <c r="R3252">
        <v>0.97379463657932097</v>
      </c>
      <c r="S3252" t="s">
        <v>9563</v>
      </c>
      <c r="T3252" t="s">
        <v>12620</v>
      </c>
      <c r="U3252" t="s">
        <v>12620</v>
      </c>
      <c r="V3252" t="s">
        <v>12620</v>
      </c>
      <c r="W3252" t="s">
        <v>15826</v>
      </c>
      <c r="X3252">
        <v>27</v>
      </c>
      <c r="Y3252" t="s">
        <v>21972</v>
      </c>
      <c r="Z3252" t="s">
        <v>28199</v>
      </c>
      <c r="AA3252">
        <v>0.76784430190657449</v>
      </c>
      <c r="AB3252" t="str">
        <f>HYPERLINK("Melting_Curves/meltCurve_Q16543_CDC37.pdf", "Melting_Curves/meltCurve_Q16543_CDC37.pdf")</f>
        <v>Melting_Curves/meltCurve_Q16543_CDC37.pdf</v>
      </c>
    </row>
    <row r="3253" spans="1:28" x14ac:dyDescent="0.25">
      <c r="A3253" t="s">
        <v>3257</v>
      </c>
      <c r="B3253">
        <v>0.99987803227770999</v>
      </c>
      <c r="C3253">
        <v>1.1412119514368799</v>
      </c>
      <c r="D3253">
        <v>0.95887783851369801</v>
      </c>
      <c r="E3253">
        <v>1.17086107154958</v>
      </c>
      <c r="F3253">
        <v>0.78740768714852805</v>
      </c>
      <c r="G3253">
        <v>0.75710918079106504</v>
      </c>
      <c r="H3253">
        <v>0.40791458802481401</v>
      </c>
      <c r="I3253">
        <v>0.154238593558499</v>
      </c>
      <c r="J3253">
        <v>8.7201564050932198E-2</v>
      </c>
      <c r="K3253">
        <v>6.3125779364905196E-2</v>
      </c>
      <c r="L3253">
        <v>1245.20445940796</v>
      </c>
      <c r="M3253">
        <v>20.8788110956853</v>
      </c>
      <c r="N3253">
        <v>59.639626353563401</v>
      </c>
      <c r="O3253">
        <v>59.100600041533099</v>
      </c>
      <c r="P3253">
        <v>-8.8321369193216204E-2</v>
      </c>
      <c r="Q3253">
        <v>0</v>
      </c>
      <c r="R3253">
        <v>0.95279933759123103</v>
      </c>
      <c r="S3253" t="s">
        <v>9564</v>
      </c>
      <c r="T3253" t="s">
        <v>12620</v>
      </c>
      <c r="U3253" t="s">
        <v>12620</v>
      </c>
      <c r="V3253" t="s">
        <v>12620</v>
      </c>
      <c r="W3253" t="s">
        <v>15827</v>
      </c>
      <c r="X3253">
        <v>27</v>
      </c>
      <c r="Y3253" t="s">
        <v>21973</v>
      </c>
      <c r="Z3253" t="s">
        <v>28200</v>
      </c>
      <c r="AA3253">
        <v>0.66352561601592042</v>
      </c>
      <c r="AB3253" t="str">
        <f>HYPERLINK("Melting_Curves/meltCurve_Q16555_DPYSL2.pdf", "Melting_Curves/meltCurve_Q16555_DPYSL2.pdf")</f>
        <v>Melting_Curves/meltCurve_Q16555_DPYSL2.pdf</v>
      </c>
    </row>
    <row r="3254" spans="1:28" x14ac:dyDescent="0.25">
      <c r="A3254" t="s">
        <v>3258</v>
      </c>
      <c r="B3254">
        <v>0.99987803227770999</v>
      </c>
      <c r="C3254">
        <v>1.0411800913378499</v>
      </c>
      <c r="D3254">
        <v>1.01496788308576</v>
      </c>
      <c r="E3254">
        <v>1.0282318059711599</v>
      </c>
      <c r="F3254">
        <v>0.94796349383446299</v>
      </c>
      <c r="G3254">
        <v>0.52240531595162798</v>
      </c>
      <c r="H3254">
        <v>0.25568800739375203</v>
      </c>
      <c r="I3254">
        <v>0.175476051760694</v>
      </c>
      <c r="J3254">
        <v>0.130600897609635</v>
      </c>
      <c r="K3254">
        <v>9.0538084658616805E-2</v>
      </c>
      <c r="L3254">
        <v>1765.84375882671</v>
      </c>
      <c r="M3254">
        <v>31.039749168021</v>
      </c>
      <c r="N3254">
        <v>57.426395551079601</v>
      </c>
      <c r="O3254">
        <v>56.655190343157997</v>
      </c>
      <c r="P3254">
        <v>-0.119725474797637</v>
      </c>
      <c r="Q3254">
        <v>0.12589101872943501</v>
      </c>
      <c r="R3254">
        <v>0.99487303667187799</v>
      </c>
      <c r="S3254" t="s">
        <v>9565</v>
      </c>
      <c r="T3254" t="s">
        <v>12620</v>
      </c>
      <c r="U3254" t="s">
        <v>12620</v>
      </c>
      <c r="V3254" t="s">
        <v>12620</v>
      </c>
      <c r="W3254" t="s">
        <v>15828</v>
      </c>
      <c r="X3254">
        <v>14</v>
      </c>
      <c r="Y3254" t="s">
        <v>21974</v>
      </c>
      <c r="Z3254" t="s">
        <v>28201</v>
      </c>
      <c r="AA3254">
        <v>0.62348831809039895</v>
      </c>
      <c r="AB3254" t="str">
        <f>HYPERLINK("Melting_Curves/meltCurve_Q16576_RBBP7.pdf", "Melting_Curves/meltCurve_Q16576_RBBP7.pdf")</f>
        <v>Melting_Curves/meltCurve_Q16576_RBBP7.pdf</v>
      </c>
    </row>
    <row r="3255" spans="1:28" x14ac:dyDescent="0.25">
      <c r="A3255" t="s">
        <v>3259</v>
      </c>
      <c r="B3255">
        <v>0.99987803227770999</v>
      </c>
      <c r="C3255">
        <v>1.0735242749289999</v>
      </c>
      <c r="D3255">
        <v>0.99970027778940396</v>
      </c>
      <c r="E3255">
        <v>0.83682262550848296</v>
      </c>
      <c r="F3255">
        <v>0.94822948070110902</v>
      </c>
      <c r="G3255">
        <v>0.62313255356521702</v>
      </c>
      <c r="H3255">
        <v>0.68212905783564404</v>
      </c>
      <c r="I3255">
        <v>0.60832131142338797</v>
      </c>
      <c r="J3255">
        <v>0.73428192713016505</v>
      </c>
      <c r="K3255">
        <v>1.5260994186263499</v>
      </c>
      <c r="L3255">
        <v>15000</v>
      </c>
      <c r="M3255">
        <v>218.076984461699</v>
      </c>
      <c r="O3255">
        <v>68.777264824520202</v>
      </c>
      <c r="P3255">
        <v>0.39634642533143</v>
      </c>
      <c r="Q3255">
        <v>1.5</v>
      </c>
      <c r="R3255">
        <v>0.26415523887043701</v>
      </c>
      <c r="S3255" t="s">
        <v>9566</v>
      </c>
      <c r="T3255" t="s">
        <v>12620</v>
      </c>
      <c r="U3255" t="s">
        <v>12620</v>
      </c>
      <c r="V3255" t="s">
        <v>12620</v>
      </c>
      <c r="W3255" t="s">
        <v>15829</v>
      </c>
      <c r="X3255">
        <v>1</v>
      </c>
      <c r="Y3255" t="s">
        <v>21975</v>
      </c>
      <c r="Z3255" t="s">
        <v>28202</v>
      </c>
      <c r="AA3255">
        <v>1.020325838852191</v>
      </c>
      <c r="AB3255" t="str">
        <f>HYPERLINK("Melting_Curves/meltCurve_Q16587_5_ZNF74.pdf", "Melting_Curves/meltCurve_Q16587_5_ZNF74.pdf")</f>
        <v>Melting_Curves/meltCurve_Q16587_5_ZNF74.pdf</v>
      </c>
    </row>
    <row r="3256" spans="1:28" x14ac:dyDescent="0.25">
      <c r="A3256" t="s">
        <v>3260</v>
      </c>
      <c r="B3256">
        <v>0.99987803227770999</v>
      </c>
      <c r="C3256">
        <v>0.88928781224861098</v>
      </c>
      <c r="D3256">
        <v>0.93743451657761001</v>
      </c>
      <c r="E3256">
        <v>0.85679187422083503</v>
      </c>
      <c r="F3256">
        <v>0.91131698794391802</v>
      </c>
      <c r="G3256">
        <v>0.61462621039234999</v>
      </c>
      <c r="H3256">
        <v>0.63287523924133005</v>
      </c>
      <c r="I3256">
        <v>0.65075024149248495</v>
      </c>
      <c r="J3256">
        <v>0.56202822725716395</v>
      </c>
      <c r="K3256">
        <v>0.47486761032159802</v>
      </c>
      <c r="L3256">
        <v>375.81368653165299</v>
      </c>
      <c r="M3256">
        <v>6.0020392924202604</v>
      </c>
      <c r="O3256">
        <v>56.7248209146627</v>
      </c>
      <c r="P3256">
        <v>-2.0262505889559301E-2</v>
      </c>
      <c r="Q3256">
        <v>0.23647190868776699</v>
      </c>
      <c r="R3256">
        <v>0.89178756995796804</v>
      </c>
      <c r="S3256" t="s">
        <v>9567</v>
      </c>
      <c r="T3256" t="s">
        <v>12620</v>
      </c>
      <c r="U3256" t="s">
        <v>12620</v>
      </c>
      <c r="V3256" t="s">
        <v>12620</v>
      </c>
      <c r="W3256" t="s">
        <v>15830</v>
      </c>
      <c r="X3256">
        <v>4</v>
      </c>
      <c r="Y3256" t="s">
        <v>21976</v>
      </c>
      <c r="Z3256" t="s">
        <v>28203</v>
      </c>
      <c r="AA3256">
        <v>0.75829178685357668</v>
      </c>
      <c r="AB3256" t="str">
        <f>HYPERLINK("Melting_Curves/meltCurve_Q16623_3_STX1A.pdf", "Melting_Curves/meltCurve_Q16623_3_STX1A.pdf")</f>
        <v>Melting_Curves/meltCurve_Q16623_3_STX1A.pdf</v>
      </c>
    </row>
    <row r="3257" spans="1:28" x14ac:dyDescent="0.25">
      <c r="A3257" t="s">
        <v>3261</v>
      </c>
      <c r="B3257">
        <v>0.99987803227770999</v>
      </c>
      <c r="C3257">
        <v>0.83811974405379297</v>
      </c>
      <c r="D3257">
        <v>0.95988568928087803</v>
      </c>
      <c r="E3257">
        <v>0.86485017755900695</v>
      </c>
      <c r="F3257">
        <v>1.0076694510895901</v>
      </c>
      <c r="G3257">
        <v>0.85645919305169804</v>
      </c>
      <c r="H3257">
        <v>0.92508242095027204</v>
      </c>
      <c r="I3257">
        <v>0.83996565549244195</v>
      </c>
      <c r="J3257">
        <v>0.95405249729329</v>
      </c>
      <c r="K3257">
        <v>0.78832575905583402</v>
      </c>
      <c r="L3257">
        <v>107.34831547856</v>
      </c>
      <c r="M3257">
        <v>1.0000000000000001E-5</v>
      </c>
      <c r="O3257">
        <v>44.740389351939498</v>
      </c>
      <c r="P3257">
        <v>-3.1999996849163999E-3</v>
      </c>
      <c r="Q3257">
        <v>0.21792086234888999</v>
      </c>
      <c r="R3257">
        <v>0.154875468151116</v>
      </c>
      <c r="S3257" t="s">
        <v>9568</v>
      </c>
      <c r="T3257" t="s">
        <v>12620</v>
      </c>
      <c r="U3257" t="s">
        <v>12620</v>
      </c>
      <c r="V3257" t="s">
        <v>12620</v>
      </c>
      <c r="W3257" t="s">
        <v>15831</v>
      </c>
      <c r="X3257">
        <v>7</v>
      </c>
      <c r="Y3257" t="s">
        <v>21977</v>
      </c>
      <c r="Z3257" t="s">
        <v>28204</v>
      </c>
      <c r="AA3257">
        <v>0.90375246975455947</v>
      </c>
      <c r="AB3257" t="str">
        <f>HYPERLINK("Melting_Curves/meltCurve_Q16625_5_OCLN.pdf", "Melting_Curves/meltCurve_Q16625_5_OCLN.pdf")</f>
        <v>Melting_Curves/meltCurve_Q16625_5_OCLN.pdf</v>
      </c>
    </row>
    <row r="3258" spans="1:28" x14ac:dyDescent="0.25">
      <c r="A3258" t="s">
        <v>3262</v>
      </c>
      <c r="B3258">
        <v>0.99987803227770999</v>
      </c>
      <c r="C3258">
        <v>1.02096927796848</v>
      </c>
      <c r="D3258">
        <v>1.0733342986782901</v>
      </c>
      <c r="E3258">
        <v>1.0678331695702801</v>
      </c>
      <c r="F3258">
        <v>1.1172360797466601</v>
      </c>
      <c r="G3258">
        <v>0.96985239988008398</v>
      </c>
      <c r="H3258">
        <v>1.0336536502890199</v>
      </c>
      <c r="I3258">
        <v>1.2889126212414499</v>
      </c>
      <c r="J3258">
        <v>1.2764779809740401</v>
      </c>
      <c r="K3258">
        <v>1.0694011097857199</v>
      </c>
      <c r="L3258">
        <v>308.31092895522801</v>
      </c>
      <c r="M3258">
        <v>4.4517879109824596</v>
      </c>
      <c r="O3258">
        <v>58.686378105375503</v>
      </c>
      <c r="P3258">
        <v>6.7827992272337196E-3</v>
      </c>
      <c r="Q3258">
        <v>1.3544481553787899</v>
      </c>
      <c r="R3258">
        <v>0.29963812663053302</v>
      </c>
      <c r="S3258" t="s">
        <v>9569</v>
      </c>
      <c r="T3258" t="s">
        <v>12620</v>
      </c>
      <c r="U3258" t="s">
        <v>12620</v>
      </c>
      <c r="V3258" t="s">
        <v>12620</v>
      </c>
      <c r="W3258" t="s">
        <v>15832</v>
      </c>
      <c r="X3258">
        <v>2</v>
      </c>
      <c r="Y3258" t="s">
        <v>21978</v>
      </c>
      <c r="Z3258" t="s">
        <v>28205</v>
      </c>
      <c r="AA3258">
        <v>1.0891301746108211</v>
      </c>
      <c r="AB3258" t="str">
        <f>HYPERLINK("Melting_Curves/meltCurve_Q16626_MEA1.pdf", "Melting_Curves/meltCurve_Q16626_MEA1.pdf")</f>
        <v>Melting_Curves/meltCurve_Q16626_MEA1.pdf</v>
      </c>
    </row>
    <row r="3259" spans="1:28" x14ac:dyDescent="0.25">
      <c r="A3259" t="s">
        <v>3263</v>
      </c>
      <c r="B3259">
        <v>0.99987803227770999</v>
      </c>
      <c r="C3259">
        <v>0.956138308423923</v>
      </c>
      <c r="D3259">
        <v>1.0476428541588301</v>
      </c>
      <c r="E3259">
        <v>0.873372950257431</v>
      </c>
      <c r="F3259">
        <v>0.75320751792139395</v>
      </c>
      <c r="G3259">
        <v>0.48549691094057101</v>
      </c>
      <c r="H3259">
        <v>0.59956505635226298</v>
      </c>
      <c r="I3259">
        <v>0.52806797696419605</v>
      </c>
      <c r="J3259">
        <v>0.69213071490634004</v>
      </c>
      <c r="K3259">
        <v>0.62265625839384697</v>
      </c>
      <c r="L3259">
        <v>1860.84250998469</v>
      </c>
      <c r="M3259">
        <v>35.985310520514098</v>
      </c>
      <c r="O3259">
        <v>51.552275244744898</v>
      </c>
      <c r="P3259">
        <v>-7.1911994955283803E-2</v>
      </c>
      <c r="Q3259">
        <v>0.58791921156611004</v>
      </c>
      <c r="R3259">
        <v>0.89980013450433805</v>
      </c>
      <c r="S3259" t="s">
        <v>9570</v>
      </c>
      <c r="T3259" t="s">
        <v>12620</v>
      </c>
      <c r="U3259" t="s">
        <v>12620</v>
      </c>
      <c r="V3259" t="s">
        <v>12620</v>
      </c>
      <c r="W3259" t="s">
        <v>15833</v>
      </c>
      <c r="X3259">
        <v>5</v>
      </c>
      <c r="Y3259" t="s">
        <v>21979</v>
      </c>
      <c r="Z3259" t="s">
        <v>28206</v>
      </c>
      <c r="AA3259">
        <v>0.75060552063640906</v>
      </c>
      <c r="AB3259" t="str">
        <f>HYPERLINK("Melting_Curves/meltCurve_Q16629_3_SRSF7.pdf", "Melting_Curves/meltCurve_Q16629_3_SRSF7.pdf")</f>
        <v>Melting_Curves/meltCurve_Q16629_3_SRSF7.pdf</v>
      </c>
    </row>
    <row r="3260" spans="1:28" x14ac:dyDescent="0.25">
      <c r="A3260" t="s">
        <v>3264</v>
      </c>
      <c r="B3260">
        <v>0.99987803227770999</v>
      </c>
      <c r="C3260">
        <v>0.920038959942034</v>
      </c>
      <c r="D3260">
        <v>1.30457652547958</v>
      </c>
      <c r="E3260">
        <v>1.07608534634083</v>
      </c>
      <c r="F3260">
        <v>0.84683586646826703</v>
      </c>
      <c r="G3260">
        <v>0.69587224855197105</v>
      </c>
      <c r="H3260">
        <v>0.53681198714089695</v>
      </c>
      <c r="I3260">
        <v>0.59769861599861895</v>
      </c>
      <c r="J3260">
        <v>0.44366675978560599</v>
      </c>
      <c r="K3260">
        <v>0.31543724483987101</v>
      </c>
      <c r="L3260">
        <v>1010.0939185119501</v>
      </c>
      <c r="M3260">
        <v>17.371258806760899</v>
      </c>
      <c r="N3260">
        <v>63.006742946881303</v>
      </c>
      <c r="O3260">
        <v>57.393253160014901</v>
      </c>
      <c r="P3260">
        <v>-4.7745779049088402E-2</v>
      </c>
      <c r="Q3260">
        <v>0.36904283502709601</v>
      </c>
      <c r="R3260">
        <v>0.83419902430126003</v>
      </c>
      <c r="S3260" t="s">
        <v>9571</v>
      </c>
      <c r="T3260" t="s">
        <v>12620</v>
      </c>
      <c r="U3260" t="s">
        <v>12620</v>
      </c>
      <c r="V3260" t="s">
        <v>12620</v>
      </c>
      <c r="W3260" t="s">
        <v>15834</v>
      </c>
      <c r="X3260">
        <v>1</v>
      </c>
      <c r="Y3260" t="s">
        <v>21980</v>
      </c>
      <c r="Z3260" t="s">
        <v>28207</v>
      </c>
      <c r="AA3260">
        <v>0.75854235822964944</v>
      </c>
      <c r="AB3260" t="str">
        <f>HYPERLINK("Melting_Curves/meltCurve_Q16637_3_SMN1.pdf", "Melting_Curves/meltCurve_Q16637_3_SMN1.pdf")</f>
        <v>Melting_Curves/meltCurve_Q16637_3_SMN1.pdf</v>
      </c>
    </row>
    <row r="3261" spans="1:28" x14ac:dyDescent="0.25">
      <c r="A3261" t="s">
        <v>3265</v>
      </c>
      <c r="B3261">
        <v>0.99987803227770999</v>
      </c>
      <c r="C3261">
        <v>0.80821237436597104</v>
      </c>
      <c r="D3261">
        <v>0.93082080138168899</v>
      </c>
      <c r="E3261">
        <v>0.83409630236120103</v>
      </c>
      <c r="F3261">
        <v>0.91082374688341405</v>
      </c>
      <c r="G3261">
        <v>0.67259979703281003</v>
      </c>
      <c r="H3261">
        <v>0.77533122619296502</v>
      </c>
      <c r="I3261">
        <v>0.75985755828148005</v>
      </c>
      <c r="J3261">
        <v>1.02378320355422</v>
      </c>
      <c r="K3261">
        <v>0.90277395119294201</v>
      </c>
      <c r="L3261">
        <v>10244.298490916701</v>
      </c>
      <c r="M3261">
        <v>250</v>
      </c>
      <c r="O3261">
        <v>40.974571514923802</v>
      </c>
      <c r="P3261">
        <v>-0.23417337205246899</v>
      </c>
      <c r="Q3261">
        <v>0.84647754222413496</v>
      </c>
      <c r="R3261">
        <v>0.19001638395512499</v>
      </c>
      <c r="S3261" t="s">
        <v>9572</v>
      </c>
      <c r="T3261" t="s">
        <v>12620</v>
      </c>
      <c r="U3261" t="s">
        <v>12620</v>
      </c>
      <c r="V3261" t="s">
        <v>12620</v>
      </c>
      <c r="W3261" t="s">
        <v>15835</v>
      </c>
      <c r="X3261">
        <v>7</v>
      </c>
      <c r="Y3261" t="s">
        <v>21981</v>
      </c>
      <c r="Z3261" t="s">
        <v>28208</v>
      </c>
      <c r="AA3261">
        <v>0.85149105359469768</v>
      </c>
      <c r="AB3261" t="str">
        <f>HYPERLINK("Melting_Curves/meltCurve_Q16643_DBN1.pdf", "Melting_Curves/meltCurve_Q16643_DBN1.pdf")</f>
        <v>Melting_Curves/meltCurve_Q16643_DBN1.pdf</v>
      </c>
    </row>
    <row r="3262" spans="1:28" x14ac:dyDescent="0.25">
      <c r="A3262" t="s">
        <v>3266</v>
      </c>
      <c r="B3262">
        <v>0.99987803227770999</v>
      </c>
      <c r="C3262">
        <v>0.94309797062814504</v>
      </c>
      <c r="D3262">
        <v>0.75686602003497705</v>
      </c>
      <c r="E3262">
        <v>0.52119814705119205</v>
      </c>
      <c r="F3262">
        <v>0.24555790676275599</v>
      </c>
      <c r="G3262">
        <v>0.16501401276507599</v>
      </c>
      <c r="H3262">
        <v>0.10649252532619501</v>
      </c>
      <c r="I3262">
        <v>0.106011258007961</v>
      </c>
      <c r="J3262">
        <v>7.2826151583151796E-2</v>
      </c>
      <c r="K3262">
        <v>4.3399147596635802E-2</v>
      </c>
      <c r="L3262">
        <v>824.08843621434403</v>
      </c>
      <c r="M3262">
        <v>16.6965552592088</v>
      </c>
      <c r="N3262">
        <v>49.752434252000199</v>
      </c>
      <c r="O3262">
        <v>48.665081349611903</v>
      </c>
      <c r="P3262">
        <v>-8.0445741836192394E-2</v>
      </c>
      <c r="Q3262">
        <v>6.2168502347445698E-2</v>
      </c>
      <c r="R3262">
        <v>0.99515057264079598</v>
      </c>
      <c r="S3262" t="s">
        <v>9573</v>
      </c>
      <c r="T3262" t="s">
        <v>12620</v>
      </c>
      <c r="U3262" t="s">
        <v>12620</v>
      </c>
      <c r="V3262" t="s">
        <v>12620</v>
      </c>
      <c r="W3262" t="s">
        <v>15836</v>
      </c>
      <c r="X3262">
        <v>4</v>
      </c>
      <c r="Y3262" t="s">
        <v>21982</v>
      </c>
      <c r="Z3262" t="s">
        <v>28209</v>
      </c>
      <c r="AA3262">
        <v>0.37334889089019152</v>
      </c>
      <c r="AB3262" t="str">
        <f>HYPERLINK("Melting_Curves/meltCurve_Q16644_MAPKAPK3.pdf", "Melting_Curves/meltCurve_Q16644_MAPKAPK3.pdf")</f>
        <v>Melting_Curves/meltCurve_Q16644_MAPKAPK3.pdf</v>
      </c>
    </row>
    <row r="3263" spans="1:28" x14ac:dyDescent="0.25">
      <c r="A3263" t="s">
        <v>3267</v>
      </c>
      <c r="B3263">
        <v>0.99987803227770999</v>
      </c>
      <c r="C3263">
        <v>1.08753616313585</v>
      </c>
      <c r="D3263">
        <v>1.0250822843023999</v>
      </c>
      <c r="E3263">
        <v>1.01784646019658</v>
      </c>
      <c r="F3263">
        <v>0.84663899304288703</v>
      </c>
      <c r="G3263">
        <v>0.57154311797798396</v>
      </c>
      <c r="H3263">
        <v>0.41046687706992302</v>
      </c>
      <c r="I3263">
        <v>0.32580618181359899</v>
      </c>
      <c r="J3263">
        <v>0.20910542187992101</v>
      </c>
      <c r="K3263">
        <v>0.15635281975229501</v>
      </c>
      <c r="L3263">
        <v>1024.3874014614501</v>
      </c>
      <c r="M3263">
        <v>17.757269303527298</v>
      </c>
      <c r="N3263">
        <v>58.895302158819298</v>
      </c>
      <c r="O3263">
        <v>56.971640118428397</v>
      </c>
      <c r="P3263">
        <v>-6.6040245900214706E-2</v>
      </c>
      <c r="Q3263">
        <v>0.152521658255449</v>
      </c>
      <c r="R3263">
        <v>0.98332091257749499</v>
      </c>
      <c r="S3263" t="s">
        <v>9574</v>
      </c>
      <c r="T3263" t="s">
        <v>12620</v>
      </c>
      <c r="U3263" t="s">
        <v>12620</v>
      </c>
      <c r="V3263" t="s">
        <v>12620</v>
      </c>
      <c r="W3263" t="s">
        <v>15837</v>
      </c>
      <c r="X3263">
        <v>4</v>
      </c>
      <c r="Y3263" t="s">
        <v>21983</v>
      </c>
      <c r="Z3263" t="s">
        <v>28210</v>
      </c>
      <c r="AA3263">
        <v>0.66319651110060629</v>
      </c>
      <c r="AB3263" t="str">
        <f>HYPERLINK("Melting_Curves/meltCurve_Q16656_NRF1.pdf", "Melting_Curves/meltCurve_Q16656_NRF1.pdf")</f>
        <v>Melting_Curves/meltCurve_Q16656_NRF1.pdf</v>
      </c>
    </row>
    <row r="3264" spans="1:28" x14ac:dyDescent="0.25">
      <c r="A3264" t="s">
        <v>3268</v>
      </c>
      <c r="B3264">
        <v>0.99987803227770999</v>
      </c>
      <c r="C3264">
        <v>0.943514611044317</v>
      </c>
      <c r="D3264">
        <v>1.0193198194217199</v>
      </c>
      <c r="E3264">
        <v>0.96446809457551796</v>
      </c>
      <c r="F3264">
        <v>1.03776409725774</v>
      </c>
      <c r="G3264">
        <v>0.73661571100351397</v>
      </c>
      <c r="H3264">
        <v>0.33789991443648598</v>
      </c>
      <c r="I3264">
        <v>0.14173225875774101</v>
      </c>
      <c r="J3264">
        <v>7.6728422990695794E-2</v>
      </c>
      <c r="K3264">
        <v>5.4555907532959698E-2</v>
      </c>
      <c r="L3264">
        <v>1717.73597701478</v>
      </c>
      <c r="M3264">
        <v>29.044353051856</v>
      </c>
      <c r="N3264">
        <v>59.345439814642702</v>
      </c>
      <c r="O3264">
        <v>58.8635976696009</v>
      </c>
      <c r="P3264">
        <v>-0.117505398875939</v>
      </c>
      <c r="Q3264">
        <v>4.7424095249938999E-2</v>
      </c>
      <c r="R3264">
        <v>0.993833641989742</v>
      </c>
      <c r="S3264" t="s">
        <v>9575</v>
      </c>
      <c r="T3264" t="s">
        <v>12620</v>
      </c>
      <c r="U3264" t="s">
        <v>12620</v>
      </c>
      <c r="V3264" t="s">
        <v>12620</v>
      </c>
      <c r="W3264" t="s">
        <v>15838</v>
      </c>
      <c r="X3264">
        <v>38</v>
      </c>
      <c r="Y3264" t="s">
        <v>21984</v>
      </c>
      <c r="Z3264" t="s">
        <v>28211</v>
      </c>
      <c r="AA3264">
        <v>0.66158498650013409</v>
      </c>
      <c r="AB3264" t="str">
        <f>HYPERLINK("Melting_Curves/meltCurve_Q16658_FSCN1.pdf", "Melting_Curves/meltCurve_Q16658_FSCN1.pdf")</f>
        <v>Melting_Curves/meltCurve_Q16658_FSCN1.pdf</v>
      </c>
    </row>
    <row r="3265" spans="1:28" x14ac:dyDescent="0.25">
      <c r="A3265" t="s">
        <v>3269</v>
      </c>
      <c r="B3265">
        <v>0.99987803227770999</v>
      </c>
      <c r="C3265">
        <v>0.87595587815522102</v>
      </c>
      <c r="D3265">
        <v>0.87347140782497601</v>
      </c>
      <c r="E3265">
        <v>0.60414734478702603</v>
      </c>
      <c r="F3265">
        <v>0.661660408615386</v>
      </c>
      <c r="G3265">
        <v>0.41221442435463601</v>
      </c>
      <c r="H3265">
        <v>0.43726090128718298</v>
      </c>
      <c r="I3265">
        <v>0.39151157927510299</v>
      </c>
      <c r="J3265">
        <v>0.36767458440166401</v>
      </c>
      <c r="K3265">
        <v>0.30372000536441901</v>
      </c>
      <c r="L3265">
        <v>530.84617813493503</v>
      </c>
      <c r="M3265">
        <v>10.420727830720301</v>
      </c>
      <c r="N3265">
        <v>55.830949654544</v>
      </c>
      <c r="O3265">
        <v>49.172568105909001</v>
      </c>
      <c r="P3265">
        <v>-3.7140574225200201E-2</v>
      </c>
      <c r="Q3265">
        <v>0.29926634397211199</v>
      </c>
      <c r="R3265">
        <v>0.95642575632648197</v>
      </c>
      <c r="S3265" t="s">
        <v>9576</v>
      </c>
      <c r="T3265" t="s">
        <v>12620</v>
      </c>
      <c r="U3265" t="s">
        <v>12620</v>
      </c>
      <c r="V3265" t="s">
        <v>12620</v>
      </c>
      <c r="W3265" t="s">
        <v>15839</v>
      </c>
      <c r="X3265">
        <v>1</v>
      </c>
      <c r="Y3265" t="s">
        <v>21985</v>
      </c>
      <c r="Z3265" t="s">
        <v>28212</v>
      </c>
      <c r="AA3265">
        <v>0.58263572316377432</v>
      </c>
      <c r="AB3265" t="str">
        <f>HYPERLINK("Melting_Curves/meltCurve_Q16670_ZSCAN26.pdf", "Melting_Curves/meltCurve_Q16670_ZSCAN26.pdf")</f>
        <v>Melting_Curves/meltCurve_Q16670_ZSCAN26.pdf</v>
      </c>
    </row>
    <row r="3266" spans="1:28" x14ac:dyDescent="0.25">
      <c r="A3266" t="s">
        <v>3270</v>
      </c>
      <c r="B3266">
        <v>0.99987803227770999</v>
      </c>
      <c r="C3266">
        <v>1.11393183812479</v>
      </c>
      <c r="D3266">
        <v>1.06788904516702</v>
      </c>
      <c r="E3266">
        <v>1.15259461083508</v>
      </c>
      <c r="F3266">
        <v>1.0237890794289199</v>
      </c>
      <c r="G3266">
        <v>1.0621051234037</v>
      </c>
      <c r="H3266">
        <v>1.1963785702301499</v>
      </c>
      <c r="I3266">
        <v>0.82420434635891804</v>
      </c>
      <c r="J3266">
        <v>0.37188107510201501</v>
      </c>
      <c r="K3266">
        <v>0.13316672106181099</v>
      </c>
      <c r="L3266">
        <v>3749.3775586595202</v>
      </c>
      <c r="M3266">
        <v>56.910316279709001</v>
      </c>
      <c r="N3266">
        <v>66.170193029982798</v>
      </c>
      <c r="O3266">
        <v>65.801013930710397</v>
      </c>
      <c r="P3266">
        <v>-0.19250322047891999</v>
      </c>
      <c r="Q3266">
        <v>0.109693894181966</v>
      </c>
      <c r="R3266">
        <v>0.92251296173572195</v>
      </c>
      <c r="S3266" t="s">
        <v>9577</v>
      </c>
      <c r="T3266" t="s">
        <v>12620</v>
      </c>
      <c r="U3266" t="s">
        <v>12620</v>
      </c>
      <c r="V3266" t="s">
        <v>12620</v>
      </c>
      <c r="W3266" t="s">
        <v>15840</v>
      </c>
      <c r="X3266">
        <v>23</v>
      </c>
      <c r="Y3266" t="s">
        <v>21986</v>
      </c>
      <c r="Z3266" t="s">
        <v>28213</v>
      </c>
      <c r="AA3266">
        <v>0.87839766070040071</v>
      </c>
      <c r="AB3266" t="str">
        <f>HYPERLINK("Melting_Curves/meltCurve_Q16719_KYNU.pdf", "Melting_Curves/meltCurve_Q16719_KYNU.pdf")</f>
        <v>Melting_Curves/meltCurve_Q16719_KYNU.pdf</v>
      </c>
    </row>
    <row r="3267" spans="1:28" x14ac:dyDescent="0.25">
      <c r="A3267" t="s">
        <v>3271</v>
      </c>
      <c r="B3267">
        <v>0.99987803227770999</v>
      </c>
      <c r="C3267">
        <v>1.2397746530227101</v>
      </c>
      <c r="D3267">
        <v>1.04617169333307</v>
      </c>
      <c r="E3267">
        <v>1.0723709584440999</v>
      </c>
      <c r="F3267">
        <v>0.73131625458469596</v>
      </c>
      <c r="G3267">
        <v>0.58631445566318197</v>
      </c>
      <c r="H3267">
        <v>0.238131687485129</v>
      </c>
      <c r="I3267">
        <v>0.13124627414357001</v>
      </c>
      <c r="J3267">
        <v>7.4770147869788695E-2</v>
      </c>
      <c r="K3267">
        <v>5.2562763878081502E-2</v>
      </c>
      <c r="L3267">
        <v>1150.7754370780699</v>
      </c>
      <c r="M3267">
        <v>20.066583063158401</v>
      </c>
      <c r="N3267">
        <v>57.493752442925903</v>
      </c>
      <c r="O3267">
        <v>56.787429872955101</v>
      </c>
      <c r="P3267">
        <v>-8.6150636847882101E-2</v>
      </c>
      <c r="Q3267">
        <v>2.48233209546827E-2</v>
      </c>
      <c r="R3267">
        <v>0.95346657543050395</v>
      </c>
      <c r="S3267" t="s">
        <v>9578</v>
      </c>
      <c r="T3267" t="s">
        <v>12620</v>
      </c>
      <c r="U3267" t="s">
        <v>12620</v>
      </c>
      <c r="V3267" t="s">
        <v>12620</v>
      </c>
      <c r="W3267" t="s">
        <v>15841</v>
      </c>
      <c r="X3267">
        <v>4</v>
      </c>
      <c r="Y3267" t="s">
        <v>21987</v>
      </c>
      <c r="Z3267" t="s">
        <v>28214</v>
      </c>
      <c r="AA3267">
        <v>0.60034914570073294</v>
      </c>
      <c r="AB3267" t="str">
        <f>HYPERLINK("Melting_Curves/meltCurve_Q16740_CLPP.pdf", "Melting_Curves/meltCurve_Q16740_CLPP.pdf")</f>
        <v>Melting_Curves/meltCurve_Q16740_CLPP.pdf</v>
      </c>
    </row>
    <row r="3268" spans="1:28" x14ac:dyDescent="0.25">
      <c r="A3268" t="s">
        <v>3272</v>
      </c>
      <c r="B3268">
        <v>0.99987803227770999</v>
      </c>
      <c r="C3268">
        <v>0.95138388507567495</v>
      </c>
      <c r="D3268">
        <v>0.76657815715830502</v>
      </c>
      <c r="E3268">
        <v>0.58920936643657995</v>
      </c>
      <c r="F3268">
        <v>0.332860048711067</v>
      </c>
      <c r="G3268">
        <v>0.31526619364265701</v>
      </c>
      <c r="H3268">
        <v>0.12875088471462301</v>
      </c>
      <c r="I3268">
        <v>0.12863391980411801</v>
      </c>
      <c r="J3268">
        <v>7.9920179358460006E-2</v>
      </c>
      <c r="K3268">
        <v>9.1934356088072197E-2</v>
      </c>
      <c r="L3268">
        <v>664.96405601683705</v>
      </c>
      <c r="M3268">
        <v>13.165670343884001</v>
      </c>
      <c r="N3268">
        <v>51.057974043465101</v>
      </c>
      <c r="O3268">
        <v>49.384817583726303</v>
      </c>
      <c r="P3268">
        <v>-6.2248474815685899E-2</v>
      </c>
      <c r="Q3268">
        <v>6.6173777441422194E-2</v>
      </c>
      <c r="R3268">
        <v>0.98761473354255602</v>
      </c>
      <c r="S3268" t="s">
        <v>9579</v>
      </c>
      <c r="T3268" t="s">
        <v>12620</v>
      </c>
      <c r="U3268" t="s">
        <v>12620</v>
      </c>
      <c r="V3268" t="s">
        <v>12620</v>
      </c>
      <c r="W3268" t="s">
        <v>15842</v>
      </c>
      <c r="X3268">
        <v>5</v>
      </c>
      <c r="Y3268" t="s">
        <v>21988</v>
      </c>
      <c r="Z3268" t="s">
        <v>28215</v>
      </c>
      <c r="AA3268">
        <v>0.42042961517582977</v>
      </c>
      <c r="AB3268" t="str">
        <f>HYPERLINK("Melting_Curves/meltCurve_Q16760_2_DGKD.pdf", "Melting_Curves/meltCurve_Q16760_2_DGKD.pdf")</f>
        <v>Melting_Curves/meltCurve_Q16760_2_DGKD.pdf</v>
      </c>
    </row>
    <row r="3269" spans="1:28" x14ac:dyDescent="0.25">
      <c r="A3269" t="s">
        <v>3273</v>
      </c>
      <c r="B3269">
        <v>0.99987803227770999</v>
      </c>
      <c r="C3269">
        <v>0.79697647787425896</v>
      </c>
      <c r="D3269">
        <v>0.95381717273163502</v>
      </c>
      <c r="E3269">
        <v>0.46984266942371</v>
      </c>
      <c r="F3269">
        <v>0.219699622416313</v>
      </c>
      <c r="G3269">
        <v>0.144874473535438</v>
      </c>
      <c r="H3269">
        <v>0.12403406585056501</v>
      </c>
      <c r="I3269">
        <v>0.14145815119921901</v>
      </c>
      <c r="J3269">
        <v>8.9427563547431699E-2</v>
      </c>
      <c r="K3269">
        <v>6.6373285234612403E-2</v>
      </c>
      <c r="L3269">
        <v>1362.15727785337</v>
      </c>
      <c r="M3269">
        <v>27.5664880531906</v>
      </c>
      <c r="N3269">
        <v>49.842565947915297</v>
      </c>
      <c r="O3269">
        <v>49.155680785826</v>
      </c>
      <c r="P3269">
        <v>-0.12539384356935401</v>
      </c>
      <c r="Q3269">
        <v>0.10561498852962101</v>
      </c>
      <c r="R3269">
        <v>0.96651911127895296</v>
      </c>
      <c r="S3269" t="s">
        <v>9580</v>
      </c>
      <c r="T3269" t="s">
        <v>12620</v>
      </c>
      <c r="U3269" t="s">
        <v>12620</v>
      </c>
      <c r="V3269" t="s">
        <v>12620</v>
      </c>
      <c r="W3269" t="s">
        <v>15843</v>
      </c>
      <c r="X3269">
        <v>11</v>
      </c>
      <c r="Y3269" t="s">
        <v>21989</v>
      </c>
      <c r="Z3269" t="s">
        <v>28216</v>
      </c>
      <c r="AA3269">
        <v>0.39277170811138917</v>
      </c>
      <c r="AB3269" t="str">
        <f>HYPERLINK("Melting_Curves/meltCurve_Q16762_TST.pdf", "Melting_Curves/meltCurve_Q16762_TST.pdf")</f>
        <v>Melting_Curves/meltCurve_Q16762_TST.pdf</v>
      </c>
    </row>
    <row r="3270" spans="1:28" x14ac:dyDescent="0.25">
      <c r="A3270" t="s">
        <v>3274</v>
      </c>
      <c r="B3270">
        <v>0.99987803227770999</v>
      </c>
      <c r="C3270">
        <v>0.87796672357675998</v>
      </c>
      <c r="D3270">
        <v>0.987536161477643</v>
      </c>
      <c r="E3270">
        <v>0.82294995685233496</v>
      </c>
      <c r="F3270">
        <v>0.84308532884595799</v>
      </c>
      <c r="G3270">
        <v>0.47695182657500901</v>
      </c>
      <c r="H3270">
        <v>0.24694608616563801</v>
      </c>
      <c r="I3270">
        <v>0.15616221409133099</v>
      </c>
      <c r="J3270">
        <v>9.4462728218346004E-2</v>
      </c>
      <c r="K3270">
        <v>6.7649497846331494E-2</v>
      </c>
      <c r="L3270">
        <v>912.35737468703303</v>
      </c>
      <c r="M3270">
        <v>16.052300943888302</v>
      </c>
      <c r="N3270">
        <v>56.937607703822202</v>
      </c>
      <c r="O3270">
        <v>55.976438588037297</v>
      </c>
      <c r="P3270">
        <v>-7.0690817993396896E-2</v>
      </c>
      <c r="Q3270">
        <v>1.40447284099918E-2</v>
      </c>
      <c r="R3270">
        <v>0.98039628046768001</v>
      </c>
      <c r="S3270" t="s">
        <v>9581</v>
      </c>
      <c r="T3270" t="s">
        <v>12620</v>
      </c>
      <c r="U3270" t="s">
        <v>12620</v>
      </c>
      <c r="V3270" t="s">
        <v>12620</v>
      </c>
      <c r="W3270" t="s">
        <v>15844</v>
      </c>
      <c r="X3270">
        <v>11</v>
      </c>
      <c r="Y3270" t="s">
        <v>21990</v>
      </c>
      <c r="Z3270" t="s">
        <v>28217</v>
      </c>
      <c r="AA3270">
        <v>0.58257943558296943</v>
      </c>
      <c r="AB3270" t="str">
        <f>HYPERLINK("Melting_Curves/meltCurve_Q16763_UBE2S.pdf", "Melting_Curves/meltCurve_Q16763_UBE2S.pdf")</f>
        <v>Melting_Curves/meltCurve_Q16763_UBE2S.pdf</v>
      </c>
    </row>
    <row r="3271" spans="1:28" x14ac:dyDescent="0.25">
      <c r="A3271" t="s">
        <v>3275</v>
      </c>
      <c r="B3271">
        <v>0.99987803227770999</v>
      </c>
      <c r="C3271">
        <v>1.10234859005096</v>
      </c>
      <c r="D3271">
        <v>1.0314384786736901</v>
      </c>
      <c r="E3271">
        <v>1.0290119285005499</v>
      </c>
      <c r="F3271">
        <v>0.83947798264725504</v>
      </c>
      <c r="G3271">
        <v>0.82847918143457</v>
      </c>
      <c r="H3271">
        <v>0.53507299875939796</v>
      </c>
      <c r="I3271">
        <v>0.21941979522621999</v>
      </c>
      <c r="J3271">
        <v>0.10905713337998101</v>
      </c>
      <c r="K3271">
        <v>8.9480394182154296E-2</v>
      </c>
      <c r="L3271">
        <v>1283.62630350615</v>
      </c>
      <c r="M3271">
        <v>21.075069753418902</v>
      </c>
      <c r="N3271">
        <v>60.907344308419503</v>
      </c>
      <c r="O3271">
        <v>60.366894901861301</v>
      </c>
      <c r="P3271">
        <v>-8.7281377023898293E-2</v>
      </c>
      <c r="Q3271">
        <v>0</v>
      </c>
      <c r="R3271">
        <v>0.97784363531037699</v>
      </c>
      <c r="S3271" t="s">
        <v>9582</v>
      </c>
      <c r="T3271" t="s">
        <v>12620</v>
      </c>
      <c r="U3271" t="s">
        <v>12620</v>
      </c>
      <c r="V3271" t="s">
        <v>12620</v>
      </c>
      <c r="W3271" t="s">
        <v>15845</v>
      </c>
      <c r="X3271">
        <v>7</v>
      </c>
      <c r="Y3271" t="s">
        <v>21991</v>
      </c>
      <c r="Z3271" t="s">
        <v>28218</v>
      </c>
      <c r="AA3271">
        <v>0.7033995639773083</v>
      </c>
      <c r="AB3271" t="str">
        <f>HYPERLINK("Melting_Curves/meltCurve_Q16773_CCBL1.pdf", "Melting_Curves/meltCurve_Q16773_CCBL1.pdf")</f>
        <v>Melting_Curves/meltCurve_Q16773_CCBL1.pdf</v>
      </c>
    </row>
    <row r="3272" spans="1:28" x14ac:dyDescent="0.25">
      <c r="A3272" t="s">
        <v>3276</v>
      </c>
      <c r="B3272">
        <v>0.99987803227770999</v>
      </c>
      <c r="C3272">
        <v>0.49715138273475901</v>
      </c>
      <c r="D3272">
        <v>1.0842058426664201</v>
      </c>
      <c r="E3272">
        <v>0.78313010352858803</v>
      </c>
      <c r="F3272">
        <v>0.82630093738461796</v>
      </c>
      <c r="G3272">
        <v>0.66258716313006105</v>
      </c>
      <c r="H3272">
        <v>0.55858348417543502</v>
      </c>
      <c r="I3272">
        <v>0.36675434845181998</v>
      </c>
      <c r="J3272">
        <v>0.20055027044774301</v>
      </c>
      <c r="K3272">
        <v>0.100473806554101</v>
      </c>
      <c r="L3272">
        <v>606.69024615319904</v>
      </c>
      <c r="M3272">
        <v>10.095359690949399</v>
      </c>
      <c r="N3272">
        <v>60.095928621943401</v>
      </c>
      <c r="O3272">
        <v>57.880835834078397</v>
      </c>
      <c r="P3272">
        <v>-4.3624520609458997E-2</v>
      </c>
      <c r="Q3272">
        <v>0</v>
      </c>
      <c r="R3272">
        <v>0.70139246072353401</v>
      </c>
      <c r="S3272" t="s">
        <v>9583</v>
      </c>
      <c r="T3272" t="s">
        <v>12620</v>
      </c>
      <c r="U3272" t="s">
        <v>12620</v>
      </c>
      <c r="V3272" t="s">
        <v>12620</v>
      </c>
      <c r="W3272" t="s">
        <v>15846</v>
      </c>
      <c r="X3272">
        <v>15</v>
      </c>
      <c r="Y3272" t="s">
        <v>21992</v>
      </c>
      <c r="Z3272" t="s">
        <v>28219</v>
      </c>
      <c r="AA3272">
        <v>0.66552983211122596</v>
      </c>
      <c r="AB3272" t="str">
        <f>HYPERLINK("Melting_Curves/meltCurve_Q16775_HAGH.pdf", "Melting_Curves/meltCurve_Q16775_HAGH.pdf")</f>
        <v>Melting_Curves/meltCurve_Q16775_HAGH.pdf</v>
      </c>
    </row>
    <row r="3273" spans="1:28" x14ac:dyDescent="0.25">
      <c r="A3273" t="s">
        <v>3277</v>
      </c>
      <c r="B3273">
        <v>0.99987803227770999</v>
      </c>
      <c r="C3273">
        <v>1.1171965601354099</v>
      </c>
      <c r="D3273">
        <v>1.01595933204691</v>
      </c>
      <c r="E3273">
        <v>0.79984022523549203</v>
      </c>
      <c r="F3273">
        <v>0.62226887557106303</v>
      </c>
      <c r="G3273">
        <v>0.36218604676508298</v>
      </c>
      <c r="H3273">
        <v>0.38445368593418699</v>
      </c>
      <c r="I3273">
        <v>0.487498352018577</v>
      </c>
      <c r="J3273">
        <v>0.17545855116294501</v>
      </c>
      <c r="K3273">
        <v>0.13060918874980901</v>
      </c>
      <c r="L3273">
        <v>943.24443455793596</v>
      </c>
      <c r="M3273">
        <v>17.7362813291107</v>
      </c>
      <c r="N3273">
        <v>55.281478495674001</v>
      </c>
      <c r="O3273">
        <v>52.519391547655097</v>
      </c>
      <c r="P3273">
        <v>-6.3738178656040104E-2</v>
      </c>
      <c r="Q3273">
        <v>0.24509196761441199</v>
      </c>
      <c r="R3273">
        <v>0.91803296829123604</v>
      </c>
      <c r="S3273" t="s">
        <v>9584</v>
      </c>
      <c r="T3273" t="s">
        <v>12620</v>
      </c>
      <c r="U3273" t="s">
        <v>12620</v>
      </c>
      <c r="V3273" t="s">
        <v>12620</v>
      </c>
      <c r="W3273" t="s">
        <v>15847</v>
      </c>
      <c r="X3273">
        <v>5</v>
      </c>
      <c r="Y3273" t="s">
        <v>21993</v>
      </c>
      <c r="Z3273" t="s">
        <v>28220</v>
      </c>
      <c r="AA3273">
        <v>0.58939519450621136</v>
      </c>
      <c r="AB3273" t="str">
        <f>HYPERLINK("Melting_Curves/meltCurve_Q16778_HIST2H2BE.pdf", "Melting_Curves/meltCurve_Q16778_HIST2H2BE.pdf")</f>
        <v>Melting_Curves/meltCurve_Q16778_HIST2H2BE.pdf</v>
      </c>
    </row>
    <row r="3274" spans="1:28" x14ac:dyDescent="0.25">
      <c r="A3274" t="s">
        <v>3278</v>
      </c>
      <c r="B3274">
        <v>0.99987803227770999</v>
      </c>
      <c r="C3274">
        <v>1.0140461218197001</v>
      </c>
      <c r="D3274">
        <v>0.84124714143786805</v>
      </c>
      <c r="E3274">
        <v>0.43237146722640102</v>
      </c>
      <c r="F3274">
        <v>0.18190822620857</v>
      </c>
      <c r="G3274">
        <v>0.113182973734842</v>
      </c>
      <c r="H3274">
        <v>7.1274528703706E-2</v>
      </c>
      <c r="I3274">
        <v>5.5057080997226102E-2</v>
      </c>
      <c r="J3274">
        <v>3.5999552201264301E-2</v>
      </c>
      <c r="K3274">
        <v>2.7011512423978101E-2</v>
      </c>
      <c r="L3274">
        <v>1192.8690646473101</v>
      </c>
      <c r="M3274">
        <v>24.2525926005302</v>
      </c>
      <c r="N3274">
        <v>49.396778044043302</v>
      </c>
      <c r="O3274">
        <v>48.854483381684403</v>
      </c>
      <c r="P3274">
        <v>-0.11798606895170401</v>
      </c>
      <c r="Q3274">
        <v>4.9328858902830702E-2</v>
      </c>
      <c r="R3274">
        <v>0.99762166997607804</v>
      </c>
      <c r="S3274" t="s">
        <v>9585</v>
      </c>
      <c r="T3274" t="s">
        <v>12620</v>
      </c>
      <c r="U3274" t="s">
        <v>12620</v>
      </c>
      <c r="V3274" t="s">
        <v>12620</v>
      </c>
      <c r="W3274" t="s">
        <v>15848</v>
      </c>
      <c r="X3274">
        <v>14</v>
      </c>
      <c r="Y3274" t="s">
        <v>21994</v>
      </c>
      <c r="Z3274" t="s">
        <v>28221</v>
      </c>
      <c r="AA3274">
        <v>0.3493762251255082</v>
      </c>
      <c r="AB3274" t="str">
        <f>HYPERLINK("Melting_Curves/meltCurve_Q16822_PCK2.pdf", "Melting_Curves/meltCurve_Q16822_PCK2.pdf")</f>
        <v>Melting_Curves/meltCurve_Q16822_PCK2.pdf</v>
      </c>
    </row>
    <row r="3275" spans="1:28" x14ac:dyDescent="0.25">
      <c r="A3275" t="s">
        <v>3279</v>
      </c>
      <c r="B3275">
        <v>0.99987803227770999</v>
      </c>
      <c r="C3275">
        <v>0.89348773912471402</v>
      </c>
      <c r="D3275">
        <v>0.85966711016993103</v>
      </c>
      <c r="E3275">
        <v>0.50492230411845496</v>
      </c>
      <c r="F3275">
        <v>0.63979039938882099</v>
      </c>
      <c r="G3275">
        <v>0.46207799562318602</v>
      </c>
      <c r="H3275">
        <v>0.38030842576609702</v>
      </c>
      <c r="I3275">
        <v>0.51211442871540402</v>
      </c>
      <c r="J3275">
        <v>0.353331728801623</v>
      </c>
      <c r="K3275">
        <v>0.250538994028493</v>
      </c>
      <c r="L3275">
        <v>535.66512445428702</v>
      </c>
      <c r="M3275">
        <v>10.756630644865</v>
      </c>
      <c r="N3275">
        <v>55.062309533873503</v>
      </c>
      <c r="O3275">
        <v>48.170073767938099</v>
      </c>
      <c r="P3275">
        <v>-3.79093798327928E-2</v>
      </c>
      <c r="Q3275">
        <v>0.32119029314300301</v>
      </c>
      <c r="R3275">
        <v>0.89101125952357596</v>
      </c>
      <c r="S3275" t="s">
        <v>9586</v>
      </c>
      <c r="T3275" t="s">
        <v>12620</v>
      </c>
      <c r="U3275" t="s">
        <v>12620</v>
      </c>
      <c r="V3275" t="s">
        <v>12620</v>
      </c>
      <c r="W3275" t="s">
        <v>15849</v>
      </c>
      <c r="X3275">
        <v>2</v>
      </c>
      <c r="Y3275" t="s">
        <v>21995</v>
      </c>
      <c r="Z3275" t="s">
        <v>28222</v>
      </c>
      <c r="AA3275">
        <v>0.5710053118905043</v>
      </c>
      <c r="AB3275" t="str">
        <f>HYPERLINK("Melting_Curves/meltCurve_Q16825_PTPN21.pdf", "Melting_Curves/meltCurve_Q16825_PTPN21.pdf")</f>
        <v>Melting_Curves/meltCurve_Q16825_PTPN21.pdf</v>
      </c>
    </row>
    <row r="3276" spans="1:28" x14ac:dyDescent="0.25">
      <c r="A3276" t="s">
        <v>3280</v>
      </c>
      <c r="B3276">
        <v>0.99987803227770999</v>
      </c>
      <c r="C3276">
        <v>0.96292370692299301</v>
      </c>
      <c r="D3276">
        <v>1.0025093262857201</v>
      </c>
      <c r="E3276">
        <v>0.91236355321041795</v>
      </c>
      <c r="F3276">
        <v>0.86135903570629901</v>
      </c>
      <c r="G3276">
        <v>0.79935879926870002</v>
      </c>
      <c r="H3276">
        <v>0.49180785311303399</v>
      </c>
      <c r="I3276">
        <v>0.18565454969512399</v>
      </c>
      <c r="J3276">
        <v>6.3610725437011004E-2</v>
      </c>
      <c r="K3276">
        <v>4.7443161174899301E-2</v>
      </c>
      <c r="L3276">
        <v>1324.1110456492199</v>
      </c>
      <c r="M3276">
        <v>21.938597339889402</v>
      </c>
      <c r="N3276">
        <v>60.355332006819197</v>
      </c>
      <c r="O3276">
        <v>59.860557692965799</v>
      </c>
      <c r="P3276">
        <v>-9.1625827555944603E-2</v>
      </c>
      <c r="Q3276">
        <v>0</v>
      </c>
      <c r="R3276">
        <v>0.98488688522560097</v>
      </c>
      <c r="S3276" t="s">
        <v>9587</v>
      </c>
      <c r="T3276" t="s">
        <v>12620</v>
      </c>
      <c r="U3276" t="s">
        <v>12620</v>
      </c>
      <c r="V3276" t="s">
        <v>12620</v>
      </c>
      <c r="W3276" t="s">
        <v>15850</v>
      </c>
      <c r="X3276">
        <v>15</v>
      </c>
      <c r="Y3276" t="s">
        <v>21996</v>
      </c>
      <c r="Z3276" t="s">
        <v>28223</v>
      </c>
      <c r="AA3276">
        <v>0.68606805022373474</v>
      </c>
      <c r="AB3276" t="str">
        <f>HYPERLINK("Melting_Curves/meltCurve_Q16831_UPP1.pdf", "Melting_Curves/meltCurve_Q16831_UPP1.pdf")</f>
        <v>Melting_Curves/meltCurve_Q16831_UPP1.pdf</v>
      </c>
    </row>
    <row r="3277" spans="1:28" x14ac:dyDescent="0.25">
      <c r="A3277" t="s">
        <v>3281</v>
      </c>
      <c r="B3277">
        <v>0.99987803227770999</v>
      </c>
      <c r="C3277">
        <v>1.1173124642508501</v>
      </c>
      <c r="D3277">
        <v>0.59664542081661898</v>
      </c>
      <c r="E3277">
        <v>0.504620876945163</v>
      </c>
      <c r="F3277">
        <v>0.182720904486184</v>
      </c>
      <c r="G3277">
        <v>0.12531947688402101</v>
      </c>
      <c r="H3277">
        <v>9.4181926787401393E-2</v>
      </c>
      <c r="I3277">
        <v>7.1590848081994701E-2</v>
      </c>
      <c r="J3277">
        <v>4.1492041248979802E-2</v>
      </c>
      <c r="K3277">
        <v>2.7383931770166101E-2</v>
      </c>
      <c r="L3277">
        <v>880.34914123071701</v>
      </c>
      <c r="M3277">
        <v>18.075002178239799</v>
      </c>
      <c r="N3277">
        <v>48.9805303256272</v>
      </c>
      <c r="O3277">
        <v>48.120907673522403</v>
      </c>
      <c r="P3277">
        <v>-8.9374490671933801E-2</v>
      </c>
      <c r="Q3277">
        <v>4.8282708364512601E-2</v>
      </c>
      <c r="R3277">
        <v>0.95063565298085495</v>
      </c>
      <c r="S3277" t="s">
        <v>9588</v>
      </c>
      <c r="T3277" t="s">
        <v>12620</v>
      </c>
      <c r="U3277" t="s">
        <v>12620</v>
      </c>
      <c r="V3277" t="s">
        <v>12620</v>
      </c>
      <c r="W3277" t="s">
        <v>15851</v>
      </c>
      <c r="X3277">
        <v>7</v>
      </c>
      <c r="Y3277" t="s">
        <v>21997</v>
      </c>
      <c r="Z3277" t="s">
        <v>28224</v>
      </c>
      <c r="AA3277">
        <v>0.34089404000805279</v>
      </c>
      <c r="AB3277" t="str">
        <f>HYPERLINK("Melting_Curves/meltCurve_Q16836_HADH.pdf", "Melting_Curves/meltCurve_Q16836_HADH.pdf")</f>
        <v>Melting_Curves/meltCurve_Q16836_HADH.pdf</v>
      </c>
    </row>
    <row r="3278" spans="1:28" x14ac:dyDescent="0.25">
      <c r="A3278" t="s">
        <v>3282</v>
      </c>
      <c r="B3278">
        <v>0.99987803227770999</v>
      </c>
      <c r="C3278">
        <v>1.03076589869991</v>
      </c>
      <c r="D3278">
        <v>0.83116664046035105</v>
      </c>
      <c r="E3278">
        <v>1.2826718231635701</v>
      </c>
      <c r="F3278">
        <v>0.87114051700689599</v>
      </c>
      <c r="G3278">
        <v>0.74028253811880496</v>
      </c>
      <c r="H3278">
        <v>0.12825944557434901</v>
      </c>
      <c r="I3278">
        <v>0.110647376547496</v>
      </c>
      <c r="J3278">
        <v>6.8916306175712705E-2</v>
      </c>
      <c r="K3278">
        <v>4.6712043995331499E-2</v>
      </c>
      <c r="L3278">
        <v>2782.94109302064</v>
      </c>
      <c r="M3278">
        <v>47.9311680263311</v>
      </c>
      <c r="N3278">
        <v>58.231345238682302</v>
      </c>
      <c r="O3278">
        <v>57.960412350089499</v>
      </c>
      <c r="P3278">
        <v>-0.19323272046683701</v>
      </c>
      <c r="Q3278">
        <v>6.5340138380260399E-2</v>
      </c>
      <c r="R3278">
        <v>0.93722963632786704</v>
      </c>
      <c r="S3278" t="s">
        <v>9589</v>
      </c>
      <c r="T3278" t="s">
        <v>12620</v>
      </c>
      <c r="U3278" t="s">
        <v>12620</v>
      </c>
      <c r="V3278" t="s">
        <v>12620</v>
      </c>
      <c r="W3278" t="s">
        <v>15852</v>
      </c>
      <c r="X3278">
        <v>27</v>
      </c>
      <c r="Y3278" t="s">
        <v>21998</v>
      </c>
      <c r="Z3278" t="s">
        <v>28225</v>
      </c>
      <c r="AA3278">
        <v>0.63063260585519187</v>
      </c>
      <c r="AB3278" t="str">
        <f>HYPERLINK("Melting_Curves/meltCurve_Q16851_UGP2.pdf", "Melting_Curves/meltCurve_Q16851_UGP2.pdf")</f>
        <v>Melting_Curves/meltCurve_Q16851_UGP2.pdf</v>
      </c>
    </row>
    <row r="3279" spans="1:28" x14ac:dyDescent="0.25">
      <c r="A3279" t="s">
        <v>3283</v>
      </c>
      <c r="B3279">
        <v>0.99987803227770999</v>
      </c>
      <c r="C3279">
        <v>1.01406537792968</v>
      </c>
      <c r="D3279">
        <v>1.0367814247329199</v>
      </c>
      <c r="E3279">
        <v>1.0894526270158</v>
      </c>
      <c r="F3279">
        <v>1.17297729903312</v>
      </c>
      <c r="G3279">
        <v>0.84951873443944004</v>
      </c>
      <c r="H3279">
        <v>1.0522903460836801</v>
      </c>
      <c r="I3279">
        <v>1.0261117099244701</v>
      </c>
      <c r="J3279">
        <v>0.88331628619161995</v>
      </c>
      <c r="K3279">
        <v>0.561099871967774</v>
      </c>
      <c r="L3279">
        <v>15000</v>
      </c>
      <c r="M3279">
        <v>222.86456851596799</v>
      </c>
      <c r="O3279">
        <v>67.300030166592407</v>
      </c>
      <c r="P3279">
        <v>-0.363423694723641</v>
      </c>
      <c r="Q3279">
        <v>0.56101724591001201</v>
      </c>
      <c r="R3279">
        <v>0.74976410289164697</v>
      </c>
      <c r="S3279" t="s">
        <v>9590</v>
      </c>
      <c r="T3279" t="s">
        <v>12620</v>
      </c>
      <c r="U3279" t="s">
        <v>12620</v>
      </c>
      <c r="V3279" t="s">
        <v>12620</v>
      </c>
      <c r="W3279" t="s">
        <v>15853</v>
      </c>
      <c r="X3279">
        <v>3</v>
      </c>
      <c r="Y3279" t="s">
        <v>21999</v>
      </c>
      <c r="Z3279" t="s">
        <v>28226</v>
      </c>
      <c r="AA3279">
        <v>0.9606356405953812</v>
      </c>
      <c r="AB3279" t="str">
        <f>HYPERLINK("Melting_Curves/meltCurve_Q16854_DGUOK.pdf", "Melting_Curves/meltCurve_Q16854_DGUOK.pdf")</f>
        <v>Melting_Curves/meltCurve_Q16854_DGUOK.pdf</v>
      </c>
    </row>
    <row r="3280" spans="1:28" x14ac:dyDescent="0.25">
      <c r="A3280" t="s">
        <v>3284</v>
      </c>
      <c r="B3280">
        <v>0.99987803227770999</v>
      </c>
      <c r="C3280">
        <v>0.96843388071927194</v>
      </c>
      <c r="D3280">
        <v>0.97589095313346297</v>
      </c>
      <c r="E3280">
        <v>0.99684428479557596</v>
      </c>
      <c r="F3280">
        <v>0.95178525246835799</v>
      </c>
      <c r="G3280">
        <v>0.78797678726365605</v>
      </c>
      <c r="H3280">
        <v>0.79732607944324796</v>
      </c>
      <c r="I3280">
        <v>0.68245580920750804</v>
      </c>
      <c r="J3280">
        <v>0.500356150548949</v>
      </c>
      <c r="K3280">
        <v>0.37734180629507202</v>
      </c>
      <c r="L3280">
        <v>719.03783031935905</v>
      </c>
      <c r="M3280">
        <v>10.670719773594</v>
      </c>
      <c r="N3280">
        <v>67.384191007421407</v>
      </c>
      <c r="O3280">
        <v>65.146879182847101</v>
      </c>
      <c r="P3280">
        <v>-4.09642204881377E-2</v>
      </c>
      <c r="Q3280">
        <v>0</v>
      </c>
      <c r="R3280">
        <v>0.96863052520334603</v>
      </c>
      <c r="S3280" t="s">
        <v>9591</v>
      </c>
      <c r="T3280" t="s">
        <v>12620</v>
      </c>
      <c r="U3280" t="s">
        <v>12620</v>
      </c>
      <c r="V3280" t="s">
        <v>12620</v>
      </c>
      <c r="W3280" t="s">
        <v>15854</v>
      </c>
      <c r="X3280">
        <v>7</v>
      </c>
      <c r="Y3280" t="s">
        <v>22000</v>
      </c>
      <c r="Z3280" t="s">
        <v>28227</v>
      </c>
      <c r="AA3280">
        <v>0.83132807377411733</v>
      </c>
      <c r="AB3280" t="str">
        <f>HYPERLINK("Melting_Curves/meltCurve_Q16864_ATP6V1F.pdf", "Melting_Curves/meltCurve_Q16864_ATP6V1F.pdf")</f>
        <v>Melting_Curves/meltCurve_Q16864_ATP6V1F.pdf</v>
      </c>
    </row>
    <row r="3281" spans="1:28" x14ac:dyDescent="0.25">
      <c r="A3281" t="s">
        <v>3285</v>
      </c>
      <c r="B3281">
        <v>0.99987803227770999</v>
      </c>
      <c r="C3281">
        <v>1.08579379903135</v>
      </c>
      <c r="D3281">
        <v>1.05756910602258</v>
      </c>
      <c r="E3281">
        <v>0.940800308983056</v>
      </c>
      <c r="F3281">
        <v>0.80543572911588002</v>
      </c>
      <c r="G3281">
        <v>0.46272535000044601</v>
      </c>
      <c r="H3281">
        <v>0.49499795198985003</v>
      </c>
      <c r="I3281">
        <v>0.47660794953417401</v>
      </c>
      <c r="J3281">
        <v>0.35705002639622002</v>
      </c>
      <c r="K3281">
        <v>0.226584998729979</v>
      </c>
      <c r="L3281">
        <v>1245.7320811679799</v>
      </c>
      <c r="M3281">
        <v>22.776615066994101</v>
      </c>
      <c r="N3281">
        <v>57.7761800071574</v>
      </c>
      <c r="O3281">
        <v>54.277096795527598</v>
      </c>
      <c r="P3281">
        <v>-6.8015314691418194E-2</v>
      </c>
      <c r="Q3281">
        <v>0.35168559166774599</v>
      </c>
      <c r="R3281">
        <v>0.94319955841130199</v>
      </c>
      <c r="S3281" t="s">
        <v>9592</v>
      </c>
      <c r="T3281" t="s">
        <v>12620</v>
      </c>
      <c r="U3281" t="s">
        <v>12620</v>
      </c>
      <c r="V3281" t="s">
        <v>12620</v>
      </c>
      <c r="W3281" t="s">
        <v>15855</v>
      </c>
      <c r="X3281">
        <v>5</v>
      </c>
      <c r="Y3281" t="s">
        <v>22001</v>
      </c>
      <c r="Z3281" t="s">
        <v>28228</v>
      </c>
      <c r="AA3281">
        <v>0.6762711060787765</v>
      </c>
      <c r="AB3281" t="str">
        <f>HYPERLINK("Melting_Curves/meltCurve_Q17R31_2_TATDN3.pdf", "Melting_Curves/meltCurve_Q17R31_2_TATDN3.pdf")</f>
        <v>Melting_Curves/meltCurve_Q17R31_2_TATDN3.pdf</v>
      </c>
    </row>
    <row r="3282" spans="1:28" x14ac:dyDescent="0.25">
      <c r="A3282" t="s">
        <v>3286</v>
      </c>
      <c r="B3282">
        <v>0.99987803227770999</v>
      </c>
      <c r="C3282">
        <v>1.1197195640251301</v>
      </c>
      <c r="D3282">
        <v>0.88123314834870303</v>
      </c>
      <c r="E3282">
        <v>0.73165577109650803</v>
      </c>
      <c r="F3282">
        <v>0.33085199791508402</v>
      </c>
      <c r="G3282">
        <v>0.20447350910376599</v>
      </c>
      <c r="H3282">
        <v>0.160653485246434</v>
      </c>
      <c r="I3282">
        <v>0.14816731747452599</v>
      </c>
      <c r="J3282">
        <v>0.116331982167436</v>
      </c>
      <c r="K3282">
        <v>0.10301467965038701</v>
      </c>
      <c r="L3282">
        <v>1414.80267248465</v>
      </c>
      <c r="M3282">
        <v>27.679501949895801</v>
      </c>
      <c r="N3282">
        <v>51.678599455846602</v>
      </c>
      <c r="O3282">
        <v>50.849173672161903</v>
      </c>
      <c r="P3282">
        <v>-0.11832349784143099</v>
      </c>
      <c r="Q3282">
        <v>0.13053376513480799</v>
      </c>
      <c r="R3282">
        <v>0.98195950142285504</v>
      </c>
      <c r="S3282" t="s">
        <v>9593</v>
      </c>
      <c r="T3282" t="s">
        <v>12620</v>
      </c>
      <c r="U3282" t="s">
        <v>12620</v>
      </c>
      <c r="V3282" t="s">
        <v>12620</v>
      </c>
      <c r="W3282" t="s">
        <v>15856</v>
      </c>
      <c r="X3282">
        <v>9</v>
      </c>
      <c r="Y3282" t="s">
        <v>22002</v>
      </c>
      <c r="Z3282" t="s">
        <v>28229</v>
      </c>
      <c r="AA3282">
        <v>0.45906531109169418</v>
      </c>
      <c r="AB3282" t="str">
        <f>HYPERLINK("Melting_Curves/meltCurve_Q17RN3_FAM98C.pdf", "Melting_Curves/meltCurve_Q17RN3_FAM98C.pdf")</f>
        <v>Melting_Curves/meltCurve_Q17RN3_FAM98C.pdf</v>
      </c>
    </row>
    <row r="3283" spans="1:28" x14ac:dyDescent="0.25">
      <c r="A3283" t="s">
        <v>3287</v>
      </c>
      <c r="B3283">
        <v>0.99987803227770999</v>
      </c>
      <c r="C3283">
        <v>0.90194157655652596</v>
      </c>
      <c r="D3283">
        <v>0.97010900110473797</v>
      </c>
      <c r="E3283">
        <v>0.88611653397996604</v>
      </c>
      <c r="F3283">
        <v>0.95049991972035597</v>
      </c>
      <c r="G3283">
        <v>0.77161235058740996</v>
      </c>
      <c r="H3283">
        <v>0.75656865251096295</v>
      </c>
      <c r="I3283">
        <v>0.71410254092837799</v>
      </c>
      <c r="J3283">
        <v>0.61346966152892202</v>
      </c>
      <c r="K3283">
        <v>0.53513473170526704</v>
      </c>
      <c r="L3283">
        <v>389.926336352997</v>
      </c>
      <c r="M3283">
        <v>5.3379543712718398</v>
      </c>
      <c r="O3283">
        <v>64.689501391134101</v>
      </c>
      <c r="P3283">
        <v>-2.0730008663967198E-2</v>
      </c>
      <c r="Q3283">
        <v>0</v>
      </c>
      <c r="R3283">
        <v>0.92923727861830896</v>
      </c>
      <c r="S3283" t="s">
        <v>9594</v>
      </c>
      <c r="T3283" t="s">
        <v>12620</v>
      </c>
      <c r="U3283" t="s">
        <v>12620</v>
      </c>
      <c r="V3283" t="s">
        <v>12620</v>
      </c>
      <c r="W3283" t="s">
        <v>15857</v>
      </c>
      <c r="X3283">
        <v>6</v>
      </c>
      <c r="Y3283" t="s">
        <v>22003</v>
      </c>
      <c r="Z3283" t="s">
        <v>28230</v>
      </c>
      <c r="AA3283">
        <v>0.82328231648958217</v>
      </c>
      <c r="AB3283" t="str">
        <f>HYPERLINK("Melting_Curves/meltCurve_Q17RS7_GEN1.pdf", "Melting_Curves/meltCurve_Q17RS7_GEN1.pdf")</f>
        <v>Melting_Curves/meltCurve_Q17RS7_GEN1.pdf</v>
      </c>
    </row>
    <row r="3284" spans="1:28" x14ac:dyDescent="0.25">
      <c r="A3284" t="s">
        <v>3288</v>
      </c>
      <c r="B3284">
        <v>0.99987803227770999</v>
      </c>
      <c r="C3284">
        <v>1.07286395275632</v>
      </c>
      <c r="D3284">
        <v>0.97988174339566003</v>
      </c>
      <c r="E3284">
        <v>0.89772030096312905</v>
      </c>
      <c r="F3284">
        <v>0.55510747297724805</v>
      </c>
      <c r="G3284">
        <v>0.28548196357253902</v>
      </c>
      <c r="H3284">
        <v>0.188338227395903</v>
      </c>
      <c r="I3284">
        <v>0.181091440168208</v>
      </c>
      <c r="J3284">
        <v>0.12541522768470401</v>
      </c>
      <c r="K3284">
        <v>0.10207760050477301</v>
      </c>
      <c r="L3284">
        <v>1402.59224168932</v>
      </c>
      <c r="M3284">
        <v>26.384335254866301</v>
      </c>
      <c r="N3284">
        <v>53.831778778690598</v>
      </c>
      <c r="O3284">
        <v>52.857474595043698</v>
      </c>
      <c r="P3284">
        <v>-0.107288141807158</v>
      </c>
      <c r="Q3284">
        <v>0.14025981233468701</v>
      </c>
      <c r="R3284">
        <v>0.99232044802038</v>
      </c>
      <c r="S3284" t="s">
        <v>9595</v>
      </c>
      <c r="T3284" t="s">
        <v>12620</v>
      </c>
      <c r="U3284" t="s">
        <v>12620</v>
      </c>
      <c r="V3284" t="s">
        <v>12620</v>
      </c>
      <c r="W3284" t="s">
        <v>15858</v>
      </c>
      <c r="X3284">
        <v>12</v>
      </c>
      <c r="Y3284" t="s">
        <v>22004</v>
      </c>
      <c r="Z3284" t="s">
        <v>28231</v>
      </c>
      <c r="AA3284">
        <v>0.52455914063891207</v>
      </c>
      <c r="AB3284" t="str">
        <f>HYPERLINK("Melting_Curves/meltCurve_Q17RU2_REL.pdf", "Melting_Curves/meltCurve_Q17RU2_REL.pdf")</f>
        <v>Melting_Curves/meltCurve_Q17RU2_REL.pdf</v>
      </c>
    </row>
    <row r="3285" spans="1:28" x14ac:dyDescent="0.25">
      <c r="A3285" t="s">
        <v>3289</v>
      </c>
      <c r="B3285">
        <v>0.99987803227770999</v>
      </c>
      <c r="C3285">
        <v>0.79785200316507299</v>
      </c>
      <c r="D3285">
        <v>0.88371612552816303</v>
      </c>
      <c r="E3285">
        <v>0.67909755929762505</v>
      </c>
      <c r="F3285">
        <v>0.83788978613120202</v>
      </c>
      <c r="G3285">
        <v>0.60244321607785201</v>
      </c>
      <c r="H3285">
        <v>0.36548794178643101</v>
      </c>
      <c r="I3285">
        <v>0.52895521391953304</v>
      </c>
      <c r="J3285">
        <v>0.29234577999286099</v>
      </c>
      <c r="K3285">
        <v>0.25022850307732902</v>
      </c>
      <c r="L3285">
        <v>370.509224972119</v>
      </c>
      <c r="M3285">
        <v>6.1850033496727503</v>
      </c>
      <c r="N3285">
        <v>59.904453618368002</v>
      </c>
      <c r="O3285">
        <v>54.551586661823798</v>
      </c>
      <c r="P3285">
        <v>-2.84270890549328E-2</v>
      </c>
      <c r="Q3285">
        <v>0</v>
      </c>
      <c r="R3285">
        <v>0.87004969483404404</v>
      </c>
      <c r="S3285" t="s">
        <v>9596</v>
      </c>
      <c r="T3285" t="s">
        <v>12620</v>
      </c>
      <c r="U3285" t="s">
        <v>12620</v>
      </c>
      <c r="V3285" t="s">
        <v>12620</v>
      </c>
      <c r="W3285" t="s">
        <v>15859</v>
      </c>
      <c r="X3285">
        <v>2</v>
      </c>
      <c r="Y3285" t="s">
        <v>22005</v>
      </c>
      <c r="Z3285" t="s">
        <v>28232</v>
      </c>
      <c r="AA3285">
        <v>0.63294735843587246</v>
      </c>
      <c r="AB3285" t="str">
        <f>HYPERLINK("Melting_Curves/meltCurve_Q1MSJ5_1_CSPP1.pdf", "Melting_Curves/meltCurve_Q1MSJ5_1_CSPP1.pdf")</f>
        <v>Melting_Curves/meltCurve_Q1MSJ5_1_CSPP1.pdf</v>
      </c>
    </row>
    <row r="3286" spans="1:28" x14ac:dyDescent="0.25">
      <c r="A3286" t="s">
        <v>3290</v>
      </c>
      <c r="B3286">
        <v>0.99987803227770999</v>
      </c>
      <c r="C3286">
        <v>1.0290294617763101</v>
      </c>
      <c r="D3286">
        <v>0.94491039769029805</v>
      </c>
      <c r="E3286">
        <v>0.77918744704065601</v>
      </c>
      <c r="F3286">
        <v>0.75563690156030205</v>
      </c>
      <c r="G3286">
        <v>0.60914769923247902</v>
      </c>
      <c r="H3286">
        <v>0.45097678391905199</v>
      </c>
      <c r="I3286">
        <v>0.41043796193380699</v>
      </c>
      <c r="J3286">
        <v>0.26185961103348498</v>
      </c>
      <c r="K3286">
        <v>0.17845463715291601</v>
      </c>
      <c r="L3286">
        <v>523.31508080170295</v>
      </c>
      <c r="M3286">
        <v>8.7702494790121808</v>
      </c>
      <c r="N3286">
        <v>59.669348424471202</v>
      </c>
      <c r="O3286">
        <v>56.8109947742497</v>
      </c>
      <c r="P3286">
        <v>-3.86248912885339E-2</v>
      </c>
      <c r="Q3286">
        <v>0</v>
      </c>
      <c r="R3286">
        <v>0.98475726368106797</v>
      </c>
      <c r="S3286" t="s">
        <v>9597</v>
      </c>
      <c r="T3286" t="s">
        <v>12620</v>
      </c>
      <c r="U3286" t="s">
        <v>12620</v>
      </c>
      <c r="V3286" t="s">
        <v>12620</v>
      </c>
      <c r="W3286" t="s">
        <v>15860</v>
      </c>
      <c r="X3286">
        <v>2</v>
      </c>
      <c r="Y3286" t="s">
        <v>22006</v>
      </c>
      <c r="Z3286" t="s">
        <v>28233</v>
      </c>
      <c r="AA3286">
        <v>0.64849642281006425</v>
      </c>
      <c r="AB3286" t="str">
        <f>HYPERLINK("Melting_Curves/meltCurve_Q24JP5_4_TMEM132A.pdf", "Melting_Curves/meltCurve_Q24JP5_4_TMEM132A.pdf")</f>
        <v>Melting_Curves/meltCurve_Q24JP5_4_TMEM132A.pdf</v>
      </c>
    </row>
    <row r="3287" spans="1:28" x14ac:dyDescent="0.25">
      <c r="A3287" t="s">
        <v>3291</v>
      </c>
      <c r="B3287">
        <v>0.99987803227770999</v>
      </c>
      <c r="C3287">
        <v>1.1150627819401799</v>
      </c>
      <c r="D3287">
        <v>0.68325765436748598</v>
      </c>
      <c r="E3287">
        <v>0.61981554214290602</v>
      </c>
      <c r="F3287">
        <v>0.32124925978359598</v>
      </c>
      <c r="G3287">
        <v>0.179305306221337</v>
      </c>
      <c r="H3287">
        <v>0.117845404711076</v>
      </c>
      <c r="I3287">
        <v>9.3679233079731694E-2</v>
      </c>
      <c r="J3287">
        <v>9.0680635897602196E-2</v>
      </c>
      <c r="K3287">
        <v>6.5172712712538605E-2</v>
      </c>
      <c r="L3287">
        <v>817.63021631232596</v>
      </c>
      <c r="M3287">
        <v>16.278958945165499</v>
      </c>
      <c r="N3287">
        <v>50.663058002842199</v>
      </c>
      <c r="O3287">
        <v>49.486615575454799</v>
      </c>
      <c r="P3287">
        <v>-7.6859638378835901E-2</v>
      </c>
      <c r="Q3287">
        <v>6.5482096218640304E-2</v>
      </c>
      <c r="R3287">
        <v>0.96088123325918895</v>
      </c>
      <c r="S3287" t="s">
        <v>9598</v>
      </c>
      <c r="T3287" t="s">
        <v>12620</v>
      </c>
      <c r="U3287" t="s">
        <v>12620</v>
      </c>
      <c r="V3287" t="s">
        <v>12620</v>
      </c>
      <c r="W3287" t="s">
        <v>15861</v>
      </c>
      <c r="X3287">
        <v>33</v>
      </c>
      <c r="Y3287" t="s">
        <v>22007</v>
      </c>
      <c r="Z3287" t="s">
        <v>28234</v>
      </c>
      <c r="AA3287">
        <v>0.40316238268431293</v>
      </c>
      <c r="AB3287" t="str">
        <f>HYPERLINK("Melting_Curves/meltCurve_Q27J81_INF2.pdf", "Melting_Curves/meltCurve_Q27J81_INF2.pdf")</f>
        <v>Melting_Curves/meltCurve_Q27J81_INF2.pdf</v>
      </c>
    </row>
    <row r="3288" spans="1:28" x14ac:dyDescent="0.25">
      <c r="A3288" t="s">
        <v>3292</v>
      </c>
      <c r="B3288">
        <v>0.99987803227770999</v>
      </c>
      <c r="C3288">
        <v>0.87873038583767105</v>
      </c>
      <c r="D3288">
        <v>0.71873027522662603</v>
      </c>
      <c r="E3288">
        <v>0.46971192652801202</v>
      </c>
      <c r="F3288">
        <v>0.53191565509679095</v>
      </c>
      <c r="G3288">
        <v>0.41528177749324502</v>
      </c>
      <c r="H3288">
        <v>0.4603709067274</v>
      </c>
      <c r="I3288">
        <v>0.42904157824864902</v>
      </c>
      <c r="J3288">
        <v>0.46658312032558502</v>
      </c>
      <c r="K3288">
        <v>0.40532790495965998</v>
      </c>
      <c r="L3288">
        <v>1021.8991117327801</v>
      </c>
      <c r="M3288">
        <v>22.341530887420099</v>
      </c>
      <c r="N3288">
        <v>50.531744690041599</v>
      </c>
      <c r="O3288">
        <v>45.378161319756401</v>
      </c>
      <c r="P3288">
        <v>-6.8941379873427702E-2</v>
      </c>
      <c r="Q3288">
        <v>0.439900971000382</v>
      </c>
      <c r="R3288">
        <v>0.973660658023354</v>
      </c>
      <c r="S3288" t="s">
        <v>9599</v>
      </c>
      <c r="T3288" t="s">
        <v>12620</v>
      </c>
      <c r="U3288" t="s">
        <v>12620</v>
      </c>
      <c r="V3288" t="s">
        <v>12620</v>
      </c>
      <c r="W3288" t="s">
        <v>15862</v>
      </c>
      <c r="X3288">
        <v>30</v>
      </c>
      <c r="Y3288" t="s">
        <v>22008</v>
      </c>
      <c r="Z3288" t="s">
        <v>28235</v>
      </c>
      <c r="AA3288">
        <v>0.55389290535599356</v>
      </c>
      <c r="AB3288" t="str">
        <f>HYPERLINK("Melting_Curves/meltCurve_Q29RF7_PDS5A.pdf", "Melting_Curves/meltCurve_Q29RF7_PDS5A.pdf")</f>
        <v>Melting_Curves/meltCurve_Q29RF7_PDS5A.pdf</v>
      </c>
    </row>
    <row r="3289" spans="1:28" x14ac:dyDescent="0.25">
      <c r="A3289" t="s">
        <v>3293</v>
      </c>
      <c r="B3289">
        <v>0.99987803227770999</v>
      </c>
      <c r="C3289">
        <v>0.90010318953669499</v>
      </c>
      <c r="D3289">
        <v>0.94545538986550404</v>
      </c>
      <c r="E3289">
        <v>0.84730551369276497</v>
      </c>
      <c r="F3289">
        <v>0.88338182357894801</v>
      </c>
      <c r="G3289">
        <v>0.83127776094398897</v>
      </c>
      <c r="H3289">
        <v>0.81172899667478005</v>
      </c>
      <c r="I3289">
        <v>0.81024136063781105</v>
      </c>
      <c r="J3289">
        <v>0.72769605117383895</v>
      </c>
      <c r="K3289">
        <v>0.59484876219900695</v>
      </c>
      <c r="L3289">
        <v>263.25922397268499</v>
      </c>
      <c r="M3289">
        <v>3.04084409264755</v>
      </c>
      <c r="O3289">
        <v>64.123772234440295</v>
      </c>
      <c r="P3289">
        <v>-1.2207560930283801E-2</v>
      </c>
      <c r="Q3289">
        <v>0</v>
      </c>
      <c r="R3289">
        <v>0.83856172314313204</v>
      </c>
      <c r="S3289" t="s">
        <v>9600</v>
      </c>
      <c r="T3289" t="s">
        <v>12620</v>
      </c>
      <c r="U3289" t="s">
        <v>12620</v>
      </c>
      <c r="V3289" t="s">
        <v>12620</v>
      </c>
      <c r="W3289" t="s">
        <v>15863</v>
      </c>
      <c r="X3289">
        <v>16</v>
      </c>
      <c r="Y3289" t="s">
        <v>22009</v>
      </c>
      <c r="Z3289" t="s">
        <v>28236</v>
      </c>
      <c r="AA3289">
        <v>0.84146066917047946</v>
      </c>
      <c r="AB3289" t="str">
        <f>HYPERLINK("Melting_Curves/meltCurve_Q2KHR3_QSER1.pdf", "Melting_Curves/meltCurve_Q2KHR3_QSER1.pdf")</f>
        <v>Melting_Curves/meltCurve_Q2KHR3_QSER1.pdf</v>
      </c>
    </row>
    <row r="3290" spans="1:28" x14ac:dyDescent="0.25">
      <c r="A3290" t="s">
        <v>3294</v>
      </c>
      <c r="B3290">
        <v>0.99987803227770999</v>
      </c>
      <c r="C3290">
        <v>0.96777392537731399</v>
      </c>
      <c r="D3290">
        <v>0.80880104689564802</v>
      </c>
      <c r="E3290">
        <v>1.19583457665532</v>
      </c>
      <c r="F3290">
        <v>1.0520008553220299</v>
      </c>
      <c r="G3290">
        <v>1.24928257975335</v>
      </c>
      <c r="H3290">
        <v>1.0678220178527</v>
      </c>
      <c r="I3290">
        <v>1.2615847498144299</v>
      </c>
      <c r="J3290">
        <v>1.34565830273049</v>
      </c>
      <c r="K3290">
        <v>0.97641710639773505</v>
      </c>
      <c r="L3290">
        <v>12024.185408334501</v>
      </c>
      <c r="M3290">
        <v>250</v>
      </c>
      <c r="O3290">
        <v>48.093653088690701</v>
      </c>
      <c r="P3290">
        <v>0.21323862285950901</v>
      </c>
      <c r="Q3290">
        <v>1.16408682599241</v>
      </c>
      <c r="R3290">
        <v>0.41442746213124199</v>
      </c>
      <c r="S3290" t="s">
        <v>9601</v>
      </c>
      <c r="T3290" t="s">
        <v>12620</v>
      </c>
      <c r="U3290" t="s">
        <v>12620</v>
      </c>
      <c r="V3290" t="s">
        <v>12620</v>
      </c>
      <c r="W3290" t="s">
        <v>15864</v>
      </c>
      <c r="X3290">
        <v>8</v>
      </c>
      <c r="Y3290" t="s">
        <v>22010</v>
      </c>
      <c r="Z3290" t="s">
        <v>28237</v>
      </c>
      <c r="AA3290">
        <v>1.119787354398929</v>
      </c>
      <c r="AB3290" t="str">
        <f>HYPERLINK("Melting_Curves/meltCurve_Q2KHT3_CLEC16A.pdf", "Melting_Curves/meltCurve_Q2KHT3_CLEC16A.pdf")</f>
        <v>Melting_Curves/meltCurve_Q2KHT3_CLEC16A.pdf</v>
      </c>
    </row>
    <row r="3291" spans="1:28" x14ac:dyDescent="0.25">
      <c r="A3291" t="s">
        <v>3295</v>
      </c>
      <c r="B3291">
        <v>0.99987803227770999</v>
      </c>
      <c r="C3291">
        <v>0.89523049154609702</v>
      </c>
      <c r="D3291">
        <v>0.98435910335132004</v>
      </c>
      <c r="E3291">
        <v>0.615786626113216</v>
      </c>
      <c r="F3291">
        <v>0.269386342842444</v>
      </c>
      <c r="G3291">
        <v>0.22573034389795599</v>
      </c>
      <c r="H3291">
        <v>0.16628755909711099</v>
      </c>
      <c r="I3291">
        <v>0.15756698574724701</v>
      </c>
      <c r="J3291">
        <v>0.127154070310534</v>
      </c>
      <c r="K3291">
        <v>9.5725809884473406E-2</v>
      </c>
      <c r="L3291">
        <v>1603.8183671837301</v>
      </c>
      <c r="M3291">
        <v>31.882776449893498</v>
      </c>
      <c r="N3291">
        <v>50.857310627326903</v>
      </c>
      <c r="O3291">
        <v>50.106926571520503</v>
      </c>
      <c r="P3291">
        <v>-0.135747522210167</v>
      </c>
      <c r="Q3291">
        <v>0.14664166921319299</v>
      </c>
      <c r="R3291">
        <v>0.98596727545118101</v>
      </c>
      <c r="S3291" t="s">
        <v>9602</v>
      </c>
      <c r="T3291" t="s">
        <v>12620</v>
      </c>
      <c r="U3291" t="s">
        <v>12620</v>
      </c>
      <c r="V3291" t="s">
        <v>12620</v>
      </c>
      <c r="W3291" t="s">
        <v>15865</v>
      </c>
      <c r="X3291">
        <v>16</v>
      </c>
      <c r="Y3291" t="s">
        <v>22011</v>
      </c>
      <c r="Z3291" t="s">
        <v>28238</v>
      </c>
      <c r="AA3291">
        <v>0.4444215614043085</v>
      </c>
      <c r="AB3291" t="str">
        <f>HYPERLINK("Melting_Curves/meltCurve_Q2M2I8_AAK1.pdf", "Melting_Curves/meltCurve_Q2M2I8_AAK1.pdf")</f>
        <v>Melting_Curves/meltCurve_Q2M2I8_AAK1.pdf</v>
      </c>
    </row>
    <row r="3292" spans="1:28" x14ac:dyDescent="0.25">
      <c r="A3292" t="s">
        <v>3296</v>
      </c>
      <c r="B3292">
        <v>0.99987803227770999</v>
      </c>
      <c r="C3292">
        <v>0.77508176859054301</v>
      </c>
      <c r="D3292">
        <v>0.86917767870739304</v>
      </c>
      <c r="E3292">
        <v>0.79724746241746602</v>
      </c>
      <c r="F3292">
        <v>0.90346529936782105</v>
      </c>
      <c r="G3292">
        <v>0.63902247525658096</v>
      </c>
      <c r="H3292">
        <v>0.788248254605314</v>
      </c>
      <c r="I3292">
        <v>0.729110005494778</v>
      </c>
      <c r="J3292">
        <v>1.0535833179057199</v>
      </c>
      <c r="K3292">
        <v>0.73924654116274902</v>
      </c>
      <c r="L3292">
        <v>10248.918289375701</v>
      </c>
      <c r="M3292">
        <v>250</v>
      </c>
      <c r="O3292">
        <v>40.9930511701208</v>
      </c>
      <c r="P3292">
        <v>-0.288974974747642</v>
      </c>
      <c r="Q3292">
        <v>0.81046455215893498</v>
      </c>
      <c r="R3292">
        <v>0.22041150630720999</v>
      </c>
      <c r="S3292" t="s">
        <v>9603</v>
      </c>
      <c r="T3292" t="s">
        <v>12620</v>
      </c>
      <c r="U3292" t="s">
        <v>12620</v>
      </c>
      <c r="V3292" t="s">
        <v>12620</v>
      </c>
      <c r="W3292" t="s">
        <v>15866</v>
      </c>
      <c r="X3292">
        <v>3</v>
      </c>
      <c r="Y3292" t="s">
        <v>22012</v>
      </c>
      <c r="Z3292" t="s">
        <v>28239</v>
      </c>
      <c r="AA3292">
        <v>0.81677063973408126</v>
      </c>
      <c r="AB3292" t="str">
        <f>HYPERLINK("Melting_Curves/meltCurve_Q2M2Z5_5_PLK1S1.pdf", "Melting_Curves/meltCurve_Q2M2Z5_5_PLK1S1.pdf")</f>
        <v>Melting_Curves/meltCurve_Q2M2Z5_5_PLK1S1.pdf</v>
      </c>
    </row>
    <row r="3293" spans="1:28" x14ac:dyDescent="0.25">
      <c r="A3293" t="s">
        <v>3297</v>
      </c>
      <c r="B3293">
        <v>0.99987803227770999</v>
      </c>
      <c r="C3293">
        <v>0.97781448408070404</v>
      </c>
      <c r="D3293">
        <v>0.85146466313387104</v>
      </c>
      <c r="E3293">
        <v>1.19156613806891</v>
      </c>
      <c r="F3293">
        <v>0.42163418634612498</v>
      </c>
      <c r="G3293">
        <v>0.23393338287872301</v>
      </c>
      <c r="H3293">
        <v>0.172922115020165</v>
      </c>
      <c r="I3293">
        <v>0.17504220920952099</v>
      </c>
      <c r="J3293">
        <v>0.13765796179002701</v>
      </c>
      <c r="K3293">
        <v>9.3892222649542501E-2</v>
      </c>
      <c r="L3293">
        <v>13207.409820534</v>
      </c>
      <c r="M3293">
        <v>250</v>
      </c>
      <c r="N3293">
        <v>52.912946540654303</v>
      </c>
      <c r="O3293">
        <v>52.826269086923404</v>
      </c>
      <c r="P3293">
        <v>-0.990641912462912</v>
      </c>
      <c r="Q3293">
        <v>0.16268950791645001</v>
      </c>
      <c r="R3293">
        <v>0.95784282345835603</v>
      </c>
      <c r="S3293" t="s">
        <v>9604</v>
      </c>
      <c r="T3293" t="s">
        <v>12620</v>
      </c>
      <c r="U3293" t="s">
        <v>12620</v>
      </c>
      <c r="V3293" t="s">
        <v>12620</v>
      </c>
      <c r="W3293" t="s">
        <v>15867</v>
      </c>
      <c r="X3293">
        <v>25</v>
      </c>
      <c r="Y3293" t="s">
        <v>22013</v>
      </c>
      <c r="Z3293" t="s">
        <v>28240</v>
      </c>
      <c r="AA3293">
        <v>0.52084685867443037</v>
      </c>
      <c r="AB3293" t="str">
        <f>HYPERLINK("Melting_Curves/meltCurve_Q2M389_KIAA1033.pdf", "Melting_Curves/meltCurve_Q2M389_KIAA1033.pdf")</f>
        <v>Melting_Curves/meltCurve_Q2M389_KIAA1033.pdf</v>
      </c>
    </row>
    <row r="3294" spans="1:28" x14ac:dyDescent="0.25">
      <c r="A3294" t="s">
        <v>3298</v>
      </c>
      <c r="B3294">
        <v>0.99987803227770999</v>
      </c>
      <c r="C3294">
        <v>0.82234528616038305</v>
      </c>
      <c r="D3294">
        <v>0.75774435365395398</v>
      </c>
      <c r="E3294">
        <v>0.58525036929237995</v>
      </c>
      <c r="F3294">
        <v>0.58920988363641302</v>
      </c>
      <c r="G3294">
        <v>0.502031236647424</v>
      </c>
      <c r="H3294">
        <v>0.46528216407096101</v>
      </c>
      <c r="I3294">
        <v>0.46745001510163298</v>
      </c>
      <c r="J3294">
        <v>0.41682647439999498</v>
      </c>
      <c r="K3294">
        <v>0.347457391176414</v>
      </c>
      <c r="L3294">
        <v>478.82901379194499</v>
      </c>
      <c r="M3294">
        <v>9.9555426500873097</v>
      </c>
      <c r="N3294">
        <v>56.192657148027898</v>
      </c>
      <c r="O3294">
        <v>46.276856052949803</v>
      </c>
      <c r="P3294">
        <v>-3.3315180984770203E-2</v>
      </c>
      <c r="Q3294">
        <v>0.38086370071721598</v>
      </c>
      <c r="R3294">
        <v>0.95944937145997999</v>
      </c>
      <c r="S3294" t="s">
        <v>9605</v>
      </c>
      <c r="T3294" t="s">
        <v>12620</v>
      </c>
      <c r="U3294" t="s">
        <v>12620</v>
      </c>
      <c r="V3294" t="s">
        <v>12620</v>
      </c>
      <c r="W3294" t="s">
        <v>15868</v>
      </c>
      <c r="X3294">
        <v>29</v>
      </c>
      <c r="Y3294" t="s">
        <v>22014</v>
      </c>
      <c r="Z3294" t="s">
        <v>28241</v>
      </c>
      <c r="AA3294">
        <v>0.58073078374446341</v>
      </c>
      <c r="AB3294" t="str">
        <f>HYPERLINK("Melting_Curves/meltCurve_Q2NKX8_ERCC6L.pdf", "Melting_Curves/meltCurve_Q2NKX8_ERCC6L.pdf")</f>
        <v>Melting_Curves/meltCurve_Q2NKX8_ERCC6L.pdf</v>
      </c>
    </row>
    <row r="3295" spans="1:28" x14ac:dyDescent="0.25">
      <c r="A3295" t="s">
        <v>3299</v>
      </c>
      <c r="B3295">
        <v>0.99987803227770999</v>
      </c>
      <c r="C3295">
        <v>1.2130449806221799</v>
      </c>
      <c r="D3295">
        <v>1.3157195680638301</v>
      </c>
      <c r="E3295">
        <v>0.97722043383120705</v>
      </c>
      <c r="F3295">
        <v>0.65692443431466996</v>
      </c>
      <c r="G3295">
        <v>0.41566680485007701</v>
      </c>
      <c r="H3295">
        <v>0.45011291752375698</v>
      </c>
      <c r="I3295">
        <v>0.43302590260524998</v>
      </c>
      <c r="J3295">
        <v>0.442965159038886</v>
      </c>
      <c r="K3295">
        <v>0.322873158723052</v>
      </c>
      <c r="L3295">
        <v>3261.5137261459799</v>
      </c>
      <c r="M3295">
        <v>61.876076299726201</v>
      </c>
      <c r="N3295">
        <v>54.231187795763603</v>
      </c>
      <c r="O3295">
        <v>52.655452407372302</v>
      </c>
      <c r="P3295">
        <v>-0.172796488857548</v>
      </c>
      <c r="Q3295">
        <v>0.41181323772137901</v>
      </c>
      <c r="R3295">
        <v>0.87310352612804099</v>
      </c>
      <c r="S3295" t="s">
        <v>9606</v>
      </c>
      <c r="T3295" t="s">
        <v>12620</v>
      </c>
      <c r="U3295" t="s">
        <v>12620</v>
      </c>
      <c r="V3295" t="s">
        <v>12620</v>
      </c>
      <c r="W3295" t="s">
        <v>15869</v>
      </c>
      <c r="X3295">
        <v>1</v>
      </c>
      <c r="Y3295" t="s">
        <v>22015</v>
      </c>
      <c r="Z3295" t="s">
        <v>28242</v>
      </c>
      <c r="AA3295">
        <v>0.6619077657231931</v>
      </c>
      <c r="AB3295" t="str">
        <f>HYPERLINK("Melting_Curves/meltCurve_Q2NKX9_3_C2orf68.pdf", "Melting_Curves/meltCurve_Q2NKX9_3_C2orf68.pdf")</f>
        <v>Melting_Curves/meltCurve_Q2NKX9_3_C2orf68.pdf</v>
      </c>
    </row>
    <row r="3296" spans="1:28" x14ac:dyDescent="0.25">
      <c r="A3296" t="s">
        <v>3300</v>
      </c>
      <c r="B3296">
        <v>0.99987803227770999</v>
      </c>
      <c r="C3296">
        <v>1.1521471910009999</v>
      </c>
      <c r="D3296">
        <v>0.79141043098243202</v>
      </c>
      <c r="E3296">
        <v>0.386021473273225</v>
      </c>
      <c r="F3296">
        <v>0.19665374608294001</v>
      </c>
      <c r="G3296">
        <v>0.120931409782658</v>
      </c>
      <c r="H3296">
        <v>7.4833768096774805E-2</v>
      </c>
      <c r="I3296">
        <v>5.8307330035755403E-2</v>
      </c>
      <c r="J3296">
        <v>4.8997383882236803E-2</v>
      </c>
      <c r="K3296">
        <v>3.3766338354631401E-2</v>
      </c>
      <c r="L3296">
        <v>1252.4446951769701</v>
      </c>
      <c r="M3296">
        <v>25.661143431463302</v>
      </c>
      <c r="N3296">
        <v>49.067476250122098</v>
      </c>
      <c r="O3296">
        <v>48.5135422894801</v>
      </c>
      <c r="P3296">
        <v>-0.123819714627245</v>
      </c>
      <c r="Q3296">
        <v>6.3664510773325203E-2</v>
      </c>
      <c r="R3296">
        <v>0.97780117603143701</v>
      </c>
      <c r="S3296" t="s">
        <v>9607</v>
      </c>
      <c r="T3296" t="s">
        <v>12620</v>
      </c>
      <c r="U3296" t="s">
        <v>12620</v>
      </c>
      <c r="V3296" t="s">
        <v>12620</v>
      </c>
      <c r="W3296" t="s">
        <v>15870</v>
      </c>
      <c r="X3296">
        <v>15</v>
      </c>
      <c r="Y3296" t="s">
        <v>22016</v>
      </c>
      <c r="Z3296" t="s">
        <v>28243</v>
      </c>
      <c r="AA3296">
        <v>0.34639476253084939</v>
      </c>
      <c r="AB3296" t="str">
        <f>HYPERLINK("Melting_Curves/meltCurve_Q2NL82_TSR1.pdf", "Melting_Curves/meltCurve_Q2NL82_TSR1.pdf")</f>
        <v>Melting_Curves/meltCurve_Q2NL82_TSR1.pdf</v>
      </c>
    </row>
    <row r="3297" spans="1:28" x14ac:dyDescent="0.25">
      <c r="A3297" t="s">
        <v>3301</v>
      </c>
      <c r="B3297">
        <v>0.99987803227770999</v>
      </c>
      <c r="C3297">
        <v>0.88440327622342196</v>
      </c>
      <c r="D3297">
        <v>0.84481142431377299</v>
      </c>
      <c r="E3297">
        <v>0.44582406282869003</v>
      </c>
      <c r="F3297">
        <v>0.40888783533851603</v>
      </c>
      <c r="G3297">
        <v>0.263613397693508</v>
      </c>
      <c r="H3297">
        <v>0.29740294217996799</v>
      </c>
      <c r="I3297">
        <v>0.316729201622097</v>
      </c>
      <c r="J3297">
        <v>0.31789115394642697</v>
      </c>
      <c r="K3297">
        <v>0.24080491530914</v>
      </c>
      <c r="L3297">
        <v>1062.71789773814</v>
      </c>
      <c r="M3297">
        <v>22.1715057513041</v>
      </c>
      <c r="N3297">
        <v>49.830669823199301</v>
      </c>
      <c r="O3297">
        <v>47.546880315628897</v>
      </c>
      <c r="P3297">
        <v>-8.3330639843658294E-2</v>
      </c>
      <c r="Q3297">
        <v>0.28520394906013102</v>
      </c>
      <c r="R3297">
        <v>0.97836946742973097</v>
      </c>
      <c r="S3297" t="s">
        <v>9608</v>
      </c>
      <c r="T3297" t="s">
        <v>12620</v>
      </c>
      <c r="U3297" t="s">
        <v>12620</v>
      </c>
      <c r="V3297" t="s">
        <v>12620</v>
      </c>
      <c r="W3297" t="s">
        <v>15871</v>
      </c>
      <c r="X3297">
        <v>6</v>
      </c>
      <c r="Y3297" t="s">
        <v>22017</v>
      </c>
      <c r="Z3297" t="s">
        <v>28244</v>
      </c>
      <c r="AA3297">
        <v>0.48235357969515652</v>
      </c>
      <c r="AB3297" t="str">
        <f>HYPERLINK("Melting_Curves/meltCurve_Q2TAL8_QRICH1.pdf", "Melting_Curves/meltCurve_Q2TAL8_QRICH1.pdf")</f>
        <v>Melting_Curves/meltCurve_Q2TAL8_QRICH1.pdf</v>
      </c>
    </row>
    <row r="3298" spans="1:28" x14ac:dyDescent="0.25">
      <c r="A3298" t="s">
        <v>3302</v>
      </c>
      <c r="B3298">
        <v>0.99987803227770999</v>
      </c>
      <c r="C3298">
        <v>1.16997284855503</v>
      </c>
      <c r="D3298">
        <v>1.06122333387738</v>
      </c>
      <c r="E3298">
        <v>1.06581289188252</v>
      </c>
      <c r="F3298">
        <v>0.63773805094147296</v>
      </c>
      <c r="G3298">
        <v>0.292564334236523</v>
      </c>
      <c r="H3298">
        <v>0.137558540998578</v>
      </c>
      <c r="I3298">
        <v>0.138375912162299</v>
      </c>
      <c r="J3298">
        <v>9.8243431829709099E-2</v>
      </c>
      <c r="K3298">
        <v>7.7009995210699803E-2</v>
      </c>
      <c r="L3298">
        <v>1825.0399041789899</v>
      </c>
      <c r="M3298">
        <v>33.777615417518902</v>
      </c>
      <c r="N3298">
        <v>54.447291988121599</v>
      </c>
      <c r="O3298">
        <v>53.842717532343599</v>
      </c>
      <c r="P3298">
        <v>-0.13898881145986799</v>
      </c>
      <c r="Q3298">
        <v>0.11379121541161399</v>
      </c>
      <c r="R3298">
        <v>0.97156384763294201</v>
      </c>
      <c r="S3298" t="s">
        <v>9609</v>
      </c>
      <c r="T3298" t="s">
        <v>12620</v>
      </c>
      <c r="U3298" t="s">
        <v>12620</v>
      </c>
      <c r="V3298" t="s">
        <v>12620</v>
      </c>
      <c r="W3298" t="s">
        <v>15872</v>
      </c>
      <c r="X3298">
        <v>16</v>
      </c>
      <c r="Y3298" t="s">
        <v>22018</v>
      </c>
      <c r="Z3298" t="s">
        <v>28245</v>
      </c>
      <c r="AA3298">
        <v>0.53289347537462162</v>
      </c>
      <c r="AB3298" t="str">
        <f>HYPERLINK("Melting_Curves/meltCurve_Q2TAM5_RELA.pdf", "Melting_Curves/meltCurve_Q2TAM5_RELA.pdf")</f>
        <v>Melting_Curves/meltCurve_Q2TAM5_RELA.pdf</v>
      </c>
    </row>
    <row r="3299" spans="1:28" x14ac:dyDescent="0.25">
      <c r="A3299" t="s">
        <v>3303</v>
      </c>
      <c r="B3299">
        <v>0.99987803227770999</v>
      </c>
      <c r="C3299">
        <v>1.0095376637935001</v>
      </c>
      <c r="D3299">
        <v>0.96160197534509895</v>
      </c>
      <c r="E3299">
        <v>0.80840812106117999</v>
      </c>
      <c r="F3299">
        <v>0.44226742065675501</v>
      </c>
      <c r="G3299">
        <v>0.187798310439837</v>
      </c>
      <c r="H3299">
        <v>0.14393990357831599</v>
      </c>
      <c r="I3299">
        <v>0.104954079006673</v>
      </c>
      <c r="J3299">
        <v>9.5176794314761601E-2</v>
      </c>
      <c r="K3299">
        <v>6.4946616402767096E-2</v>
      </c>
      <c r="L3299">
        <v>1423.8440350656599</v>
      </c>
      <c r="M3299">
        <v>27.267918231115299</v>
      </c>
      <c r="N3299">
        <v>52.627897608398499</v>
      </c>
      <c r="O3299">
        <v>51.9384078946469</v>
      </c>
      <c r="P3299">
        <v>-0.118663738150263</v>
      </c>
      <c r="Q3299">
        <v>9.59124049792318E-2</v>
      </c>
      <c r="R3299">
        <v>0.99809049669312699</v>
      </c>
      <c r="S3299" t="s">
        <v>9610</v>
      </c>
      <c r="T3299" t="s">
        <v>12620</v>
      </c>
      <c r="U3299" t="s">
        <v>12620</v>
      </c>
      <c r="V3299" t="s">
        <v>12620</v>
      </c>
      <c r="W3299" t="s">
        <v>15873</v>
      </c>
      <c r="X3299">
        <v>13</v>
      </c>
      <c r="Y3299" t="s">
        <v>22019</v>
      </c>
      <c r="Z3299" t="s">
        <v>28246</v>
      </c>
      <c r="AA3299">
        <v>0.47107382533316128</v>
      </c>
      <c r="AB3299" t="str">
        <f>HYPERLINK("Melting_Curves/meltCurve_Q2TAY7_SMU1.pdf", "Melting_Curves/meltCurve_Q2TAY7_SMU1.pdf")</f>
        <v>Melting_Curves/meltCurve_Q2TAY7_SMU1.pdf</v>
      </c>
    </row>
    <row r="3300" spans="1:28" x14ac:dyDescent="0.25">
      <c r="A3300" t="s">
        <v>3304</v>
      </c>
      <c r="B3300">
        <v>0.99987803227770999</v>
      </c>
      <c r="C3300">
        <v>1.1458571007951901</v>
      </c>
      <c r="D3300">
        <v>0.93960449605512697</v>
      </c>
      <c r="E3300">
        <v>1.2018809718846299</v>
      </c>
      <c r="F3300">
        <v>0.88865370011915101</v>
      </c>
      <c r="G3300">
        <v>0.83466960569173998</v>
      </c>
      <c r="H3300">
        <v>0.50569388688079198</v>
      </c>
      <c r="I3300">
        <v>0.27979691365405701</v>
      </c>
      <c r="J3300">
        <v>0.190352392558575</v>
      </c>
      <c r="K3300">
        <v>0.135316742762916</v>
      </c>
      <c r="L3300">
        <v>1452.69810509798</v>
      </c>
      <c r="M3300">
        <v>24.051150034033999</v>
      </c>
      <c r="N3300">
        <v>61.004165432466998</v>
      </c>
      <c r="O3300">
        <v>59.987446841506902</v>
      </c>
      <c r="P3300">
        <v>-8.9618751028506596E-2</v>
      </c>
      <c r="Q3300">
        <v>0.10591957255236401</v>
      </c>
      <c r="R3300">
        <v>0.94808468665892498</v>
      </c>
      <c r="S3300" t="s">
        <v>9611</v>
      </c>
      <c r="T3300" t="s">
        <v>12620</v>
      </c>
      <c r="U3300" t="s">
        <v>12620</v>
      </c>
      <c r="V3300" t="s">
        <v>12620</v>
      </c>
      <c r="W3300" t="s">
        <v>15874</v>
      </c>
      <c r="X3300">
        <v>15</v>
      </c>
      <c r="Y3300" t="s">
        <v>22020</v>
      </c>
      <c r="Z3300" t="s">
        <v>28247</v>
      </c>
      <c r="AA3300">
        <v>0.72033551493543935</v>
      </c>
      <c r="AB3300" t="str">
        <f>HYPERLINK("Melting_Curves/meltCurve_Q2TAZ0_ATG2A.pdf", "Melting_Curves/meltCurve_Q2TAZ0_ATG2A.pdf")</f>
        <v>Melting_Curves/meltCurve_Q2TAZ0_ATG2A.pdf</v>
      </c>
    </row>
    <row r="3301" spans="1:28" x14ac:dyDescent="0.25">
      <c r="A3301" t="s">
        <v>3305</v>
      </c>
      <c r="B3301">
        <v>0.99987803227770999</v>
      </c>
      <c r="C3301">
        <v>0.762473488204648</v>
      </c>
      <c r="D3301">
        <v>0.89928093724261604</v>
      </c>
      <c r="E3301">
        <v>0.73452080112821405</v>
      </c>
      <c r="F3301">
        <v>0.84840720143721504</v>
      </c>
      <c r="G3301">
        <v>0.51821164973401501</v>
      </c>
      <c r="H3301">
        <v>0.57218557396193503</v>
      </c>
      <c r="I3301">
        <v>0.49197748588523399</v>
      </c>
      <c r="J3301">
        <v>0.643637531504761</v>
      </c>
      <c r="K3301">
        <v>0.47348007250767798</v>
      </c>
      <c r="L3301">
        <v>349.127455321132</v>
      </c>
      <c r="M3301">
        <v>6.57811497159698</v>
      </c>
      <c r="O3301">
        <v>48.810941355733902</v>
      </c>
      <c r="P3301">
        <v>-2.00655423247331E-2</v>
      </c>
      <c r="Q3301">
        <v>0.40582041228507498</v>
      </c>
      <c r="R3301">
        <v>0.73881902476291095</v>
      </c>
      <c r="S3301" t="s">
        <v>9612</v>
      </c>
      <c r="T3301" t="s">
        <v>12620</v>
      </c>
      <c r="U3301" t="s">
        <v>12620</v>
      </c>
      <c r="V3301" t="s">
        <v>12620</v>
      </c>
      <c r="W3301" t="s">
        <v>15875</v>
      </c>
      <c r="X3301">
        <v>5</v>
      </c>
      <c r="Y3301" t="s">
        <v>22021</v>
      </c>
      <c r="Z3301" t="s">
        <v>28248</v>
      </c>
      <c r="AA3301">
        <v>0.69148315677966365</v>
      </c>
      <c r="AB3301" t="str">
        <f>HYPERLINK("Melting_Curves/meltCurve_Q2TB39_TCF3.pdf", "Melting_Curves/meltCurve_Q2TB39_TCF3.pdf")</f>
        <v>Melting_Curves/meltCurve_Q2TB39_TCF3.pdf</v>
      </c>
    </row>
    <row r="3302" spans="1:28" x14ac:dyDescent="0.25">
      <c r="A3302" t="s">
        <v>3306</v>
      </c>
      <c r="B3302">
        <v>0.99987803227770999</v>
      </c>
      <c r="C3302">
        <v>0.87831955135453998</v>
      </c>
      <c r="D3302">
        <v>0.903904545901</v>
      </c>
      <c r="E3302">
        <v>0.81174512345037797</v>
      </c>
      <c r="F3302">
        <v>0.83464326413160095</v>
      </c>
      <c r="G3302">
        <v>0.618527200155646</v>
      </c>
      <c r="H3302">
        <v>0.421826258328592</v>
      </c>
      <c r="I3302">
        <v>0.37921458439604</v>
      </c>
      <c r="J3302">
        <v>0.341033742269647</v>
      </c>
      <c r="K3302">
        <v>0.28973916924687998</v>
      </c>
      <c r="L3302">
        <v>488.607933423144</v>
      </c>
      <c r="M3302">
        <v>8.2393568164808109</v>
      </c>
      <c r="N3302">
        <v>60.337761168188102</v>
      </c>
      <c r="O3302">
        <v>56.1160529796175</v>
      </c>
      <c r="P3302">
        <v>-3.4320271058652999E-2</v>
      </c>
      <c r="Q3302">
        <v>6.5961341342429106E-2</v>
      </c>
      <c r="R3302">
        <v>0.96889860771478298</v>
      </c>
      <c r="S3302" t="s">
        <v>9613</v>
      </c>
      <c r="T3302" t="s">
        <v>12620</v>
      </c>
      <c r="U3302" t="s">
        <v>12620</v>
      </c>
      <c r="V3302" t="s">
        <v>12620</v>
      </c>
      <c r="W3302" t="s">
        <v>15876</v>
      </c>
      <c r="X3302">
        <v>6</v>
      </c>
      <c r="Y3302" t="s">
        <v>22022</v>
      </c>
      <c r="Z3302" t="s">
        <v>28249</v>
      </c>
      <c r="AA3302">
        <v>0.66053451719949163</v>
      </c>
      <c r="AB3302" t="str">
        <f>HYPERLINK("Melting_Curves/meltCurve_Q2TBE0_CWF19L2.pdf", "Melting_Curves/meltCurve_Q2TBE0_CWF19L2.pdf")</f>
        <v>Melting_Curves/meltCurve_Q2TBE0_CWF19L2.pdf</v>
      </c>
    </row>
    <row r="3303" spans="1:28" x14ac:dyDescent="0.25">
      <c r="A3303" t="s">
        <v>3307</v>
      </c>
      <c r="B3303">
        <v>0.99987803227770999</v>
      </c>
      <c r="C3303">
        <v>1.0115042123812099</v>
      </c>
      <c r="D3303">
        <v>0.90144412067769997</v>
      </c>
      <c r="E3303">
        <v>0.77549438287026595</v>
      </c>
      <c r="F3303">
        <v>0.47435996070822001</v>
      </c>
      <c r="G3303">
        <v>0.30905998393734702</v>
      </c>
      <c r="H3303">
        <v>0.21388303919622101</v>
      </c>
      <c r="I3303">
        <v>0.206335472690899</v>
      </c>
      <c r="J3303">
        <v>0.16820534352832001</v>
      </c>
      <c r="K3303">
        <v>0.13462024589610599</v>
      </c>
      <c r="L3303">
        <v>982.05771346266295</v>
      </c>
      <c r="M3303">
        <v>18.851039522070199</v>
      </c>
      <c r="N3303">
        <v>53.157007727776097</v>
      </c>
      <c r="O3303">
        <v>51.5200565763204</v>
      </c>
      <c r="P3303">
        <v>-7.7131667093501E-2</v>
      </c>
      <c r="Q3303">
        <v>0.15682865366559501</v>
      </c>
      <c r="R3303">
        <v>0.99463335328198299</v>
      </c>
      <c r="S3303" t="s">
        <v>9614</v>
      </c>
      <c r="T3303" t="s">
        <v>12620</v>
      </c>
      <c r="U3303" t="s">
        <v>12620</v>
      </c>
      <c r="V3303" t="s">
        <v>12620</v>
      </c>
      <c r="W3303" t="s">
        <v>15877</v>
      </c>
      <c r="X3303">
        <v>17</v>
      </c>
      <c r="Y3303" t="s">
        <v>22023</v>
      </c>
      <c r="Z3303" t="s">
        <v>28250</v>
      </c>
      <c r="AA3303">
        <v>0.50973049980834995</v>
      </c>
      <c r="AB3303" t="str">
        <f>HYPERLINK("Melting_Curves/meltCurve_Q2VPK5_CTU2.pdf", "Melting_Curves/meltCurve_Q2VPK5_CTU2.pdf")</f>
        <v>Melting_Curves/meltCurve_Q2VPK5_CTU2.pdf</v>
      </c>
    </row>
    <row r="3304" spans="1:28" x14ac:dyDescent="0.25">
      <c r="A3304" t="s">
        <v>3308</v>
      </c>
      <c r="B3304">
        <v>0.99987803227770999</v>
      </c>
      <c r="C3304">
        <v>0.76511827329329696</v>
      </c>
      <c r="D3304">
        <v>1.0552823897233301</v>
      </c>
      <c r="E3304">
        <v>0.81449609090333497</v>
      </c>
      <c r="F3304">
        <v>0.90464636035488599</v>
      </c>
      <c r="G3304">
        <v>0.78928548356698502</v>
      </c>
      <c r="H3304">
        <v>0.67375469120307796</v>
      </c>
      <c r="I3304">
        <v>0.37187648429998499</v>
      </c>
      <c r="J3304">
        <v>0.46994472265476001</v>
      </c>
      <c r="K3304">
        <v>0.31854647799368402</v>
      </c>
      <c r="L3304">
        <v>545.86159429705594</v>
      </c>
      <c r="M3304">
        <v>8.5064000311369394</v>
      </c>
      <c r="N3304">
        <v>64.170690422437701</v>
      </c>
      <c r="O3304">
        <v>60.919007120195602</v>
      </c>
      <c r="P3304">
        <v>-3.49400159790932E-2</v>
      </c>
      <c r="Q3304">
        <v>0</v>
      </c>
      <c r="R3304">
        <v>0.83476106713122</v>
      </c>
      <c r="S3304" t="s">
        <v>9615</v>
      </c>
      <c r="T3304" t="s">
        <v>12620</v>
      </c>
      <c r="U3304" t="s">
        <v>12620</v>
      </c>
      <c r="V3304" t="s">
        <v>12620</v>
      </c>
      <c r="W3304" t="s">
        <v>15878</v>
      </c>
      <c r="X3304">
        <v>2</v>
      </c>
      <c r="Y3304" t="s">
        <v>22024</v>
      </c>
      <c r="Z3304" t="s">
        <v>28251</v>
      </c>
      <c r="AA3304">
        <v>0.74747108078583346</v>
      </c>
      <c r="AB3304" t="str">
        <f>HYPERLINK("Melting_Curves/meltCurve_Q32MM7_PDE4C.pdf", "Melting_Curves/meltCurve_Q32MM7_PDE4C.pdf")</f>
        <v>Melting_Curves/meltCurve_Q32MM7_PDE4C.pdf</v>
      </c>
    </row>
    <row r="3305" spans="1:28" x14ac:dyDescent="0.25">
      <c r="A3305" t="s">
        <v>3309</v>
      </c>
      <c r="B3305">
        <v>0.99987803227770999</v>
      </c>
      <c r="C3305">
        <v>1.0604960306851801</v>
      </c>
      <c r="D3305">
        <v>0.90048098223123696</v>
      </c>
      <c r="E3305">
        <v>1.05204975311792</v>
      </c>
      <c r="F3305">
        <v>1.2516130476271401</v>
      </c>
      <c r="G3305">
        <v>1.0039715865185199</v>
      </c>
      <c r="H3305">
        <v>1.6715183645360101</v>
      </c>
      <c r="I3305">
        <v>1.3086469748438501</v>
      </c>
      <c r="J3305">
        <v>1.5151105279107899</v>
      </c>
      <c r="K3305">
        <v>1.23273690928746</v>
      </c>
      <c r="L3305">
        <v>1136.1160842555901</v>
      </c>
      <c r="M3305">
        <v>20.452732052600499</v>
      </c>
      <c r="O3305">
        <v>55.025526472739102</v>
      </c>
      <c r="P3305">
        <v>3.8736088190357301E-2</v>
      </c>
      <c r="Q3305">
        <v>1.41684604886962</v>
      </c>
      <c r="R3305">
        <v>0.54550156938552097</v>
      </c>
      <c r="S3305" t="s">
        <v>9616</v>
      </c>
      <c r="T3305" t="s">
        <v>12620</v>
      </c>
      <c r="U3305" t="s">
        <v>12620</v>
      </c>
      <c r="V3305" t="s">
        <v>12620</v>
      </c>
      <c r="W3305" t="s">
        <v>15879</v>
      </c>
      <c r="X3305">
        <v>47</v>
      </c>
      <c r="Y3305" t="s">
        <v>22025</v>
      </c>
      <c r="Z3305" t="s">
        <v>28252</v>
      </c>
      <c r="AA3305">
        <v>1.195516252824834</v>
      </c>
      <c r="AB3305" t="str">
        <f>HYPERLINK("Melting_Curves/meltCurve_Q32MZ4_LRRFIP1.pdf", "Melting_Curves/meltCurve_Q32MZ4_LRRFIP1.pdf")</f>
        <v>Melting_Curves/meltCurve_Q32MZ4_LRRFIP1.pdf</v>
      </c>
    </row>
    <row r="3306" spans="1:28" x14ac:dyDescent="0.25">
      <c r="A3306" t="s">
        <v>3310</v>
      </c>
      <c r="B3306">
        <v>0.99987803227770999</v>
      </c>
      <c r="C3306">
        <v>1.24664053156225</v>
      </c>
      <c r="D3306">
        <v>0.95412298413644503</v>
      </c>
      <c r="E3306">
        <v>1.2855637382419001</v>
      </c>
      <c r="F3306">
        <v>1.3964723585579799</v>
      </c>
      <c r="G3306">
        <v>1.5715652178236299</v>
      </c>
      <c r="H3306">
        <v>1.6978457516629</v>
      </c>
      <c r="I3306">
        <v>1.5926424169914699</v>
      </c>
      <c r="J3306">
        <v>1.47413395051933</v>
      </c>
      <c r="K3306">
        <v>1.1708142632404901</v>
      </c>
      <c r="L3306">
        <v>1907.2049838308101</v>
      </c>
      <c r="M3306">
        <v>38.274066887280398</v>
      </c>
      <c r="O3306">
        <v>49.694766948294003</v>
      </c>
      <c r="P3306">
        <v>9.52235098723304E-2</v>
      </c>
      <c r="Q3306">
        <v>1.49454879835293</v>
      </c>
      <c r="R3306">
        <v>0.59618410376096498</v>
      </c>
      <c r="S3306" t="s">
        <v>9617</v>
      </c>
      <c r="T3306" t="s">
        <v>12620</v>
      </c>
      <c r="U3306" t="s">
        <v>12620</v>
      </c>
      <c r="V3306" t="s">
        <v>12620</v>
      </c>
      <c r="W3306" t="s">
        <v>15880</v>
      </c>
      <c r="X3306">
        <v>47</v>
      </c>
      <c r="Y3306" t="s">
        <v>22025</v>
      </c>
      <c r="Z3306" t="s">
        <v>28253</v>
      </c>
      <c r="AA3306">
        <v>1.330635159904737</v>
      </c>
      <c r="AB3306" t="str">
        <f>HYPERLINK("Melting_Curves/meltCurve_Q32MZ4_2_LRRFIP1.pdf", "Melting_Curves/meltCurve_Q32MZ4_2_LRRFIP1.pdf")</f>
        <v>Melting_Curves/meltCurve_Q32MZ4_2_LRRFIP1.pdf</v>
      </c>
    </row>
    <row r="3307" spans="1:28" x14ac:dyDescent="0.25">
      <c r="A3307" t="s">
        <v>3311</v>
      </c>
      <c r="B3307">
        <v>0.99987803227770999</v>
      </c>
      <c r="C3307">
        <v>0.99979236196295096</v>
      </c>
      <c r="D3307">
        <v>0.89208912949908903</v>
      </c>
      <c r="E3307">
        <v>1.09258452356367</v>
      </c>
      <c r="F3307">
        <v>1.48874959794929</v>
      </c>
      <c r="G3307">
        <v>1.6692926887585799</v>
      </c>
      <c r="H3307">
        <v>1.87209503069822</v>
      </c>
      <c r="I3307">
        <v>1.66667268767502</v>
      </c>
      <c r="J3307">
        <v>2.0118800083663801</v>
      </c>
      <c r="K3307">
        <v>1.40680821187337</v>
      </c>
      <c r="L3307">
        <v>4745.9168306247702</v>
      </c>
      <c r="M3307">
        <v>93.434524368123803</v>
      </c>
      <c r="O3307">
        <v>50.770798017749001</v>
      </c>
      <c r="P3307">
        <v>0.23004010719492499</v>
      </c>
      <c r="Q3307">
        <v>1.5</v>
      </c>
      <c r="R3307">
        <v>0.66403683805963498</v>
      </c>
      <c r="S3307" t="s">
        <v>9618</v>
      </c>
      <c r="T3307" t="s">
        <v>12620</v>
      </c>
      <c r="U3307" t="s">
        <v>12620</v>
      </c>
      <c r="V3307" t="s">
        <v>12620</v>
      </c>
      <c r="W3307" t="s">
        <v>15881</v>
      </c>
      <c r="X3307">
        <v>44</v>
      </c>
      <c r="Y3307" t="s">
        <v>22025</v>
      </c>
      <c r="Z3307" t="s">
        <v>28254</v>
      </c>
      <c r="AA3307">
        <v>1.319779825732788</v>
      </c>
      <c r="AB3307" t="str">
        <f>HYPERLINK("Melting_Curves/meltCurve_Q32MZ4_3_LRRFIP1.pdf", "Melting_Curves/meltCurve_Q32MZ4_3_LRRFIP1.pdf")</f>
        <v>Melting_Curves/meltCurve_Q32MZ4_3_LRRFIP1.pdf</v>
      </c>
    </row>
    <row r="3308" spans="1:28" x14ac:dyDescent="0.25">
      <c r="A3308" t="s">
        <v>3312</v>
      </c>
      <c r="B3308">
        <v>0.99987803227770999</v>
      </c>
      <c r="C3308">
        <v>1.1378410829585499</v>
      </c>
      <c r="D3308">
        <v>0.94669691503628794</v>
      </c>
      <c r="E3308">
        <v>1.06247213025918</v>
      </c>
      <c r="F3308">
        <v>1.2137397095297999</v>
      </c>
      <c r="G3308">
        <v>1.14337006321429</v>
      </c>
      <c r="H3308">
        <v>1.31870512926561</v>
      </c>
      <c r="I3308">
        <v>1.2235666868230901</v>
      </c>
      <c r="J3308">
        <v>1.1964395091117399</v>
      </c>
      <c r="K3308">
        <v>0.91416756727815895</v>
      </c>
      <c r="L3308">
        <v>12526.3692525188</v>
      </c>
      <c r="M3308">
        <v>250</v>
      </c>
      <c r="O3308">
        <v>50.102269800260302</v>
      </c>
      <c r="P3308">
        <v>0.20998481340660499</v>
      </c>
      <c r="Q3308">
        <v>1.16833145486712</v>
      </c>
      <c r="R3308">
        <v>0.25748224464138297</v>
      </c>
      <c r="S3308" t="s">
        <v>9619</v>
      </c>
      <c r="T3308" t="s">
        <v>12620</v>
      </c>
      <c r="U3308" t="s">
        <v>12620</v>
      </c>
      <c r="V3308" t="s">
        <v>12620</v>
      </c>
      <c r="W3308" t="s">
        <v>15882</v>
      </c>
      <c r="X3308">
        <v>20</v>
      </c>
      <c r="Y3308" t="s">
        <v>22025</v>
      </c>
      <c r="Z3308" t="s">
        <v>28255</v>
      </c>
      <c r="AA3308">
        <v>1.111614331178618</v>
      </c>
      <c r="AB3308" t="str">
        <f>HYPERLINK("Melting_Curves/meltCurve_Q32MZ4_4_LRRFIP1.pdf", "Melting_Curves/meltCurve_Q32MZ4_4_LRRFIP1.pdf")</f>
        <v>Melting_Curves/meltCurve_Q32MZ4_4_LRRFIP1.pdf</v>
      </c>
    </row>
    <row r="3309" spans="1:28" x14ac:dyDescent="0.25">
      <c r="A3309" t="s">
        <v>3313</v>
      </c>
      <c r="B3309">
        <v>0.99987803227770999</v>
      </c>
      <c r="C3309">
        <v>1.0583293298413901</v>
      </c>
      <c r="D3309">
        <v>0.81527900804502496</v>
      </c>
      <c r="E3309">
        <v>0.58206489928202199</v>
      </c>
      <c r="F3309">
        <v>0.34114712272948799</v>
      </c>
      <c r="G3309">
        <v>0.27619435730087999</v>
      </c>
      <c r="H3309">
        <v>0.17617894248420199</v>
      </c>
      <c r="I3309">
        <v>0.15482514308426601</v>
      </c>
      <c r="J3309">
        <v>0.12622461912514099</v>
      </c>
      <c r="K3309">
        <v>8.9300214101531203E-2</v>
      </c>
      <c r="L3309">
        <v>879.61388385690805</v>
      </c>
      <c r="M3309">
        <v>17.523991730151302</v>
      </c>
      <c r="N3309">
        <v>51.031674500562801</v>
      </c>
      <c r="O3309">
        <v>49.554873738114402</v>
      </c>
      <c r="P3309">
        <v>-7.7370914934648996E-2</v>
      </c>
      <c r="Q3309">
        <v>0.124880777315831</v>
      </c>
      <c r="R3309">
        <v>0.985863534236745</v>
      </c>
      <c r="S3309" t="s">
        <v>9620</v>
      </c>
      <c r="T3309" t="s">
        <v>12620</v>
      </c>
      <c r="U3309" t="s">
        <v>12620</v>
      </c>
      <c r="V3309" t="s">
        <v>12620</v>
      </c>
      <c r="W3309" t="s">
        <v>15883</v>
      </c>
      <c r="X3309">
        <v>4</v>
      </c>
      <c r="Y3309" t="s">
        <v>22026</v>
      </c>
      <c r="Z3309" t="s">
        <v>28256</v>
      </c>
      <c r="AA3309">
        <v>0.43792349839109801</v>
      </c>
      <c r="AB3309" t="str">
        <f>HYPERLINK("Melting_Curves/meltCurve_Q32P28_LEPRE1.pdf", "Melting_Curves/meltCurve_Q32P28_LEPRE1.pdf")</f>
        <v>Melting_Curves/meltCurve_Q32P28_LEPRE1.pdf</v>
      </c>
    </row>
    <row r="3310" spans="1:28" x14ac:dyDescent="0.25">
      <c r="A3310" t="s">
        <v>3314</v>
      </c>
      <c r="B3310">
        <v>0.99987803227770999</v>
      </c>
      <c r="C3310">
        <v>1.0859544207493299</v>
      </c>
      <c r="D3310">
        <v>0.86119490840733404</v>
      </c>
      <c r="E3310">
        <v>0.35527521605451501</v>
      </c>
      <c r="F3310">
        <v>0.27809641212411201</v>
      </c>
      <c r="G3310">
        <v>0.19955244910533601</v>
      </c>
      <c r="H3310">
        <v>0.19793882920452199</v>
      </c>
      <c r="I3310">
        <v>0.18499792622219499</v>
      </c>
      <c r="J3310">
        <v>0.131081271837622</v>
      </c>
      <c r="K3310">
        <v>0.103228090032874</v>
      </c>
      <c r="L3310">
        <v>1576.1620873299501</v>
      </c>
      <c r="M3310">
        <v>32.619943503776398</v>
      </c>
      <c r="N3310">
        <v>48.945343473439898</v>
      </c>
      <c r="O3310">
        <v>48.1384839908374</v>
      </c>
      <c r="P3310">
        <v>-0.14050024801635</v>
      </c>
      <c r="Q3310">
        <v>0.17063816378395999</v>
      </c>
      <c r="R3310">
        <v>0.98350658434786797</v>
      </c>
      <c r="S3310" t="s">
        <v>9621</v>
      </c>
      <c r="T3310" t="s">
        <v>12620</v>
      </c>
      <c r="U3310" t="s">
        <v>12620</v>
      </c>
      <c r="V3310" t="s">
        <v>12620</v>
      </c>
      <c r="W3310" t="s">
        <v>15884</v>
      </c>
      <c r="X3310">
        <v>14</v>
      </c>
      <c r="Y3310" t="s">
        <v>22027</v>
      </c>
      <c r="Z3310" t="s">
        <v>28257</v>
      </c>
      <c r="AA3310">
        <v>0.40483106166162391</v>
      </c>
      <c r="AB3310" t="str">
        <f>HYPERLINK("Melting_Curves/meltCurve_Q32P41_TRMT5.pdf", "Melting_Curves/meltCurve_Q32P41_TRMT5.pdf")</f>
        <v>Melting_Curves/meltCurve_Q32P41_TRMT5.pdf</v>
      </c>
    </row>
    <row r="3311" spans="1:28" x14ac:dyDescent="0.25">
      <c r="A3311" t="s">
        <v>3315</v>
      </c>
      <c r="B3311">
        <v>0.99987803227770999</v>
      </c>
      <c r="C3311">
        <v>1.02746764054954</v>
      </c>
      <c r="D3311">
        <v>0.92485385698209399</v>
      </c>
      <c r="E3311">
        <v>0.93711872106500804</v>
      </c>
      <c r="F3311">
        <v>0.56263908969672904</v>
      </c>
      <c r="G3311">
        <v>0.299171873578228</v>
      </c>
      <c r="H3311">
        <v>0.22808573245597499</v>
      </c>
      <c r="I3311">
        <v>0.209211540162247</v>
      </c>
      <c r="J3311">
        <v>0.20017049102148701</v>
      </c>
      <c r="K3311">
        <v>0.18223496292802699</v>
      </c>
      <c r="L3311">
        <v>1807.59270763777</v>
      </c>
      <c r="M3311">
        <v>34.196328830537098</v>
      </c>
      <c r="N3311">
        <v>53.699906356174402</v>
      </c>
      <c r="O3311">
        <v>52.679476220645498</v>
      </c>
      <c r="P3311">
        <v>-0.12865011164030299</v>
      </c>
      <c r="Q3311">
        <v>0.20726060136345201</v>
      </c>
      <c r="R3311">
        <v>0.99261753642160999</v>
      </c>
      <c r="S3311" t="s">
        <v>9622</v>
      </c>
      <c r="T3311" t="s">
        <v>12620</v>
      </c>
      <c r="U3311" t="s">
        <v>12620</v>
      </c>
      <c r="V3311" t="s">
        <v>12620</v>
      </c>
      <c r="W3311" t="s">
        <v>15885</v>
      </c>
      <c r="X3311">
        <v>6</v>
      </c>
      <c r="Y3311" t="s">
        <v>22028</v>
      </c>
      <c r="Z3311" t="s">
        <v>28258</v>
      </c>
      <c r="AA3311">
        <v>0.55102178893366538</v>
      </c>
      <c r="AB3311" t="str">
        <f>HYPERLINK("Melting_Curves/meltCurve_Q32P44_EML3.pdf", "Melting_Curves/meltCurve_Q32P44_EML3.pdf")</f>
        <v>Melting_Curves/meltCurve_Q32P44_EML3.pdf</v>
      </c>
    </row>
    <row r="3312" spans="1:28" x14ac:dyDescent="0.25">
      <c r="A3312" t="s">
        <v>3316</v>
      </c>
      <c r="B3312">
        <v>0.99987803227770999</v>
      </c>
      <c r="C3312">
        <v>1.0073607769058699</v>
      </c>
      <c r="D3312">
        <v>0.86264940294644599</v>
      </c>
      <c r="E3312">
        <v>0.69880259641917397</v>
      </c>
      <c r="F3312">
        <v>0.41181912730939801</v>
      </c>
      <c r="G3312">
        <v>0.348211856680604</v>
      </c>
      <c r="H3312">
        <v>0.24800575746265099</v>
      </c>
      <c r="I3312">
        <v>0.185441768824954</v>
      </c>
      <c r="J3312">
        <v>0.12735376819213801</v>
      </c>
      <c r="K3312">
        <v>8.7818082496447306E-2</v>
      </c>
      <c r="L3312">
        <v>723.503206128589</v>
      </c>
      <c r="M3312">
        <v>13.933189008210899</v>
      </c>
      <c r="N3312">
        <v>52.827110318098399</v>
      </c>
      <c r="O3312">
        <v>50.892038005405198</v>
      </c>
      <c r="P3312">
        <v>-6.1218142756841301E-2</v>
      </c>
      <c r="Q3312">
        <v>0.105704786822684</v>
      </c>
      <c r="R3312">
        <v>0.98650512133000501</v>
      </c>
      <c r="S3312" t="s">
        <v>9623</v>
      </c>
      <c r="T3312" t="s">
        <v>12620</v>
      </c>
      <c r="U3312" t="s">
        <v>12620</v>
      </c>
      <c r="V3312" t="s">
        <v>12620</v>
      </c>
      <c r="W3312" t="s">
        <v>15886</v>
      </c>
      <c r="X3312">
        <v>2</v>
      </c>
      <c r="Y3312" t="s">
        <v>22029</v>
      </c>
      <c r="Z3312" t="s">
        <v>28259</v>
      </c>
      <c r="AA3312">
        <v>0.48362295552473</v>
      </c>
      <c r="AB3312" t="str">
        <f>HYPERLINK("Melting_Curves/meltCurve_Q3B726_TWISTNB.pdf", "Melting_Curves/meltCurve_Q3B726_TWISTNB.pdf")</f>
        <v>Melting_Curves/meltCurve_Q3B726_TWISTNB.pdf</v>
      </c>
    </row>
    <row r="3313" spans="1:28" x14ac:dyDescent="0.25">
      <c r="A3313" t="s">
        <v>3317</v>
      </c>
      <c r="B3313">
        <v>0.99987803227770999</v>
      </c>
      <c r="C3313">
        <v>1.00413666877609</v>
      </c>
      <c r="D3313">
        <v>0.77630535412027302</v>
      </c>
      <c r="E3313">
        <v>0.52094290866317206</v>
      </c>
      <c r="F3313">
        <v>0.33183362098713298</v>
      </c>
      <c r="G3313">
        <v>0.23471424382901099</v>
      </c>
      <c r="H3313">
        <v>0.16051687750345101</v>
      </c>
      <c r="I3313">
        <v>0.133921190406222</v>
      </c>
      <c r="J3313">
        <v>0.11861267055884001</v>
      </c>
      <c r="K3313">
        <v>8.2842230709572903E-2</v>
      </c>
      <c r="L3313">
        <v>818.38488996840601</v>
      </c>
      <c r="M3313">
        <v>16.495269482298198</v>
      </c>
      <c r="N3313">
        <v>50.360993638260297</v>
      </c>
      <c r="O3313">
        <v>48.901336152471004</v>
      </c>
      <c r="P3313">
        <v>-7.5175786729810096E-2</v>
      </c>
      <c r="Q3313">
        <v>0.108607365589224</v>
      </c>
      <c r="R3313">
        <v>0.99325194616239398</v>
      </c>
      <c r="S3313" t="s">
        <v>9624</v>
      </c>
      <c r="T3313" t="s">
        <v>12620</v>
      </c>
      <c r="U3313" t="s">
        <v>12620</v>
      </c>
      <c r="V3313" t="s">
        <v>12620</v>
      </c>
      <c r="W3313" t="s">
        <v>15887</v>
      </c>
      <c r="X3313">
        <v>6</v>
      </c>
      <c r="Y3313" t="s">
        <v>22030</v>
      </c>
      <c r="Z3313" t="s">
        <v>28260</v>
      </c>
      <c r="AA3313">
        <v>0.41230568507099857</v>
      </c>
      <c r="AB3313" t="str">
        <f>HYPERLINK("Melting_Curves/meltCurve_Q3B7T1_5_EDRF1.pdf", "Melting_Curves/meltCurve_Q3B7T1_5_EDRF1.pdf")</f>
        <v>Melting_Curves/meltCurve_Q3B7T1_5_EDRF1.pdf</v>
      </c>
    </row>
    <row r="3314" spans="1:28" x14ac:dyDescent="0.25">
      <c r="A3314" t="s">
        <v>3318</v>
      </c>
      <c r="B3314">
        <v>0.99987803227770999</v>
      </c>
      <c r="C3314">
        <v>0.93910037029456805</v>
      </c>
      <c r="D3314">
        <v>1.0426080194452101</v>
      </c>
      <c r="E3314">
        <v>0.92862417227869998</v>
      </c>
      <c r="F3314">
        <v>0.99702497333514795</v>
      </c>
      <c r="G3314">
        <v>0.89792564144623199</v>
      </c>
      <c r="H3314">
        <v>0.85766662779174896</v>
      </c>
      <c r="I3314">
        <v>0.87646538360585302</v>
      </c>
      <c r="J3314">
        <v>0.70497728895076806</v>
      </c>
      <c r="K3314">
        <v>0.62580302406744304</v>
      </c>
      <c r="L3314">
        <v>650.63411326197001</v>
      </c>
      <c r="M3314">
        <v>8.7340882460458698</v>
      </c>
      <c r="Q3314">
        <v>0</v>
      </c>
      <c r="R3314">
        <v>0.89255311120670699</v>
      </c>
      <c r="S3314" t="s">
        <v>9625</v>
      </c>
      <c r="T3314" t="s">
        <v>12620</v>
      </c>
      <c r="U3314" t="s">
        <v>12620</v>
      </c>
      <c r="V3314" t="s">
        <v>12620</v>
      </c>
      <c r="W3314" t="s">
        <v>15888</v>
      </c>
      <c r="X3314">
        <v>3</v>
      </c>
      <c r="Y3314" t="s">
        <v>22031</v>
      </c>
      <c r="Z3314" t="s">
        <v>28261</v>
      </c>
      <c r="AA3314">
        <v>0.90735781633083512</v>
      </c>
      <c r="AB3314" t="str">
        <f>HYPERLINK("Melting_Curves/meltCurve_Q3B820_FAM161A.pdf", "Melting_Curves/meltCurve_Q3B820_FAM161A.pdf")</f>
        <v>Melting_Curves/meltCurve_Q3B820_FAM161A.pdf</v>
      </c>
    </row>
    <row r="3315" spans="1:28" x14ac:dyDescent="0.25">
      <c r="A3315" t="s">
        <v>3319</v>
      </c>
      <c r="B3315">
        <v>0.99987803227770999</v>
      </c>
      <c r="C3315">
        <v>0.84351937934291399</v>
      </c>
      <c r="D3315">
        <v>1.0086545972468299</v>
      </c>
      <c r="E3315">
        <v>0.875603143467231</v>
      </c>
      <c r="F3315">
        <v>1.0845438495205699</v>
      </c>
      <c r="G3315">
        <v>0.85462287790533298</v>
      </c>
      <c r="H3315">
        <v>0.93657229241869999</v>
      </c>
      <c r="I3315">
        <v>0.89031355738026197</v>
      </c>
      <c r="J3315">
        <v>0.96834047154812397</v>
      </c>
      <c r="K3315">
        <v>0.81782067835828098</v>
      </c>
      <c r="L3315">
        <v>135.44282523643699</v>
      </c>
      <c r="M3315">
        <v>1.0000000000000001E-5</v>
      </c>
      <c r="O3315">
        <v>56.449566248900702</v>
      </c>
      <c r="P3315">
        <v>-2.9010552561713702E-3</v>
      </c>
      <c r="Q3315">
        <v>0.10542339408618701</v>
      </c>
      <c r="R3315">
        <v>9.0172434252055705E-2</v>
      </c>
      <c r="S3315" t="s">
        <v>9626</v>
      </c>
      <c r="T3315" t="s">
        <v>12620</v>
      </c>
      <c r="U3315" t="s">
        <v>12620</v>
      </c>
      <c r="V3315" t="s">
        <v>12620</v>
      </c>
      <c r="W3315" t="s">
        <v>15889</v>
      </c>
      <c r="X3315">
        <v>26</v>
      </c>
      <c r="Y3315" t="s">
        <v>22032</v>
      </c>
      <c r="Z3315" t="s">
        <v>28262</v>
      </c>
      <c r="AA3315">
        <v>0.92952463188769618</v>
      </c>
      <c r="AB3315" t="str">
        <f>HYPERLINK("Melting_Curves/meltCurve_Q3KQU3_2_MAP7D1.pdf", "Melting_Curves/meltCurve_Q3KQU3_2_MAP7D1.pdf")</f>
        <v>Melting_Curves/meltCurve_Q3KQU3_2_MAP7D1.pdf</v>
      </c>
    </row>
    <row r="3316" spans="1:28" x14ac:dyDescent="0.25">
      <c r="A3316" t="s">
        <v>3320</v>
      </c>
      <c r="B3316">
        <v>0.99987803227770999</v>
      </c>
      <c r="C3316">
        <v>0.94286242419829702</v>
      </c>
      <c r="D3316">
        <v>0.90380526658164895</v>
      </c>
      <c r="E3316">
        <v>0.47020763296822599</v>
      </c>
      <c r="F3316">
        <v>0.23141108556540499</v>
      </c>
      <c r="G3316">
        <v>0.16433578255154499</v>
      </c>
      <c r="H3316">
        <v>0.11865593509792099</v>
      </c>
      <c r="I3316">
        <v>0.10565085703775499</v>
      </c>
      <c r="J3316">
        <v>7.0027185726054597E-2</v>
      </c>
      <c r="K3316">
        <v>5.3867566422306799E-2</v>
      </c>
      <c r="L3316">
        <v>1216.88948009873</v>
      </c>
      <c r="M3316">
        <v>24.610888649562298</v>
      </c>
      <c r="N3316">
        <v>49.851002986211697</v>
      </c>
      <c r="O3316">
        <v>49.122181154426798</v>
      </c>
      <c r="P3316">
        <v>-0.113884607592366</v>
      </c>
      <c r="Q3316">
        <v>9.0779647234928498E-2</v>
      </c>
      <c r="R3316">
        <v>0.99544140902924405</v>
      </c>
      <c r="S3316" t="s">
        <v>9627</v>
      </c>
      <c r="T3316" t="s">
        <v>12620</v>
      </c>
      <c r="U3316" t="s">
        <v>12620</v>
      </c>
      <c r="V3316" t="s">
        <v>12620</v>
      </c>
      <c r="W3316" t="s">
        <v>15890</v>
      </c>
      <c r="X3316">
        <v>7</v>
      </c>
      <c r="Y3316" t="s">
        <v>22033</v>
      </c>
      <c r="Z3316" t="s">
        <v>28263</v>
      </c>
      <c r="AA3316">
        <v>0.38538406526248231</v>
      </c>
      <c r="AB3316" t="str">
        <f>HYPERLINK("Melting_Curves/meltCurve_Q3KQV9_UAP1L1.pdf", "Melting_Curves/meltCurve_Q3KQV9_UAP1L1.pdf")</f>
        <v>Melting_Curves/meltCurve_Q3KQV9_UAP1L1.pdf</v>
      </c>
    </row>
    <row r="3317" spans="1:28" x14ac:dyDescent="0.25">
      <c r="A3317" t="s">
        <v>3321</v>
      </c>
      <c r="B3317">
        <v>0.99987803227770999</v>
      </c>
      <c r="C3317">
        <v>0.75941222560538801</v>
      </c>
      <c r="D3317">
        <v>0.99729170293584202</v>
      </c>
      <c r="E3317">
        <v>0.71123540360410598</v>
      </c>
      <c r="F3317">
        <v>0.75308697400007196</v>
      </c>
      <c r="G3317">
        <v>0.30303165745152999</v>
      </c>
      <c r="H3317">
        <v>0.120490445289428</v>
      </c>
      <c r="I3317">
        <v>6.2180240635553302E-2</v>
      </c>
      <c r="J3317">
        <v>3.8335834096099301E-2</v>
      </c>
      <c r="K3317">
        <v>2.6752618936179501E-2</v>
      </c>
      <c r="L3317">
        <v>907.15614817113999</v>
      </c>
      <c r="M3317">
        <v>16.600947939232999</v>
      </c>
      <c r="N3317">
        <v>54.644840264445797</v>
      </c>
      <c r="O3317">
        <v>53.870383492088401</v>
      </c>
      <c r="P3317">
        <v>-7.7046396750156704E-2</v>
      </c>
      <c r="Q3317">
        <v>0</v>
      </c>
      <c r="R3317">
        <v>0.94211105640071602</v>
      </c>
      <c r="S3317" t="s">
        <v>9628</v>
      </c>
      <c r="T3317" t="s">
        <v>12620</v>
      </c>
      <c r="U3317" t="s">
        <v>12620</v>
      </c>
      <c r="V3317" t="s">
        <v>12620</v>
      </c>
      <c r="W3317" t="s">
        <v>15891</v>
      </c>
      <c r="X3317">
        <v>4</v>
      </c>
      <c r="Y3317" t="s">
        <v>22034</v>
      </c>
      <c r="Z3317" t="s">
        <v>28264</v>
      </c>
      <c r="AA3317">
        <v>0.50563873598926534</v>
      </c>
      <c r="AB3317" t="str">
        <f>HYPERLINK("Melting_Curves/meltCurve_Q3KRA6_C2orf76.pdf", "Melting_Curves/meltCurve_Q3KRA6_C2orf76.pdf")</f>
        <v>Melting_Curves/meltCurve_Q3KRA6_C2orf76.pdf</v>
      </c>
    </row>
    <row r="3318" spans="1:28" x14ac:dyDescent="0.25">
      <c r="A3318" t="s">
        <v>3322</v>
      </c>
      <c r="B3318">
        <v>0.99987803227770999</v>
      </c>
      <c r="C3318">
        <v>0.88898701476696695</v>
      </c>
      <c r="D3318">
        <v>0.94315152325511598</v>
      </c>
      <c r="E3318">
        <v>0.75622879686575994</v>
      </c>
      <c r="F3318">
        <v>0.84870718727759797</v>
      </c>
      <c r="G3318">
        <v>0.61963378784797396</v>
      </c>
      <c r="H3318">
        <v>0.62560438924764294</v>
      </c>
      <c r="I3318">
        <v>0.509390763216511</v>
      </c>
      <c r="J3318">
        <v>0.47613001384901799</v>
      </c>
      <c r="K3318">
        <v>0.28716552569281401</v>
      </c>
      <c r="L3318">
        <v>383.49547696151899</v>
      </c>
      <c r="M3318">
        <v>6.0087189844232798</v>
      </c>
      <c r="N3318">
        <v>63.823167292080399</v>
      </c>
      <c r="O3318">
        <v>57.831301261610399</v>
      </c>
      <c r="P3318">
        <v>-2.6058883926225501E-2</v>
      </c>
      <c r="Q3318">
        <v>0</v>
      </c>
      <c r="R3318">
        <v>0.93008313635952</v>
      </c>
      <c r="S3318" t="s">
        <v>9629</v>
      </c>
      <c r="T3318" t="s">
        <v>12620</v>
      </c>
      <c r="U3318" t="s">
        <v>12620</v>
      </c>
      <c r="V3318" t="s">
        <v>12620</v>
      </c>
      <c r="W3318" t="s">
        <v>15892</v>
      </c>
      <c r="X3318">
        <v>5</v>
      </c>
      <c r="Y3318" t="s">
        <v>22035</v>
      </c>
      <c r="Z3318" t="s">
        <v>28265</v>
      </c>
      <c r="AA3318">
        <v>0.70556970630021132</v>
      </c>
      <c r="AB3318" t="str">
        <f>HYPERLINK("Melting_Curves/meltCurve_Q3KRA9_ALKBH6.pdf", "Melting_Curves/meltCurve_Q3KRA9_ALKBH6.pdf")</f>
        <v>Melting_Curves/meltCurve_Q3KRA9_ALKBH6.pdf</v>
      </c>
    </row>
    <row r="3319" spans="1:28" x14ac:dyDescent="0.25">
      <c r="A3319" t="s">
        <v>3323</v>
      </c>
      <c r="B3319">
        <v>0.99987803227770999</v>
      </c>
      <c r="C3319">
        <v>0.90657909767919098</v>
      </c>
      <c r="D3319">
        <v>0.99819136581396795</v>
      </c>
      <c r="E3319">
        <v>0.74520727051050994</v>
      </c>
      <c r="F3319">
        <v>1.00453647490229</v>
      </c>
      <c r="G3319">
        <v>0.74571939297558698</v>
      </c>
      <c r="H3319">
        <v>0.92828193338938703</v>
      </c>
      <c r="I3319">
        <v>0.56945243628382702</v>
      </c>
      <c r="J3319">
        <v>0.65464522922968604</v>
      </c>
      <c r="K3319">
        <v>0.55518660871887904</v>
      </c>
      <c r="L3319">
        <v>356.96932798137698</v>
      </c>
      <c r="M3319">
        <v>4.7842844655507601</v>
      </c>
      <c r="O3319">
        <v>64.431061276338696</v>
      </c>
      <c r="P3319">
        <v>-1.8695766657040501E-2</v>
      </c>
      <c r="Q3319">
        <v>0</v>
      </c>
      <c r="R3319">
        <v>0.63395829585395702</v>
      </c>
      <c r="S3319" t="s">
        <v>9630</v>
      </c>
      <c r="T3319" t="s">
        <v>12620</v>
      </c>
      <c r="U3319" t="s">
        <v>12620</v>
      </c>
      <c r="V3319" t="s">
        <v>12620</v>
      </c>
      <c r="W3319" t="s">
        <v>15893</v>
      </c>
      <c r="X3319">
        <v>9</v>
      </c>
      <c r="Y3319" t="s">
        <v>22036</v>
      </c>
      <c r="Z3319" t="s">
        <v>28266</v>
      </c>
      <c r="AA3319">
        <v>0.82298012691359379</v>
      </c>
      <c r="AB3319" t="str">
        <f>HYPERLINK("Melting_Curves/meltCurve_Q3L8U1_2_CHD9.pdf", "Melting_Curves/meltCurve_Q3L8U1_2_CHD9.pdf")</f>
        <v>Melting_Curves/meltCurve_Q3L8U1_2_CHD9.pdf</v>
      </c>
    </row>
    <row r="3320" spans="1:28" x14ac:dyDescent="0.25">
      <c r="A3320" t="s">
        <v>3324</v>
      </c>
      <c r="B3320">
        <v>0.99987803227770999</v>
      </c>
      <c r="C3320">
        <v>0.90438596469504795</v>
      </c>
      <c r="D3320">
        <v>0.87086045512875399</v>
      </c>
      <c r="E3320">
        <v>0.57557041941988396</v>
      </c>
      <c r="F3320">
        <v>0.40765636580190401</v>
      </c>
      <c r="G3320">
        <v>0.253751178476603</v>
      </c>
      <c r="H3320">
        <v>0.118463736853468</v>
      </c>
      <c r="I3320">
        <v>8.7376910505917907E-2</v>
      </c>
      <c r="J3320">
        <v>6.4629603501132005E-2</v>
      </c>
      <c r="K3320">
        <v>4.8614390264464298E-2</v>
      </c>
      <c r="L3320">
        <v>693.13625046821198</v>
      </c>
      <c r="M3320">
        <v>13.496305035722401</v>
      </c>
      <c r="N3320">
        <v>51.553361563802099</v>
      </c>
      <c r="O3320">
        <v>50.269267261544798</v>
      </c>
      <c r="P3320">
        <v>-6.5452454396048701E-2</v>
      </c>
      <c r="Q3320">
        <v>2.4993544481259001E-2</v>
      </c>
      <c r="R3320">
        <v>0.99662919545903506</v>
      </c>
      <c r="S3320" t="s">
        <v>9631</v>
      </c>
      <c r="T3320" t="s">
        <v>12620</v>
      </c>
      <c r="U3320" t="s">
        <v>12620</v>
      </c>
      <c r="V3320" t="s">
        <v>12620</v>
      </c>
      <c r="W3320" t="s">
        <v>15894</v>
      </c>
      <c r="X3320">
        <v>17</v>
      </c>
      <c r="Y3320" t="s">
        <v>22037</v>
      </c>
      <c r="Z3320" t="s">
        <v>28267</v>
      </c>
      <c r="AA3320">
        <v>0.42036923729150732</v>
      </c>
      <c r="AB3320" t="str">
        <f>HYPERLINK("Melting_Curves/meltCurve_Q3LXA3_DAK.pdf", "Melting_Curves/meltCurve_Q3LXA3_DAK.pdf")</f>
        <v>Melting_Curves/meltCurve_Q3LXA3_DAK.pdf</v>
      </c>
    </row>
    <row r="3321" spans="1:28" x14ac:dyDescent="0.25">
      <c r="A3321" t="s">
        <v>3325</v>
      </c>
      <c r="B3321">
        <v>0.99987803227770999</v>
      </c>
      <c r="C3321">
        <v>1.08893480279821</v>
      </c>
      <c r="D3321">
        <v>1.1015745327746</v>
      </c>
      <c r="E3321">
        <v>1.14007928600102</v>
      </c>
      <c r="F3321">
        <v>1.08543512627877</v>
      </c>
      <c r="G3321">
        <v>0.80536090927610204</v>
      </c>
      <c r="H3321">
        <v>0.358585308033322</v>
      </c>
      <c r="I3321">
        <v>0.19180661093912299</v>
      </c>
      <c r="J3321">
        <v>0.122659008111404</v>
      </c>
      <c r="K3321">
        <v>8.0183153676022301E-2</v>
      </c>
      <c r="L3321">
        <v>2022.2653438199</v>
      </c>
      <c r="M3321">
        <v>34.047913919100701</v>
      </c>
      <c r="N3321">
        <v>59.778816118235802</v>
      </c>
      <c r="O3321">
        <v>59.190922824902103</v>
      </c>
      <c r="P3321">
        <v>-0.129677028171236</v>
      </c>
      <c r="Q3321">
        <v>9.8250457696381799E-2</v>
      </c>
      <c r="R3321">
        <v>0.97307217408026503</v>
      </c>
      <c r="S3321" t="s">
        <v>9632</v>
      </c>
      <c r="T3321" t="s">
        <v>12620</v>
      </c>
      <c r="U3321" t="s">
        <v>12620</v>
      </c>
      <c r="V3321" t="s">
        <v>12620</v>
      </c>
      <c r="W3321" t="s">
        <v>15895</v>
      </c>
      <c r="X3321">
        <v>5</v>
      </c>
      <c r="Y3321" t="s">
        <v>22038</v>
      </c>
      <c r="Z3321" t="s">
        <v>28268</v>
      </c>
      <c r="AA3321">
        <v>0.68590076881803197</v>
      </c>
      <c r="AB3321" t="str">
        <f>HYPERLINK("Melting_Curves/meltCurve_Q3MHD2_LSM12.pdf", "Melting_Curves/meltCurve_Q3MHD2_LSM12.pdf")</f>
        <v>Melting_Curves/meltCurve_Q3MHD2_LSM12.pdf</v>
      </c>
    </row>
    <row r="3322" spans="1:28" x14ac:dyDescent="0.25">
      <c r="A3322" t="s">
        <v>3326</v>
      </c>
      <c r="B3322">
        <v>0.99987803227770999</v>
      </c>
      <c r="C3322">
        <v>1.1206416726559201</v>
      </c>
      <c r="D3322">
        <v>1.03462766924234</v>
      </c>
      <c r="E3322">
        <v>0.80677747655105503</v>
      </c>
      <c r="F3322">
        <v>0.64724761214384896</v>
      </c>
      <c r="G3322">
        <v>0.39101034484772901</v>
      </c>
      <c r="H3322">
        <v>0.35394108198840202</v>
      </c>
      <c r="I3322">
        <v>0.37368328932270201</v>
      </c>
      <c r="J3322">
        <v>0.22887981029839399</v>
      </c>
      <c r="K3322">
        <v>0.16750556519528201</v>
      </c>
      <c r="L3322">
        <v>1009.96521412325</v>
      </c>
      <c r="M3322">
        <v>18.9135142358741</v>
      </c>
      <c r="N3322">
        <v>55.346895622323899</v>
      </c>
      <c r="O3322">
        <v>52.8129274359517</v>
      </c>
      <c r="P3322">
        <v>-6.7775856024101896E-2</v>
      </c>
      <c r="Q3322">
        <v>0.24301837848617699</v>
      </c>
      <c r="R3322">
        <v>0.96273345216085704</v>
      </c>
      <c r="S3322" t="s">
        <v>9633</v>
      </c>
      <c r="T3322" t="s">
        <v>12620</v>
      </c>
      <c r="U3322" t="s">
        <v>12620</v>
      </c>
      <c r="V3322" t="s">
        <v>12620</v>
      </c>
      <c r="W3322" t="s">
        <v>15896</v>
      </c>
      <c r="X3322">
        <v>4</v>
      </c>
      <c r="Y3322" t="s">
        <v>22039</v>
      </c>
      <c r="Z3322" t="s">
        <v>28269</v>
      </c>
      <c r="AA3322">
        <v>0.59248120736383425</v>
      </c>
      <c r="AB3322" t="str">
        <f>HYPERLINK("Melting_Curves/meltCurve_Q3MII6_TBC1D25.pdf", "Melting_Curves/meltCurve_Q3MII6_TBC1D25.pdf")</f>
        <v>Melting_Curves/meltCurve_Q3MII6_TBC1D25.pdf</v>
      </c>
    </row>
    <row r="3323" spans="1:28" x14ac:dyDescent="0.25">
      <c r="A3323" t="s">
        <v>3327</v>
      </c>
      <c r="B3323">
        <v>0.99987803227770999</v>
      </c>
      <c r="C3323">
        <v>1.1298559396366401</v>
      </c>
      <c r="D3323">
        <v>1.0499412462970901</v>
      </c>
      <c r="E3323">
        <v>1.07782152675692</v>
      </c>
      <c r="F3323">
        <v>0.83641788390869198</v>
      </c>
      <c r="G3323">
        <v>0.38407881596137</v>
      </c>
      <c r="H3323">
        <v>0.19928292107308401</v>
      </c>
      <c r="I3323">
        <v>0.15599146772787501</v>
      </c>
      <c r="J3323">
        <v>9.3918029501633804E-2</v>
      </c>
      <c r="K3323">
        <v>7.1358311910674405E-2</v>
      </c>
      <c r="L3323">
        <v>1805.4310844382201</v>
      </c>
      <c r="M3323">
        <v>32.430901888784298</v>
      </c>
      <c r="N3323">
        <v>56.103476878853002</v>
      </c>
      <c r="O3323">
        <v>55.459700501800597</v>
      </c>
      <c r="P3323">
        <v>-0.129993840503973</v>
      </c>
      <c r="Q3323">
        <v>0.110800608692527</v>
      </c>
      <c r="R3323">
        <v>0.98151463303472997</v>
      </c>
      <c r="S3323" t="s">
        <v>9634</v>
      </c>
      <c r="T3323" t="s">
        <v>12620</v>
      </c>
      <c r="U3323" t="s">
        <v>12620</v>
      </c>
      <c r="V3323" t="s">
        <v>12620</v>
      </c>
      <c r="W3323" t="s">
        <v>15897</v>
      </c>
      <c r="X3323">
        <v>6</v>
      </c>
      <c r="Y3323" t="s">
        <v>22040</v>
      </c>
      <c r="Z3323" t="s">
        <v>28270</v>
      </c>
      <c r="AA3323">
        <v>0.58037848776375767</v>
      </c>
      <c r="AB3323" t="str">
        <f>HYPERLINK("Melting_Curves/meltCurve_Q3MIT2_PUS10.pdf", "Melting_Curves/meltCurve_Q3MIT2_PUS10.pdf")</f>
        <v>Melting_Curves/meltCurve_Q3MIT2_PUS10.pdf</v>
      </c>
    </row>
    <row r="3324" spans="1:28" x14ac:dyDescent="0.25">
      <c r="A3324" t="s">
        <v>3328</v>
      </c>
      <c r="B3324">
        <v>0.99987803227770999</v>
      </c>
      <c r="C3324">
        <v>0.88255523316499096</v>
      </c>
      <c r="D3324">
        <v>0.925653470479887</v>
      </c>
      <c r="E3324">
        <v>0.93113726102668704</v>
      </c>
      <c r="F3324">
        <v>0.90429265545765303</v>
      </c>
      <c r="G3324">
        <v>0.62030421586753204</v>
      </c>
      <c r="H3324">
        <v>0.53394345594510895</v>
      </c>
      <c r="I3324">
        <v>0.54601184191479502</v>
      </c>
      <c r="J3324">
        <v>0.59064486582349496</v>
      </c>
      <c r="K3324">
        <v>0.45882602468604899</v>
      </c>
      <c r="L3324">
        <v>1733.96073635427</v>
      </c>
      <c r="M3324">
        <v>31.631076910621999</v>
      </c>
      <c r="O3324">
        <v>54.600555401847402</v>
      </c>
      <c r="P3324">
        <v>-6.8884623976388004E-2</v>
      </c>
      <c r="Q3324">
        <v>0.52437675132627504</v>
      </c>
      <c r="R3324">
        <v>0.91860309845235899</v>
      </c>
      <c r="S3324" t="s">
        <v>9635</v>
      </c>
      <c r="T3324" t="s">
        <v>12620</v>
      </c>
      <c r="U3324" t="s">
        <v>12620</v>
      </c>
      <c r="V3324" t="s">
        <v>12620</v>
      </c>
      <c r="W3324" t="s">
        <v>15898</v>
      </c>
      <c r="X3324">
        <v>1</v>
      </c>
      <c r="Y3324" t="s">
        <v>22041</v>
      </c>
      <c r="Z3324" t="s">
        <v>28271</v>
      </c>
      <c r="AA3324">
        <v>0.76215440852776939</v>
      </c>
      <c r="AB3324" t="str">
        <f>HYPERLINK("Melting_Curves/meltCurve_Q3SY56_SP6.pdf", "Melting_Curves/meltCurve_Q3SY56_SP6.pdf")</f>
        <v>Melting_Curves/meltCurve_Q3SY56_SP6.pdf</v>
      </c>
    </row>
    <row r="3325" spans="1:28" x14ac:dyDescent="0.25">
      <c r="A3325" t="s">
        <v>3329</v>
      </c>
      <c r="B3325">
        <v>0.99987803227770999</v>
      </c>
      <c r="C3325">
        <v>1.07875837103076</v>
      </c>
      <c r="D3325">
        <v>1.0294083520919</v>
      </c>
      <c r="E3325">
        <v>0.74258831425899097</v>
      </c>
      <c r="F3325">
        <v>1.1568085153494001</v>
      </c>
      <c r="G3325">
        <v>0.89356427401290695</v>
      </c>
      <c r="H3325">
        <v>0.90296334546296098</v>
      </c>
      <c r="I3325">
        <v>0.97554980619776599</v>
      </c>
      <c r="J3325">
        <v>0.62047722185299503</v>
      </c>
      <c r="K3325">
        <v>0.57074676853998996</v>
      </c>
      <c r="L3325">
        <v>6804.9106733458002</v>
      </c>
      <c r="M3325">
        <v>103.56998332307801</v>
      </c>
      <c r="O3325">
        <v>65.679014554109798</v>
      </c>
      <c r="P3325">
        <v>-0.169624518319484</v>
      </c>
      <c r="Q3325">
        <v>0.56972973228576096</v>
      </c>
      <c r="R3325">
        <v>0.65272562356767405</v>
      </c>
      <c r="S3325" t="s">
        <v>9636</v>
      </c>
      <c r="T3325" t="s">
        <v>12620</v>
      </c>
      <c r="U3325" t="s">
        <v>12620</v>
      </c>
      <c r="V3325" t="s">
        <v>12620</v>
      </c>
      <c r="W3325" t="s">
        <v>15899</v>
      </c>
      <c r="X3325">
        <v>3</v>
      </c>
      <c r="Y3325" t="s">
        <v>22042</v>
      </c>
      <c r="Z3325" t="s">
        <v>28272</v>
      </c>
      <c r="AA3325">
        <v>0.93864927324588976</v>
      </c>
      <c r="AB3325" t="str">
        <f>HYPERLINK("Melting_Curves/meltCurve_Q3T8J9_3_GON4L.pdf", "Melting_Curves/meltCurve_Q3T8J9_3_GON4L.pdf")</f>
        <v>Melting_Curves/meltCurve_Q3T8J9_3_GON4L.pdf</v>
      </c>
    </row>
    <row r="3326" spans="1:28" x14ac:dyDescent="0.25">
      <c r="A3326" t="s">
        <v>3330</v>
      </c>
      <c r="B3326">
        <v>0.99987803227770999</v>
      </c>
      <c r="C3326">
        <v>1.05123548931672</v>
      </c>
      <c r="D3326">
        <v>0.90489115141587495</v>
      </c>
      <c r="E3326">
        <v>0.66395342815539704</v>
      </c>
      <c r="F3326">
        <v>0.47645791509847302</v>
      </c>
      <c r="G3326">
        <v>0.33303736772166798</v>
      </c>
      <c r="H3326">
        <v>0.30342797488404</v>
      </c>
      <c r="I3326">
        <v>0.28484556661820298</v>
      </c>
      <c r="J3326">
        <v>0.26538220524002298</v>
      </c>
      <c r="K3326">
        <v>0.220364519532431</v>
      </c>
      <c r="L3326">
        <v>1019.81197933647</v>
      </c>
      <c r="M3326">
        <v>20.1445628724627</v>
      </c>
      <c r="N3326">
        <v>52.520347354101403</v>
      </c>
      <c r="O3326">
        <v>50.133715360369102</v>
      </c>
      <c r="P3326">
        <v>-7.4504683700755206E-2</v>
      </c>
      <c r="Q3326">
        <v>0.25834510001276401</v>
      </c>
      <c r="R3326">
        <v>0.99212890177327895</v>
      </c>
      <c r="S3326" t="s">
        <v>9637</v>
      </c>
      <c r="T3326" t="s">
        <v>12620</v>
      </c>
      <c r="U3326" t="s">
        <v>12620</v>
      </c>
      <c r="V3326" t="s">
        <v>12620</v>
      </c>
      <c r="W3326" t="s">
        <v>15900</v>
      </c>
      <c r="X3326">
        <v>35</v>
      </c>
      <c r="Y3326" t="s">
        <v>22043</v>
      </c>
      <c r="Z3326" t="s">
        <v>28273</v>
      </c>
      <c r="AA3326">
        <v>0.53117117772634304</v>
      </c>
      <c r="AB3326" t="str">
        <f>HYPERLINK("Melting_Curves/meltCurve_Q3V6T2_2_CCDC88A.pdf", "Melting_Curves/meltCurve_Q3V6T2_2_CCDC88A.pdf")</f>
        <v>Melting_Curves/meltCurve_Q3V6T2_2_CCDC88A.pdf</v>
      </c>
    </row>
    <row r="3327" spans="1:28" x14ac:dyDescent="0.25">
      <c r="A3327" t="s">
        <v>3331</v>
      </c>
      <c r="B3327">
        <v>0.99987803227770999</v>
      </c>
      <c r="C3327">
        <v>0.95653497359730799</v>
      </c>
      <c r="D3327">
        <v>0.82705395978850904</v>
      </c>
      <c r="E3327">
        <v>0.61605543125103301</v>
      </c>
      <c r="F3327">
        <v>0.48752206920954599</v>
      </c>
      <c r="G3327">
        <v>0.29477779735988102</v>
      </c>
      <c r="H3327">
        <v>0.29673612276617001</v>
      </c>
      <c r="I3327">
        <v>0.216251458969757</v>
      </c>
      <c r="J3327">
        <v>0.20310736660551501</v>
      </c>
      <c r="K3327">
        <v>0.18266896177040901</v>
      </c>
      <c r="L3327">
        <v>700.84733654321303</v>
      </c>
      <c r="M3327">
        <v>13.831627562983099</v>
      </c>
      <c r="N3327">
        <v>52.350961791139397</v>
      </c>
      <c r="O3327">
        <v>49.6459783701982</v>
      </c>
      <c r="P3327">
        <v>-5.7169736910327597E-2</v>
      </c>
      <c r="Q3327">
        <v>0.17931424156450901</v>
      </c>
      <c r="R3327">
        <v>0.99508913459127502</v>
      </c>
      <c r="S3327" t="s">
        <v>9638</v>
      </c>
      <c r="T3327" t="s">
        <v>12620</v>
      </c>
      <c r="U3327" t="s">
        <v>12620</v>
      </c>
      <c r="V3327" t="s">
        <v>12620</v>
      </c>
      <c r="W3327" t="s">
        <v>15901</v>
      </c>
      <c r="X3327">
        <v>35</v>
      </c>
      <c r="Y3327" t="s">
        <v>22043</v>
      </c>
      <c r="Z3327" t="s">
        <v>28274</v>
      </c>
      <c r="AA3327">
        <v>0.49311645254401848</v>
      </c>
      <c r="AB3327" t="str">
        <f>HYPERLINK("Melting_Curves/meltCurve_Q3V6T2_4_CCDC88A.pdf", "Melting_Curves/meltCurve_Q3V6T2_4_CCDC88A.pdf")</f>
        <v>Melting_Curves/meltCurve_Q3V6T2_4_CCDC88A.pdf</v>
      </c>
    </row>
    <row r="3328" spans="1:28" x14ac:dyDescent="0.25">
      <c r="A3328" t="s">
        <v>3332</v>
      </c>
      <c r="B3328">
        <v>0.99987803227770999</v>
      </c>
      <c r="C3328">
        <v>0.81461448452765395</v>
      </c>
      <c r="D3328">
        <v>1.03004772262472</v>
      </c>
      <c r="E3328">
        <v>0.90311819187145903</v>
      </c>
      <c r="F3328">
        <v>0.64068722513903797</v>
      </c>
      <c r="G3328">
        <v>0.64705615923930504</v>
      </c>
      <c r="H3328">
        <v>0.45327827656423803</v>
      </c>
      <c r="I3328">
        <v>0.42235451799805002</v>
      </c>
      <c r="J3328">
        <v>0.34009179315850901</v>
      </c>
      <c r="K3328">
        <v>0.28423798522816401</v>
      </c>
      <c r="L3328">
        <v>527.89102911821703</v>
      </c>
      <c r="M3328">
        <v>9.1151800098268705</v>
      </c>
      <c r="N3328">
        <v>60.209060045937498</v>
      </c>
      <c r="O3328">
        <v>55.330172415329699</v>
      </c>
      <c r="P3328">
        <v>-3.5164101426190801E-2</v>
      </c>
      <c r="Q3328">
        <v>0.14679008527119</v>
      </c>
      <c r="R3328">
        <v>0.92351119187026698</v>
      </c>
      <c r="S3328" t="s">
        <v>9639</v>
      </c>
      <c r="T3328" t="s">
        <v>12620</v>
      </c>
      <c r="U3328" t="s">
        <v>12620</v>
      </c>
      <c r="V3328" t="s">
        <v>12620</v>
      </c>
      <c r="W3328" t="s">
        <v>15902</v>
      </c>
      <c r="X3328">
        <v>31</v>
      </c>
      <c r="Y3328" t="s">
        <v>22043</v>
      </c>
      <c r="Z3328" t="s">
        <v>28275</v>
      </c>
      <c r="AA3328">
        <v>0.66332698540838109</v>
      </c>
      <c r="AB3328" t="str">
        <f>HYPERLINK("Melting_Curves/meltCurve_Q3V6T2_5_CCDC88A.pdf", "Melting_Curves/meltCurve_Q3V6T2_5_CCDC88A.pdf")</f>
        <v>Melting_Curves/meltCurve_Q3V6T2_5_CCDC88A.pdf</v>
      </c>
    </row>
    <row r="3329" spans="1:28" x14ac:dyDescent="0.25">
      <c r="A3329" t="s">
        <v>3333</v>
      </c>
      <c r="B3329">
        <v>0.99987803227770999</v>
      </c>
      <c r="C3329">
        <v>1.00161132746617</v>
      </c>
      <c r="D3329">
        <v>0.92279960429564301</v>
      </c>
      <c r="E3329">
        <v>1.1076057715783001</v>
      </c>
      <c r="F3329">
        <v>1.22185404572334</v>
      </c>
      <c r="G3329">
        <v>0.98243396187254495</v>
      </c>
      <c r="H3329">
        <v>0.63442434429369698</v>
      </c>
      <c r="I3329">
        <v>0.58600619186209402</v>
      </c>
      <c r="J3329">
        <v>0.457300454755805</v>
      </c>
      <c r="K3329">
        <v>0.35765343794960502</v>
      </c>
      <c r="L3329">
        <v>1983.08785074257</v>
      </c>
      <c r="M3329">
        <v>32.530489543237998</v>
      </c>
      <c r="N3329">
        <v>64.250818020848797</v>
      </c>
      <c r="O3329">
        <v>60.731922838339997</v>
      </c>
      <c r="P3329">
        <v>-7.9613912597967906E-2</v>
      </c>
      <c r="Q3329">
        <v>0.40547068035119599</v>
      </c>
      <c r="R3329">
        <v>0.89231203831552397</v>
      </c>
      <c r="S3329" t="s">
        <v>9640</v>
      </c>
      <c r="T3329" t="s">
        <v>12620</v>
      </c>
      <c r="U3329" t="s">
        <v>12620</v>
      </c>
      <c r="V3329" t="s">
        <v>12620</v>
      </c>
      <c r="W3329" t="s">
        <v>15903</v>
      </c>
      <c r="X3329">
        <v>19</v>
      </c>
      <c r="Y3329" t="s">
        <v>22044</v>
      </c>
      <c r="Z3329" t="s">
        <v>28276</v>
      </c>
      <c r="AA3329">
        <v>0.82388624945625766</v>
      </c>
      <c r="AB3329" t="str">
        <f>HYPERLINK("Melting_Curves/meltCurve_Q3YEC7_RABL6.pdf", "Melting_Curves/meltCurve_Q3YEC7_RABL6.pdf")</f>
        <v>Melting_Curves/meltCurve_Q3YEC7_RABL6.pdf</v>
      </c>
    </row>
    <row r="3330" spans="1:28" x14ac:dyDescent="0.25">
      <c r="A3330" t="s">
        <v>3334</v>
      </c>
      <c r="B3330">
        <v>0.99987803227770999</v>
      </c>
      <c r="C3330">
        <v>0.88142415935874796</v>
      </c>
      <c r="D3330">
        <v>0.86813814826697899</v>
      </c>
      <c r="E3330">
        <v>0.751737524994051</v>
      </c>
      <c r="F3330">
        <v>0.67982876657245705</v>
      </c>
      <c r="G3330">
        <v>0.39531256948115301</v>
      </c>
      <c r="H3330">
        <v>0.125992960303282</v>
      </c>
      <c r="I3330">
        <v>0.136311010796275</v>
      </c>
      <c r="J3330">
        <v>9.6566159607273896E-2</v>
      </c>
      <c r="K3330">
        <v>4.6330666974160502E-2</v>
      </c>
      <c r="L3330">
        <v>707.60879553905602</v>
      </c>
      <c r="M3330">
        <v>12.928386809271201</v>
      </c>
      <c r="N3330">
        <v>54.732953594869997</v>
      </c>
      <c r="O3330">
        <v>53.4730646808137</v>
      </c>
      <c r="P3330">
        <v>-6.0454364886668201E-2</v>
      </c>
      <c r="Q3330">
        <v>0</v>
      </c>
      <c r="R3330">
        <v>0.98047771437429698</v>
      </c>
      <c r="S3330" t="s">
        <v>9641</v>
      </c>
      <c r="T3330" t="s">
        <v>12620</v>
      </c>
      <c r="U3330" t="s">
        <v>12620</v>
      </c>
      <c r="V3330" t="s">
        <v>12620</v>
      </c>
      <c r="W3330" t="s">
        <v>15904</v>
      </c>
      <c r="X3330">
        <v>11</v>
      </c>
      <c r="Y3330" t="s">
        <v>22045</v>
      </c>
      <c r="Z3330" t="s">
        <v>28277</v>
      </c>
      <c r="AA3330">
        <v>0.51386839276999585</v>
      </c>
      <c r="AB3330" t="str">
        <f>HYPERLINK("Melting_Curves/meltCurve_Q3ZCM7_TUBB8.pdf", "Melting_Curves/meltCurve_Q3ZCM7_TUBB8.pdf")</f>
        <v>Melting_Curves/meltCurve_Q3ZCM7_TUBB8.pdf</v>
      </c>
    </row>
    <row r="3331" spans="1:28" x14ac:dyDescent="0.25">
      <c r="A3331" t="s">
        <v>3335</v>
      </c>
      <c r="B3331">
        <v>0.99987803227770999</v>
      </c>
      <c r="C3331">
        <v>0.91062082579436499</v>
      </c>
      <c r="D3331">
        <v>0.80461126971064301</v>
      </c>
      <c r="E3331">
        <v>0.412579656151211</v>
      </c>
      <c r="F3331">
        <v>0.23577797080658</v>
      </c>
      <c r="G3331">
        <v>0.14923041960633901</v>
      </c>
      <c r="H3331">
        <v>0.14342036143327899</v>
      </c>
      <c r="I3331">
        <v>0.14158104567158999</v>
      </c>
      <c r="J3331">
        <v>0.12116402959606599</v>
      </c>
      <c r="K3331">
        <v>0.108192499041143</v>
      </c>
      <c r="L3331">
        <v>1041.5796153056599</v>
      </c>
      <c r="M3331">
        <v>21.511561094893001</v>
      </c>
      <c r="N3331">
        <v>49.054991316521701</v>
      </c>
      <c r="O3331">
        <v>48.006914608186001</v>
      </c>
      <c r="P3331">
        <v>-9.8403311049338693E-2</v>
      </c>
      <c r="Q3331">
        <v>0.121602661338626</v>
      </c>
      <c r="R3331">
        <v>0.99786235023567005</v>
      </c>
      <c r="S3331" t="s">
        <v>9642</v>
      </c>
      <c r="T3331" t="s">
        <v>12620</v>
      </c>
      <c r="U3331" t="s">
        <v>12620</v>
      </c>
      <c r="V3331" t="s">
        <v>12620</v>
      </c>
      <c r="W3331" t="s">
        <v>12790</v>
      </c>
      <c r="X3331">
        <v>1</v>
      </c>
      <c r="Y3331" t="s">
        <v>22046</v>
      </c>
      <c r="Z3331" t="s">
        <v>28278</v>
      </c>
      <c r="AA3331">
        <v>0.37876627873069141</v>
      </c>
      <c r="AB3331" t="str">
        <f>HYPERLINK("Melting_Curves/meltCurve_Q3ZCV1_USP38.pdf", "Melting_Curves/meltCurve_Q3ZCV1_USP38.pdf")</f>
        <v>Melting_Curves/meltCurve_Q3ZCV1_USP38.pdf</v>
      </c>
    </row>
    <row r="3332" spans="1:28" x14ac:dyDescent="0.25">
      <c r="A3332" t="s">
        <v>3336</v>
      </c>
      <c r="B3332">
        <v>0.99987803227770999</v>
      </c>
      <c r="C3332">
        <v>0.84860895717780305</v>
      </c>
      <c r="D3332">
        <v>1.03352433558181</v>
      </c>
      <c r="E3332">
        <v>0.80783979168067399</v>
      </c>
      <c r="F3332">
        <v>0.80845683107403798</v>
      </c>
      <c r="G3332">
        <v>0.27450337310343897</v>
      </c>
      <c r="H3332">
        <v>0.11921600996133</v>
      </c>
      <c r="I3332">
        <v>9.0196975370864296E-2</v>
      </c>
      <c r="J3332">
        <v>7.0558559286278202E-2</v>
      </c>
      <c r="K3332">
        <v>4.4248718733968399E-2</v>
      </c>
      <c r="L3332">
        <v>1419.0313103866399</v>
      </c>
      <c r="M3332">
        <v>25.8492786757811</v>
      </c>
      <c r="N3332">
        <v>55.127435923775003</v>
      </c>
      <c r="O3332">
        <v>54.570954802220001</v>
      </c>
      <c r="P3332">
        <v>-0.112341611912414</v>
      </c>
      <c r="Q3332">
        <v>5.1343930941962997E-2</v>
      </c>
      <c r="R3332">
        <v>0.97037901972863205</v>
      </c>
      <c r="S3332" t="s">
        <v>9643</v>
      </c>
      <c r="T3332" t="s">
        <v>12620</v>
      </c>
      <c r="U3332" t="s">
        <v>12620</v>
      </c>
      <c r="V3332" t="s">
        <v>12620</v>
      </c>
      <c r="W3332" t="s">
        <v>15905</v>
      </c>
      <c r="X3332">
        <v>6</v>
      </c>
      <c r="Y3332" t="s">
        <v>22047</v>
      </c>
      <c r="Z3332" t="s">
        <v>28279</v>
      </c>
      <c r="AA3332">
        <v>0.53066912508321606</v>
      </c>
      <c r="AB3332" t="str">
        <f>HYPERLINK("Melting_Curves/meltCurve_Q3ZCW2_LGALSL.pdf", "Melting_Curves/meltCurve_Q3ZCW2_LGALSL.pdf")</f>
        <v>Melting_Curves/meltCurve_Q3ZCW2_LGALSL.pdf</v>
      </c>
    </row>
    <row r="3333" spans="1:28" x14ac:dyDescent="0.25">
      <c r="A3333" t="s">
        <v>3337</v>
      </c>
      <c r="B3333">
        <v>0.99987803227770999</v>
      </c>
      <c r="C3333">
        <v>0.738365168039532</v>
      </c>
      <c r="D3333">
        <v>0.41771687783111999</v>
      </c>
      <c r="E3333">
        <v>0.43005968145682699</v>
      </c>
      <c r="F3333">
        <v>0.234181386899316</v>
      </c>
      <c r="G3333">
        <v>0.14164728433344401</v>
      </c>
      <c r="H3333">
        <v>0.122235511861004</v>
      </c>
      <c r="I3333">
        <v>0.12041469715785599</v>
      </c>
      <c r="J3333">
        <v>9.1971027347620304E-2</v>
      </c>
      <c r="K3333">
        <v>2.2553445275978801E-2</v>
      </c>
      <c r="L3333">
        <v>584.78317853571798</v>
      </c>
      <c r="M3333">
        <v>12.657196791333799</v>
      </c>
      <c r="N3333">
        <v>46.766698644093204</v>
      </c>
      <c r="O3333">
        <v>45.093859999402603</v>
      </c>
      <c r="P3333">
        <v>-6.5208569860375307E-2</v>
      </c>
      <c r="Q3333">
        <v>7.0906006533475605E-2</v>
      </c>
      <c r="R3333">
        <v>0.95076644420078604</v>
      </c>
      <c r="S3333" t="s">
        <v>9644</v>
      </c>
      <c r="T3333" t="s">
        <v>12620</v>
      </c>
      <c r="U3333" t="s">
        <v>12620</v>
      </c>
      <c r="V3333" t="s">
        <v>12620</v>
      </c>
      <c r="W3333" t="s">
        <v>15906</v>
      </c>
      <c r="X3333">
        <v>1</v>
      </c>
      <c r="Y3333" t="s">
        <v>22048</v>
      </c>
      <c r="Z3333" t="s">
        <v>28280</v>
      </c>
      <c r="AA3333">
        <v>0.30054285309068879</v>
      </c>
      <c r="AB3333" t="str">
        <f>HYPERLINK("Melting_Curves/meltCurve_Q460N5_4_PARP14.pdf", "Melting_Curves/meltCurve_Q460N5_4_PARP14.pdf")</f>
        <v>Melting_Curves/meltCurve_Q460N5_4_PARP14.pdf</v>
      </c>
    </row>
    <row r="3334" spans="1:28" x14ac:dyDescent="0.25">
      <c r="A3334" t="s">
        <v>3338</v>
      </c>
      <c r="B3334">
        <v>0.99987803227770999</v>
      </c>
      <c r="C3334">
        <v>0.87783662750315905</v>
      </c>
      <c r="D3334">
        <v>1.00239444136647</v>
      </c>
      <c r="E3334">
        <v>0.84345999232019697</v>
      </c>
      <c r="F3334">
        <v>0.90443297711207005</v>
      </c>
      <c r="G3334">
        <v>0.91130090041689205</v>
      </c>
      <c r="H3334">
        <v>1.06356495298855</v>
      </c>
      <c r="I3334">
        <v>0.88528089531575604</v>
      </c>
      <c r="J3334">
        <v>0.64083102278438697</v>
      </c>
      <c r="K3334">
        <v>0.534304478868598</v>
      </c>
      <c r="L3334">
        <v>3640.2964857193601</v>
      </c>
      <c r="M3334">
        <v>55.564320079884901</v>
      </c>
      <c r="O3334">
        <v>65.430306017124096</v>
      </c>
      <c r="P3334">
        <v>-0.100711801051762</v>
      </c>
      <c r="Q3334">
        <v>0.52562363826113001</v>
      </c>
      <c r="R3334">
        <v>0.743496249532003</v>
      </c>
      <c r="S3334" t="s">
        <v>9645</v>
      </c>
      <c r="T3334" t="s">
        <v>12620</v>
      </c>
      <c r="U3334" t="s">
        <v>12620</v>
      </c>
      <c r="V3334" t="s">
        <v>12620</v>
      </c>
      <c r="W3334" t="s">
        <v>15907</v>
      </c>
      <c r="X3334">
        <v>2</v>
      </c>
      <c r="Y3334" t="s">
        <v>22049</v>
      </c>
      <c r="Z3334" t="s">
        <v>28281</v>
      </c>
      <c r="AA3334">
        <v>0.92956826742204768</v>
      </c>
      <c r="AB3334" t="str">
        <f>HYPERLINK("Melting_Curves/meltCurve_Q494U1_3_PLEKHN1.pdf", "Melting_Curves/meltCurve_Q494U1_3_PLEKHN1.pdf")</f>
        <v>Melting_Curves/meltCurve_Q494U1_3_PLEKHN1.pdf</v>
      </c>
    </row>
    <row r="3335" spans="1:28" x14ac:dyDescent="0.25">
      <c r="A3335" t="s">
        <v>3339</v>
      </c>
      <c r="B3335">
        <v>0.99987803227770999</v>
      </c>
      <c r="C3335">
        <v>0.88414897119912095</v>
      </c>
      <c r="D3335">
        <v>0.91679530900681305</v>
      </c>
      <c r="E3335">
        <v>0.88590149555725795</v>
      </c>
      <c r="F3335">
        <v>0.61730337329636198</v>
      </c>
      <c r="G3335">
        <v>0.48298867659787198</v>
      </c>
      <c r="H3335">
        <v>6.8564524600666699E-2</v>
      </c>
      <c r="I3335">
        <v>5.0823313576159102E-2</v>
      </c>
      <c r="J3335">
        <v>3.5608894327525502E-2</v>
      </c>
      <c r="K3335">
        <v>1.1473043564104E-2</v>
      </c>
      <c r="L3335">
        <v>969.62681195650396</v>
      </c>
      <c r="M3335">
        <v>17.5616022428935</v>
      </c>
      <c r="N3335">
        <v>55.212889840225102</v>
      </c>
      <c r="O3335">
        <v>54.511896318172298</v>
      </c>
      <c r="P3335">
        <v>-8.0544607593718107E-2</v>
      </c>
      <c r="Q3335">
        <v>0</v>
      </c>
      <c r="R3335">
        <v>0.97333522753306401</v>
      </c>
      <c r="S3335" t="s">
        <v>9646</v>
      </c>
      <c r="T3335" t="s">
        <v>12620</v>
      </c>
      <c r="U3335" t="s">
        <v>12620</v>
      </c>
      <c r="V3335" t="s">
        <v>12620</v>
      </c>
      <c r="W3335" t="s">
        <v>15908</v>
      </c>
      <c r="X3335">
        <v>2</v>
      </c>
      <c r="Y3335" t="s">
        <v>22050</v>
      </c>
      <c r="Z3335" t="s">
        <v>28282</v>
      </c>
      <c r="AA3335">
        <v>0.52292708395412268</v>
      </c>
      <c r="AB3335" t="str">
        <f>HYPERLINK("Melting_Curves/meltCurve_Q495W5_2_FUT11.pdf", "Melting_Curves/meltCurve_Q495W5_2_FUT11.pdf")</f>
        <v>Melting_Curves/meltCurve_Q495W5_2_FUT11.pdf</v>
      </c>
    </row>
    <row r="3336" spans="1:28" x14ac:dyDescent="0.25">
      <c r="A3336" t="s">
        <v>3340</v>
      </c>
      <c r="B3336">
        <v>0.99987803227770999</v>
      </c>
      <c r="C3336">
        <v>0.65519828776369904</v>
      </c>
      <c r="D3336">
        <v>1.2280879808759699</v>
      </c>
      <c r="E3336">
        <v>0.72827796808630796</v>
      </c>
      <c r="F3336">
        <v>1.28665742393911</v>
      </c>
      <c r="G3336">
        <v>1.9039217114775999</v>
      </c>
      <c r="H3336">
        <v>2.1624406512357401</v>
      </c>
      <c r="I3336">
        <v>3.37919898718649</v>
      </c>
      <c r="J3336">
        <v>2.2147301999212998</v>
      </c>
      <c r="K3336">
        <v>0.97441223200182503</v>
      </c>
      <c r="L3336">
        <v>13234.344603048001</v>
      </c>
      <c r="M3336">
        <v>250</v>
      </c>
      <c r="O3336">
        <v>52.9339910854018</v>
      </c>
      <c r="P3336">
        <v>0.59035790767687302</v>
      </c>
      <c r="Q3336">
        <v>1.5</v>
      </c>
      <c r="R3336">
        <v>0.21392636801171599</v>
      </c>
      <c r="S3336" t="s">
        <v>9647</v>
      </c>
      <c r="T3336" t="s">
        <v>12620</v>
      </c>
      <c r="U3336" t="s">
        <v>12620</v>
      </c>
      <c r="V3336" t="s">
        <v>12620</v>
      </c>
      <c r="W3336" t="s">
        <v>15909</v>
      </c>
      <c r="X3336">
        <v>2</v>
      </c>
      <c r="Y3336" t="s">
        <v>22051</v>
      </c>
      <c r="Z3336" t="s">
        <v>28283</v>
      </c>
      <c r="AA3336">
        <v>1.2843305743258531</v>
      </c>
      <c r="AB3336" t="str">
        <f>HYPERLINK("Melting_Curves/meltCurve_Q499Z4_ZNF672.pdf", "Melting_Curves/meltCurve_Q499Z4_ZNF672.pdf")</f>
        <v>Melting_Curves/meltCurve_Q499Z4_ZNF672.pdf</v>
      </c>
    </row>
    <row r="3337" spans="1:28" x14ac:dyDescent="0.25">
      <c r="A3337" t="s">
        <v>3341</v>
      </c>
      <c r="B3337">
        <v>0.99987803227770999</v>
      </c>
      <c r="C3337">
        <v>0.98361482861502303</v>
      </c>
      <c r="D3337">
        <v>1.23399909928902</v>
      </c>
      <c r="E3337">
        <v>0.83608279773960303</v>
      </c>
      <c r="F3337">
        <v>1.08742590053994</v>
      </c>
      <c r="G3337">
        <v>0.92889237274977399</v>
      </c>
      <c r="H3337">
        <v>0.81933148019961199</v>
      </c>
      <c r="I3337">
        <v>0.69140298178991899</v>
      </c>
      <c r="J3337">
        <v>0.566785955760155</v>
      </c>
      <c r="K3337">
        <v>0.478057110284894</v>
      </c>
      <c r="L3337">
        <v>1232.0689277553299</v>
      </c>
      <c r="M3337">
        <v>19.278613991765798</v>
      </c>
      <c r="N3337">
        <v>69.151161591292393</v>
      </c>
      <c r="O3337">
        <v>63.232848816560001</v>
      </c>
      <c r="P3337">
        <v>-4.6948795429934999E-2</v>
      </c>
      <c r="Q3337">
        <v>0.384064630354507</v>
      </c>
      <c r="R3337">
        <v>0.81518488575034698</v>
      </c>
      <c r="S3337" t="s">
        <v>9648</v>
      </c>
      <c r="T3337" t="s">
        <v>12620</v>
      </c>
      <c r="U3337" t="s">
        <v>12620</v>
      </c>
      <c r="V3337" t="s">
        <v>12620</v>
      </c>
      <c r="W3337" t="s">
        <v>15910</v>
      </c>
      <c r="X3337">
        <v>1</v>
      </c>
      <c r="Y3337" t="s">
        <v>22052</v>
      </c>
      <c r="Z3337" t="s">
        <v>28284</v>
      </c>
      <c r="AA3337">
        <v>0.87099690694507237</v>
      </c>
      <c r="AB3337" t="str">
        <f>HYPERLINK("Melting_Curves/meltCurve_Q49A88_2_CCDC14.pdf", "Melting_Curves/meltCurve_Q49A88_2_CCDC14.pdf")</f>
        <v>Melting_Curves/meltCurve_Q49A88_2_CCDC14.pdf</v>
      </c>
    </row>
    <row r="3338" spans="1:28" x14ac:dyDescent="0.25">
      <c r="A3338" t="s">
        <v>3342</v>
      </c>
      <c r="B3338">
        <v>0.99987803227770999</v>
      </c>
      <c r="C3338">
        <v>0.93668620368061795</v>
      </c>
      <c r="D3338">
        <v>1.01776732684758</v>
      </c>
      <c r="E3338">
        <v>0.84422164219416596</v>
      </c>
      <c r="F3338">
        <v>0.54284780374136699</v>
      </c>
      <c r="G3338">
        <v>0.27132859108719498</v>
      </c>
      <c r="H3338">
        <v>0.134702798590282</v>
      </c>
      <c r="I3338">
        <v>9.2490451489265393E-2</v>
      </c>
      <c r="J3338">
        <v>6.9495247878476399E-2</v>
      </c>
      <c r="K3338">
        <v>4.5144003859350398E-2</v>
      </c>
      <c r="L3338">
        <v>1151.52217416245</v>
      </c>
      <c r="M3338">
        <v>21.546334055874802</v>
      </c>
      <c r="N3338">
        <v>53.7637483395483</v>
      </c>
      <c r="O3338">
        <v>52.990029121986097</v>
      </c>
      <c r="P3338">
        <v>-9.5542046891531299E-2</v>
      </c>
      <c r="Q3338">
        <v>6.0136704646272902E-2</v>
      </c>
      <c r="R3338">
        <v>0.99513122681533905</v>
      </c>
      <c r="S3338" t="s">
        <v>9649</v>
      </c>
      <c r="T3338" t="s">
        <v>12620</v>
      </c>
      <c r="U3338" t="s">
        <v>12620</v>
      </c>
      <c r="V3338" t="s">
        <v>12620</v>
      </c>
      <c r="W3338" t="s">
        <v>15911</v>
      </c>
      <c r="X3338">
        <v>4</v>
      </c>
      <c r="Y3338" t="s">
        <v>22053</v>
      </c>
      <c r="Z3338" t="s">
        <v>28285</v>
      </c>
      <c r="AA3338">
        <v>0.49265828729488148</v>
      </c>
      <c r="AB3338" t="str">
        <f>HYPERLINK("Melting_Curves/meltCurve_Q49AR2_C5orf22.pdf", "Melting_Curves/meltCurve_Q49AR2_C5orf22.pdf")</f>
        <v>Melting_Curves/meltCurve_Q49AR2_C5orf22.pdf</v>
      </c>
    </row>
    <row r="3339" spans="1:28" x14ac:dyDescent="0.25">
      <c r="A3339" t="s">
        <v>3343</v>
      </c>
      <c r="B3339">
        <v>0.99987803227770999</v>
      </c>
      <c r="C3339">
        <v>0.85962715325116501</v>
      </c>
      <c r="D3339">
        <v>1.01039395451664</v>
      </c>
      <c r="E3339">
        <v>0.905102502729356</v>
      </c>
      <c r="F3339">
        <v>1.0344419767108799</v>
      </c>
      <c r="G3339">
        <v>0.82995462437215695</v>
      </c>
      <c r="H3339">
        <v>0.80845621891588704</v>
      </c>
      <c r="I3339">
        <v>0.760499662167885</v>
      </c>
      <c r="J3339">
        <v>0.82101271930944497</v>
      </c>
      <c r="K3339">
        <v>0.68689908340987604</v>
      </c>
      <c r="L3339">
        <v>319.14173585177599</v>
      </c>
      <c r="M3339">
        <v>3.6436779301383999</v>
      </c>
      <c r="O3339">
        <v>69.682545312266598</v>
      </c>
      <c r="P3339">
        <v>-1.32980344832241E-2</v>
      </c>
      <c r="Q3339">
        <v>0</v>
      </c>
      <c r="R3339">
        <v>0.65648240747993003</v>
      </c>
      <c r="S3339" t="s">
        <v>9650</v>
      </c>
      <c r="T3339" t="s">
        <v>12620</v>
      </c>
      <c r="U3339" t="s">
        <v>12620</v>
      </c>
      <c r="V3339" t="s">
        <v>12620</v>
      </c>
      <c r="W3339" t="s">
        <v>15912</v>
      </c>
      <c r="X3339">
        <v>6</v>
      </c>
      <c r="Y3339" t="s">
        <v>22054</v>
      </c>
      <c r="Z3339" t="s">
        <v>28286</v>
      </c>
      <c r="AA3339">
        <v>0.88040658716535802</v>
      </c>
      <c r="AB3339" t="str">
        <f>HYPERLINK("Melting_Curves/meltCurve_Q49B96_COX19.pdf", "Melting_Curves/meltCurve_Q49B96_COX19.pdf")</f>
        <v>Melting_Curves/meltCurve_Q49B96_COX19.pdf</v>
      </c>
    </row>
    <row r="3340" spans="1:28" x14ac:dyDescent="0.25">
      <c r="A3340" t="s">
        <v>3344</v>
      </c>
      <c r="B3340">
        <v>0.99987803227770999</v>
      </c>
      <c r="C3340">
        <v>0.93525238799696897</v>
      </c>
      <c r="D3340">
        <v>0.98004940176935296</v>
      </c>
      <c r="E3340">
        <v>0.88498662262925698</v>
      </c>
      <c r="F3340">
        <v>0.92696385831971595</v>
      </c>
      <c r="G3340">
        <v>0.77529810955105505</v>
      </c>
      <c r="H3340">
        <v>0.80705658978140005</v>
      </c>
      <c r="I3340">
        <v>0.87477255027926903</v>
      </c>
      <c r="J3340">
        <v>0.65662499315460798</v>
      </c>
      <c r="K3340">
        <v>0.56429125327194096</v>
      </c>
      <c r="L3340">
        <v>369.91316885395202</v>
      </c>
      <c r="M3340">
        <v>4.7606987867998303</v>
      </c>
      <c r="O3340">
        <v>67.015323152531806</v>
      </c>
      <c r="P3340">
        <v>-1.7888332899724899E-2</v>
      </c>
      <c r="Q3340">
        <v>0</v>
      </c>
      <c r="R3340">
        <v>0.80296259009161197</v>
      </c>
      <c r="S3340" t="s">
        <v>9651</v>
      </c>
      <c r="T3340" t="s">
        <v>12620</v>
      </c>
      <c r="U3340" t="s">
        <v>12620</v>
      </c>
      <c r="V3340" t="s">
        <v>12620</v>
      </c>
      <c r="W3340" t="s">
        <v>15913</v>
      </c>
      <c r="X3340">
        <v>1</v>
      </c>
      <c r="Y3340" t="s">
        <v>22055</v>
      </c>
      <c r="Z3340" t="s">
        <v>28287</v>
      </c>
      <c r="AA3340">
        <v>0.85243606519649984</v>
      </c>
      <c r="AB3340" t="str">
        <f>HYPERLINK("Melting_Curves/meltCurve_Q49MG5_2_MAP9.pdf", "Melting_Curves/meltCurve_Q49MG5_2_MAP9.pdf")</f>
        <v>Melting_Curves/meltCurve_Q49MG5_2_MAP9.pdf</v>
      </c>
    </row>
    <row r="3341" spans="1:28" x14ac:dyDescent="0.25">
      <c r="A3341" t="s">
        <v>3345</v>
      </c>
      <c r="B3341">
        <v>0.99987803227770999</v>
      </c>
      <c r="C3341">
        <v>1.0366844634568499</v>
      </c>
      <c r="D3341">
        <v>0.94801334257531</v>
      </c>
      <c r="E3341">
        <v>1.08901937736763</v>
      </c>
      <c r="F3341">
        <v>0.82588932104294099</v>
      </c>
      <c r="G3341">
        <v>0.62738344647063204</v>
      </c>
      <c r="H3341">
        <v>0.20381961144612701</v>
      </c>
      <c r="I3341">
        <v>0.12445232978698099</v>
      </c>
      <c r="J3341">
        <v>8.8156608065738606E-2</v>
      </c>
      <c r="K3341">
        <v>6.0662840644205102E-2</v>
      </c>
      <c r="L3341">
        <v>1465.3040414148099</v>
      </c>
      <c r="M3341">
        <v>25.4383584646733</v>
      </c>
      <c r="N3341">
        <v>57.8452778355202</v>
      </c>
      <c r="O3341">
        <v>57.249713201237</v>
      </c>
      <c r="P3341">
        <v>-0.10545418954428</v>
      </c>
      <c r="Q3341">
        <v>5.0701894240654299E-2</v>
      </c>
      <c r="R3341">
        <v>0.98541858445139596</v>
      </c>
      <c r="S3341" t="s">
        <v>9652</v>
      </c>
      <c r="T3341" t="s">
        <v>12620</v>
      </c>
      <c r="U3341" t="s">
        <v>12620</v>
      </c>
      <c r="V3341" t="s">
        <v>12620</v>
      </c>
      <c r="W3341" t="s">
        <v>15914</v>
      </c>
      <c r="X3341">
        <v>11</v>
      </c>
      <c r="Y3341" t="s">
        <v>22056</v>
      </c>
      <c r="Z3341" t="s">
        <v>28288</v>
      </c>
      <c r="AA3341">
        <v>0.61587259633488145</v>
      </c>
      <c r="AB3341" t="str">
        <f>HYPERLINK("Melting_Curves/meltCurve_Q4G0F5_VPS26B.pdf", "Melting_Curves/meltCurve_Q4G0F5_VPS26B.pdf")</f>
        <v>Melting_Curves/meltCurve_Q4G0F5_VPS26B.pdf</v>
      </c>
    </row>
    <row r="3342" spans="1:28" x14ac:dyDescent="0.25">
      <c r="A3342" t="s">
        <v>3346</v>
      </c>
      <c r="B3342">
        <v>0.99987803227770999</v>
      </c>
      <c r="C3342">
        <v>1.0920466911340001</v>
      </c>
      <c r="D3342">
        <v>0.96177611601911495</v>
      </c>
      <c r="E3342">
        <v>1.0404337982009999</v>
      </c>
      <c r="F3342">
        <v>0.63819687100855504</v>
      </c>
      <c r="G3342">
        <v>0.32185691528772797</v>
      </c>
      <c r="H3342">
        <v>0.201316266384061</v>
      </c>
      <c r="I3342">
        <v>0.167758329180246</v>
      </c>
      <c r="J3342">
        <v>0.122824871695626</v>
      </c>
      <c r="K3342">
        <v>9.1295606007481794E-2</v>
      </c>
      <c r="L3342">
        <v>1621.2044557967799</v>
      </c>
      <c r="M3342">
        <v>29.9767022069218</v>
      </c>
      <c r="N3342">
        <v>54.675166126340102</v>
      </c>
      <c r="O3342">
        <v>53.843179909200998</v>
      </c>
      <c r="P3342">
        <v>-0.119869263894226</v>
      </c>
      <c r="Q3342">
        <v>0.13878448998280801</v>
      </c>
      <c r="R3342">
        <v>0.98135490502621603</v>
      </c>
      <c r="S3342" t="s">
        <v>9653</v>
      </c>
      <c r="T3342" t="s">
        <v>12620</v>
      </c>
      <c r="U3342" t="s">
        <v>12620</v>
      </c>
      <c r="V3342" t="s">
        <v>12620</v>
      </c>
      <c r="W3342" t="s">
        <v>15915</v>
      </c>
      <c r="X3342">
        <v>13</v>
      </c>
      <c r="Y3342" t="s">
        <v>22057</v>
      </c>
      <c r="Z3342" t="s">
        <v>28289</v>
      </c>
      <c r="AA3342">
        <v>0.54871418456697663</v>
      </c>
      <c r="AB3342" t="str">
        <f>HYPERLINK("Melting_Curves/meltCurve_Q4G0J3_LARP7.pdf", "Melting_Curves/meltCurve_Q4G0J3_LARP7.pdf")</f>
        <v>Melting_Curves/meltCurve_Q4G0J3_LARP7.pdf</v>
      </c>
    </row>
    <row r="3343" spans="1:28" x14ac:dyDescent="0.25">
      <c r="A3343" t="s">
        <v>3347</v>
      </c>
      <c r="B3343">
        <v>0.99987803227770999</v>
      </c>
      <c r="C3343">
        <v>1.0068950982654801</v>
      </c>
      <c r="D3343">
        <v>1.03118286656219</v>
      </c>
      <c r="E3343">
        <v>0.77974242012649497</v>
      </c>
      <c r="F3343">
        <v>0.49179659554646099</v>
      </c>
      <c r="G3343">
        <v>0.22003512546632101</v>
      </c>
      <c r="H3343">
        <v>0.16714511214375999</v>
      </c>
      <c r="I3343">
        <v>0.15929908966035999</v>
      </c>
      <c r="J3343">
        <v>0.128240161832125</v>
      </c>
      <c r="K3343">
        <v>9.5297904993443303E-2</v>
      </c>
      <c r="L3343">
        <v>1355.3055775287701</v>
      </c>
      <c r="M3343">
        <v>25.924216395071198</v>
      </c>
      <c r="N3343">
        <v>52.888988548582901</v>
      </c>
      <c r="O3343">
        <v>51.971414616167401</v>
      </c>
      <c r="P3343">
        <v>-0.108603226276373</v>
      </c>
      <c r="Q3343">
        <v>0.129123532331436</v>
      </c>
      <c r="R3343">
        <v>0.99625461963435302</v>
      </c>
      <c r="S3343" t="s">
        <v>9654</v>
      </c>
      <c r="T3343" t="s">
        <v>12620</v>
      </c>
      <c r="U3343" t="s">
        <v>12620</v>
      </c>
      <c r="V3343" t="s">
        <v>12620</v>
      </c>
      <c r="W3343" t="s">
        <v>15916</v>
      </c>
      <c r="X3343">
        <v>9</v>
      </c>
      <c r="Y3343" t="s">
        <v>22058</v>
      </c>
      <c r="Z3343" t="s">
        <v>28290</v>
      </c>
      <c r="AA3343">
        <v>0.49302283116820728</v>
      </c>
      <c r="AB3343" t="str">
        <f>HYPERLINK("Melting_Curves/meltCurve_Q4G0N4_NADKD1.pdf", "Melting_Curves/meltCurve_Q4G0N4_NADKD1.pdf")</f>
        <v>Melting_Curves/meltCurve_Q4G0N4_NADKD1.pdf</v>
      </c>
    </row>
    <row r="3344" spans="1:28" x14ac:dyDescent="0.25">
      <c r="A3344" t="s">
        <v>3348</v>
      </c>
      <c r="B3344">
        <v>0.99987803227770999</v>
      </c>
      <c r="C3344">
        <v>1.0486610191018</v>
      </c>
      <c r="D3344">
        <v>1.05253358987462</v>
      </c>
      <c r="E3344">
        <v>1.02115983144156</v>
      </c>
      <c r="F3344">
        <v>0.74652379921731704</v>
      </c>
      <c r="G3344">
        <v>0.39237332744178299</v>
      </c>
      <c r="H3344">
        <v>0.16041501808098599</v>
      </c>
      <c r="I3344">
        <v>0.14280642097906299</v>
      </c>
      <c r="J3344">
        <v>0.124896496286189</v>
      </c>
      <c r="K3344">
        <v>7.0548999651949995E-2</v>
      </c>
      <c r="L3344">
        <v>1497.2728356407099</v>
      </c>
      <c r="M3344">
        <v>27.085735002654001</v>
      </c>
      <c r="N3344">
        <v>55.745781485577602</v>
      </c>
      <c r="O3344">
        <v>54.980331470263103</v>
      </c>
      <c r="P3344">
        <v>-0.110666692161025</v>
      </c>
      <c r="Q3344">
        <v>0.101455890646615</v>
      </c>
      <c r="R3344">
        <v>0.99175393885664898</v>
      </c>
      <c r="S3344" t="s">
        <v>9655</v>
      </c>
      <c r="T3344" t="s">
        <v>12620</v>
      </c>
      <c r="U3344" t="s">
        <v>12620</v>
      </c>
      <c r="V3344" t="s">
        <v>12620</v>
      </c>
      <c r="W3344" t="s">
        <v>15917</v>
      </c>
      <c r="X3344">
        <v>2</v>
      </c>
      <c r="Y3344" t="s">
        <v>22059</v>
      </c>
      <c r="Z3344" t="s">
        <v>28291</v>
      </c>
      <c r="AA3344">
        <v>0.56629204100593056</v>
      </c>
      <c r="AB3344" t="str">
        <f>HYPERLINK("Melting_Curves/meltCurve_Q4G148_2_GXYLT1.pdf", "Melting_Curves/meltCurve_Q4G148_2_GXYLT1.pdf")</f>
        <v>Melting_Curves/meltCurve_Q4G148_2_GXYLT1.pdf</v>
      </c>
    </row>
    <row r="3345" spans="1:28" x14ac:dyDescent="0.25">
      <c r="A3345" t="s">
        <v>3349</v>
      </c>
      <c r="B3345">
        <v>0.99987803227770999</v>
      </c>
      <c r="C3345">
        <v>0.96792200080978796</v>
      </c>
      <c r="D3345">
        <v>0.889948141493485</v>
      </c>
      <c r="E3345">
        <v>0.42147140790200699</v>
      </c>
      <c r="F3345">
        <v>0.230785871740841</v>
      </c>
      <c r="G3345">
        <v>0.150207087979008</v>
      </c>
      <c r="H3345">
        <v>0.12867729417420801</v>
      </c>
      <c r="I3345">
        <v>0.12050633446225301</v>
      </c>
      <c r="J3345">
        <v>8.5182771808930399E-2</v>
      </c>
      <c r="K3345">
        <v>6.2854585178460695E-2</v>
      </c>
      <c r="L3345">
        <v>1299.7658644422099</v>
      </c>
      <c r="M3345">
        <v>26.495828647189899</v>
      </c>
      <c r="N3345">
        <v>49.492849075931602</v>
      </c>
      <c r="O3345">
        <v>48.778608929276302</v>
      </c>
      <c r="P3345">
        <v>-0.121624238754724</v>
      </c>
      <c r="Q3345">
        <v>0.104372552888093</v>
      </c>
      <c r="R3345">
        <v>0.99662423816614298</v>
      </c>
      <c r="S3345" t="s">
        <v>9656</v>
      </c>
      <c r="T3345" t="s">
        <v>12620</v>
      </c>
      <c r="U3345" t="s">
        <v>12620</v>
      </c>
      <c r="V3345" t="s">
        <v>12620</v>
      </c>
      <c r="W3345" t="s">
        <v>15918</v>
      </c>
      <c r="X3345">
        <v>7</v>
      </c>
      <c r="Y3345" t="s">
        <v>22060</v>
      </c>
      <c r="Z3345" t="s">
        <v>28292</v>
      </c>
      <c r="AA3345">
        <v>0.38176222335052462</v>
      </c>
      <c r="AB3345" t="str">
        <f>HYPERLINK("Melting_Curves/meltCurve_Q4G176_ACSF3.pdf", "Melting_Curves/meltCurve_Q4G176_ACSF3.pdf")</f>
        <v>Melting_Curves/meltCurve_Q4G176_ACSF3.pdf</v>
      </c>
    </row>
    <row r="3346" spans="1:28" x14ac:dyDescent="0.25">
      <c r="A3346" t="s">
        <v>3350</v>
      </c>
      <c r="B3346">
        <v>0.99987803227770999</v>
      </c>
      <c r="C3346">
        <v>0.98730753489693701</v>
      </c>
      <c r="D3346">
        <v>0.98424120660357095</v>
      </c>
      <c r="E3346">
        <v>0.85399367891935396</v>
      </c>
      <c r="F3346">
        <v>0.56813696140827197</v>
      </c>
      <c r="G3346">
        <v>0.21115048420027999</v>
      </c>
      <c r="H3346">
        <v>0.14781263839580699</v>
      </c>
      <c r="I3346">
        <v>9.9702989477030296E-2</v>
      </c>
      <c r="J3346">
        <v>9.4406231638771002E-2</v>
      </c>
      <c r="K3346">
        <v>6.3674414830449805E-2</v>
      </c>
      <c r="L3346">
        <v>1371.7348950614601</v>
      </c>
      <c r="M3346">
        <v>25.7830234614223</v>
      </c>
      <c r="N3346">
        <v>53.594773514764597</v>
      </c>
      <c r="O3346">
        <v>52.886072021418997</v>
      </c>
      <c r="P3346">
        <v>-0.111413972585321</v>
      </c>
      <c r="Q3346">
        <v>8.58826967235891E-2</v>
      </c>
      <c r="R3346">
        <v>0.99887241708514796</v>
      </c>
      <c r="S3346" t="s">
        <v>9657</v>
      </c>
      <c r="T3346" t="s">
        <v>12620</v>
      </c>
      <c r="U3346" t="s">
        <v>12620</v>
      </c>
      <c r="V3346" t="s">
        <v>12620</v>
      </c>
      <c r="W3346" t="s">
        <v>15919</v>
      </c>
      <c r="X3346">
        <v>18</v>
      </c>
      <c r="Y3346" t="s">
        <v>22061</v>
      </c>
      <c r="Z3346" t="s">
        <v>28293</v>
      </c>
      <c r="AA3346">
        <v>0.49614061462529641</v>
      </c>
      <c r="AB3346" t="str">
        <f>HYPERLINK("Melting_Curves/meltCurve_Q4J6C6_4_PREPL.pdf", "Melting_Curves/meltCurve_Q4J6C6_4_PREPL.pdf")</f>
        <v>Melting_Curves/meltCurve_Q4J6C6_4_PREPL.pdf</v>
      </c>
    </row>
    <row r="3347" spans="1:28" x14ac:dyDescent="0.25">
      <c r="A3347" t="s">
        <v>3351</v>
      </c>
      <c r="B3347">
        <v>0.99987803227770999</v>
      </c>
      <c r="C3347">
        <v>0.992861605704216</v>
      </c>
      <c r="D3347">
        <v>0.98397911315917896</v>
      </c>
      <c r="E3347">
        <v>0.86515783155666603</v>
      </c>
      <c r="F3347">
        <v>0.62748491417868302</v>
      </c>
      <c r="G3347">
        <v>0.312010579604801</v>
      </c>
      <c r="H3347">
        <v>0.26335353647110199</v>
      </c>
      <c r="I3347">
        <v>0.25104600758494799</v>
      </c>
      <c r="J3347">
        <v>0.24280424181250901</v>
      </c>
      <c r="K3347">
        <v>0.18028721733310099</v>
      </c>
      <c r="L3347">
        <v>1393.1808097329199</v>
      </c>
      <c r="M3347">
        <v>26.249296529300999</v>
      </c>
      <c r="N3347">
        <v>54.284577213601203</v>
      </c>
      <c r="O3347">
        <v>52.769809164311297</v>
      </c>
      <c r="P3347">
        <v>-9.6823406318679694E-2</v>
      </c>
      <c r="Q3347">
        <v>0.221419733899819</v>
      </c>
      <c r="R3347">
        <v>0.99704655333702796</v>
      </c>
      <c r="S3347" t="s">
        <v>9658</v>
      </c>
      <c r="T3347" t="s">
        <v>12620</v>
      </c>
      <c r="U3347" t="s">
        <v>12620</v>
      </c>
      <c r="V3347" t="s">
        <v>12620</v>
      </c>
      <c r="W3347" t="s">
        <v>15920</v>
      </c>
      <c r="X3347">
        <v>17</v>
      </c>
      <c r="Y3347" t="s">
        <v>22062</v>
      </c>
      <c r="Z3347" t="s">
        <v>28294</v>
      </c>
      <c r="AA3347">
        <v>0.56729192827418917</v>
      </c>
      <c r="AB3347" t="str">
        <f>HYPERLINK("Melting_Curves/meltCurve_Q4KMP7_TBC1D10B.pdf", "Melting_Curves/meltCurve_Q4KMP7_TBC1D10B.pdf")</f>
        <v>Melting_Curves/meltCurve_Q4KMP7_TBC1D10B.pdf</v>
      </c>
    </row>
    <row r="3348" spans="1:28" x14ac:dyDescent="0.25">
      <c r="A3348" t="s">
        <v>3352</v>
      </c>
      <c r="B3348">
        <v>0.99987803227770999</v>
      </c>
      <c r="C3348">
        <v>0.95160811943546397</v>
      </c>
      <c r="D3348">
        <v>1.0300553900854099</v>
      </c>
      <c r="E3348">
        <v>1.00066293672498</v>
      </c>
      <c r="F3348">
        <v>1.1121993646020101</v>
      </c>
      <c r="G3348">
        <v>1.07639223725652</v>
      </c>
      <c r="H3348">
        <v>1.0795881054744201</v>
      </c>
      <c r="I3348">
        <v>1.0768509283933401</v>
      </c>
      <c r="J3348">
        <v>1.0299478828731099</v>
      </c>
      <c r="K3348">
        <v>0.87313532884396905</v>
      </c>
      <c r="L3348">
        <v>15000</v>
      </c>
      <c r="M3348">
        <v>212.356720511497</v>
      </c>
      <c r="Q3348">
        <v>0</v>
      </c>
      <c r="R3348">
        <v>0.23662402706918501</v>
      </c>
      <c r="S3348" t="s">
        <v>9659</v>
      </c>
      <c r="T3348" t="s">
        <v>12620</v>
      </c>
      <c r="U3348" t="s">
        <v>12620</v>
      </c>
      <c r="V3348" t="s">
        <v>12620</v>
      </c>
      <c r="W3348" t="s">
        <v>15921</v>
      </c>
      <c r="X3348">
        <v>8</v>
      </c>
      <c r="Y3348" t="s">
        <v>22063</v>
      </c>
      <c r="Z3348" t="s">
        <v>28295</v>
      </c>
      <c r="AA3348">
        <v>0.99853685781209245</v>
      </c>
      <c r="AB3348" t="str">
        <f>HYPERLINK("Melting_Curves/meltCurve_Q4KMQ1_TPRN.pdf", "Melting_Curves/meltCurve_Q4KMQ1_TPRN.pdf")</f>
        <v>Melting_Curves/meltCurve_Q4KMQ1_TPRN.pdf</v>
      </c>
    </row>
    <row r="3349" spans="1:28" x14ac:dyDescent="0.25">
      <c r="A3349" t="s">
        <v>3353</v>
      </c>
      <c r="B3349">
        <v>0.99987803227770999</v>
      </c>
      <c r="C3349">
        <v>1.3569029775357699</v>
      </c>
      <c r="D3349">
        <v>1.10550801731166</v>
      </c>
      <c r="E3349">
        <v>1.0477227076723601</v>
      </c>
      <c r="F3349">
        <v>0.47008066036512502</v>
      </c>
      <c r="G3349">
        <v>0.25159708931554597</v>
      </c>
      <c r="H3349">
        <v>0.19095956645564399</v>
      </c>
      <c r="I3349">
        <v>0.15346600485571901</v>
      </c>
      <c r="J3349">
        <v>0.141052806588079</v>
      </c>
      <c r="K3349">
        <v>8.6430140629646907E-2</v>
      </c>
      <c r="L3349">
        <v>13220.788057513</v>
      </c>
      <c r="M3349">
        <v>250</v>
      </c>
      <c r="N3349">
        <v>52.967813093361997</v>
      </c>
      <c r="O3349">
        <v>52.8797681603793</v>
      </c>
      <c r="P3349">
        <v>-0.98726190955153403</v>
      </c>
      <c r="Q3349">
        <v>0.164701108328726</v>
      </c>
      <c r="R3349">
        <v>0.927994470768567</v>
      </c>
      <c r="S3349" t="s">
        <v>9660</v>
      </c>
      <c r="T3349" t="s">
        <v>12620</v>
      </c>
      <c r="U3349" t="s">
        <v>12620</v>
      </c>
      <c r="V3349" t="s">
        <v>12620</v>
      </c>
      <c r="W3349" t="s">
        <v>15922</v>
      </c>
      <c r="X3349">
        <v>3</v>
      </c>
      <c r="Y3349" t="s">
        <v>22064</v>
      </c>
      <c r="Z3349" t="s">
        <v>28296</v>
      </c>
      <c r="AA3349">
        <v>0.5234880576412021</v>
      </c>
      <c r="AB3349" t="str">
        <f>HYPERLINK("Melting_Curves/meltCurve_Q4KWH8_2_PLCH1.pdf", "Melting_Curves/meltCurve_Q4KWH8_2_PLCH1.pdf")</f>
        <v>Melting_Curves/meltCurve_Q4KWH8_2_PLCH1.pdf</v>
      </c>
    </row>
    <row r="3350" spans="1:28" x14ac:dyDescent="0.25">
      <c r="A3350" t="s">
        <v>3354</v>
      </c>
      <c r="B3350">
        <v>0.99987803227770999</v>
      </c>
      <c r="C3350">
        <v>0.84791610608074397</v>
      </c>
      <c r="D3350">
        <v>1.02274852601224</v>
      </c>
      <c r="E3350">
        <v>0.76118756335497795</v>
      </c>
      <c r="F3350">
        <v>0.494338382553621</v>
      </c>
      <c r="G3350">
        <v>0.16519974798589299</v>
      </c>
      <c r="H3350">
        <v>0.114231773923858</v>
      </c>
      <c r="I3350">
        <v>9.4123618130318901E-2</v>
      </c>
      <c r="J3350">
        <v>7.6741173062451498E-2</v>
      </c>
      <c r="K3350">
        <v>6.0023774315005302E-2</v>
      </c>
      <c r="L3350">
        <v>1261.30394624173</v>
      </c>
      <c r="M3350">
        <v>24.053101416860599</v>
      </c>
      <c r="N3350">
        <v>52.770580617797798</v>
      </c>
      <c r="O3350">
        <v>52.079867865209401</v>
      </c>
      <c r="P3350">
        <v>-0.107350650344013</v>
      </c>
      <c r="Q3350">
        <v>7.0270145488348604E-2</v>
      </c>
      <c r="R3350">
        <v>0.98235922528766795</v>
      </c>
      <c r="S3350" t="s">
        <v>9661</v>
      </c>
      <c r="T3350" t="s">
        <v>12620</v>
      </c>
      <c r="U3350" t="s">
        <v>12620</v>
      </c>
      <c r="V3350" t="s">
        <v>12620</v>
      </c>
      <c r="W3350" t="s">
        <v>15923</v>
      </c>
      <c r="X3350">
        <v>4</v>
      </c>
      <c r="Y3350" t="s">
        <v>22065</v>
      </c>
      <c r="Z3350" t="s">
        <v>28297</v>
      </c>
      <c r="AA3350">
        <v>0.46491466242532231</v>
      </c>
      <c r="AB3350" t="str">
        <f>HYPERLINK("Melting_Curves/meltCurve_Q4LDG9_DNAL1.pdf", "Melting_Curves/meltCurve_Q4LDG9_DNAL1.pdf")</f>
        <v>Melting_Curves/meltCurve_Q4LDG9_DNAL1.pdf</v>
      </c>
    </row>
    <row r="3351" spans="1:28" x14ac:dyDescent="0.25">
      <c r="A3351" t="s">
        <v>3355</v>
      </c>
      <c r="B3351">
        <v>0.99987803227770999</v>
      </c>
      <c r="C3351">
        <v>1.0458721617725599</v>
      </c>
      <c r="D3351">
        <v>0.94496372970648701</v>
      </c>
      <c r="E3351">
        <v>0.87949463694843699</v>
      </c>
      <c r="F3351">
        <v>0.588893697938637</v>
      </c>
      <c r="G3351">
        <v>0.52799543359852497</v>
      </c>
      <c r="H3351">
        <v>0.43971195472542601</v>
      </c>
      <c r="I3351">
        <v>0.399393035516863</v>
      </c>
      <c r="J3351">
        <v>0.37909280256153199</v>
      </c>
      <c r="K3351">
        <v>0.31692832835142798</v>
      </c>
      <c r="L3351">
        <v>971.40586246430996</v>
      </c>
      <c r="M3351">
        <v>18.438135629962101</v>
      </c>
      <c r="N3351">
        <v>56.6439722523697</v>
      </c>
      <c r="O3351">
        <v>52.076597982821298</v>
      </c>
      <c r="P3351">
        <v>-5.6456992383151501E-2</v>
      </c>
      <c r="Q3351">
        <v>0.362200866483884</v>
      </c>
      <c r="R3351">
        <v>0.97682092533676501</v>
      </c>
      <c r="S3351" t="s">
        <v>9662</v>
      </c>
      <c r="T3351" t="s">
        <v>12620</v>
      </c>
      <c r="U3351" t="s">
        <v>12620</v>
      </c>
      <c r="V3351" t="s">
        <v>12620</v>
      </c>
      <c r="W3351" t="s">
        <v>15924</v>
      </c>
      <c r="X3351">
        <v>10</v>
      </c>
      <c r="Y3351" t="s">
        <v>22066</v>
      </c>
      <c r="Z3351" t="s">
        <v>28298</v>
      </c>
      <c r="AA3351">
        <v>0.6419701702018521</v>
      </c>
      <c r="AB3351" t="str">
        <f>HYPERLINK("Melting_Curves/meltCurve_Q4LE39_2_ARID4B.pdf", "Melting_Curves/meltCurve_Q4LE39_2_ARID4B.pdf")</f>
        <v>Melting_Curves/meltCurve_Q4LE39_2_ARID4B.pdf</v>
      </c>
    </row>
    <row r="3352" spans="1:28" x14ac:dyDescent="0.25">
      <c r="A3352" t="s">
        <v>3356</v>
      </c>
      <c r="B3352">
        <v>0.99987803227770999</v>
      </c>
      <c r="C3352">
        <v>1.0340057216417999</v>
      </c>
      <c r="D3352">
        <v>1.03472921776756</v>
      </c>
      <c r="E3352">
        <v>1.0162606182271801</v>
      </c>
      <c r="F3352">
        <v>0.92637192991835404</v>
      </c>
      <c r="G3352">
        <v>0.92961926450715904</v>
      </c>
      <c r="H3352">
        <v>0.97331593071628097</v>
      </c>
      <c r="I3352">
        <v>0.95075712648093202</v>
      </c>
      <c r="J3352">
        <v>0.91537732689978202</v>
      </c>
      <c r="K3352">
        <v>0.67324867874785799</v>
      </c>
      <c r="L3352">
        <v>2223.2506456504502</v>
      </c>
      <c r="M3352">
        <v>31.017457398914502</v>
      </c>
      <c r="Q3352">
        <v>0</v>
      </c>
      <c r="R3352">
        <v>0.85571107672205005</v>
      </c>
      <c r="S3352" t="s">
        <v>9663</v>
      </c>
      <c r="T3352" t="s">
        <v>12620</v>
      </c>
      <c r="U3352" t="s">
        <v>12620</v>
      </c>
      <c r="V3352" t="s">
        <v>12620</v>
      </c>
      <c r="W3352" t="s">
        <v>15925</v>
      </c>
      <c r="X3352">
        <v>50</v>
      </c>
      <c r="Y3352" t="s">
        <v>22067</v>
      </c>
      <c r="Z3352" t="s">
        <v>28299</v>
      </c>
      <c r="AA3352">
        <v>0.97322654059251013</v>
      </c>
      <c r="AB3352" t="str">
        <f>HYPERLINK("Melting_Curves/meltCurve_Q4V328_GRIPAP1.pdf", "Melting_Curves/meltCurve_Q4V328_GRIPAP1.pdf")</f>
        <v>Melting_Curves/meltCurve_Q4V328_GRIPAP1.pdf</v>
      </c>
    </row>
    <row r="3353" spans="1:28" x14ac:dyDescent="0.25">
      <c r="A3353" t="s">
        <v>3357</v>
      </c>
      <c r="B3353">
        <v>0.99987803227770999</v>
      </c>
      <c r="C3353">
        <v>1.01437680461818</v>
      </c>
      <c r="D3353">
        <v>0.96415212523377802</v>
      </c>
      <c r="E3353">
        <v>0.97424528919035203</v>
      </c>
      <c r="F3353">
        <v>0.976601468718586</v>
      </c>
      <c r="G3353">
        <v>0.89734768826336597</v>
      </c>
      <c r="H3353">
        <v>0.83310837660756498</v>
      </c>
      <c r="I3353">
        <v>0.94754178331296701</v>
      </c>
      <c r="J3353">
        <v>0.78862089335581897</v>
      </c>
      <c r="K3353">
        <v>0.64552046314948297</v>
      </c>
      <c r="L3353">
        <v>632.61463737382701</v>
      </c>
      <c r="M3353">
        <v>8.2358475304329204</v>
      </c>
      <c r="Q3353">
        <v>0</v>
      </c>
      <c r="R3353">
        <v>0.82200361850645598</v>
      </c>
      <c r="S3353" t="s">
        <v>9664</v>
      </c>
      <c r="T3353" t="s">
        <v>12620</v>
      </c>
      <c r="U3353" t="s">
        <v>12620</v>
      </c>
      <c r="V3353" t="s">
        <v>12620</v>
      </c>
      <c r="W3353" t="s">
        <v>15926</v>
      </c>
      <c r="X3353">
        <v>4</v>
      </c>
      <c r="Y3353" t="s">
        <v>22068</v>
      </c>
      <c r="Z3353" t="s">
        <v>28300</v>
      </c>
      <c r="AA3353">
        <v>0.92188534432955482</v>
      </c>
      <c r="AB3353" t="str">
        <f>HYPERLINK("Melting_Curves/meltCurve_Q4VC05_2_BCL7A.pdf", "Melting_Curves/meltCurve_Q4VC05_2_BCL7A.pdf")</f>
        <v>Melting_Curves/meltCurve_Q4VC05_2_BCL7A.pdf</v>
      </c>
    </row>
    <row r="3354" spans="1:28" x14ac:dyDescent="0.25">
      <c r="A3354" t="s">
        <v>3358</v>
      </c>
      <c r="B3354">
        <v>0.99987803227770999</v>
      </c>
      <c r="C3354">
        <v>0.87751930617080298</v>
      </c>
      <c r="D3354">
        <v>0.97896365904279703</v>
      </c>
      <c r="E3354">
        <v>0.84061832984712603</v>
      </c>
      <c r="F3354">
        <v>0.78949508657534595</v>
      </c>
      <c r="G3354">
        <v>0.73240740611494004</v>
      </c>
      <c r="H3354">
        <v>0.60685749410400203</v>
      </c>
      <c r="I3354">
        <v>0.74596182110228804</v>
      </c>
      <c r="J3354">
        <v>0.55402990635120197</v>
      </c>
      <c r="K3354">
        <v>0.49674807760949202</v>
      </c>
      <c r="L3354">
        <v>294.56135268760301</v>
      </c>
      <c r="M3354">
        <v>4.10754157472015</v>
      </c>
      <c r="O3354">
        <v>59.361993288550799</v>
      </c>
      <c r="P3354">
        <v>-1.75028375242843E-2</v>
      </c>
      <c r="Q3354">
        <v>0</v>
      </c>
      <c r="R3354">
        <v>0.87792923135304402</v>
      </c>
      <c r="S3354" t="s">
        <v>9665</v>
      </c>
      <c r="T3354" t="s">
        <v>12620</v>
      </c>
      <c r="U3354" t="s">
        <v>12620</v>
      </c>
      <c r="V3354" t="s">
        <v>12620</v>
      </c>
      <c r="W3354" t="s">
        <v>15927</v>
      </c>
      <c r="X3354">
        <v>3</v>
      </c>
      <c r="Y3354" t="s">
        <v>22069</v>
      </c>
      <c r="Z3354" t="s">
        <v>28301</v>
      </c>
      <c r="AA3354">
        <v>0.7658640164913515</v>
      </c>
      <c r="AB3354" t="str">
        <f>HYPERLINK("Melting_Curves/meltCurve_Q4VC44_2_FLYWCH1.pdf", "Melting_Curves/meltCurve_Q4VC44_2_FLYWCH1.pdf")</f>
        <v>Melting_Curves/meltCurve_Q4VC44_2_FLYWCH1.pdf</v>
      </c>
    </row>
    <row r="3355" spans="1:28" x14ac:dyDescent="0.25">
      <c r="A3355" t="s">
        <v>3359</v>
      </c>
      <c r="B3355">
        <v>0.99987803227770999</v>
      </c>
      <c r="C3355">
        <v>1.1913517772911599</v>
      </c>
      <c r="D3355">
        <v>1.0557797799991799</v>
      </c>
      <c r="E3355">
        <v>0.98378707692589296</v>
      </c>
      <c r="F3355">
        <v>0.65041266444175905</v>
      </c>
      <c r="G3355">
        <v>0.42811993283592997</v>
      </c>
      <c r="H3355">
        <v>0.46583509229755599</v>
      </c>
      <c r="I3355">
        <v>0.48348490969630498</v>
      </c>
      <c r="J3355">
        <v>0.19382505139633999</v>
      </c>
      <c r="K3355">
        <v>0.17224637453158501</v>
      </c>
      <c r="L3355">
        <v>1197.4364190850899</v>
      </c>
      <c r="M3355">
        <v>22.162647114531801</v>
      </c>
      <c r="N3355">
        <v>56.280062003049999</v>
      </c>
      <c r="O3355">
        <v>53.595372180291101</v>
      </c>
      <c r="P3355">
        <v>-7.2997577352032397E-2</v>
      </c>
      <c r="Q3355">
        <v>0.29390250704627702</v>
      </c>
      <c r="R3355">
        <v>0.897765595216511</v>
      </c>
      <c r="S3355" t="s">
        <v>9666</v>
      </c>
      <c r="T3355" t="s">
        <v>12620</v>
      </c>
      <c r="U3355" t="s">
        <v>12620</v>
      </c>
      <c r="V3355" t="s">
        <v>12620</v>
      </c>
      <c r="W3355" t="s">
        <v>15928</v>
      </c>
      <c r="X3355">
        <v>2</v>
      </c>
      <c r="Y3355" t="s">
        <v>22070</v>
      </c>
      <c r="Z3355" t="s">
        <v>28302</v>
      </c>
      <c r="AA3355">
        <v>0.63219564831401465</v>
      </c>
      <c r="AB3355" t="str">
        <f>HYPERLINK("Melting_Curves/meltCurve_Q4VXZ8_DECR2.pdf", "Melting_Curves/meltCurve_Q4VXZ8_DECR2.pdf")</f>
        <v>Melting_Curves/meltCurve_Q4VXZ8_DECR2.pdf</v>
      </c>
    </row>
    <row r="3356" spans="1:28" x14ac:dyDescent="0.25">
      <c r="A3356" t="s">
        <v>3360</v>
      </c>
      <c r="B3356">
        <v>0.99987803227770999</v>
      </c>
      <c r="C3356">
        <v>1.12954099314051</v>
      </c>
      <c r="D3356">
        <v>0.96068625070211899</v>
      </c>
      <c r="E3356">
        <v>0.95375891368239496</v>
      </c>
      <c r="F3356">
        <v>0.56544242298124803</v>
      </c>
      <c r="G3356">
        <v>0.45711141570700398</v>
      </c>
      <c r="H3356">
        <v>0.22319863588409999</v>
      </c>
      <c r="I3356">
        <v>0.22543220937372799</v>
      </c>
      <c r="J3356">
        <v>0</v>
      </c>
      <c r="K3356">
        <v>0.113540029668469</v>
      </c>
      <c r="L3356">
        <v>909.40385417984203</v>
      </c>
      <c r="M3356">
        <v>16.470136002651</v>
      </c>
      <c r="N3356">
        <v>55.637103155783301</v>
      </c>
      <c r="O3356">
        <v>54.420596595545298</v>
      </c>
      <c r="P3356">
        <v>-7.1225791292781795E-2</v>
      </c>
      <c r="Q3356">
        <v>5.8689388380240202E-2</v>
      </c>
      <c r="R3356">
        <v>0.95995522361345398</v>
      </c>
      <c r="S3356" t="s">
        <v>9667</v>
      </c>
      <c r="T3356" t="s">
        <v>12620</v>
      </c>
      <c r="U3356" t="s">
        <v>12620</v>
      </c>
      <c r="V3356" t="s">
        <v>12620</v>
      </c>
      <c r="W3356" t="s">
        <v>15929</v>
      </c>
      <c r="X3356">
        <v>3</v>
      </c>
      <c r="Y3356" t="s">
        <v>22071</v>
      </c>
      <c r="Z3356" t="s">
        <v>28303</v>
      </c>
      <c r="AA3356">
        <v>0.55222181290913752</v>
      </c>
      <c r="AB3356" t="str">
        <f>HYPERLINK("Melting_Curves/meltCurve_Q504Q3_2_PAN2.pdf", "Melting_Curves/meltCurve_Q504Q3_2_PAN2.pdf")</f>
        <v>Melting_Curves/meltCurve_Q504Q3_2_PAN2.pdf</v>
      </c>
    </row>
    <row r="3357" spans="1:28" x14ac:dyDescent="0.25">
      <c r="A3357" t="s">
        <v>3361</v>
      </c>
      <c r="B3357">
        <v>0.99987803227770999</v>
      </c>
      <c r="C3357">
        <v>1.0167122562934801</v>
      </c>
      <c r="D3357">
        <v>1.37198696360941</v>
      </c>
      <c r="E3357">
        <v>1.0401710519463001</v>
      </c>
      <c r="F3357">
        <v>0.88963976399072997</v>
      </c>
      <c r="G3357">
        <v>0.83348540026750495</v>
      </c>
      <c r="H3357">
        <v>0.75910406006366205</v>
      </c>
      <c r="I3357">
        <v>0.73932528353374105</v>
      </c>
      <c r="J3357">
        <v>0.52093085465978295</v>
      </c>
      <c r="K3357">
        <v>0.39580685020268602</v>
      </c>
      <c r="L3357">
        <v>769.55735652524197</v>
      </c>
      <c r="M3357">
        <v>11.3467996983255</v>
      </c>
      <c r="N3357">
        <v>67.821534496648297</v>
      </c>
      <c r="O3357">
        <v>65.817440226183706</v>
      </c>
      <c r="P3357">
        <v>-4.3112418419572002E-2</v>
      </c>
      <c r="Q3357">
        <v>0</v>
      </c>
      <c r="R3357">
        <v>0.76848613779800301</v>
      </c>
      <c r="S3357" t="s">
        <v>9668</v>
      </c>
      <c r="T3357" t="s">
        <v>12620</v>
      </c>
      <c r="U3357" t="s">
        <v>12620</v>
      </c>
      <c r="V3357" t="s">
        <v>12620</v>
      </c>
      <c r="W3357" t="s">
        <v>15930</v>
      </c>
      <c r="X3357">
        <v>2</v>
      </c>
      <c r="Y3357" t="s">
        <v>22072</v>
      </c>
      <c r="Z3357" t="s">
        <v>28304</v>
      </c>
      <c r="AA3357">
        <v>0.8450749686769039</v>
      </c>
      <c r="AB3357" t="str">
        <f>HYPERLINK("Melting_Curves/meltCurve_Q504U0_C4orf46.pdf", "Melting_Curves/meltCurve_Q504U0_C4orf46.pdf")</f>
        <v>Melting_Curves/meltCurve_Q504U0_C4orf46.pdf</v>
      </c>
    </row>
    <row r="3358" spans="1:28" x14ac:dyDescent="0.25">
      <c r="A3358" t="s">
        <v>3362</v>
      </c>
      <c r="B3358">
        <v>0.99987803227770999</v>
      </c>
      <c r="C3358">
        <v>1.0945757110721199</v>
      </c>
      <c r="D3358">
        <v>0.91547695236871995</v>
      </c>
      <c r="E3358">
        <v>0.86577662221235496</v>
      </c>
      <c r="F3358">
        <v>0.343751551923344</v>
      </c>
      <c r="G3358">
        <v>0.254179473882792</v>
      </c>
      <c r="H3358">
        <v>0.18186087323337599</v>
      </c>
      <c r="I3358">
        <v>0.156014558620924</v>
      </c>
      <c r="J3358">
        <v>0.121277765193992</v>
      </c>
      <c r="K3358">
        <v>8.9663842450051698E-2</v>
      </c>
      <c r="L3358">
        <v>2371.70677294799</v>
      </c>
      <c r="M3358">
        <v>45.890888166487201</v>
      </c>
      <c r="N3358">
        <v>52.105525512078898</v>
      </c>
      <c r="O3358">
        <v>51.583579045375402</v>
      </c>
      <c r="P3358">
        <v>-0.18774929771190399</v>
      </c>
      <c r="Q3358">
        <v>0.155843825324608</v>
      </c>
      <c r="R3358">
        <v>0.980438603172616</v>
      </c>
      <c r="S3358" t="s">
        <v>9669</v>
      </c>
      <c r="T3358" t="s">
        <v>12620</v>
      </c>
      <c r="U3358" t="s">
        <v>12620</v>
      </c>
      <c r="V3358" t="s">
        <v>12620</v>
      </c>
      <c r="W3358" t="s">
        <v>15931</v>
      </c>
      <c r="X3358">
        <v>7</v>
      </c>
      <c r="Y3358" t="s">
        <v>22073</v>
      </c>
      <c r="Z3358" t="s">
        <v>28305</v>
      </c>
      <c r="AA3358">
        <v>0.48682876957541998</v>
      </c>
      <c r="AB3358" t="str">
        <f>HYPERLINK("Melting_Curves/meltCurve_Q52LJ0_2_FAM98B.pdf", "Melting_Curves/meltCurve_Q52LJ0_2_FAM98B.pdf")</f>
        <v>Melting_Curves/meltCurve_Q52LJ0_2_FAM98B.pdf</v>
      </c>
    </row>
    <row r="3359" spans="1:28" x14ac:dyDescent="0.25">
      <c r="A3359" t="s">
        <v>3363</v>
      </c>
      <c r="B3359">
        <v>0.99987803227770999</v>
      </c>
      <c r="C3359">
        <v>1.0522067340211001</v>
      </c>
      <c r="D3359">
        <v>1.1274965092115701</v>
      </c>
      <c r="E3359">
        <v>1.1840842019715001</v>
      </c>
      <c r="F3359">
        <v>1.12526765370516</v>
      </c>
      <c r="G3359">
        <v>0.70668676433655697</v>
      </c>
      <c r="H3359">
        <v>0.87005978114882399</v>
      </c>
      <c r="I3359">
        <v>1.00126111561604</v>
      </c>
      <c r="J3359">
        <v>0.72940755684733305</v>
      </c>
      <c r="K3359">
        <v>0.63788721562568496</v>
      </c>
      <c r="L3359">
        <v>822.07979484032398</v>
      </c>
      <c r="M3359">
        <v>11.105761542366</v>
      </c>
      <c r="Q3359">
        <v>0</v>
      </c>
      <c r="R3359">
        <v>0.51546389157169203</v>
      </c>
      <c r="S3359" t="s">
        <v>9670</v>
      </c>
      <c r="T3359" t="s">
        <v>12620</v>
      </c>
      <c r="U3359" t="s">
        <v>12620</v>
      </c>
      <c r="V3359" t="s">
        <v>12620</v>
      </c>
      <c r="W3359" t="s">
        <v>15932</v>
      </c>
      <c r="X3359">
        <v>1</v>
      </c>
      <c r="Y3359" t="s">
        <v>22074</v>
      </c>
      <c r="Z3359" t="s">
        <v>28306</v>
      </c>
      <c r="AA3359">
        <v>0.92845235716237084</v>
      </c>
      <c r="AB3359" t="str">
        <f>HYPERLINK("Melting_Curves/meltCurve_Q52LR7_EPC2.pdf", "Melting_Curves/meltCurve_Q52LR7_EPC2.pdf")</f>
        <v>Melting_Curves/meltCurve_Q52LR7_EPC2.pdf</v>
      </c>
    </row>
    <row r="3360" spans="1:28" x14ac:dyDescent="0.25">
      <c r="A3360" t="s">
        <v>3364</v>
      </c>
      <c r="B3360">
        <v>0.99987803227770999</v>
      </c>
      <c r="C3360">
        <v>0.94876029218359603</v>
      </c>
      <c r="D3360">
        <v>0.93727166720940502</v>
      </c>
      <c r="E3360">
        <v>0.84706226012604702</v>
      </c>
      <c r="F3360">
        <v>0.69344443222001595</v>
      </c>
      <c r="G3360">
        <v>0.51954450913821204</v>
      </c>
      <c r="H3360">
        <v>0.49517314386815298</v>
      </c>
      <c r="I3360">
        <v>0.41755725942120098</v>
      </c>
      <c r="J3360">
        <v>0.47198201851724098</v>
      </c>
      <c r="K3360">
        <v>0.40080911125163099</v>
      </c>
      <c r="L3360">
        <v>861.50725759863496</v>
      </c>
      <c r="M3360">
        <v>16.3579148225603</v>
      </c>
      <c r="N3360">
        <v>58.997360844654999</v>
      </c>
      <c r="O3360">
        <v>51.897859676215496</v>
      </c>
      <c r="P3360">
        <v>-4.6212030851765298E-2</v>
      </c>
      <c r="Q3360">
        <v>0.41358466997091398</v>
      </c>
      <c r="R3360">
        <v>0.98811802886646205</v>
      </c>
      <c r="S3360" t="s">
        <v>9671</v>
      </c>
      <c r="T3360" t="s">
        <v>12620</v>
      </c>
      <c r="U3360" t="s">
        <v>12620</v>
      </c>
      <c r="V3360" t="s">
        <v>12620</v>
      </c>
      <c r="W3360" t="s">
        <v>15933</v>
      </c>
      <c r="X3360">
        <v>18</v>
      </c>
      <c r="Y3360" t="s">
        <v>22075</v>
      </c>
      <c r="Z3360" t="s">
        <v>28307</v>
      </c>
      <c r="AA3360">
        <v>0.67241474388798561</v>
      </c>
      <c r="AB3360" t="str">
        <f>HYPERLINK("Melting_Curves/meltCurve_Q52LW3_ARHGAP29.pdf", "Melting_Curves/meltCurve_Q52LW3_ARHGAP29.pdf")</f>
        <v>Melting_Curves/meltCurve_Q52LW3_ARHGAP29.pdf</v>
      </c>
    </row>
    <row r="3361" spans="1:28" x14ac:dyDescent="0.25">
      <c r="A3361" t="s">
        <v>3365</v>
      </c>
      <c r="B3361">
        <v>0.99987803227770999</v>
      </c>
      <c r="C3361">
        <v>1.0261015064491801</v>
      </c>
      <c r="D3361">
        <v>1.05976204527036</v>
      </c>
      <c r="E3361">
        <v>1.0320991112289399</v>
      </c>
      <c r="F3361">
        <v>0.79836462274435005</v>
      </c>
      <c r="G3361">
        <v>0.39344216977568502</v>
      </c>
      <c r="H3361">
        <v>0.338728920280574</v>
      </c>
      <c r="I3361">
        <v>0.30290122814199999</v>
      </c>
      <c r="J3361">
        <v>0.28489947778027402</v>
      </c>
      <c r="K3361">
        <v>0.22664846686196199</v>
      </c>
      <c r="L3361">
        <v>2096.0864423262801</v>
      </c>
      <c r="M3361">
        <v>38.514164143698302</v>
      </c>
      <c r="N3361">
        <v>55.640361581317499</v>
      </c>
      <c r="O3361">
        <v>54.277678917580303</v>
      </c>
      <c r="P3361">
        <v>-0.126907926090565</v>
      </c>
      <c r="Q3361">
        <v>0.28460076618917102</v>
      </c>
      <c r="R3361">
        <v>0.98908724073378695</v>
      </c>
      <c r="S3361" t="s">
        <v>9672</v>
      </c>
      <c r="T3361" t="s">
        <v>12620</v>
      </c>
      <c r="U3361" t="s">
        <v>12620</v>
      </c>
      <c r="V3361" t="s">
        <v>12620</v>
      </c>
      <c r="W3361" t="s">
        <v>15934</v>
      </c>
      <c r="X3361">
        <v>7</v>
      </c>
      <c r="Y3361" t="s">
        <v>22076</v>
      </c>
      <c r="Z3361" t="s">
        <v>28308</v>
      </c>
      <c r="AA3361">
        <v>0.6314539693028105</v>
      </c>
      <c r="AB3361" t="str">
        <f>HYPERLINK("Melting_Curves/meltCurve_Q53EL6_2_PDCD4.pdf", "Melting_Curves/meltCurve_Q53EL6_2_PDCD4.pdf")</f>
        <v>Melting_Curves/meltCurve_Q53EL6_2_PDCD4.pdf</v>
      </c>
    </row>
    <row r="3362" spans="1:28" x14ac:dyDescent="0.25">
      <c r="A3362" t="s">
        <v>3366</v>
      </c>
      <c r="B3362">
        <v>0.99987803227770999</v>
      </c>
      <c r="C3362">
        <v>0.94965821079662005</v>
      </c>
      <c r="D3362">
        <v>1.0324870479877399</v>
      </c>
      <c r="E3362">
        <v>0.78193459360867201</v>
      </c>
      <c r="F3362">
        <v>0.64300705147759596</v>
      </c>
      <c r="G3362">
        <v>0.39766998298615203</v>
      </c>
      <c r="H3362">
        <v>0.29630031655863398</v>
      </c>
      <c r="I3362">
        <v>0.23432149118585399</v>
      </c>
      <c r="J3362">
        <v>0.20940152097523301</v>
      </c>
      <c r="K3362">
        <v>0.169001771452094</v>
      </c>
      <c r="L3362">
        <v>893.24339697265702</v>
      </c>
      <c r="M3362">
        <v>16.612677929259299</v>
      </c>
      <c r="N3362">
        <v>55.192640175089998</v>
      </c>
      <c r="O3362">
        <v>53.007786193321103</v>
      </c>
      <c r="P3362">
        <v>-6.4699629448373194E-2</v>
      </c>
      <c r="Q3362">
        <v>0.174280767474564</v>
      </c>
      <c r="R3362">
        <v>0.99082685423146999</v>
      </c>
      <c r="S3362" t="s">
        <v>9673</v>
      </c>
      <c r="T3362" t="s">
        <v>12620</v>
      </c>
      <c r="U3362" t="s">
        <v>12620</v>
      </c>
      <c r="V3362" t="s">
        <v>12620</v>
      </c>
      <c r="W3362" t="s">
        <v>15935</v>
      </c>
      <c r="X3362">
        <v>14</v>
      </c>
      <c r="Y3362" t="s">
        <v>22077</v>
      </c>
      <c r="Z3362" t="s">
        <v>28309</v>
      </c>
      <c r="AA3362">
        <v>0.56819983010073993</v>
      </c>
      <c r="AB3362" t="str">
        <f>HYPERLINK("Melting_Curves/meltCurve_Q53EZ4_CEP55.pdf", "Melting_Curves/meltCurve_Q53EZ4_CEP55.pdf")</f>
        <v>Melting_Curves/meltCurve_Q53EZ4_CEP55.pdf</v>
      </c>
    </row>
    <row r="3363" spans="1:28" x14ac:dyDescent="0.25">
      <c r="A3363" t="s">
        <v>3367</v>
      </c>
      <c r="B3363">
        <v>0.99987803227770999</v>
      </c>
      <c r="C3363">
        <v>0.97271334597580195</v>
      </c>
      <c r="D3363">
        <v>0.97038572890714403</v>
      </c>
      <c r="E3363">
        <v>0.77567453017462096</v>
      </c>
      <c r="F3363">
        <v>0.70559424350890299</v>
      </c>
      <c r="G3363">
        <v>0.54526115424596699</v>
      </c>
      <c r="H3363">
        <v>0.48148197135439202</v>
      </c>
      <c r="I3363">
        <v>0.51046454922222695</v>
      </c>
      <c r="J3363">
        <v>0.43863866635732501</v>
      </c>
      <c r="K3363">
        <v>0.38278848597992599</v>
      </c>
      <c r="L3363">
        <v>736.82307395780504</v>
      </c>
      <c r="M3363">
        <v>13.991616307871</v>
      </c>
      <c r="N3363">
        <v>59.921812927313198</v>
      </c>
      <c r="O3363">
        <v>51.621000634420703</v>
      </c>
      <c r="P3363">
        <v>-4.0105120367296201E-2</v>
      </c>
      <c r="Q3363">
        <v>0.408219370393617</v>
      </c>
      <c r="R3363">
        <v>0.98395680433222599</v>
      </c>
      <c r="S3363" t="s">
        <v>9674</v>
      </c>
      <c r="T3363" t="s">
        <v>12620</v>
      </c>
      <c r="U3363" t="s">
        <v>12620</v>
      </c>
      <c r="V3363" t="s">
        <v>12620</v>
      </c>
      <c r="W3363" t="s">
        <v>15936</v>
      </c>
      <c r="X3363">
        <v>5</v>
      </c>
      <c r="Y3363" t="s">
        <v>22078</v>
      </c>
      <c r="Z3363" t="s">
        <v>28310</v>
      </c>
      <c r="AA3363">
        <v>0.67221635634364652</v>
      </c>
      <c r="AB3363" t="str">
        <f>HYPERLINK("Melting_Curves/meltCurve_Q53F19_C17orf85.pdf", "Melting_Curves/meltCurve_Q53F19_C17orf85.pdf")</f>
        <v>Melting_Curves/meltCurve_Q53F19_C17orf85.pdf</v>
      </c>
    </row>
    <row r="3364" spans="1:28" x14ac:dyDescent="0.25">
      <c r="A3364" t="s">
        <v>3368</v>
      </c>
      <c r="B3364">
        <v>0.99987803227770999</v>
      </c>
      <c r="C3364">
        <v>1.0314960944335501</v>
      </c>
      <c r="D3364">
        <v>1.0444482620217399</v>
      </c>
      <c r="E3364">
        <v>1.0475040356135299</v>
      </c>
      <c r="F3364">
        <v>1.04161767209826</v>
      </c>
      <c r="G3364">
        <v>0.96705109978978099</v>
      </c>
      <c r="H3364">
        <v>0.98991677898568897</v>
      </c>
      <c r="I3364">
        <v>0.92369960974387</v>
      </c>
      <c r="J3364">
        <v>0.507800972519039</v>
      </c>
      <c r="K3364">
        <v>0.23335887362490401</v>
      </c>
      <c r="L3364">
        <v>3843.5417113199601</v>
      </c>
      <c r="M3364">
        <v>57.8059729865005</v>
      </c>
      <c r="N3364">
        <v>67.048706670564599</v>
      </c>
      <c r="O3364">
        <v>66.410952982178898</v>
      </c>
      <c r="P3364">
        <v>-0.176038602883378</v>
      </c>
      <c r="Q3364">
        <v>0.19102571899210499</v>
      </c>
      <c r="R3364">
        <v>0.988416152396004</v>
      </c>
      <c r="S3364" t="s">
        <v>9675</v>
      </c>
      <c r="T3364" t="s">
        <v>12620</v>
      </c>
      <c r="U3364" t="s">
        <v>12620</v>
      </c>
      <c r="V3364" t="s">
        <v>12620</v>
      </c>
      <c r="W3364" t="s">
        <v>15937</v>
      </c>
      <c r="X3364">
        <v>19</v>
      </c>
      <c r="Y3364" t="s">
        <v>22079</v>
      </c>
      <c r="Z3364" t="s">
        <v>28311</v>
      </c>
      <c r="AA3364">
        <v>0.90521647280513629</v>
      </c>
      <c r="AB3364" t="str">
        <f>HYPERLINK("Melting_Curves/meltCurve_Q53FA7_TP53I3.pdf", "Melting_Curves/meltCurve_Q53FA7_TP53I3.pdf")</f>
        <v>Melting_Curves/meltCurve_Q53FA7_TP53I3.pdf</v>
      </c>
    </row>
    <row r="3365" spans="1:28" x14ac:dyDescent="0.25">
      <c r="A3365" t="s">
        <v>3369</v>
      </c>
      <c r="B3365">
        <v>0.99987803227770999</v>
      </c>
      <c r="C3365">
        <v>0.97946331123300601</v>
      </c>
      <c r="D3365">
        <v>1.04506710084284</v>
      </c>
      <c r="E3365">
        <v>0.92953874793931601</v>
      </c>
      <c r="F3365">
        <v>1.00182946614331</v>
      </c>
      <c r="G3365">
        <v>0.61853237522973403</v>
      </c>
      <c r="H3365">
        <v>0.25503025959950398</v>
      </c>
      <c r="I3365">
        <v>0.120062911029287</v>
      </c>
      <c r="J3365">
        <v>6.3435541285823002E-2</v>
      </c>
      <c r="K3365">
        <v>4.9904311362575803E-2</v>
      </c>
      <c r="L3365">
        <v>1658.2882767656099</v>
      </c>
      <c r="M3365">
        <v>28.582795818620799</v>
      </c>
      <c r="N3365">
        <v>58.233823387784199</v>
      </c>
      <c r="O3365">
        <v>57.735248719101797</v>
      </c>
      <c r="P3365">
        <v>-0.11752031904719901</v>
      </c>
      <c r="Q3365">
        <v>5.0476230686840103E-2</v>
      </c>
      <c r="R3365">
        <v>0.99354914758837798</v>
      </c>
      <c r="S3365" t="s">
        <v>9676</v>
      </c>
      <c r="T3365" t="s">
        <v>12620</v>
      </c>
      <c r="U3365" t="s">
        <v>12620</v>
      </c>
      <c r="V3365" t="s">
        <v>12620</v>
      </c>
      <c r="W3365" t="s">
        <v>15938</v>
      </c>
      <c r="X3365">
        <v>2</v>
      </c>
      <c r="Y3365" t="s">
        <v>22080</v>
      </c>
      <c r="Z3365" t="s">
        <v>28312</v>
      </c>
      <c r="AA3365">
        <v>0.62748663042833153</v>
      </c>
      <c r="AB3365" t="str">
        <f>HYPERLINK("Melting_Curves/meltCurve_Q53FT3_C11orf73.pdf", "Melting_Curves/meltCurve_Q53FT3_C11orf73.pdf")</f>
        <v>Melting_Curves/meltCurve_Q53FT3_C11orf73.pdf</v>
      </c>
    </row>
    <row r="3366" spans="1:28" x14ac:dyDescent="0.25">
      <c r="A3366" t="s">
        <v>3370</v>
      </c>
      <c r="B3366">
        <v>0.99987803227770999</v>
      </c>
      <c r="C3366">
        <v>0.93631707549323595</v>
      </c>
      <c r="D3366">
        <v>1.0119520367644399</v>
      </c>
      <c r="E3366">
        <v>0.86245046677370096</v>
      </c>
      <c r="F3366">
        <v>0.93561737840334502</v>
      </c>
      <c r="G3366">
        <v>0.60103777323843699</v>
      </c>
      <c r="H3366">
        <v>0.83140463701864398</v>
      </c>
      <c r="I3366">
        <v>0.79995384194246499</v>
      </c>
      <c r="J3366">
        <v>1.38031315603935</v>
      </c>
      <c r="K3366">
        <v>1.43466026746774</v>
      </c>
      <c r="L3366">
        <v>15000</v>
      </c>
      <c r="M3366">
        <v>225.81401870875499</v>
      </c>
      <c r="O3366">
        <v>66.421142448166606</v>
      </c>
      <c r="P3366">
        <v>0.36966054106385798</v>
      </c>
      <c r="Q3366">
        <v>1.4349291141610401</v>
      </c>
      <c r="R3366">
        <v>0.56364673783674601</v>
      </c>
      <c r="S3366" t="s">
        <v>9677</v>
      </c>
      <c r="T3366" t="s">
        <v>12620</v>
      </c>
      <c r="U3366" t="s">
        <v>12620</v>
      </c>
      <c r="V3366" t="s">
        <v>12620</v>
      </c>
      <c r="W3366" t="s">
        <v>15939</v>
      </c>
      <c r="X3366">
        <v>1</v>
      </c>
      <c r="Y3366" t="s">
        <v>22081</v>
      </c>
      <c r="Z3366" t="s">
        <v>28313</v>
      </c>
      <c r="AA3366">
        <v>1.051747446219031</v>
      </c>
      <c r="AB3366" t="str">
        <f>HYPERLINK("Melting_Curves/meltCurve_Q53G59_KLHL12.pdf", "Melting_Curves/meltCurve_Q53G59_KLHL12.pdf")</f>
        <v>Melting_Curves/meltCurve_Q53G59_KLHL12.pdf</v>
      </c>
    </row>
    <row r="3367" spans="1:28" x14ac:dyDescent="0.25">
      <c r="A3367" t="s">
        <v>3371</v>
      </c>
      <c r="B3367">
        <v>0.99987803227770999</v>
      </c>
      <c r="C3367">
        <v>0.76015007826718195</v>
      </c>
      <c r="D3367">
        <v>0.64128983060313105</v>
      </c>
      <c r="E3367">
        <v>0.485209205246175</v>
      </c>
      <c r="F3367">
        <v>0.417174373775271</v>
      </c>
      <c r="G3367">
        <v>0.26163172892922198</v>
      </c>
      <c r="H3367">
        <v>0.213992537615672</v>
      </c>
      <c r="I3367">
        <v>0.204105371510342</v>
      </c>
      <c r="J3367">
        <v>0.14225315372839001</v>
      </c>
      <c r="K3367">
        <v>0.107295851935001</v>
      </c>
      <c r="L3367">
        <v>467.08511872168498</v>
      </c>
      <c r="M3367">
        <v>9.5679572169249507</v>
      </c>
      <c r="N3367">
        <v>49.830236777207702</v>
      </c>
      <c r="O3367">
        <v>46.827979029064601</v>
      </c>
      <c r="P3367">
        <v>-4.6594316777039298E-2</v>
      </c>
      <c r="Q3367">
        <v>8.8347778613754799E-2</v>
      </c>
      <c r="R3367">
        <v>0.97918859486335497</v>
      </c>
      <c r="S3367" t="s">
        <v>9678</v>
      </c>
      <c r="T3367" t="s">
        <v>12620</v>
      </c>
      <c r="U3367" t="s">
        <v>12620</v>
      </c>
      <c r="V3367" t="s">
        <v>12620</v>
      </c>
      <c r="W3367" t="s">
        <v>15940</v>
      </c>
      <c r="X3367">
        <v>3</v>
      </c>
      <c r="Y3367" t="s">
        <v>22082</v>
      </c>
      <c r="Z3367" t="s">
        <v>28314</v>
      </c>
      <c r="AA3367">
        <v>0.40458687947918448</v>
      </c>
      <c r="AB3367" t="str">
        <f>HYPERLINK("Melting_Curves/meltCurve_Q53GA4_PHLDA2.pdf", "Melting_Curves/meltCurve_Q53GA4_PHLDA2.pdf")</f>
        <v>Melting_Curves/meltCurve_Q53GA4_PHLDA2.pdf</v>
      </c>
    </row>
    <row r="3368" spans="1:28" x14ac:dyDescent="0.25">
      <c r="A3368" t="s">
        <v>3372</v>
      </c>
      <c r="B3368">
        <v>0.99987803227770999</v>
      </c>
      <c r="C3368">
        <v>1.06332815869597</v>
      </c>
      <c r="D3368">
        <v>1.0940899848916099</v>
      </c>
      <c r="E3368">
        <v>1.06420943195296</v>
      </c>
      <c r="F3368">
        <v>0.97257567002545098</v>
      </c>
      <c r="G3368">
        <v>0.79420912973464697</v>
      </c>
      <c r="H3368">
        <v>0.32330739068380099</v>
      </c>
      <c r="I3368">
        <v>0.29887800739840398</v>
      </c>
      <c r="J3368">
        <v>0.12263575966389501</v>
      </c>
      <c r="K3368">
        <v>0.106500049844754</v>
      </c>
      <c r="L3368">
        <v>1761.8286668943799</v>
      </c>
      <c r="M3368">
        <v>29.819315911170399</v>
      </c>
      <c r="N3368">
        <v>59.660876551717898</v>
      </c>
      <c r="O3368">
        <v>58.819670646539599</v>
      </c>
      <c r="P3368">
        <v>-0.110855291355477</v>
      </c>
      <c r="Q3368">
        <v>0.12534182189696899</v>
      </c>
      <c r="R3368">
        <v>0.98083812314401897</v>
      </c>
      <c r="S3368" t="s">
        <v>9679</v>
      </c>
      <c r="T3368" t="s">
        <v>12620</v>
      </c>
      <c r="U3368" t="s">
        <v>12620</v>
      </c>
      <c r="V3368" t="s">
        <v>12620</v>
      </c>
      <c r="W3368" t="s">
        <v>15941</v>
      </c>
      <c r="X3368">
        <v>2</v>
      </c>
      <c r="Y3368" t="s">
        <v>22083</v>
      </c>
      <c r="Z3368" t="s">
        <v>28315</v>
      </c>
      <c r="AA3368">
        <v>0.68736008014627215</v>
      </c>
      <c r="AB3368" t="str">
        <f>HYPERLINK("Melting_Curves/meltCurve_Q53H54_TRMT12.pdf", "Melting_Curves/meltCurve_Q53H54_TRMT12.pdf")</f>
        <v>Melting_Curves/meltCurve_Q53H54_TRMT12.pdf</v>
      </c>
    </row>
    <row r="3369" spans="1:28" x14ac:dyDescent="0.25">
      <c r="A3369" t="s">
        <v>3373</v>
      </c>
      <c r="B3369">
        <v>0.99987803227770999</v>
      </c>
      <c r="C3369">
        <v>0.85900463973436803</v>
      </c>
      <c r="D3369">
        <v>0.93476844514183299</v>
      </c>
      <c r="E3369">
        <v>0.87819413401969204</v>
      </c>
      <c r="F3369">
        <v>0.99277202854399604</v>
      </c>
      <c r="G3369">
        <v>0.85794961473206699</v>
      </c>
      <c r="H3369">
        <v>0.80027980508426999</v>
      </c>
      <c r="I3369">
        <v>0.69035822988090301</v>
      </c>
      <c r="J3369">
        <v>0.52792598308448602</v>
      </c>
      <c r="K3369">
        <v>0.36095957531867001</v>
      </c>
      <c r="L3369">
        <v>794.92594818800706</v>
      </c>
      <c r="M3369">
        <v>11.776167881760101</v>
      </c>
      <c r="N3369">
        <v>67.502941832836399</v>
      </c>
      <c r="O3369">
        <v>65.644605813893406</v>
      </c>
      <c r="P3369">
        <v>-4.4859822439479301E-2</v>
      </c>
      <c r="Q3369">
        <v>0</v>
      </c>
      <c r="R3369">
        <v>0.89635944671105505</v>
      </c>
      <c r="S3369" t="s">
        <v>9680</v>
      </c>
      <c r="T3369" t="s">
        <v>12620</v>
      </c>
      <c r="U3369" t="s">
        <v>12620</v>
      </c>
      <c r="V3369" t="s">
        <v>12620</v>
      </c>
      <c r="W3369" t="s">
        <v>15942</v>
      </c>
      <c r="X3369">
        <v>23</v>
      </c>
      <c r="Y3369" t="s">
        <v>22084</v>
      </c>
      <c r="Z3369" t="s">
        <v>28316</v>
      </c>
      <c r="AA3369">
        <v>0.84268700280109521</v>
      </c>
      <c r="AB3369" t="str">
        <f>HYPERLINK("Melting_Curves/meltCurve_Q53H82_LACTB2.pdf", "Melting_Curves/meltCurve_Q53H82_LACTB2.pdf")</f>
        <v>Melting_Curves/meltCurve_Q53H82_LACTB2.pdf</v>
      </c>
    </row>
    <row r="3370" spans="1:28" x14ac:dyDescent="0.25">
      <c r="A3370" t="s">
        <v>3374</v>
      </c>
      <c r="B3370">
        <v>0.99987803227770999</v>
      </c>
      <c r="C3370">
        <v>0.92774721803628202</v>
      </c>
      <c r="D3370">
        <v>0.93837905825204004</v>
      </c>
      <c r="E3370">
        <v>0.88508716386420005</v>
      </c>
      <c r="F3370">
        <v>0.92453024577118403</v>
      </c>
      <c r="G3370">
        <v>0.41604990823089399</v>
      </c>
      <c r="H3370">
        <v>0.22046704985785501</v>
      </c>
      <c r="I3370">
        <v>0.19740426827701099</v>
      </c>
      <c r="J3370">
        <v>0.15969705473160201</v>
      </c>
      <c r="K3370">
        <v>0.124337181152962</v>
      </c>
      <c r="L3370">
        <v>1955.1901911666801</v>
      </c>
      <c r="M3370">
        <v>35.027815077706002</v>
      </c>
      <c r="N3370">
        <v>56.438137993733399</v>
      </c>
      <c r="O3370">
        <v>55.637225938622201</v>
      </c>
      <c r="P3370">
        <v>-0.13225994889287301</v>
      </c>
      <c r="Q3370">
        <v>0.15969057905449199</v>
      </c>
      <c r="R3370">
        <v>0.98236553508000601</v>
      </c>
      <c r="S3370" t="s">
        <v>9681</v>
      </c>
      <c r="T3370" t="s">
        <v>12620</v>
      </c>
      <c r="U3370" t="s">
        <v>12620</v>
      </c>
      <c r="V3370" t="s">
        <v>12620</v>
      </c>
      <c r="W3370" t="s">
        <v>15943</v>
      </c>
      <c r="X3370">
        <v>10</v>
      </c>
      <c r="Y3370" t="s">
        <v>22085</v>
      </c>
      <c r="Z3370" t="s">
        <v>28317</v>
      </c>
      <c r="AA3370">
        <v>0.60694176218517648</v>
      </c>
      <c r="AB3370" t="str">
        <f>HYPERLINK("Melting_Curves/meltCurve_Q53HC9_TSSC1.pdf", "Melting_Curves/meltCurve_Q53HC9_TSSC1.pdf")</f>
        <v>Melting_Curves/meltCurve_Q53HC9_TSSC1.pdf</v>
      </c>
    </row>
    <row r="3371" spans="1:28" x14ac:dyDescent="0.25">
      <c r="A3371" t="s">
        <v>3375</v>
      </c>
      <c r="B3371">
        <v>0.99987803227770999</v>
      </c>
      <c r="C3371">
        <v>0.94657544028117901</v>
      </c>
      <c r="D3371">
        <v>0.95660806488744599</v>
      </c>
      <c r="E3371">
        <v>0.77561154116558795</v>
      </c>
      <c r="F3371">
        <v>0.392965240610052</v>
      </c>
      <c r="G3371">
        <v>0.19008986277088</v>
      </c>
      <c r="H3371">
        <v>0.120690586705142</v>
      </c>
      <c r="I3371">
        <v>0.11407251325581901</v>
      </c>
      <c r="J3371">
        <v>8.7064609205455695E-2</v>
      </c>
      <c r="K3371">
        <v>6.1523991335452097E-2</v>
      </c>
      <c r="L3371">
        <v>1380.01023758463</v>
      </c>
      <c r="M3371">
        <v>26.615565314271102</v>
      </c>
      <c r="N3371">
        <v>52.248874839875</v>
      </c>
      <c r="O3371">
        <v>51.559693160033802</v>
      </c>
      <c r="P3371">
        <v>-0.11718185717229899</v>
      </c>
      <c r="Q3371">
        <v>9.1990386268946997E-2</v>
      </c>
      <c r="R3371">
        <v>0.99608538091326004</v>
      </c>
      <c r="S3371" t="s">
        <v>9682</v>
      </c>
      <c r="T3371" t="s">
        <v>12620</v>
      </c>
      <c r="U3371" t="s">
        <v>12620</v>
      </c>
      <c r="V3371" t="s">
        <v>12620</v>
      </c>
      <c r="W3371" t="s">
        <v>15944</v>
      </c>
      <c r="X3371">
        <v>3</v>
      </c>
      <c r="Y3371" t="s">
        <v>22086</v>
      </c>
      <c r="Z3371" t="s">
        <v>28318</v>
      </c>
      <c r="AA3371">
        <v>0.45797493861707772</v>
      </c>
      <c r="AB3371" t="str">
        <f>HYPERLINK("Melting_Curves/meltCurve_Q53HV7_SMUG1.pdf", "Melting_Curves/meltCurve_Q53HV7_SMUG1.pdf")</f>
        <v>Melting_Curves/meltCurve_Q53HV7_SMUG1.pdf</v>
      </c>
    </row>
    <row r="3372" spans="1:28" x14ac:dyDescent="0.25">
      <c r="A3372" t="s">
        <v>3376</v>
      </c>
      <c r="B3372">
        <v>0.99987803227770999</v>
      </c>
      <c r="C3372">
        <v>1.04868059689546</v>
      </c>
      <c r="D3372">
        <v>0.95420642058721805</v>
      </c>
      <c r="E3372">
        <v>0.89742161036926105</v>
      </c>
      <c r="F3372">
        <v>0.71817068219061497</v>
      </c>
      <c r="G3372">
        <v>0.52263166522347504</v>
      </c>
      <c r="H3372">
        <v>0.55431244285700698</v>
      </c>
      <c r="I3372">
        <v>0.455965202314354</v>
      </c>
      <c r="J3372">
        <v>0.52861357417928501</v>
      </c>
      <c r="K3372">
        <v>0.38821057228796002</v>
      </c>
      <c r="L3372">
        <v>1196.8597930032299</v>
      </c>
      <c r="M3372">
        <v>22.666382783598898</v>
      </c>
      <c r="N3372">
        <v>59.852201186889701</v>
      </c>
      <c r="O3372">
        <v>52.397439148403897</v>
      </c>
      <c r="P3372">
        <v>-5.7821058368302397E-2</v>
      </c>
      <c r="Q3372">
        <v>0.46535523344260898</v>
      </c>
      <c r="R3372">
        <v>0.96623462565224105</v>
      </c>
      <c r="S3372" t="s">
        <v>9683</v>
      </c>
      <c r="T3372" t="s">
        <v>12620</v>
      </c>
      <c r="U3372" t="s">
        <v>12620</v>
      </c>
      <c r="V3372" t="s">
        <v>12620</v>
      </c>
      <c r="W3372" t="s">
        <v>15945</v>
      </c>
      <c r="X3372">
        <v>6</v>
      </c>
      <c r="Y3372" t="s">
        <v>22087</v>
      </c>
      <c r="Z3372" t="s">
        <v>28319</v>
      </c>
      <c r="AA3372">
        <v>0.69942588496646385</v>
      </c>
      <c r="AB3372" t="str">
        <f>HYPERLINK("Melting_Curves/meltCurve_Q53LP3_SOWAHC.pdf", "Melting_Curves/meltCurve_Q53LP3_SOWAHC.pdf")</f>
        <v>Melting_Curves/meltCurve_Q53LP3_SOWAHC.pdf</v>
      </c>
    </row>
    <row r="3373" spans="1:28" x14ac:dyDescent="0.25">
      <c r="A3373" t="s">
        <v>3377</v>
      </c>
      <c r="B3373">
        <v>0.99987803227770999</v>
      </c>
      <c r="C3373">
        <v>0.89415684655243899</v>
      </c>
      <c r="D3373">
        <v>0.98980067956937001</v>
      </c>
      <c r="E3373">
        <v>0.89183619292312799</v>
      </c>
      <c r="F3373">
        <v>0.88732324322143596</v>
      </c>
      <c r="G3373">
        <v>0.68378017812548098</v>
      </c>
      <c r="H3373">
        <v>0.69819149697494598</v>
      </c>
      <c r="I3373">
        <v>0.70232581867532295</v>
      </c>
      <c r="J3373">
        <v>0.52073287207478502</v>
      </c>
      <c r="K3373">
        <v>0.41691482045165701</v>
      </c>
      <c r="L3373">
        <v>412.68929628857802</v>
      </c>
      <c r="M3373">
        <v>6.0247157161533602</v>
      </c>
      <c r="N3373">
        <v>68.499374585899204</v>
      </c>
      <c r="O3373">
        <v>62.097541239946203</v>
      </c>
      <c r="P3373">
        <v>-2.4332451604327E-2</v>
      </c>
      <c r="Q3373">
        <v>0</v>
      </c>
      <c r="R3373">
        <v>0.91483859893744202</v>
      </c>
      <c r="S3373" t="s">
        <v>9684</v>
      </c>
      <c r="T3373" t="s">
        <v>12620</v>
      </c>
      <c r="U3373" t="s">
        <v>12620</v>
      </c>
      <c r="V3373" t="s">
        <v>12620</v>
      </c>
      <c r="W3373" t="s">
        <v>15946</v>
      </c>
      <c r="X3373">
        <v>4</v>
      </c>
      <c r="Y3373" t="s">
        <v>22088</v>
      </c>
      <c r="Z3373" t="s">
        <v>28320</v>
      </c>
      <c r="AA3373">
        <v>0.78201733699768794</v>
      </c>
      <c r="AB3373" t="str">
        <f>HYPERLINK("Melting_Curves/meltCurve_Q53QV2_LBH.pdf", "Melting_Curves/meltCurve_Q53QV2_LBH.pdf")</f>
        <v>Melting_Curves/meltCurve_Q53QV2_LBH.pdf</v>
      </c>
    </row>
    <row r="3374" spans="1:28" x14ac:dyDescent="0.25">
      <c r="A3374" t="s">
        <v>3378</v>
      </c>
      <c r="B3374">
        <v>0.99987803227770999</v>
      </c>
      <c r="C3374">
        <v>0.80666034899514005</v>
      </c>
      <c r="D3374">
        <v>0.67915407842046904</v>
      </c>
      <c r="E3374">
        <v>0.54308403067740096</v>
      </c>
      <c r="F3374">
        <v>0.27330674986663001</v>
      </c>
      <c r="G3374">
        <v>0.162253145001618</v>
      </c>
      <c r="H3374">
        <v>0.16819719993562299</v>
      </c>
      <c r="I3374">
        <v>0.13113447786722901</v>
      </c>
      <c r="J3374">
        <v>0.10012015391432801</v>
      </c>
      <c r="K3374">
        <v>8.3170461047911398E-2</v>
      </c>
      <c r="L3374">
        <v>606.53196140007503</v>
      </c>
      <c r="M3374">
        <v>12.439933865796</v>
      </c>
      <c r="N3374">
        <v>49.351979209586297</v>
      </c>
      <c r="O3374">
        <v>47.548322305347398</v>
      </c>
      <c r="P3374">
        <v>-6.0863890385164703E-2</v>
      </c>
      <c r="Q3374">
        <v>6.9651233123228795E-2</v>
      </c>
      <c r="R3374">
        <v>0.98282501309065295</v>
      </c>
      <c r="S3374" t="s">
        <v>9685</v>
      </c>
      <c r="T3374" t="s">
        <v>12620</v>
      </c>
      <c r="U3374" t="s">
        <v>12620</v>
      </c>
      <c r="V3374" t="s">
        <v>12620</v>
      </c>
      <c r="W3374" t="s">
        <v>15947</v>
      </c>
      <c r="X3374">
        <v>2</v>
      </c>
      <c r="Y3374" t="s">
        <v>22089</v>
      </c>
      <c r="Z3374" t="s">
        <v>28321</v>
      </c>
      <c r="AA3374">
        <v>0.37382667526171037</v>
      </c>
      <c r="AB3374" t="str">
        <f>HYPERLINK("Melting_Curves/meltCurve_Q53RE8_ANKRD39.pdf", "Melting_Curves/meltCurve_Q53RE8_ANKRD39.pdf")</f>
        <v>Melting_Curves/meltCurve_Q53RE8_ANKRD39.pdf</v>
      </c>
    </row>
    <row r="3375" spans="1:28" x14ac:dyDescent="0.25">
      <c r="A3375" t="s">
        <v>3379</v>
      </c>
      <c r="B3375">
        <v>0.99987803227770999</v>
      </c>
      <c r="C3375">
        <v>0.82571021989038096</v>
      </c>
      <c r="D3375">
        <v>0.99132122767831599</v>
      </c>
      <c r="E3375">
        <v>0.80685487283554302</v>
      </c>
      <c r="F3375">
        <v>1.0941192405486899</v>
      </c>
      <c r="G3375">
        <v>0.84184714130957805</v>
      </c>
      <c r="H3375">
        <v>0.92587856308845096</v>
      </c>
      <c r="I3375">
        <v>0.88246517728514695</v>
      </c>
      <c r="J3375">
        <v>0.98152530987737496</v>
      </c>
      <c r="K3375">
        <v>0.80291218510642004</v>
      </c>
      <c r="L3375">
        <v>85.454348643131297</v>
      </c>
      <c r="M3375">
        <v>1.0000000000000001E-5</v>
      </c>
      <c r="Q3375">
        <v>0.50688361105971003</v>
      </c>
      <c r="R3375">
        <v>4.10370768559788E-2</v>
      </c>
      <c r="S3375" t="s">
        <v>9686</v>
      </c>
      <c r="T3375" t="s">
        <v>12620</v>
      </c>
      <c r="U3375" t="s">
        <v>12620</v>
      </c>
      <c r="V3375" t="s">
        <v>12620</v>
      </c>
      <c r="W3375" t="s">
        <v>15948</v>
      </c>
      <c r="X3375">
        <v>8</v>
      </c>
      <c r="Y3375" t="s">
        <v>22090</v>
      </c>
      <c r="Z3375" t="s">
        <v>28322</v>
      </c>
      <c r="AA3375">
        <v>0.91524166946237739</v>
      </c>
      <c r="AB3375" t="str">
        <f>HYPERLINK("Melting_Curves/meltCurve_Q53S33_BOLA3.pdf", "Melting_Curves/meltCurve_Q53S33_BOLA3.pdf")</f>
        <v>Melting_Curves/meltCurve_Q53S33_BOLA3.pdf</v>
      </c>
    </row>
    <row r="3376" spans="1:28" x14ac:dyDescent="0.25">
      <c r="A3376" t="s">
        <v>3380</v>
      </c>
      <c r="B3376">
        <v>0.99987803227770999</v>
      </c>
      <c r="C3376">
        <v>0.94740333553411005</v>
      </c>
      <c r="D3376">
        <v>0.95672376904758305</v>
      </c>
      <c r="E3376">
        <v>0.740009513890866</v>
      </c>
      <c r="F3376">
        <v>0.79425268325828002</v>
      </c>
      <c r="G3376">
        <v>0.67592140553758695</v>
      </c>
      <c r="H3376">
        <v>0.65019574892708598</v>
      </c>
      <c r="I3376">
        <v>0.54701098044710095</v>
      </c>
      <c r="J3376">
        <v>0.64814430008351398</v>
      </c>
      <c r="K3376">
        <v>0.52341223716166496</v>
      </c>
      <c r="L3376">
        <v>529.39461032464806</v>
      </c>
      <c r="M3376">
        <v>10.0992850081005</v>
      </c>
      <c r="O3376">
        <v>50.488292603763199</v>
      </c>
      <c r="P3376">
        <v>-2.3392621919519199E-2</v>
      </c>
      <c r="Q3376">
        <v>0.53244197452591702</v>
      </c>
      <c r="R3376">
        <v>0.92024960343241202</v>
      </c>
      <c r="S3376" t="s">
        <v>9687</v>
      </c>
      <c r="T3376" t="s">
        <v>12620</v>
      </c>
      <c r="U3376" t="s">
        <v>12620</v>
      </c>
      <c r="V3376" t="s">
        <v>12620</v>
      </c>
      <c r="W3376" t="s">
        <v>15949</v>
      </c>
      <c r="X3376">
        <v>7</v>
      </c>
      <c r="Y3376" t="s">
        <v>22091</v>
      </c>
      <c r="Z3376" t="s">
        <v>28323</v>
      </c>
      <c r="AA3376">
        <v>0.74285178510611594</v>
      </c>
      <c r="AB3376" t="str">
        <f>HYPERLINK("Melting_Curves/meltCurve_Q53SF7_4_COBLL1.pdf", "Melting_Curves/meltCurve_Q53SF7_4_COBLL1.pdf")</f>
        <v>Melting_Curves/meltCurve_Q53SF7_4_COBLL1.pdf</v>
      </c>
    </row>
    <row r="3377" spans="1:28" x14ac:dyDescent="0.25">
      <c r="A3377" t="s">
        <v>3381</v>
      </c>
      <c r="B3377">
        <v>0.99987803227770999</v>
      </c>
      <c r="C3377">
        <v>0.62706733967111805</v>
      </c>
      <c r="D3377">
        <v>0.96685780800598997</v>
      </c>
      <c r="E3377">
        <v>0.81093054035060896</v>
      </c>
      <c r="F3377">
        <v>0.71580394917874202</v>
      </c>
      <c r="G3377">
        <v>0.31664462115163899</v>
      </c>
      <c r="H3377">
        <v>0.14989715480483501</v>
      </c>
      <c r="I3377">
        <v>0.12198359764496799</v>
      </c>
      <c r="J3377">
        <v>8.4041462404680495E-2</v>
      </c>
      <c r="K3377">
        <v>6.2308830741771203E-2</v>
      </c>
      <c r="L3377">
        <v>819.25469041697602</v>
      </c>
      <c r="M3377">
        <v>14.9344866626389</v>
      </c>
      <c r="N3377">
        <v>54.915462992827003</v>
      </c>
      <c r="O3377">
        <v>53.901194949894901</v>
      </c>
      <c r="P3377">
        <v>-6.8724669468177804E-2</v>
      </c>
      <c r="Q3377">
        <v>7.9441702119958206E-3</v>
      </c>
      <c r="R3377">
        <v>0.891153276546089</v>
      </c>
      <c r="S3377" t="s">
        <v>9688</v>
      </c>
      <c r="T3377" t="s">
        <v>12620</v>
      </c>
      <c r="U3377" t="s">
        <v>12620</v>
      </c>
      <c r="V3377" t="s">
        <v>12620</v>
      </c>
      <c r="W3377" t="s">
        <v>15950</v>
      </c>
      <c r="X3377">
        <v>16</v>
      </c>
      <c r="Y3377" t="s">
        <v>22092</v>
      </c>
      <c r="Z3377" t="s">
        <v>28324</v>
      </c>
      <c r="AA3377">
        <v>0.51864319310314932</v>
      </c>
      <c r="AB3377" t="str">
        <f>HYPERLINK("Melting_Curves/meltCurve_Q53T59_HS1BP3.pdf", "Melting_Curves/meltCurve_Q53T59_HS1BP3.pdf")</f>
        <v>Melting_Curves/meltCurve_Q53T59_HS1BP3.pdf</v>
      </c>
    </row>
    <row r="3378" spans="1:28" x14ac:dyDescent="0.25">
      <c r="A3378" t="s">
        <v>3382</v>
      </c>
      <c r="B3378">
        <v>0.99987803227770999</v>
      </c>
      <c r="C3378">
        <v>0.85488112066412902</v>
      </c>
      <c r="D3378">
        <v>0.80197811903795901</v>
      </c>
      <c r="E3378">
        <v>0.71153114399221595</v>
      </c>
      <c r="F3378">
        <v>0.37932701668750801</v>
      </c>
      <c r="G3378">
        <v>0.26563885381956598</v>
      </c>
      <c r="H3378">
        <v>0.183798605127903</v>
      </c>
      <c r="I3378">
        <v>0.195130609353873</v>
      </c>
      <c r="J3378">
        <v>0.19114663152564901</v>
      </c>
      <c r="K3378">
        <v>0.15341548433621299</v>
      </c>
      <c r="L3378">
        <v>695.55953052099801</v>
      </c>
      <c r="M3378">
        <v>13.7310948698681</v>
      </c>
      <c r="N3378">
        <v>51.8250985946651</v>
      </c>
      <c r="O3378">
        <v>49.617619730892898</v>
      </c>
      <c r="P3378">
        <v>-5.99773321557922E-2</v>
      </c>
      <c r="Q3378">
        <v>0.13320576011934299</v>
      </c>
      <c r="R3378">
        <v>0.97533064013679605</v>
      </c>
      <c r="S3378" t="s">
        <v>9689</v>
      </c>
      <c r="T3378" t="s">
        <v>12620</v>
      </c>
      <c r="U3378" t="s">
        <v>12620</v>
      </c>
      <c r="V3378" t="s">
        <v>12620</v>
      </c>
      <c r="W3378" t="s">
        <v>15951</v>
      </c>
      <c r="X3378">
        <v>2</v>
      </c>
      <c r="Y3378" t="s">
        <v>22093</v>
      </c>
      <c r="Z3378" t="s">
        <v>28325</v>
      </c>
      <c r="AA3378">
        <v>0.4645187037411273</v>
      </c>
      <c r="AB3378" t="str">
        <f>HYPERLINK("Melting_Curves/meltCurve_Q562E7_WDR81.pdf", "Melting_Curves/meltCurve_Q562E7_WDR81.pdf")</f>
        <v>Melting_Curves/meltCurve_Q562E7_WDR81.pdf</v>
      </c>
    </row>
    <row r="3379" spans="1:28" x14ac:dyDescent="0.25">
      <c r="A3379" t="s">
        <v>3383</v>
      </c>
      <c r="B3379">
        <v>0.99987803227770999</v>
      </c>
      <c r="C3379">
        <v>0.40531391760219698</v>
      </c>
      <c r="D3379">
        <v>1.01583970834938</v>
      </c>
      <c r="E3379">
        <v>0.90406153695858704</v>
      </c>
      <c r="F3379">
        <v>1.0029065253209299</v>
      </c>
      <c r="G3379">
        <v>0.90095339699958499</v>
      </c>
      <c r="H3379">
        <v>0.86263228138862003</v>
      </c>
      <c r="I3379">
        <v>0.86411727322510201</v>
      </c>
      <c r="J3379">
        <v>0.73346129161503504</v>
      </c>
      <c r="K3379">
        <v>0.45780068234548399</v>
      </c>
      <c r="L3379">
        <v>1147.3823297343899</v>
      </c>
      <c r="M3379">
        <v>16.376164558554901</v>
      </c>
      <c r="O3379">
        <v>69.044386984470705</v>
      </c>
      <c r="P3379">
        <v>-5.9300030056849799E-2</v>
      </c>
      <c r="Q3379">
        <v>0</v>
      </c>
      <c r="R3379">
        <v>0.123684598485268</v>
      </c>
      <c r="S3379" t="s">
        <v>9690</v>
      </c>
      <c r="T3379" t="s">
        <v>12620</v>
      </c>
      <c r="U3379" t="s">
        <v>12620</v>
      </c>
      <c r="V3379" t="s">
        <v>12620</v>
      </c>
      <c r="W3379" t="s">
        <v>15952</v>
      </c>
      <c r="X3379">
        <v>5</v>
      </c>
      <c r="Y3379" t="s">
        <v>22094</v>
      </c>
      <c r="Z3379" t="s">
        <v>28326</v>
      </c>
      <c r="AA3379">
        <v>0.91422916943571486</v>
      </c>
      <c r="AB3379" t="str">
        <f>HYPERLINK("Melting_Curves/meltCurve_Q562F6_2_SGOL2.pdf", "Melting_Curves/meltCurve_Q562F6_2_SGOL2.pdf")</f>
        <v>Melting_Curves/meltCurve_Q562F6_2_SGOL2.pdf</v>
      </c>
    </row>
    <row r="3380" spans="1:28" x14ac:dyDescent="0.25">
      <c r="A3380" t="s">
        <v>3384</v>
      </c>
      <c r="B3380">
        <v>0.99987803227770999</v>
      </c>
      <c r="C3380">
        <v>0.76674796141522406</v>
      </c>
      <c r="D3380">
        <v>5.5892056639985297</v>
      </c>
      <c r="E3380">
        <v>0.90647422239826003</v>
      </c>
      <c r="F3380">
        <v>0.86411242015704604</v>
      </c>
      <c r="G3380">
        <v>0.244256560633695</v>
      </c>
      <c r="H3380">
        <v>0.16235510591310501</v>
      </c>
      <c r="I3380">
        <v>0.14354682903667701</v>
      </c>
      <c r="J3380">
        <v>0.171018889890243</v>
      </c>
      <c r="K3380">
        <v>0.17479406631285799</v>
      </c>
      <c r="L3380">
        <v>2890.53319991747</v>
      </c>
      <c r="M3380">
        <v>52.925216424702398</v>
      </c>
      <c r="N3380">
        <v>55.022453392319903</v>
      </c>
      <c r="O3380">
        <v>54.537598720406898</v>
      </c>
      <c r="P3380">
        <v>-0.203310272556601</v>
      </c>
      <c r="Q3380">
        <v>0.161983546709902</v>
      </c>
      <c r="R3380">
        <v>0.13839603528911501</v>
      </c>
      <c r="S3380" t="s">
        <v>9691</v>
      </c>
      <c r="T3380" t="s">
        <v>12620</v>
      </c>
      <c r="U3380" t="s">
        <v>12620</v>
      </c>
      <c r="V3380" t="s">
        <v>12620</v>
      </c>
      <c r="W3380" t="s">
        <v>15953</v>
      </c>
      <c r="X3380">
        <v>10</v>
      </c>
      <c r="Y3380" t="s">
        <v>22095</v>
      </c>
      <c r="Z3380" t="s">
        <v>28327</v>
      </c>
      <c r="AA3380">
        <v>0.57204944654704559</v>
      </c>
      <c r="AB3380" t="str">
        <f>HYPERLINK("Melting_Curves/meltCurve_Q567Q0_PPIA.pdf", "Melting_Curves/meltCurve_Q567Q0_PPIA.pdf")</f>
        <v>Melting_Curves/meltCurve_Q567Q0_PPIA.pdf</v>
      </c>
    </row>
    <row r="3381" spans="1:28" x14ac:dyDescent="0.25">
      <c r="A3381" t="s">
        <v>3385</v>
      </c>
      <c r="B3381">
        <v>0.99987803227770999</v>
      </c>
      <c r="C3381">
        <v>0.80486975829806695</v>
      </c>
      <c r="D3381">
        <v>0.89957114495748403</v>
      </c>
      <c r="E3381">
        <v>0.766707893039144</v>
      </c>
      <c r="F3381">
        <v>0.97188863778323997</v>
      </c>
      <c r="G3381">
        <v>0.87754962074433396</v>
      </c>
      <c r="H3381">
        <v>0.91621449150298395</v>
      </c>
      <c r="I3381">
        <v>0.80893359347712901</v>
      </c>
      <c r="J3381">
        <v>0.75776051067657102</v>
      </c>
      <c r="K3381">
        <v>0.465736716506924</v>
      </c>
      <c r="L3381">
        <v>967.48855437870304</v>
      </c>
      <c r="M3381">
        <v>13.7004795562114</v>
      </c>
      <c r="O3381">
        <v>69.163617259717697</v>
      </c>
      <c r="P3381">
        <v>-4.9529120940834503E-2</v>
      </c>
      <c r="Q3381">
        <v>0</v>
      </c>
      <c r="R3381">
        <v>0.42077169392509001</v>
      </c>
      <c r="S3381" t="s">
        <v>9692</v>
      </c>
      <c r="T3381" t="s">
        <v>12620</v>
      </c>
      <c r="U3381" t="s">
        <v>12620</v>
      </c>
      <c r="V3381" t="s">
        <v>12620</v>
      </c>
      <c r="W3381" t="s">
        <v>15954</v>
      </c>
      <c r="X3381">
        <v>1</v>
      </c>
      <c r="Y3381" t="s">
        <v>22096</v>
      </c>
      <c r="Z3381" t="s">
        <v>28328</v>
      </c>
      <c r="AA3381">
        <v>0.90768264539340981</v>
      </c>
      <c r="AB3381" t="str">
        <f>HYPERLINK("Melting_Curves/meltCurve_Q58A45_4_PAN3.pdf", "Melting_Curves/meltCurve_Q58A45_4_PAN3.pdf")</f>
        <v>Melting_Curves/meltCurve_Q58A45_4_PAN3.pdf</v>
      </c>
    </row>
    <row r="3382" spans="1:28" x14ac:dyDescent="0.25">
      <c r="A3382" t="s">
        <v>3386</v>
      </c>
      <c r="B3382">
        <v>0.99987803227770999</v>
      </c>
      <c r="C3382">
        <v>1.1794965347913</v>
      </c>
      <c r="D3382">
        <v>1.04807560755472</v>
      </c>
      <c r="E3382">
        <v>0.94359554176464999</v>
      </c>
      <c r="F3382">
        <v>0.42182441782431401</v>
      </c>
      <c r="G3382">
        <v>0.29836595261205301</v>
      </c>
      <c r="H3382">
        <v>0.25572124761252202</v>
      </c>
      <c r="I3382">
        <v>0.21563132441368099</v>
      </c>
      <c r="J3382">
        <v>0.17358958357250001</v>
      </c>
      <c r="K3382">
        <v>0.103486057423789</v>
      </c>
      <c r="L3382">
        <v>2957.9758994662502</v>
      </c>
      <c r="M3382">
        <v>56.757420842237899</v>
      </c>
      <c r="N3382">
        <v>52.611894717239998</v>
      </c>
      <c r="O3382">
        <v>52.051529777475402</v>
      </c>
      <c r="P3382">
        <v>-0.21614034552452199</v>
      </c>
      <c r="Q3382">
        <v>0.207121839031494</v>
      </c>
      <c r="R3382">
        <v>0.96525962356269901</v>
      </c>
      <c r="S3382" t="s">
        <v>9693</v>
      </c>
      <c r="T3382" t="s">
        <v>12620</v>
      </c>
      <c r="U3382" t="s">
        <v>12620</v>
      </c>
      <c r="V3382" t="s">
        <v>12620</v>
      </c>
      <c r="W3382" t="s">
        <v>15955</v>
      </c>
      <c r="X3382">
        <v>14</v>
      </c>
      <c r="Y3382" t="s">
        <v>22097</v>
      </c>
      <c r="Z3382" t="s">
        <v>28329</v>
      </c>
      <c r="AA3382">
        <v>0.52875449934301411</v>
      </c>
      <c r="AB3382" t="str">
        <f>HYPERLINK("Melting_Curves/meltCurve_Q58FF8_HSP90AB2P.pdf", "Melting_Curves/meltCurve_Q58FF8_HSP90AB2P.pdf")</f>
        <v>Melting_Curves/meltCurve_Q58FF8_HSP90AB2P.pdf</v>
      </c>
    </row>
    <row r="3383" spans="1:28" x14ac:dyDescent="0.25">
      <c r="A3383" t="s">
        <v>3387</v>
      </c>
      <c r="B3383">
        <v>0.99987803227770999</v>
      </c>
      <c r="C3383">
        <v>1.17922803078477</v>
      </c>
      <c r="D3383">
        <v>1.69881931881832</v>
      </c>
      <c r="E3383">
        <v>1.1969861598555001</v>
      </c>
      <c r="F3383">
        <v>0.48557035219724398</v>
      </c>
      <c r="G3383">
        <v>0.471223404361308</v>
      </c>
      <c r="H3383">
        <v>0.201670604849889</v>
      </c>
      <c r="I3383">
        <v>0.13880990090320899</v>
      </c>
      <c r="J3383">
        <v>0.15062275197300701</v>
      </c>
      <c r="K3383">
        <v>8.6574476372553694E-2</v>
      </c>
      <c r="L3383">
        <v>13216.9589865455</v>
      </c>
      <c r="M3383">
        <v>250</v>
      </c>
      <c r="N3383">
        <v>52.983117733126299</v>
      </c>
      <c r="O3383">
        <v>52.864451125490298</v>
      </c>
      <c r="P3383">
        <v>-0.93425234733946005</v>
      </c>
      <c r="Q3383">
        <v>0.209780175674389</v>
      </c>
      <c r="R3383">
        <v>0.77449393602677696</v>
      </c>
      <c r="S3383" t="s">
        <v>9694</v>
      </c>
      <c r="T3383" t="s">
        <v>12620</v>
      </c>
      <c r="U3383" t="s">
        <v>12620</v>
      </c>
      <c r="V3383" t="s">
        <v>12620</v>
      </c>
      <c r="W3383" t="s">
        <v>15956</v>
      </c>
      <c r="X3383">
        <v>4</v>
      </c>
      <c r="Y3383" t="s">
        <v>22098</v>
      </c>
      <c r="Z3383" t="s">
        <v>28330</v>
      </c>
      <c r="AA3383">
        <v>0.54880079605940046</v>
      </c>
      <c r="AB3383" t="str">
        <f>HYPERLINK("Melting_Curves/meltCurve_Q58FG1_HSP90AA4P.pdf", "Melting_Curves/meltCurve_Q58FG1_HSP90AA4P.pdf")</f>
        <v>Melting_Curves/meltCurve_Q58FG1_HSP90AA4P.pdf</v>
      </c>
    </row>
    <row r="3384" spans="1:28" x14ac:dyDescent="0.25">
      <c r="A3384" t="s">
        <v>3388</v>
      </c>
      <c r="B3384">
        <v>0.99987803227770999</v>
      </c>
      <c r="C3384">
        <v>1.1137592929004501</v>
      </c>
      <c r="D3384">
        <v>0.96706834489038196</v>
      </c>
      <c r="E3384">
        <v>1.1015338243313699</v>
      </c>
      <c r="F3384">
        <v>0.87053958235379802</v>
      </c>
      <c r="G3384">
        <v>0.81214768312212104</v>
      </c>
      <c r="H3384">
        <v>0.41731468410889799</v>
      </c>
      <c r="I3384">
        <v>0.318834037420751</v>
      </c>
      <c r="J3384">
        <v>0.29008608323215002</v>
      </c>
      <c r="K3384">
        <v>0.22138934428360299</v>
      </c>
      <c r="L3384">
        <v>1600.3291720155</v>
      </c>
      <c r="M3384">
        <v>27.196061596531099</v>
      </c>
      <c r="N3384">
        <v>60.240580792964501</v>
      </c>
      <c r="O3384">
        <v>58.528753727100302</v>
      </c>
      <c r="P3384">
        <v>-8.90046656495036E-2</v>
      </c>
      <c r="Q3384">
        <v>0.233818183056337</v>
      </c>
      <c r="R3384">
        <v>0.96725890745397303</v>
      </c>
      <c r="S3384" t="s">
        <v>9695</v>
      </c>
      <c r="T3384" t="s">
        <v>12620</v>
      </c>
      <c r="U3384" t="s">
        <v>12620</v>
      </c>
      <c r="V3384" t="s">
        <v>12620</v>
      </c>
      <c r="W3384" t="s">
        <v>15957</v>
      </c>
      <c r="X3384">
        <v>11</v>
      </c>
      <c r="Y3384" t="s">
        <v>22099</v>
      </c>
      <c r="Z3384" t="s">
        <v>28331</v>
      </c>
      <c r="AA3384">
        <v>0.72077922649803516</v>
      </c>
      <c r="AB3384" t="str">
        <f>HYPERLINK("Melting_Curves/meltCurve_Q58WW2_DCAF6.pdf", "Melting_Curves/meltCurve_Q58WW2_DCAF6.pdf")</f>
        <v>Melting_Curves/meltCurve_Q58WW2_DCAF6.pdf</v>
      </c>
    </row>
    <row r="3385" spans="1:28" x14ac:dyDescent="0.25">
      <c r="A3385" t="s">
        <v>3389</v>
      </c>
      <c r="B3385">
        <v>0.99987803227770999</v>
      </c>
      <c r="C3385">
        <v>1.03852432323706</v>
      </c>
      <c r="D3385">
        <v>0.93095456997531201</v>
      </c>
      <c r="E3385">
        <v>0.94533743047071195</v>
      </c>
      <c r="F3385">
        <v>0.93892441198500698</v>
      </c>
      <c r="G3385">
        <v>0.41054927734452201</v>
      </c>
      <c r="H3385">
        <v>0.36683732687225101</v>
      </c>
      <c r="I3385">
        <v>0.375593621179522</v>
      </c>
      <c r="J3385">
        <v>0.42729439118066198</v>
      </c>
      <c r="K3385">
        <v>0.32043005519276002</v>
      </c>
      <c r="L3385">
        <v>3696.3752541297199</v>
      </c>
      <c r="M3385">
        <v>67.547697324460003</v>
      </c>
      <c r="N3385">
        <v>55.849909476754</v>
      </c>
      <c r="O3385">
        <v>54.674542688767701</v>
      </c>
      <c r="P3385">
        <v>-0.19392499190396201</v>
      </c>
      <c r="Q3385">
        <v>0.37213211092370102</v>
      </c>
      <c r="R3385">
        <v>0.98322265281687204</v>
      </c>
      <c r="S3385" t="s">
        <v>9696</v>
      </c>
      <c r="T3385" t="s">
        <v>12620</v>
      </c>
      <c r="U3385" t="s">
        <v>12620</v>
      </c>
      <c r="V3385" t="s">
        <v>12620</v>
      </c>
      <c r="W3385" t="s">
        <v>15958</v>
      </c>
      <c r="X3385">
        <v>1</v>
      </c>
      <c r="Y3385" t="s">
        <v>22100</v>
      </c>
      <c r="Z3385" t="s">
        <v>28332</v>
      </c>
      <c r="AA3385">
        <v>0.6810854553862129</v>
      </c>
      <c r="AB3385" t="str">
        <f>HYPERLINK("Melting_Curves/meltCurve_Q59GN2_RPL39P5.pdf", "Melting_Curves/meltCurve_Q59GN2_RPL39P5.pdf")</f>
        <v>Melting_Curves/meltCurve_Q59GN2_RPL39P5.pdf</v>
      </c>
    </row>
    <row r="3386" spans="1:28" x14ac:dyDescent="0.25">
      <c r="A3386" t="s">
        <v>3390</v>
      </c>
      <c r="B3386">
        <v>0.99987803227770999</v>
      </c>
      <c r="C3386">
        <v>0.84210142350039996</v>
      </c>
      <c r="D3386">
        <v>0.99091808289624606</v>
      </c>
      <c r="E3386">
        <v>0.79894193727067797</v>
      </c>
      <c r="F3386">
        <v>0.95324722056510103</v>
      </c>
      <c r="G3386">
        <v>0.75536649678219703</v>
      </c>
      <c r="H3386">
        <v>0.74518790307202099</v>
      </c>
      <c r="I3386">
        <v>0.69504821861769195</v>
      </c>
      <c r="J3386">
        <v>0.68449524015928898</v>
      </c>
      <c r="K3386">
        <v>0.54401567518417104</v>
      </c>
      <c r="L3386">
        <v>291.05493891401898</v>
      </c>
      <c r="M3386">
        <v>3.7643688869336498</v>
      </c>
      <c r="O3386">
        <v>62.216538918571104</v>
      </c>
      <c r="P3386">
        <v>-1.5361859200724901E-2</v>
      </c>
      <c r="Q3386">
        <v>0</v>
      </c>
      <c r="R3386">
        <v>0.78611133030472002</v>
      </c>
      <c r="S3386" t="s">
        <v>9697</v>
      </c>
      <c r="T3386" t="s">
        <v>12620</v>
      </c>
      <c r="U3386" t="s">
        <v>12620</v>
      </c>
      <c r="V3386" t="s">
        <v>12620</v>
      </c>
      <c r="W3386" t="s">
        <v>15959</v>
      </c>
      <c r="X3386">
        <v>2</v>
      </c>
      <c r="Y3386" t="s">
        <v>22101</v>
      </c>
      <c r="Z3386" t="s">
        <v>28333</v>
      </c>
      <c r="AA3386">
        <v>0.80871693239786302</v>
      </c>
      <c r="AB3386" t="str">
        <f>HYPERLINK("Melting_Curves/meltCurve_Q5BKU9_OXLD1.pdf", "Melting_Curves/meltCurve_Q5BKU9_OXLD1.pdf")</f>
        <v>Melting_Curves/meltCurve_Q5BKU9_OXLD1.pdf</v>
      </c>
    </row>
    <row r="3387" spans="1:28" x14ac:dyDescent="0.25">
      <c r="A3387" t="s">
        <v>3391</v>
      </c>
      <c r="B3387">
        <v>0.99987803227770999</v>
      </c>
      <c r="C3387">
        <v>0.84826412540531604</v>
      </c>
      <c r="D3387">
        <v>0.98719779817837505</v>
      </c>
      <c r="E3387">
        <v>0.61428198887859797</v>
      </c>
      <c r="F3387">
        <v>0.36359979269443998</v>
      </c>
      <c r="G3387">
        <v>0.16317458134594601</v>
      </c>
      <c r="H3387">
        <v>0.106711209764841</v>
      </c>
      <c r="I3387">
        <v>0.103996184363172</v>
      </c>
      <c r="J3387">
        <v>6.7138838772969597E-2</v>
      </c>
      <c r="K3387">
        <v>3.5498498248058799E-2</v>
      </c>
      <c r="L3387">
        <v>1054.75873212483</v>
      </c>
      <c r="M3387">
        <v>20.654248645143198</v>
      </c>
      <c r="N3387">
        <v>51.4072302197714</v>
      </c>
      <c r="O3387">
        <v>50.595913879067702</v>
      </c>
      <c r="P3387">
        <v>-9.5545239086772496E-2</v>
      </c>
      <c r="Q3387">
        <v>6.3812912735586896E-2</v>
      </c>
      <c r="R3387">
        <v>0.98191558049135896</v>
      </c>
      <c r="S3387" t="s">
        <v>9698</v>
      </c>
      <c r="T3387" t="s">
        <v>12620</v>
      </c>
      <c r="U3387" t="s">
        <v>12620</v>
      </c>
      <c r="V3387" t="s">
        <v>12620</v>
      </c>
      <c r="W3387" t="s">
        <v>15960</v>
      </c>
      <c r="X3387">
        <v>4</v>
      </c>
      <c r="Y3387" t="s">
        <v>22102</v>
      </c>
      <c r="Z3387" t="s">
        <v>28334</v>
      </c>
      <c r="AA3387">
        <v>0.42141698972718372</v>
      </c>
      <c r="AB3387" t="str">
        <f>HYPERLINK("Melting_Curves/meltCurve_Q5BKX5_C19orf54.pdf", "Melting_Curves/meltCurve_Q5BKX5_C19orf54.pdf")</f>
        <v>Melting_Curves/meltCurve_Q5BKX5_C19orf54.pdf</v>
      </c>
    </row>
    <row r="3388" spans="1:28" x14ac:dyDescent="0.25">
      <c r="A3388" t="s">
        <v>3392</v>
      </c>
      <c r="B3388">
        <v>0.99987803227770999</v>
      </c>
      <c r="C3388">
        <v>1.0538485189873701</v>
      </c>
      <c r="D3388">
        <v>0.98739582429707295</v>
      </c>
      <c r="E3388">
        <v>1.0240639499841699</v>
      </c>
      <c r="F3388">
        <v>0.80821451143815104</v>
      </c>
      <c r="G3388">
        <v>0.56070876445790996</v>
      </c>
      <c r="H3388">
        <v>0.54641742910063495</v>
      </c>
      <c r="I3388">
        <v>0.50496202185523598</v>
      </c>
      <c r="J3388">
        <v>0.613918912685115</v>
      </c>
      <c r="K3388">
        <v>0.50779903888141698</v>
      </c>
      <c r="L3388">
        <v>13266.423551858599</v>
      </c>
      <c r="M3388">
        <v>250</v>
      </c>
      <c r="O3388">
        <v>53.062298532454001</v>
      </c>
      <c r="P3388">
        <v>-0.53385217142274</v>
      </c>
      <c r="Q3388">
        <v>0.54676122937137295</v>
      </c>
      <c r="R3388">
        <v>0.97692179525365197</v>
      </c>
      <c r="S3388" t="s">
        <v>9699</v>
      </c>
      <c r="T3388" t="s">
        <v>12620</v>
      </c>
      <c r="U3388" t="s">
        <v>12620</v>
      </c>
      <c r="V3388" t="s">
        <v>12620</v>
      </c>
      <c r="W3388" t="s">
        <v>15961</v>
      </c>
      <c r="X3388">
        <v>1</v>
      </c>
      <c r="Y3388" t="s">
        <v>22103</v>
      </c>
      <c r="Z3388" t="s">
        <v>28335</v>
      </c>
      <c r="AA3388">
        <v>0.74419941192294692</v>
      </c>
      <c r="AB3388" t="str">
        <f>HYPERLINK("Melting_Curves/meltCurve_Q5BKZ1_ZNF326.pdf", "Melting_Curves/meltCurve_Q5BKZ1_ZNF326.pdf")</f>
        <v>Melting_Curves/meltCurve_Q5BKZ1_ZNF326.pdf</v>
      </c>
    </row>
    <row r="3389" spans="1:28" x14ac:dyDescent="0.25">
      <c r="A3389" t="s">
        <v>3393</v>
      </c>
      <c r="B3389">
        <v>0.99987803227770999</v>
      </c>
      <c r="C3389">
        <v>0.99343322155268399</v>
      </c>
      <c r="D3389">
        <v>1.1060975187672399</v>
      </c>
      <c r="E3389">
        <v>0.76528248864422399</v>
      </c>
      <c r="F3389">
        <v>0.48215264224465898</v>
      </c>
      <c r="G3389">
        <v>0.37591353136140698</v>
      </c>
      <c r="H3389">
        <v>0.248371417812187</v>
      </c>
      <c r="I3389">
        <v>0.21186806137873901</v>
      </c>
      <c r="J3389">
        <v>0.14188213373998099</v>
      </c>
      <c r="K3389">
        <v>0.13305428952662601</v>
      </c>
      <c r="L3389">
        <v>1114.90373660558</v>
      </c>
      <c r="M3389">
        <v>21.2644396910081</v>
      </c>
      <c r="N3389">
        <v>53.510254570583903</v>
      </c>
      <c r="O3389">
        <v>51.973349844409</v>
      </c>
      <c r="P3389">
        <v>-8.4443154423008496E-2</v>
      </c>
      <c r="Q3389">
        <v>0.17445621357573299</v>
      </c>
      <c r="R3389">
        <v>0.97308468382078905</v>
      </c>
      <c r="S3389" t="s">
        <v>9700</v>
      </c>
      <c r="T3389" t="s">
        <v>12620</v>
      </c>
      <c r="U3389" t="s">
        <v>12620</v>
      </c>
      <c r="V3389" t="s">
        <v>12620</v>
      </c>
      <c r="W3389" t="s">
        <v>15962</v>
      </c>
      <c r="X3389">
        <v>3</v>
      </c>
      <c r="Y3389" t="s">
        <v>22104</v>
      </c>
      <c r="Z3389" t="s">
        <v>28336</v>
      </c>
      <c r="AA3389">
        <v>0.5267396011936607</v>
      </c>
      <c r="AB3389" t="str">
        <f>HYPERLINK("Melting_Curves/meltCurve_Q5D1E8_ZC3H12A.pdf", "Melting_Curves/meltCurve_Q5D1E8_ZC3H12A.pdf")</f>
        <v>Melting_Curves/meltCurve_Q5D1E8_ZC3H12A.pdf</v>
      </c>
    </row>
    <row r="3390" spans="1:28" x14ac:dyDescent="0.25">
      <c r="A3390" t="s">
        <v>3394</v>
      </c>
      <c r="B3390">
        <v>0.99987803227770999</v>
      </c>
      <c r="C3390">
        <v>0</v>
      </c>
      <c r="D3390">
        <v>6.2605755525127202</v>
      </c>
      <c r="E3390">
        <v>0.19307069761053999</v>
      </c>
      <c r="F3390">
        <v>0.32127974510107898</v>
      </c>
      <c r="G3390">
        <v>0.98055748813590304</v>
      </c>
      <c r="H3390">
        <v>1.2312896655091701</v>
      </c>
      <c r="I3390">
        <v>2.2111721943128302</v>
      </c>
      <c r="J3390">
        <v>0.38727442401689999</v>
      </c>
      <c r="K3390">
        <v>0</v>
      </c>
      <c r="L3390">
        <v>15000</v>
      </c>
      <c r="M3390">
        <v>224.33843956961999</v>
      </c>
      <c r="N3390">
        <v>66.863262434881506</v>
      </c>
      <c r="O3390">
        <v>66.857949099253801</v>
      </c>
      <c r="P3390">
        <v>-0.83886225604283104</v>
      </c>
      <c r="Q3390">
        <v>0</v>
      </c>
      <c r="R3390">
        <v>2.2086158014737501E-2</v>
      </c>
      <c r="S3390" t="s">
        <v>9701</v>
      </c>
      <c r="T3390" t="s">
        <v>12620</v>
      </c>
      <c r="U3390" t="s">
        <v>12620</v>
      </c>
      <c r="V3390" t="s">
        <v>12620</v>
      </c>
      <c r="W3390" t="s">
        <v>15963</v>
      </c>
      <c r="X3390">
        <v>2</v>
      </c>
      <c r="Y3390" t="s">
        <v>22105</v>
      </c>
      <c r="Z3390" t="s">
        <v>28337</v>
      </c>
      <c r="AA3390">
        <v>0.89558734643116433</v>
      </c>
      <c r="AB3390" t="str">
        <f>HYPERLINK("Melting_Curves/meltCurve_Q5D862_FLG2.pdf", "Melting_Curves/meltCurve_Q5D862_FLG2.pdf")</f>
        <v>Melting_Curves/meltCurve_Q5D862_FLG2.pdf</v>
      </c>
    </row>
    <row r="3391" spans="1:28" x14ac:dyDescent="0.25">
      <c r="A3391" t="s">
        <v>3395</v>
      </c>
      <c r="B3391">
        <v>0.99987803227770999</v>
      </c>
      <c r="C3391">
        <v>0.97343442756277698</v>
      </c>
      <c r="D3391">
        <v>0.99527353828281095</v>
      </c>
      <c r="E3391">
        <v>0.75816159582505704</v>
      </c>
      <c r="F3391">
        <v>0.64129839608180195</v>
      </c>
      <c r="G3391">
        <v>0.48144783648856898</v>
      </c>
      <c r="H3391">
        <v>0.37900431748062302</v>
      </c>
      <c r="I3391">
        <v>0.31173763398696702</v>
      </c>
      <c r="J3391">
        <v>0.284554963198412</v>
      </c>
      <c r="K3391">
        <v>0.21582138274893201</v>
      </c>
      <c r="L3391">
        <v>704.38212745062106</v>
      </c>
      <c r="M3391">
        <v>13.0399188886877</v>
      </c>
      <c r="N3391">
        <v>56.405123433494097</v>
      </c>
      <c r="O3391">
        <v>52.7943434836302</v>
      </c>
      <c r="P3391">
        <v>-4.8660064584327499E-2</v>
      </c>
      <c r="Q3391">
        <v>0.21210317108007801</v>
      </c>
      <c r="R3391">
        <v>0.99044233442380802</v>
      </c>
      <c r="S3391" t="s">
        <v>9702</v>
      </c>
      <c r="T3391" t="s">
        <v>12620</v>
      </c>
      <c r="U3391" t="s">
        <v>12620</v>
      </c>
      <c r="V3391" t="s">
        <v>12620</v>
      </c>
      <c r="W3391" t="s">
        <v>15964</v>
      </c>
      <c r="X3391">
        <v>11</v>
      </c>
      <c r="Y3391" t="s">
        <v>22106</v>
      </c>
      <c r="Z3391" t="s">
        <v>28338</v>
      </c>
      <c r="AA3391">
        <v>0.59918373715224071</v>
      </c>
      <c r="AB3391" t="str">
        <f>HYPERLINK("Melting_Curves/meltCurve_Q5EBL4_RILPL1.pdf", "Melting_Curves/meltCurve_Q5EBL4_RILPL1.pdf")</f>
        <v>Melting_Curves/meltCurve_Q5EBL4_RILPL1.pdf</v>
      </c>
    </row>
    <row r="3392" spans="1:28" x14ac:dyDescent="0.25">
      <c r="A3392" t="s">
        <v>3396</v>
      </c>
      <c r="B3392">
        <v>0.99987803227770999</v>
      </c>
      <c r="C3392">
        <v>0.865819519164577</v>
      </c>
      <c r="D3392">
        <v>1.0092574042543601</v>
      </c>
      <c r="E3392">
        <v>0.88246559794276103</v>
      </c>
      <c r="F3392">
        <v>0.90368587907457498</v>
      </c>
      <c r="G3392">
        <v>0.51176811290296997</v>
      </c>
      <c r="H3392">
        <v>0.37981604653482098</v>
      </c>
      <c r="I3392">
        <v>0.30970137659529501</v>
      </c>
      <c r="J3392">
        <v>0.26705983903049402</v>
      </c>
      <c r="K3392">
        <v>0.18697562771391199</v>
      </c>
      <c r="L3392">
        <v>1093.98607890944</v>
      </c>
      <c r="M3392">
        <v>19.374842829435298</v>
      </c>
      <c r="N3392">
        <v>58.0985770675452</v>
      </c>
      <c r="O3392">
        <v>55.873058605893</v>
      </c>
      <c r="P3392">
        <v>-6.8481316134285403E-2</v>
      </c>
      <c r="Q3392">
        <v>0.210085071267052</v>
      </c>
      <c r="R3392">
        <v>0.96565912151937605</v>
      </c>
      <c r="S3392" t="s">
        <v>9703</v>
      </c>
      <c r="T3392" t="s">
        <v>12620</v>
      </c>
      <c r="U3392" t="s">
        <v>12620</v>
      </c>
      <c r="V3392" t="s">
        <v>12620</v>
      </c>
      <c r="W3392" t="s">
        <v>15965</v>
      </c>
      <c r="X3392">
        <v>5</v>
      </c>
      <c r="Y3392" t="s">
        <v>22107</v>
      </c>
      <c r="Z3392" t="s">
        <v>28339</v>
      </c>
      <c r="AA3392">
        <v>0.65396629823463692</v>
      </c>
      <c r="AB3392" t="str">
        <f>HYPERLINK("Melting_Curves/meltCurve_Q5EBL8_PDZD11.pdf", "Melting_Curves/meltCurve_Q5EBL8_PDZD11.pdf")</f>
        <v>Melting_Curves/meltCurve_Q5EBL8_PDZD11.pdf</v>
      </c>
    </row>
    <row r="3393" spans="1:28" x14ac:dyDescent="0.25">
      <c r="A3393" t="s">
        <v>3397</v>
      </c>
      <c r="B3393">
        <v>0.99987803227770999</v>
      </c>
      <c r="C3393">
        <v>0.91769794694694695</v>
      </c>
      <c r="D3393">
        <v>0.912058823160669</v>
      </c>
      <c r="E3393">
        <v>0.59284262094361195</v>
      </c>
      <c r="F3393">
        <v>0.56643693256802896</v>
      </c>
      <c r="G3393">
        <v>0.57604033539590005</v>
      </c>
      <c r="H3393">
        <v>0.56760310916481405</v>
      </c>
      <c r="I3393">
        <v>0.31120596552885799</v>
      </c>
      <c r="J3393">
        <v>0.62009335921283104</v>
      </c>
      <c r="K3393">
        <v>0.42706234048611502</v>
      </c>
      <c r="L3393">
        <v>1105.6020382929</v>
      </c>
      <c r="M3393">
        <v>23.017039083781299</v>
      </c>
      <c r="N3393">
        <v>59.837343536271099</v>
      </c>
      <c r="O3393">
        <v>47.675897819273402</v>
      </c>
      <c r="P3393">
        <v>-6.0992774137877001E-2</v>
      </c>
      <c r="Q3393">
        <v>0.49466462332313499</v>
      </c>
      <c r="R3393">
        <v>0.84168222908581103</v>
      </c>
      <c r="S3393" t="s">
        <v>9704</v>
      </c>
      <c r="T3393" t="s">
        <v>12620</v>
      </c>
      <c r="U3393" t="s">
        <v>12620</v>
      </c>
      <c r="V3393" t="s">
        <v>12620</v>
      </c>
      <c r="W3393" t="s">
        <v>15966</v>
      </c>
      <c r="X3393">
        <v>3</v>
      </c>
      <c r="Y3393" t="s">
        <v>22108</v>
      </c>
      <c r="Z3393" t="s">
        <v>28340</v>
      </c>
      <c r="AA3393">
        <v>0.63531828546647739</v>
      </c>
      <c r="AB3393" t="str">
        <f>HYPERLINK("Melting_Curves/meltCurve_Q5F1R6_DNAJC21.pdf", "Melting_Curves/meltCurve_Q5F1R6_DNAJC21.pdf")</f>
        <v>Melting_Curves/meltCurve_Q5F1R6_DNAJC21.pdf</v>
      </c>
    </row>
    <row r="3394" spans="1:28" x14ac:dyDescent="0.25">
      <c r="A3394" t="s">
        <v>3398</v>
      </c>
      <c r="B3394">
        <v>0.99987803227770999</v>
      </c>
      <c r="C3394">
        <v>0.70459279425520904</v>
      </c>
      <c r="D3394">
        <v>0.72897239692848403</v>
      </c>
      <c r="E3394">
        <v>0.807711549614194</v>
      </c>
      <c r="F3394">
        <v>0.81537151903252003</v>
      </c>
      <c r="G3394">
        <v>0.51386528494253303</v>
      </c>
      <c r="H3394">
        <v>0.54503589179642298</v>
      </c>
      <c r="I3394">
        <v>0.63697674074153998</v>
      </c>
      <c r="J3394">
        <v>0.81895695936197599</v>
      </c>
      <c r="K3394">
        <v>0.57379433981801597</v>
      </c>
      <c r="L3394">
        <v>457.07751547580801</v>
      </c>
      <c r="M3394">
        <v>10.506732787373799</v>
      </c>
      <c r="O3394">
        <v>42.016009823170201</v>
      </c>
      <c r="P3394">
        <v>-2.28791054030026E-2</v>
      </c>
      <c r="Q3394">
        <v>0.63417677120067395</v>
      </c>
      <c r="R3394">
        <v>0.39700800093682498</v>
      </c>
      <c r="S3394" t="s">
        <v>9705</v>
      </c>
      <c r="T3394" t="s">
        <v>12620</v>
      </c>
      <c r="U3394" t="s">
        <v>12620</v>
      </c>
      <c r="V3394" t="s">
        <v>12620</v>
      </c>
      <c r="W3394" t="s">
        <v>15967</v>
      </c>
      <c r="X3394">
        <v>1</v>
      </c>
      <c r="Y3394" t="s">
        <v>22109</v>
      </c>
      <c r="Z3394" t="s">
        <v>28341</v>
      </c>
      <c r="AA3394">
        <v>0.70383992417601393</v>
      </c>
      <c r="AB3394" t="str">
        <f>HYPERLINK("Melting_Curves/meltCurve_Q5FWF5_2_ESCO1.pdf", "Melting_Curves/meltCurve_Q5FWF5_2_ESCO1.pdf")</f>
        <v>Melting_Curves/meltCurve_Q5FWF5_2_ESCO1.pdf</v>
      </c>
    </row>
    <row r="3395" spans="1:28" x14ac:dyDescent="0.25">
      <c r="A3395" t="s">
        <v>3399</v>
      </c>
      <c r="B3395">
        <v>0.99987803227770999</v>
      </c>
      <c r="C3395">
        <v>1.0545308148776</v>
      </c>
      <c r="D3395">
        <v>0.93206570270315003</v>
      </c>
      <c r="E3395">
        <v>0.96950613081278303</v>
      </c>
      <c r="F3395">
        <v>0.476415791040114</v>
      </c>
      <c r="G3395">
        <v>0.19735581621953199</v>
      </c>
      <c r="H3395">
        <v>0.140768284574945</v>
      </c>
      <c r="I3395">
        <v>0.13329531571709399</v>
      </c>
      <c r="J3395">
        <v>0.101368274181839</v>
      </c>
      <c r="K3395">
        <v>7.2124577541190296E-2</v>
      </c>
      <c r="L3395">
        <v>2716.0622386097798</v>
      </c>
      <c r="M3395">
        <v>51.597167658681499</v>
      </c>
      <c r="N3395">
        <v>52.933272503562897</v>
      </c>
      <c r="O3395">
        <v>52.560861957410403</v>
      </c>
      <c r="P3395">
        <v>-0.21488451558707999</v>
      </c>
      <c r="Q3395">
        <v>0.124408769753986</v>
      </c>
      <c r="R3395">
        <v>0.99101605326714204</v>
      </c>
      <c r="S3395" t="s">
        <v>9706</v>
      </c>
      <c r="T3395" t="s">
        <v>12620</v>
      </c>
      <c r="U3395" t="s">
        <v>12620</v>
      </c>
      <c r="V3395" t="s">
        <v>12620</v>
      </c>
      <c r="W3395" t="s">
        <v>15968</v>
      </c>
      <c r="X3395">
        <v>27</v>
      </c>
      <c r="Y3395" t="s">
        <v>22110</v>
      </c>
      <c r="Z3395" t="s">
        <v>28342</v>
      </c>
      <c r="AA3395">
        <v>0.49522573976328987</v>
      </c>
      <c r="AB3395" t="str">
        <f>HYPERLINK("Melting_Curves/meltCurve_Q5GLZ8_2_HERC4.pdf", "Melting_Curves/meltCurve_Q5GLZ8_2_HERC4.pdf")</f>
        <v>Melting_Curves/meltCurve_Q5GLZ8_2_HERC4.pdf</v>
      </c>
    </row>
    <row r="3396" spans="1:28" x14ac:dyDescent="0.25">
      <c r="A3396" t="s">
        <v>3400</v>
      </c>
      <c r="B3396">
        <v>0.99987803227770999</v>
      </c>
      <c r="C3396">
        <v>0.77245748531042102</v>
      </c>
      <c r="D3396">
        <v>0.94135622947636799</v>
      </c>
      <c r="E3396">
        <v>0.81602624185857098</v>
      </c>
      <c r="F3396">
        <v>1.04519604298999</v>
      </c>
      <c r="G3396">
        <v>0.85229753636905903</v>
      </c>
      <c r="H3396">
        <v>0.99568098666256999</v>
      </c>
      <c r="I3396">
        <v>1.0268748134723999</v>
      </c>
      <c r="J3396">
        <v>0.91327754300271702</v>
      </c>
      <c r="K3396">
        <v>0.80206499434360201</v>
      </c>
      <c r="L3396">
        <v>10220.782580236901</v>
      </c>
      <c r="M3396">
        <v>250</v>
      </c>
      <c r="O3396">
        <v>40.880514084649803</v>
      </c>
      <c r="P3396">
        <v>-0.141803297710309</v>
      </c>
      <c r="Q3396">
        <v>0.90724813278918304</v>
      </c>
      <c r="R3396">
        <v>8.5179934830050902E-2</v>
      </c>
      <c r="S3396" t="s">
        <v>9707</v>
      </c>
      <c r="T3396" t="s">
        <v>12620</v>
      </c>
      <c r="U3396" t="s">
        <v>12620</v>
      </c>
      <c r="V3396" t="s">
        <v>12620</v>
      </c>
      <c r="W3396" t="s">
        <v>15969</v>
      </c>
      <c r="X3396">
        <v>2</v>
      </c>
      <c r="Y3396" t="s">
        <v>22111</v>
      </c>
      <c r="Z3396" t="s">
        <v>28343</v>
      </c>
      <c r="AA3396">
        <v>0.9099871079797861</v>
      </c>
      <c r="AB3396" t="str">
        <f>HYPERLINK("Melting_Curves/meltCurve_Q5H937_PKIG.pdf", "Melting_Curves/meltCurve_Q5H937_PKIG.pdf")</f>
        <v>Melting_Curves/meltCurve_Q5H937_PKIG.pdf</v>
      </c>
    </row>
    <row r="3397" spans="1:28" x14ac:dyDescent="0.25">
      <c r="A3397" t="s">
        <v>3401</v>
      </c>
      <c r="B3397">
        <v>0.99987803227770999</v>
      </c>
      <c r="C3397">
        <v>1.1241793550391099</v>
      </c>
      <c r="D3397">
        <v>1.0220244521675601</v>
      </c>
      <c r="E3397">
        <v>0.73517069279301095</v>
      </c>
      <c r="F3397">
        <v>0.82317504868765601</v>
      </c>
      <c r="G3397">
        <v>0.452775571943203</v>
      </c>
      <c r="H3397">
        <v>0.40848427498357298</v>
      </c>
      <c r="I3397">
        <v>0.24412006108022699</v>
      </c>
      <c r="J3397">
        <v>0.168761428956307</v>
      </c>
      <c r="K3397">
        <v>7.81684572699166E-2</v>
      </c>
      <c r="L3397">
        <v>681.83180763374696</v>
      </c>
      <c r="M3397">
        <v>11.8235325844083</v>
      </c>
      <c r="N3397">
        <v>57.667339342747503</v>
      </c>
      <c r="O3397">
        <v>56.091912110233601</v>
      </c>
      <c r="P3397">
        <v>-5.2710590184791503E-2</v>
      </c>
      <c r="Q3397">
        <v>0</v>
      </c>
      <c r="R3397">
        <v>0.95517217676450406</v>
      </c>
      <c r="S3397" t="s">
        <v>9708</v>
      </c>
      <c r="T3397" t="s">
        <v>12620</v>
      </c>
      <c r="U3397" t="s">
        <v>12620</v>
      </c>
      <c r="V3397" t="s">
        <v>12620</v>
      </c>
      <c r="W3397" t="s">
        <v>15970</v>
      </c>
      <c r="X3397">
        <v>2</v>
      </c>
      <c r="Y3397" t="s">
        <v>22112</v>
      </c>
      <c r="Z3397" t="s">
        <v>28344</v>
      </c>
      <c r="AA3397">
        <v>0.60295383697808347</v>
      </c>
      <c r="AB3397" t="str">
        <f>HYPERLINK("Melting_Curves/meltCurve_Q5H9A7_TIMP1.pdf", "Melting_Curves/meltCurve_Q5H9A7_TIMP1.pdf")</f>
        <v>Melting_Curves/meltCurve_Q5H9A7_TIMP1.pdf</v>
      </c>
    </row>
    <row r="3398" spans="1:28" x14ac:dyDescent="0.25">
      <c r="A3398" t="s">
        <v>3402</v>
      </c>
      <c r="B3398">
        <v>0.99987803227770999</v>
      </c>
      <c r="C3398">
        <v>1.0011379110033101</v>
      </c>
      <c r="D3398">
        <v>0.96898227492228495</v>
      </c>
      <c r="E3398">
        <v>1.08071567131571</v>
      </c>
      <c r="F3398">
        <v>0.962763562601614</v>
      </c>
      <c r="G3398">
        <v>0.78350246401481205</v>
      </c>
      <c r="H3398">
        <v>0.82323199891820398</v>
      </c>
      <c r="I3398">
        <v>0.91800911034648003</v>
      </c>
      <c r="J3398">
        <v>0.63523067782435405</v>
      </c>
      <c r="K3398">
        <v>0.54647304976792699</v>
      </c>
      <c r="L3398">
        <v>660.18945217278099</v>
      </c>
      <c r="M3398">
        <v>9.1268166147206404</v>
      </c>
      <c r="O3398">
        <v>69.116260602916995</v>
      </c>
      <c r="P3398">
        <v>-3.3035288956351001E-2</v>
      </c>
      <c r="Q3398">
        <v>0</v>
      </c>
      <c r="R3398">
        <v>0.79582486947044995</v>
      </c>
      <c r="S3398" t="s">
        <v>9709</v>
      </c>
      <c r="T3398" t="s">
        <v>12620</v>
      </c>
      <c r="U3398" t="s">
        <v>12620</v>
      </c>
      <c r="V3398" t="s">
        <v>12620</v>
      </c>
      <c r="W3398" t="s">
        <v>15971</v>
      </c>
      <c r="X3398">
        <v>5</v>
      </c>
      <c r="Y3398" t="s">
        <v>22113</v>
      </c>
      <c r="Z3398" t="s">
        <v>28345</v>
      </c>
      <c r="AA3398">
        <v>0.88855352857094971</v>
      </c>
      <c r="AB3398" t="str">
        <f>HYPERLINK("Melting_Curves/meltCurve_Q5H9F3_2_BCORL1.pdf", "Melting_Curves/meltCurve_Q5H9F3_2_BCORL1.pdf")</f>
        <v>Melting_Curves/meltCurve_Q5H9F3_2_BCORL1.pdf</v>
      </c>
    </row>
    <row r="3399" spans="1:28" x14ac:dyDescent="0.25">
      <c r="A3399" t="s">
        <v>3403</v>
      </c>
      <c r="B3399">
        <v>0.99987803227770999</v>
      </c>
      <c r="C3399">
        <v>1.0974916147685101</v>
      </c>
      <c r="D3399">
        <v>1.0686260379099299</v>
      </c>
      <c r="E3399">
        <v>1.06545915860135</v>
      </c>
      <c r="F3399">
        <v>1.0076772923624999</v>
      </c>
      <c r="G3399">
        <v>1.0737009360757599</v>
      </c>
      <c r="H3399">
        <v>0.457541820058806</v>
      </c>
      <c r="I3399">
        <v>0.185455064560205</v>
      </c>
      <c r="J3399">
        <v>9.0002052675912506E-2</v>
      </c>
      <c r="K3399">
        <v>7.4744599336878603E-2</v>
      </c>
      <c r="L3399">
        <v>4298.3268299285801</v>
      </c>
      <c r="M3399">
        <v>70.859326639257802</v>
      </c>
      <c r="N3399">
        <v>60.867270258712203</v>
      </c>
      <c r="O3399">
        <v>60.6117411769782</v>
      </c>
      <c r="P3399">
        <v>-0.26093782719778102</v>
      </c>
      <c r="Q3399">
        <v>0.10719487263735</v>
      </c>
      <c r="R3399">
        <v>0.98359150840208498</v>
      </c>
      <c r="S3399" t="s">
        <v>9710</v>
      </c>
      <c r="T3399" t="s">
        <v>12620</v>
      </c>
      <c r="U3399" t="s">
        <v>12620</v>
      </c>
      <c r="V3399" t="s">
        <v>12620</v>
      </c>
      <c r="W3399" t="s">
        <v>15972</v>
      </c>
      <c r="X3399">
        <v>2</v>
      </c>
      <c r="Y3399" t="s">
        <v>22114</v>
      </c>
      <c r="Z3399" t="s">
        <v>28346</v>
      </c>
      <c r="AA3399">
        <v>0.72322339279243986</v>
      </c>
      <c r="AB3399" t="str">
        <f>HYPERLINK("Melting_Curves/meltCurve_Q5HY92_FIGN.pdf", "Melting_Curves/meltCurve_Q5HY92_FIGN.pdf")</f>
        <v>Melting_Curves/meltCurve_Q5HY92_FIGN.pdf</v>
      </c>
    </row>
    <row r="3400" spans="1:28" x14ac:dyDescent="0.25">
      <c r="A3400" t="s">
        <v>3404</v>
      </c>
      <c r="B3400">
        <v>0.99987803227770999</v>
      </c>
      <c r="C3400">
        <v>0.88495946353688104</v>
      </c>
      <c r="D3400">
        <v>0.95885235317020001</v>
      </c>
      <c r="E3400">
        <v>0.765100250511069</v>
      </c>
      <c r="F3400">
        <v>0.58610333441514295</v>
      </c>
      <c r="G3400">
        <v>0.37222470814488601</v>
      </c>
      <c r="H3400">
        <v>0.32929444730775698</v>
      </c>
      <c r="I3400">
        <v>0.289082579031609</v>
      </c>
      <c r="J3400">
        <v>0.27397229307355703</v>
      </c>
      <c r="K3400">
        <v>0.22894564268714501</v>
      </c>
      <c r="L3400">
        <v>841.34442705317599</v>
      </c>
      <c r="M3400">
        <v>16.065172763512699</v>
      </c>
      <c r="N3400">
        <v>54.5770493265114</v>
      </c>
      <c r="O3400">
        <v>51.579400052552302</v>
      </c>
      <c r="P3400">
        <v>-5.9273648396321203E-2</v>
      </c>
      <c r="Q3400">
        <v>0.23883464116619699</v>
      </c>
      <c r="R3400">
        <v>0.98593098013251701</v>
      </c>
      <c r="S3400" t="s">
        <v>9711</v>
      </c>
      <c r="T3400" t="s">
        <v>12620</v>
      </c>
      <c r="U3400" t="s">
        <v>12620</v>
      </c>
      <c r="V3400" t="s">
        <v>12620</v>
      </c>
      <c r="W3400" t="s">
        <v>15973</v>
      </c>
      <c r="X3400">
        <v>10</v>
      </c>
      <c r="Y3400" t="s">
        <v>22115</v>
      </c>
      <c r="Z3400" t="s">
        <v>28347</v>
      </c>
      <c r="AA3400">
        <v>0.56783891366468897</v>
      </c>
      <c r="AB3400" t="str">
        <f>HYPERLINK("Melting_Curves/meltCurve_Q5HYK7_2_SH3D19.pdf", "Melting_Curves/meltCurve_Q5HYK7_2_SH3D19.pdf")</f>
        <v>Melting_Curves/meltCurve_Q5HYK7_2_SH3D19.pdf</v>
      </c>
    </row>
    <row r="3401" spans="1:28" x14ac:dyDescent="0.25">
      <c r="A3401" t="s">
        <v>3405</v>
      </c>
      <c r="B3401">
        <v>0.99987803227770999</v>
      </c>
      <c r="C3401">
        <v>0.82905675818896696</v>
      </c>
      <c r="D3401">
        <v>0.92866136027234703</v>
      </c>
      <c r="E3401">
        <v>0.84865788349425697</v>
      </c>
      <c r="F3401">
        <v>0.97417378388401799</v>
      </c>
      <c r="G3401">
        <v>0.84179776692615105</v>
      </c>
      <c r="H3401">
        <v>0.63902498453328904</v>
      </c>
      <c r="I3401">
        <v>0.36449103864377702</v>
      </c>
      <c r="J3401">
        <v>0.22046044929565201</v>
      </c>
      <c r="K3401">
        <v>0.16637648355788101</v>
      </c>
      <c r="L3401">
        <v>1103.0687234925499</v>
      </c>
      <c r="M3401">
        <v>17.717914048776102</v>
      </c>
      <c r="N3401">
        <v>62.424940595458096</v>
      </c>
      <c r="O3401">
        <v>61.480424667745901</v>
      </c>
      <c r="P3401">
        <v>-7.0376357802678299E-2</v>
      </c>
      <c r="Q3401">
        <v>2.3239154692076599E-2</v>
      </c>
      <c r="R3401">
        <v>0.93703489604146095</v>
      </c>
      <c r="S3401" t="s">
        <v>9712</v>
      </c>
      <c r="T3401" t="s">
        <v>12620</v>
      </c>
      <c r="U3401" t="s">
        <v>12620</v>
      </c>
      <c r="V3401" t="s">
        <v>12620</v>
      </c>
      <c r="W3401" t="s">
        <v>15974</v>
      </c>
      <c r="X3401">
        <v>1</v>
      </c>
      <c r="Y3401" t="s">
        <v>22116</v>
      </c>
      <c r="Z3401" t="s">
        <v>28348</v>
      </c>
      <c r="AA3401">
        <v>0.74796283088950055</v>
      </c>
      <c r="AB3401" t="str">
        <f>HYPERLINK("Melting_Curves/meltCurve_Q5I0X7_TTC32.pdf", "Melting_Curves/meltCurve_Q5I0X7_TTC32.pdf")</f>
        <v>Melting_Curves/meltCurve_Q5I0X7_TTC32.pdf</v>
      </c>
    </row>
    <row r="3402" spans="1:28" x14ac:dyDescent="0.25">
      <c r="A3402" t="s">
        <v>3406</v>
      </c>
      <c r="B3402">
        <v>0.99987803227770999</v>
      </c>
      <c r="C3402">
        <v>0.92954034201832603</v>
      </c>
      <c r="D3402">
        <v>0.77002575485156599</v>
      </c>
      <c r="E3402">
        <v>0.511111103210518</v>
      </c>
      <c r="F3402">
        <v>0.27716861042825702</v>
      </c>
      <c r="G3402">
        <v>0.17773724699702301</v>
      </c>
      <c r="H3402">
        <v>0.12007454478110401</v>
      </c>
      <c r="I3402">
        <v>0.105809189397109</v>
      </c>
      <c r="J3402">
        <v>5.5613073240900597E-2</v>
      </c>
      <c r="K3402">
        <v>5.7526823275546798E-2</v>
      </c>
      <c r="L3402">
        <v>784.79606350996198</v>
      </c>
      <c r="M3402">
        <v>15.8586974684161</v>
      </c>
      <c r="N3402">
        <v>49.897130524127299</v>
      </c>
      <c r="O3402">
        <v>48.719967727607298</v>
      </c>
      <c r="P3402">
        <v>-7.6407996998361496E-2</v>
      </c>
      <c r="Q3402">
        <v>6.1135305214768697E-2</v>
      </c>
      <c r="R3402">
        <v>0.99756630694359905</v>
      </c>
      <c r="S3402" t="s">
        <v>9713</v>
      </c>
      <c r="T3402" t="s">
        <v>12620</v>
      </c>
      <c r="U3402" t="s">
        <v>12620</v>
      </c>
      <c r="V3402" t="s">
        <v>12620</v>
      </c>
      <c r="W3402" t="s">
        <v>15975</v>
      </c>
      <c r="X3402">
        <v>7</v>
      </c>
      <c r="Y3402" t="s">
        <v>22117</v>
      </c>
      <c r="Z3402" t="s">
        <v>28349</v>
      </c>
      <c r="AA3402">
        <v>0.37857342218246359</v>
      </c>
      <c r="AB3402" t="str">
        <f>HYPERLINK("Melting_Curves/meltCurve_Q5I2W7_CYP24.pdf", "Melting_Curves/meltCurve_Q5I2W7_CYP24.pdf")</f>
        <v>Melting_Curves/meltCurve_Q5I2W7_CYP24.pdf</v>
      </c>
    </row>
    <row r="3403" spans="1:28" x14ac:dyDescent="0.25">
      <c r="A3403" t="s">
        <v>3407</v>
      </c>
      <c r="B3403">
        <v>0.99987803227770999</v>
      </c>
      <c r="C3403">
        <v>1.0082307726287301</v>
      </c>
      <c r="D3403">
        <v>0.426664077083655</v>
      </c>
      <c r="E3403">
        <v>0.62986231236361501</v>
      </c>
      <c r="F3403">
        <v>0.339572349213424</v>
      </c>
      <c r="G3403">
        <v>0.198912672096136</v>
      </c>
      <c r="H3403">
        <v>7.90628035317191E-2</v>
      </c>
      <c r="I3403">
        <v>7.4221647522022996E-2</v>
      </c>
      <c r="J3403">
        <v>5.4916936993898498E-2</v>
      </c>
      <c r="K3403">
        <v>4.2005259234217399E-2</v>
      </c>
      <c r="L3403">
        <v>543.82026894274998</v>
      </c>
      <c r="M3403">
        <v>10.944562825826599</v>
      </c>
      <c r="N3403">
        <v>49.688624168037997</v>
      </c>
      <c r="O3403">
        <v>48.116150738677</v>
      </c>
      <c r="P3403">
        <v>-5.6884892346217401E-2</v>
      </c>
      <c r="Q3403">
        <v>0</v>
      </c>
      <c r="R3403">
        <v>0.89802572838164496</v>
      </c>
      <c r="S3403" t="s">
        <v>9714</v>
      </c>
      <c r="T3403" t="s">
        <v>12620</v>
      </c>
      <c r="U3403" t="s">
        <v>12620</v>
      </c>
      <c r="V3403" t="s">
        <v>12620</v>
      </c>
      <c r="W3403" t="s">
        <v>15976</v>
      </c>
      <c r="X3403">
        <v>23</v>
      </c>
      <c r="Y3403" t="s">
        <v>22118</v>
      </c>
      <c r="Z3403" t="s">
        <v>28350</v>
      </c>
      <c r="AA3403">
        <v>0.36361778040891252</v>
      </c>
      <c r="AB3403" t="str">
        <f>HYPERLINK("Melting_Curves/meltCurve_Q5JP53_TUBB.pdf", "Melting_Curves/meltCurve_Q5JP53_TUBB.pdf")</f>
        <v>Melting_Curves/meltCurve_Q5JP53_TUBB.pdf</v>
      </c>
    </row>
    <row r="3404" spans="1:28" x14ac:dyDescent="0.25">
      <c r="A3404" t="s">
        <v>3408</v>
      </c>
      <c r="B3404">
        <v>0.99987803227770999</v>
      </c>
      <c r="C3404">
        <v>1.0756427064321801</v>
      </c>
      <c r="D3404">
        <v>0.84763487410612104</v>
      </c>
      <c r="E3404">
        <v>0.829454376563591</v>
      </c>
      <c r="F3404">
        <v>0.55623986847488605</v>
      </c>
      <c r="G3404">
        <v>0.34184280962125202</v>
      </c>
      <c r="H3404">
        <v>0.37895359571949899</v>
      </c>
      <c r="I3404">
        <v>0.32838675916337401</v>
      </c>
      <c r="J3404">
        <v>0.38449845329538501</v>
      </c>
      <c r="K3404">
        <v>0.31219985894740698</v>
      </c>
      <c r="L3404">
        <v>1279.7048831258401</v>
      </c>
      <c r="M3404">
        <v>24.827528358251399</v>
      </c>
      <c r="N3404">
        <v>53.958033135755002</v>
      </c>
      <c r="O3404">
        <v>51.2128857425459</v>
      </c>
      <c r="P3404">
        <v>-8.0553709505261695E-2</v>
      </c>
      <c r="Q3404">
        <v>0.33536184582008299</v>
      </c>
      <c r="R3404">
        <v>0.96475633827219898</v>
      </c>
      <c r="S3404" t="s">
        <v>9715</v>
      </c>
      <c r="T3404" t="s">
        <v>12620</v>
      </c>
      <c r="U3404" t="s">
        <v>12620</v>
      </c>
      <c r="V3404" t="s">
        <v>12620</v>
      </c>
      <c r="W3404" t="s">
        <v>15977</v>
      </c>
      <c r="X3404">
        <v>3</v>
      </c>
      <c r="Y3404" t="s">
        <v>22119</v>
      </c>
      <c r="Z3404" t="s">
        <v>28351</v>
      </c>
      <c r="AA3404">
        <v>0.59723120113651995</v>
      </c>
      <c r="AB3404" t="str">
        <f>HYPERLINK("Melting_Curves/meltCurve_Q5JPF3_ANKRD36C.pdf", "Melting_Curves/meltCurve_Q5JPF3_ANKRD36C.pdf")</f>
        <v>Melting_Curves/meltCurve_Q5JPF3_ANKRD36C.pdf</v>
      </c>
    </row>
    <row r="3405" spans="1:28" x14ac:dyDescent="0.25">
      <c r="A3405" t="s">
        <v>3409</v>
      </c>
      <c r="B3405">
        <v>0.99987803227770999</v>
      </c>
      <c r="C3405">
        <v>1.31157484796832</v>
      </c>
      <c r="D3405">
        <v>1.1697449393549799</v>
      </c>
      <c r="E3405">
        <v>1.0811201776077399</v>
      </c>
      <c r="F3405">
        <v>0.67505416485322101</v>
      </c>
      <c r="G3405">
        <v>0.31928229998663898</v>
      </c>
      <c r="H3405">
        <v>0.13739582445699899</v>
      </c>
      <c r="I3405">
        <v>0.50269354562094104</v>
      </c>
      <c r="J3405">
        <v>0.18366347882856801</v>
      </c>
      <c r="K3405">
        <v>0</v>
      </c>
      <c r="L3405">
        <v>2727.8606164268699</v>
      </c>
      <c r="M3405">
        <v>51.011471306778198</v>
      </c>
      <c r="N3405">
        <v>54.090970713073602</v>
      </c>
      <c r="O3405">
        <v>53.393443790074301</v>
      </c>
      <c r="P3405">
        <v>-0.18625582716804201</v>
      </c>
      <c r="Q3405">
        <v>0.220188561139499</v>
      </c>
      <c r="R3405">
        <v>0.86422268574668903</v>
      </c>
      <c r="S3405" t="s">
        <v>9716</v>
      </c>
      <c r="T3405" t="s">
        <v>12620</v>
      </c>
      <c r="U3405" t="s">
        <v>12620</v>
      </c>
      <c r="V3405" t="s">
        <v>12620</v>
      </c>
      <c r="W3405" t="s">
        <v>15978</v>
      </c>
      <c r="X3405">
        <v>5</v>
      </c>
      <c r="Y3405" t="s">
        <v>22120</v>
      </c>
      <c r="Z3405" t="s">
        <v>28352</v>
      </c>
      <c r="AA3405">
        <v>0.57223170750434638</v>
      </c>
      <c r="AB3405" t="str">
        <f>HYPERLINK("Melting_Curves/meltCurve_Q5JPI3_2_C3orf38.pdf", "Melting_Curves/meltCurve_Q5JPI3_2_C3orf38.pdf")</f>
        <v>Melting_Curves/meltCurve_Q5JPI3_2_C3orf38.pdf</v>
      </c>
    </row>
    <row r="3406" spans="1:28" x14ac:dyDescent="0.25">
      <c r="A3406" t="s">
        <v>3410</v>
      </c>
      <c r="B3406">
        <v>0.99987803227770999</v>
      </c>
      <c r="C3406">
        <v>0.99185583658703103</v>
      </c>
      <c r="D3406">
        <v>1.6134292791543099</v>
      </c>
      <c r="E3406">
        <v>0.76945971675832203</v>
      </c>
      <c r="F3406">
        <v>0.77324005454969802</v>
      </c>
      <c r="G3406">
        <v>0.60289035605433206</v>
      </c>
      <c r="H3406">
        <v>0.48421774675449403</v>
      </c>
      <c r="I3406">
        <v>0.40581466232864499</v>
      </c>
      <c r="J3406">
        <v>0.25396503793423603</v>
      </c>
      <c r="K3406">
        <v>0.23373660937729501</v>
      </c>
      <c r="L3406">
        <v>889.71856502234596</v>
      </c>
      <c r="M3406">
        <v>15.562810290427301</v>
      </c>
      <c r="N3406">
        <v>59.410489302324898</v>
      </c>
      <c r="O3406">
        <v>56.250555453314199</v>
      </c>
      <c r="P3406">
        <v>-5.3816132408656299E-2</v>
      </c>
      <c r="Q3406">
        <v>0.222011288574404</v>
      </c>
      <c r="R3406">
        <v>0.72519595977055995</v>
      </c>
      <c r="S3406" t="s">
        <v>9717</v>
      </c>
      <c r="T3406" t="s">
        <v>12620</v>
      </c>
      <c r="U3406" t="s">
        <v>12620</v>
      </c>
      <c r="V3406" t="s">
        <v>12620</v>
      </c>
      <c r="W3406" t="s">
        <v>15979</v>
      </c>
      <c r="X3406">
        <v>10</v>
      </c>
      <c r="Y3406" t="s">
        <v>21377</v>
      </c>
      <c r="Z3406" t="s">
        <v>28353</v>
      </c>
      <c r="AA3406">
        <v>0.6790426890433513</v>
      </c>
      <c r="AB3406" t="str">
        <f>HYPERLINK("Melting_Curves/meltCurve_Q5JR01_EEF1A1.pdf", "Melting_Curves/meltCurve_Q5JR01_EEF1A1.pdf")</f>
        <v>Melting_Curves/meltCurve_Q5JR01_EEF1A1.pdf</v>
      </c>
    </row>
    <row r="3407" spans="1:28" x14ac:dyDescent="0.25">
      <c r="A3407" t="s">
        <v>3411</v>
      </c>
      <c r="B3407">
        <v>0.99987803227770999</v>
      </c>
      <c r="C3407">
        <v>0.80211522194207197</v>
      </c>
      <c r="D3407">
        <v>0.92312209150734903</v>
      </c>
      <c r="E3407">
        <v>0.76138710347006899</v>
      </c>
      <c r="F3407">
        <v>0.99662955998574498</v>
      </c>
      <c r="G3407">
        <v>0.64988603855870097</v>
      </c>
      <c r="H3407">
        <v>1.00183110701044</v>
      </c>
      <c r="I3407">
        <v>0.71890812177973396</v>
      </c>
      <c r="J3407">
        <v>0.65976725226553301</v>
      </c>
      <c r="K3407">
        <v>0.61820660532564298</v>
      </c>
      <c r="L3407">
        <v>197.37814998927701</v>
      </c>
      <c r="M3407">
        <v>2.0758174918127801</v>
      </c>
      <c r="O3407">
        <v>57.765612145264299</v>
      </c>
      <c r="P3407">
        <v>-9.7212760680354393E-3</v>
      </c>
      <c r="Q3407">
        <v>0</v>
      </c>
      <c r="R3407">
        <v>0.34781593849397802</v>
      </c>
      <c r="S3407" t="s">
        <v>9718</v>
      </c>
      <c r="T3407" t="s">
        <v>12620</v>
      </c>
      <c r="U3407" t="s">
        <v>12620</v>
      </c>
      <c r="V3407" t="s">
        <v>12620</v>
      </c>
      <c r="W3407" t="s">
        <v>15980</v>
      </c>
      <c r="X3407">
        <v>4</v>
      </c>
      <c r="Y3407" t="s">
        <v>22121</v>
      </c>
      <c r="Z3407" t="s">
        <v>28354</v>
      </c>
      <c r="AA3407">
        <v>0.81715965648947941</v>
      </c>
      <c r="AB3407" t="str">
        <f>HYPERLINK("Melting_Curves/meltCurve_Q5JR04_MOV10.pdf", "Melting_Curves/meltCurve_Q5JR04_MOV10.pdf")</f>
        <v>Melting_Curves/meltCurve_Q5JR04_MOV10.pdf</v>
      </c>
    </row>
    <row r="3408" spans="1:28" x14ac:dyDescent="0.25">
      <c r="A3408" t="s">
        <v>3412</v>
      </c>
      <c r="B3408">
        <v>0.99987803227770999</v>
      </c>
      <c r="C3408">
        <v>0.74110119493802695</v>
      </c>
      <c r="D3408">
        <v>1.0196521830474901</v>
      </c>
      <c r="E3408">
        <v>0.84476537086995795</v>
      </c>
      <c r="F3408">
        <v>0.59737586847871305</v>
      </c>
      <c r="G3408">
        <v>0.218416701100554</v>
      </c>
      <c r="H3408">
        <v>0.118843087352819</v>
      </c>
      <c r="I3408">
        <v>9.8512443518318907E-2</v>
      </c>
      <c r="J3408">
        <v>6.4648407855730297E-2</v>
      </c>
      <c r="K3408">
        <v>4.6216341195294497E-2</v>
      </c>
      <c r="L3408">
        <v>1266.51655079588</v>
      </c>
      <c r="M3408">
        <v>23.659982422976501</v>
      </c>
      <c r="N3408">
        <v>53.814527323385498</v>
      </c>
      <c r="O3408">
        <v>53.151899667183898</v>
      </c>
      <c r="P3408">
        <v>-0.10474159062883701</v>
      </c>
      <c r="Q3408">
        <v>5.8812260880207502E-2</v>
      </c>
      <c r="R3408">
        <v>0.95369985557980597</v>
      </c>
      <c r="S3408" t="s">
        <v>9719</v>
      </c>
      <c r="T3408" t="s">
        <v>12620</v>
      </c>
      <c r="U3408" t="s">
        <v>12620</v>
      </c>
      <c r="V3408" t="s">
        <v>12620</v>
      </c>
      <c r="W3408" t="s">
        <v>15981</v>
      </c>
      <c r="X3408">
        <v>14</v>
      </c>
      <c r="Y3408" t="s">
        <v>22122</v>
      </c>
      <c r="Z3408" t="s">
        <v>28355</v>
      </c>
      <c r="AA3408">
        <v>0.49290036666512171</v>
      </c>
      <c r="AB3408" t="str">
        <f>HYPERLINK("Melting_Curves/meltCurve_Q5JR08_RHOC.pdf", "Melting_Curves/meltCurve_Q5JR08_RHOC.pdf")</f>
        <v>Melting_Curves/meltCurve_Q5JR08_RHOC.pdf</v>
      </c>
    </row>
    <row r="3409" spans="1:28" x14ac:dyDescent="0.25">
      <c r="A3409" t="s">
        <v>3413</v>
      </c>
      <c r="B3409">
        <v>0.99987803227770999</v>
      </c>
      <c r="C3409">
        <v>0.82909077398622799</v>
      </c>
      <c r="D3409">
        <v>1.00226419047035</v>
      </c>
      <c r="E3409">
        <v>0.78041795183995799</v>
      </c>
      <c r="F3409">
        <v>0.89731420683153196</v>
      </c>
      <c r="G3409">
        <v>0.70894778438311501</v>
      </c>
      <c r="H3409">
        <v>0.73346811035737602</v>
      </c>
      <c r="I3409">
        <v>0.73337614610212898</v>
      </c>
      <c r="J3409">
        <v>0.70386485981396496</v>
      </c>
      <c r="K3409">
        <v>0.59884992989935604</v>
      </c>
      <c r="L3409">
        <v>232.822833123333</v>
      </c>
      <c r="M3409">
        <v>3.0332744732905699</v>
      </c>
      <c r="O3409">
        <v>56.790011953776798</v>
      </c>
      <c r="P3409">
        <v>-1.1703711773459399E-2</v>
      </c>
      <c r="Q3409">
        <v>0.14898090379236201</v>
      </c>
      <c r="R3409">
        <v>0.72916552330507201</v>
      </c>
      <c r="S3409" t="s">
        <v>9720</v>
      </c>
      <c r="T3409" t="s">
        <v>12620</v>
      </c>
      <c r="U3409" t="s">
        <v>12620</v>
      </c>
      <c r="V3409" t="s">
        <v>12620</v>
      </c>
      <c r="W3409" t="s">
        <v>15982</v>
      </c>
      <c r="X3409">
        <v>6</v>
      </c>
      <c r="Y3409" t="s">
        <v>22123</v>
      </c>
      <c r="Z3409" t="s">
        <v>28356</v>
      </c>
      <c r="AA3409">
        <v>0.80017398513262605</v>
      </c>
      <c r="AB3409" t="str">
        <f>HYPERLINK("Melting_Curves/meltCurve_Q5JRA6_2_MIA3.pdf", "Melting_Curves/meltCurve_Q5JRA6_2_MIA3.pdf")</f>
        <v>Melting_Curves/meltCurve_Q5JRA6_2_MIA3.pdf</v>
      </c>
    </row>
    <row r="3410" spans="1:28" x14ac:dyDescent="0.25">
      <c r="A3410" t="s">
        <v>3414</v>
      </c>
      <c r="B3410">
        <v>0.99987803227770999</v>
      </c>
      <c r="C3410">
        <v>1.0666835118650999</v>
      </c>
      <c r="D3410">
        <v>1.01260982182023</v>
      </c>
      <c r="E3410">
        <v>1.0693143456901999</v>
      </c>
      <c r="F3410">
        <v>1.0057431640132</v>
      </c>
      <c r="G3410">
        <v>0.59300102900490204</v>
      </c>
      <c r="H3410">
        <v>0.45949065676206602</v>
      </c>
      <c r="I3410">
        <v>0.33601314685915101</v>
      </c>
      <c r="J3410">
        <v>0.264750675725269</v>
      </c>
      <c r="K3410">
        <v>0.19195361341491299</v>
      </c>
      <c r="L3410">
        <v>1415.5522564038499</v>
      </c>
      <c r="M3410">
        <v>24.5082370417344</v>
      </c>
      <c r="N3410">
        <v>59.313579737691498</v>
      </c>
      <c r="O3410">
        <v>57.377803620671401</v>
      </c>
      <c r="P3410">
        <v>-8.1471736241940207E-2</v>
      </c>
      <c r="Q3410">
        <v>0.23705629507287701</v>
      </c>
      <c r="R3410">
        <v>0.97155321212277002</v>
      </c>
      <c r="S3410" t="s">
        <v>9721</v>
      </c>
      <c r="T3410" t="s">
        <v>12620</v>
      </c>
      <c r="U3410" t="s">
        <v>12620</v>
      </c>
      <c r="V3410" t="s">
        <v>12620</v>
      </c>
      <c r="W3410" t="s">
        <v>15983</v>
      </c>
      <c r="X3410">
        <v>8</v>
      </c>
      <c r="Y3410" t="s">
        <v>22124</v>
      </c>
      <c r="Z3410" t="s">
        <v>28357</v>
      </c>
      <c r="AA3410">
        <v>0.69557045534369022</v>
      </c>
      <c r="AB3410" t="str">
        <f>HYPERLINK("Melting_Curves/meltCurve_Q5JRG1_NUPL1.pdf", "Melting_Curves/meltCurve_Q5JRG1_NUPL1.pdf")</f>
        <v>Melting_Curves/meltCurve_Q5JRG1_NUPL1.pdf</v>
      </c>
    </row>
    <row r="3411" spans="1:28" x14ac:dyDescent="0.25">
      <c r="A3411" t="s">
        <v>3415</v>
      </c>
      <c r="B3411">
        <v>0.99987803227770999</v>
      </c>
      <c r="C3411">
        <v>1.0950753117114</v>
      </c>
      <c r="D3411">
        <v>0.89539814585664301</v>
      </c>
      <c r="E3411">
        <v>0.86723421298537495</v>
      </c>
      <c r="F3411">
        <v>0.61181832678744996</v>
      </c>
      <c r="G3411">
        <v>0.33986169985876802</v>
      </c>
      <c r="H3411">
        <v>0.195569690732699</v>
      </c>
      <c r="I3411">
        <v>0.14299764645297</v>
      </c>
      <c r="J3411">
        <v>9.2266993595997104E-2</v>
      </c>
      <c r="K3411">
        <v>5.6162413885912602E-2</v>
      </c>
      <c r="L3411">
        <v>943.205930829458</v>
      </c>
      <c r="M3411">
        <v>17.358379939383301</v>
      </c>
      <c r="N3411">
        <v>54.733620978569</v>
      </c>
      <c r="O3411">
        <v>53.631435203740899</v>
      </c>
      <c r="P3411">
        <v>-7.6139968161982999E-2</v>
      </c>
      <c r="Q3411">
        <v>5.9068105134026799E-2</v>
      </c>
      <c r="R3411">
        <v>0.98796458101291595</v>
      </c>
      <c r="S3411" t="s">
        <v>9722</v>
      </c>
      <c r="T3411" t="s">
        <v>12620</v>
      </c>
      <c r="U3411" t="s">
        <v>12620</v>
      </c>
      <c r="V3411" t="s">
        <v>12620</v>
      </c>
      <c r="W3411" t="s">
        <v>15984</v>
      </c>
      <c r="X3411">
        <v>32</v>
      </c>
      <c r="Y3411" t="s">
        <v>22125</v>
      </c>
      <c r="Z3411" t="s">
        <v>28358</v>
      </c>
      <c r="AA3411">
        <v>0.52443796248993702</v>
      </c>
      <c r="AB3411" t="str">
        <f>HYPERLINK("Melting_Curves/meltCurve_Q5JRX3_PITRM1.pdf", "Melting_Curves/meltCurve_Q5JRX3_PITRM1.pdf")</f>
        <v>Melting_Curves/meltCurve_Q5JRX3_PITRM1.pdf</v>
      </c>
    </row>
    <row r="3412" spans="1:28" x14ac:dyDescent="0.25">
      <c r="A3412" t="s">
        <v>3416</v>
      </c>
      <c r="B3412">
        <v>0.99987803227770999</v>
      </c>
      <c r="C3412">
        <v>0.92783049921873195</v>
      </c>
      <c r="D3412">
        <v>0.94140249261912901</v>
      </c>
      <c r="E3412">
        <v>0.91670813264693296</v>
      </c>
      <c r="F3412">
        <v>0.87669299216956997</v>
      </c>
      <c r="G3412">
        <v>1.0127594199802901</v>
      </c>
      <c r="H3412">
        <v>0.87607981885584896</v>
      </c>
      <c r="I3412">
        <v>0.66830847170847096</v>
      </c>
      <c r="J3412">
        <v>0.65710340979773896</v>
      </c>
      <c r="K3412">
        <v>0.496885430589526</v>
      </c>
      <c r="L3412">
        <v>755.56252661388203</v>
      </c>
      <c r="M3412">
        <v>10.7684499551769</v>
      </c>
      <c r="O3412">
        <v>67.8747181964454</v>
      </c>
      <c r="P3412">
        <v>-3.9677500998806403E-2</v>
      </c>
      <c r="Q3412">
        <v>0</v>
      </c>
      <c r="R3412">
        <v>0.85667950130597703</v>
      </c>
      <c r="S3412" t="s">
        <v>9723</v>
      </c>
      <c r="T3412" t="s">
        <v>12620</v>
      </c>
      <c r="U3412" t="s">
        <v>12620</v>
      </c>
      <c r="V3412" t="s">
        <v>12620</v>
      </c>
      <c r="W3412" t="s">
        <v>15985</v>
      </c>
      <c r="X3412">
        <v>2</v>
      </c>
      <c r="Y3412" t="s">
        <v>22126</v>
      </c>
      <c r="Z3412" t="s">
        <v>28359</v>
      </c>
      <c r="AA3412">
        <v>0.87796837682952078</v>
      </c>
      <c r="AB3412" t="str">
        <f>HYPERLINK("Melting_Curves/meltCurve_Q5JS37_2_NHLRC3.pdf", "Melting_Curves/meltCurve_Q5JS37_2_NHLRC3.pdf")</f>
        <v>Melting_Curves/meltCurve_Q5JS37_2_NHLRC3.pdf</v>
      </c>
    </row>
    <row r="3413" spans="1:28" x14ac:dyDescent="0.25">
      <c r="A3413" t="s">
        <v>3417</v>
      </c>
      <c r="B3413">
        <v>0.99987803227770999</v>
      </c>
      <c r="C3413">
        <v>0.87806771036327502</v>
      </c>
      <c r="D3413">
        <v>0.97019690306034101</v>
      </c>
      <c r="E3413">
        <v>0.97751472886159596</v>
      </c>
      <c r="F3413">
        <v>1.1343785372464701</v>
      </c>
      <c r="G3413">
        <v>0.99350131879534298</v>
      </c>
      <c r="H3413">
        <v>0.94071271317037097</v>
      </c>
      <c r="I3413">
        <v>0.84899747768093803</v>
      </c>
      <c r="J3413">
        <v>0.59960367454805596</v>
      </c>
      <c r="K3413">
        <v>0.35909064056387502</v>
      </c>
      <c r="L3413">
        <v>1878.85269654639</v>
      </c>
      <c r="M3413">
        <v>27.8625491954501</v>
      </c>
      <c r="N3413">
        <v>68.152026188683607</v>
      </c>
      <c r="O3413">
        <v>67.088414060504405</v>
      </c>
      <c r="P3413">
        <v>-9.0605028478016894E-2</v>
      </c>
      <c r="Q3413">
        <v>0.12735989242343301</v>
      </c>
      <c r="R3413">
        <v>0.92495775805269798</v>
      </c>
      <c r="S3413" t="s">
        <v>9724</v>
      </c>
      <c r="T3413" t="s">
        <v>12620</v>
      </c>
      <c r="U3413" t="s">
        <v>12620</v>
      </c>
      <c r="V3413" t="s">
        <v>12620</v>
      </c>
      <c r="W3413" t="s">
        <v>15986</v>
      </c>
      <c r="X3413">
        <v>3</v>
      </c>
      <c r="Y3413" t="s">
        <v>22127</v>
      </c>
      <c r="Z3413" t="s">
        <v>28360</v>
      </c>
      <c r="AA3413">
        <v>0.90833648395129762</v>
      </c>
      <c r="AB3413" t="str">
        <f>HYPERLINK("Melting_Curves/meltCurve_Q5JS54_PSMG4.pdf", "Melting_Curves/meltCurve_Q5JS54_PSMG4.pdf")</f>
        <v>Melting_Curves/meltCurve_Q5JS54_PSMG4.pdf</v>
      </c>
    </row>
    <row r="3414" spans="1:28" x14ac:dyDescent="0.25">
      <c r="A3414" t="s">
        <v>3418</v>
      </c>
      <c r="B3414">
        <v>0.99987803227770999</v>
      </c>
      <c r="C3414">
        <v>0.94085398810212095</v>
      </c>
      <c r="D3414">
        <v>0.94411286876767997</v>
      </c>
      <c r="E3414">
        <v>0.98379815194898401</v>
      </c>
      <c r="F3414">
        <v>0.99950792514561204</v>
      </c>
      <c r="G3414">
        <v>0.89771136023269804</v>
      </c>
      <c r="H3414">
        <v>0.71637591358687203</v>
      </c>
      <c r="I3414">
        <v>0.73360253432191802</v>
      </c>
      <c r="J3414">
        <v>0.523196702745933</v>
      </c>
      <c r="K3414">
        <v>0.44297241516428498</v>
      </c>
      <c r="L3414">
        <v>742.31848836342601</v>
      </c>
      <c r="M3414">
        <v>10.9807614848919</v>
      </c>
      <c r="N3414">
        <v>68.311674433149506</v>
      </c>
      <c r="O3414">
        <v>65.475727399214506</v>
      </c>
      <c r="P3414">
        <v>-3.96794326275767E-2</v>
      </c>
      <c r="Q3414">
        <v>5.3924486614151099E-2</v>
      </c>
      <c r="R3414">
        <v>0.95564923300042603</v>
      </c>
      <c r="S3414" t="s">
        <v>9725</v>
      </c>
      <c r="T3414" t="s">
        <v>12620</v>
      </c>
      <c r="U3414" t="s">
        <v>12620</v>
      </c>
      <c r="V3414" t="s">
        <v>12620</v>
      </c>
      <c r="W3414" t="s">
        <v>15987</v>
      </c>
      <c r="X3414">
        <v>2</v>
      </c>
      <c r="Y3414" t="s">
        <v>22128</v>
      </c>
      <c r="Z3414" t="s">
        <v>28361</v>
      </c>
      <c r="AA3414">
        <v>0.84675179495720065</v>
      </c>
      <c r="AB3414" t="str">
        <f>HYPERLINK("Melting_Curves/meltCurve_Q5JSB6_TFDP1.pdf", "Melting_Curves/meltCurve_Q5JSB6_TFDP1.pdf")</f>
        <v>Melting_Curves/meltCurve_Q5JSB6_TFDP1.pdf</v>
      </c>
    </row>
    <row r="3415" spans="1:28" x14ac:dyDescent="0.25">
      <c r="A3415" t="s">
        <v>3419</v>
      </c>
      <c r="B3415">
        <v>0.99987803227770999</v>
      </c>
      <c r="C3415">
        <v>0.88133020804844098</v>
      </c>
      <c r="D3415">
        <v>1.01990892695437</v>
      </c>
      <c r="E3415">
        <v>0.91147263267825795</v>
      </c>
      <c r="F3415">
        <v>1.0791377251413601</v>
      </c>
      <c r="G3415">
        <v>0.97329545653265404</v>
      </c>
      <c r="H3415">
        <v>0.658217551773982</v>
      </c>
      <c r="I3415">
        <v>0.63458503412029199</v>
      </c>
      <c r="J3415">
        <v>0.57461188484632997</v>
      </c>
      <c r="K3415">
        <v>0.46822852433671502</v>
      </c>
      <c r="L3415">
        <v>2496.0392421073102</v>
      </c>
      <c r="M3415">
        <v>41.658202415828598</v>
      </c>
      <c r="O3415">
        <v>59.779536618026398</v>
      </c>
      <c r="P3415">
        <v>-8.0229911006547097E-2</v>
      </c>
      <c r="Q3415">
        <v>0.53948099787431902</v>
      </c>
      <c r="R3415">
        <v>0.90324067521167695</v>
      </c>
      <c r="S3415" t="s">
        <v>9726</v>
      </c>
      <c r="T3415" t="s">
        <v>12620</v>
      </c>
      <c r="U3415" t="s">
        <v>12620</v>
      </c>
      <c r="V3415" t="s">
        <v>12620</v>
      </c>
      <c r="W3415" t="s">
        <v>15988</v>
      </c>
      <c r="X3415">
        <v>35</v>
      </c>
      <c r="Y3415" t="s">
        <v>22129</v>
      </c>
      <c r="Z3415" t="s">
        <v>28362</v>
      </c>
      <c r="AA3415">
        <v>0.8468999270657811</v>
      </c>
      <c r="AB3415" t="str">
        <f>HYPERLINK("Melting_Curves/meltCurve_Q5JSH3_2_WDR44.pdf", "Melting_Curves/meltCurve_Q5JSH3_2_WDR44.pdf")</f>
        <v>Melting_Curves/meltCurve_Q5JSH3_2_WDR44.pdf</v>
      </c>
    </row>
    <row r="3416" spans="1:28" x14ac:dyDescent="0.25">
      <c r="A3416" t="s">
        <v>3420</v>
      </c>
      <c r="B3416">
        <v>0.99987803227770999</v>
      </c>
      <c r="C3416">
        <v>0.86394751795771096</v>
      </c>
      <c r="D3416">
        <v>1.01328612055016</v>
      </c>
      <c r="E3416">
        <v>0.97666951352105702</v>
      </c>
      <c r="F3416">
        <v>1.1388175071347599</v>
      </c>
      <c r="G3416">
        <v>1.0046541663995201</v>
      </c>
      <c r="H3416">
        <v>1.0293358755620401</v>
      </c>
      <c r="I3416">
        <v>0.98234907038048502</v>
      </c>
      <c r="J3416">
        <v>0.98076362628009806</v>
      </c>
      <c r="K3416">
        <v>0.84619331705526302</v>
      </c>
      <c r="L3416">
        <v>3279.4842427190001</v>
      </c>
      <c r="M3416">
        <v>45.143226293025002</v>
      </c>
      <c r="Q3416">
        <v>0</v>
      </c>
      <c r="R3416">
        <v>0.35049598865783599</v>
      </c>
      <c r="S3416" t="s">
        <v>9727</v>
      </c>
      <c r="T3416" t="s">
        <v>12620</v>
      </c>
      <c r="U3416" t="s">
        <v>12620</v>
      </c>
      <c r="V3416" t="s">
        <v>12620</v>
      </c>
      <c r="W3416" t="s">
        <v>15989</v>
      </c>
      <c r="X3416">
        <v>42</v>
      </c>
      <c r="Y3416" t="s">
        <v>19463</v>
      </c>
      <c r="Z3416" t="s">
        <v>28363</v>
      </c>
      <c r="AA3416">
        <v>0.99204108810193903</v>
      </c>
      <c r="AB3416" t="str">
        <f>HYPERLINK("Melting_Curves/meltCurve_Q5JSZ5_PRRC2B.pdf", "Melting_Curves/meltCurve_Q5JSZ5_PRRC2B.pdf")</f>
        <v>Melting_Curves/meltCurve_Q5JSZ5_PRRC2B.pdf</v>
      </c>
    </row>
    <row r="3417" spans="1:28" x14ac:dyDescent="0.25">
      <c r="A3417" t="s">
        <v>3421</v>
      </c>
      <c r="B3417">
        <v>0.99987803227770999</v>
      </c>
      <c r="C3417">
        <v>0.97271363905049002</v>
      </c>
      <c r="D3417">
        <v>1.05041642524316</v>
      </c>
      <c r="E3417">
        <v>0.92685784186854003</v>
      </c>
      <c r="F3417">
        <v>0.96746263929482201</v>
      </c>
      <c r="G3417">
        <v>0.82713188947263405</v>
      </c>
      <c r="H3417">
        <v>0.85551653224276902</v>
      </c>
      <c r="I3417">
        <v>0.84653475109813603</v>
      </c>
      <c r="J3417">
        <v>0.71342868251955505</v>
      </c>
      <c r="K3417">
        <v>0.60084881078417496</v>
      </c>
      <c r="L3417">
        <v>520.62910217427498</v>
      </c>
      <c r="M3417">
        <v>6.8782669176710503</v>
      </c>
      <c r="Q3417">
        <v>0</v>
      </c>
      <c r="R3417">
        <v>0.890053631336156</v>
      </c>
      <c r="S3417" t="s">
        <v>9728</v>
      </c>
      <c r="T3417" t="s">
        <v>12620</v>
      </c>
      <c r="U3417" t="s">
        <v>12620</v>
      </c>
      <c r="V3417" t="s">
        <v>12620</v>
      </c>
      <c r="W3417" t="s">
        <v>15990</v>
      </c>
      <c r="X3417">
        <v>12</v>
      </c>
      <c r="Y3417" t="s">
        <v>22130</v>
      </c>
      <c r="Z3417" t="s">
        <v>28364</v>
      </c>
      <c r="AA3417">
        <v>0.88896467460591944</v>
      </c>
      <c r="AB3417" t="str">
        <f>HYPERLINK("Melting_Curves/meltCurve_Q5JTD0_2_TJAP1.pdf", "Melting_Curves/meltCurve_Q5JTD0_2_TJAP1.pdf")</f>
        <v>Melting_Curves/meltCurve_Q5JTD0_2_TJAP1.pdf</v>
      </c>
    </row>
    <row r="3418" spans="1:28" x14ac:dyDescent="0.25">
      <c r="A3418" t="s">
        <v>3422</v>
      </c>
      <c r="B3418">
        <v>0.99987803227770999</v>
      </c>
      <c r="C3418">
        <v>1.0372196071858999</v>
      </c>
      <c r="D3418">
        <v>0.85762315212795504</v>
      </c>
      <c r="E3418">
        <v>0.79092451368049299</v>
      </c>
      <c r="F3418">
        <v>0.58399289394688103</v>
      </c>
      <c r="G3418">
        <v>0.38659021429165702</v>
      </c>
      <c r="H3418">
        <v>0.30120509943505303</v>
      </c>
      <c r="I3418">
        <v>0.30987629332025501</v>
      </c>
      <c r="J3418">
        <v>0.27190895468772402</v>
      </c>
      <c r="K3418">
        <v>0.18570643679662199</v>
      </c>
      <c r="L3418">
        <v>784.33017323262698</v>
      </c>
      <c r="M3418">
        <v>14.8828509463904</v>
      </c>
      <c r="N3418">
        <v>54.762852672026398</v>
      </c>
      <c r="O3418">
        <v>51.776249645386002</v>
      </c>
      <c r="P3418">
        <v>-5.6449264623721997E-2</v>
      </c>
      <c r="Q3418">
        <v>0.214551899936822</v>
      </c>
      <c r="R3418">
        <v>0.98495943648470796</v>
      </c>
      <c r="S3418" t="s">
        <v>9729</v>
      </c>
      <c r="T3418" t="s">
        <v>12620</v>
      </c>
      <c r="U3418" t="s">
        <v>12620</v>
      </c>
      <c r="V3418" t="s">
        <v>12620</v>
      </c>
      <c r="W3418" t="s">
        <v>15991</v>
      </c>
      <c r="X3418">
        <v>9</v>
      </c>
      <c r="Y3418" t="s">
        <v>22131</v>
      </c>
      <c r="Z3418" t="s">
        <v>28365</v>
      </c>
      <c r="AA3418">
        <v>0.56436803819497383</v>
      </c>
      <c r="AB3418" t="str">
        <f>HYPERLINK("Melting_Curves/meltCurve_Q5JTH9_RRP12.pdf", "Melting_Curves/meltCurve_Q5JTH9_RRP12.pdf")</f>
        <v>Melting_Curves/meltCurve_Q5JTH9_RRP12.pdf</v>
      </c>
    </row>
    <row r="3419" spans="1:28" x14ac:dyDescent="0.25">
      <c r="A3419" t="s">
        <v>3423</v>
      </c>
      <c r="B3419">
        <v>0.99987803227770999</v>
      </c>
      <c r="C3419">
        <v>0.75021224305975798</v>
      </c>
      <c r="D3419">
        <v>1.0025051095858</v>
      </c>
      <c r="E3419">
        <v>0.81974163148735502</v>
      </c>
      <c r="F3419">
        <v>1.1169739506934999</v>
      </c>
      <c r="G3419">
        <v>0.84477056036833598</v>
      </c>
      <c r="H3419">
        <v>1.00780825199168</v>
      </c>
      <c r="I3419">
        <v>1.02729544370129</v>
      </c>
      <c r="J3419">
        <v>1.12982778140607</v>
      </c>
      <c r="K3419">
        <v>0.95843181221707896</v>
      </c>
      <c r="S3419" t="s">
        <v>9730</v>
      </c>
      <c r="T3419" t="s">
        <v>12620</v>
      </c>
      <c r="U3419" t="s">
        <v>12621</v>
      </c>
      <c r="V3419" t="s">
        <v>12620</v>
      </c>
      <c r="W3419" t="s">
        <v>15992</v>
      </c>
      <c r="X3419">
        <v>9</v>
      </c>
      <c r="Y3419" t="s">
        <v>22132</v>
      </c>
      <c r="Z3419" t="s">
        <v>28366</v>
      </c>
      <c r="AB3419" t="str">
        <f>HYPERLINK("Melting_Curves/meltCurve_Q5JTJ3_3_COA6.pdf", "Melting_Curves/meltCurve_Q5JTJ3_3_COA6.pdf")</f>
        <v>Melting_Curves/meltCurve_Q5JTJ3_3_COA6.pdf</v>
      </c>
    </row>
    <row r="3420" spans="1:28" x14ac:dyDescent="0.25">
      <c r="A3420" t="s">
        <v>3424</v>
      </c>
      <c r="B3420">
        <v>0.99987803227770999</v>
      </c>
      <c r="C3420">
        <v>0.98371144933991705</v>
      </c>
      <c r="D3420">
        <v>0.93894674194634598</v>
      </c>
      <c r="E3420">
        <v>0.78081703685635595</v>
      </c>
      <c r="F3420">
        <v>0.68562879427674805</v>
      </c>
      <c r="G3420">
        <v>0.40868419654114702</v>
      </c>
      <c r="H3420">
        <v>0.31664969110336599</v>
      </c>
      <c r="I3420">
        <v>0.226607139042202</v>
      </c>
      <c r="J3420">
        <v>0.18425281742142299</v>
      </c>
      <c r="K3420">
        <v>0.146320973017286</v>
      </c>
      <c r="L3420">
        <v>718.77741621554105</v>
      </c>
      <c r="M3420">
        <v>13.1085128288225</v>
      </c>
      <c r="N3420">
        <v>55.848838420368097</v>
      </c>
      <c r="O3420">
        <v>53.603872424635398</v>
      </c>
      <c r="P3420">
        <v>-5.4660080458424999E-2</v>
      </c>
      <c r="Q3420">
        <v>0.106080058650052</v>
      </c>
      <c r="R3420">
        <v>0.99670274009260895</v>
      </c>
      <c r="S3420" t="s">
        <v>9731</v>
      </c>
      <c r="T3420" t="s">
        <v>12620</v>
      </c>
      <c r="U3420" t="s">
        <v>12620</v>
      </c>
      <c r="V3420" t="s">
        <v>12620</v>
      </c>
      <c r="W3420" t="s">
        <v>15993</v>
      </c>
      <c r="X3420">
        <v>7</v>
      </c>
      <c r="Y3420" t="s">
        <v>22133</v>
      </c>
      <c r="Z3420" t="s">
        <v>28367</v>
      </c>
      <c r="AA3420">
        <v>0.56797758049127522</v>
      </c>
      <c r="AB3420" t="str">
        <f>HYPERLINK("Melting_Curves/meltCurve_Q5JTV1_GMEB2.pdf", "Melting_Curves/meltCurve_Q5JTV1_GMEB2.pdf")</f>
        <v>Melting_Curves/meltCurve_Q5JTV1_GMEB2.pdf</v>
      </c>
    </row>
    <row r="3421" spans="1:28" x14ac:dyDescent="0.25">
      <c r="A3421" t="s">
        <v>3425</v>
      </c>
      <c r="B3421">
        <v>0.99987803227770999</v>
      </c>
      <c r="C3421">
        <v>0.83297494985115905</v>
      </c>
      <c r="D3421">
        <v>0.99902705518832202</v>
      </c>
      <c r="E3421">
        <v>0.85032589031649197</v>
      </c>
      <c r="F3421">
        <v>1.09161631961636</v>
      </c>
      <c r="G3421">
        <v>0.84916932364617104</v>
      </c>
      <c r="H3421">
        <v>0.97041371004343802</v>
      </c>
      <c r="I3421">
        <v>1.0353608097311899</v>
      </c>
      <c r="J3421">
        <v>1.1047185930964001</v>
      </c>
      <c r="K3421">
        <v>0.89163906160388595</v>
      </c>
      <c r="L3421">
        <v>1.0144213902239599E-5</v>
      </c>
      <c r="M3421">
        <v>16.592918976714198</v>
      </c>
      <c r="Q3421">
        <v>0.96251237216568297</v>
      </c>
      <c r="R3421">
        <v>0</v>
      </c>
      <c r="S3421" t="s">
        <v>9732</v>
      </c>
      <c r="T3421" t="s">
        <v>12620</v>
      </c>
      <c r="U3421" t="s">
        <v>12620</v>
      </c>
      <c r="V3421" t="s">
        <v>12620</v>
      </c>
      <c r="W3421" t="s">
        <v>15994</v>
      </c>
      <c r="X3421">
        <v>5</v>
      </c>
      <c r="Y3421" t="s">
        <v>19261</v>
      </c>
      <c r="Z3421" t="s">
        <v>28368</v>
      </c>
      <c r="AA3421">
        <v>0.96251237449739468</v>
      </c>
      <c r="AB3421" t="str">
        <f>HYPERLINK("Melting_Curves/meltCurve_Q5JTV8_TOR1AIP1.pdf", "Melting_Curves/meltCurve_Q5JTV8_TOR1AIP1.pdf")</f>
        <v>Melting_Curves/meltCurve_Q5JTV8_TOR1AIP1.pdf</v>
      </c>
    </row>
    <row r="3422" spans="1:28" x14ac:dyDescent="0.25">
      <c r="A3422" t="s">
        <v>3426</v>
      </c>
      <c r="B3422">
        <v>0.99987803227770999</v>
      </c>
      <c r="C3422">
        <v>0.79334902942816699</v>
      </c>
      <c r="D3422">
        <v>0.91625799636038796</v>
      </c>
      <c r="E3422">
        <v>0.69471299335805603</v>
      </c>
      <c r="F3422">
        <v>0.89437826562255096</v>
      </c>
      <c r="G3422">
        <v>0.68903133278430995</v>
      </c>
      <c r="H3422">
        <v>0.88607585990596804</v>
      </c>
      <c r="I3422">
        <v>0.83102048085323799</v>
      </c>
      <c r="J3422">
        <v>0.84820547818021896</v>
      </c>
      <c r="K3422">
        <v>0.82088399802246703</v>
      </c>
      <c r="L3422">
        <v>10251.649205878301</v>
      </c>
      <c r="M3422">
        <v>250</v>
      </c>
      <c r="O3422">
        <v>41.003972976162899</v>
      </c>
      <c r="P3422">
        <v>-0.275394500256814</v>
      </c>
      <c r="Q3422">
        <v>0.81932370320507897</v>
      </c>
      <c r="R3422">
        <v>0.35358671252788099</v>
      </c>
      <c r="S3422" t="s">
        <v>9733</v>
      </c>
      <c r="T3422" t="s">
        <v>12620</v>
      </c>
      <c r="U3422" t="s">
        <v>12620</v>
      </c>
      <c r="V3422" t="s">
        <v>12620</v>
      </c>
      <c r="W3422" t="s">
        <v>15995</v>
      </c>
      <c r="X3422">
        <v>1</v>
      </c>
      <c r="Y3422" t="s">
        <v>22134</v>
      </c>
      <c r="Z3422" t="s">
        <v>28369</v>
      </c>
      <c r="AA3422">
        <v>0.82540070483377981</v>
      </c>
      <c r="AB3422" t="str">
        <f>HYPERLINK("Melting_Curves/meltCurve_Q5JTW2_CEP78.pdf", "Melting_Curves/meltCurve_Q5JTW2_CEP78.pdf")</f>
        <v>Melting_Curves/meltCurve_Q5JTW2_CEP78.pdf</v>
      </c>
    </row>
    <row r="3423" spans="1:28" x14ac:dyDescent="0.25">
      <c r="A3423" t="s">
        <v>3427</v>
      </c>
      <c r="B3423">
        <v>0.99987803227770999</v>
      </c>
      <c r="C3423">
        <v>0.78274101552976205</v>
      </c>
      <c r="D3423">
        <v>0.46851842147221401</v>
      </c>
      <c r="E3423">
        <v>0.28550478339583402</v>
      </c>
      <c r="F3423">
        <v>0.17151986978761</v>
      </c>
      <c r="G3423">
        <v>0.114698027712943</v>
      </c>
      <c r="H3423">
        <v>0.109933323202659</v>
      </c>
      <c r="I3423">
        <v>0.128166604565563</v>
      </c>
      <c r="J3423">
        <v>7.1132857280442496E-2</v>
      </c>
      <c r="K3423">
        <v>6.1017892117866297E-2</v>
      </c>
      <c r="L3423">
        <v>846.026865427963</v>
      </c>
      <c r="M3423">
        <v>18.556709386145599</v>
      </c>
      <c r="N3423">
        <v>46.116863884858901</v>
      </c>
      <c r="O3423">
        <v>45.071865066621498</v>
      </c>
      <c r="P3423">
        <v>-9.3125231312355797E-2</v>
      </c>
      <c r="Q3423">
        <v>9.5282656291189302E-2</v>
      </c>
      <c r="R3423">
        <v>0.989167829752721</v>
      </c>
      <c r="S3423" t="s">
        <v>9734</v>
      </c>
      <c r="T3423" t="s">
        <v>12620</v>
      </c>
      <c r="U3423" t="s">
        <v>12620</v>
      </c>
      <c r="V3423" t="s">
        <v>12620</v>
      </c>
      <c r="W3423" t="s">
        <v>15996</v>
      </c>
      <c r="X3423">
        <v>2</v>
      </c>
      <c r="Y3423" t="s">
        <v>22135</v>
      </c>
      <c r="Z3423" t="s">
        <v>28370</v>
      </c>
      <c r="AA3423">
        <v>0.28105564061251431</v>
      </c>
      <c r="AB3423" t="str">
        <f>HYPERLINK("Melting_Curves/meltCurve_Q5JTZ9_AARS2.pdf", "Melting_Curves/meltCurve_Q5JTZ9_AARS2.pdf")</f>
        <v>Melting_Curves/meltCurve_Q5JTZ9_AARS2.pdf</v>
      </c>
    </row>
    <row r="3424" spans="1:28" x14ac:dyDescent="0.25">
      <c r="A3424" t="s">
        <v>3428</v>
      </c>
      <c r="B3424">
        <v>0.99987803227770999</v>
      </c>
      <c r="C3424">
        <v>0.87120630064910798</v>
      </c>
      <c r="D3424">
        <v>0.80199643371161</v>
      </c>
      <c r="E3424">
        <v>0.48665895807422799</v>
      </c>
      <c r="F3424">
        <v>0.49868345580304702</v>
      </c>
      <c r="G3424">
        <v>0.35537564210942901</v>
      </c>
      <c r="H3424">
        <v>0.33250325772106498</v>
      </c>
      <c r="I3424">
        <v>0.24800289504689799</v>
      </c>
      <c r="J3424">
        <v>0.23002557395787401</v>
      </c>
      <c r="K3424">
        <v>0.180499972319656</v>
      </c>
      <c r="L3424">
        <v>563.80896561321401</v>
      </c>
      <c r="M3424">
        <v>11.3668584105361</v>
      </c>
      <c r="N3424">
        <v>51.842616669837703</v>
      </c>
      <c r="O3424">
        <v>48.1403562061315</v>
      </c>
      <c r="P3424">
        <v>-4.7584220995282103E-2</v>
      </c>
      <c r="Q3424">
        <v>0.194134256773318</v>
      </c>
      <c r="R3424">
        <v>0.97539979228191098</v>
      </c>
      <c r="S3424" t="s">
        <v>9735</v>
      </c>
      <c r="T3424" t="s">
        <v>12620</v>
      </c>
      <c r="U3424" t="s">
        <v>12620</v>
      </c>
      <c r="V3424" t="s">
        <v>12620</v>
      </c>
      <c r="W3424" t="s">
        <v>15997</v>
      </c>
      <c r="X3424">
        <v>2</v>
      </c>
      <c r="Y3424" t="s">
        <v>22136</v>
      </c>
      <c r="Z3424" t="s">
        <v>28371</v>
      </c>
      <c r="AA3424">
        <v>0.48315516685780591</v>
      </c>
      <c r="AB3424" t="str">
        <f>HYPERLINK("Melting_Curves/meltCurve_Q5JU85_IQSEC2.pdf", "Melting_Curves/meltCurve_Q5JU85_IQSEC2.pdf")</f>
        <v>Melting_Curves/meltCurve_Q5JU85_IQSEC2.pdf</v>
      </c>
    </row>
    <row r="3425" spans="1:28" x14ac:dyDescent="0.25">
      <c r="A3425" t="s">
        <v>3429</v>
      </c>
      <c r="B3425">
        <v>0.99987803227770999</v>
      </c>
      <c r="C3425">
        <v>0.99289228072633995</v>
      </c>
      <c r="D3425">
        <v>0.93185624181744997</v>
      </c>
      <c r="E3425">
        <v>0.79508539890060503</v>
      </c>
      <c r="F3425">
        <v>0.67835849868961096</v>
      </c>
      <c r="G3425">
        <v>0.52518447914212796</v>
      </c>
      <c r="H3425">
        <v>0.46484643088442801</v>
      </c>
      <c r="I3425">
        <v>0.32993516819396301</v>
      </c>
      <c r="J3425">
        <v>0.251475605608391</v>
      </c>
      <c r="K3425">
        <v>0.16003034716488099</v>
      </c>
      <c r="L3425">
        <v>503.69001941727902</v>
      </c>
      <c r="M3425">
        <v>8.6261416452489001</v>
      </c>
      <c r="N3425">
        <v>58.391099479196697</v>
      </c>
      <c r="O3425">
        <v>55.507311691763299</v>
      </c>
      <c r="P3425">
        <v>-3.8884493375881499E-2</v>
      </c>
      <c r="Q3425">
        <v>0</v>
      </c>
      <c r="R3425">
        <v>0.99076032307940198</v>
      </c>
      <c r="S3425" t="s">
        <v>9736</v>
      </c>
      <c r="T3425" t="s">
        <v>12620</v>
      </c>
      <c r="U3425" t="s">
        <v>12620</v>
      </c>
      <c r="V3425" t="s">
        <v>12620</v>
      </c>
      <c r="W3425" t="s">
        <v>15998</v>
      </c>
      <c r="X3425">
        <v>8</v>
      </c>
      <c r="Y3425" t="s">
        <v>22137</v>
      </c>
      <c r="Z3425" t="s">
        <v>28372</v>
      </c>
      <c r="AA3425">
        <v>0.61599787683577467</v>
      </c>
      <c r="AB3425" t="str">
        <f>HYPERLINK("Melting_Curves/meltCurve_Q5JUE6_RAPGEF1.pdf", "Melting_Curves/meltCurve_Q5JUE6_RAPGEF1.pdf")</f>
        <v>Melting_Curves/meltCurve_Q5JUE6_RAPGEF1.pdf</v>
      </c>
    </row>
    <row r="3426" spans="1:28" x14ac:dyDescent="0.25">
      <c r="A3426" t="s">
        <v>3430</v>
      </c>
      <c r="B3426">
        <v>0.99987803227770999</v>
      </c>
      <c r="C3426">
        <v>0.87370561467141095</v>
      </c>
      <c r="D3426">
        <v>0.67751768168285897</v>
      </c>
      <c r="E3426">
        <v>0.22892302508412199</v>
      </c>
      <c r="F3426">
        <v>0.11383620749057401</v>
      </c>
      <c r="G3426">
        <v>8.77965656604065E-2</v>
      </c>
      <c r="H3426">
        <v>4.2538035288583499E-2</v>
      </c>
      <c r="I3426">
        <v>5.0243530613815798E-2</v>
      </c>
      <c r="J3426">
        <v>3.1488621497319798E-2</v>
      </c>
      <c r="K3426">
        <v>2.2105976960369901E-2</v>
      </c>
      <c r="L3426">
        <v>1059.9685687275301</v>
      </c>
      <c r="M3426">
        <v>22.4698287485603</v>
      </c>
      <c r="N3426">
        <v>47.342757374864298</v>
      </c>
      <c r="O3426">
        <v>46.8040900424825</v>
      </c>
      <c r="P3426">
        <v>-0.11537618104207401</v>
      </c>
      <c r="Q3426">
        <v>3.8716656019336701E-2</v>
      </c>
      <c r="R3426">
        <v>0.99717611696947805</v>
      </c>
      <c r="S3426" t="s">
        <v>9737</v>
      </c>
      <c r="T3426" t="s">
        <v>12620</v>
      </c>
      <c r="U3426" t="s">
        <v>12620</v>
      </c>
      <c r="V3426" t="s">
        <v>12620</v>
      </c>
      <c r="W3426" t="s">
        <v>15999</v>
      </c>
      <c r="X3426">
        <v>2</v>
      </c>
      <c r="Y3426" t="s">
        <v>22138</v>
      </c>
      <c r="Z3426" t="s">
        <v>28373</v>
      </c>
      <c r="AA3426">
        <v>0.27937697381205667</v>
      </c>
      <c r="AB3426" t="str">
        <f>HYPERLINK("Melting_Curves/meltCurve_Q5JUR7_TEX30.pdf", "Melting_Curves/meltCurve_Q5JUR7_TEX30.pdf")</f>
        <v>Melting_Curves/meltCurve_Q5JUR7_TEX30.pdf</v>
      </c>
    </row>
    <row r="3427" spans="1:28" x14ac:dyDescent="0.25">
      <c r="A3427" t="s">
        <v>3431</v>
      </c>
      <c r="B3427">
        <v>0.99987803227770999</v>
      </c>
      <c r="C3427">
        <v>0.90701530622383097</v>
      </c>
      <c r="D3427">
        <v>0.992144051069621</v>
      </c>
      <c r="E3427">
        <v>0.99394855657706604</v>
      </c>
      <c r="F3427">
        <v>1.3585641608210599</v>
      </c>
      <c r="G3427">
        <v>0.89925583873949799</v>
      </c>
      <c r="H3427">
        <v>0.75443005112806405</v>
      </c>
      <c r="I3427">
        <v>0.61546881585860702</v>
      </c>
      <c r="J3427">
        <v>0.80235866170306103</v>
      </c>
      <c r="K3427">
        <v>0.72487980007764996</v>
      </c>
      <c r="L3427">
        <v>8753.9815839898893</v>
      </c>
      <c r="M3427">
        <v>153.02626949306401</v>
      </c>
      <c r="O3427">
        <v>57.195964023997902</v>
      </c>
      <c r="P3427">
        <v>-0.18442195353558599</v>
      </c>
      <c r="Q3427">
        <v>0.72427757960706596</v>
      </c>
      <c r="R3427">
        <v>0.58877942537005601</v>
      </c>
      <c r="S3427" t="s">
        <v>9738</v>
      </c>
      <c r="T3427" t="s">
        <v>12620</v>
      </c>
      <c r="U3427" t="s">
        <v>12620</v>
      </c>
      <c r="V3427" t="s">
        <v>12620</v>
      </c>
      <c r="W3427" t="s">
        <v>16000</v>
      </c>
      <c r="X3427">
        <v>2</v>
      </c>
      <c r="Y3427" t="s">
        <v>22139</v>
      </c>
      <c r="Z3427" t="s">
        <v>28374</v>
      </c>
      <c r="AA3427">
        <v>0.88248513313211663</v>
      </c>
      <c r="AB3427" t="str">
        <f>HYPERLINK("Melting_Curves/meltCurve_Q5JV73_FRMPD3.pdf", "Melting_Curves/meltCurve_Q5JV73_FRMPD3.pdf")</f>
        <v>Melting_Curves/meltCurve_Q5JV73_FRMPD3.pdf</v>
      </c>
    </row>
    <row r="3428" spans="1:28" x14ac:dyDescent="0.25">
      <c r="A3428" t="s">
        <v>3432</v>
      </c>
      <c r="B3428">
        <v>0.99987803227770999</v>
      </c>
      <c r="C3428">
        <v>0.98619935882735899</v>
      </c>
      <c r="D3428">
        <v>0.96453118257155601</v>
      </c>
      <c r="E3428">
        <v>0.71312493764206797</v>
      </c>
      <c r="F3428">
        <v>0.22273704934297001</v>
      </c>
      <c r="G3428">
        <v>0.12637299524746201</v>
      </c>
      <c r="H3428">
        <v>8.0721083670006299E-2</v>
      </c>
      <c r="I3428">
        <v>6.7788772380003803E-2</v>
      </c>
      <c r="J3428">
        <v>6.5504377108413503E-2</v>
      </c>
      <c r="K3428">
        <v>3.2257689650882999E-2</v>
      </c>
      <c r="L3428">
        <v>2032.1800100052001</v>
      </c>
      <c r="M3428">
        <v>39.871547330216799</v>
      </c>
      <c r="N3428">
        <v>51.1607088382694</v>
      </c>
      <c r="O3428">
        <v>50.840468213216198</v>
      </c>
      <c r="P3428">
        <v>-0.182403721769476</v>
      </c>
      <c r="Q3428">
        <v>6.9665294391225097E-2</v>
      </c>
      <c r="R3428">
        <v>0.99743411348248501</v>
      </c>
      <c r="S3428" t="s">
        <v>9739</v>
      </c>
      <c r="T3428" t="s">
        <v>12620</v>
      </c>
      <c r="U3428" t="s">
        <v>12620</v>
      </c>
      <c r="V3428" t="s">
        <v>12620</v>
      </c>
      <c r="W3428" t="s">
        <v>16001</v>
      </c>
      <c r="X3428">
        <v>10</v>
      </c>
      <c r="Y3428" t="s">
        <v>22140</v>
      </c>
      <c r="Z3428" t="s">
        <v>28375</v>
      </c>
      <c r="AA3428">
        <v>0.41309986268872317</v>
      </c>
      <c r="AB3428" t="str">
        <f>HYPERLINK("Melting_Curves/meltCurve_Q5JVF3_3_PCID2.pdf", "Melting_Curves/meltCurve_Q5JVF3_3_PCID2.pdf")</f>
        <v>Melting_Curves/meltCurve_Q5JVF3_3_PCID2.pdf</v>
      </c>
    </row>
    <row r="3429" spans="1:28" x14ac:dyDescent="0.25">
      <c r="A3429" t="s">
        <v>3433</v>
      </c>
      <c r="B3429">
        <v>0.99987803227770999</v>
      </c>
      <c r="C3429">
        <v>0.86848897294694505</v>
      </c>
      <c r="D3429">
        <v>0.98929474805945805</v>
      </c>
      <c r="E3429">
        <v>0.80836410369879996</v>
      </c>
      <c r="F3429">
        <v>0.985936617879137</v>
      </c>
      <c r="G3429">
        <v>0.77109891296453703</v>
      </c>
      <c r="H3429">
        <v>0.74781752659025302</v>
      </c>
      <c r="I3429">
        <v>0.74788617137379998</v>
      </c>
      <c r="J3429">
        <v>0.67651625573551499</v>
      </c>
      <c r="K3429">
        <v>0.57564236641580502</v>
      </c>
      <c r="L3429">
        <v>307.614019492838</v>
      </c>
      <c r="M3429">
        <v>3.9237665153908199</v>
      </c>
      <c r="O3429">
        <v>63.964301624302799</v>
      </c>
      <c r="P3429">
        <v>-1.5545405398313601E-2</v>
      </c>
      <c r="Q3429">
        <v>0</v>
      </c>
      <c r="R3429">
        <v>0.78301391041583701</v>
      </c>
      <c r="S3429" t="s">
        <v>9740</v>
      </c>
      <c r="T3429" t="s">
        <v>12620</v>
      </c>
      <c r="U3429" t="s">
        <v>12620</v>
      </c>
      <c r="V3429" t="s">
        <v>12620</v>
      </c>
      <c r="W3429" t="s">
        <v>16002</v>
      </c>
      <c r="X3429">
        <v>8</v>
      </c>
      <c r="Y3429" t="s">
        <v>22141</v>
      </c>
      <c r="Z3429" t="s">
        <v>28376</v>
      </c>
      <c r="AA3429">
        <v>0.82575391007039278</v>
      </c>
      <c r="AB3429" t="str">
        <f>HYPERLINK("Melting_Curves/meltCurve_Q5JVS0_HABP4.pdf", "Melting_Curves/meltCurve_Q5JVS0_HABP4.pdf")</f>
        <v>Melting_Curves/meltCurve_Q5JVS0_HABP4.pdf</v>
      </c>
    </row>
    <row r="3430" spans="1:28" x14ac:dyDescent="0.25">
      <c r="A3430" t="s">
        <v>3434</v>
      </c>
      <c r="B3430">
        <v>0.99987803227770999</v>
      </c>
      <c r="C3430">
        <v>0.97164286272975497</v>
      </c>
      <c r="D3430">
        <v>0.84207183534908803</v>
      </c>
      <c r="E3430">
        <v>0.89561713744761695</v>
      </c>
      <c r="F3430">
        <v>0.309707940012655</v>
      </c>
      <c r="G3430">
        <v>0.176718038299916</v>
      </c>
      <c r="H3430">
        <v>0.12493308695338801</v>
      </c>
      <c r="I3430">
        <v>9.6813218068466697E-2</v>
      </c>
      <c r="J3430">
        <v>8.8114798028904096E-2</v>
      </c>
      <c r="K3430">
        <v>6.6712838746290998E-2</v>
      </c>
      <c r="L3430">
        <v>2739.28708257572</v>
      </c>
      <c r="M3430">
        <v>52.8664553951401</v>
      </c>
      <c r="N3430">
        <v>52.055003491019299</v>
      </c>
      <c r="O3430">
        <v>51.741240543523901</v>
      </c>
      <c r="P3430">
        <v>-0.22783167437603</v>
      </c>
      <c r="Q3430">
        <v>0.108070689082483</v>
      </c>
      <c r="R3430">
        <v>0.97917958514732495</v>
      </c>
      <c r="S3430" t="s">
        <v>9741</v>
      </c>
      <c r="T3430" t="s">
        <v>12620</v>
      </c>
      <c r="U3430" t="s">
        <v>12620</v>
      </c>
      <c r="V3430" t="s">
        <v>12620</v>
      </c>
      <c r="W3430" t="s">
        <v>16003</v>
      </c>
      <c r="X3430">
        <v>14</v>
      </c>
      <c r="Y3430" t="s">
        <v>22142</v>
      </c>
      <c r="Z3430" t="s">
        <v>28377</v>
      </c>
      <c r="AA3430">
        <v>0.46117113214617578</v>
      </c>
      <c r="AB3430" t="str">
        <f>HYPERLINK("Melting_Curves/meltCurve_Q5JVZ5_ELMO2.pdf", "Melting_Curves/meltCurve_Q5JVZ5_ELMO2.pdf")</f>
        <v>Melting_Curves/meltCurve_Q5JVZ5_ELMO2.pdf</v>
      </c>
    </row>
    <row r="3431" spans="1:28" x14ac:dyDescent="0.25">
      <c r="A3431" t="s">
        <v>3435</v>
      </c>
      <c r="B3431">
        <v>0.99987803227770999</v>
      </c>
      <c r="C3431">
        <v>0.90861784436981496</v>
      </c>
      <c r="D3431">
        <v>1.0196097743085</v>
      </c>
      <c r="E3431">
        <v>0.88840256583788302</v>
      </c>
      <c r="F3431">
        <v>0.94608058212690804</v>
      </c>
      <c r="G3431">
        <v>0.70913507600133496</v>
      </c>
      <c r="H3431">
        <v>0.68052026760862205</v>
      </c>
      <c r="I3431">
        <v>0.66257814024796902</v>
      </c>
      <c r="J3431">
        <v>0.634137537778519</v>
      </c>
      <c r="K3431">
        <v>0.51872767789482099</v>
      </c>
      <c r="L3431">
        <v>572.20135730724201</v>
      </c>
      <c r="M3431">
        <v>9.6649677729453405</v>
      </c>
      <c r="O3431">
        <v>56.8357533680676</v>
      </c>
      <c r="P3431">
        <v>-2.30425501418467E-2</v>
      </c>
      <c r="Q3431">
        <v>0.45828475892881199</v>
      </c>
      <c r="R3431">
        <v>0.90930127628129098</v>
      </c>
      <c r="S3431" t="s">
        <v>9742</v>
      </c>
      <c r="T3431" t="s">
        <v>12620</v>
      </c>
      <c r="U3431" t="s">
        <v>12620</v>
      </c>
      <c r="V3431" t="s">
        <v>12620</v>
      </c>
      <c r="W3431" t="s">
        <v>16004</v>
      </c>
      <c r="X3431">
        <v>9</v>
      </c>
      <c r="Y3431" t="s">
        <v>22143</v>
      </c>
      <c r="Z3431" t="s">
        <v>28378</v>
      </c>
      <c r="AA3431">
        <v>0.80543889274212088</v>
      </c>
      <c r="AB3431" t="str">
        <f>HYPERLINK("Melting_Curves/meltCurve_Q5JW30_STAU1.pdf", "Melting_Curves/meltCurve_Q5JW30_STAU1.pdf")</f>
        <v>Melting_Curves/meltCurve_Q5JW30_STAU1.pdf</v>
      </c>
    </row>
    <row r="3432" spans="1:28" x14ac:dyDescent="0.25">
      <c r="A3432" t="s">
        <v>3436</v>
      </c>
      <c r="B3432">
        <v>0.99987803227770999</v>
      </c>
      <c r="C3432">
        <v>0.89754539841627201</v>
      </c>
      <c r="D3432">
        <v>0.79220072479014303</v>
      </c>
      <c r="E3432">
        <v>0.69810878553846101</v>
      </c>
      <c r="F3432">
        <v>0.27869530017113298</v>
      </c>
      <c r="G3432">
        <v>0.14705184258808299</v>
      </c>
      <c r="H3432">
        <v>0.150520162006197</v>
      </c>
      <c r="I3432">
        <v>0.111668571408745</v>
      </c>
      <c r="J3432">
        <v>0.10982112826288799</v>
      </c>
      <c r="K3432">
        <v>8.7138973682619095E-2</v>
      </c>
      <c r="L3432">
        <v>887.68678610046197</v>
      </c>
      <c r="M3432">
        <v>17.599083382963599</v>
      </c>
      <c r="N3432">
        <v>50.957476642208803</v>
      </c>
      <c r="O3432">
        <v>49.801658448588903</v>
      </c>
      <c r="P3432">
        <v>-8.1112959087177305E-2</v>
      </c>
      <c r="Q3432">
        <v>8.1919947274694802E-2</v>
      </c>
      <c r="R3432">
        <v>0.97433108112542</v>
      </c>
      <c r="S3432" t="s">
        <v>9743</v>
      </c>
      <c r="T3432" t="s">
        <v>12620</v>
      </c>
      <c r="U3432" t="s">
        <v>12620</v>
      </c>
      <c r="V3432" t="s">
        <v>12620</v>
      </c>
      <c r="W3432" t="s">
        <v>16005</v>
      </c>
      <c r="X3432">
        <v>1</v>
      </c>
      <c r="Y3432" t="s">
        <v>22144</v>
      </c>
      <c r="Z3432" t="s">
        <v>28379</v>
      </c>
      <c r="AA3432">
        <v>0.41762631142489881</v>
      </c>
      <c r="AB3432" t="str">
        <f>HYPERLINK("Melting_Curves/meltCurve_Q5JYJ5_MCF2.pdf", "Melting_Curves/meltCurve_Q5JYJ5_MCF2.pdf")</f>
        <v>Melting_Curves/meltCurve_Q5JYJ5_MCF2.pdf</v>
      </c>
    </row>
    <row r="3433" spans="1:28" x14ac:dyDescent="0.25">
      <c r="A3433" t="s">
        <v>3437</v>
      </c>
      <c r="B3433">
        <v>0.99987803227770999</v>
      </c>
      <c r="C3433">
        <v>0.97702640049193201</v>
      </c>
      <c r="D3433">
        <v>0.77898024047327696</v>
      </c>
      <c r="E3433">
        <v>0.44068315692048499</v>
      </c>
      <c r="F3433">
        <v>5.5513680278893703E-2</v>
      </c>
      <c r="G3433">
        <v>3.6742373741980298E-2</v>
      </c>
      <c r="H3433">
        <v>2.14942034141417E-2</v>
      </c>
      <c r="I3433">
        <v>1.8246308377207601E-2</v>
      </c>
      <c r="J3433">
        <v>1.50517255231004E-2</v>
      </c>
      <c r="K3433">
        <v>1.20490069662224E-2</v>
      </c>
      <c r="L3433">
        <v>1184.3474526269399</v>
      </c>
      <c r="M3433">
        <v>24.212987929582901</v>
      </c>
      <c r="N3433">
        <v>48.931463258476903</v>
      </c>
      <c r="O3433">
        <v>48.583742777044101</v>
      </c>
      <c r="P3433">
        <v>-0.12405158460905701</v>
      </c>
      <c r="Q3433">
        <v>4.3693444624310403E-3</v>
      </c>
      <c r="R3433">
        <v>0.99169542284984102</v>
      </c>
      <c r="S3433" t="s">
        <v>9744</v>
      </c>
      <c r="T3433" t="s">
        <v>12620</v>
      </c>
      <c r="U3433" t="s">
        <v>12620</v>
      </c>
      <c r="V3433" t="s">
        <v>12620</v>
      </c>
      <c r="W3433" t="s">
        <v>16006</v>
      </c>
      <c r="X3433">
        <v>2</v>
      </c>
      <c r="Y3433" t="s">
        <v>22145</v>
      </c>
      <c r="Z3433" t="s">
        <v>28380</v>
      </c>
      <c r="AA3433">
        <v>0.30961559087618978</v>
      </c>
      <c r="AB3433" t="str">
        <f>HYPERLINK("Melting_Curves/meltCurve_Q5JZH3_SNX21.pdf", "Melting_Curves/meltCurve_Q5JZH3_SNX21.pdf")</f>
        <v>Melting_Curves/meltCurve_Q5JZH3_SNX21.pdf</v>
      </c>
    </row>
    <row r="3434" spans="1:28" x14ac:dyDescent="0.25">
      <c r="A3434" t="s">
        <v>3438</v>
      </c>
      <c r="B3434">
        <v>0.99987803227770999</v>
      </c>
      <c r="C3434">
        <v>1.0070793907267701</v>
      </c>
      <c r="D3434">
        <v>0.82364507925070496</v>
      </c>
      <c r="E3434">
        <v>0.82531094436661401</v>
      </c>
      <c r="F3434">
        <v>0.62647224262782997</v>
      </c>
      <c r="G3434">
        <v>0.544063481798014</v>
      </c>
      <c r="H3434">
        <v>0.49279495926501499</v>
      </c>
      <c r="I3434">
        <v>0.422214897981804</v>
      </c>
      <c r="J3434">
        <v>0.184852790748191</v>
      </c>
      <c r="K3434">
        <v>0.171159698390041</v>
      </c>
      <c r="L3434">
        <v>460.11021387705699</v>
      </c>
      <c r="M3434">
        <v>7.8680232046338796</v>
      </c>
      <c r="N3434">
        <v>58.478503008849799</v>
      </c>
      <c r="O3434">
        <v>55.062285351418701</v>
      </c>
      <c r="P3434">
        <v>-3.5766283656929201E-2</v>
      </c>
      <c r="Q3434">
        <v>0</v>
      </c>
      <c r="R3434">
        <v>0.95572386158897704</v>
      </c>
      <c r="S3434" t="s">
        <v>9745</v>
      </c>
      <c r="T3434" t="s">
        <v>12620</v>
      </c>
      <c r="U3434" t="s">
        <v>12620</v>
      </c>
      <c r="V3434" t="s">
        <v>12620</v>
      </c>
      <c r="W3434" t="s">
        <v>16007</v>
      </c>
      <c r="X3434">
        <v>2</v>
      </c>
      <c r="Y3434" t="s">
        <v>22146</v>
      </c>
      <c r="Z3434" t="s">
        <v>28381</v>
      </c>
      <c r="AA3434">
        <v>0.61462457209241683</v>
      </c>
      <c r="AB3434" t="str">
        <f>HYPERLINK("Melting_Curves/meltCurve_Q5K651_SAMD9.pdf", "Melting_Curves/meltCurve_Q5K651_SAMD9.pdf")</f>
        <v>Melting_Curves/meltCurve_Q5K651_SAMD9.pdf</v>
      </c>
    </row>
    <row r="3435" spans="1:28" x14ac:dyDescent="0.25">
      <c r="A3435" t="s">
        <v>3439</v>
      </c>
      <c r="B3435">
        <v>0.99987803227770999</v>
      </c>
      <c r="C3435">
        <v>1.0174050010345801</v>
      </c>
      <c r="D3435">
        <v>1.1997342460242599</v>
      </c>
      <c r="E3435">
        <v>0.96988138934224999</v>
      </c>
      <c r="F3435">
        <v>0.81262190236125098</v>
      </c>
      <c r="G3435">
        <v>0.58630573944902697</v>
      </c>
      <c r="H3435">
        <v>0.668923133167454</v>
      </c>
      <c r="I3435">
        <v>0.58630402353059696</v>
      </c>
      <c r="J3435">
        <v>0.59224070767716497</v>
      </c>
      <c r="K3435">
        <v>0.46571834156049202</v>
      </c>
      <c r="L3435">
        <v>2348.27536493654</v>
      </c>
      <c r="M3435">
        <v>44.0860192874337</v>
      </c>
      <c r="O3435">
        <v>53.156526079556301</v>
      </c>
      <c r="P3435">
        <v>-8.80804538612944E-2</v>
      </c>
      <c r="Q3435">
        <v>0.57519021760293199</v>
      </c>
      <c r="R3435">
        <v>0.88590821900165995</v>
      </c>
      <c r="S3435" t="s">
        <v>9746</v>
      </c>
      <c r="T3435" t="s">
        <v>12620</v>
      </c>
      <c r="U3435" t="s">
        <v>12620</v>
      </c>
      <c r="V3435" t="s">
        <v>12620</v>
      </c>
      <c r="W3435" t="s">
        <v>16008</v>
      </c>
      <c r="X3435">
        <v>1</v>
      </c>
      <c r="Y3435" t="s">
        <v>22147</v>
      </c>
      <c r="Z3435" t="s">
        <v>28382</v>
      </c>
      <c r="AA3435">
        <v>0.76432284297928033</v>
      </c>
      <c r="AB3435" t="str">
        <f>HYPERLINK("Melting_Curves/meltCurve_Q5KSL6_DGKK.pdf", "Melting_Curves/meltCurve_Q5KSL6_DGKK.pdf")</f>
        <v>Melting_Curves/meltCurve_Q5KSL6_DGKK.pdf</v>
      </c>
    </row>
    <row r="3436" spans="1:28" x14ac:dyDescent="0.25">
      <c r="A3436" t="s">
        <v>3440</v>
      </c>
      <c r="B3436">
        <v>0.99987803227770999</v>
      </c>
      <c r="C3436">
        <v>0.91584275128871395</v>
      </c>
      <c r="D3436">
        <v>1.0084595127598299</v>
      </c>
      <c r="E3436">
        <v>0.87839636008571598</v>
      </c>
      <c r="F3436">
        <v>0.91109184846802405</v>
      </c>
      <c r="G3436">
        <v>0.73791248867482695</v>
      </c>
      <c r="H3436">
        <v>0.84761512747071099</v>
      </c>
      <c r="I3436">
        <v>0.75255070639510702</v>
      </c>
      <c r="J3436">
        <v>0.75460343200637603</v>
      </c>
      <c r="K3436">
        <v>0.63430432438832995</v>
      </c>
      <c r="L3436">
        <v>278.53762232905899</v>
      </c>
      <c r="M3436">
        <v>3.2533725089694499</v>
      </c>
      <c r="O3436">
        <v>65.238816690496407</v>
      </c>
      <c r="P3436">
        <v>-1.27708906390437E-2</v>
      </c>
      <c r="Q3436">
        <v>0</v>
      </c>
      <c r="R3436">
        <v>0.80815603912151401</v>
      </c>
      <c r="S3436" t="s">
        <v>9747</v>
      </c>
      <c r="T3436" t="s">
        <v>12620</v>
      </c>
      <c r="U3436" t="s">
        <v>12620</v>
      </c>
      <c r="V3436" t="s">
        <v>12620</v>
      </c>
      <c r="W3436" t="s">
        <v>16009</v>
      </c>
      <c r="X3436">
        <v>24</v>
      </c>
      <c r="Y3436" t="s">
        <v>22148</v>
      </c>
      <c r="Z3436" t="s">
        <v>28383</v>
      </c>
      <c r="AA3436">
        <v>0.8475992388288075</v>
      </c>
      <c r="AB3436" t="str">
        <f>HYPERLINK("Melting_Curves/meltCurve_Q5M775_SPECC1.pdf", "Melting_Curves/meltCurve_Q5M775_SPECC1.pdf")</f>
        <v>Melting_Curves/meltCurve_Q5M775_SPECC1.pdf</v>
      </c>
    </row>
    <row r="3437" spans="1:28" x14ac:dyDescent="0.25">
      <c r="A3437" t="s">
        <v>3441</v>
      </c>
      <c r="B3437">
        <v>0.99987803227770999</v>
      </c>
      <c r="C3437">
        <v>1.0503861805696799</v>
      </c>
      <c r="D3437">
        <v>0.84850393913043598</v>
      </c>
      <c r="E3437">
        <v>0.68388229186960303</v>
      </c>
      <c r="F3437">
        <v>0.33286396217931702</v>
      </c>
      <c r="G3437">
        <v>0.22940379416029799</v>
      </c>
      <c r="H3437">
        <v>0.17122419052832599</v>
      </c>
      <c r="I3437">
        <v>0.16532216481738099</v>
      </c>
      <c r="J3437">
        <v>0.13623044639717799</v>
      </c>
      <c r="K3437">
        <v>0.108477165193719</v>
      </c>
      <c r="L3437">
        <v>1083.3543666589901</v>
      </c>
      <c r="M3437">
        <v>21.3607769476309</v>
      </c>
      <c r="N3437">
        <v>51.475112244536</v>
      </c>
      <c r="O3437">
        <v>50.278754039450497</v>
      </c>
      <c r="P3437">
        <v>-9.1880047722886604E-2</v>
      </c>
      <c r="Q3437">
        <v>0.13495655943408999</v>
      </c>
      <c r="R3437">
        <v>0.98816069196791401</v>
      </c>
      <c r="S3437" t="s">
        <v>9748</v>
      </c>
      <c r="T3437" t="s">
        <v>12620</v>
      </c>
      <c r="U3437" t="s">
        <v>12620</v>
      </c>
      <c r="V3437" t="s">
        <v>12620</v>
      </c>
      <c r="W3437" t="s">
        <v>16010</v>
      </c>
      <c r="X3437">
        <v>14</v>
      </c>
      <c r="Y3437" t="s">
        <v>22149</v>
      </c>
      <c r="Z3437" t="s">
        <v>28384</v>
      </c>
      <c r="AA3437">
        <v>0.4545752261519127</v>
      </c>
      <c r="AB3437" t="str">
        <f>HYPERLINK("Melting_Curves/meltCurve_Q5MIZ7_2_SMEK2.pdf", "Melting_Curves/meltCurve_Q5MIZ7_2_SMEK2.pdf")</f>
        <v>Melting_Curves/meltCurve_Q5MIZ7_2_SMEK2.pdf</v>
      </c>
    </row>
    <row r="3438" spans="1:28" x14ac:dyDescent="0.25">
      <c r="A3438" t="s">
        <v>3442</v>
      </c>
      <c r="B3438">
        <v>0.99987803227770999</v>
      </c>
      <c r="C3438">
        <v>0.91282786385299497</v>
      </c>
      <c r="D3438">
        <v>1.0370551378330699</v>
      </c>
      <c r="E3438">
        <v>0.918627178344819</v>
      </c>
      <c r="F3438">
        <v>1.03625965732333</v>
      </c>
      <c r="G3438">
        <v>0.89874810470660105</v>
      </c>
      <c r="H3438">
        <v>0.72983515719917103</v>
      </c>
      <c r="I3438">
        <v>0.57970541741038495</v>
      </c>
      <c r="J3438">
        <v>0.27422116455120599</v>
      </c>
      <c r="K3438">
        <v>0.107267285621233</v>
      </c>
      <c r="L3438">
        <v>1398.07475320652</v>
      </c>
      <c r="M3438">
        <v>21.765999946664799</v>
      </c>
      <c r="N3438">
        <v>64.232029892610797</v>
      </c>
      <c r="O3438">
        <v>63.697259057922103</v>
      </c>
      <c r="P3438">
        <v>-8.5429553697943805E-2</v>
      </c>
      <c r="Q3438">
        <v>0</v>
      </c>
      <c r="R3438">
        <v>0.97415518119802302</v>
      </c>
      <c r="S3438" t="s">
        <v>9749</v>
      </c>
      <c r="T3438" t="s">
        <v>12620</v>
      </c>
      <c r="U3438" t="s">
        <v>12620</v>
      </c>
      <c r="V3438" t="s">
        <v>12620</v>
      </c>
      <c r="W3438" t="s">
        <v>16011</v>
      </c>
      <c r="X3438">
        <v>10</v>
      </c>
      <c r="Y3438" t="s">
        <v>22150</v>
      </c>
      <c r="Z3438" t="s">
        <v>28385</v>
      </c>
      <c r="AA3438">
        <v>0.8028524125404346</v>
      </c>
      <c r="AB3438" t="str">
        <f>HYPERLINK("Melting_Curves/meltCurve_Q5MNZ6_WDR45B.pdf", "Melting_Curves/meltCurve_Q5MNZ6_WDR45B.pdf")</f>
        <v>Melting_Curves/meltCurve_Q5MNZ6_WDR45B.pdf</v>
      </c>
    </row>
    <row r="3439" spans="1:28" x14ac:dyDescent="0.25">
      <c r="A3439" t="s">
        <v>3443</v>
      </c>
      <c r="B3439">
        <v>0.99987803227770999</v>
      </c>
      <c r="C3439">
        <v>0.98370770959784903</v>
      </c>
      <c r="D3439">
        <v>0.97495404294192201</v>
      </c>
      <c r="E3439">
        <v>0.94849567566181703</v>
      </c>
      <c r="F3439">
        <v>0.56152198578745605</v>
      </c>
      <c r="G3439">
        <v>0.18096511198324899</v>
      </c>
      <c r="H3439">
        <v>8.1456947424238299E-2</v>
      </c>
      <c r="I3439">
        <v>6.7103863417118298E-2</v>
      </c>
      <c r="J3439">
        <v>4.87613728149267E-2</v>
      </c>
      <c r="K3439">
        <v>2.90778289475465E-2</v>
      </c>
      <c r="L3439">
        <v>1774.07942446722</v>
      </c>
      <c r="M3439">
        <v>33.230839352509598</v>
      </c>
      <c r="N3439">
        <v>53.574881155779899</v>
      </c>
      <c r="O3439">
        <v>53.194319765558497</v>
      </c>
      <c r="P3439">
        <v>-0.14756727034074801</v>
      </c>
      <c r="Q3439">
        <v>5.5129957687134898E-2</v>
      </c>
      <c r="R3439">
        <v>0.99767430851218997</v>
      </c>
      <c r="S3439" t="s">
        <v>9750</v>
      </c>
      <c r="T3439" t="s">
        <v>12620</v>
      </c>
      <c r="U3439" t="s">
        <v>12620</v>
      </c>
      <c r="V3439" t="s">
        <v>12620</v>
      </c>
      <c r="W3439" t="s">
        <v>16012</v>
      </c>
      <c r="X3439">
        <v>6</v>
      </c>
      <c r="Y3439" t="s">
        <v>22151</v>
      </c>
      <c r="Z3439" t="s">
        <v>28386</v>
      </c>
      <c r="AA3439">
        <v>0.48178652656550491</v>
      </c>
      <c r="AB3439" t="str">
        <f>HYPERLINK("Melting_Curves/meltCurve_Q5NDL2_EOGT.pdf", "Melting_Curves/meltCurve_Q5NDL2_EOGT.pdf")</f>
        <v>Melting_Curves/meltCurve_Q5NDL2_EOGT.pdf</v>
      </c>
    </row>
    <row r="3440" spans="1:28" x14ac:dyDescent="0.25">
      <c r="A3440" t="s">
        <v>3444</v>
      </c>
      <c r="B3440">
        <v>0.99987803227770999</v>
      </c>
      <c r="C3440">
        <v>0.86680814827660502</v>
      </c>
      <c r="D3440">
        <v>0.90620754248496305</v>
      </c>
      <c r="E3440">
        <v>0.42041323216294002</v>
      </c>
      <c r="F3440">
        <v>0.21207256633826299</v>
      </c>
      <c r="G3440">
        <v>0.13106028359675201</v>
      </c>
      <c r="H3440">
        <v>9.7288984081967303E-2</v>
      </c>
      <c r="I3440">
        <v>9.1522138789793206E-2</v>
      </c>
      <c r="J3440">
        <v>7.3342214870624797E-2</v>
      </c>
      <c r="K3440">
        <v>5.3976335918444501E-2</v>
      </c>
      <c r="L3440">
        <v>1217.6398631919601</v>
      </c>
      <c r="M3440">
        <v>24.788813813196501</v>
      </c>
      <c r="N3440">
        <v>49.468937637593498</v>
      </c>
      <c r="O3440">
        <v>48.804226553089102</v>
      </c>
      <c r="P3440">
        <v>-0.116811901748817</v>
      </c>
      <c r="Q3440">
        <v>8.0095770054046694E-2</v>
      </c>
      <c r="R3440">
        <v>0.98800350972081796</v>
      </c>
      <c r="S3440" t="s">
        <v>9751</v>
      </c>
      <c r="T3440" t="s">
        <v>12620</v>
      </c>
      <c r="U3440" t="s">
        <v>12620</v>
      </c>
      <c r="V3440" t="s">
        <v>12620</v>
      </c>
      <c r="W3440" t="s">
        <v>16013</v>
      </c>
      <c r="X3440">
        <v>3</v>
      </c>
      <c r="Y3440" t="s">
        <v>22152</v>
      </c>
      <c r="Z3440" t="s">
        <v>28387</v>
      </c>
      <c r="AA3440">
        <v>0.36806482195830331</v>
      </c>
      <c r="AB3440" t="str">
        <f>HYPERLINK("Melting_Curves/meltCurve_Q5QJ74_TBCEL.pdf", "Melting_Curves/meltCurve_Q5QJ74_TBCEL.pdf")</f>
        <v>Melting_Curves/meltCurve_Q5QJ74_TBCEL.pdf</v>
      </c>
    </row>
    <row r="3441" spans="1:28" x14ac:dyDescent="0.25">
      <c r="A3441" t="s">
        <v>3445</v>
      </c>
      <c r="B3441">
        <v>0.99987803227770999</v>
      </c>
      <c r="C3441">
        <v>0.85201573550416898</v>
      </c>
      <c r="D3441">
        <v>0.94610935634353599</v>
      </c>
      <c r="E3441">
        <v>0.78397351590879505</v>
      </c>
      <c r="F3441">
        <v>0.89787833862025801</v>
      </c>
      <c r="G3441">
        <v>0.841204927724713</v>
      </c>
      <c r="H3441">
        <v>0.82037329775613499</v>
      </c>
      <c r="I3441">
        <v>0.860465424484396</v>
      </c>
      <c r="J3441">
        <v>0.84357878927891505</v>
      </c>
      <c r="K3441">
        <v>0.72861588266809296</v>
      </c>
      <c r="L3441">
        <v>289.72968935530901</v>
      </c>
      <c r="M3441">
        <v>6.1298247944832402</v>
      </c>
      <c r="O3441">
        <v>42.976727868606098</v>
      </c>
      <c r="P3441">
        <v>-8.0019758249998199E-3</v>
      </c>
      <c r="Q3441">
        <v>0.77626100916968699</v>
      </c>
      <c r="R3441">
        <v>0.46405725473332798</v>
      </c>
      <c r="S3441" t="s">
        <v>9752</v>
      </c>
      <c r="T3441" t="s">
        <v>12620</v>
      </c>
      <c r="U3441" t="s">
        <v>12620</v>
      </c>
      <c r="V3441" t="s">
        <v>12620</v>
      </c>
      <c r="W3441" t="s">
        <v>16014</v>
      </c>
      <c r="X3441">
        <v>6</v>
      </c>
      <c r="Y3441" t="s">
        <v>22153</v>
      </c>
      <c r="Z3441" t="s">
        <v>28388</v>
      </c>
      <c r="AA3441">
        <v>0.85410239234808638</v>
      </c>
      <c r="AB3441" t="str">
        <f>HYPERLINK("Melting_Curves/meltCurve_Q5QJE6_DNTTIP2.pdf", "Melting_Curves/meltCurve_Q5QJE6_DNTTIP2.pdf")</f>
        <v>Melting_Curves/meltCurve_Q5QJE6_DNTTIP2.pdf</v>
      </c>
    </row>
    <row r="3442" spans="1:28" x14ac:dyDescent="0.25">
      <c r="A3442" t="s">
        <v>3446</v>
      </c>
      <c r="B3442">
        <v>0.99987803227770999</v>
      </c>
      <c r="C3442">
        <v>0.86417304746548596</v>
      </c>
      <c r="D3442">
        <v>1.0096236533568601</v>
      </c>
      <c r="E3442">
        <v>0.90177565145487004</v>
      </c>
      <c r="F3442">
        <v>1.08756839868471</v>
      </c>
      <c r="G3442">
        <v>1.0027185698397401</v>
      </c>
      <c r="H3442">
        <v>0.94975120466859897</v>
      </c>
      <c r="I3442">
        <v>1.2246827520203301</v>
      </c>
      <c r="J3442">
        <v>0.90633181549293096</v>
      </c>
      <c r="K3442">
        <v>0.73462569998597205</v>
      </c>
      <c r="L3442">
        <v>15000</v>
      </c>
      <c r="M3442">
        <v>223.27412237131401</v>
      </c>
      <c r="O3442">
        <v>67.176600851414904</v>
      </c>
      <c r="P3442">
        <v>-0.22053447120571401</v>
      </c>
      <c r="Q3442">
        <v>0.73459071852032698</v>
      </c>
      <c r="R3442">
        <v>0.43715481318404298</v>
      </c>
      <c r="S3442" t="s">
        <v>9753</v>
      </c>
      <c r="T3442" t="s">
        <v>12620</v>
      </c>
      <c r="U3442" t="s">
        <v>12620</v>
      </c>
      <c r="V3442" t="s">
        <v>12620</v>
      </c>
      <c r="W3442" t="s">
        <v>16015</v>
      </c>
      <c r="X3442">
        <v>11</v>
      </c>
      <c r="Y3442" t="s">
        <v>22154</v>
      </c>
      <c r="Z3442" t="s">
        <v>28389</v>
      </c>
      <c r="AA3442">
        <v>0.97510800916281448</v>
      </c>
      <c r="AB3442" t="str">
        <f>HYPERLINK("Melting_Curves/meltCurve_Q5QNY5_PEX19.pdf", "Melting_Curves/meltCurve_Q5QNY5_PEX19.pdf")</f>
        <v>Melting_Curves/meltCurve_Q5QNY5_PEX19.pdf</v>
      </c>
    </row>
    <row r="3443" spans="1:28" x14ac:dyDescent="0.25">
      <c r="A3443" t="s">
        <v>3447</v>
      </c>
      <c r="B3443">
        <v>0.99987803227770999</v>
      </c>
      <c r="C3443">
        <v>0.87408468692578101</v>
      </c>
      <c r="D3443">
        <v>0.97188362337710699</v>
      </c>
      <c r="E3443">
        <v>0.81521953975009598</v>
      </c>
      <c r="F3443">
        <v>0.88604161004771298</v>
      </c>
      <c r="G3443">
        <v>0.56014633126393998</v>
      </c>
      <c r="H3443">
        <v>0.56592603807475705</v>
      </c>
      <c r="I3443">
        <v>0.50649344164708998</v>
      </c>
      <c r="J3443">
        <v>0.33867327244608902</v>
      </c>
      <c r="K3443">
        <v>0.26743472095930998</v>
      </c>
      <c r="L3443">
        <v>470.07535582164098</v>
      </c>
      <c r="M3443">
        <v>7.5739266527251203</v>
      </c>
      <c r="N3443">
        <v>62.064946425268502</v>
      </c>
      <c r="O3443">
        <v>58.181185155646098</v>
      </c>
      <c r="P3443">
        <v>-3.2589689421898001E-2</v>
      </c>
      <c r="Q3443">
        <v>0</v>
      </c>
      <c r="R3443">
        <v>0.936888475718195</v>
      </c>
      <c r="S3443" t="s">
        <v>9754</v>
      </c>
      <c r="T3443" t="s">
        <v>12620</v>
      </c>
      <c r="U3443" t="s">
        <v>12620</v>
      </c>
      <c r="V3443" t="s">
        <v>12620</v>
      </c>
      <c r="W3443" t="s">
        <v>16016</v>
      </c>
      <c r="X3443">
        <v>4</v>
      </c>
      <c r="Y3443" t="s">
        <v>22155</v>
      </c>
      <c r="Z3443" t="s">
        <v>28390</v>
      </c>
      <c r="AA3443">
        <v>0.69359611341788374</v>
      </c>
      <c r="AB3443" t="str">
        <f>HYPERLINK("Melting_Curves/meltCurve_Q5QP56_BCL2L1.pdf", "Melting_Curves/meltCurve_Q5QP56_BCL2L1.pdf")</f>
        <v>Melting_Curves/meltCurve_Q5QP56_BCL2L1.pdf</v>
      </c>
    </row>
    <row r="3444" spans="1:28" x14ac:dyDescent="0.25">
      <c r="A3444" t="s">
        <v>3448</v>
      </c>
      <c r="B3444">
        <v>0.99987803227770999</v>
      </c>
      <c r="C3444">
        <v>1.1126862246320799</v>
      </c>
      <c r="D3444">
        <v>1.12770132997981</v>
      </c>
      <c r="E3444">
        <v>1.1689750571637301</v>
      </c>
      <c r="F3444">
        <v>0.86952522727630399</v>
      </c>
      <c r="G3444">
        <v>0.71575504669442902</v>
      </c>
      <c r="H3444">
        <v>0.51219447692011699</v>
      </c>
      <c r="I3444">
        <v>0.455448877004488</v>
      </c>
      <c r="J3444">
        <v>0.32494656495138302</v>
      </c>
      <c r="K3444">
        <v>0.27248444351205298</v>
      </c>
      <c r="L3444">
        <v>1155.45756747837</v>
      </c>
      <c r="M3444">
        <v>19.643132143913199</v>
      </c>
      <c r="N3444">
        <v>61.287727350383697</v>
      </c>
      <c r="O3444">
        <v>58.223009772511602</v>
      </c>
      <c r="P3444">
        <v>-6.1311414187237602E-2</v>
      </c>
      <c r="Q3444">
        <v>0.273107721268946</v>
      </c>
      <c r="R3444">
        <v>0.93056912834039296</v>
      </c>
      <c r="S3444" t="s">
        <v>9755</v>
      </c>
      <c r="T3444" t="s">
        <v>12620</v>
      </c>
      <c r="U3444" t="s">
        <v>12620</v>
      </c>
      <c r="V3444" t="s">
        <v>12620</v>
      </c>
      <c r="W3444" t="s">
        <v>16017</v>
      </c>
      <c r="X3444">
        <v>7</v>
      </c>
      <c r="Y3444" t="s">
        <v>22156</v>
      </c>
      <c r="Z3444" t="s">
        <v>28391</v>
      </c>
      <c r="AA3444">
        <v>0.73676683849155189</v>
      </c>
      <c r="AB3444" t="str">
        <f>HYPERLINK("Melting_Curves/meltCurve_Q5QP82_DCAF10.pdf", "Melting_Curves/meltCurve_Q5QP82_DCAF10.pdf")</f>
        <v>Melting_Curves/meltCurve_Q5QP82_DCAF10.pdf</v>
      </c>
    </row>
    <row r="3445" spans="1:28" x14ac:dyDescent="0.25">
      <c r="A3445" t="s">
        <v>3449</v>
      </c>
      <c r="B3445">
        <v>0.99987803227770999</v>
      </c>
      <c r="C3445">
        <v>0.89923828316642496</v>
      </c>
      <c r="D3445">
        <v>1.0304208514173301</v>
      </c>
      <c r="E3445">
        <v>0.82401550762602604</v>
      </c>
      <c r="F3445">
        <v>0.76884122686932999</v>
      </c>
      <c r="G3445">
        <v>0.46481339796339899</v>
      </c>
      <c r="H3445">
        <v>0.35531196296954898</v>
      </c>
      <c r="I3445">
        <v>0.34917828543809498</v>
      </c>
      <c r="J3445">
        <v>0.30253916065483299</v>
      </c>
      <c r="K3445">
        <v>0.23976356173366101</v>
      </c>
      <c r="L3445">
        <v>924.95411965046299</v>
      </c>
      <c r="M3445">
        <v>16.941351295760501</v>
      </c>
      <c r="N3445">
        <v>56.996842657028999</v>
      </c>
      <c r="O3445">
        <v>53.853738176651902</v>
      </c>
      <c r="P3445">
        <v>-5.8597495153531298E-2</v>
      </c>
      <c r="Q3445">
        <v>0.25496012098465298</v>
      </c>
      <c r="R3445">
        <v>0.97591038204476699</v>
      </c>
      <c r="S3445" t="s">
        <v>9756</v>
      </c>
      <c r="T3445" t="s">
        <v>12620</v>
      </c>
      <c r="U3445" t="s">
        <v>12620</v>
      </c>
      <c r="V3445" t="s">
        <v>12620</v>
      </c>
      <c r="W3445" t="s">
        <v>16018</v>
      </c>
      <c r="X3445">
        <v>2</v>
      </c>
      <c r="Y3445" t="s">
        <v>22157</v>
      </c>
      <c r="Z3445" t="s">
        <v>28392</v>
      </c>
      <c r="AA3445">
        <v>0.63019135543355087</v>
      </c>
      <c r="AB3445" t="str">
        <f>HYPERLINK("Melting_Curves/meltCurve_Q5QPL9_RALY.pdf", "Melting_Curves/meltCurve_Q5QPL9_RALY.pdf")</f>
        <v>Melting_Curves/meltCurve_Q5QPL9_RALY.pdf</v>
      </c>
    </row>
    <row r="3446" spans="1:28" x14ac:dyDescent="0.25">
      <c r="A3446" t="s">
        <v>3450</v>
      </c>
      <c r="B3446">
        <v>0.99987803227770999</v>
      </c>
      <c r="C3446">
        <v>0.89939416202737499</v>
      </c>
      <c r="D3446">
        <v>1.00945780414491</v>
      </c>
      <c r="E3446">
        <v>0.82625498628335603</v>
      </c>
      <c r="F3446">
        <v>0.97014354686225002</v>
      </c>
      <c r="G3446">
        <v>0.72985806061126801</v>
      </c>
      <c r="H3446">
        <v>0.39834831781680002</v>
      </c>
      <c r="I3446">
        <v>0.20331045813753401</v>
      </c>
      <c r="J3446">
        <v>0.131864143237055</v>
      </c>
      <c r="K3446">
        <v>9.7345113697729399E-2</v>
      </c>
      <c r="L3446">
        <v>1228.9012936633101</v>
      </c>
      <c r="M3446">
        <v>20.6863062242765</v>
      </c>
      <c r="N3446">
        <v>59.688841231002399</v>
      </c>
      <c r="O3446">
        <v>58.8597021545676</v>
      </c>
      <c r="P3446">
        <v>-8.3770325726487696E-2</v>
      </c>
      <c r="Q3446">
        <v>4.6604730960719001E-2</v>
      </c>
      <c r="R3446">
        <v>0.97157305140618799</v>
      </c>
      <c r="S3446" t="s">
        <v>9757</v>
      </c>
      <c r="T3446" t="s">
        <v>12620</v>
      </c>
      <c r="U3446" t="s">
        <v>12620</v>
      </c>
      <c r="V3446" t="s">
        <v>12620</v>
      </c>
      <c r="W3446" t="s">
        <v>16019</v>
      </c>
      <c r="X3446">
        <v>13</v>
      </c>
      <c r="Y3446" t="s">
        <v>22158</v>
      </c>
      <c r="Z3446" t="s">
        <v>28393</v>
      </c>
      <c r="AA3446">
        <v>0.67217951710390544</v>
      </c>
      <c r="AB3446" t="str">
        <f>HYPERLINK("Melting_Curves/meltCurve_Q5QPM7_PSMF1.pdf", "Melting_Curves/meltCurve_Q5QPM7_PSMF1.pdf")</f>
        <v>Melting_Curves/meltCurve_Q5QPM7_PSMF1.pdf</v>
      </c>
    </row>
    <row r="3447" spans="1:28" x14ac:dyDescent="0.25">
      <c r="A3447" t="s">
        <v>3451</v>
      </c>
      <c r="B3447">
        <v>0.99987803227770999</v>
      </c>
      <c r="C3447">
        <v>1.02693958612956</v>
      </c>
      <c r="D3447">
        <v>1.0165698698830199</v>
      </c>
      <c r="E3447">
        <v>0.96796008060000605</v>
      </c>
      <c r="F3447">
        <v>0.66172184454176097</v>
      </c>
      <c r="G3447">
        <v>0.40029290434037901</v>
      </c>
      <c r="H3447">
        <v>0.27113246390151602</v>
      </c>
      <c r="I3447">
        <v>0.21561199653017299</v>
      </c>
      <c r="J3447">
        <v>0.19485647735189399</v>
      </c>
      <c r="K3447">
        <v>0.13280706437048101</v>
      </c>
      <c r="L3447">
        <v>1259.60264272984</v>
      </c>
      <c r="M3447">
        <v>23.150479073129802</v>
      </c>
      <c r="N3447">
        <v>55.454781025665703</v>
      </c>
      <c r="O3447">
        <v>54.008254738380003</v>
      </c>
      <c r="P3447">
        <v>-8.8213987497478205E-2</v>
      </c>
      <c r="Q3447">
        <v>0.17682973546099001</v>
      </c>
      <c r="R3447">
        <v>0.99118474714012095</v>
      </c>
      <c r="S3447" t="s">
        <v>9758</v>
      </c>
      <c r="T3447" t="s">
        <v>12620</v>
      </c>
      <c r="U3447" t="s">
        <v>12620</v>
      </c>
      <c r="V3447" t="s">
        <v>12620</v>
      </c>
      <c r="W3447" t="s">
        <v>16020</v>
      </c>
      <c r="X3447">
        <v>9</v>
      </c>
      <c r="Y3447" t="s">
        <v>22159</v>
      </c>
      <c r="Z3447" t="s">
        <v>28394</v>
      </c>
      <c r="AA3447">
        <v>0.58093536176121097</v>
      </c>
      <c r="AB3447" t="str">
        <f>HYPERLINK("Melting_Curves/meltCurve_Q5R372_4_RABGAP1L.pdf", "Melting_Curves/meltCurve_Q5R372_4_RABGAP1L.pdf")</f>
        <v>Melting_Curves/meltCurve_Q5R372_4_RABGAP1L.pdf</v>
      </c>
    </row>
    <row r="3448" spans="1:28" x14ac:dyDescent="0.25">
      <c r="A3448" t="s">
        <v>3452</v>
      </c>
      <c r="B3448">
        <v>0.99987803227770999</v>
      </c>
      <c r="C3448">
        <v>0.76955102685777399</v>
      </c>
      <c r="D3448">
        <v>0.685803028820274</v>
      </c>
      <c r="E3448">
        <v>0.61673011504940201</v>
      </c>
      <c r="F3448">
        <v>0.677867660463218</v>
      </c>
      <c r="G3448">
        <v>0.61805393059246705</v>
      </c>
      <c r="H3448">
        <v>0.62646408548638299</v>
      </c>
      <c r="I3448">
        <v>0.66096782979459001</v>
      </c>
      <c r="J3448">
        <v>0.48671650695883001</v>
      </c>
      <c r="K3448">
        <v>0.412658361135747</v>
      </c>
      <c r="L3448">
        <v>466.60716466332502</v>
      </c>
      <c r="M3448">
        <v>10.392168548478899</v>
      </c>
      <c r="O3448">
        <v>43.3327575211351</v>
      </c>
      <c r="P3448">
        <v>-2.7886167884213602E-2</v>
      </c>
      <c r="Q3448">
        <v>0.53508167240867699</v>
      </c>
      <c r="R3448">
        <v>0.73331909443809395</v>
      </c>
      <c r="S3448" t="s">
        <v>9759</v>
      </c>
      <c r="T3448" t="s">
        <v>12620</v>
      </c>
      <c r="U3448" t="s">
        <v>12620</v>
      </c>
      <c r="V3448" t="s">
        <v>12620</v>
      </c>
      <c r="W3448" t="s">
        <v>16021</v>
      </c>
      <c r="X3448">
        <v>6</v>
      </c>
      <c r="Y3448" t="s">
        <v>22160</v>
      </c>
      <c r="Z3448" t="s">
        <v>28395</v>
      </c>
      <c r="AA3448">
        <v>0.64122335360153793</v>
      </c>
      <c r="AB3448" t="str">
        <f>HYPERLINK("Melting_Curves/meltCurve_Q5RGS4_PLEKHA1.pdf", "Melting_Curves/meltCurve_Q5RGS4_PLEKHA1.pdf")</f>
        <v>Melting_Curves/meltCurve_Q5RGS4_PLEKHA1.pdf</v>
      </c>
    </row>
    <row r="3449" spans="1:28" x14ac:dyDescent="0.25">
      <c r="A3449" t="s">
        <v>3453</v>
      </c>
      <c r="B3449">
        <v>0.99987803227770999</v>
      </c>
      <c r="C3449">
        <v>0.991795983237443</v>
      </c>
      <c r="D3449">
        <v>0.89405660412742505</v>
      </c>
      <c r="E3449">
        <v>0.58625340300970097</v>
      </c>
      <c r="F3449">
        <v>0.51464620122250604</v>
      </c>
      <c r="G3449">
        <v>0.39264169216669897</v>
      </c>
      <c r="H3449">
        <v>0.21581378689921801</v>
      </c>
      <c r="I3449">
        <v>0.19216673082889801</v>
      </c>
      <c r="J3449">
        <v>0.156170065150671</v>
      </c>
      <c r="K3449">
        <v>0.13387872664511</v>
      </c>
      <c r="L3449">
        <v>658.13513827132101</v>
      </c>
      <c r="M3449">
        <v>12.6492856273137</v>
      </c>
      <c r="N3449">
        <v>53.100780806459603</v>
      </c>
      <c r="O3449">
        <v>50.780451338830503</v>
      </c>
      <c r="P3449">
        <v>-5.52717399135133E-2</v>
      </c>
      <c r="Q3449">
        <v>0.11262261194265399</v>
      </c>
      <c r="R3449">
        <v>0.98660323495061797</v>
      </c>
      <c r="S3449" t="s">
        <v>9760</v>
      </c>
      <c r="T3449" t="s">
        <v>12620</v>
      </c>
      <c r="U3449" t="s">
        <v>12620</v>
      </c>
      <c r="V3449" t="s">
        <v>12620</v>
      </c>
      <c r="W3449" t="s">
        <v>16022</v>
      </c>
      <c r="X3449">
        <v>5</v>
      </c>
      <c r="Y3449" t="s">
        <v>22161</v>
      </c>
      <c r="Z3449" t="s">
        <v>28396</v>
      </c>
      <c r="AA3449">
        <v>0.49374139545472823</v>
      </c>
      <c r="AB3449" t="str">
        <f>HYPERLINK("Melting_Curves/meltCurve_Q5RIB3_CBWD5.pdf", "Melting_Curves/meltCurve_Q5RIB3_CBWD5.pdf")</f>
        <v>Melting_Curves/meltCurve_Q5RIB3_CBWD5.pdf</v>
      </c>
    </row>
    <row r="3450" spans="1:28" x14ac:dyDescent="0.25">
      <c r="A3450" t="s">
        <v>3454</v>
      </c>
      <c r="B3450">
        <v>0.99987803227770999</v>
      </c>
      <c r="C3450">
        <v>1.1788979637972199</v>
      </c>
      <c r="D3450">
        <v>1.16744960117491</v>
      </c>
      <c r="E3450">
        <v>1.58406752833624</v>
      </c>
      <c r="F3450">
        <v>1.4156676658220899</v>
      </c>
      <c r="G3450">
        <v>0.96445179748296905</v>
      </c>
      <c r="H3450">
        <v>0.65073728769595696</v>
      </c>
      <c r="I3450">
        <v>0.29325957051083001</v>
      </c>
      <c r="J3450">
        <v>0.154631291133004</v>
      </c>
      <c r="K3450">
        <v>0.108032695574229</v>
      </c>
      <c r="L3450">
        <v>2481.2400567182699</v>
      </c>
      <c r="M3450">
        <v>40.199584465853</v>
      </c>
      <c r="N3450">
        <v>62.114670830752303</v>
      </c>
      <c r="O3450">
        <v>61.570858396546697</v>
      </c>
      <c r="P3450">
        <v>-0.144953100097162</v>
      </c>
      <c r="Q3450">
        <v>0.11194393698413301</v>
      </c>
      <c r="R3450">
        <v>0.76863543086743202</v>
      </c>
      <c r="S3450" t="s">
        <v>9761</v>
      </c>
      <c r="T3450" t="s">
        <v>12620</v>
      </c>
      <c r="U3450" t="s">
        <v>12620</v>
      </c>
      <c r="V3450" t="s">
        <v>12620</v>
      </c>
      <c r="W3450" t="s">
        <v>16023</v>
      </c>
      <c r="X3450">
        <v>8</v>
      </c>
      <c r="Y3450" t="s">
        <v>22162</v>
      </c>
      <c r="Z3450" t="s">
        <v>28397</v>
      </c>
      <c r="AA3450">
        <v>0.75820519228944849</v>
      </c>
      <c r="AB3450" t="str">
        <f>HYPERLINK("Melting_Curves/meltCurve_Q5RKV6_EXOSC6.pdf", "Melting_Curves/meltCurve_Q5RKV6_EXOSC6.pdf")</f>
        <v>Melting_Curves/meltCurve_Q5RKV6_EXOSC6.pdf</v>
      </c>
    </row>
    <row r="3451" spans="1:28" x14ac:dyDescent="0.25">
      <c r="A3451" t="s">
        <v>3455</v>
      </c>
      <c r="B3451">
        <v>0.99987803227770999</v>
      </c>
      <c r="C3451">
        <v>1.0883113688113999</v>
      </c>
      <c r="D3451">
        <v>1.02579007489799</v>
      </c>
      <c r="E3451">
        <v>1.2270786627616701</v>
      </c>
      <c r="F3451">
        <v>1.07015633838039</v>
      </c>
      <c r="G3451">
        <v>1.28574014001123</v>
      </c>
      <c r="H3451">
        <v>1.22911180360099</v>
      </c>
      <c r="I3451">
        <v>1.0415742496604701</v>
      </c>
      <c r="J3451">
        <v>0.82694754847560703</v>
      </c>
      <c r="K3451">
        <v>0.64876918649607596</v>
      </c>
      <c r="L3451">
        <v>15000</v>
      </c>
      <c r="M3451">
        <v>223.851211433072</v>
      </c>
      <c r="O3451">
        <v>67.003442574583204</v>
      </c>
      <c r="P3451">
        <v>-0.29337743741311001</v>
      </c>
      <c r="Q3451">
        <v>0.64874347726834503</v>
      </c>
      <c r="R3451">
        <v>0.39959313233883598</v>
      </c>
      <c r="S3451" t="s">
        <v>9762</v>
      </c>
      <c r="T3451" t="s">
        <v>12620</v>
      </c>
      <c r="U3451" t="s">
        <v>12620</v>
      </c>
      <c r="V3451" t="s">
        <v>12620</v>
      </c>
      <c r="W3451" t="s">
        <v>16024</v>
      </c>
      <c r="X3451">
        <v>29</v>
      </c>
      <c r="Y3451" t="s">
        <v>22163</v>
      </c>
      <c r="Z3451" t="s">
        <v>28398</v>
      </c>
      <c r="AA3451">
        <v>0.96502858160068783</v>
      </c>
      <c r="AB3451" t="str">
        <f>HYPERLINK("Melting_Curves/meltCurve_Q5SNT6_FAM21B.pdf", "Melting_Curves/meltCurve_Q5SNT6_FAM21B.pdf")</f>
        <v>Melting_Curves/meltCurve_Q5SNT6_FAM21B.pdf</v>
      </c>
    </row>
    <row r="3452" spans="1:28" x14ac:dyDescent="0.25">
      <c r="A3452" t="s">
        <v>3456</v>
      </c>
      <c r="B3452">
        <v>0.99987803227770999</v>
      </c>
      <c r="C3452">
        <v>0.96716947275104104</v>
      </c>
      <c r="D3452">
        <v>0.80932312514136295</v>
      </c>
      <c r="E3452">
        <v>0.79547753096123597</v>
      </c>
      <c r="F3452">
        <v>0.470303526007956</v>
      </c>
      <c r="G3452">
        <v>0.25613444647412098</v>
      </c>
      <c r="H3452">
        <v>0.118629681737044</v>
      </c>
      <c r="I3452">
        <v>8.5058322617123094E-2</v>
      </c>
      <c r="J3452">
        <v>6.8311538947069803E-2</v>
      </c>
      <c r="K3452">
        <v>5.1965326725949702E-2</v>
      </c>
      <c r="L3452">
        <v>798.125389397248</v>
      </c>
      <c r="M3452">
        <v>15.102705947993201</v>
      </c>
      <c r="N3452">
        <v>52.985838287490502</v>
      </c>
      <c r="O3452">
        <v>51.945963950408</v>
      </c>
      <c r="P3452">
        <v>-7.1276987437992406E-2</v>
      </c>
      <c r="Q3452">
        <v>1.94637542347827E-2</v>
      </c>
      <c r="R3452">
        <v>0.98688648339893104</v>
      </c>
      <c r="S3452" t="s">
        <v>9763</v>
      </c>
      <c r="T3452" t="s">
        <v>12620</v>
      </c>
      <c r="U3452" t="s">
        <v>12620</v>
      </c>
      <c r="V3452" t="s">
        <v>12620</v>
      </c>
      <c r="W3452" t="s">
        <v>16025</v>
      </c>
      <c r="X3452">
        <v>16</v>
      </c>
      <c r="Y3452" t="s">
        <v>22164</v>
      </c>
      <c r="Z3452" t="s">
        <v>28399</v>
      </c>
      <c r="AA3452">
        <v>0.46037645060367732</v>
      </c>
      <c r="AB3452" t="str">
        <f>HYPERLINK("Melting_Curves/meltCurve_Q5SRE5_NUP188.pdf", "Melting_Curves/meltCurve_Q5SRE5_NUP188.pdf")</f>
        <v>Melting_Curves/meltCurve_Q5SRE5_NUP188.pdf</v>
      </c>
    </row>
    <row r="3453" spans="1:28" x14ac:dyDescent="0.25">
      <c r="A3453" t="s">
        <v>3457</v>
      </c>
      <c r="B3453">
        <v>0.99987803227770999</v>
      </c>
      <c r="C3453">
        <v>0.87514979548913396</v>
      </c>
      <c r="D3453">
        <v>0.83118994336824203</v>
      </c>
      <c r="E3453">
        <v>0.70677976624638905</v>
      </c>
      <c r="F3453">
        <v>0.640081075428518</v>
      </c>
      <c r="G3453">
        <v>0.52917526440745299</v>
      </c>
      <c r="H3453">
        <v>0.389068387780383</v>
      </c>
      <c r="I3453">
        <v>0.281768703861004</v>
      </c>
      <c r="J3453">
        <v>0.20724683351323001</v>
      </c>
      <c r="K3453">
        <v>0.16597534218930901</v>
      </c>
      <c r="L3453">
        <v>428.56238362501301</v>
      </c>
      <c r="M3453">
        <v>7.5753972845274102</v>
      </c>
      <c r="N3453">
        <v>56.572925157851998</v>
      </c>
      <c r="O3453">
        <v>53.034081418451002</v>
      </c>
      <c r="P3453">
        <v>-3.57595251604131E-2</v>
      </c>
      <c r="Q3453">
        <v>0</v>
      </c>
      <c r="R3453">
        <v>0.98899731075389397</v>
      </c>
      <c r="S3453" t="s">
        <v>9764</v>
      </c>
      <c r="T3453" t="s">
        <v>12620</v>
      </c>
      <c r="U3453" t="s">
        <v>12620</v>
      </c>
      <c r="V3453" t="s">
        <v>12620</v>
      </c>
      <c r="W3453" t="s">
        <v>16026</v>
      </c>
      <c r="X3453">
        <v>1</v>
      </c>
      <c r="Y3453" t="s">
        <v>22165</v>
      </c>
      <c r="Z3453" t="s">
        <v>28400</v>
      </c>
      <c r="AA3453">
        <v>0.56676198845681147</v>
      </c>
      <c r="AB3453" t="str">
        <f>HYPERLINK("Melting_Curves/meltCurve_Q5SRN7_HLA_A.pdf", "Melting_Curves/meltCurve_Q5SRN7_HLA_A.pdf")</f>
        <v>Melting_Curves/meltCurve_Q5SRN7_HLA_A.pdf</v>
      </c>
    </row>
    <row r="3454" spans="1:28" x14ac:dyDescent="0.25">
      <c r="A3454" t="s">
        <v>3458</v>
      </c>
      <c r="B3454">
        <v>0.99987803227770999</v>
      </c>
      <c r="C3454">
        <v>0.99507755563773903</v>
      </c>
      <c r="D3454">
        <v>1.1511352352630599</v>
      </c>
      <c r="E3454">
        <v>0.85262563386971002</v>
      </c>
      <c r="F3454">
        <v>0.72886368377527</v>
      </c>
      <c r="G3454">
        <v>0.58835929203209902</v>
      </c>
      <c r="H3454">
        <v>0.465621377402609</v>
      </c>
      <c r="I3454">
        <v>0.47306063209388699</v>
      </c>
      <c r="J3454">
        <v>0.41044127718531997</v>
      </c>
      <c r="K3454">
        <v>0.37148018279132</v>
      </c>
      <c r="L3454">
        <v>1030.34177626378</v>
      </c>
      <c r="M3454">
        <v>19.085849227758299</v>
      </c>
      <c r="N3454">
        <v>59.092929022118298</v>
      </c>
      <c r="O3454">
        <v>53.402418275769101</v>
      </c>
      <c r="P3454">
        <v>-5.3257400036362902E-2</v>
      </c>
      <c r="Q3454">
        <v>0.40396414511378498</v>
      </c>
      <c r="R3454">
        <v>0.94989933334778098</v>
      </c>
      <c r="S3454" t="s">
        <v>9765</v>
      </c>
      <c r="T3454" t="s">
        <v>12620</v>
      </c>
      <c r="U3454" t="s">
        <v>12620</v>
      </c>
      <c r="V3454" t="s">
        <v>12620</v>
      </c>
      <c r="W3454" t="s">
        <v>16027</v>
      </c>
      <c r="X3454">
        <v>7</v>
      </c>
      <c r="Y3454" t="s">
        <v>22166</v>
      </c>
      <c r="Z3454" t="s">
        <v>28401</v>
      </c>
      <c r="AA3454">
        <v>0.69053472763927215</v>
      </c>
      <c r="AB3454" t="str">
        <f>HYPERLINK("Melting_Curves/meltCurve_Q5SSJ5_HP1BP3.pdf", "Melting_Curves/meltCurve_Q5SSJ5_HP1BP3.pdf")</f>
        <v>Melting_Curves/meltCurve_Q5SSJ5_HP1BP3.pdf</v>
      </c>
    </row>
    <row r="3455" spans="1:28" x14ac:dyDescent="0.25">
      <c r="A3455" t="s">
        <v>3459</v>
      </c>
      <c r="B3455">
        <v>0.99987803227770999</v>
      </c>
      <c r="C3455">
        <v>0.75284622895416797</v>
      </c>
      <c r="D3455">
        <v>0.95314567244478299</v>
      </c>
      <c r="E3455">
        <v>0.68924537776392902</v>
      </c>
      <c r="F3455">
        <v>0.51609008542545098</v>
      </c>
      <c r="G3455">
        <v>0.64521455718841503</v>
      </c>
      <c r="H3455">
        <v>0.69672036018524597</v>
      </c>
      <c r="I3455">
        <v>0.79757637558712302</v>
      </c>
      <c r="J3455">
        <v>0.65315342350412298</v>
      </c>
      <c r="K3455">
        <v>0.42435932305565799</v>
      </c>
      <c r="L3455">
        <v>637.98980790589599</v>
      </c>
      <c r="M3455">
        <v>13.934469349688801</v>
      </c>
      <c r="O3455">
        <v>44.872975130400199</v>
      </c>
      <c r="P3455">
        <v>-3.0013632371257499E-2</v>
      </c>
      <c r="Q3455">
        <v>0.61344225994885304</v>
      </c>
      <c r="R3455">
        <v>0.49509897163887601</v>
      </c>
      <c r="S3455" t="s">
        <v>9766</v>
      </c>
      <c r="T3455" t="s">
        <v>12620</v>
      </c>
      <c r="U3455" t="s">
        <v>12620</v>
      </c>
      <c r="V3455" t="s">
        <v>12620</v>
      </c>
      <c r="W3455" t="s">
        <v>16028</v>
      </c>
      <c r="X3455">
        <v>1</v>
      </c>
      <c r="Y3455" t="s">
        <v>22167</v>
      </c>
      <c r="Z3455" t="s">
        <v>28402</v>
      </c>
      <c r="AA3455">
        <v>0.70137814547077615</v>
      </c>
      <c r="AB3455" t="str">
        <f>HYPERLINK("Melting_Curves/meltCurve_Q5SVZ6_ZMYM1.pdf", "Melting_Curves/meltCurve_Q5SVZ6_ZMYM1.pdf")</f>
        <v>Melting_Curves/meltCurve_Q5SVZ6_ZMYM1.pdf</v>
      </c>
    </row>
    <row r="3456" spans="1:28" x14ac:dyDescent="0.25">
      <c r="A3456" t="s">
        <v>3460</v>
      </c>
      <c r="B3456">
        <v>0.99987803227770999</v>
      </c>
      <c r="C3456">
        <v>0.901684087343264</v>
      </c>
      <c r="D3456">
        <v>0.96005497901953096</v>
      </c>
      <c r="E3456">
        <v>0.95446694800013498</v>
      </c>
      <c r="F3456">
        <v>1.0523999023889601</v>
      </c>
      <c r="G3456">
        <v>0.917273857866863</v>
      </c>
      <c r="H3456">
        <v>0.86314246878457201</v>
      </c>
      <c r="I3456">
        <v>0.81993883652232502</v>
      </c>
      <c r="J3456">
        <v>0.79916715907489699</v>
      </c>
      <c r="K3456">
        <v>0.65368991147828104</v>
      </c>
      <c r="L3456">
        <v>611.50456681816502</v>
      </c>
      <c r="M3456">
        <v>7.9957843993433304</v>
      </c>
      <c r="Q3456">
        <v>0</v>
      </c>
      <c r="R3456">
        <v>0.819456062289455</v>
      </c>
      <c r="S3456" t="s">
        <v>9767</v>
      </c>
      <c r="T3456" t="s">
        <v>12620</v>
      </c>
      <c r="U3456" t="s">
        <v>12620</v>
      </c>
      <c r="V3456" t="s">
        <v>12620</v>
      </c>
      <c r="W3456" t="s">
        <v>16029</v>
      </c>
      <c r="X3456">
        <v>48</v>
      </c>
      <c r="Y3456" t="s">
        <v>22168</v>
      </c>
      <c r="Z3456" t="s">
        <v>28403</v>
      </c>
      <c r="AA3456">
        <v>0.91554025341266387</v>
      </c>
      <c r="AB3456" t="str">
        <f>HYPERLINK("Melting_Curves/meltCurve_Q5SW79_CEP170.pdf", "Melting_Curves/meltCurve_Q5SW79_CEP170.pdf")</f>
        <v>Melting_Curves/meltCurve_Q5SW79_CEP170.pdf</v>
      </c>
    </row>
    <row r="3457" spans="1:28" x14ac:dyDescent="0.25">
      <c r="A3457" t="s">
        <v>3461</v>
      </c>
      <c r="B3457">
        <v>0.99987803227770999</v>
      </c>
      <c r="C3457">
        <v>0.89189874212850995</v>
      </c>
      <c r="D3457">
        <v>1.00381225478539</v>
      </c>
      <c r="E3457">
        <v>1.02153103638257</v>
      </c>
      <c r="F3457">
        <v>1.14865967911765</v>
      </c>
      <c r="G3457">
        <v>1.13209561847627</v>
      </c>
      <c r="H3457">
        <v>1.08176982565603</v>
      </c>
      <c r="I3457">
        <v>1.0721100019876</v>
      </c>
      <c r="J3457">
        <v>0.83585639096326103</v>
      </c>
      <c r="K3457">
        <v>0.654959338634997</v>
      </c>
      <c r="L3457">
        <v>15000</v>
      </c>
      <c r="M3457">
        <v>223.783174011488</v>
      </c>
      <c r="O3457">
        <v>67.023809356542799</v>
      </c>
      <c r="P3457">
        <v>-0.28803365182076401</v>
      </c>
      <c r="Q3457">
        <v>0.65493180203170698</v>
      </c>
      <c r="R3457">
        <v>0.69292524944422296</v>
      </c>
      <c r="S3457" t="s">
        <v>9768</v>
      </c>
      <c r="T3457" t="s">
        <v>12620</v>
      </c>
      <c r="U3457" t="s">
        <v>12620</v>
      </c>
      <c r="V3457" t="s">
        <v>12620</v>
      </c>
      <c r="W3457" t="s">
        <v>16030</v>
      </c>
      <c r="X3457">
        <v>48</v>
      </c>
      <c r="Y3457" t="s">
        <v>22168</v>
      </c>
      <c r="Z3457" t="s">
        <v>28404</v>
      </c>
      <c r="AA3457">
        <v>0.9658790586291327</v>
      </c>
      <c r="AB3457" t="str">
        <f>HYPERLINK("Melting_Curves/meltCurve_Q5SW79_3_CEP170.pdf", "Melting_Curves/meltCurve_Q5SW79_3_CEP170.pdf")</f>
        <v>Melting_Curves/meltCurve_Q5SW79_3_CEP170.pdf</v>
      </c>
    </row>
    <row r="3458" spans="1:28" x14ac:dyDescent="0.25">
      <c r="A3458" t="s">
        <v>3462</v>
      </c>
      <c r="B3458">
        <v>0.99987803227770999</v>
      </c>
      <c r="C3458">
        <v>0.73818771178474596</v>
      </c>
      <c r="D3458">
        <v>0.87334869974293905</v>
      </c>
      <c r="E3458">
        <v>0.53664344021167099</v>
      </c>
      <c r="F3458">
        <v>0.29267739660942499</v>
      </c>
      <c r="G3458">
        <v>0.15890108967993399</v>
      </c>
      <c r="H3458">
        <v>9.6236265351916095E-2</v>
      </c>
      <c r="I3458">
        <v>7.7966492543037502E-2</v>
      </c>
      <c r="J3458">
        <v>6.4312577872843599E-2</v>
      </c>
      <c r="K3458">
        <v>3.53768441055188E-2</v>
      </c>
      <c r="L3458">
        <v>678.036306895243</v>
      </c>
      <c r="M3458">
        <v>13.5418121572517</v>
      </c>
      <c r="N3458">
        <v>50.203229535561</v>
      </c>
      <c r="O3458">
        <v>49.015797368259001</v>
      </c>
      <c r="P3458">
        <v>-6.7858321626136794E-2</v>
      </c>
      <c r="Q3458">
        <v>1.7671021547984202E-2</v>
      </c>
      <c r="R3458">
        <v>0.96518714621442503</v>
      </c>
      <c r="S3458" t="s">
        <v>9769</v>
      </c>
      <c r="T3458" t="s">
        <v>12620</v>
      </c>
      <c r="U3458" t="s">
        <v>12620</v>
      </c>
      <c r="V3458" t="s">
        <v>12620</v>
      </c>
      <c r="W3458" t="s">
        <v>16031</v>
      </c>
      <c r="X3458">
        <v>2</v>
      </c>
      <c r="Y3458" t="s">
        <v>22169</v>
      </c>
      <c r="Z3458" t="s">
        <v>28405</v>
      </c>
      <c r="AA3458">
        <v>0.37526484366594032</v>
      </c>
      <c r="AB3458" t="str">
        <f>HYPERLINK("Melting_Curves/meltCurve_Q5SW96_LDLRAP1.pdf", "Melting_Curves/meltCurve_Q5SW96_LDLRAP1.pdf")</f>
        <v>Melting_Curves/meltCurve_Q5SW96_LDLRAP1.pdf</v>
      </c>
    </row>
    <row r="3459" spans="1:28" x14ac:dyDescent="0.25">
      <c r="A3459" t="s">
        <v>3463</v>
      </c>
      <c r="B3459">
        <v>0.99987803227770999</v>
      </c>
      <c r="C3459">
        <v>1.2222120496189299</v>
      </c>
      <c r="D3459">
        <v>1.5784330081595099</v>
      </c>
      <c r="E3459">
        <v>1.6966929375772399</v>
      </c>
      <c r="F3459">
        <v>1.16092626632048</v>
      </c>
      <c r="G3459">
        <v>0.75683173309108198</v>
      </c>
      <c r="H3459">
        <v>0.38559078167299099</v>
      </c>
      <c r="I3459">
        <v>0.350375046278178</v>
      </c>
      <c r="J3459">
        <v>0.192928962855314</v>
      </c>
      <c r="K3459">
        <v>0.14178424796731201</v>
      </c>
      <c r="L3459">
        <v>2038.50195775572</v>
      </c>
      <c r="M3459">
        <v>34.603799339640602</v>
      </c>
      <c r="N3459">
        <v>59.805220972129298</v>
      </c>
      <c r="O3459">
        <v>58.714073885454901</v>
      </c>
      <c r="P3459">
        <v>-0.117551705745178</v>
      </c>
      <c r="Q3459">
        <v>0.20217847886868801</v>
      </c>
      <c r="R3459">
        <v>0.683918258171756</v>
      </c>
      <c r="S3459" t="s">
        <v>9770</v>
      </c>
      <c r="T3459" t="s">
        <v>12620</v>
      </c>
      <c r="U3459" t="s">
        <v>12620</v>
      </c>
      <c r="V3459" t="s">
        <v>12620</v>
      </c>
      <c r="W3459" t="s">
        <v>16032</v>
      </c>
      <c r="X3459">
        <v>15</v>
      </c>
      <c r="Y3459" t="s">
        <v>21081</v>
      </c>
      <c r="Z3459" t="s">
        <v>28406</v>
      </c>
      <c r="AA3459">
        <v>0.70913548390600278</v>
      </c>
      <c r="AB3459" t="str">
        <f>HYPERLINK("Melting_Curves/meltCurve_Q5SX86_GDI2.pdf", "Melting_Curves/meltCurve_Q5SX86_GDI2.pdf")</f>
        <v>Melting_Curves/meltCurve_Q5SX86_GDI2.pdf</v>
      </c>
    </row>
    <row r="3460" spans="1:28" x14ac:dyDescent="0.25">
      <c r="A3460" t="s">
        <v>3464</v>
      </c>
      <c r="B3460">
        <v>0.99987803227770999</v>
      </c>
      <c r="C3460">
        <v>0.75266981254084497</v>
      </c>
      <c r="D3460">
        <v>1.00560729711426</v>
      </c>
      <c r="E3460">
        <v>0.77266913362585599</v>
      </c>
      <c r="F3460">
        <v>1.02360499077274</v>
      </c>
      <c r="G3460">
        <v>0.83438198975387201</v>
      </c>
      <c r="H3460">
        <v>0.89006475125676099</v>
      </c>
      <c r="I3460">
        <v>0.82300873727305801</v>
      </c>
      <c r="J3460">
        <v>0.95426954098127703</v>
      </c>
      <c r="K3460">
        <v>0.79483327215433197</v>
      </c>
      <c r="L3460">
        <v>68.633726660214606</v>
      </c>
      <c r="M3460">
        <v>1.0000000000000001E-5</v>
      </c>
      <c r="Q3460">
        <v>0.47500507621156601</v>
      </c>
      <c r="R3460">
        <v>4.5103716532560699E-2</v>
      </c>
      <c r="S3460" t="s">
        <v>9771</v>
      </c>
      <c r="T3460" t="s">
        <v>12620</v>
      </c>
      <c r="U3460" t="s">
        <v>12620</v>
      </c>
      <c r="V3460" t="s">
        <v>12620</v>
      </c>
      <c r="W3460" t="s">
        <v>16033</v>
      </c>
      <c r="X3460">
        <v>2</v>
      </c>
      <c r="Y3460" t="s">
        <v>22170</v>
      </c>
      <c r="Z3460" t="s">
        <v>28407</v>
      </c>
      <c r="AA3460">
        <v>0.88472730419427237</v>
      </c>
      <c r="AB3460" t="str">
        <f>HYPERLINK("Melting_Curves/meltCurve_Q5SXM8_DNLZ.pdf", "Melting_Curves/meltCurve_Q5SXM8_DNLZ.pdf")</f>
        <v>Melting_Curves/meltCurve_Q5SXM8_DNLZ.pdf</v>
      </c>
    </row>
    <row r="3461" spans="1:28" x14ac:dyDescent="0.25">
      <c r="A3461" t="s">
        <v>3465</v>
      </c>
      <c r="B3461">
        <v>0.99987803227770999</v>
      </c>
      <c r="C3461">
        <v>0.91905786598377404</v>
      </c>
      <c r="D3461">
        <v>0.90799723774168395</v>
      </c>
      <c r="E3461">
        <v>0.93428494262206896</v>
      </c>
      <c r="F3461">
        <v>0.99191526398553598</v>
      </c>
      <c r="G3461">
        <v>0.77911125824757899</v>
      </c>
      <c r="H3461">
        <v>0.85155456252852102</v>
      </c>
      <c r="I3461">
        <v>0.79642116707157595</v>
      </c>
      <c r="J3461">
        <v>0.73026480206998301</v>
      </c>
      <c r="K3461">
        <v>0.616455289585917</v>
      </c>
      <c r="L3461">
        <v>352.87261748197602</v>
      </c>
      <c r="M3461">
        <v>4.3562099948910102</v>
      </c>
      <c r="O3461">
        <v>68.227144539972301</v>
      </c>
      <c r="P3461">
        <v>-1.61176204643972E-2</v>
      </c>
      <c r="Q3461">
        <v>0</v>
      </c>
      <c r="R3461">
        <v>0.80126565154730001</v>
      </c>
      <c r="S3461" t="s">
        <v>9772</v>
      </c>
      <c r="T3461" t="s">
        <v>12620</v>
      </c>
      <c r="U3461" t="s">
        <v>12620</v>
      </c>
      <c r="V3461" t="s">
        <v>12620</v>
      </c>
      <c r="W3461" t="s">
        <v>16034</v>
      </c>
      <c r="X3461">
        <v>5</v>
      </c>
      <c r="Y3461" t="s">
        <v>22171</v>
      </c>
      <c r="Z3461" t="s">
        <v>28408</v>
      </c>
      <c r="AA3461">
        <v>0.86550767643802218</v>
      </c>
      <c r="AB3461" t="str">
        <f>HYPERLINK("Melting_Curves/meltCurve_Q5SYE7_2_NHSL1.pdf", "Melting_Curves/meltCurve_Q5SYE7_2_NHSL1.pdf")</f>
        <v>Melting_Curves/meltCurve_Q5SYE7_2_NHSL1.pdf</v>
      </c>
    </row>
    <row r="3462" spans="1:28" x14ac:dyDescent="0.25">
      <c r="A3462" t="s">
        <v>3466</v>
      </c>
      <c r="B3462">
        <v>0.99987803227770999</v>
      </c>
      <c r="C3462">
        <v>0.90754989798423003</v>
      </c>
      <c r="D3462">
        <v>0.95436926009322298</v>
      </c>
      <c r="E3462">
        <v>0.79328959571998203</v>
      </c>
      <c r="F3462">
        <v>0.39720558723094501</v>
      </c>
      <c r="G3462">
        <v>0.27580857551600002</v>
      </c>
      <c r="H3462">
        <v>0.241612150081016</v>
      </c>
      <c r="I3462">
        <v>0.21091254767154799</v>
      </c>
      <c r="J3462">
        <v>0.197517385492297</v>
      </c>
      <c r="K3462">
        <v>0.14686674423608201</v>
      </c>
      <c r="L3462">
        <v>1651.8412964722199</v>
      </c>
      <c r="M3462">
        <v>32.124614243041897</v>
      </c>
      <c r="N3462">
        <v>52.269145599003203</v>
      </c>
      <c r="O3462">
        <v>51.221776367897398</v>
      </c>
      <c r="P3462">
        <v>-0.124910936922164</v>
      </c>
      <c r="Q3462">
        <v>0.203336321131287</v>
      </c>
      <c r="R3462">
        <v>0.98569210850306699</v>
      </c>
      <c r="S3462" t="s">
        <v>9773</v>
      </c>
      <c r="T3462" t="s">
        <v>12620</v>
      </c>
      <c r="U3462" t="s">
        <v>12620</v>
      </c>
      <c r="V3462" t="s">
        <v>12620</v>
      </c>
      <c r="W3462" t="s">
        <v>16035</v>
      </c>
      <c r="X3462">
        <v>21</v>
      </c>
      <c r="Y3462" t="s">
        <v>22172</v>
      </c>
      <c r="Z3462" t="s">
        <v>28409</v>
      </c>
      <c r="AA3462">
        <v>0.51099292260048079</v>
      </c>
      <c r="AB3462" t="str">
        <f>HYPERLINK("Melting_Curves/meltCurve_Q5T0N5_3_FNBP1L.pdf", "Melting_Curves/meltCurve_Q5T0N5_3_FNBP1L.pdf")</f>
        <v>Melting_Curves/meltCurve_Q5T0N5_3_FNBP1L.pdf</v>
      </c>
    </row>
    <row r="3463" spans="1:28" x14ac:dyDescent="0.25">
      <c r="A3463" t="s">
        <v>3467</v>
      </c>
      <c r="B3463">
        <v>0.99987803227770999</v>
      </c>
      <c r="C3463">
        <v>0.87519885425404897</v>
      </c>
      <c r="D3463">
        <v>0.96560751729640304</v>
      </c>
      <c r="E3463">
        <v>0.82819095023344103</v>
      </c>
      <c r="F3463">
        <v>1.00387322846479</v>
      </c>
      <c r="G3463">
        <v>0.74131133952833606</v>
      </c>
      <c r="H3463">
        <v>0.85903592059529998</v>
      </c>
      <c r="I3463">
        <v>0.83079866176261996</v>
      </c>
      <c r="J3463">
        <v>0.87150667916067603</v>
      </c>
      <c r="K3463">
        <v>0.733454745028017</v>
      </c>
      <c r="L3463">
        <v>176.15141191061099</v>
      </c>
      <c r="M3463">
        <v>1.8585033135970801</v>
      </c>
      <c r="O3463">
        <v>53.750290806610899</v>
      </c>
      <c r="P3463">
        <v>-5.9716019045475003E-3</v>
      </c>
      <c r="Q3463">
        <v>0.37573803544475098</v>
      </c>
      <c r="R3463">
        <v>0.39288522125577702</v>
      </c>
      <c r="S3463" t="s">
        <v>9774</v>
      </c>
      <c r="T3463" t="s">
        <v>12620</v>
      </c>
      <c r="U3463" t="s">
        <v>12620</v>
      </c>
      <c r="V3463" t="s">
        <v>12620</v>
      </c>
      <c r="W3463" t="s">
        <v>16036</v>
      </c>
      <c r="X3463">
        <v>6</v>
      </c>
      <c r="Y3463" t="s">
        <v>22173</v>
      </c>
      <c r="Z3463" t="s">
        <v>28410</v>
      </c>
      <c r="AA3463">
        <v>0.8710645999793124</v>
      </c>
      <c r="AB3463" t="str">
        <f>HYPERLINK("Melting_Curves/meltCurve_Q5T123_SH3BGRL3.pdf", "Melting_Curves/meltCurve_Q5T123_SH3BGRL3.pdf")</f>
        <v>Melting_Curves/meltCurve_Q5T123_SH3BGRL3.pdf</v>
      </c>
    </row>
    <row r="3464" spans="1:28" x14ac:dyDescent="0.25">
      <c r="A3464" t="s">
        <v>3468</v>
      </c>
      <c r="B3464">
        <v>0.99987803227770999</v>
      </c>
      <c r="C3464">
        <v>1.09048265368513</v>
      </c>
      <c r="D3464">
        <v>0.937899080091536</v>
      </c>
      <c r="E3464">
        <v>0.72595414752558296</v>
      </c>
      <c r="F3464">
        <v>0.25644631993005401</v>
      </c>
      <c r="G3464">
        <v>0.17066057952847699</v>
      </c>
      <c r="H3464">
        <v>0.119241343904083</v>
      </c>
      <c r="I3464">
        <v>0.10407275926203401</v>
      </c>
      <c r="J3464">
        <v>7.9786137558926398E-2</v>
      </c>
      <c r="K3464">
        <v>5.9117042663936803E-2</v>
      </c>
      <c r="L3464">
        <v>1910.81132397325</v>
      </c>
      <c r="M3464">
        <v>37.4591233077984</v>
      </c>
      <c r="N3464">
        <v>51.315613922848001</v>
      </c>
      <c r="O3464">
        <v>50.865846682521301</v>
      </c>
      <c r="P3464">
        <v>-0.16573153651146899</v>
      </c>
      <c r="Q3464">
        <v>9.9813194850977505E-2</v>
      </c>
      <c r="R3464">
        <v>0.990122211294584</v>
      </c>
      <c r="S3464" t="s">
        <v>9775</v>
      </c>
      <c r="T3464" t="s">
        <v>12620</v>
      </c>
      <c r="U3464" t="s">
        <v>12620</v>
      </c>
      <c r="V3464" t="s">
        <v>12620</v>
      </c>
      <c r="W3464" t="s">
        <v>16037</v>
      </c>
      <c r="X3464">
        <v>11</v>
      </c>
      <c r="Y3464" t="s">
        <v>22174</v>
      </c>
      <c r="Z3464" t="s">
        <v>28411</v>
      </c>
      <c r="AA3464">
        <v>0.43382135490496271</v>
      </c>
      <c r="AB3464" t="str">
        <f>HYPERLINK("Melting_Curves/meltCurve_Q5T160_RARS2.pdf", "Melting_Curves/meltCurve_Q5T160_RARS2.pdf")</f>
        <v>Melting_Curves/meltCurve_Q5T160_RARS2.pdf</v>
      </c>
    </row>
    <row r="3465" spans="1:28" x14ac:dyDescent="0.25">
      <c r="A3465" t="s">
        <v>3469</v>
      </c>
      <c r="B3465">
        <v>0.99987803227770999</v>
      </c>
      <c r="C3465">
        <v>0.96404338175907001</v>
      </c>
      <c r="D3465">
        <v>0.99428783158432099</v>
      </c>
      <c r="E3465">
        <v>0.96492358466411199</v>
      </c>
      <c r="F3465">
        <v>1.10761334146665</v>
      </c>
      <c r="G3465">
        <v>0.85668857624470895</v>
      </c>
      <c r="H3465">
        <v>0.95147646005974795</v>
      </c>
      <c r="I3465">
        <v>0.88492490881488794</v>
      </c>
      <c r="J3465">
        <v>0.92141464169541298</v>
      </c>
      <c r="K3465">
        <v>0.79957561368631402</v>
      </c>
      <c r="L3465">
        <v>527.36860840899601</v>
      </c>
      <c r="M3465">
        <v>5.9862281785914897</v>
      </c>
      <c r="Q3465">
        <v>0</v>
      </c>
      <c r="R3465">
        <v>0.49514093234769702</v>
      </c>
      <c r="S3465" t="s">
        <v>9776</v>
      </c>
      <c r="T3465" t="s">
        <v>12620</v>
      </c>
      <c r="U3465" t="s">
        <v>12620</v>
      </c>
      <c r="V3465" t="s">
        <v>12620</v>
      </c>
      <c r="W3465" t="s">
        <v>16038</v>
      </c>
      <c r="X3465">
        <v>5</v>
      </c>
      <c r="Y3465" t="s">
        <v>22175</v>
      </c>
      <c r="Z3465" t="s">
        <v>28412</v>
      </c>
      <c r="AA3465">
        <v>0.95242726770111819</v>
      </c>
      <c r="AB3465" t="str">
        <f>HYPERLINK("Melting_Curves/meltCurve_Q5T171_PYGO2.pdf", "Melting_Curves/meltCurve_Q5T171_PYGO2.pdf")</f>
        <v>Melting_Curves/meltCurve_Q5T171_PYGO2.pdf</v>
      </c>
    </row>
    <row r="3466" spans="1:28" x14ac:dyDescent="0.25">
      <c r="A3466" t="s">
        <v>3470</v>
      </c>
      <c r="B3466">
        <v>0.99987803227770999</v>
      </c>
      <c r="C3466">
        <v>0.916389257530421</v>
      </c>
      <c r="D3466">
        <v>1.0049550975367001</v>
      </c>
      <c r="E3466">
        <v>0.90395693847206304</v>
      </c>
      <c r="F3466">
        <v>0.97202166374802201</v>
      </c>
      <c r="G3466">
        <v>0.60922755661924399</v>
      </c>
      <c r="H3466">
        <v>0.24911358740386499</v>
      </c>
      <c r="I3466">
        <v>0.13777369169481299</v>
      </c>
      <c r="J3466">
        <v>9.9248998506093797E-2</v>
      </c>
      <c r="K3466">
        <v>7.6296826707276694E-2</v>
      </c>
      <c r="L3466">
        <v>1623.3629830186601</v>
      </c>
      <c r="M3466">
        <v>28.122635064720001</v>
      </c>
      <c r="N3466">
        <v>58.074571080798599</v>
      </c>
      <c r="O3466">
        <v>57.434914976155397</v>
      </c>
      <c r="P3466">
        <v>-0.112865621542178</v>
      </c>
      <c r="Q3466">
        <v>7.79850185500299E-2</v>
      </c>
      <c r="R3466">
        <v>0.98939809916464305</v>
      </c>
      <c r="S3466" t="s">
        <v>9777</v>
      </c>
      <c r="T3466" t="s">
        <v>12620</v>
      </c>
      <c r="U3466" t="s">
        <v>12620</v>
      </c>
      <c r="V3466" t="s">
        <v>12620</v>
      </c>
      <c r="W3466" t="s">
        <v>16039</v>
      </c>
      <c r="X3466">
        <v>5</v>
      </c>
      <c r="Y3466" t="s">
        <v>22176</v>
      </c>
      <c r="Z3466" t="s">
        <v>28413</v>
      </c>
      <c r="AA3466">
        <v>0.62950533480680226</v>
      </c>
      <c r="AB3466" t="str">
        <f>HYPERLINK("Melting_Curves/meltCurve_Q5T1C6_THEM4.pdf", "Melting_Curves/meltCurve_Q5T1C6_THEM4.pdf")</f>
        <v>Melting_Curves/meltCurve_Q5T1C6_THEM4.pdf</v>
      </c>
    </row>
    <row r="3467" spans="1:28" x14ac:dyDescent="0.25">
      <c r="A3467" t="s">
        <v>3471</v>
      </c>
      <c r="B3467">
        <v>0.99987803227770999</v>
      </c>
      <c r="C3467">
        <v>1.21684030065518</v>
      </c>
      <c r="D3467">
        <v>1.01952769711591</v>
      </c>
      <c r="E3467">
        <v>1.1618885236307801</v>
      </c>
      <c r="F3467">
        <v>0.68232591271329601</v>
      </c>
      <c r="G3467">
        <v>0.54298405066870603</v>
      </c>
      <c r="H3467">
        <v>0.392931613410408</v>
      </c>
      <c r="I3467">
        <v>0.295695500015905</v>
      </c>
      <c r="J3467">
        <v>0.30730145772226702</v>
      </c>
      <c r="K3467">
        <v>0.21176304127183901</v>
      </c>
      <c r="L3467">
        <v>1317.4766299978401</v>
      </c>
      <c r="M3467">
        <v>23.795130694836701</v>
      </c>
      <c r="N3467">
        <v>57.250331528129699</v>
      </c>
      <c r="O3467">
        <v>54.980872592322399</v>
      </c>
      <c r="P3467">
        <v>-7.8835378907186199E-2</v>
      </c>
      <c r="Q3467">
        <v>0.27138569699305198</v>
      </c>
      <c r="R3467">
        <v>0.91160251553448202</v>
      </c>
      <c r="S3467" t="s">
        <v>9778</v>
      </c>
      <c r="T3467" t="s">
        <v>12620</v>
      </c>
      <c r="U3467" t="s">
        <v>12620</v>
      </c>
      <c r="V3467" t="s">
        <v>12620</v>
      </c>
      <c r="W3467" t="s">
        <v>16040</v>
      </c>
      <c r="X3467">
        <v>23</v>
      </c>
      <c r="Y3467" t="s">
        <v>22177</v>
      </c>
      <c r="Z3467" t="s">
        <v>28414</v>
      </c>
      <c r="AA3467">
        <v>0.65193433035762427</v>
      </c>
      <c r="AB3467" t="str">
        <f>HYPERLINK("Melting_Curves/meltCurve_Q5T1M5_FKBP15.pdf", "Melting_Curves/meltCurve_Q5T1M5_FKBP15.pdf")</f>
        <v>Melting_Curves/meltCurve_Q5T1M5_FKBP15.pdf</v>
      </c>
    </row>
    <row r="3468" spans="1:28" x14ac:dyDescent="0.25">
      <c r="A3468" t="s">
        <v>3472</v>
      </c>
      <c r="B3468">
        <v>0.99987803227770999</v>
      </c>
      <c r="C3468">
        <v>1.03920994581568</v>
      </c>
      <c r="D3468">
        <v>1.0583439527215399</v>
      </c>
      <c r="E3468">
        <v>0.80003060102839596</v>
      </c>
      <c r="F3468">
        <v>0.241370361252322</v>
      </c>
      <c r="G3468">
        <v>0.13510164487495399</v>
      </c>
      <c r="H3468">
        <v>7.31092273876216E-2</v>
      </c>
      <c r="I3468">
        <v>6.5516412569290403E-2</v>
      </c>
      <c r="J3468">
        <v>5.3939781470003001E-2</v>
      </c>
      <c r="K3468">
        <v>4.5542376392610703E-2</v>
      </c>
      <c r="L3468">
        <v>2439.99559251868</v>
      </c>
      <c r="M3468">
        <v>47.505647968142704</v>
      </c>
      <c r="N3468">
        <v>51.531036056691804</v>
      </c>
      <c r="O3468">
        <v>51.271433589917301</v>
      </c>
      <c r="P3468">
        <v>-0.21494638365975499</v>
      </c>
      <c r="Q3468">
        <v>7.2059647813426803E-2</v>
      </c>
      <c r="R3468">
        <v>0.99500297157990003</v>
      </c>
      <c r="S3468" t="s">
        <v>9779</v>
      </c>
      <c r="T3468" t="s">
        <v>12620</v>
      </c>
      <c r="U3468" t="s">
        <v>12620</v>
      </c>
      <c r="V3468" t="s">
        <v>12620</v>
      </c>
      <c r="W3468" t="s">
        <v>16041</v>
      </c>
      <c r="X3468">
        <v>5</v>
      </c>
      <c r="Y3468" t="s">
        <v>22178</v>
      </c>
      <c r="Z3468" t="s">
        <v>28415</v>
      </c>
      <c r="AA3468">
        <v>0.4258385817978334</v>
      </c>
      <c r="AB3468" t="str">
        <f>HYPERLINK("Melting_Curves/meltCurve_Q5T1V6_DDX59.pdf", "Melting_Curves/meltCurve_Q5T1V6_DDX59.pdf")</f>
        <v>Melting_Curves/meltCurve_Q5T1V6_DDX59.pdf</v>
      </c>
    </row>
    <row r="3469" spans="1:28" x14ac:dyDescent="0.25">
      <c r="A3469" t="s">
        <v>3473</v>
      </c>
      <c r="B3469">
        <v>0.99987803227770999</v>
      </c>
      <c r="C3469">
        <v>1.0703530743658101</v>
      </c>
      <c r="D3469">
        <v>0.92357328854904797</v>
      </c>
      <c r="E3469">
        <v>0.94092027798792699</v>
      </c>
      <c r="F3469">
        <v>0.74237550854548395</v>
      </c>
      <c r="G3469">
        <v>0.53535501840894995</v>
      </c>
      <c r="H3469">
        <v>0.50779863769019995</v>
      </c>
      <c r="I3469">
        <v>0.44640799858740798</v>
      </c>
      <c r="J3469">
        <v>0.47454319303328502</v>
      </c>
      <c r="K3469">
        <v>0.39125797095292802</v>
      </c>
      <c r="L3469">
        <v>1244.9564526332699</v>
      </c>
      <c r="M3469">
        <v>23.243589228575502</v>
      </c>
      <c r="N3469">
        <v>58.872044774302204</v>
      </c>
      <c r="O3469">
        <v>53.169551607112801</v>
      </c>
      <c r="P3469">
        <v>-6.13593683430829E-2</v>
      </c>
      <c r="Q3469">
        <v>0.43857353677753402</v>
      </c>
      <c r="R3469">
        <v>0.97462921004651204</v>
      </c>
      <c r="S3469" t="s">
        <v>9780</v>
      </c>
      <c r="T3469" t="s">
        <v>12620</v>
      </c>
      <c r="U3469" t="s">
        <v>12620</v>
      </c>
      <c r="V3469" t="s">
        <v>12620</v>
      </c>
      <c r="W3469" t="s">
        <v>16042</v>
      </c>
      <c r="X3469">
        <v>19</v>
      </c>
      <c r="Y3469" t="s">
        <v>22179</v>
      </c>
      <c r="Z3469" t="s">
        <v>28416</v>
      </c>
      <c r="AA3469">
        <v>0.69828462465114305</v>
      </c>
      <c r="AB3469" t="str">
        <f>HYPERLINK("Melting_Curves/meltCurve_Q5T200_ZC3H13.pdf", "Melting_Curves/meltCurve_Q5T200_ZC3H13.pdf")</f>
        <v>Melting_Curves/meltCurve_Q5T200_ZC3H13.pdf</v>
      </c>
    </row>
    <row r="3470" spans="1:28" x14ac:dyDescent="0.25">
      <c r="A3470" t="s">
        <v>3474</v>
      </c>
      <c r="B3470">
        <v>0.99987803227770999</v>
      </c>
      <c r="C3470">
        <v>0.94593505651531995</v>
      </c>
      <c r="D3470">
        <v>1.07884088880787</v>
      </c>
      <c r="E3470">
        <v>0.91350512884294899</v>
      </c>
      <c r="F3470">
        <v>0.87970373222703901</v>
      </c>
      <c r="G3470">
        <v>0.84536764522822405</v>
      </c>
      <c r="H3470">
        <v>0.69184355611877701</v>
      </c>
      <c r="I3470">
        <v>0.35160917598423502</v>
      </c>
      <c r="J3470">
        <v>0.14432898477004799</v>
      </c>
      <c r="K3470">
        <v>0.105720607142576</v>
      </c>
      <c r="L3470">
        <v>1327.6239838469401</v>
      </c>
      <c r="M3470">
        <v>21.270424461702099</v>
      </c>
      <c r="N3470">
        <v>62.416437033182703</v>
      </c>
      <c r="O3470">
        <v>61.872606916756197</v>
      </c>
      <c r="P3470">
        <v>-8.5946641817217395E-2</v>
      </c>
      <c r="Q3470">
        <v>0</v>
      </c>
      <c r="R3470">
        <v>0.97066490865174104</v>
      </c>
      <c r="S3470" t="s">
        <v>9781</v>
      </c>
      <c r="T3470" t="s">
        <v>12620</v>
      </c>
      <c r="U3470" t="s">
        <v>12620</v>
      </c>
      <c r="V3470" t="s">
        <v>12620</v>
      </c>
      <c r="W3470" t="s">
        <v>16043</v>
      </c>
      <c r="X3470">
        <v>6</v>
      </c>
      <c r="Y3470" t="s">
        <v>22180</v>
      </c>
      <c r="Z3470" t="s">
        <v>28417</v>
      </c>
      <c r="AA3470">
        <v>0.74960988265990502</v>
      </c>
      <c r="AB3470" t="str">
        <f>HYPERLINK("Melting_Curves/meltCurve_Q5T2E6_C10orf76.pdf", "Melting_Curves/meltCurve_Q5T2E6_C10orf76.pdf")</f>
        <v>Melting_Curves/meltCurve_Q5T2E6_C10orf76.pdf</v>
      </c>
    </row>
    <row r="3471" spans="1:28" x14ac:dyDescent="0.25">
      <c r="A3471" t="s">
        <v>3475</v>
      </c>
      <c r="B3471">
        <v>0.99987803227770999</v>
      </c>
      <c r="C3471">
        <v>1.04116728606127</v>
      </c>
      <c r="D3471">
        <v>0.97088563165170305</v>
      </c>
      <c r="E3471">
        <v>0.95917403657426603</v>
      </c>
      <c r="F3471">
        <v>0.76503091634184905</v>
      </c>
      <c r="G3471">
        <v>0.42504169673278702</v>
      </c>
      <c r="H3471">
        <v>0.30652581229603298</v>
      </c>
      <c r="I3471">
        <v>0.218073668007043</v>
      </c>
      <c r="J3471">
        <v>0.13757021204939399</v>
      </c>
      <c r="K3471">
        <v>0.12113341093943</v>
      </c>
      <c r="L3471">
        <v>1120.01214830087</v>
      </c>
      <c r="M3471">
        <v>20.124059966598601</v>
      </c>
      <c r="N3471">
        <v>56.513198250561899</v>
      </c>
      <c r="O3471">
        <v>55.1145572627726</v>
      </c>
      <c r="P3471">
        <v>-7.9271724551540204E-2</v>
      </c>
      <c r="Q3471">
        <v>0.131609369003888</v>
      </c>
      <c r="R3471">
        <v>0.993014871750447</v>
      </c>
      <c r="S3471" t="s">
        <v>9782</v>
      </c>
      <c r="T3471" t="s">
        <v>12620</v>
      </c>
      <c r="U3471" t="s">
        <v>12620</v>
      </c>
      <c r="V3471" t="s">
        <v>12620</v>
      </c>
      <c r="W3471" t="s">
        <v>16044</v>
      </c>
      <c r="X3471">
        <v>1</v>
      </c>
      <c r="Y3471" t="s">
        <v>22181</v>
      </c>
      <c r="Z3471" t="s">
        <v>28418</v>
      </c>
      <c r="AA3471">
        <v>0.59601045224204274</v>
      </c>
      <c r="AB3471" t="str">
        <f>HYPERLINK("Melting_Curves/meltCurve_Q5T2R2_3_PDSS1.pdf", "Melting_Curves/meltCurve_Q5T2R2_3_PDSS1.pdf")</f>
        <v>Melting_Curves/meltCurve_Q5T2R2_3_PDSS1.pdf</v>
      </c>
    </row>
    <row r="3472" spans="1:28" x14ac:dyDescent="0.25">
      <c r="A3472" t="s">
        <v>3476</v>
      </c>
      <c r="B3472">
        <v>0.99987803227770999</v>
      </c>
      <c r="C3472">
        <v>0.88210473380064303</v>
      </c>
      <c r="D3472">
        <v>0.90654748672751695</v>
      </c>
      <c r="E3472">
        <v>0.77552613083083899</v>
      </c>
      <c r="F3472">
        <v>0.73568630859161999</v>
      </c>
      <c r="G3472">
        <v>0.53114486147432105</v>
      </c>
      <c r="H3472">
        <v>0.46522478165467301</v>
      </c>
      <c r="I3472">
        <v>0.338497803024989</v>
      </c>
      <c r="J3472">
        <v>0.27946685080582201</v>
      </c>
      <c r="K3472">
        <v>0.23242179726001799</v>
      </c>
      <c r="L3472">
        <v>441.80369343670702</v>
      </c>
      <c r="M3472">
        <v>7.5057555141583601</v>
      </c>
      <c r="N3472">
        <v>58.861988945050001</v>
      </c>
      <c r="O3472">
        <v>55.118347347996298</v>
      </c>
      <c r="P3472">
        <v>-3.4092625201449303E-2</v>
      </c>
      <c r="Q3472">
        <v>0</v>
      </c>
      <c r="R3472">
        <v>0.98794932848572803</v>
      </c>
      <c r="S3472" t="s">
        <v>9783</v>
      </c>
      <c r="T3472" t="s">
        <v>12620</v>
      </c>
      <c r="U3472" t="s">
        <v>12620</v>
      </c>
      <c r="V3472" t="s">
        <v>12620</v>
      </c>
      <c r="W3472" t="s">
        <v>16045</v>
      </c>
      <c r="X3472">
        <v>2</v>
      </c>
      <c r="Y3472" t="s">
        <v>22182</v>
      </c>
      <c r="Z3472" t="s">
        <v>28419</v>
      </c>
      <c r="AA3472">
        <v>0.6216023804802322</v>
      </c>
      <c r="AB3472" t="str">
        <f>HYPERLINK("Melting_Curves/meltCurve_Q5T2W1_PDZK1.pdf", "Melting_Curves/meltCurve_Q5T2W1_PDZK1.pdf")</f>
        <v>Melting_Curves/meltCurve_Q5T2W1_PDZK1.pdf</v>
      </c>
    </row>
    <row r="3473" spans="1:28" x14ac:dyDescent="0.25">
      <c r="A3473" t="s">
        <v>3477</v>
      </c>
      <c r="B3473">
        <v>0.99987803227770999</v>
      </c>
      <c r="C3473">
        <v>1.1578923047652701</v>
      </c>
      <c r="D3473">
        <v>0.92900681624142301</v>
      </c>
      <c r="E3473">
        <v>1.1646845466111799</v>
      </c>
      <c r="F3473">
        <v>0.89106701208329298</v>
      </c>
      <c r="G3473">
        <v>0.88135948456597302</v>
      </c>
      <c r="H3473">
        <v>0.46110129450992299</v>
      </c>
      <c r="I3473">
        <v>0.229403466792927</v>
      </c>
      <c r="J3473">
        <v>0.176261576379726</v>
      </c>
      <c r="K3473">
        <v>0.12224441578926799</v>
      </c>
      <c r="L3473">
        <v>1872.1852916468399</v>
      </c>
      <c r="M3473">
        <v>31.142823462547302</v>
      </c>
      <c r="N3473">
        <v>60.664156595806197</v>
      </c>
      <c r="O3473">
        <v>59.869863897848603</v>
      </c>
      <c r="P3473">
        <v>-0.11409886211295001</v>
      </c>
      <c r="Q3473">
        <v>0.122617123238208</v>
      </c>
      <c r="R3473">
        <v>0.95562517661114499</v>
      </c>
      <c r="S3473" t="s">
        <v>9784</v>
      </c>
      <c r="T3473" t="s">
        <v>12620</v>
      </c>
      <c r="U3473" t="s">
        <v>12620</v>
      </c>
      <c r="V3473" t="s">
        <v>12620</v>
      </c>
      <c r="W3473" t="s">
        <v>16046</v>
      </c>
      <c r="X3473">
        <v>29</v>
      </c>
      <c r="Y3473" t="s">
        <v>22183</v>
      </c>
      <c r="Z3473" t="s">
        <v>28420</v>
      </c>
      <c r="AA3473">
        <v>0.71597021214057832</v>
      </c>
      <c r="AB3473" t="str">
        <f>HYPERLINK("Melting_Curves/meltCurve_Q5T321_NBEA.pdf", "Melting_Curves/meltCurve_Q5T321_NBEA.pdf")</f>
        <v>Melting_Curves/meltCurve_Q5T321_NBEA.pdf</v>
      </c>
    </row>
    <row r="3474" spans="1:28" x14ac:dyDescent="0.25">
      <c r="A3474" t="s">
        <v>3478</v>
      </c>
      <c r="B3474">
        <v>0.99987803227770999</v>
      </c>
      <c r="C3474">
        <v>1.0934200878057301</v>
      </c>
      <c r="D3474">
        <v>1.03137963408266</v>
      </c>
      <c r="E3474">
        <v>0.94818627488346297</v>
      </c>
      <c r="F3474">
        <v>0.348101876942983</v>
      </c>
      <c r="G3474">
        <v>0.107268649213106</v>
      </c>
      <c r="H3474">
        <v>6.9412669193463006E-2</v>
      </c>
      <c r="I3474">
        <v>6.23187801553007E-2</v>
      </c>
      <c r="J3474">
        <v>4.4601444474152201E-2</v>
      </c>
      <c r="K3474">
        <v>2.5899935441321902E-2</v>
      </c>
      <c r="L3474">
        <v>3124.64492204108</v>
      </c>
      <c r="M3474">
        <v>59.758366570230301</v>
      </c>
      <c r="N3474">
        <v>52.400368458867298</v>
      </c>
      <c r="O3474">
        <v>52.229531407916198</v>
      </c>
      <c r="P3474">
        <v>-0.26883487331371198</v>
      </c>
      <c r="Q3474">
        <v>6.0140737063624203E-2</v>
      </c>
      <c r="R3474">
        <v>0.99374891203083904</v>
      </c>
      <c r="S3474" t="s">
        <v>9785</v>
      </c>
      <c r="T3474" t="s">
        <v>12620</v>
      </c>
      <c r="U3474" t="s">
        <v>12620</v>
      </c>
      <c r="V3474" t="s">
        <v>12620</v>
      </c>
      <c r="W3474" t="s">
        <v>16047</v>
      </c>
      <c r="X3474">
        <v>2</v>
      </c>
      <c r="Y3474" t="s">
        <v>22184</v>
      </c>
      <c r="Z3474" t="s">
        <v>28421</v>
      </c>
      <c r="AA3474">
        <v>0.44662180335436302</v>
      </c>
      <c r="AB3474" t="str">
        <f>HYPERLINK("Melting_Curves/meltCurve_Q5T370_ARRDC1.pdf", "Melting_Curves/meltCurve_Q5T370_ARRDC1.pdf")</f>
        <v>Melting_Curves/meltCurve_Q5T370_ARRDC1.pdf</v>
      </c>
    </row>
    <row r="3475" spans="1:28" x14ac:dyDescent="0.25">
      <c r="A3475" t="s">
        <v>3479</v>
      </c>
      <c r="B3475">
        <v>0.99987803227770999</v>
      </c>
      <c r="C3475">
        <v>1.0820514324715</v>
      </c>
      <c r="D3475">
        <v>1.0250955052005299</v>
      </c>
      <c r="E3475">
        <v>1.0079543090063401</v>
      </c>
      <c r="F3475">
        <v>0.89661703794979397</v>
      </c>
      <c r="G3475">
        <v>0.588082480060796</v>
      </c>
      <c r="H3475">
        <v>0.379225083310964</v>
      </c>
      <c r="I3475">
        <v>0.29904357474795901</v>
      </c>
      <c r="J3475">
        <v>0.33640150955834203</v>
      </c>
      <c r="K3475">
        <v>0.29194699763971899</v>
      </c>
      <c r="L3475">
        <v>1663.05141901104</v>
      </c>
      <c r="M3475">
        <v>29.539960291587001</v>
      </c>
      <c r="N3475">
        <v>58.132721662981801</v>
      </c>
      <c r="O3475">
        <v>56.042248775086001</v>
      </c>
      <c r="P3475">
        <v>-9.1829446650459098E-2</v>
      </c>
      <c r="Q3475">
        <v>0.30314150881174801</v>
      </c>
      <c r="R3475">
        <v>0.99078523846452005</v>
      </c>
      <c r="S3475" t="s">
        <v>9786</v>
      </c>
      <c r="T3475" t="s">
        <v>12620</v>
      </c>
      <c r="U3475" t="s">
        <v>12620</v>
      </c>
      <c r="V3475" t="s">
        <v>12620</v>
      </c>
      <c r="W3475" t="s">
        <v>16048</v>
      </c>
      <c r="X3475">
        <v>4</v>
      </c>
      <c r="Y3475" t="s">
        <v>22185</v>
      </c>
      <c r="Z3475" t="s">
        <v>28422</v>
      </c>
      <c r="AA3475">
        <v>0.68651038143275822</v>
      </c>
      <c r="AB3475" t="str">
        <f>HYPERLINK("Melting_Curves/meltCurve_Q5T3J3_LRIF1.pdf", "Melting_Curves/meltCurve_Q5T3J3_LRIF1.pdf")</f>
        <v>Melting_Curves/meltCurve_Q5T3J3_LRIF1.pdf</v>
      </c>
    </row>
    <row r="3476" spans="1:28" x14ac:dyDescent="0.25">
      <c r="A3476" t="s">
        <v>3480</v>
      </c>
      <c r="B3476">
        <v>0.99987803227770999</v>
      </c>
      <c r="C3476">
        <v>0.74471247852033395</v>
      </c>
      <c r="D3476">
        <v>1.5678453880654599</v>
      </c>
      <c r="E3476">
        <v>0.67246427529515895</v>
      </c>
      <c r="F3476">
        <v>0.76992879199254705</v>
      </c>
      <c r="G3476">
        <v>0.37442521024272202</v>
      </c>
      <c r="H3476">
        <v>0.47898218823733002</v>
      </c>
      <c r="I3476">
        <v>0.40190381514852103</v>
      </c>
      <c r="J3476">
        <v>0.56040025333769194</v>
      </c>
      <c r="K3476">
        <v>0.41092167881772002</v>
      </c>
      <c r="L3476">
        <v>1562.9084367866501</v>
      </c>
      <c r="M3476">
        <v>30.149128051003199</v>
      </c>
      <c r="N3476">
        <v>56.0725315919479</v>
      </c>
      <c r="O3476">
        <v>51.612794405631199</v>
      </c>
      <c r="P3476">
        <v>-8.0515403075070602E-2</v>
      </c>
      <c r="Q3476">
        <v>0.44866088492863998</v>
      </c>
      <c r="R3476">
        <v>0.59648850321289204</v>
      </c>
      <c r="S3476" t="s">
        <v>9787</v>
      </c>
      <c r="T3476" t="s">
        <v>12620</v>
      </c>
      <c r="U3476" t="s">
        <v>12620</v>
      </c>
      <c r="V3476" t="s">
        <v>12620</v>
      </c>
      <c r="W3476" t="s">
        <v>16049</v>
      </c>
      <c r="X3476">
        <v>1</v>
      </c>
      <c r="Y3476" t="s">
        <v>22186</v>
      </c>
      <c r="Z3476" t="s">
        <v>28423</v>
      </c>
      <c r="AA3476">
        <v>0.66972179124467535</v>
      </c>
      <c r="AB3476" t="str">
        <f>HYPERLINK("Melting_Curves/meltCurve_Q5T427_ZNF438.pdf", "Melting_Curves/meltCurve_Q5T427_ZNF438.pdf")</f>
        <v>Melting_Curves/meltCurve_Q5T427_ZNF438.pdf</v>
      </c>
    </row>
    <row r="3477" spans="1:28" x14ac:dyDescent="0.25">
      <c r="A3477" t="s">
        <v>3481</v>
      </c>
      <c r="B3477">
        <v>0.99987803227770999</v>
      </c>
      <c r="C3477">
        <v>0.93323980872133205</v>
      </c>
      <c r="D3477">
        <v>0.97639204117357004</v>
      </c>
      <c r="E3477">
        <v>0.78213074587242104</v>
      </c>
      <c r="F3477">
        <v>0.53694553150831403</v>
      </c>
      <c r="G3477">
        <v>0.20766135528035601</v>
      </c>
      <c r="H3477">
        <v>0.15779543933753701</v>
      </c>
      <c r="I3477">
        <v>0.17661440657607899</v>
      </c>
      <c r="J3477">
        <v>0.113729191591546</v>
      </c>
      <c r="K3477">
        <v>8.3376465473340697E-2</v>
      </c>
      <c r="L3477">
        <v>1203.6620461269399</v>
      </c>
      <c r="M3477">
        <v>22.8889013333233</v>
      </c>
      <c r="N3477">
        <v>53.179183622417099</v>
      </c>
      <c r="O3477">
        <v>52.190679634226797</v>
      </c>
      <c r="P3477">
        <v>-9.73113493873521E-2</v>
      </c>
      <c r="Q3477">
        <v>0.11246966550811301</v>
      </c>
      <c r="R3477">
        <v>0.99337528482905502</v>
      </c>
      <c r="S3477" t="s">
        <v>9788</v>
      </c>
      <c r="T3477" t="s">
        <v>12620</v>
      </c>
      <c r="U3477" t="s">
        <v>12620</v>
      </c>
      <c r="V3477" t="s">
        <v>12620</v>
      </c>
      <c r="W3477" t="s">
        <v>16050</v>
      </c>
      <c r="X3477">
        <v>5</v>
      </c>
      <c r="Y3477" t="s">
        <v>22187</v>
      </c>
      <c r="Z3477" t="s">
        <v>28424</v>
      </c>
      <c r="AA3477">
        <v>0.49446121284831368</v>
      </c>
      <c r="AB3477" t="str">
        <f>HYPERLINK("Melting_Curves/meltCurve_Q5T440_IBA57.pdf", "Melting_Curves/meltCurve_Q5T440_IBA57.pdf")</f>
        <v>Melting_Curves/meltCurve_Q5T440_IBA57.pdf</v>
      </c>
    </row>
    <row r="3478" spans="1:28" x14ac:dyDescent="0.25">
      <c r="A3478" t="s">
        <v>3482</v>
      </c>
      <c r="B3478">
        <v>0.99987803227770999</v>
      </c>
      <c r="C3478">
        <v>0.84527002959625597</v>
      </c>
      <c r="D3478">
        <v>0.79890350338276495</v>
      </c>
      <c r="E3478">
        <v>1.4892306272664999</v>
      </c>
      <c r="F3478">
        <v>0.99439987405651598</v>
      </c>
      <c r="G3478">
        <v>0.50131390388123298</v>
      </c>
      <c r="H3478">
        <v>0.38321166667841</v>
      </c>
      <c r="I3478">
        <v>0.321155667828324</v>
      </c>
      <c r="J3478">
        <v>0.199839094460707</v>
      </c>
      <c r="K3478">
        <v>0.14767568642755199</v>
      </c>
      <c r="L3478">
        <v>2991.7571457167501</v>
      </c>
      <c r="M3478">
        <v>53.115003532799101</v>
      </c>
      <c r="N3478">
        <v>57.101696597280601</v>
      </c>
      <c r="O3478">
        <v>56.246355053064498</v>
      </c>
      <c r="P3478">
        <v>-0.17541128268912401</v>
      </c>
      <c r="Q3478">
        <v>0.25699045699996997</v>
      </c>
      <c r="R3478">
        <v>0.79663352412861799</v>
      </c>
      <c r="S3478" t="s">
        <v>9789</v>
      </c>
      <c r="T3478" t="s">
        <v>12620</v>
      </c>
      <c r="U3478" t="s">
        <v>12620</v>
      </c>
      <c r="V3478" t="s">
        <v>12620</v>
      </c>
      <c r="W3478" t="s">
        <v>16051</v>
      </c>
      <c r="X3478">
        <v>4</v>
      </c>
      <c r="Y3478" t="s">
        <v>22188</v>
      </c>
      <c r="Z3478" t="s">
        <v>28425</v>
      </c>
      <c r="AA3478">
        <v>0.66297042892785107</v>
      </c>
      <c r="AB3478" t="str">
        <f>HYPERLINK("Melting_Curves/meltCurve_Q5T447_HECTD3.pdf", "Melting_Curves/meltCurve_Q5T447_HECTD3.pdf")</f>
        <v>Melting_Curves/meltCurve_Q5T447_HECTD3.pdf</v>
      </c>
    </row>
    <row r="3479" spans="1:28" x14ac:dyDescent="0.25">
      <c r="A3479" t="s">
        <v>3483</v>
      </c>
      <c r="B3479">
        <v>0.99987803227770999</v>
      </c>
      <c r="C3479">
        <v>0.780015496364868</v>
      </c>
      <c r="D3479">
        <v>0.76680025025569298</v>
      </c>
      <c r="E3479">
        <v>1.3842459237228</v>
      </c>
      <c r="F3479">
        <v>0.65416096976112104</v>
      </c>
      <c r="G3479">
        <v>0.35549366475927502</v>
      </c>
      <c r="H3479">
        <v>0.169864086949745</v>
      </c>
      <c r="I3479">
        <v>0.13756679666819999</v>
      </c>
      <c r="J3479">
        <v>0.11071131188337301</v>
      </c>
      <c r="K3479">
        <v>7.0438897572050602E-2</v>
      </c>
      <c r="L3479">
        <v>1948.4681517505501</v>
      </c>
      <c r="M3479">
        <v>35.639758718907601</v>
      </c>
      <c r="N3479">
        <v>55.111657413285101</v>
      </c>
      <c r="O3479">
        <v>54.4999266750632</v>
      </c>
      <c r="P3479">
        <v>-0.14322414200631201</v>
      </c>
      <c r="Q3479">
        <v>0.12393577272055201</v>
      </c>
      <c r="R3479">
        <v>0.83218308262342799</v>
      </c>
      <c r="S3479" t="s">
        <v>9790</v>
      </c>
      <c r="T3479" t="s">
        <v>12620</v>
      </c>
      <c r="U3479" t="s">
        <v>12620</v>
      </c>
      <c r="V3479" t="s">
        <v>12620</v>
      </c>
      <c r="W3479" t="s">
        <v>16052</v>
      </c>
      <c r="X3479">
        <v>50</v>
      </c>
      <c r="Y3479" t="s">
        <v>22189</v>
      </c>
      <c r="Z3479" t="s">
        <v>28426</v>
      </c>
      <c r="AA3479">
        <v>0.55651491759626714</v>
      </c>
      <c r="AB3479" t="str">
        <f>HYPERLINK("Melting_Curves/meltCurve_Q5T4S7_3_UBR4.pdf", "Melting_Curves/meltCurve_Q5T4S7_3_UBR4.pdf")</f>
        <v>Melting_Curves/meltCurve_Q5T4S7_3_UBR4.pdf</v>
      </c>
    </row>
    <row r="3480" spans="1:28" x14ac:dyDescent="0.25">
      <c r="A3480" t="s">
        <v>3484</v>
      </c>
      <c r="B3480">
        <v>0.99987803227770999</v>
      </c>
      <c r="C3480">
        <v>1.0689825495790899</v>
      </c>
      <c r="D3480">
        <v>1.0865410061271701</v>
      </c>
      <c r="E3480">
        <v>1.0115151856418301</v>
      </c>
      <c r="F3480">
        <v>0.95699762809316302</v>
      </c>
      <c r="G3480">
        <v>0.83205250060340297</v>
      </c>
      <c r="H3480">
        <v>0.65115608180223505</v>
      </c>
      <c r="I3480">
        <v>0.61913673436227301</v>
      </c>
      <c r="J3480">
        <v>0.48042961792422501</v>
      </c>
      <c r="K3480">
        <v>0.486964922841855</v>
      </c>
      <c r="L3480">
        <v>1145.84765469847</v>
      </c>
      <c r="M3480">
        <v>19.209051330047501</v>
      </c>
      <c r="N3480">
        <v>68.072520095958595</v>
      </c>
      <c r="O3480">
        <v>59.016236062010897</v>
      </c>
      <c r="P3480">
        <v>-4.4467077297003998E-2</v>
      </c>
      <c r="Q3480">
        <v>0.45355354122739899</v>
      </c>
      <c r="R3480">
        <v>0.96685095615014005</v>
      </c>
      <c r="S3480" t="s">
        <v>9791</v>
      </c>
      <c r="T3480" t="s">
        <v>12620</v>
      </c>
      <c r="U3480" t="s">
        <v>12620</v>
      </c>
      <c r="V3480" t="s">
        <v>12620</v>
      </c>
      <c r="W3480" t="s">
        <v>16053</v>
      </c>
      <c r="X3480">
        <v>1</v>
      </c>
      <c r="Y3480" t="s">
        <v>22190</v>
      </c>
      <c r="Z3480" t="s">
        <v>28427</v>
      </c>
      <c r="AA3480">
        <v>0.81648073918070874</v>
      </c>
      <c r="AB3480" t="str">
        <f>HYPERLINK("Melting_Curves/meltCurve_Q5T534_BLZF1.pdf", "Melting_Curves/meltCurve_Q5T534_BLZF1.pdf")</f>
        <v>Melting_Curves/meltCurve_Q5T534_BLZF1.pdf</v>
      </c>
    </row>
    <row r="3481" spans="1:28" x14ac:dyDescent="0.25">
      <c r="A3481" t="s">
        <v>3485</v>
      </c>
      <c r="B3481">
        <v>0.99987803227770999</v>
      </c>
      <c r="C3481">
        <v>1.1516627537749999</v>
      </c>
      <c r="D3481">
        <v>1.0406745272841</v>
      </c>
      <c r="E3481">
        <v>1.1704280693509399</v>
      </c>
      <c r="F3481">
        <v>0.84544740013312303</v>
      </c>
      <c r="G3481">
        <v>0.50299521358492305</v>
      </c>
      <c r="H3481">
        <v>0.24115969004090099</v>
      </c>
      <c r="I3481">
        <v>0.227462398737342</v>
      </c>
      <c r="J3481">
        <v>0.16174391264703</v>
      </c>
      <c r="K3481">
        <v>0.137190421782584</v>
      </c>
      <c r="L3481">
        <v>1762.7864462396501</v>
      </c>
      <c r="M3481">
        <v>31.3343262949668</v>
      </c>
      <c r="N3481">
        <v>57.0034828381647</v>
      </c>
      <c r="O3481">
        <v>56.029711683739599</v>
      </c>
      <c r="P3481">
        <v>-0.116293026096476</v>
      </c>
      <c r="Q3481">
        <v>0.16821839911171499</v>
      </c>
      <c r="R3481">
        <v>0.96194749854487904</v>
      </c>
      <c r="S3481" t="s">
        <v>9792</v>
      </c>
      <c r="T3481" t="s">
        <v>12620</v>
      </c>
      <c r="U3481" t="s">
        <v>12620</v>
      </c>
      <c r="V3481" t="s">
        <v>12620</v>
      </c>
      <c r="W3481" t="s">
        <v>16054</v>
      </c>
      <c r="X3481">
        <v>5</v>
      </c>
      <c r="Y3481" t="s">
        <v>22191</v>
      </c>
      <c r="Z3481" t="s">
        <v>28428</v>
      </c>
      <c r="AA3481">
        <v>0.62409447140077745</v>
      </c>
      <c r="AB3481" t="str">
        <f>HYPERLINK("Melting_Curves/meltCurve_Q5T5C0_3_STXBP5.pdf", "Melting_Curves/meltCurve_Q5T5C0_3_STXBP5.pdf")</f>
        <v>Melting_Curves/meltCurve_Q5T5C0_3_STXBP5.pdf</v>
      </c>
    </row>
    <row r="3482" spans="1:28" x14ac:dyDescent="0.25">
      <c r="A3482" t="s">
        <v>3486</v>
      </c>
      <c r="B3482">
        <v>0.99987803227770999</v>
      </c>
      <c r="C3482">
        <v>0.91457737015023099</v>
      </c>
      <c r="D3482">
        <v>0.95488117297144104</v>
      </c>
      <c r="E3482">
        <v>0.84889474480123195</v>
      </c>
      <c r="F3482">
        <v>0.92338142196205397</v>
      </c>
      <c r="G3482">
        <v>0.78918944492819099</v>
      </c>
      <c r="H3482">
        <v>0.82906533204939703</v>
      </c>
      <c r="I3482">
        <v>0.77537741524799997</v>
      </c>
      <c r="J3482">
        <v>0.76327909728482601</v>
      </c>
      <c r="K3482">
        <v>0.64390897037244399</v>
      </c>
      <c r="L3482">
        <v>247.39737295439801</v>
      </c>
      <c r="M3482">
        <v>2.7153367474519201</v>
      </c>
      <c r="O3482">
        <v>64.0572556541658</v>
      </c>
      <c r="P3482">
        <v>-1.10308782457255E-2</v>
      </c>
      <c r="Q3482">
        <v>0</v>
      </c>
      <c r="R3482">
        <v>0.846382705460476</v>
      </c>
      <c r="S3482" t="s">
        <v>9793</v>
      </c>
      <c r="T3482" t="s">
        <v>12620</v>
      </c>
      <c r="U3482" t="s">
        <v>12620</v>
      </c>
      <c r="V3482" t="s">
        <v>12620</v>
      </c>
      <c r="W3482" t="s">
        <v>16055</v>
      </c>
      <c r="X3482">
        <v>23</v>
      </c>
      <c r="Y3482" t="s">
        <v>22192</v>
      </c>
      <c r="Z3482" t="s">
        <v>28429</v>
      </c>
      <c r="AA3482">
        <v>0.8478935759414058</v>
      </c>
      <c r="AB3482" t="str">
        <f>HYPERLINK("Melting_Curves/meltCurve_Q5T5P2_3_KIAA1217.pdf", "Melting_Curves/meltCurve_Q5T5P2_3_KIAA1217.pdf")</f>
        <v>Melting_Curves/meltCurve_Q5T5P2_3_KIAA1217.pdf</v>
      </c>
    </row>
    <row r="3483" spans="1:28" x14ac:dyDescent="0.25">
      <c r="A3483" t="s">
        <v>3487</v>
      </c>
      <c r="B3483">
        <v>0.99987803227770999</v>
      </c>
      <c r="C3483">
        <v>0.99760079228669696</v>
      </c>
      <c r="D3483">
        <v>0.99331260312212499</v>
      </c>
      <c r="E3483">
        <v>0.99522558276019502</v>
      </c>
      <c r="F3483">
        <v>1.0255170318418501</v>
      </c>
      <c r="G3483">
        <v>0.90528258760484204</v>
      </c>
      <c r="H3483">
        <v>0.86972996928275503</v>
      </c>
      <c r="I3483">
        <v>0.56905447150886201</v>
      </c>
      <c r="J3483">
        <v>0.36172033240759399</v>
      </c>
      <c r="K3483">
        <v>0.25313467178882998</v>
      </c>
      <c r="L3483">
        <v>1859.5206020169201</v>
      </c>
      <c r="M3483">
        <v>29.113463055883699</v>
      </c>
      <c r="N3483">
        <v>64.964807417364497</v>
      </c>
      <c r="O3483">
        <v>63.572430197599601</v>
      </c>
      <c r="P3483">
        <v>-9.2316465240016299E-2</v>
      </c>
      <c r="Q3483">
        <v>0.19367358385598199</v>
      </c>
      <c r="R3483">
        <v>0.99049883094110303</v>
      </c>
      <c r="S3483" t="s">
        <v>9794</v>
      </c>
      <c r="T3483" t="s">
        <v>12620</v>
      </c>
      <c r="U3483" t="s">
        <v>12620</v>
      </c>
      <c r="V3483" t="s">
        <v>12620</v>
      </c>
      <c r="W3483" t="s">
        <v>16056</v>
      </c>
      <c r="X3483">
        <v>19</v>
      </c>
      <c r="Y3483" t="s">
        <v>22193</v>
      </c>
      <c r="Z3483" t="s">
        <v>28430</v>
      </c>
      <c r="AA3483">
        <v>0.83626226410530746</v>
      </c>
      <c r="AB3483" t="str">
        <f>HYPERLINK("Melting_Curves/meltCurve_Q5T5U3_ARHGAP21.pdf", "Melting_Curves/meltCurve_Q5T5U3_ARHGAP21.pdf")</f>
        <v>Melting_Curves/meltCurve_Q5T5U3_ARHGAP21.pdf</v>
      </c>
    </row>
    <row r="3484" spans="1:28" x14ac:dyDescent="0.25">
      <c r="A3484" t="s">
        <v>3488</v>
      </c>
      <c r="B3484">
        <v>0.99987803227770999</v>
      </c>
      <c r="C3484">
        <v>1.08294145212446</v>
      </c>
      <c r="D3484">
        <v>0.95301450585582803</v>
      </c>
      <c r="E3484">
        <v>0.67122437200165097</v>
      </c>
      <c r="F3484">
        <v>0.43617078778305901</v>
      </c>
      <c r="G3484">
        <v>0.34001677327626001</v>
      </c>
      <c r="H3484">
        <v>0.233589801447599</v>
      </c>
      <c r="I3484">
        <v>0.231490149667017</v>
      </c>
      <c r="J3484">
        <v>0.11662147548471501</v>
      </c>
      <c r="K3484">
        <v>6.1194063039642498E-2</v>
      </c>
      <c r="L3484">
        <v>881.50343785169605</v>
      </c>
      <c r="M3484">
        <v>17.002333784076299</v>
      </c>
      <c r="N3484">
        <v>52.7978069480016</v>
      </c>
      <c r="O3484">
        <v>51.144745431129301</v>
      </c>
      <c r="P3484">
        <v>-7.2143552204281897E-2</v>
      </c>
      <c r="Q3484">
        <v>0.13199306848358999</v>
      </c>
      <c r="R3484">
        <v>0.97511174086244101</v>
      </c>
      <c r="S3484" t="s">
        <v>9795</v>
      </c>
      <c r="T3484" t="s">
        <v>12620</v>
      </c>
      <c r="U3484" t="s">
        <v>12620</v>
      </c>
      <c r="V3484" t="s">
        <v>12620</v>
      </c>
      <c r="W3484" t="s">
        <v>16057</v>
      </c>
      <c r="X3484">
        <v>1</v>
      </c>
      <c r="Y3484" t="s">
        <v>22194</v>
      </c>
      <c r="Z3484" t="s">
        <v>28431</v>
      </c>
      <c r="AA3484">
        <v>0.49068509134379212</v>
      </c>
      <c r="AB3484" t="str">
        <f>HYPERLINK("Melting_Curves/meltCurve_Q5T5X7_BEND3.pdf", "Melting_Curves/meltCurve_Q5T5X7_BEND3.pdf")</f>
        <v>Melting_Curves/meltCurve_Q5T5X7_BEND3.pdf</v>
      </c>
    </row>
    <row r="3485" spans="1:28" x14ac:dyDescent="0.25">
      <c r="A3485" t="s">
        <v>3489</v>
      </c>
      <c r="B3485">
        <v>0.99987803227770999</v>
      </c>
      <c r="C3485">
        <v>0.92463820373973904</v>
      </c>
      <c r="D3485">
        <v>0.98044621289494505</v>
      </c>
      <c r="E3485">
        <v>0.82327399164349702</v>
      </c>
      <c r="F3485">
        <v>0.75380232117602197</v>
      </c>
      <c r="G3485">
        <v>0.52670377185261996</v>
      </c>
      <c r="H3485">
        <v>0.52129297546064202</v>
      </c>
      <c r="I3485">
        <v>0.49243304983455799</v>
      </c>
      <c r="J3485">
        <v>0.46078526410624399</v>
      </c>
      <c r="K3485">
        <v>0.35971039351422601</v>
      </c>
      <c r="L3485">
        <v>697.47608106264704</v>
      </c>
      <c r="M3485">
        <v>12.944415161774099</v>
      </c>
      <c r="N3485">
        <v>60.782538661795897</v>
      </c>
      <c r="O3485">
        <v>52.645036880974097</v>
      </c>
      <c r="P3485">
        <v>-3.7812430545030702E-2</v>
      </c>
      <c r="Q3485">
        <v>0.38497668669636498</v>
      </c>
      <c r="R3485">
        <v>0.97023611407492805</v>
      </c>
      <c r="S3485" t="s">
        <v>9796</v>
      </c>
      <c r="T3485" t="s">
        <v>12620</v>
      </c>
      <c r="U3485" t="s">
        <v>12620</v>
      </c>
      <c r="V3485" t="s">
        <v>12620</v>
      </c>
      <c r="W3485" t="s">
        <v>16058</v>
      </c>
      <c r="X3485">
        <v>27</v>
      </c>
      <c r="Y3485" t="s">
        <v>22195</v>
      </c>
      <c r="Z3485" t="s">
        <v>28432</v>
      </c>
      <c r="AA3485">
        <v>0.68463318206056201</v>
      </c>
      <c r="AB3485" t="str">
        <f>HYPERLINK("Melting_Curves/meltCurve_Q5T5Y3_CAMSAP1.pdf", "Melting_Curves/meltCurve_Q5T5Y3_CAMSAP1.pdf")</f>
        <v>Melting_Curves/meltCurve_Q5T5Y3_CAMSAP1.pdf</v>
      </c>
    </row>
    <row r="3486" spans="1:28" x14ac:dyDescent="0.25">
      <c r="A3486" t="s">
        <v>3490</v>
      </c>
      <c r="B3486">
        <v>0.99987803227770999</v>
      </c>
      <c r="C3486">
        <v>0.86376651445286401</v>
      </c>
      <c r="D3486">
        <v>1.0278355412969999</v>
      </c>
      <c r="E3486">
        <v>0.91008280985377998</v>
      </c>
      <c r="F3486">
        <v>1.0869337040976199</v>
      </c>
      <c r="G3486">
        <v>1.0198949995029001</v>
      </c>
      <c r="H3486">
        <v>1.06421512625465</v>
      </c>
      <c r="I3486">
        <v>1.04929091340902</v>
      </c>
      <c r="J3486">
        <v>1.0814824527809099</v>
      </c>
      <c r="K3486">
        <v>0.86882470222153496</v>
      </c>
      <c r="L3486">
        <v>15000</v>
      </c>
      <c r="M3486">
        <v>212.39504299751499</v>
      </c>
      <c r="Q3486">
        <v>0</v>
      </c>
      <c r="R3486">
        <v>0.26072022099333098</v>
      </c>
      <c r="S3486" t="s">
        <v>9797</v>
      </c>
      <c r="T3486" t="s">
        <v>12620</v>
      </c>
      <c r="U3486" t="s">
        <v>12620</v>
      </c>
      <c r="V3486" t="s">
        <v>12620</v>
      </c>
      <c r="W3486" t="s">
        <v>16059</v>
      </c>
      <c r="X3486">
        <v>19</v>
      </c>
      <c r="Y3486" t="s">
        <v>22196</v>
      </c>
      <c r="Z3486" t="s">
        <v>28433</v>
      </c>
      <c r="AA3486">
        <v>0.99848355578786807</v>
      </c>
      <c r="AB3486" t="str">
        <f>HYPERLINK("Melting_Curves/meltCurve_Q5T6F2_UBAP2.pdf", "Melting_Curves/meltCurve_Q5T6F2_UBAP2.pdf")</f>
        <v>Melting_Curves/meltCurve_Q5T6F2_UBAP2.pdf</v>
      </c>
    </row>
    <row r="3487" spans="1:28" x14ac:dyDescent="0.25">
      <c r="A3487" t="s">
        <v>3491</v>
      </c>
      <c r="B3487">
        <v>0.99987803227770999</v>
      </c>
      <c r="C3487">
        <v>0.88634461952819299</v>
      </c>
      <c r="D3487">
        <v>0.93376224279966802</v>
      </c>
      <c r="E3487">
        <v>0.70194427142420301</v>
      </c>
      <c r="F3487">
        <v>0.57926112014384901</v>
      </c>
      <c r="G3487">
        <v>0.35663604266144899</v>
      </c>
      <c r="H3487">
        <v>0.29803529961664899</v>
      </c>
      <c r="I3487">
        <v>0.217295697101548</v>
      </c>
      <c r="J3487">
        <v>0.18857651164372799</v>
      </c>
      <c r="K3487">
        <v>0.149762839956079</v>
      </c>
      <c r="L3487">
        <v>640.994916607699</v>
      </c>
      <c r="M3487">
        <v>12.060110731139901</v>
      </c>
      <c r="N3487">
        <v>54.338421498358201</v>
      </c>
      <c r="O3487">
        <v>51.7519440999274</v>
      </c>
      <c r="P3487">
        <v>-5.1517859637241502E-2</v>
      </c>
      <c r="Q3487">
        <v>0.115922167931481</v>
      </c>
      <c r="R3487">
        <v>0.99017314765829001</v>
      </c>
      <c r="S3487" t="s">
        <v>9798</v>
      </c>
      <c r="T3487" t="s">
        <v>12620</v>
      </c>
      <c r="U3487" t="s">
        <v>12620</v>
      </c>
      <c r="V3487" t="s">
        <v>12620</v>
      </c>
      <c r="W3487" t="s">
        <v>16060</v>
      </c>
      <c r="X3487">
        <v>2</v>
      </c>
      <c r="Y3487" t="s">
        <v>22197</v>
      </c>
      <c r="Z3487" t="s">
        <v>28434</v>
      </c>
      <c r="AA3487">
        <v>0.52818051073361427</v>
      </c>
      <c r="AB3487" t="str">
        <f>HYPERLINK("Melting_Curves/meltCurve_Q5T6S3_2_PHF19.pdf", "Melting_Curves/meltCurve_Q5T6S3_2_PHF19.pdf")</f>
        <v>Melting_Curves/meltCurve_Q5T6S3_2_PHF19.pdf</v>
      </c>
    </row>
    <row r="3488" spans="1:28" x14ac:dyDescent="0.25">
      <c r="A3488" t="s">
        <v>3492</v>
      </c>
      <c r="B3488">
        <v>0.99987803227770999</v>
      </c>
      <c r="C3488">
        <v>0.89732044660588095</v>
      </c>
      <c r="D3488">
        <v>1.0348430538181299</v>
      </c>
      <c r="E3488">
        <v>0.88337334478643004</v>
      </c>
      <c r="F3488">
        <v>0.30530908340288399</v>
      </c>
      <c r="G3488">
        <v>0.14251235911396001</v>
      </c>
      <c r="H3488">
        <v>8.7611616539813905E-2</v>
      </c>
      <c r="I3488">
        <v>7.8367256330257096E-2</v>
      </c>
      <c r="J3488">
        <v>5.0823874006230299E-2</v>
      </c>
      <c r="K3488">
        <v>3.65515562068554E-2</v>
      </c>
      <c r="L3488">
        <v>2613.2524232406599</v>
      </c>
      <c r="M3488">
        <v>50.378561897222802</v>
      </c>
      <c r="N3488">
        <v>52.043001486785499</v>
      </c>
      <c r="O3488">
        <v>51.790773042870597</v>
      </c>
      <c r="P3488">
        <v>-0.22466459553594501</v>
      </c>
      <c r="Q3488">
        <v>7.6151221277448805E-2</v>
      </c>
      <c r="R3488">
        <v>0.99001133419959797</v>
      </c>
      <c r="S3488" t="s">
        <v>9799</v>
      </c>
      <c r="T3488" t="s">
        <v>12620</v>
      </c>
      <c r="U3488" t="s">
        <v>12620</v>
      </c>
      <c r="V3488" t="s">
        <v>12620</v>
      </c>
      <c r="W3488" t="s">
        <v>16061</v>
      </c>
      <c r="X3488">
        <v>16</v>
      </c>
      <c r="Y3488" t="s">
        <v>22198</v>
      </c>
      <c r="Z3488" t="s">
        <v>28435</v>
      </c>
      <c r="AA3488">
        <v>0.44384046814174299</v>
      </c>
      <c r="AB3488" t="str">
        <f>HYPERLINK("Melting_Curves/meltCurve_Q5T6V5_C9orf64.pdf", "Melting_Curves/meltCurve_Q5T6V5_C9orf64.pdf")</f>
        <v>Melting_Curves/meltCurve_Q5T6V5_C9orf64.pdf</v>
      </c>
    </row>
    <row r="3489" spans="1:28" x14ac:dyDescent="0.25">
      <c r="A3489" t="s">
        <v>3493</v>
      </c>
      <c r="B3489">
        <v>0.99987803227770999</v>
      </c>
      <c r="C3489">
        <v>1.0215161454673201</v>
      </c>
      <c r="D3489">
        <v>0.93820202143043596</v>
      </c>
      <c r="E3489">
        <v>0.70590700382389304</v>
      </c>
      <c r="F3489">
        <v>0.33087290356062798</v>
      </c>
      <c r="G3489">
        <v>0.28989734990103799</v>
      </c>
      <c r="H3489">
        <v>0.13513260200698701</v>
      </c>
      <c r="I3489">
        <v>0.138449931349999</v>
      </c>
      <c r="J3489">
        <v>0.123026633351666</v>
      </c>
      <c r="K3489">
        <v>6.1813706547894899E-2</v>
      </c>
      <c r="L3489">
        <v>1155.0080164026399</v>
      </c>
      <c r="M3489">
        <v>22.5495764410351</v>
      </c>
      <c r="N3489">
        <v>51.832495757292499</v>
      </c>
      <c r="O3489">
        <v>50.823109332895598</v>
      </c>
      <c r="P3489">
        <v>-9.7965955835616694E-2</v>
      </c>
      <c r="Q3489">
        <v>0.11682010314715301</v>
      </c>
      <c r="R3489">
        <v>0.98709451605851894</v>
      </c>
      <c r="S3489" t="s">
        <v>9800</v>
      </c>
      <c r="T3489" t="s">
        <v>12620</v>
      </c>
      <c r="U3489" t="s">
        <v>12620</v>
      </c>
      <c r="V3489" t="s">
        <v>12620</v>
      </c>
      <c r="W3489" t="s">
        <v>16062</v>
      </c>
      <c r="X3489">
        <v>2</v>
      </c>
      <c r="Y3489" t="s">
        <v>22199</v>
      </c>
      <c r="Z3489" t="s">
        <v>28436</v>
      </c>
      <c r="AA3489">
        <v>0.4569230484178986</v>
      </c>
      <c r="AB3489" t="str">
        <f>HYPERLINK("Melting_Curves/meltCurve_Q5T7A2_ADCK3.pdf", "Melting_Curves/meltCurve_Q5T7A2_ADCK3.pdf")</f>
        <v>Melting_Curves/meltCurve_Q5T7A2_ADCK3.pdf</v>
      </c>
    </row>
    <row r="3490" spans="1:28" x14ac:dyDescent="0.25">
      <c r="A3490" t="s">
        <v>3494</v>
      </c>
      <c r="B3490">
        <v>0.99987803227770999</v>
      </c>
      <c r="C3490">
        <v>0.92476804765904197</v>
      </c>
      <c r="D3490">
        <v>0.97003841736626295</v>
      </c>
      <c r="E3490">
        <v>0.83800092504383905</v>
      </c>
      <c r="F3490">
        <v>0.74883356791528299</v>
      </c>
      <c r="G3490">
        <v>0.54825686343052604</v>
      </c>
      <c r="H3490">
        <v>0.49056362984722901</v>
      </c>
      <c r="I3490">
        <v>0.51816864340852598</v>
      </c>
      <c r="J3490">
        <v>0.36139031400364002</v>
      </c>
      <c r="K3490">
        <v>0.30037117186145901</v>
      </c>
      <c r="L3490">
        <v>528.300637110808</v>
      </c>
      <c r="M3490">
        <v>9.2562385687371993</v>
      </c>
      <c r="N3490">
        <v>60.778898145410302</v>
      </c>
      <c r="O3490">
        <v>54.600826890959098</v>
      </c>
      <c r="P3490">
        <v>-3.3267605687537699E-2</v>
      </c>
      <c r="Q3490">
        <v>0.21555454032282501</v>
      </c>
      <c r="R3490">
        <v>0.97042685930860195</v>
      </c>
      <c r="S3490" t="s">
        <v>9801</v>
      </c>
      <c r="T3490" t="s">
        <v>12620</v>
      </c>
      <c r="U3490" t="s">
        <v>12620</v>
      </c>
      <c r="V3490" t="s">
        <v>12620</v>
      </c>
      <c r="W3490" t="s">
        <v>16063</v>
      </c>
      <c r="X3490">
        <v>4</v>
      </c>
      <c r="Y3490" t="s">
        <v>22200</v>
      </c>
      <c r="Z3490" t="s">
        <v>28437</v>
      </c>
      <c r="AA3490">
        <v>0.67326875440716771</v>
      </c>
      <c r="AB3490" t="str">
        <f>HYPERLINK("Melting_Curves/meltCurve_Q5T7V8_GORAB.pdf", "Melting_Curves/meltCurve_Q5T7V8_GORAB.pdf")</f>
        <v>Melting_Curves/meltCurve_Q5T7V8_GORAB.pdf</v>
      </c>
    </row>
    <row r="3491" spans="1:28" x14ac:dyDescent="0.25">
      <c r="A3491" t="s">
        <v>3495</v>
      </c>
      <c r="B3491">
        <v>0.99987803227770999</v>
      </c>
      <c r="C3491">
        <v>0.95713716334149801</v>
      </c>
      <c r="D3491">
        <v>0.90625525302955501</v>
      </c>
      <c r="E3491">
        <v>0.95309384255507301</v>
      </c>
      <c r="F3491">
        <v>0.91825854302400201</v>
      </c>
      <c r="G3491">
        <v>0.75882233318118297</v>
      </c>
      <c r="H3491">
        <v>0.80631303117954201</v>
      </c>
      <c r="I3491">
        <v>0.63792989964089097</v>
      </c>
      <c r="J3491">
        <v>0.492504149597145</v>
      </c>
      <c r="K3491">
        <v>0.26564386915575799</v>
      </c>
      <c r="L3491">
        <v>744.25729321270296</v>
      </c>
      <c r="M3491">
        <v>11.246750125228299</v>
      </c>
      <c r="N3491">
        <v>66.175313689113096</v>
      </c>
      <c r="O3491">
        <v>64.186650028597299</v>
      </c>
      <c r="P3491">
        <v>-4.38184324511783E-2</v>
      </c>
      <c r="Q3491">
        <v>0</v>
      </c>
      <c r="R3491">
        <v>0.92710370384094998</v>
      </c>
      <c r="S3491" t="s">
        <v>9802</v>
      </c>
      <c r="T3491" t="s">
        <v>12620</v>
      </c>
      <c r="U3491" t="s">
        <v>12620</v>
      </c>
      <c r="V3491" t="s">
        <v>12620</v>
      </c>
      <c r="W3491" t="s">
        <v>16064</v>
      </c>
      <c r="X3491">
        <v>8</v>
      </c>
      <c r="Y3491" t="s">
        <v>22201</v>
      </c>
      <c r="Z3491" t="s">
        <v>28438</v>
      </c>
      <c r="AA3491">
        <v>0.81301456303521191</v>
      </c>
      <c r="AB3491" t="str">
        <f>HYPERLINK("Melting_Curves/meltCurve_Q5T7W0_ZNF618.pdf", "Melting_Curves/meltCurve_Q5T7W0_ZNF618.pdf")</f>
        <v>Melting_Curves/meltCurve_Q5T7W0_ZNF618.pdf</v>
      </c>
    </row>
    <row r="3492" spans="1:28" x14ac:dyDescent="0.25">
      <c r="A3492" t="s">
        <v>3496</v>
      </c>
      <c r="B3492">
        <v>0.99987803227770999</v>
      </c>
      <c r="C3492">
        <v>1.0066941844330699</v>
      </c>
      <c r="D3492">
        <v>1.0279264072163301</v>
      </c>
      <c r="E3492">
        <v>1.06239883974357</v>
      </c>
      <c r="F3492">
        <v>1.1857759363031799</v>
      </c>
      <c r="G3492">
        <v>0.79588059074894302</v>
      </c>
      <c r="H3492">
        <v>0.74855515467302702</v>
      </c>
      <c r="I3492">
        <v>0.84295262689013095</v>
      </c>
      <c r="J3492">
        <v>0.59152448164749705</v>
      </c>
      <c r="K3492">
        <v>0.39710259612804699</v>
      </c>
      <c r="L3492">
        <v>920.90081879797106</v>
      </c>
      <c r="M3492">
        <v>13.416142025576701</v>
      </c>
      <c r="N3492">
        <v>68.641254631831302</v>
      </c>
      <c r="O3492">
        <v>67.170002739021101</v>
      </c>
      <c r="P3492">
        <v>-4.9941317499958102E-2</v>
      </c>
      <c r="Q3492">
        <v>0</v>
      </c>
      <c r="R3492">
        <v>0.82222819633227595</v>
      </c>
      <c r="S3492" t="s">
        <v>9803</v>
      </c>
      <c r="T3492" t="s">
        <v>12620</v>
      </c>
      <c r="U3492" t="s">
        <v>12620</v>
      </c>
      <c r="V3492" t="s">
        <v>12620</v>
      </c>
      <c r="W3492" t="s">
        <v>16065</v>
      </c>
      <c r="X3492">
        <v>8</v>
      </c>
      <c r="Y3492" t="s">
        <v>22201</v>
      </c>
      <c r="Z3492" t="s">
        <v>28439</v>
      </c>
      <c r="AA3492">
        <v>0.87462737620683617</v>
      </c>
      <c r="AB3492" t="str">
        <f>HYPERLINK("Melting_Curves/meltCurve_Q5T7W0_2_ZNF618.pdf", "Melting_Curves/meltCurve_Q5T7W0_2_ZNF618.pdf")</f>
        <v>Melting_Curves/meltCurve_Q5T7W0_2_ZNF618.pdf</v>
      </c>
    </row>
    <row r="3493" spans="1:28" x14ac:dyDescent="0.25">
      <c r="A3493" t="s">
        <v>3497</v>
      </c>
      <c r="B3493">
        <v>0.99987803227770999</v>
      </c>
      <c r="C3493">
        <v>0.52573079140762302</v>
      </c>
      <c r="D3493">
        <v>1.6968826613085499</v>
      </c>
      <c r="E3493">
        <v>1.2440015398114601</v>
      </c>
      <c r="F3493">
        <v>1.3254795593962601</v>
      </c>
      <c r="G3493">
        <v>0.29430104865294099</v>
      </c>
      <c r="H3493">
        <v>2.2190988022089302</v>
      </c>
      <c r="I3493">
        <v>1.60397832209605</v>
      </c>
      <c r="J3493">
        <v>2.22910165069319</v>
      </c>
      <c r="K3493">
        <v>1.9290755791217999</v>
      </c>
      <c r="L3493">
        <v>679.18624705235004</v>
      </c>
      <c r="M3493">
        <v>13.4788755783625</v>
      </c>
      <c r="O3493">
        <v>49.318602776202802</v>
      </c>
      <c r="P3493">
        <v>3.4167999349510397E-2</v>
      </c>
      <c r="Q3493">
        <v>1.5</v>
      </c>
      <c r="R3493">
        <v>0.184455147526077</v>
      </c>
      <c r="S3493" t="s">
        <v>9804</v>
      </c>
      <c r="T3493" t="s">
        <v>12620</v>
      </c>
      <c r="U3493" t="s">
        <v>12620</v>
      </c>
      <c r="V3493" t="s">
        <v>12620</v>
      </c>
      <c r="W3493" t="s">
        <v>16066</v>
      </c>
      <c r="X3493">
        <v>1</v>
      </c>
      <c r="Y3493" t="s">
        <v>22202</v>
      </c>
      <c r="Z3493" t="s">
        <v>28440</v>
      </c>
      <c r="AA3493">
        <v>1.3127592301711879</v>
      </c>
      <c r="AB3493" t="str">
        <f>HYPERLINK("Melting_Curves/meltCurve_Q5T8A7_PPP1R26.pdf", "Melting_Curves/meltCurve_Q5T8A7_PPP1R26.pdf")</f>
        <v>Melting_Curves/meltCurve_Q5T8A7_PPP1R26.pdf</v>
      </c>
    </row>
    <row r="3494" spans="1:28" x14ac:dyDescent="0.25">
      <c r="A3494" t="s">
        <v>3498</v>
      </c>
      <c r="B3494">
        <v>0.99987803227770999</v>
      </c>
      <c r="C3494">
        <v>0.80935104229187405</v>
      </c>
      <c r="D3494">
        <v>1.0549957747930701</v>
      </c>
      <c r="E3494">
        <v>0.84167904951796202</v>
      </c>
      <c r="F3494">
        <v>1.0140609759433501</v>
      </c>
      <c r="G3494">
        <v>0.76762269094174695</v>
      </c>
      <c r="H3494">
        <v>0.807460966162588</v>
      </c>
      <c r="I3494">
        <v>0.84980131994255204</v>
      </c>
      <c r="J3494">
        <v>0.72091584927279795</v>
      </c>
      <c r="K3494">
        <v>0.590551507045743</v>
      </c>
      <c r="L3494">
        <v>340.337528413526</v>
      </c>
      <c r="M3494">
        <v>4.2005241545754401</v>
      </c>
      <c r="O3494">
        <v>67.524165536284002</v>
      </c>
      <c r="P3494">
        <v>-1.5722578440105599E-2</v>
      </c>
      <c r="Q3494">
        <v>0</v>
      </c>
      <c r="R3494">
        <v>0.57164351750790199</v>
      </c>
      <c r="S3494" t="s">
        <v>9805</v>
      </c>
      <c r="T3494" t="s">
        <v>12620</v>
      </c>
      <c r="U3494" t="s">
        <v>12620</v>
      </c>
      <c r="V3494" t="s">
        <v>12620</v>
      </c>
      <c r="W3494" t="s">
        <v>16067</v>
      </c>
      <c r="X3494">
        <v>8</v>
      </c>
      <c r="Y3494" t="s">
        <v>22203</v>
      </c>
      <c r="Z3494" t="s">
        <v>28441</v>
      </c>
      <c r="AA3494">
        <v>0.85950671112612376</v>
      </c>
      <c r="AB3494" t="str">
        <f>HYPERLINK("Melting_Curves/meltCurve_Q5T8D3_2_ACBD5.pdf", "Melting_Curves/meltCurve_Q5T8D3_2_ACBD5.pdf")</f>
        <v>Melting_Curves/meltCurve_Q5T8D3_2_ACBD5.pdf</v>
      </c>
    </row>
    <row r="3495" spans="1:28" x14ac:dyDescent="0.25">
      <c r="A3495" t="s">
        <v>3499</v>
      </c>
      <c r="B3495">
        <v>0.99987803227770999</v>
      </c>
      <c r="C3495">
        <v>0.93944748369946296</v>
      </c>
      <c r="D3495">
        <v>0.95382013488284001</v>
      </c>
      <c r="E3495">
        <v>0.72583964211559304</v>
      </c>
      <c r="F3495">
        <v>0.63820291427189901</v>
      </c>
      <c r="G3495">
        <v>0.38733354053701902</v>
      </c>
      <c r="H3495">
        <v>0.34077194236295999</v>
      </c>
      <c r="I3495">
        <v>0.29192017113638702</v>
      </c>
      <c r="J3495">
        <v>0.25758729782543899</v>
      </c>
      <c r="K3495">
        <v>0.20696716605821699</v>
      </c>
      <c r="L3495">
        <v>730.07502261489606</v>
      </c>
      <c r="M3495">
        <v>13.7662662871015</v>
      </c>
      <c r="N3495">
        <v>55.1593835808874</v>
      </c>
      <c r="O3495">
        <v>51.952091268208399</v>
      </c>
      <c r="P3495">
        <v>-5.2615625048473197E-2</v>
      </c>
      <c r="Q3495">
        <v>0.205854240768548</v>
      </c>
      <c r="R3495">
        <v>0.99103993743930996</v>
      </c>
      <c r="S3495" t="s">
        <v>9806</v>
      </c>
      <c r="T3495" t="s">
        <v>12620</v>
      </c>
      <c r="U3495" t="s">
        <v>12620</v>
      </c>
      <c r="V3495" t="s">
        <v>12620</v>
      </c>
      <c r="W3495" t="s">
        <v>16068</v>
      </c>
      <c r="X3495">
        <v>23</v>
      </c>
      <c r="Y3495" t="s">
        <v>22204</v>
      </c>
      <c r="Z3495" t="s">
        <v>28442</v>
      </c>
      <c r="AA3495">
        <v>0.57000960021983471</v>
      </c>
      <c r="AB3495" t="str">
        <f>HYPERLINK("Melting_Curves/meltCurve_Q5T8P6_2_RBM26.pdf", "Melting_Curves/meltCurve_Q5T8P6_2_RBM26.pdf")</f>
        <v>Melting_Curves/meltCurve_Q5T8P6_2_RBM26.pdf</v>
      </c>
    </row>
    <row r="3496" spans="1:28" x14ac:dyDescent="0.25">
      <c r="A3496" t="s">
        <v>3500</v>
      </c>
      <c r="B3496">
        <v>0.99987803227770999</v>
      </c>
      <c r="C3496">
        <v>1.22279682442034</v>
      </c>
      <c r="D3496">
        <v>1.00564645281967</v>
      </c>
      <c r="E3496">
        <v>1.13133089090713</v>
      </c>
      <c r="F3496">
        <v>0.859404009975828</v>
      </c>
      <c r="G3496">
        <v>1.0062578602660599</v>
      </c>
      <c r="H3496">
        <v>0.84092404162189804</v>
      </c>
      <c r="I3496">
        <v>0.35609776671272902</v>
      </c>
      <c r="J3496">
        <v>0.23967322275220901</v>
      </c>
      <c r="K3496">
        <v>0.140053835299809</v>
      </c>
      <c r="L3496">
        <v>3356.2069363545602</v>
      </c>
      <c r="M3496">
        <v>53.622430553488897</v>
      </c>
      <c r="N3496">
        <v>63.0875470858333</v>
      </c>
      <c r="O3496">
        <v>62.5027403608131</v>
      </c>
      <c r="P3496">
        <v>-0.177474801835901</v>
      </c>
      <c r="Q3496">
        <v>0.172536261406147</v>
      </c>
      <c r="R3496">
        <v>0.933830637042812</v>
      </c>
      <c r="S3496" t="s">
        <v>9807</v>
      </c>
      <c r="T3496" t="s">
        <v>12620</v>
      </c>
      <c r="U3496" t="s">
        <v>12620</v>
      </c>
      <c r="V3496" t="s">
        <v>12620</v>
      </c>
      <c r="W3496" t="s">
        <v>16069</v>
      </c>
      <c r="X3496">
        <v>3</v>
      </c>
      <c r="Y3496" t="s">
        <v>22205</v>
      </c>
      <c r="Z3496" t="s">
        <v>28443</v>
      </c>
      <c r="AA3496">
        <v>0.79744664159197265</v>
      </c>
      <c r="AB3496" t="str">
        <f>HYPERLINK("Melting_Curves/meltCurve_Q5T985_ITIH2.pdf", "Melting_Curves/meltCurve_Q5T985_ITIH2.pdf")</f>
        <v>Melting_Curves/meltCurve_Q5T985_ITIH2.pdf</v>
      </c>
    </row>
    <row r="3497" spans="1:28" x14ac:dyDescent="0.25">
      <c r="A3497" t="s">
        <v>3501</v>
      </c>
      <c r="B3497">
        <v>0.99987803227770999</v>
      </c>
      <c r="C3497">
        <v>0.88876604416851901</v>
      </c>
      <c r="D3497">
        <v>0.94016712798405</v>
      </c>
      <c r="E3497">
        <v>0.69869015187132599</v>
      </c>
      <c r="F3497">
        <v>0.64188616283533095</v>
      </c>
      <c r="G3497">
        <v>0.392489207595484</v>
      </c>
      <c r="H3497">
        <v>0.28647889926673598</v>
      </c>
      <c r="I3497">
        <v>0.29848689758247698</v>
      </c>
      <c r="J3497">
        <v>0.228899148546931</v>
      </c>
      <c r="K3497">
        <v>0.198157286440794</v>
      </c>
      <c r="L3497">
        <v>643.26859892601499</v>
      </c>
      <c r="M3497">
        <v>12.085323028935001</v>
      </c>
      <c r="N3497">
        <v>55.030154002419799</v>
      </c>
      <c r="O3497">
        <v>51.832750943466699</v>
      </c>
      <c r="P3497">
        <v>-4.8772419503942503E-2</v>
      </c>
      <c r="Q3497">
        <v>0.16347593445032299</v>
      </c>
      <c r="R3497">
        <v>0.98388408739184297</v>
      </c>
      <c r="S3497" t="s">
        <v>9808</v>
      </c>
      <c r="T3497" t="s">
        <v>12620</v>
      </c>
      <c r="U3497" t="s">
        <v>12620</v>
      </c>
      <c r="V3497" t="s">
        <v>12620</v>
      </c>
      <c r="W3497" t="s">
        <v>16070</v>
      </c>
      <c r="X3497">
        <v>4</v>
      </c>
      <c r="Y3497" t="s">
        <v>22206</v>
      </c>
      <c r="Z3497" t="s">
        <v>28444</v>
      </c>
      <c r="AA3497">
        <v>0.55551659229314687</v>
      </c>
      <c r="AB3497" t="str">
        <f>HYPERLINK("Melting_Curves/meltCurve_Q5T9C2_2_FAM102A.pdf", "Melting_Curves/meltCurve_Q5T9C2_2_FAM102A.pdf")</f>
        <v>Melting_Curves/meltCurve_Q5T9C2_2_FAM102A.pdf</v>
      </c>
    </row>
    <row r="3498" spans="1:28" x14ac:dyDescent="0.25">
      <c r="A3498" t="s">
        <v>3502</v>
      </c>
      <c r="B3498">
        <v>0.99987803227770999</v>
      </c>
      <c r="C3498">
        <v>1.0542206529061899</v>
      </c>
      <c r="D3498">
        <v>1.1792426870258701</v>
      </c>
      <c r="E3498">
        <v>1.17264835970938</v>
      </c>
      <c r="F3498">
        <v>0.94304877771323403</v>
      </c>
      <c r="G3498">
        <v>0.51778624373753801</v>
      </c>
      <c r="H3498">
        <v>0.90598029752585496</v>
      </c>
      <c r="I3498">
        <v>1.0131643686848999</v>
      </c>
      <c r="J3498">
        <v>0.72220062189261203</v>
      </c>
      <c r="K3498">
        <v>0.117568548622448</v>
      </c>
      <c r="L3498">
        <v>15000</v>
      </c>
      <c r="M3498">
        <v>223.10265559972501</v>
      </c>
      <c r="N3498">
        <v>67.314398743268498</v>
      </c>
      <c r="O3498">
        <v>67.228245167820305</v>
      </c>
      <c r="P3498">
        <v>-0.73221479738843898</v>
      </c>
      <c r="Q3498">
        <v>0.11743769484915501</v>
      </c>
      <c r="R3498">
        <v>0.68293767688399598</v>
      </c>
      <c r="S3498" t="s">
        <v>9809</v>
      </c>
      <c r="T3498" t="s">
        <v>12620</v>
      </c>
      <c r="U3498" t="s">
        <v>12620</v>
      </c>
      <c r="V3498" t="s">
        <v>12620</v>
      </c>
      <c r="W3498" t="s">
        <v>16071</v>
      </c>
      <c r="X3498">
        <v>18</v>
      </c>
      <c r="Y3498" t="s">
        <v>21396</v>
      </c>
      <c r="Z3498" t="s">
        <v>28445</v>
      </c>
      <c r="AA3498">
        <v>0.91874601613563811</v>
      </c>
      <c r="AB3498" t="str">
        <f>HYPERLINK("Melting_Curves/meltCurve_Q5TA02_GSTO1.pdf", "Melting_Curves/meltCurve_Q5TA02_GSTO1.pdf")</f>
        <v>Melting_Curves/meltCurve_Q5TA02_GSTO1.pdf</v>
      </c>
    </row>
    <row r="3499" spans="1:28" x14ac:dyDescent="0.25">
      <c r="A3499" t="s">
        <v>3503</v>
      </c>
      <c r="B3499">
        <v>0.99987803227770999</v>
      </c>
      <c r="C3499">
        <v>1.18497542957434</v>
      </c>
      <c r="D3499">
        <v>0.98503447219805496</v>
      </c>
      <c r="E3499">
        <v>1.02860957048948</v>
      </c>
      <c r="F3499">
        <v>0.70557671485476703</v>
      </c>
      <c r="G3499">
        <v>0.51200716282198</v>
      </c>
      <c r="H3499">
        <v>0.24363393978839801</v>
      </c>
      <c r="I3499">
        <v>0.101598530735775</v>
      </c>
      <c r="J3499">
        <v>5.75385027651227E-2</v>
      </c>
      <c r="K3499">
        <v>3.7166676975808E-2</v>
      </c>
      <c r="L3499">
        <v>1052.0069244142701</v>
      </c>
      <c r="M3499">
        <v>18.5084395602188</v>
      </c>
      <c r="N3499">
        <v>56.872751105504101</v>
      </c>
      <c r="O3499">
        <v>56.1882621141878</v>
      </c>
      <c r="P3499">
        <v>-8.1908073986839997E-2</v>
      </c>
      <c r="Q3499">
        <v>5.4120696564794899E-3</v>
      </c>
      <c r="R3499">
        <v>0.97040129948491605</v>
      </c>
      <c r="S3499" t="s">
        <v>9810</v>
      </c>
      <c r="T3499" t="s">
        <v>12620</v>
      </c>
      <c r="U3499" t="s">
        <v>12620</v>
      </c>
      <c r="V3499" t="s">
        <v>12620</v>
      </c>
      <c r="W3499" t="s">
        <v>16072</v>
      </c>
      <c r="X3499">
        <v>1</v>
      </c>
      <c r="Y3499" t="s">
        <v>22207</v>
      </c>
      <c r="Z3499" t="s">
        <v>28446</v>
      </c>
      <c r="AA3499">
        <v>0.57711837883226591</v>
      </c>
      <c r="AB3499" t="str">
        <f>HYPERLINK("Melting_Curves/meltCurve_Q5TA04_WDR96.pdf", "Melting_Curves/meltCurve_Q5TA04_WDR96.pdf")</f>
        <v>Melting_Curves/meltCurve_Q5TA04_WDR96.pdf</v>
      </c>
    </row>
    <row r="3500" spans="1:28" x14ac:dyDescent="0.25">
      <c r="A3500" t="s">
        <v>3504</v>
      </c>
      <c r="B3500">
        <v>0.99987803227770999</v>
      </c>
      <c r="C3500">
        <v>1.1428807820534099</v>
      </c>
      <c r="D3500">
        <v>0.94137689808146696</v>
      </c>
      <c r="E3500">
        <v>1.21319195625943</v>
      </c>
      <c r="F3500">
        <v>1.0582974272886601</v>
      </c>
      <c r="G3500">
        <v>0.91472298384640705</v>
      </c>
      <c r="H3500">
        <v>0.80716380276297295</v>
      </c>
      <c r="I3500">
        <v>1.03083544911697</v>
      </c>
      <c r="J3500">
        <v>0.53299385812720801</v>
      </c>
      <c r="K3500">
        <v>0.389617997650335</v>
      </c>
      <c r="L3500">
        <v>15000</v>
      </c>
      <c r="M3500">
        <v>225.06117639253401</v>
      </c>
      <c r="N3500">
        <v>67.098868923199802</v>
      </c>
      <c r="O3500">
        <v>66.643263318444198</v>
      </c>
      <c r="P3500">
        <v>-0.51534903037601798</v>
      </c>
      <c r="Q3500">
        <v>0.38959616823020099</v>
      </c>
      <c r="R3500">
        <v>0.807904396719345</v>
      </c>
      <c r="S3500" t="s">
        <v>9811</v>
      </c>
      <c r="T3500" t="s">
        <v>12620</v>
      </c>
      <c r="U3500" t="s">
        <v>12620</v>
      </c>
      <c r="V3500" t="s">
        <v>12620</v>
      </c>
      <c r="W3500" t="s">
        <v>16073</v>
      </c>
      <c r="X3500">
        <v>3</v>
      </c>
      <c r="Y3500" t="s">
        <v>22208</v>
      </c>
      <c r="Z3500" t="s">
        <v>28447</v>
      </c>
      <c r="AA3500">
        <v>0.93189660046493716</v>
      </c>
      <c r="AB3500" t="str">
        <f>HYPERLINK("Melting_Curves/meltCurve_Q5TA31_RNF187.pdf", "Melting_Curves/meltCurve_Q5TA31_RNF187.pdf")</f>
        <v>Melting_Curves/meltCurve_Q5TA31_RNF187.pdf</v>
      </c>
    </row>
    <row r="3501" spans="1:28" x14ac:dyDescent="0.25">
      <c r="A3501" t="s">
        <v>3505</v>
      </c>
      <c r="B3501">
        <v>0.99987803227770999</v>
      </c>
      <c r="C3501">
        <v>1.0823253978663301</v>
      </c>
      <c r="D3501">
        <v>1.03549074635704</v>
      </c>
      <c r="E3501">
        <v>1.19119886062243</v>
      </c>
      <c r="F3501">
        <v>1.14765309203232</v>
      </c>
      <c r="G3501">
        <v>0.97303017188868901</v>
      </c>
      <c r="H3501">
        <v>0.97559667476093803</v>
      </c>
      <c r="I3501">
        <v>0.89152338531392705</v>
      </c>
      <c r="J3501">
        <v>0.80482240452718201</v>
      </c>
      <c r="K3501">
        <v>0.485888802038004</v>
      </c>
      <c r="L3501">
        <v>1925.9746807285201</v>
      </c>
      <c r="M3501">
        <v>27.522072907014401</v>
      </c>
      <c r="N3501">
        <v>69.979251736075099</v>
      </c>
      <c r="O3501">
        <v>69.612949527406698</v>
      </c>
      <c r="P3501">
        <v>-9.8840538760781999E-2</v>
      </c>
      <c r="Q3501">
        <v>0</v>
      </c>
      <c r="R3501">
        <v>0.80895230319155897</v>
      </c>
      <c r="S3501" t="s">
        <v>9812</v>
      </c>
      <c r="T3501" t="s">
        <v>12620</v>
      </c>
      <c r="U3501" t="s">
        <v>12620</v>
      </c>
      <c r="V3501" t="s">
        <v>12620</v>
      </c>
      <c r="W3501" t="s">
        <v>16074</v>
      </c>
      <c r="X3501">
        <v>14</v>
      </c>
      <c r="Y3501" t="s">
        <v>22209</v>
      </c>
      <c r="Z3501" t="s">
        <v>28448</v>
      </c>
      <c r="AA3501">
        <v>0.94544454512037102</v>
      </c>
      <c r="AB3501" t="str">
        <f>HYPERLINK("Melting_Curves/meltCurve_Q5TA58_AGO1.pdf", "Melting_Curves/meltCurve_Q5TA58_AGO1.pdf")</f>
        <v>Melting_Curves/meltCurve_Q5TA58_AGO1.pdf</v>
      </c>
    </row>
    <row r="3502" spans="1:28" x14ac:dyDescent="0.25">
      <c r="A3502" t="s">
        <v>3506</v>
      </c>
      <c r="B3502">
        <v>0.99987803227770999</v>
      </c>
      <c r="C3502">
        <v>0.88469328021923499</v>
      </c>
      <c r="D3502">
        <v>0.95547091573765497</v>
      </c>
      <c r="E3502">
        <v>0.86243544516746196</v>
      </c>
      <c r="F3502">
        <v>0.80930535045194496</v>
      </c>
      <c r="G3502">
        <v>0.59286093504277204</v>
      </c>
      <c r="H3502">
        <v>0.48957930883198703</v>
      </c>
      <c r="I3502">
        <v>0.45328939370128302</v>
      </c>
      <c r="J3502">
        <v>0.36190066778747798</v>
      </c>
      <c r="K3502">
        <v>0.33777553838313901</v>
      </c>
      <c r="L3502">
        <v>570.68217586890796</v>
      </c>
      <c r="M3502">
        <v>9.9161490087509705</v>
      </c>
      <c r="N3502">
        <v>61.092164870299499</v>
      </c>
      <c r="O3502">
        <v>55.356942115536199</v>
      </c>
      <c r="P3502">
        <v>-3.5011007094663697E-2</v>
      </c>
      <c r="Q3502">
        <v>0.21859616328475101</v>
      </c>
      <c r="R3502">
        <v>0.97871293848899499</v>
      </c>
      <c r="S3502" t="s">
        <v>9813</v>
      </c>
      <c r="T3502" t="s">
        <v>12620</v>
      </c>
      <c r="U3502" t="s">
        <v>12620</v>
      </c>
      <c r="V3502" t="s">
        <v>12620</v>
      </c>
      <c r="W3502" t="s">
        <v>16075</v>
      </c>
      <c r="X3502">
        <v>2</v>
      </c>
      <c r="Y3502" t="s">
        <v>22210</v>
      </c>
      <c r="Z3502" t="s">
        <v>28449</v>
      </c>
      <c r="AA3502">
        <v>0.68550455335810889</v>
      </c>
      <c r="AB3502" t="str">
        <f>HYPERLINK("Melting_Curves/meltCurve_Q5TAQ0_MNF1.pdf", "Melting_Curves/meltCurve_Q5TAQ0_MNF1.pdf")</f>
        <v>Melting_Curves/meltCurve_Q5TAQ0_MNF1.pdf</v>
      </c>
    </row>
    <row r="3503" spans="1:28" x14ac:dyDescent="0.25">
      <c r="A3503" t="s">
        <v>3507</v>
      </c>
      <c r="B3503">
        <v>0.99987803227770999</v>
      </c>
      <c r="C3503">
        <v>0.98752189659897005</v>
      </c>
      <c r="D3503">
        <v>0.95292669222193704</v>
      </c>
      <c r="E3503">
        <v>0.91556534748344498</v>
      </c>
      <c r="F3503">
        <v>1.01081117724403</v>
      </c>
      <c r="G3503">
        <v>0.54133379835640905</v>
      </c>
      <c r="H3503">
        <v>0.19946690699972799</v>
      </c>
      <c r="I3503">
        <v>0.16297329833736399</v>
      </c>
      <c r="J3503">
        <v>8.34120714198162E-2</v>
      </c>
      <c r="K3503">
        <v>6.74981271354404E-2</v>
      </c>
      <c r="L3503">
        <v>2110.48873715936</v>
      </c>
      <c r="M3503">
        <v>36.978465025960702</v>
      </c>
      <c r="N3503">
        <v>57.426742336218801</v>
      </c>
      <c r="O3503">
        <v>56.907325688375302</v>
      </c>
      <c r="P3503">
        <v>-0.14592350279025099</v>
      </c>
      <c r="Q3503">
        <v>0.101737675626337</v>
      </c>
      <c r="R3503">
        <v>0.98943717164816303</v>
      </c>
      <c r="S3503" t="s">
        <v>9814</v>
      </c>
      <c r="T3503" t="s">
        <v>12620</v>
      </c>
      <c r="U3503" t="s">
        <v>12620</v>
      </c>
      <c r="V3503" t="s">
        <v>12620</v>
      </c>
      <c r="W3503" t="s">
        <v>16076</v>
      </c>
      <c r="X3503">
        <v>5</v>
      </c>
      <c r="Y3503" t="s">
        <v>22211</v>
      </c>
      <c r="Z3503" t="s">
        <v>28450</v>
      </c>
      <c r="AA3503">
        <v>0.61702560908944892</v>
      </c>
      <c r="AB3503" t="str">
        <f>HYPERLINK("Melting_Curves/meltCurve_Q5TAW7_CAB39L.pdf", "Melting_Curves/meltCurve_Q5TAW7_CAB39L.pdf")</f>
        <v>Melting_Curves/meltCurve_Q5TAW7_CAB39L.pdf</v>
      </c>
    </row>
    <row r="3504" spans="1:28" x14ac:dyDescent="0.25">
      <c r="A3504" t="s">
        <v>3508</v>
      </c>
      <c r="B3504">
        <v>0.99987803227770999</v>
      </c>
      <c r="C3504">
        <v>0.96610974411619899</v>
      </c>
      <c r="D3504">
        <v>0.62362566255644003</v>
      </c>
      <c r="E3504">
        <v>0.41289629236338399</v>
      </c>
      <c r="F3504">
        <v>0.292055893263307</v>
      </c>
      <c r="G3504">
        <v>0.214525889896059</v>
      </c>
      <c r="H3504">
        <v>0.159261966033862</v>
      </c>
      <c r="I3504">
        <v>0.133544532558662</v>
      </c>
      <c r="J3504">
        <v>0.127821329340878</v>
      </c>
      <c r="K3504">
        <v>8.9809533111785397E-2</v>
      </c>
      <c r="L3504">
        <v>793.11582043840895</v>
      </c>
      <c r="M3504">
        <v>16.603243101779501</v>
      </c>
      <c r="N3504">
        <v>48.617741159740802</v>
      </c>
      <c r="O3504">
        <v>47.0918983335959</v>
      </c>
      <c r="P3504">
        <v>-7.7055499768510297E-2</v>
      </c>
      <c r="Q3504">
        <v>0.12584691093416001</v>
      </c>
      <c r="R3504">
        <v>0.98443435263939405</v>
      </c>
      <c r="S3504" t="s">
        <v>9815</v>
      </c>
      <c r="T3504" t="s">
        <v>12620</v>
      </c>
      <c r="U3504" t="s">
        <v>12620</v>
      </c>
      <c r="V3504" t="s">
        <v>12620</v>
      </c>
      <c r="W3504" t="s">
        <v>16077</v>
      </c>
      <c r="X3504">
        <v>7</v>
      </c>
      <c r="Y3504" t="s">
        <v>22212</v>
      </c>
      <c r="Z3504" t="s">
        <v>28451</v>
      </c>
      <c r="AA3504">
        <v>0.37071555615435442</v>
      </c>
      <c r="AB3504" t="str">
        <f>HYPERLINK("Melting_Curves/meltCurve_Q5TAX3_ZCCHC11.pdf", "Melting_Curves/meltCurve_Q5TAX3_ZCCHC11.pdf")</f>
        <v>Melting_Curves/meltCurve_Q5TAX3_ZCCHC11.pdf</v>
      </c>
    </row>
    <row r="3505" spans="1:28" x14ac:dyDescent="0.25">
      <c r="A3505" t="s">
        <v>3509</v>
      </c>
      <c r="B3505">
        <v>0.99987803227770999</v>
      </c>
      <c r="C3505">
        <v>0.91537003105882897</v>
      </c>
      <c r="D3505">
        <v>0.55672061292878305</v>
      </c>
      <c r="E3505">
        <v>0.299561108818447</v>
      </c>
      <c r="F3505">
        <v>0.20159505808445799</v>
      </c>
      <c r="G3505">
        <v>0.12838947788331101</v>
      </c>
      <c r="H3505">
        <v>0.11141626235056599</v>
      </c>
      <c r="I3505">
        <v>0.109027788718896</v>
      </c>
      <c r="J3505">
        <v>8.4039489203690407E-2</v>
      </c>
      <c r="K3505">
        <v>6.2145077969482203E-2</v>
      </c>
      <c r="L3505">
        <v>944.13108745265401</v>
      </c>
      <c r="M3505">
        <v>20.256539734209099</v>
      </c>
      <c r="N3505">
        <v>47.1150293278207</v>
      </c>
      <c r="O3505">
        <v>46.161595324173398</v>
      </c>
      <c r="P3505">
        <v>-9.8977192850578405E-2</v>
      </c>
      <c r="Q3505">
        <v>9.7811613963518201E-2</v>
      </c>
      <c r="R3505">
        <v>0.99184287629781898</v>
      </c>
      <c r="S3505" t="s">
        <v>9816</v>
      </c>
      <c r="T3505" t="s">
        <v>12620</v>
      </c>
      <c r="U3505" t="s">
        <v>12620</v>
      </c>
      <c r="V3505" t="s">
        <v>12620</v>
      </c>
      <c r="W3505" t="s">
        <v>16078</v>
      </c>
      <c r="X3505">
        <v>6</v>
      </c>
      <c r="Y3505" t="s">
        <v>22213</v>
      </c>
      <c r="Z3505" t="s">
        <v>28452</v>
      </c>
      <c r="AA3505">
        <v>0.30961956800112223</v>
      </c>
      <c r="AB3505" t="str">
        <f>HYPERLINK("Melting_Curves/meltCurve_Q5TBB1_RNASEH2B.pdf", "Melting_Curves/meltCurve_Q5TBB1_RNASEH2B.pdf")</f>
        <v>Melting_Curves/meltCurve_Q5TBB1_RNASEH2B.pdf</v>
      </c>
    </row>
    <row r="3506" spans="1:28" x14ac:dyDescent="0.25">
      <c r="A3506" t="s">
        <v>3510</v>
      </c>
      <c r="B3506">
        <v>0.99987803227770999</v>
      </c>
      <c r="C3506">
        <v>1.04066469613379</v>
      </c>
      <c r="D3506">
        <v>1.07727375888874</v>
      </c>
      <c r="E3506">
        <v>0.93253645107084704</v>
      </c>
      <c r="F3506">
        <v>0.79836159231093595</v>
      </c>
      <c r="G3506">
        <v>0.51258526972122398</v>
      </c>
      <c r="H3506">
        <v>0.61927583816532195</v>
      </c>
      <c r="I3506">
        <v>0.62962990002056196</v>
      </c>
      <c r="J3506">
        <v>0.90701512649141702</v>
      </c>
      <c r="K3506">
        <v>0.67936310681346401</v>
      </c>
      <c r="L3506">
        <v>2580.85499156372</v>
      </c>
      <c r="M3506">
        <v>49.499976020066697</v>
      </c>
      <c r="O3506">
        <v>52.053616637996399</v>
      </c>
      <c r="P3506">
        <v>-7.8013565133468396E-2</v>
      </c>
      <c r="Q3506">
        <v>0.67184749399322796</v>
      </c>
      <c r="R3506">
        <v>0.73187164027554097</v>
      </c>
      <c r="S3506" t="s">
        <v>9817</v>
      </c>
      <c r="T3506" t="s">
        <v>12620</v>
      </c>
      <c r="U3506" t="s">
        <v>12620</v>
      </c>
      <c r="V3506" t="s">
        <v>12620</v>
      </c>
      <c r="W3506" t="s">
        <v>16079</v>
      </c>
      <c r="X3506">
        <v>1</v>
      </c>
      <c r="Y3506" t="s">
        <v>22214</v>
      </c>
      <c r="Z3506" t="s">
        <v>28453</v>
      </c>
      <c r="AA3506">
        <v>0.80539362082571908</v>
      </c>
      <c r="AB3506" t="str">
        <f>HYPERLINK("Melting_Curves/meltCurve_Q5TBI2_C1orf131.pdf", "Melting_Curves/meltCurve_Q5TBI2_C1orf131.pdf")</f>
        <v>Melting_Curves/meltCurve_Q5TBI2_C1orf131.pdf</v>
      </c>
    </row>
    <row r="3507" spans="1:28" x14ac:dyDescent="0.25">
      <c r="A3507" t="s">
        <v>3511</v>
      </c>
      <c r="B3507">
        <v>0.99987803227770999</v>
      </c>
      <c r="C3507">
        <v>0.96182917105667798</v>
      </c>
      <c r="D3507">
        <v>1.0145902917729499</v>
      </c>
      <c r="E3507">
        <v>0.82169613080605397</v>
      </c>
      <c r="F3507">
        <v>0.85424008830756704</v>
      </c>
      <c r="G3507">
        <v>0.62476641414349499</v>
      </c>
      <c r="H3507">
        <v>0.52137783365493395</v>
      </c>
      <c r="I3507">
        <v>0.44858120598606299</v>
      </c>
      <c r="J3507">
        <v>0.41425055616587497</v>
      </c>
      <c r="K3507">
        <v>0.318685173758813</v>
      </c>
      <c r="L3507">
        <v>626.97083553869504</v>
      </c>
      <c r="M3507">
        <v>10.807362231188501</v>
      </c>
      <c r="N3507">
        <v>61.753848904051402</v>
      </c>
      <c r="O3507">
        <v>56.132956480391897</v>
      </c>
      <c r="P3507">
        <v>-3.6585492848358103E-2</v>
      </c>
      <c r="Q3507">
        <v>0.24018056850959099</v>
      </c>
      <c r="R3507">
        <v>0.97841448628468597</v>
      </c>
      <c r="S3507" t="s">
        <v>9818</v>
      </c>
      <c r="T3507" t="s">
        <v>12620</v>
      </c>
      <c r="U3507" t="s">
        <v>12620</v>
      </c>
      <c r="V3507" t="s">
        <v>12620</v>
      </c>
      <c r="W3507" t="s">
        <v>16080</v>
      </c>
      <c r="X3507">
        <v>3</v>
      </c>
      <c r="Y3507" t="s">
        <v>22215</v>
      </c>
      <c r="Z3507" t="s">
        <v>28454</v>
      </c>
      <c r="AA3507">
        <v>0.70498809554259301</v>
      </c>
      <c r="AB3507" t="str">
        <f>HYPERLINK("Melting_Curves/meltCurve_Q5TBP9_LSM14B.pdf", "Melting_Curves/meltCurve_Q5TBP9_LSM14B.pdf")</f>
        <v>Melting_Curves/meltCurve_Q5TBP9_LSM14B.pdf</v>
      </c>
    </row>
    <row r="3508" spans="1:28" x14ac:dyDescent="0.25">
      <c r="A3508" t="s">
        <v>3512</v>
      </c>
      <c r="B3508">
        <v>0.99987803227770999</v>
      </c>
      <c r="C3508">
        <v>1.06983437818325</v>
      </c>
      <c r="D3508">
        <v>1.0650915643516199</v>
      </c>
      <c r="E3508">
        <v>0.97302902302189598</v>
      </c>
      <c r="F3508">
        <v>1.0807160292033</v>
      </c>
      <c r="G3508">
        <v>0.86883873989843396</v>
      </c>
      <c r="H3508">
        <v>0.52227732390029602</v>
      </c>
      <c r="I3508">
        <v>0.26075913545097401</v>
      </c>
      <c r="J3508">
        <v>0.118758850391102</v>
      </c>
      <c r="K3508">
        <v>8.0432799795979296E-2</v>
      </c>
      <c r="L3508">
        <v>1748.0562126382799</v>
      </c>
      <c r="M3508">
        <v>28.676889093163201</v>
      </c>
      <c r="N3508">
        <v>61.223254933891901</v>
      </c>
      <c r="O3508">
        <v>60.662855408001597</v>
      </c>
      <c r="P3508">
        <v>-0.111253112668734</v>
      </c>
      <c r="Q3508">
        <v>5.8631693884615699E-2</v>
      </c>
      <c r="R3508">
        <v>0.98781904042922797</v>
      </c>
      <c r="S3508" t="s">
        <v>9819</v>
      </c>
      <c r="T3508" t="s">
        <v>12620</v>
      </c>
      <c r="U3508" t="s">
        <v>12620</v>
      </c>
      <c r="V3508" t="s">
        <v>12620</v>
      </c>
      <c r="W3508" t="s">
        <v>16081</v>
      </c>
      <c r="X3508">
        <v>5</v>
      </c>
      <c r="Y3508" t="s">
        <v>22216</v>
      </c>
      <c r="Z3508" t="s">
        <v>28455</v>
      </c>
      <c r="AA3508">
        <v>0.7216894396590614</v>
      </c>
      <c r="AB3508" t="str">
        <f>HYPERLINK("Melting_Curves/meltCurve_Q5TC12_ATPAF1.pdf", "Melting_Curves/meltCurve_Q5TC12_ATPAF1.pdf")</f>
        <v>Melting_Curves/meltCurve_Q5TC12_ATPAF1.pdf</v>
      </c>
    </row>
    <row r="3509" spans="1:28" x14ac:dyDescent="0.25">
      <c r="A3509" t="s">
        <v>3513</v>
      </c>
      <c r="B3509">
        <v>0.99987803227770999</v>
      </c>
      <c r="C3509">
        <v>1.06635196708014</v>
      </c>
      <c r="D3509">
        <v>0.96758010158256502</v>
      </c>
      <c r="E3509">
        <v>1.25101722150799</v>
      </c>
      <c r="F3509">
        <v>1.57616661777912</v>
      </c>
      <c r="G3509">
        <v>1.87768030262074</v>
      </c>
      <c r="H3509">
        <v>1.94270750708685</v>
      </c>
      <c r="I3509">
        <v>2.20509754549159</v>
      </c>
      <c r="J3509">
        <v>1.8349844285391399</v>
      </c>
      <c r="K3509">
        <v>1.59419538351252</v>
      </c>
      <c r="L3509">
        <v>12499.5930275065</v>
      </c>
      <c r="M3509">
        <v>250</v>
      </c>
      <c r="O3509">
        <v>49.995158008991297</v>
      </c>
      <c r="P3509">
        <v>0.62506034890935303</v>
      </c>
      <c r="Q3509">
        <v>1.5</v>
      </c>
      <c r="R3509">
        <v>0.44243140611868298</v>
      </c>
      <c r="S3509" t="s">
        <v>9820</v>
      </c>
      <c r="T3509" t="s">
        <v>12620</v>
      </c>
      <c r="U3509" t="s">
        <v>12620</v>
      </c>
      <c r="V3509" t="s">
        <v>12620</v>
      </c>
      <c r="W3509" t="s">
        <v>16082</v>
      </c>
      <c r="X3509">
        <v>2</v>
      </c>
      <c r="Y3509" t="s">
        <v>22217</v>
      </c>
      <c r="Z3509" t="s">
        <v>28456</v>
      </c>
      <c r="AA3509">
        <v>1.333316591650447</v>
      </c>
      <c r="AB3509" t="str">
        <f>HYPERLINK("Melting_Curves/meltCurve_Q5TC82_RC3H1.pdf", "Melting_Curves/meltCurve_Q5TC82_RC3H1.pdf")</f>
        <v>Melting_Curves/meltCurve_Q5TC82_RC3H1.pdf</v>
      </c>
    </row>
    <row r="3510" spans="1:28" x14ac:dyDescent="0.25">
      <c r="A3510" t="s">
        <v>3514</v>
      </c>
      <c r="B3510">
        <v>0.99987803227770999</v>
      </c>
      <c r="C3510">
        <v>0.65636943337100095</v>
      </c>
      <c r="D3510">
        <v>0.68265242960579697</v>
      </c>
      <c r="E3510">
        <v>0.61879473266921303</v>
      </c>
      <c r="F3510">
        <v>0.74211049734482804</v>
      </c>
      <c r="G3510">
        <v>0.40349445766207398</v>
      </c>
      <c r="H3510">
        <v>0.59814851073286601</v>
      </c>
      <c r="I3510">
        <v>0.67529902944438003</v>
      </c>
      <c r="J3510">
        <v>0.86217487267687998</v>
      </c>
      <c r="K3510">
        <v>0.62254840291459601</v>
      </c>
      <c r="L3510">
        <v>7047.07937672558</v>
      </c>
      <c r="M3510">
        <v>168.36358269492601</v>
      </c>
      <c r="O3510">
        <v>41.850411309547297</v>
      </c>
      <c r="P3510">
        <v>-0.35135471839761001</v>
      </c>
      <c r="Q3510">
        <v>0.65065273275492397</v>
      </c>
      <c r="R3510">
        <v>0.47607762643408802</v>
      </c>
      <c r="S3510" t="s">
        <v>9821</v>
      </c>
      <c r="T3510" t="s">
        <v>12620</v>
      </c>
      <c r="U3510" t="s">
        <v>12620</v>
      </c>
      <c r="V3510" t="s">
        <v>12620</v>
      </c>
      <c r="W3510" t="s">
        <v>16083</v>
      </c>
      <c r="X3510">
        <v>1</v>
      </c>
      <c r="Y3510" t="s">
        <v>22218</v>
      </c>
      <c r="Z3510" t="s">
        <v>28457</v>
      </c>
      <c r="AA3510">
        <v>0.67232702083181672</v>
      </c>
      <c r="AB3510" t="str">
        <f>HYPERLINK("Melting_Curves/meltCurve_Q5TC84_OGFRL1.pdf", "Melting_Curves/meltCurve_Q5TC84_OGFRL1.pdf")</f>
        <v>Melting_Curves/meltCurve_Q5TC84_OGFRL1.pdf</v>
      </c>
    </row>
    <row r="3511" spans="1:28" x14ac:dyDescent="0.25">
      <c r="A3511" t="s">
        <v>3515</v>
      </c>
      <c r="B3511">
        <v>0.99987803227770999</v>
      </c>
      <c r="C3511">
        <v>0.98249128635313798</v>
      </c>
      <c r="D3511">
        <v>0.98489517895120005</v>
      </c>
      <c r="E3511">
        <v>0.73693975021207903</v>
      </c>
      <c r="F3511">
        <v>0.48836846957977598</v>
      </c>
      <c r="G3511">
        <v>0.32550374176275898</v>
      </c>
      <c r="H3511">
        <v>0.27967907716611901</v>
      </c>
      <c r="I3511">
        <v>0.23510199508908899</v>
      </c>
      <c r="J3511">
        <v>0.241424537275443</v>
      </c>
      <c r="K3511">
        <v>0.19407727352774701</v>
      </c>
      <c r="L3511">
        <v>1158.408814761</v>
      </c>
      <c r="M3511">
        <v>22.472965741453901</v>
      </c>
      <c r="N3511">
        <v>52.993898894640402</v>
      </c>
      <c r="O3511">
        <v>51.143822714215503</v>
      </c>
      <c r="P3511">
        <v>-8.46619736448464E-2</v>
      </c>
      <c r="Q3511">
        <v>0.229323340827216</v>
      </c>
      <c r="R3511">
        <v>0.99641311155643697</v>
      </c>
      <c r="S3511" t="s">
        <v>9822</v>
      </c>
      <c r="T3511" t="s">
        <v>12620</v>
      </c>
      <c r="U3511" t="s">
        <v>12620</v>
      </c>
      <c r="V3511" t="s">
        <v>12620</v>
      </c>
      <c r="W3511" t="s">
        <v>16084</v>
      </c>
      <c r="X3511">
        <v>18</v>
      </c>
      <c r="Y3511" t="s">
        <v>22219</v>
      </c>
      <c r="Z3511" t="s">
        <v>28458</v>
      </c>
      <c r="AA3511">
        <v>0.53454622467226287</v>
      </c>
      <c r="AB3511" t="str">
        <f>HYPERLINK("Melting_Curves/meltCurve_Q5TCQ9_4_MAGI3.pdf", "Melting_Curves/meltCurve_Q5TCQ9_4_MAGI3.pdf")</f>
        <v>Melting_Curves/meltCurve_Q5TCQ9_4_MAGI3.pdf</v>
      </c>
    </row>
    <row r="3512" spans="1:28" x14ac:dyDescent="0.25">
      <c r="A3512" t="s">
        <v>3516</v>
      </c>
      <c r="B3512">
        <v>0.99987803227770999</v>
      </c>
      <c r="C3512">
        <v>0.83501984453518596</v>
      </c>
      <c r="D3512">
        <v>1.0128000325727899</v>
      </c>
      <c r="E3512">
        <v>0.98330896857014705</v>
      </c>
      <c r="F3512">
        <v>1.22465177630837</v>
      </c>
      <c r="G3512">
        <v>1.2917693849396099</v>
      </c>
      <c r="H3512">
        <v>1.21939905822505</v>
      </c>
      <c r="I3512">
        <v>1.29793430141466</v>
      </c>
      <c r="J3512">
        <v>1.4514777055718899</v>
      </c>
      <c r="K3512">
        <v>1.1239466014302699</v>
      </c>
      <c r="L3512">
        <v>13172.7027978351</v>
      </c>
      <c r="M3512">
        <v>250</v>
      </c>
      <c r="O3512">
        <v>52.687439483833799</v>
      </c>
      <c r="P3512">
        <v>0.32847657395594598</v>
      </c>
      <c r="Q3512">
        <v>1.27690543265584</v>
      </c>
      <c r="R3512">
        <v>0.72590021700959395</v>
      </c>
      <c r="S3512" t="s">
        <v>9823</v>
      </c>
      <c r="T3512" t="s">
        <v>12620</v>
      </c>
      <c r="U3512" t="s">
        <v>12620</v>
      </c>
      <c r="V3512" t="s">
        <v>12620</v>
      </c>
      <c r="W3512" t="s">
        <v>14160</v>
      </c>
      <c r="X3512">
        <v>47</v>
      </c>
      <c r="Y3512" t="s">
        <v>20378</v>
      </c>
      <c r="Z3512" t="s">
        <v>28459</v>
      </c>
      <c r="AA3512">
        <v>1.1597413413238931</v>
      </c>
      <c r="AB3512" t="str">
        <f>HYPERLINK("Melting_Curves/meltCurve_Q5TCU3_TPM2.pdf", "Melting_Curves/meltCurve_Q5TCU3_TPM2.pdf")</f>
        <v>Melting_Curves/meltCurve_Q5TCU3_TPM2.pdf</v>
      </c>
    </row>
    <row r="3513" spans="1:28" x14ac:dyDescent="0.25">
      <c r="A3513" t="s">
        <v>3517</v>
      </c>
      <c r="B3513">
        <v>0.99987803227770999</v>
      </c>
      <c r="C3513">
        <v>0.93465004103931104</v>
      </c>
      <c r="D3513">
        <v>0.79430212150710799</v>
      </c>
      <c r="E3513">
        <v>0.806007632191163</v>
      </c>
      <c r="F3513">
        <v>0.73075041535006402</v>
      </c>
      <c r="G3513">
        <v>0.60144160768705601</v>
      </c>
      <c r="H3513">
        <v>0.49154441212848998</v>
      </c>
      <c r="I3513">
        <v>0.40240321189447598</v>
      </c>
      <c r="J3513">
        <v>0.34328320394199302</v>
      </c>
      <c r="K3513">
        <v>0.24010740495369901</v>
      </c>
      <c r="L3513">
        <v>397.396284969308</v>
      </c>
      <c r="M3513">
        <v>6.6132479359083503</v>
      </c>
      <c r="N3513">
        <v>60.0909405154027</v>
      </c>
      <c r="O3513">
        <v>55.308802201912201</v>
      </c>
      <c r="P3513">
        <v>-2.9960575344974798E-2</v>
      </c>
      <c r="Q3513">
        <v>0</v>
      </c>
      <c r="R3513">
        <v>0.97994795990868599</v>
      </c>
      <c r="S3513" t="s">
        <v>9824</v>
      </c>
      <c r="T3513" t="s">
        <v>12620</v>
      </c>
      <c r="U3513" t="s">
        <v>12620</v>
      </c>
      <c r="V3513" t="s">
        <v>12620</v>
      </c>
      <c r="W3513" t="s">
        <v>16085</v>
      </c>
      <c r="X3513">
        <v>4</v>
      </c>
      <c r="Y3513" t="s">
        <v>22220</v>
      </c>
      <c r="Z3513" t="s">
        <v>28460</v>
      </c>
      <c r="AA3513">
        <v>0.64147469194316109</v>
      </c>
      <c r="AB3513" t="str">
        <f>HYPERLINK("Melting_Curves/meltCurve_Q5TCX8_MLK4.pdf", "Melting_Curves/meltCurve_Q5TCX8_MLK4.pdf")</f>
        <v>Melting_Curves/meltCurve_Q5TCX8_MLK4.pdf</v>
      </c>
    </row>
    <row r="3514" spans="1:28" x14ac:dyDescent="0.25">
      <c r="A3514" t="s">
        <v>3518</v>
      </c>
      <c r="B3514">
        <v>0.99987803227770999</v>
      </c>
      <c r="C3514">
        <v>0.98766351546825903</v>
      </c>
      <c r="D3514">
        <v>1.06957992457583</v>
      </c>
      <c r="E3514">
        <v>0.98310374911402698</v>
      </c>
      <c r="F3514">
        <v>1.0783335100765501</v>
      </c>
      <c r="G3514">
        <v>0.72871980305052697</v>
      </c>
      <c r="H3514">
        <v>0.344727910167</v>
      </c>
      <c r="I3514">
        <v>0.20533536179980699</v>
      </c>
      <c r="J3514">
        <v>0.13440816630927299</v>
      </c>
      <c r="K3514">
        <v>9.7230741986350094E-2</v>
      </c>
      <c r="L3514">
        <v>1811.03000260932</v>
      </c>
      <c r="M3514">
        <v>30.777186727750198</v>
      </c>
      <c r="N3514">
        <v>59.339750573144102</v>
      </c>
      <c r="O3514">
        <v>58.596512015345198</v>
      </c>
      <c r="P3514">
        <v>-0.11640520761758801</v>
      </c>
      <c r="Q3514">
        <v>0.11351236822451601</v>
      </c>
      <c r="R3514">
        <v>0.98804080573058095</v>
      </c>
      <c r="S3514" t="s">
        <v>9825</v>
      </c>
      <c r="T3514" t="s">
        <v>12620</v>
      </c>
      <c r="U3514" t="s">
        <v>12620</v>
      </c>
      <c r="V3514" t="s">
        <v>12620</v>
      </c>
      <c r="W3514" t="s">
        <v>16086</v>
      </c>
      <c r="X3514">
        <v>13</v>
      </c>
      <c r="Y3514" t="s">
        <v>22221</v>
      </c>
      <c r="Z3514" t="s">
        <v>28461</v>
      </c>
      <c r="AA3514">
        <v>0.67581114793064034</v>
      </c>
      <c r="AB3514" t="str">
        <f>HYPERLINK("Melting_Curves/meltCurve_Q5TDH0_DDI2.pdf", "Melting_Curves/meltCurve_Q5TDH0_DDI2.pdf")</f>
        <v>Melting_Curves/meltCurve_Q5TDH0_DDI2.pdf</v>
      </c>
    </row>
    <row r="3515" spans="1:28" x14ac:dyDescent="0.25">
      <c r="A3515" t="s">
        <v>3519</v>
      </c>
      <c r="B3515">
        <v>0.99987803227770999</v>
      </c>
      <c r="C3515">
        <v>0.94001450599271896</v>
      </c>
      <c r="D3515">
        <v>0.73717131731462204</v>
      </c>
      <c r="E3515">
        <v>0.34761231236662699</v>
      </c>
      <c r="F3515">
        <v>0.154060352612365</v>
      </c>
      <c r="G3515">
        <v>0.11356262436543101</v>
      </c>
      <c r="H3515">
        <v>9.6881081569951302E-2</v>
      </c>
      <c r="I3515">
        <v>9.9596568504456501E-2</v>
      </c>
      <c r="J3515">
        <v>6.1324932510913498E-2</v>
      </c>
      <c r="K3515">
        <v>5.2581868724641503E-2</v>
      </c>
      <c r="L3515">
        <v>1074.37781061537</v>
      </c>
      <c r="M3515">
        <v>22.407860658053</v>
      </c>
      <c r="N3515">
        <v>48.2954163472685</v>
      </c>
      <c r="O3515">
        <v>47.569506561374297</v>
      </c>
      <c r="P3515">
        <v>-0.108964073893935</v>
      </c>
      <c r="Q3515">
        <v>7.4742616734678094E-2</v>
      </c>
      <c r="R3515">
        <v>0.99835449101523399</v>
      </c>
      <c r="S3515" t="s">
        <v>9826</v>
      </c>
      <c r="T3515" t="s">
        <v>12620</v>
      </c>
      <c r="U3515" t="s">
        <v>12620</v>
      </c>
      <c r="V3515" t="s">
        <v>12620</v>
      </c>
      <c r="W3515" t="s">
        <v>16087</v>
      </c>
      <c r="X3515">
        <v>4</v>
      </c>
      <c r="Y3515" t="s">
        <v>22222</v>
      </c>
      <c r="Z3515" t="s">
        <v>28462</v>
      </c>
      <c r="AA3515">
        <v>0.33015711545232479</v>
      </c>
      <c r="AB3515" t="str">
        <f>HYPERLINK("Melting_Curves/meltCurve_Q5TEU4_NDUFAF5.pdf", "Melting_Curves/meltCurve_Q5TEU4_NDUFAF5.pdf")</f>
        <v>Melting_Curves/meltCurve_Q5TEU4_NDUFAF5.pdf</v>
      </c>
    </row>
    <row r="3516" spans="1:28" x14ac:dyDescent="0.25">
      <c r="A3516" t="s">
        <v>3520</v>
      </c>
      <c r="B3516">
        <v>0.99987803227770999</v>
      </c>
      <c r="C3516">
        <v>0.94197241931239295</v>
      </c>
      <c r="D3516">
        <v>1.0666852148833901</v>
      </c>
      <c r="E3516">
        <v>0.92424999618142101</v>
      </c>
      <c r="F3516">
        <v>0.93994421323248201</v>
      </c>
      <c r="G3516">
        <v>0.49464341230223002</v>
      </c>
      <c r="H3516">
        <v>0.163467789667924</v>
      </c>
      <c r="I3516">
        <v>0.14924331064083601</v>
      </c>
      <c r="J3516">
        <v>8.7508478088285699E-2</v>
      </c>
      <c r="K3516">
        <v>6.5378289309589804E-2</v>
      </c>
      <c r="L3516">
        <v>1868.00852210311</v>
      </c>
      <c r="M3516">
        <v>32.962074774469599</v>
      </c>
      <c r="N3516">
        <v>57.009654336956999</v>
      </c>
      <c r="O3516">
        <v>56.464082702939102</v>
      </c>
      <c r="P3516">
        <v>-0.13298252304459801</v>
      </c>
      <c r="Q3516">
        <v>8.8807078754103097E-2</v>
      </c>
      <c r="R3516">
        <v>0.99099960784630603</v>
      </c>
      <c r="S3516" t="s">
        <v>9827</v>
      </c>
      <c r="T3516" t="s">
        <v>12620</v>
      </c>
      <c r="U3516" t="s">
        <v>12620</v>
      </c>
      <c r="V3516" t="s">
        <v>12620</v>
      </c>
      <c r="W3516" t="s">
        <v>16088</v>
      </c>
      <c r="X3516">
        <v>18</v>
      </c>
      <c r="Y3516" t="s">
        <v>22223</v>
      </c>
      <c r="Z3516" t="s">
        <v>28463</v>
      </c>
      <c r="AA3516">
        <v>0.600288510155917</v>
      </c>
      <c r="AB3516" t="str">
        <f>HYPERLINK("Melting_Curves/meltCurve_Q5TFE4_NT5DC1.pdf", "Melting_Curves/meltCurve_Q5TFE4_NT5DC1.pdf")</f>
        <v>Melting_Curves/meltCurve_Q5TFE4_NT5DC1.pdf</v>
      </c>
    </row>
    <row r="3517" spans="1:28" x14ac:dyDescent="0.25">
      <c r="A3517" t="s">
        <v>3521</v>
      </c>
      <c r="B3517">
        <v>0.99987803227770999</v>
      </c>
      <c r="C3517">
        <v>1.1512288379248701</v>
      </c>
      <c r="D3517">
        <v>1.0710021567914301</v>
      </c>
      <c r="E3517">
        <v>1.05746606411775</v>
      </c>
      <c r="F3517">
        <v>0.99041895577381001</v>
      </c>
      <c r="G3517">
        <v>0.68408441086485205</v>
      </c>
      <c r="H3517">
        <v>0.77412655716163503</v>
      </c>
      <c r="I3517">
        <v>0.93881161856011397</v>
      </c>
      <c r="J3517">
        <v>0.37898079941662999</v>
      </c>
      <c r="K3517">
        <v>0.26089320550005801</v>
      </c>
      <c r="L3517">
        <v>1278.19829646163</v>
      </c>
      <c r="M3517">
        <v>19.1506710198314</v>
      </c>
      <c r="N3517">
        <v>66.744311321146697</v>
      </c>
      <c r="O3517">
        <v>66.029289830051894</v>
      </c>
      <c r="P3517">
        <v>-7.25110193321023E-2</v>
      </c>
      <c r="Q3517">
        <v>0</v>
      </c>
      <c r="R3517">
        <v>0.77402886286272199</v>
      </c>
      <c r="S3517" t="s">
        <v>9828</v>
      </c>
      <c r="T3517" t="s">
        <v>12620</v>
      </c>
      <c r="U3517" t="s">
        <v>12620</v>
      </c>
      <c r="V3517" t="s">
        <v>12620</v>
      </c>
      <c r="W3517" t="s">
        <v>16089</v>
      </c>
      <c r="X3517">
        <v>2</v>
      </c>
      <c r="Y3517" t="s">
        <v>22224</v>
      </c>
      <c r="Z3517" t="s">
        <v>28464</v>
      </c>
      <c r="AA3517">
        <v>0.86189278836216165</v>
      </c>
      <c r="AB3517" t="str">
        <f>HYPERLINK("Melting_Curves/meltCurve_Q5TGY1_TMCO4.pdf", "Melting_Curves/meltCurve_Q5TGY1_TMCO4.pdf")</f>
        <v>Melting_Curves/meltCurve_Q5TGY1_TMCO4.pdf</v>
      </c>
    </row>
    <row r="3518" spans="1:28" x14ac:dyDescent="0.25">
      <c r="A3518" t="s">
        <v>3522</v>
      </c>
      <c r="B3518">
        <v>0.99987803227770999</v>
      </c>
      <c r="C3518">
        <v>1.1329484466508499</v>
      </c>
      <c r="D3518">
        <v>1.00721979085554</v>
      </c>
      <c r="E3518">
        <v>0.70405195521706798</v>
      </c>
      <c r="F3518">
        <v>0.345488584466076</v>
      </c>
      <c r="G3518">
        <v>0.38357030821280202</v>
      </c>
      <c r="H3518">
        <v>0.13895887429338299</v>
      </c>
      <c r="I3518">
        <v>0</v>
      </c>
      <c r="J3518">
        <v>0</v>
      </c>
      <c r="K3518">
        <v>9.4209603587399604E-2</v>
      </c>
      <c r="L3518">
        <v>959.21510159759896</v>
      </c>
      <c r="M3518">
        <v>18.3470195457542</v>
      </c>
      <c r="N3518">
        <v>52.5638401811579</v>
      </c>
      <c r="O3518">
        <v>51.672555768756197</v>
      </c>
      <c r="P3518">
        <v>-8.4608519782515601E-2</v>
      </c>
      <c r="Q3518">
        <v>4.6877690776128897E-2</v>
      </c>
      <c r="R3518">
        <v>0.95341858580297201</v>
      </c>
      <c r="S3518" t="s">
        <v>9829</v>
      </c>
      <c r="T3518" t="s">
        <v>12620</v>
      </c>
      <c r="U3518" t="s">
        <v>12620</v>
      </c>
      <c r="V3518" t="s">
        <v>12620</v>
      </c>
      <c r="W3518" t="s">
        <v>16090</v>
      </c>
      <c r="X3518">
        <v>1</v>
      </c>
      <c r="Y3518" t="s">
        <v>22225</v>
      </c>
      <c r="Z3518" t="s">
        <v>28465</v>
      </c>
      <c r="AA3518">
        <v>0.45237573740669978</v>
      </c>
      <c r="AB3518" t="str">
        <f>HYPERLINK("Melting_Curves/meltCurve_Q5TH69_ARFGEF3.pdf", "Melting_Curves/meltCurve_Q5TH69_ARFGEF3.pdf")</f>
        <v>Melting_Curves/meltCurve_Q5TH69_ARFGEF3.pdf</v>
      </c>
    </row>
    <row r="3519" spans="1:28" x14ac:dyDescent="0.25">
      <c r="A3519" t="s">
        <v>3523</v>
      </c>
      <c r="B3519">
        <v>0.99987803227770999</v>
      </c>
      <c r="C3519">
        <v>0.92037234317980698</v>
      </c>
      <c r="D3519">
        <v>1.0268349731367099</v>
      </c>
      <c r="E3519">
        <v>0.85121318060689799</v>
      </c>
      <c r="F3519">
        <v>0.88006423427305602</v>
      </c>
      <c r="G3519">
        <v>0.73945519563260897</v>
      </c>
      <c r="H3519">
        <v>0.76141466267820401</v>
      </c>
      <c r="I3519">
        <v>0.78271452592989799</v>
      </c>
      <c r="J3519">
        <v>0.67907427297814105</v>
      </c>
      <c r="K3519">
        <v>0.55624650625501104</v>
      </c>
      <c r="L3519">
        <v>312.48925860764598</v>
      </c>
      <c r="M3519">
        <v>4.01643473350207</v>
      </c>
      <c r="O3519">
        <v>63.9554653174931</v>
      </c>
      <c r="P3519">
        <v>-1.5899292362285201E-2</v>
      </c>
      <c r="Q3519">
        <v>0</v>
      </c>
      <c r="R3519">
        <v>0.85558943362813</v>
      </c>
      <c r="S3519" t="s">
        <v>9830</v>
      </c>
      <c r="T3519" t="s">
        <v>12620</v>
      </c>
      <c r="U3519" t="s">
        <v>12620</v>
      </c>
      <c r="V3519" t="s">
        <v>12620</v>
      </c>
      <c r="W3519" t="s">
        <v>16091</v>
      </c>
      <c r="X3519">
        <v>10</v>
      </c>
      <c r="Y3519" t="s">
        <v>22226</v>
      </c>
      <c r="Z3519" t="s">
        <v>28466</v>
      </c>
      <c r="AA3519">
        <v>0.82451634265019846</v>
      </c>
      <c r="AB3519" t="str">
        <f>HYPERLINK("Melting_Curves/meltCurve_Q5THK1_PRR14L.pdf", "Melting_Curves/meltCurve_Q5THK1_PRR14L.pdf")</f>
        <v>Melting_Curves/meltCurve_Q5THK1_PRR14L.pdf</v>
      </c>
    </row>
    <row r="3520" spans="1:28" x14ac:dyDescent="0.25">
      <c r="A3520" t="s">
        <v>3524</v>
      </c>
      <c r="B3520">
        <v>0.99987803227770999</v>
      </c>
      <c r="C3520">
        <v>1.12889144287924</v>
      </c>
      <c r="D3520">
        <v>0.91592649377081503</v>
      </c>
      <c r="E3520">
        <v>0.95917800287319599</v>
      </c>
      <c r="F3520">
        <v>0.46638169684714298</v>
      </c>
      <c r="G3520">
        <v>0.21573202107631101</v>
      </c>
      <c r="H3520">
        <v>8.5956693525814906E-2</v>
      </c>
      <c r="I3520">
        <v>4.49151783506299E-2</v>
      </c>
      <c r="J3520">
        <v>5.2796916943134799E-2</v>
      </c>
      <c r="K3520">
        <v>2.6761173956825E-2</v>
      </c>
      <c r="L3520">
        <v>1784.65155116038</v>
      </c>
      <c r="M3520">
        <v>33.720339909353498</v>
      </c>
      <c r="N3520">
        <v>53.133174351332698</v>
      </c>
      <c r="O3520">
        <v>52.739978622946097</v>
      </c>
      <c r="P3520">
        <v>-0.14995528628211699</v>
      </c>
      <c r="Q3520">
        <v>6.1859256152082202E-2</v>
      </c>
      <c r="R3520">
        <v>0.97966399347670696</v>
      </c>
      <c r="S3520" t="s">
        <v>9831</v>
      </c>
      <c r="T3520" t="s">
        <v>12620</v>
      </c>
      <c r="U3520" t="s">
        <v>12620</v>
      </c>
      <c r="V3520" t="s">
        <v>12620</v>
      </c>
      <c r="W3520" t="s">
        <v>16092</v>
      </c>
      <c r="X3520">
        <v>2</v>
      </c>
      <c r="Y3520" t="s">
        <v>22227</v>
      </c>
      <c r="Z3520" t="s">
        <v>28467</v>
      </c>
      <c r="AA3520">
        <v>0.47086779741269208</v>
      </c>
      <c r="AB3520" t="str">
        <f>HYPERLINK("Melting_Curves/meltCurve_Q5TKA1_LIN9.pdf", "Melting_Curves/meltCurve_Q5TKA1_LIN9.pdf")</f>
        <v>Melting_Curves/meltCurve_Q5TKA1_LIN9.pdf</v>
      </c>
    </row>
    <row r="3521" spans="1:28" x14ac:dyDescent="0.25">
      <c r="A3521" t="s">
        <v>3525</v>
      </c>
      <c r="B3521">
        <v>0.99987803227770999</v>
      </c>
      <c r="C3521">
        <v>1.0360346715670801</v>
      </c>
      <c r="D3521">
        <v>1.01906703713017</v>
      </c>
      <c r="E3521">
        <v>1.00025377792113</v>
      </c>
      <c r="F3521">
        <v>1.0203636101053899</v>
      </c>
      <c r="G3521">
        <v>0.48116665660392299</v>
      </c>
      <c r="H3521">
        <v>0.33334869299389802</v>
      </c>
      <c r="I3521">
        <v>0.31889692592131702</v>
      </c>
      <c r="J3521">
        <v>0.21452339426318301</v>
      </c>
      <c r="K3521">
        <v>0.16625539751952501</v>
      </c>
      <c r="L3521">
        <v>4176.9695852262803</v>
      </c>
      <c r="M3521">
        <v>74.104620368262601</v>
      </c>
      <c r="N3521">
        <v>56.920506465000202</v>
      </c>
      <c r="O3521">
        <v>56.324840886386397</v>
      </c>
      <c r="P3521">
        <v>-0.244339692245259</v>
      </c>
      <c r="Q3521">
        <v>0.25713720946355301</v>
      </c>
      <c r="R3521">
        <v>0.983679851493521</v>
      </c>
      <c r="S3521" t="s">
        <v>9832</v>
      </c>
      <c r="T3521" t="s">
        <v>12620</v>
      </c>
      <c r="U3521" t="s">
        <v>12620</v>
      </c>
      <c r="V3521" t="s">
        <v>12620</v>
      </c>
      <c r="W3521" t="s">
        <v>16093</v>
      </c>
      <c r="X3521">
        <v>13</v>
      </c>
      <c r="Y3521" t="s">
        <v>22228</v>
      </c>
      <c r="Z3521" t="s">
        <v>28468</v>
      </c>
      <c r="AA3521">
        <v>0.66322806242095034</v>
      </c>
      <c r="AB3521" t="str">
        <f>HYPERLINK("Melting_Curves/meltCurve_Q5TZA2_CROCC.pdf", "Melting_Curves/meltCurve_Q5TZA2_CROCC.pdf")</f>
        <v>Melting_Curves/meltCurve_Q5TZA2_CROCC.pdf</v>
      </c>
    </row>
    <row r="3522" spans="1:28" x14ac:dyDescent="0.25">
      <c r="A3522" t="s">
        <v>3526</v>
      </c>
      <c r="B3522">
        <v>0.99987803227770999</v>
      </c>
      <c r="C3522">
        <v>0.93287757072064004</v>
      </c>
      <c r="D3522">
        <v>0.96201843436961698</v>
      </c>
      <c r="E3522">
        <v>0.87618519561993402</v>
      </c>
      <c r="F3522">
        <v>0.62829110150035805</v>
      </c>
      <c r="G3522">
        <v>0.50712147260760199</v>
      </c>
      <c r="H3522">
        <v>0.45443583298402201</v>
      </c>
      <c r="I3522">
        <v>0.43558763208714502</v>
      </c>
      <c r="J3522">
        <v>0.36132200875097698</v>
      </c>
      <c r="K3522">
        <v>0.317911333792465</v>
      </c>
      <c r="L3522">
        <v>843.18699181957504</v>
      </c>
      <c r="M3522">
        <v>15.864890253505701</v>
      </c>
      <c r="N3522">
        <v>57.464451641010299</v>
      </c>
      <c r="O3522">
        <v>52.325073515495298</v>
      </c>
      <c r="P3522">
        <v>-4.9414235204485797E-2</v>
      </c>
      <c r="Q3522">
        <v>0.34814726797286599</v>
      </c>
      <c r="R3522">
        <v>0.97897150569385405</v>
      </c>
      <c r="S3522" t="s">
        <v>9833</v>
      </c>
      <c r="T3522" t="s">
        <v>12620</v>
      </c>
      <c r="U3522" t="s">
        <v>12620</v>
      </c>
      <c r="V3522" t="s">
        <v>12620</v>
      </c>
      <c r="W3522" t="s">
        <v>16094</v>
      </c>
      <c r="X3522">
        <v>3</v>
      </c>
      <c r="Y3522" t="s">
        <v>22229</v>
      </c>
      <c r="Z3522" t="s">
        <v>28469</v>
      </c>
      <c r="AA3522">
        <v>0.6467150229576194</v>
      </c>
      <c r="AB3522" t="str">
        <f>HYPERLINK("Melting_Curves/meltCurve_Q5U5Q3_MEX3C.pdf", "Melting_Curves/meltCurve_Q5U5Q3_MEX3C.pdf")</f>
        <v>Melting_Curves/meltCurve_Q5U5Q3_MEX3C.pdf</v>
      </c>
    </row>
    <row r="3523" spans="1:28" x14ac:dyDescent="0.25">
      <c r="A3523" t="s">
        <v>3527</v>
      </c>
      <c r="B3523">
        <v>0.99987803227770999</v>
      </c>
      <c r="C3523">
        <v>0.86100203561417299</v>
      </c>
      <c r="D3523">
        <v>1.0515209917428301</v>
      </c>
      <c r="E3523">
        <v>0.83715233875128703</v>
      </c>
      <c r="F3523">
        <v>0.776791830142194</v>
      </c>
      <c r="G3523">
        <v>0.45568696252033197</v>
      </c>
      <c r="H3523">
        <v>0.28823459751011299</v>
      </c>
      <c r="I3523">
        <v>0.178656216128002</v>
      </c>
      <c r="J3523">
        <v>0.139232504515827</v>
      </c>
      <c r="K3523">
        <v>0.11633852985818501</v>
      </c>
      <c r="L3523">
        <v>901.79387581433002</v>
      </c>
      <c r="M3523">
        <v>16.087448144622599</v>
      </c>
      <c r="N3523">
        <v>56.646329103087602</v>
      </c>
      <c r="O3523">
        <v>55.211064476372101</v>
      </c>
      <c r="P3523">
        <v>-6.7226244425385204E-2</v>
      </c>
      <c r="Q3523">
        <v>7.7206969938679301E-2</v>
      </c>
      <c r="R3523">
        <v>0.97752748882053497</v>
      </c>
      <c r="S3523" t="s">
        <v>9834</v>
      </c>
      <c r="T3523" t="s">
        <v>12620</v>
      </c>
      <c r="U3523" t="s">
        <v>12620</v>
      </c>
      <c r="V3523" t="s">
        <v>12620</v>
      </c>
      <c r="W3523" t="s">
        <v>16095</v>
      </c>
      <c r="X3523">
        <v>3</v>
      </c>
      <c r="Y3523" t="s">
        <v>22230</v>
      </c>
      <c r="Z3523" t="s">
        <v>28470</v>
      </c>
      <c r="AA3523">
        <v>0.58636430326058264</v>
      </c>
      <c r="AB3523" t="str">
        <f>HYPERLINK("Melting_Curves/meltCurve_Q5U5X0_LYRM7.pdf", "Melting_Curves/meltCurve_Q5U5X0_LYRM7.pdf")</f>
        <v>Melting_Curves/meltCurve_Q5U5X0_LYRM7.pdf</v>
      </c>
    </row>
    <row r="3524" spans="1:28" x14ac:dyDescent="0.25">
      <c r="A3524" t="s">
        <v>3528</v>
      </c>
      <c r="B3524">
        <v>0.99987803227770999</v>
      </c>
      <c r="C3524">
        <v>0.95087631222499602</v>
      </c>
      <c r="D3524">
        <v>0.94741909663203705</v>
      </c>
      <c r="E3524">
        <v>0.83147924243141302</v>
      </c>
      <c r="F3524">
        <v>0.70965069983779805</v>
      </c>
      <c r="G3524">
        <v>0.54982910317662104</v>
      </c>
      <c r="H3524">
        <v>0.35397728611095702</v>
      </c>
      <c r="I3524">
        <v>0.33395016108651099</v>
      </c>
      <c r="J3524">
        <v>0.21346893369771699</v>
      </c>
      <c r="K3524">
        <v>0.179040772505771</v>
      </c>
      <c r="L3524">
        <v>597.38141696372804</v>
      </c>
      <c r="M3524">
        <v>10.4318708662062</v>
      </c>
      <c r="N3524">
        <v>57.955767656418601</v>
      </c>
      <c r="O3524">
        <v>55.280650179053801</v>
      </c>
      <c r="P3524">
        <v>-4.4437476794303897E-2</v>
      </c>
      <c r="Q3524">
        <v>5.8455892177649002E-2</v>
      </c>
      <c r="R3524">
        <v>0.99610268647266598</v>
      </c>
      <c r="S3524" t="s">
        <v>9835</v>
      </c>
      <c r="T3524" t="s">
        <v>12620</v>
      </c>
      <c r="U3524" t="s">
        <v>12620</v>
      </c>
      <c r="V3524" t="s">
        <v>12620</v>
      </c>
      <c r="W3524" t="s">
        <v>16096</v>
      </c>
      <c r="X3524">
        <v>1</v>
      </c>
      <c r="Y3524" t="s">
        <v>22231</v>
      </c>
      <c r="Z3524" t="s">
        <v>28471</v>
      </c>
      <c r="AA3524">
        <v>0.61427476321281815</v>
      </c>
      <c r="AB3524" t="str">
        <f>HYPERLINK("Melting_Curves/meltCurve_Q5U649_C12orf60.pdf", "Melting_Curves/meltCurve_Q5U649_C12orf60.pdf")</f>
        <v>Melting_Curves/meltCurve_Q5U649_C12orf60.pdf</v>
      </c>
    </row>
    <row r="3525" spans="1:28" x14ac:dyDescent="0.25">
      <c r="A3525" t="s">
        <v>3529</v>
      </c>
      <c r="B3525">
        <v>0.99987803227770999</v>
      </c>
      <c r="C3525">
        <v>0.95920610987856603</v>
      </c>
      <c r="D3525">
        <v>0.90256455875321095</v>
      </c>
      <c r="E3525">
        <v>0.63219082723408004</v>
      </c>
      <c r="F3525">
        <v>0.63469264564611105</v>
      </c>
      <c r="G3525">
        <v>0.53444279923324001</v>
      </c>
      <c r="H3525">
        <v>0.57489849235583201</v>
      </c>
      <c r="I3525">
        <v>0.537690681428586</v>
      </c>
      <c r="J3525">
        <v>0.59015018807729802</v>
      </c>
      <c r="K3525">
        <v>0.46392092091092302</v>
      </c>
      <c r="L3525">
        <v>1158.43512775408</v>
      </c>
      <c r="M3525">
        <v>24.131830547116</v>
      </c>
      <c r="O3525">
        <v>47.678437319876899</v>
      </c>
      <c r="P3525">
        <v>-5.7942717324332302E-2</v>
      </c>
      <c r="Q3525">
        <v>0.54208603522899901</v>
      </c>
      <c r="R3525">
        <v>0.95840718724375495</v>
      </c>
      <c r="S3525" t="s">
        <v>9836</v>
      </c>
      <c r="T3525" t="s">
        <v>12620</v>
      </c>
      <c r="U3525" t="s">
        <v>12620</v>
      </c>
      <c r="V3525" t="s">
        <v>12620</v>
      </c>
      <c r="W3525" t="s">
        <v>16097</v>
      </c>
      <c r="X3525">
        <v>62</v>
      </c>
      <c r="Y3525" t="s">
        <v>22232</v>
      </c>
      <c r="Z3525" t="s">
        <v>28472</v>
      </c>
      <c r="AA3525">
        <v>0.6686273053914481</v>
      </c>
      <c r="AB3525" t="str">
        <f>HYPERLINK("Melting_Curves/meltCurve_Q5UIP0_RIF1.pdf", "Melting_Curves/meltCurve_Q5UIP0_RIF1.pdf")</f>
        <v>Melting_Curves/meltCurve_Q5UIP0_RIF1.pdf</v>
      </c>
    </row>
    <row r="3526" spans="1:28" x14ac:dyDescent="0.25">
      <c r="A3526" t="s">
        <v>3530</v>
      </c>
      <c r="B3526">
        <v>0.99987803227770999</v>
      </c>
      <c r="C3526">
        <v>1.08945659794376</v>
      </c>
      <c r="D3526">
        <v>0.87352606543222899</v>
      </c>
      <c r="E3526">
        <v>0.76314024617582599</v>
      </c>
      <c r="F3526">
        <v>0.17606689221958499</v>
      </c>
      <c r="G3526">
        <v>0.12752446630541101</v>
      </c>
      <c r="H3526">
        <v>7.3552960999258996E-2</v>
      </c>
      <c r="I3526">
        <v>6.2562396997188699E-2</v>
      </c>
      <c r="J3526">
        <v>4.4876864712760998E-2</v>
      </c>
      <c r="K3526">
        <v>2.1461771022998701E-2</v>
      </c>
      <c r="L3526">
        <v>2568.6117518539299</v>
      </c>
      <c r="M3526">
        <v>50.334609582881299</v>
      </c>
      <c r="N3526">
        <v>51.167975596959302</v>
      </c>
      <c r="O3526">
        <v>50.950372000481799</v>
      </c>
      <c r="P3526">
        <v>-0.23138375639876399</v>
      </c>
      <c r="Q3526">
        <v>6.3143332185231896E-2</v>
      </c>
      <c r="R3526">
        <v>0.98388655127296498</v>
      </c>
      <c r="S3526" t="s">
        <v>9837</v>
      </c>
      <c r="T3526" t="s">
        <v>12620</v>
      </c>
      <c r="U3526" t="s">
        <v>12620</v>
      </c>
      <c r="V3526" t="s">
        <v>12620</v>
      </c>
      <c r="W3526" t="s">
        <v>16098</v>
      </c>
      <c r="X3526">
        <v>11</v>
      </c>
      <c r="Y3526" t="s">
        <v>22233</v>
      </c>
      <c r="Z3526" t="s">
        <v>28473</v>
      </c>
      <c r="AA3526">
        <v>0.40969771862271509</v>
      </c>
      <c r="AB3526" t="str">
        <f>HYPERLINK("Melting_Curves/meltCurve_Q5VIR6_4_VPS53.pdf", "Melting_Curves/meltCurve_Q5VIR6_4_VPS53.pdf")</f>
        <v>Melting_Curves/meltCurve_Q5VIR6_4_VPS53.pdf</v>
      </c>
    </row>
    <row r="3527" spans="1:28" x14ac:dyDescent="0.25">
      <c r="A3527" t="s">
        <v>3531</v>
      </c>
      <c r="B3527">
        <v>0.99987803227770999</v>
      </c>
      <c r="C3527">
        <v>1.12082044239236</v>
      </c>
      <c r="D3527">
        <v>0.88472685060377299</v>
      </c>
      <c r="E3527">
        <v>0.99961999594902695</v>
      </c>
      <c r="F3527">
        <v>0.47752063780452902</v>
      </c>
      <c r="G3527">
        <v>0.30932814157428501</v>
      </c>
      <c r="H3527">
        <v>0.18247712947320999</v>
      </c>
      <c r="I3527">
        <v>0.149223910691067</v>
      </c>
      <c r="J3527">
        <v>0.14527930192581701</v>
      </c>
      <c r="K3527">
        <v>0.11303550466523</v>
      </c>
      <c r="L3527">
        <v>3300.0213613058199</v>
      </c>
      <c r="M3527">
        <v>62.773483328344803</v>
      </c>
      <c r="N3527">
        <v>52.940227021838901</v>
      </c>
      <c r="O3527">
        <v>52.5170345501367</v>
      </c>
      <c r="P3527">
        <v>-0.24577123289435701</v>
      </c>
      <c r="Q3527">
        <v>0.177539868333108</v>
      </c>
      <c r="R3527">
        <v>0.96738971521633099</v>
      </c>
      <c r="S3527" t="s">
        <v>9838</v>
      </c>
      <c r="T3527" t="s">
        <v>12620</v>
      </c>
      <c r="U3527" t="s">
        <v>12620</v>
      </c>
      <c r="V3527" t="s">
        <v>12620</v>
      </c>
      <c r="W3527" t="s">
        <v>16099</v>
      </c>
      <c r="X3527">
        <v>10</v>
      </c>
      <c r="Y3527" t="s">
        <v>22234</v>
      </c>
      <c r="Z3527" t="s">
        <v>28474</v>
      </c>
      <c r="AA3527">
        <v>0.52336661929037764</v>
      </c>
      <c r="AB3527" t="str">
        <f>HYPERLINK("Melting_Curves/meltCurve_Q5VSL9_STRIP1.pdf", "Melting_Curves/meltCurve_Q5VSL9_STRIP1.pdf")</f>
        <v>Melting_Curves/meltCurve_Q5VSL9_STRIP1.pdf</v>
      </c>
    </row>
    <row r="3528" spans="1:28" x14ac:dyDescent="0.25">
      <c r="A3528" t="s">
        <v>3532</v>
      </c>
      <c r="B3528">
        <v>0.99987803227770999</v>
      </c>
      <c r="C3528">
        <v>0.95915894476756403</v>
      </c>
      <c r="D3528">
        <v>1.0920459121038999</v>
      </c>
      <c r="E3528">
        <v>0.94172689429643797</v>
      </c>
      <c r="F3528">
        <v>0.95142479620298503</v>
      </c>
      <c r="G3528">
        <v>0.357532933189668</v>
      </c>
      <c r="H3528">
        <v>0.561322493262564</v>
      </c>
      <c r="I3528">
        <v>0.55426632494072803</v>
      </c>
      <c r="J3528">
        <v>0.68147815874887996</v>
      </c>
      <c r="K3528">
        <v>0.55504749782061602</v>
      </c>
      <c r="L3528">
        <v>13362.985640315201</v>
      </c>
      <c r="M3528">
        <v>250</v>
      </c>
      <c r="O3528">
        <v>53.448522104794499</v>
      </c>
      <c r="P3528">
        <v>-0.53564451435764704</v>
      </c>
      <c r="Q3528">
        <v>0.54192947885276699</v>
      </c>
      <c r="R3528">
        <v>0.88095297492470903</v>
      </c>
      <c r="S3528" t="s">
        <v>9839</v>
      </c>
      <c r="T3528" t="s">
        <v>12620</v>
      </c>
      <c r="U3528" t="s">
        <v>12620</v>
      </c>
      <c r="V3528" t="s">
        <v>12620</v>
      </c>
      <c r="W3528" t="s">
        <v>16100</v>
      </c>
      <c r="X3528">
        <v>11</v>
      </c>
      <c r="Y3528" t="s">
        <v>21464</v>
      </c>
      <c r="Z3528" t="s">
        <v>28475</v>
      </c>
      <c r="AA3528">
        <v>0.747370393873383</v>
      </c>
      <c r="AB3528" t="str">
        <f>HYPERLINK("Melting_Curves/meltCurve_Q5VSR5_PFKP.pdf", "Melting_Curves/meltCurve_Q5VSR5_PFKP.pdf")</f>
        <v>Melting_Curves/meltCurve_Q5VSR5_PFKP.pdf</v>
      </c>
    </row>
    <row r="3529" spans="1:28" x14ac:dyDescent="0.25">
      <c r="A3529" t="s">
        <v>3533</v>
      </c>
      <c r="B3529">
        <v>0.99987803227770999</v>
      </c>
      <c r="C3529">
        <v>0.92878724956816905</v>
      </c>
      <c r="D3529">
        <v>1.063291438986</v>
      </c>
      <c r="E3529">
        <v>1.0541599471574701</v>
      </c>
      <c r="F3529">
        <v>1.1543070261038</v>
      </c>
      <c r="G3529">
        <v>0.78140337488295097</v>
      </c>
      <c r="H3529">
        <v>0.62094043244623298</v>
      </c>
      <c r="I3529">
        <v>0.63844185310743096</v>
      </c>
      <c r="J3529">
        <v>0.54616546078017103</v>
      </c>
      <c r="K3529">
        <v>0.40905275701412203</v>
      </c>
      <c r="L3529">
        <v>1657.23148759593</v>
      </c>
      <c r="M3529">
        <v>28.247959621915001</v>
      </c>
      <c r="O3529">
        <v>58.375633072334402</v>
      </c>
      <c r="P3529">
        <v>-6.0250513744484202E-2</v>
      </c>
      <c r="Q3529">
        <v>0.50196285784696804</v>
      </c>
      <c r="R3529">
        <v>0.88489527068130502</v>
      </c>
      <c r="S3529" t="s">
        <v>9840</v>
      </c>
      <c r="T3529" t="s">
        <v>12620</v>
      </c>
      <c r="U3529" t="s">
        <v>12620</v>
      </c>
      <c r="V3529" t="s">
        <v>12620</v>
      </c>
      <c r="W3529" t="s">
        <v>16101</v>
      </c>
      <c r="X3529">
        <v>2</v>
      </c>
      <c r="Y3529" t="s">
        <v>22235</v>
      </c>
      <c r="Z3529" t="s">
        <v>28476</v>
      </c>
      <c r="AA3529">
        <v>0.81539765047586887</v>
      </c>
      <c r="AB3529" t="str">
        <f>HYPERLINK("Melting_Curves/meltCurve_Q5VSY0_2_GKAP1.pdf", "Melting_Curves/meltCurve_Q5VSY0_2_GKAP1.pdf")</f>
        <v>Melting_Curves/meltCurve_Q5VSY0_2_GKAP1.pdf</v>
      </c>
    </row>
    <row r="3530" spans="1:28" x14ac:dyDescent="0.25">
      <c r="A3530" t="s">
        <v>3534</v>
      </c>
      <c r="B3530">
        <v>0.99987803227770999</v>
      </c>
      <c r="C3530">
        <v>1.07511834907366</v>
      </c>
      <c r="D3530">
        <v>0.928169687578556</v>
      </c>
      <c r="E3530">
        <v>1.0172299777865299</v>
      </c>
      <c r="F3530">
        <v>0.88829093668395698</v>
      </c>
      <c r="G3530">
        <v>0.80078999766567405</v>
      </c>
      <c r="H3530">
        <v>0.58269746059971494</v>
      </c>
      <c r="I3530">
        <v>0.45478386433785001</v>
      </c>
      <c r="J3530">
        <v>0.477880394466974</v>
      </c>
      <c r="K3530">
        <v>0.37502663565425798</v>
      </c>
      <c r="L3530">
        <v>1062.1648349996699</v>
      </c>
      <c r="M3530">
        <v>18.012855495770999</v>
      </c>
      <c r="N3530">
        <v>63.504816571030901</v>
      </c>
      <c r="O3530">
        <v>58.254662097277397</v>
      </c>
      <c r="P3530">
        <v>-4.9323666430092603E-2</v>
      </c>
      <c r="Q3530">
        <v>0.36196827384074598</v>
      </c>
      <c r="R3530">
        <v>0.97093178197436203</v>
      </c>
      <c r="S3530" t="s">
        <v>9841</v>
      </c>
      <c r="T3530" t="s">
        <v>12620</v>
      </c>
      <c r="U3530" t="s">
        <v>12620</v>
      </c>
      <c r="V3530" t="s">
        <v>12620</v>
      </c>
      <c r="W3530" t="s">
        <v>16102</v>
      </c>
      <c r="X3530">
        <v>16</v>
      </c>
      <c r="Y3530" t="s">
        <v>22236</v>
      </c>
      <c r="Z3530" t="s">
        <v>28477</v>
      </c>
      <c r="AA3530">
        <v>0.77214974611873499</v>
      </c>
      <c r="AB3530" t="str">
        <f>HYPERLINK("Melting_Curves/meltCurve_Q5VT06_CEP350.pdf", "Melting_Curves/meltCurve_Q5VT06_CEP350.pdf")</f>
        <v>Melting_Curves/meltCurve_Q5VT06_CEP350.pdf</v>
      </c>
    </row>
    <row r="3531" spans="1:28" x14ac:dyDescent="0.25">
      <c r="A3531" t="s">
        <v>3535</v>
      </c>
      <c r="B3531">
        <v>0.99987803227770999</v>
      </c>
      <c r="C3531">
        <v>0.89417014377638704</v>
      </c>
      <c r="D3531">
        <v>0.88911478021169699</v>
      </c>
      <c r="E3531">
        <v>0.76993207173581402</v>
      </c>
      <c r="F3531">
        <v>0.93116477578697499</v>
      </c>
      <c r="G3531">
        <v>0.72568230504685205</v>
      </c>
      <c r="H3531">
        <v>0.55653829208615602</v>
      </c>
      <c r="I3531">
        <v>0.357656358533674</v>
      </c>
      <c r="J3531">
        <v>0.28179149798065001</v>
      </c>
      <c r="K3531">
        <v>0.20721377561979001</v>
      </c>
      <c r="L3531">
        <v>623.73116341757805</v>
      </c>
      <c r="M3531">
        <v>10.155961974247001</v>
      </c>
      <c r="N3531">
        <v>61.415284137330403</v>
      </c>
      <c r="O3531">
        <v>59.176853185934597</v>
      </c>
      <c r="P3531">
        <v>-4.2924795285633303E-2</v>
      </c>
      <c r="Q3531">
        <v>0</v>
      </c>
      <c r="R3531">
        <v>0.935114901518173</v>
      </c>
      <c r="S3531" t="s">
        <v>9842</v>
      </c>
      <c r="T3531" t="s">
        <v>12620</v>
      </c>
      <c r="U3531" t="s">
        <v>12620</v>
      </c>
      <c r="V3531" t="s">
        <v>12620</v>
      </c>
      <c r="W3531" t="s">
        <v>16103</v>
      </c>
      <c r="X3531">
        <v>11</v>
      </c>
      <c r="Y3531" t="s">
        <v>22237</v>
      </c>
      <c r="Z3531" t="s">
        <v>28478</v>
      </c>
      <c r="AA3531">
        <v>0.69889591566519116</v>
      </c>
      <c r="AB3531" t="str">
        <f>HYPERLINK("Melting_Curves/meltCurve_Q5VT25_4_CDC42BPA.pdf", "Melting_Curves/meltCurve_Q5VT25_4_CDC42BPA.pdf")</f>
        <v>Melting_Curves/meltCurve_Q5VT25_4_CDC42BPA.pdf</v>
      </c>
    </row>
    <row r="3532" spans="1:28" x14ac:dyDescent="0.25">
      <c r="A3532" t="s">
        <v>3536</v>
      </c>
      <c r="B3532">
        <v>0.99987803227770999</v>
      </c>
      <c r="C3532">
        <v>0.93966059408381297</v>
      </c>
      <c r="D3532">
        <v>1.03528000388368</v>
      </c>
      <c r="E3532">
        <v>0.81699614742911997</v>
      </c>
      <c r="F3532">
        <v>0.89888107707808595</v>
      </c>
      <c r="G3532">
        <v>0.83614563590525504</v>
      </c>
      <c r="H3532">
        <v>0.80696778300584704</v>
      </c>
      <c r="I3532">
        <v>0.84311324584219605</v>
      </c>
      <c r="J3532">
        <v>0.66716295028232098</v>
      </c>
      <c r="K3532">
        <v>0.58082868078701999</v>
      </c>
      <c r="L3532">
        <v>354.31002595496102</v>
      </c>
      <c r="M3532">
        <v>4.5021740124278899</v>
      </c>
      <c r="O3532">
        <v>66.892877456944206</v>
      </c>
      <c r="P3532">
        <v>-1.6972986303216701E-2</v>
      </c>
      <c r="Q3532">
        <v>0</v>
      </c>
      <c r="R3532">
        <v>0.80108281240593404</v>
      </c>
      <c r="S3532" t="s">
        <v>9843</v>
      </c>
      <c r="T3532" t="s">
        <v>12620</v>
      </c>
      <c r="U3532" t="s">
        <v>12620</v>
      </c>
      <c r="V3532" t="s">
        <v>12620</v>
      </c>
      <c r="W3532" t="s">
        <v>16104</v>
      </c>
      <c r="X3532">
        <v>19</v>
      </c>
      <c r="Y3532" t="s">
        <v>22238</v>
      </c>
      <c r="Z3532" t="s">
        <v>28479</v>
      </c>
      <c r="AA3532">
        <v>0.85202221399963252</v>
      </c>
      <c r="AB3532" t="str">
        <f>HYPERLINK("Melting_Curves/meltCurve_Q5VT52_RPRD2.pdf", "Melting_Curves/meltCurve_Q5VT52_RPRD2.pdf")</f>
        <v>Melting_Curves/meltCurve_Q5VT52_RPRD2.pdf</v>
      </c>
    </row>
    <row r="3533" spans="1:28" x14ac:dyDescent="0.25">
      <c r="A3533" t="s">
        <v>3537</v>
      </c>
      <c r="B3533">
        <v>0.99987803227770999</v>
      </c>
      <c r="C3533">
        <v>0.82681808460930395</v>
      </c>
      <c r="D3533">
        <v>1.07026753239937</v>
      </c>
      <c r="E3533">
        <v>0.749126257870809</v>
      </c>
      <c r="F3533">
        <v>0.115821393160787</v>
      </c>
      <c r="G3533">
        <v>8.0453094997218005E-2</v>
      </c>
      <c r="H3533">
        <v>4.2440024461491602E-2</v>
      </c>
      <c r="I3533">
        <v>3.9744902246882798E-2</v>
      </c>
      <c r="J3533">
        <v>2.4344831895068801E-2</v>
      </c>
      <c r="K3533">
        <v>1.7488218815466399E-2</v>
      </c>
      <c r="L3533">
        <v>3109.97049796385</v>
      </c>
      <c r="M3533">
        <v>61.155257055744201</v>
      </c>
      <c r="N3533">
        <v>50.924419577493097</v>
      </c>
      <c r="O3533">
        <v>50.7994022290478</v>
      </c>
      <c r="P3533">
        <v>-0.28871091456076697</v>
      </c>
      <c r="Q3533">
        <v>4.0714689760456203E-2</v>
      </c>
      <c r="R3533">
        <v>0.97966873039301094</v>
      </c>
      <c r="S3533" t="s">
        <v>9844</v>
      </c>
      <c r="T3533" t="s">
        <v>12620</v>
      </c>
      <c r="U3533" t="s">
        <v>12620</v>
      </c>
      <c r="V3533" t="s">
        <v>12620</v>
      </c>
      <c r="W3533" t="s">
        <v>16105</v>
      </c>
      <c r="X3533">
        <v>22</v>
      </c>
      <c r="Y3533" t="s">
        <v>22239</v>
      </c>
      <c r="Z3533" t="s">
        <v>28480</v>
      </c>
      <c r="AA3533">
        <v>0.38920994515350787</v>
      </c>
      <c r="AB3533" t="str">
        <f>HYPERLINK("Melting_Curves/meltCurve_Q5VT79_ANXA8L2.pdf", "Melting_Curves/meltCurve_Q5VT79_ANXA8L2.pdf")</f>
        <v>Melting_Curves/meltCurve_Q5VT79_ANXA8L2.pdf</v>
      </c>
    </row>
    <row r="3534" spans="1:28" x14ac:dyDescent="0.25">
      <c r="A3534" t="s">
        <v>3538</v>
      </c>
      <c r="B3534">
        <v>0.99987803227770999</v>
      </c>
      <c r="C3534">
        <v>0.97024479039081102</v>
      </c>
      <c r="D3534">
        <v>0.95697957805113698</v>
      </c>
      <c r="E3534">
        <v>0.96287591020844299</v>
      </c>
      <c r="F3534">
        <v>0.83166597887461602</v>
      </c>
      <c r="G3534">
        <v>0.31254064141034799</v>
      </c>
      <c r="H3534">
        <v>0.15727617070111</v>
      </c>
      <c r="I3534">
        <v>0.13255595428220901</v>
      </c>
      <c r="J3534">
        <v>0.105661551661846</v>
      </c>
      <c r="K3534">
        <v>7.7459533797746893E-2</v>
      </c>
      <c r="L3534">
        <v>1912.0725970031399</v>
      </c>
      <c r="M3534">
        <v>34.684037543716002</v>
      </c>
      <c r="N3534">
        <v>55.510974746755402</v>
      </c>
      <c r="O3534">
        <v>54.946020379989001</v>
      </c>
      <c r="P3534">
        <v>-0.141030416740825</v>
      </c>
      <c r="Q3534">
        <v>0.106328747500648</v>
      </c>
      <c r="R3534">
        <v>0.99709074648379703</v>
      </c>
      <c r="S3534" t="s">
        <v>9845</v>
      </c>
      <c r="T3534" t="s">
        <v>12620</v>
      </c>
      <c r="U3534" t="s">
        <v>12620</v>
      </c>
      <c r="V3534" t="s">
        <v>12620</v>
      </c>
      <c r="W3534" t="s">
        <v>16106</v>
      </c>
      <c r="X3534">
        <v>5</v>
      </c>
      <c r="Y3534" t="s">
        <v>22240</v>
      </c>
      <c r="Z3534" t="s">
        <v>28481</v>
      </c>
      <c r="AA3534">
        <v>0.56147880133029882</v>
      </c>
      <c r="AB3534" t="str">
        <f>HYPERLINK("Melting_Curves/meltCurve_Q5VTL8_PRPF38B.pdf", "Melting_Curves/meltCurve_Q5VTL8_PRPF38B.pdf")</f>
        <v>Melting_Curves/meltCurve_Q5VTL8_PRPF38B.pdf</v>
      </c>
    </row>
    <row r="3535" spans="1:28" x14ac:dyDescent="0.25">
      <c r="A3535" t="s">
        <v>3539</v>
      </c>
      <c r="B3535">
        <v>0.99987803227770999</v>
      </c>
      <c r="C3535">
        <v>1.1147032193594799</v>
      </c>
      <c r="D3535">
        <v>1.03417155965594</v>
      </c>
      <c r="E3535">
        <v>1.0442561629901901</v>
      </c>
      <c r="F3535">
        <v>0.696397463013813</v>
      </c>
      <c r="G3535">
        <v>0.36229053147567603</v>
      </c>
      <c r="H3535">
        <v>0.20887611169387699</v>
      </c>
      <c r="I3535">
        <v>0.16449160150653799</v>
      </c>
      <c r="J3535">
        <v>0.147493416041864</v>
      </c>
      <c r="K3535">
        <v>0.10401580172218899</v>
      </c>
      <c r="L3535">
        <v>1568.1640109264799</v>
      </c>
      <c r="M3535">
        <v>28.700926444484701</v>
      </c>
      <c r="N3535">
        <v>55.284719192644403</v>
      </c>
      <c r="O3535">
        <v>54.374908522630697</v>
      </c>
      <c r="P3535">
        <v>-0.11314493210759401</v>
      </c>
      <c r="Q3535">
        <v>0.14257854408064499</v>
      </c>
      <c r="R3535">
        <v>0.98183587293463603</v>
      </c>
      <c r="S3535" t="s">
        <v>9846</v>
      </c>
      <c r="T3535" t="s">
        <v>12620</v>
      </c>
      <c r="U3535" t="s">
        <v>12620</v>
      </c>
      <c r="V3535" t="s">
        <v>12620</v>
      </c>
      <c r="W3535" t="s">
        <v>16107</v>
      </c>
      <c r="X3535">
        <v>44</v>
      </c>
      <c r="Y3535" t="s">
        <v>22241</v>
      </c>
      <c r="Z3535" t="s">
        <v>28482</v>
      </c>
      <c r="AA3535">
        <v>0.56711103879239932</v>
      </c>
      <c r="AB3535" t="str">
        <f>HYPERLINK("Melting_Curves/meltCurve_Q5VTR2_RNF20.pdf", "Melting_Curves/meltCurve_Q5VTR2_RNF20.pdf")</f>
        <v>Melting_Curves/meltCurve_Q5VTR2_RNF20.pdf</v>
      </c>
    </row>
    <row r="3536" spans="1:28" x14ac:dyDescent="0.25">
      <c r="A3536" t="s">
        <v>3540</v>
      </c>
      <c r="B3536">
        <v>0.99987803227770999</v>
      </c>
      <c r="C3536">
        <v>0.90103938698138197</v>
      </c>
      <c r="D3536">
        <v>1.1578221434684499</v>
      </c>
      <c r="E3536">
        <v>1.3480523716039301</v>
      </c>
      <c r="F3536">
        <v>0.87839020340640594</v>
      </c>
      <c r="G3536">
        <v>0.48145202845377599</v>
      </c>
      <c r="H3536">
        <v>0.27846109171870398</v>
      </c>
      <c r="I3536">
        <v>0.175028048386242</v>
      </c>
      <c r="J3536">
        <v>0.13669782483718901</v>
      </c>
      <c r="K3536">
        <v>8.59725199145015E-2</v>
      </c>
      <c r="L3536">
        <v>1938.13259685197</v>
      </c>
      <c r="M3536">
        <v>34.317468424627201</v>
      </c>
      <c r="N3536">
        <v>57.040336588584097</v>
      </c>
      <c r="O3536">
        <v>56.285819910664799</v>
      </c>
      <c r="P3536">
        <v>-0.13050296094385999</v>
      </c>
      <c r="Q3536">
        <v>0.14382520192051099</v>
      </c>
      <c r="R3536">
        <v>0.91093671543546795</v>
      </c>
      <c r="S3536" t="s">
        <v>9847</v>
      </c>
      <c r="T3536" t="s">
        <v>12620</v>
      </c>
      <c r="U3536" t="s">
        <v>12620</v>
      </c>
      <c r="V3536" t="s">
        <v>12620</v>
      </c>
      <c r="W3536" t="s">
        <v>16108</v>
      </c>
      <c r="X3536">
        <v>1</v>
      </c>
      <c r="Y3536" t="s">
        <v>22242</v>
      </c>
      <c r="Z3536" t="s">
        <v>28483</v>
      </c>
      <c r="AA3536">
        <v>0.61850630338628787</v>
      </c>
      <c r="AB3536" t="str">
        <f>HYPERLINK("Melting_Curves/meltCurve_Q5VTU3_DYNLT1.pdf", "Melting_Curves/meltCurve_Q5VTU3_DYNLT1.pdf")</f>
        <v>Melting_Curves/meltCurve_Q5VTU3_DYNLT1.pdf</v>
      </c>
    </row>
    <row r="3537" spans="1:28" x14ac:dyDescent="0.25">
      <c r="A3537" t="s">
        <v>3541</v>
      </c>
      <c r="B3537">
        <v>0.99987803227770999</v>
      </c>
      <c r="C3537">
        <v>0.74454723311756998</v>
      </c>
      <c r="D3537">
        <v>0.88236239712203401</v>
      </c>
      <c r="E3537">
        <v>0.56053843359197497</v>
      </c>
      <c r="F3537">
        <v>0.478784438098668</v>
      </c>
      <c r="G3537">
        <v>0.24997005638501299</v>
      </c>
      <c r="H3537">
        <v>0.22863988859557799</v>
      </c>
      <c r="I3537">
        <v>0.16875206955474101</v>
      </c>
      <c r="J3537">
        <v>0.25086521016691199</v>
      </c>
      <c r="K3537">
        <v>0.207194011425755</v>
      </c>
      <c r="L3537">
        <v>614.23319388447305</v>
      </c>
      <c r="M3537">
        <v>12.30361950308</v>
      </c>
      <c r="N3537">
        <v>51.550222655569002</v>
      </c>
      <c r="O3537">
        <v>48.659126167956501</v>
      </c>
      <c r="P3537">
        <v>-5.30524707482872E-2</v>
      </c>
      <c r="Q3537">
        <v>0.16092283839438201</v>
      </c>
      <c r="R3537">
        <v>0.94416799964665898</v>
      </c>
      <c r="S3537" t="s">
        <v>9848</v>
      </c>
      <c r="T3537" t="s">
        <v>12620</v>
      </c>
      <c r="U3537" t="s">
        <v>12620</v>
      </c>
      <c r="V3537" t="s">
        <v>12620</v>
      </c>
      <c r="W3537" t="s">
        <v>16109</v>
      </c>
      <c r="X3537">
        <v>2</v>
      </c>
      <c r="Y3537" t="s">
        <v>22243</v>
      </c>
      <c r="Z3537" t="s">
        <v>28484</v>
      </c>
      <c r="AA3537">
        <v>0.46650660452293669</v>
      </c>
      <c r="AB3537" t="str">
        <f>HYPERLINK("Melting_Curves/meltCurve_Q5VTU8_ATP5EP2.pdf", "Melting_Curves/meltCurve_Q5VTU8_ATP5EP2.pdf")</f>
        <v>Melting_Curves/meltCurve_Q5VTU8_ATP5EP2.pdf</v>
      </c>
    </row>
    <row r="3538" spans="1:28" x14ac:dyDescent="0.25">
      <c r="A3538" t="s">
        <v>3542</v>
      </c>
      <c r="B3538">
        <v>0.99987803227770999</v>
      </c>
      <c r="C3538">
        <v>0.74311940920679598</v>
      </c>
      <c r="D3538">
        <v>0.70087463384739201</v>
      </c>
      <c r="E3538">
        <v>1.1480185584676199</v>
      </c>
      <c r="F3538">
        <v>1.0134016970378299</v>
      </c>
      <c r="G3538">
        <v>0.82962282950708399</v>
      </c>
      <c r="H3538">
        <v>1.0802745441014301</v>
      </c>
      <c r="I3538">
        <v>0.93869702812806699</v>
      </c>
      <c r="J3538">
        <v>1.3482452001971399</v>
      </c>
      <c r="K3538">
        <v>0.22097878128387599</v>
      </c>
      <c r="L3538">
        <v>15000</v>
      </c>
      <c r="M3538">
        <v>215.54287960446001</v>
      </c>
      <c r="N3538">
        <v>69.591721294913299</v>
      </c>
      <c r="O3538">
        <v>69.585729623848806</v>
      </c>
      <c r="P3538">
        <v>-0.77437888055541504</v>
      </c>
      <c r="Q3538">
        <v>0</v>
      </c>
      <c r="R3538">
        <v>0.60185455739240401</v>
      </c>
      <c r="S3538" t="s">
        <v>9849</v>
      </c>
      <c r="T3538" t="s">
        <v>12620</v>
      </c>
      <c r="U3538" t="s">
        <v>12620</v>
      </c>
      <c r="V3538" t="s">
        <v>12620</v>
      </c>
      <c r="W3538" t="s">
        <v>16110</v>
      </c>
      <c r="X3538">
        <v>7</v>
      </c>
      <c r="Y3538" t="s">
        <v>19266</v>
      </c>
      <c r="Z3538" t="s">
        <v>28485</v>
      </c>
      <c r="AA3538">
        <v>0.98380164613094756</v>
      </c>
      <c r="AB3538" t="str">
        <f>HYPERLINK("Melting_Curves/meltCurve_Q5VU43_6_PDE4DIP.pdf", "Melting_Curves/meltCurve_Q5VU43_6_PDE4DIP.pdf")</f>
        <v>Melting_Curves/meltCurve_Q5VU43_6_PDE4DIP.pdf</v>
      </c>
    </row>
    <row r="3539" spans="1:28" x14ac:dyDescent="0.25">
      <c r="A3539" t="s">
        <v>3543</v>
      </c>
      <c r="B3539">
        <v>0.99987803227770999</v>
      </c>
      <c r="C3539">
        <v>0.96364836799162901</v>
      </c>
      <c r="D3539">
        <v>1.0599436625308001</v>
      </c>
      <c r="E3539">
        <v>1.0724272049575601</v>
      </c>
      <c r="F3539">
        <v>1.28152972762214</v>
      </c>
      <c r="G3539">
        <v>1.0706633430489301</v>
      </c>
      <c r="H3539">
        <v>1.26830300457318</v>
      </c>
      <c r="I3539">
        <v>1.64799564783688</v>
      </c>
      <c r="J3539">
        <v>1.00667022094197</v>
      </c>
      <c r="K3539">
        <v>0.74913793302002496</v>
      </c>
      <c r="L3539">
        <v>1537.36545992581</v>
      </c>
      <c r="M3539">
        <v>31.942910047334301</v>
      </c>
      <c r="O3539">
        <v>47.941102525282801</v>
      </c>
      <c r="P3539">
        <v>2.7529949956645799E-2</v>
      </c>
      <c r="Q3539">
        <v>1.16527097066105</v>
      </c>
      <c r="R3539">
        <v>9.94522824682815E-2</v>
      </c>
      <c r="S3539" t="s">
        <v>9850</v>
      </c>
      <c r="T3539" t="s">
        <v>12620</v>
      </c>
      <c r="U3539" t="s">
        <v>12620</v>
      </c>
      <c r="V3539" t="s">
        <v>12620</v>
      </c>
      <c r="W3539" t="s">
        <v>16111</v>
      </c>
      <c r="X3539">
        <v>46</v>
      </c>
      <c r="Y3539" t="s">
        <v>20350</v>
      </c>
      <c r="Z3539" t="s">
        <v>28486</v>
      </c>
      <c r="AA3539">
        <v>1.1196164021958339</v>
      </c>
      <c r="AB3539" t="str">
        <f>HYPERLINK("Melting_Curves/meltCurve_Q5VU58_TPM3.pdf", "Melting_Curves/meltCurve_Q5VU58_TPM3.pdf")</f>
        <v>Melting_Curves/meltCurve_Q5VU58_TPM3.pdf</v>
      </c>
    </row>
    <row r="3540" spans="1:28" x14ac:dyDescent="0.25">
      <c r="A3540" t="s">
        <v>3544</v>
      </c>
      <c r="B3540">
        <v>0.99987803227770999</v>
      </c>
      <c r="C3540">
        <v>0.96433358077352305</v>
      </c>
      <c r="D3540">
        <v>0.98011385933377804</v>
      </c>
      <c r="E3540">
        <v>0.92781174945801403</v>
      </c>
      <c r="F3540">
        <v>0.94974027438457298</v>
      </c>
      <c r="G3540">
        <v>0.71925541746912103</v>
      </c>
      <c r="H3540">
        <v>0.77820534885117199</v>
      </c>
      <c r="I3540">
        <v>0.77594367857438995</v>
      </c>
      <c r="J3540">
        <v>0.72762570588651998</v>
      </c>
      <c r="K3540">
        <v>0.61541196277550503</v>
      </c>
      <c r="L3540">
        <v>461.16270805247302</v>
      </c>
      <c r="M3540">
        <v>7.5351574535275203</v>
      </c>
      <c r="O3540">
        <v>57.336264172967603</v>
      </c>
      <c r="P3540">
        <v>-1.54572218261877E-2</v>
      </c>
      <c r="Q3540">
        <v>0.53019761340666005</v>
      </c>
      <c r="R3540">
        <v>0.86515255930144996</v>
      </c>
      <c r="S3540" t="s">
        <v>9851</v>
      </c>
      <c r="T3540" t="s">
        <v>12620</v>
      </c>
      <c r="U3540" t="s">
        <v>12620</v>
      </c>
      <c r="V3540" t="s">
        <v>12620</v>
      </c>
      <c r="W3540" t="s">
        <v>16112</v>
      </c>
      <c r="X3540">
        <v>10</v>
      </c>
      <c r="Y3540" t="s">
        <v>22244</v>
      </c>
      <c r="Z3540" t="s">
        <v>28487</v>
      </c>
      <c r="AA3540">
        <v>0.84715952928918559</v>
      </c>
      <c r="AB3540" t="str">
        <f>HYPERLINK("Melting_Curves/meltCurve_Q5VUA4_ZNF318.pdf", "Melting_Curves/meltCurve_Q5VUA4_ZNF318.pdf")</f>
        <v>Melting_Curves/meltCurve_Q5VUA4_ZNF318.pdf</v>
      </c>
    </row>
    <row r="3541" spans="1:28" x14ac:dyDescent="0.25">
      <c r="A3541" t="s">
        <v>3545</v>
      </c>
      <c r="B3541">
        <v>0.99987803227770999</v>
      </c>
      <c r="C3541">
        <v>0.91912542978669598</v>
      </c>
      <c r="D3541">
        <v>1.21768734574799</v>
      </c>
      <c r="E3541">
        <v>0.83359190711217701</v>
      </c>
      <c r="F3541">
        <v>0.76892242374495001</v>
      </c>
      <c r="G3541">
        <v>0.59638644161244203</v>
      </c>
      <c r="H3541">
        <v>0.57220659753555203</v>
      </c>
      <c r="I3541">
        <v>0.59773320761600501</v>
      </c>
      <c r="J3541">
        <v>0.57169008295189505</v>
      </c>
      <c r="K3541">
        <v>0.497044082536304</v>
      </c>
      <c r="L3541">
        <v>1421.03748160736</v>
      </c>
      <c r="M3541">
        <v>27.1546197142392</v>
      </c>
      <c r="O3541">
        <v>52.049993740644197</v>
      </c>
      <c r="P3541">
        <v>-5.7798093365799802E-2</v>
      </c>
      <c r="Q3541">
        <v>0.55685458210281003</v>
      </c>
      <c r="R3541">
        <v>0.85902414475854705</v>
      </c>
      <c r="S3541" t="s">
        <v>9852</v>
      </c>
      <c r="T3541" t="s">
        <v>12620</v>
      </c>
      <c r="U3541" t="s">
        <v>12620</v>
      </c>
      <c r="V3541" t="s">
        <v>12620</v>
      </c>
      <c r="W3541" t="s">
        <v>16113</v>
      </c>
      <c r="X3541">
        <v>3</v>
      </c>
      <c r="Y3541" t="s">
        <v>22245</v>
      </c>
      <c r="Z3541" t="s">
        <v>28488</v>
      </c>
      <c r="AA3541">
        <v>0.7424671897474665</v>
      </c>
      <c r="AB3541" t="str">
        <f>HYPERLINK("Melting_Curves/meltCurve_Q5VUB5_FAM171A1.pdf", "Melting_Curves/meltCurve_Q5VUB5_FAM171A1.pdf")</f>
        <v>Melting_Curves/meltCurve_Q5VUB5_FAM171A1.pdf</v>
      </c>
    </row>
    <row r="3542" spans="1:28" x14ac:dyDescent="0.25">
      <c r="A3542" t="s">
        <v>3546</v>
      </c>
      <c r="B3542">
        <v>0.99987803227770999</v>
      </c>
      <c r="C3542">
        <v>0.77579794941038005</v>
      </c>
      <c r="D3542">
        <v>0.91221622363152799</v>
      </c>
      <c r="E3542">
        <v>0.75130314928081798</v>
      </c>
      <c r="F3542">
        <v>0.97500914567337604</v>
      </c>
      <c r="G3542">
        <v>0.73769218363387501</v>
      </c>
      <c r="H3542">
        <v>0.69516837445114699</v>
      </c>
      <c r="I3542">
        <v>0.50795226624784695</v>
      </c>
      <c r="J3542">
        <v>0.73794021222396899</v>
      </c>
      <c r="K3542">
        <v>0.56444581191794296</v>
      </c>
      <c r="L3542">
        <v>220.01516912888201</v>
      </c>
      <c r="M3542">
        <v>2.7859101202322298</v>
      </c>
      <c r="O3542">
        <v>56.211973163240302</v>
      </c>
      <c r="P3542">
        <v>-1.28623079652319E-2</v>
      </c>
      <c r="Q3542">
        <v>0</v>
      </c>
      <c r="R3542">
        <v>0.57851074108263401</v>
      </c>
      <c r="S3542" t="s">
        <v>9853</v>
      </c>
      <c r="T3542" t="s">
        <v>12620</v>
      </c>
      <c r="U3542" t="s">
        <v>12620</v>
      </c>
      <c r="V3542" t="s">
        <v>12620</v>
      </c>
      <c r="W3542" t="s">
        <v>16114</v>
      </c>
      <c r="X3542">
        <v>2</v>
      </c>
      <c r="Y3542" t="s">
        <v>22246</v>
      </c>
      <c r="Z3542" t="s">
        <v>28489</v>
      </c>
      <c r="AA3542">
        <v>0.76884429355417694</v>
      </c>
      <c r="AB3542" t="str">
        <f>HYPERLINK("Melting_Curves/meltCurve_Q5VUE5_C1orf53.pdf", "Melting_Curves/meltCurve_Q5VUE5_C1orf53.pdf")</f>
        <v>Melting_Curves/meltCurve_Q5VUE5_C1orf53.pdf</v>
      </c>
    </row>
    <row r="3543" spans="1:28" x14ac:dyDescent="0.25">
      <c r="A3543" t="s">
        <v>3547</v>
      </c>
      <c r="B3543">
        <v>0.99987803227770999</v>
      </c>
      <c r="C3543">
        <v>1.0054586395463501</v>
      </c>
      <c r="D3543">
        <v>0.872358194617885</v>
      </c>
      <c r="E3543">
        <v>0.55397500684049905</v>
      </c>
      <c r="F3543">
        <v>0.376472449000683</v>
      </c>
      <c r="G3543">
        <v>0.249180173960353</v>
      </c>
      <c r="H3543">
        <v>0.18736067558922401</v>
      </c>
      <c r="I3543">
        <v>0.20320835061082099</v>
      </c>
      <c r="J3543">
        <v>0.140416085730663</v>
      </c>
      <c r="K3543">
        <v>0.11505752457207299</v>
      </c>
      <c r="L3543">
        <v>949.677186044618</v>
      </c>
      <c r="M3543">
        <v>18.982830939746101</v>
      </c>
      <c r="N3543">
        <v>51.005033853522598</v>
      </c>
      <c r="O3543">
        <v>49.482956619870201</v>
      </c>
      <c r="P3543">
        <v>-8.1293608631282599E-2</v>
      </c>
      <c r="Q3543">
        <v>0.15239487423501899</v>
      </c>
      <c r="R3543">
        <v>0.99463712637424895</v>
      </c>
      <c r="S3543" t="s">
        <v>9854</v>
      </c>
      <c r="T3543" t="s">
        <v>12620</v>
      </c>
      <c r="U3543" t="s">
        <v>12620</v>
      </c>
      <c r="V3543" t="s">
        <v>12620</v>
      </c>
      <c r="W3543" t="s">
        <v>16115</v>
      </c>
      <c r="X3543">
        <v>4</v>
      </c>
      <c r="Y3543" t="s">
        <v>22247</v>
      </c>
      <c r="Z3543" t="s">
        <v>28490</v>
      </c>
      <c r="AA3543">
        <v>0.44878084120301182</v>
      </c>
      <c r="AB3543" t="str">
        <f>HYPERLINK("Melting_Curves/meltCurve_Q5VV41_ARHGEF16.pdf", "Melting_Curves/meltCurve_Q5VV41_ARHGEF16.pdf")</f>
        <v>Melting_Curves/meltCurve_Q5VV41_ARHGEF16.pdf</v>
      </c>
    </row>
    <row r="3544" spans="1:28" x14ac:dyDescent="0.25">
      <c r="A3544" t="s">
        <v>3548</v>
      </c>
      <c r="B3544">
        <v>0.99987803227770999</v>
      </c>
      <c r="C3544">
        <v>0.90681993593217303</v>
      </c>
      <c r="D3544">
        <v>0.82749500420266298</v>
      </c>
      <c r="E3544">
        <v>0.96113580399091303</v>
      </c>
      <c r="F3544">
        <v>0.773878758104242</v>
      </c>
      <c r="G3544">
        <v>0.40660807393710002</v>
      </c>
      <c r="H3544">
        <v>0.51517746555439803</v>
      </c>
      <c r="I3544">
        <v>0.65491628149236603</v>
      </c>
      <c r="J3544">
        <v>0.50398711673010199</v>
      </c>
      <c r="K3544">
        <v>0.225218463612674</v>
      </c>
      <c r="L3544">
        <v>357.96942925400498</v>
      </c>
      <c r="M3544">
        <v>5.7018623341872798</v>
      </c>
      <c r="N3544">
        <v>62.7811348260134</v>
      </c>
      <c r="O3544">
        <v>56.341605633195897</v>
      </c>
      <c r="P3544">
        <v>-2.5398594490914399E-2</v>
      </c>
      <c r="Q3544">
        <v>0</v>
      </c>
      <c r="R3544">
        <v>0.76134685298161098</v>
      </c>
      <c r="S3544" t="s">
        <v>9855</v>
      </c>
      <c r="T3544" t="s">
        <v>12620</v>
      </c>
      <c r="U3544" t="s">
        <v>12620</v>
      </c>
      <c r="V3544" t="s">
        <v>12620</v>
      </c>
      <c r="W3544" t="s">
        <v>16116</v>
      </c>
      <c r="X3544">
        <v>3</v>
      </c>
      <c r="Y3544" t="s">
        <v>22248</v>
      </c>
      <c r="Z3544" t="s">
        <v>28491</v>
      </c>
      <c r="AA3544">
        <v>0.68135468615270756</v>
      </c>
      <c r="AB3544" t="str">
        <f>HYPERLINK("Melting_Curves/meltCurve_Q5VV42_CDKAL1.pdf", "Melting_Curves/meltCurve_Q5VV42_CDKAL1.pdf")</f>
        <v>Melting_Curves/meltCurve_Q5VV42_CDKAL1.pdf</v>
      </c>
    </row>
    <row r="3545" spans="1:28" x14ac:dyDescent="0.25">
      <c r="A3545" t="s">
        <v>3549</v>
      </c>
      <c r="B3545">
        <v>0.99987803227770999</v>
      </c>
      <c r="C3545">
        <v>0.93804198846418196</v>
      </c>
      <c r="D3545">
        <v>1.00155392115329</v>
      </c>
      <c r="E3545">
        <v>0.96412881617449397</v>
      </c>
      <c r="F3545">
        <v>0.97954160625675202</v>
      </c>
      <c r="G3545">
        <v>0.84991839614896103</v>
      </c>
      <c r="H3545">
        <v>0.82799929922601001</v>
      </c>
      <c r="I3545">
        <v>0.70079259946299499</v>
      </c>
      <c r="J3545">
        <v>0.70898695658465505</v>
      </c>
      <c r="K3545">
        <v>0.54736689869980304</v>
      </c>
      <c r="L3545">
        <v>544.05760962558099</v>
      </c>
      <c r="M3545">
        <v>7.4771909213836398</v>
      </c>
      <c r="O3545">
        <v>68.102836187763302</v>
      </c>
      <c r="P3545">
        <v>-2.7488077622695301E-2</v>
      </c>
      <c r="Q3545">
        <v>0</v>
      </c>
      <c r="R3545">
        <v>0.94761931469230698</v>
      </c>
      <c r="S3545" t="s">
        <v>9856</v>
      </c>
      <c r="T3545" t="s">
        <v>12620</v>
      </c>
      <c r="U3545" t="s">
        <v>12620</v>
      </c>
      <c r="V3545" t="s">
        <v>12620</v>
      </c>
      <c r="W3545" t="s">
        <v>16117</v>
      </c>
      <c r="X3545">
        <v>2</v>
      </c>
      <c r="Y3545" t="s">
        <v>22249</v>
      </c>
      <c r="Z3545" t="s">
        <v>28492</v>
      </c>
      <c r="AA3545">
        <v>0.86878194333120107</v>
      </c>
      <c r="AB3545" t="str">
        <f>HYPERLINK("Melting_Curves/meltCurve_Q5VV52_2_ZNF691.pdf", "Melting_Curves/meltCurve_Q5VV52_2_ZNF691.pdf")</f>
        <v>Melting_Curves/meltCurve_Q5VV52_2_ZNF691.pdf</v>
      </c>
    </row>
    <row r="3546" spans="1:28" x14ac:dyDescent="0.25">
      <c r="A3546" t="s">
        <v>3550</v>
      </c>
      <c r="B3546">
        <v>0.99987803227770999</v>
      </c>
      <c r="C3546">
        <v>0.67614780919539197</v>
      </c>
      <c r="D3546">
        <v>0.45638659583533697</v>
      </c>
      <c r="E3546">
        <v>0.40665995177106901</v>
      </c>
      <c r="F3546">
        <v>0.20395797822022699</v>
      </c>
      <c r="G3546">
        <v>0.11574225212193</v>
      </c>
      <c r="H3546">
        <v>6.7744294137694505E-2</v>
      </c>
      <c r="I3546">
        <v>6.6280822867588796E-2</v>
      </c>
      <c r="J3546">
        <v>6.0931240512551797E-2</v>
      </c>
      <c r="K3546">
        <v>4.3289282863693199E-2</v>
      </c>
      <c r="L3546">
        <v>568.30785242770799</v>
      </c>
      <c r="M3546">
        <v>12.282291875096099</v>
      </c>
      <c r="N3546">
        <v>46.559594814934698</v>
      </c>
      <c r="O3546">
        <v>45.095193460883102</v>
      </c>
      <c r="P3546">
        <v>-6.5605497537054094E-2</v>
      </c>
      <c r="Q3546">
        <v>3.67131400411147E-2</v>
      </c>
      <c r="R3546">
        <v>0.96382784883017902</v>
      </c>
      <c r="S3546" t="s">
        <v>9857</v>
      </c>
      <c r="T3546" t="s">
        <v>12620</v>
      </c>
      <c r="U3546" t="s">
        <v>12620</v>
      </c>
      <c r="V3546" t="s">
        <v>12620</v>
      </c>
      <c r="W3546" t="s">
        <v>16118</v>
      </c>
      <c r="X3546">
        <v>3</v>
      </c>
      <c r="Y3546" t="s">
        <v>22250</v>
      </c>
      <c r="Z3546" t="s">
        <v>28493</v>
      </c>
      <c r="AA3546">
        <v>0.2790712516057231</v>
      </c>
      <c r="AB3546" t="str">
        <f>HYPERLINK("Melting_Curves/meltCurve_Q5VVC8_RPL11.pdf", "Melting_Curves/meltCurve_Q5VVC8_RPL11.pdf")</f>
        <v>Melting_Curves/meltCurve_Q5VVC8_RPL11.pdf</v>
      </c>
    </row>
    <row r="3547" spans="1:28" x14ac:dyDescent="0.25">
      <c r="A3547" t="s">
        <v>3551</v>
      </c>
      <c r="B3547">
        <v>0.99987803227770999</v>
      </c>
      <c r="C3547">
        <v>0.99248547099817797</v>
      </c>
      <c r="D3547">
        <v>0.90597982109427699</v>
      </c>
      <c r="E3547">
        <v>0.90330992351170003</v>
      </c>
      <c r="F3547">
        <v>0.63577074580956605</v>
      </c>
      <c r="G3547">
        <v>0.45463646731980201</v>
      </c>
      <c r="H3547">
        <v>0.19585528101885799</v>
      </c>
      <c r="I3547">
        <v>0.13965315040850801</v>
      </c>
      <c r="J3547">
        <v>9.3735119072016898E-2</v>
      </c>
      <c r="K3547">
        <v>6.6827870496308894E-2</v>
      </c>
      <c r="L3547">
        <v>840.13769931676995</v>
      </c>
      <c r="M3547">
        <v>15.1192512132377</v>
      </c>
      <c r="N3547">
        <v>55.7257023296997</v>
      </c>
      <c r="O3547">
        <v>54.6225290680689</v>
      </c>
      <c r="P3547">
        <v>-6.7750994257031294E-2</v>
      </c>
      <c r="Q3547">
        <v>2.1018483166427699E-2</v>
      </c>
      <c r="R3547">
        <v>0.99262537792804395</v>
      </c>
      <c r="S3547" t="s">
        <v>9858</v>
      </c>
      <c r="T3547" t="s">
        <v>12620</v>
      </c>
      <c r="U3547" t="s">
        <v>12620</v>
      </c>
      <c r="V3547" t="s">
        <v>12620</v>
      </c>
      <c r="W3547" t="s">
        <v>16119</v>
      </c>
      <c r="X3547">
        <v>1</v>
      </c>
      <c r="Y3547" t="s">
        <v>22251</v>
      </c>
      <c r="Z3547" t="s">
        <v>28494</v>
      </c>
      <c r="AA3547">
        <v>0.54695254469973897</v>
      </c>
      <c r="AB3547" t="str">
        <f>HYPERLINK("Melting_Curves/meltCurve_Q5VVD7_PLEKHM2.pdf", "Melting_Curves/meltCurve_Q5VVD7_PLEKHM2.pdf")</f>
        <v>Melting_Curves/meltCurve_Q5VVD7_PLEKHM2.pdf</v>
      </c>
    </row>
    <row r="3548" spans="1:28" x14ac:dyDescent="0.25">
      <c r="A3548" t="s">
        <v>3552</v>
      </c>
      <c r="B3548">
        <v>0.99987803227770999</v>
      </c>
      <c r="C3548">
        <v>0.90999088043520604</v>
      </c>
      <c r="D3548">
        <v>0.954428577987814</v>
      </c>
      <c r="E3548">
        <v>0.824824324785014</v>
      </c>
      <c r="F3548">
        <v>0.51272565564737405</v>
      </c>
      <c r="G3548">
        <v>0.10301398260238601</v>
      </c>
      <c r="H3548">
        <v>3.06119884710572E-2</v>
      </c>
      <c r="I3548">
        <v>3.3870666518413299E-2</v>
      </c>
      <c r="J3548">
        <v>2.0523879851771801E-2</v>
      </c>
      <c r="K3548">
        <v>1.8037340199838998E-2</v>
      </c>
      <c r="L3548">
        <v>1473.98223429418</v>
      </c>
      <c r="M3548">
        <v>27.866261902884801</v>
      </c>
      <c r="N3548">
        <v>52.944665406231003</v>
      </c>
      <c r="O3548">
        <v>52.624715722383399</v>
      </c>
      <c r="P3548">
        <v>-0.130670814764976</v>
      </c>
      <c r="Q3548">
        <v>1.2934794811024299E-2</v>
      </c>
      <c r="R3548">
        <v>0.99414146913271395</v>
      </c>
      <c r="S3548" t="s">
        <v>9859</v>
      </c>
      <c r="T3548" t="s">
        <v>12620</v>
      </c>
      <c r="U3548" t="s">
        <v>12620</v>
      </c>
      <c r="V3548" t="s">
        <v>12620</v>
      </c>
      <c r="W3548" t="s">
        <v>16120</v>
      </c>
      <c r="X3548">
        <v>5</v>
      </c>
      <c r="Y3548" t="s">
        <v>22252</v>
      </c>
      <c r="Z3548" t="s">
        <v>28495</v>
      </c>
      <c r="AA3548">
        <v>0.44458426109422983</v>
      </c>
      <c r="AB3548" t="str">
        <f>HYPERLINK("Melting_Curves/meltCurve_Q5VVQ6_2_YOD1.pdf", "Melting_Curves/meltCurve_Q5VVQ6_2_YOD1.pdf")</f>
        <v>Melting_Curves/meltCurve_Q5VVQ6_2_YOD1.pdf</v>
      </c>
    </row>
    <row r="3549" spans="1:28" x14ac:dyDescent="0.25">
      <c r="A3549" t="s">
        <v>3553</v>
      </c>
      <c r="B3549">
        <v>0.99987803227770999</v>
      </c>
      <c r="C3549">
        <v>0.88871971429455898</v>
      </c>
      <c r="D3549">
        <v>1.04922471288209</v>
      </c>
      <c r="E3549">
        <v>0.82981227004758895</v>
      </c>
      <c r="F3549">
        <v>0.24476407947707299</v>
      </c>
      <c r="G3549">
        <v>0.133059794042232</v>
      </c>
      <c r="H3549">
        <v>9.8627414226953494E-2</v>
      </c>
      <c r="I3549">
        <v>7.4882247753356099E-2</v>
      </c>
      <c r="J3549">
        <v>5.74263722178475E-2</v>
      </c>
      <c r="K3549">
        <v>4.4116413431528202E-2</v>
      </c>
      <c r="L3549">
        <v>2625.8451972468301</v>
      </c>
      <c r="M3549">
        <v>51.038225758984701</v>
      </c>
      <c r="N3549">
        <v>51.624168197677399</v>
      </c>
      <c r="O3549">
        <v>51.3698144783204</v>
      </c>
      <c r="P3549">
        <v>-0.22859726509341899</v>
      </c>
      <c r="Q3549">
        <v>7.9671296749574294E-2</v>
      </c>
      <c r="R3549">
        <v>0.98875613379096605</v>
      </c>
      <c r="S3549" t="s">
        <v>9860</v>
      </c>
      <c r="T3549" t="s">
        <v>12620</v>
      </c>
      <c r="U3549" t="s">
        <v>12620</v>
      </c>
      <c r="V3549" t="s">
        <v>12620</v>
      </c>
      <c r="W3549" t="s">
        <v>16121</v>
      </c>
      <c r="X3549">
        <v>15</v>
      </c>
      <c r="Y3549" t="s">
        <v>22253</v>
      </c>
      <c r="Z3549" t="s">
        <v>28496</v>
      </c>
      <c r="AA3549">
        <v>0.43289107376900121</v>
      </c>
      <c r="AB3549" t="str">
        <f>HYPERLINK("Melting_Curves/meltCurve_Q5VW32_BROX.pdf", "Melting_Curves/meltCurve_Q5VW32_BROX.pdf")</f>
        <v>Melting_Curves/meltCurve_Q5VW32_BROX.pdf</v>
      </c>
    </row>
    <row r="3550" spans="1:28" x14ac:dyDescent="0.25">
      <c r="A3550" t="s">
        <v>3554</v>
      </c>
      <c r="B3550">
        <v>0.99987803227770999</v>
      </c>
      <c r="C3550">
        <v>1.31227065877968</v>
      </c>
      <c r="D3550">
        <v>1.09182165882472</v>
      </c>
      <c r="E3550">
        <v>1.6188915958262999</v>
      </c>
      <c r="F3550">
        <v>0.71469354688772901</v>
      </c>
      <c r="G3550">
        <v>0.29861194986865303</v>
      </c>
      <c r="H3550">
        <v>0.13668995365587899</v>
      </c>
      <c r="I3550">
        <v>0.14500592822879299</v>
      </c>
      <c r="J3550">
        <v>0.10145741019945</v>
      </c>
      <c r="K3550">
        <v>6.6030558112290597E-2</v>
      </c>
      <c r="L3550">
        <v>2578.70291100656</v>
      </c>
      <c r="M3550">
        <v>47.346639722831299</v>
      </c>
      <c r="N3550">
        <v>54.797882266271202</v>
      </c>
      <c r="O3550">
        <v>54.367435439927597</v>
      </c>
      <c r="P3550">
        <v>-0.190459543286503</v>
      </c>
      <c r="Q3550">
        <v>0.12519364292917201</v>
      </c>
      <c r="R3550">
        <v>0.82393963055590802</v>
      </c>
      <c r="S3550" t="s">
        <v>9861</v>
      </c>
      <c r="T3550" t="s">
        <v>12620</v>
      </c>
      <c r="U3550" t="s">
        <v>12620</v>
      </c>
      <c r="V3550" t="s">
        <v>12620</v>
      </c>
      <c r="W3550" t="s">
        <v>16122</v>
      </c>
      <c r="X3550">
        <v>13</v>
      </c>
      <c r="Y3550" t="s">
        <v>22254</v>
      </c>
      <c r="Z3550" t="s">
        <v>28497</v>
      </c>
      <c r="AA3550">
        <v>0.54932026806615719</v>
      </c>
      <c r="AB3550" t="str">
        <f>HYPERLINK("Melting_Curves/meltCurve_Q5VW36_FOCAD.pdf", "Melting_Curves/meltCurve_Q5VW36_FOCAD.pdf")</f>
        <v>Melting_Curves/meltCurve_Q5VW36_FOCAD.pdf</v>
      </c>
    </row>
    <row r="3551" spans="1:28" x14ac:dyDescent="0.25">
      <c r="A3551" t="s">
        <v>3555</v>
      </c>
      <c r="B3551">
        <v>0.99987803227770999</v>
      </c>
      <c r="C3551">
        <v>0.96150350850418798</v>
      </c>
      <c r="D3551">
        <v>1.0313986380339699</v>
      </c>
      <c r="E3551">
        <v>1.2872430712923999</v>
      </c>
      <c r="F3551">
        <v>1.3224993922060599</v>
      </c>
      <c r="G3551">
        <v>1.2093988500257999</v>
      </c>
      <c r="H3551">
        <v>0.92424806805180504</v>
      </c>
      <c r="I3551">
        <v>0.72546364535113095</v>
      </c>
      <c r="J3551">
        <v>0.60829688705221197</v>
      </c>
      <c r="K3551">
        <v>0.460285634965658</v>
      </c>
      <c r="L3551">
        <v>2373.0992446272198</v>
      </c>
      <c r="M3551">
        <v>36.927179193493203</v>
      </c>
      <c r="N3551">
        <v>69.186045354340095</v>
      </c>
      <c r="O3551">
        <v>64.076702975721503</v>
      </c>
      <c r="P3551">
        <v>-7.7245633251951301E-2</v>
      </c>
      <c r="Q3551">
        <v>0.46384949916075202</v>
      </c>
      <c r="R3551">
        <v>0.67569807050008102</v>
      </c>
      <c r="S3551" t="s">
        <v>9862</v>
      </c>
      <c r="T3551" t="s">
        <v>12620</v>
      </c>
      <c r="U3551" t="s">
        <v>12620</v>
      </c>
      <c r="V3551" t="s">
        <v>12620</v>
      </c>
      <c r="W3551" t="s">
        <v>15020</v>
      </c>
      <c r="X3551">
        <v>14</v>
      </c>
      <c r="Y3551" t="s">
        <v>21204</v>
      </c>
      <c r="Z3551" t="s">
        <v>28498</v>
      </c>
      <c r="AA3551">
        <v>0.8984296187210834</v>
      </c>
      <c r="AB3551" t="str">
        <f>HYPERLINK("Melting_Curves/meltCurve_Q5VWC4_PSMD4.pdf", "Melting_Curves/meltCurve_Q5VWC4_PSMD4.pdf")</f>
        <v>Melting_Curves/meltCurve_Q5VWC4_PSMD4.pdf</v>
      </c>
    </row>
    <row r="3552" spans="1:28" x14ac:dyDescent="0.25">
      <c r="A3552" t="s">
        <v>3556</v>
      </c>
      <c r="B3552">
        <v>0.99987803227770999</v>
      </c>
      <c r="C3552">
        <v>1.0634114473829599</v>
      </c>
      <c r="D3552">
        <v>0.83814337535910599</v>
      </c>
      <c r="E3552">
        <v>0.77847429947372704</v>
      </c>
      <c r="F3552">
        <v>0.64328368773786004</v>
      </c>
      <c r="G3552">
        <v>0.55532867997269197</v>
      </c>
      <c r="H3552">
        <v>0.430530255254368</v>
      </c>
      <c r="I3552">
        <v>0.42051694420733898</v>
      </c>
      <c r="J3552">
        <v>0.25369623162052601</v>
      </c>
      <c r="K3552">
        <v>0.152448999993712</v>
      </c>
      <c r="L3552">
        <v>460.110580643768</v>
      </c>
      <c r="M3552">
        <v>7.8751216099357197</v>
      </c>
      <c r="N3552">
        <v>58.425838925379402</v>
      </c>
      <c r="O3552">
        <v>55.018264925958398</v>
      </c>
      <c r="P3552">
        <v>-3.5827047856648503E-2</v>
      </c>
      <c r="Q3552">
        <v>0</v>
      </c>
      <c r="R3552">
        <v>0.96266226574324698</v>
      </c>
      <c r="S3552" t="s">
        <v>9863</v>
      </c>
      <c r="T3552" t="s">
        <v>12620</v>
      </c>
      <c r="U3552" t="s">
        <v>12620</v>
      </c>
      <c r="V3552" t="s">
        <v>12620</v>
      </c>
      <c r="W3552" t="s">
        <v>16123</v>
      </c>
      <c r="X3552">
        <v>2</v>
      </c>
      <c r="Y3552" t="s">
        <v>22255</v>
      </c>
      <c r="Z3552" t="s">
        <v>28499</v>
      </c>
      <c r="AA3552">
        <v>0.6133890540989374</v>
      </c>
      <c r="AB3552" t="str">
        <f>HYPERLINK("Melting_Curves/meltCurve_Q5VWG9_TAF3.pdf", "Melting_Curves/meltCurve_Q5VWG9_TAF3.pdf")</f>
        <v>Melting_Curves/meltCurve_Q5VWG9_TAF3.pdf</v>
      </c>
    </row>
    <row r="3553" spans="1:28" x14ac:dyDescent="0.25">
      <c r="A3553" t="s">
        <v>3557</v>
      </c>
      <c r="B3553">
        <v>0.99987803227770999</v>
      </c>
      <c r="C3553">
        <v>0.94975267879765202</v>
      </c>
      <c r="D3553">
        <v>1.01854024011347</v>
      </c>
      <c r="E3553">
        <v>0.87353543232813902</v>
      </c>
      <c r="F3553">
        <v>0.83443456214412104</v>
      </c>
      <c r="G3553">
        <v>0.78285655191251802</v>
      </c>
      <c r="H3553">
        <v>0.77487897504178904</v>
      </c>
      <c r="I3553">
        <v>0.73045837656965096</v>
      </c>
      <c r="J3553">
        <v>0.689890711525041</v>
      </c>
      <c r="K3553">
        <v>0.55635511035200103</v>
      </c>
      <c r="L3553">
        <v>325.87114910463902</v>
      </c>
      <c r="M3553">
        <v>4.2377292728449403</v>
      </c>
      <c r="O3553">
        <v>64.253924824639995</v>
      </c>
      <c r="P3553">
        <v>-1.6664006603382499E-2</v>
      </c>
      <c r="Q3553">
        <v>0</v>
      </c>
      <c r="R3553">
        <v>0.92314746426788197</v>
      </c>
      <c r="S3553" t="s">
        <v>9864</v>
      </c>
      <c r="T3553" t="s">
        <v>12620</v>
      </c>
      <c r="U3553" t="s">
        <v>12620</v>
      </c>
      <c r="V3553" t="s">
        <v>12620</v>
      </c>
      <c r="W3553" t="s">
        <v>16124</v>
      </c>
      <c r="X3553">
        <v>5</v>
      </c>
      <c r="Y3553" t="s">
        <v>22256</v>
      </c>
      <c r="Z3553" t="s">
        <v>28500</v>
      </c>
      <c r="AA3553">
        <v>0.82541997113631749</v>
      </c>
      <c r="AB3553" t="str">
        <f>HYPERLINK("Melting_Curves/meltCurve_Q5VWN6_FAM208B.pdf", "Melting_Curves/meltCurve_Q5VWN6_FAM208B.pdf")</f>
        <v>Melting_Curves/meltCurve_Q5VWN6_FAM208B.pdf</v>
      </c>
    </row>
    <row r="3554" spans="1:28" x14ac:dyDescent="0.25">
      <c r="A3554" t="s">
        <v>3558</v>
      </c>
      <c r="B3554">
        <v>0.99987803227770999</v>
      </c>
      <c r="C3554">
        <v>1.2507697926769501</v>
      </c>
      <c r="D3554">
        <v>0.95573829556952405</v>
      </c>
      <c r="E3554">
        <v>1.24228569383857</v>
      </c>
      <c r="F3554">
        <v>0.79719586112785701</v>
      </c>
      <c r="G3554">
        <v>0.70519725102360697</v>
      </c>
      <c r="H3554">
        <v>0.61294221973596597</v>
      </c>
      <c r="I3554">
        <v>0.468475101112452</v>
      </c>
      <c r="J3554">
        <v>0.18807950775145699</v>
      </c>
      <c r="K3554">
        <v>0.13087863979716799</v>
      </c>
      <c r="L3554">
        <v>917.79477781558103</v>
      </c>
      <c r="M3554">
        <v>14.7889059001023</v>
      </c>
      <c r="N3554">
        <v>62.059680685937799</v>
      </c>
      <c r="O3554">
        <v>60.958112696310103</v>
      </c>
      <c r="P3554">
        <v>-6.0658406090634498E-2</v>
      </c>
      <c r="Q3554">
        <v>0</v>
      </c>
      <c r="R3554">
        <v>0.87500733901924199</v>
      </c>
      <c r="S3554" t="s">
        <v>9865</v>
      </c>
      <c r="T3554" t="s">
        <v>12620</v>
      </c>
      <c r="U3554" t="s">
        <v>12620</v>
      </c>
      <c r="V3554" t="s">
        <v>12620</v>
      </c>
      <c r="W3554" t="s">
        <v>16125</v>
      </c>
      <c r="X3554">
        <v>3</v>
      </c>
      <c r="Y3554" t="s">
        <v>22257</v>
      </c>
      <c r="Z3554" t="s">
        <v>28501</v>
      </c>
      <c r="AA3554">
        <v>0.73172072687410672</v>
      </c>
      <c r="AB3554" t="str">
        <f>HYPERLINK("Melting_Curves/meltCurve_Q5VWQ0_RSBN1.pdf", "Melting_Curves/meltCurve_Q5VWQ0_RSBN1.pdf")</f>
        <v>Melting_Curves/meltCurve_Q5VWQ0_RSBN1.pdf</v>
      </c>
    </row>
    <row r="3555" spans="1:28" x14ac:dyDescent="0.25">
      <c r="A3555" t="s">
        <v>3559</v>
      </c>
      <c r="B3555">
        <v>0.99987803227770999</v>
      </c>
      <c r="C3555">
        <v>0.99957566209659099</v>
      </c>
      <c r="D3555">
        <v>0.92705946236571901</v>
      </c>
      <c r="E3555">
        <v>0.80603132938234301</v>
      </c>
      <c r="F3555">
        <v>0.64530702741161206</v>
      </c>
      <c r="G3555">
        <v>0.54123662490715096</v>
      </c>
      <c r="H3555">
        <v>0.50745393399192096</v>
      </c>
      <c r="I3555">
        <v>0.45773164673240202</v>
      </c>
      <c r="J3555">
        <v>0.310275888095217</v>
      </c>
      <c r="K3555">
        <v>0.32621732313524199</v>
      </c>
      <c r="L3555">
        <v>577.88859045129198</v>
      </c>
      <c r="M3555">
        <v>10.5930585801236</v>
      </c>
      <c r="N3555">
        <v>59.045490412855997</v>
      </c>
      <c r="O3555">
        <v>52.717022254843101</v>
      </c>
      <c r="P3555">
        <v>-3.63518727206519E-2</v>
      </c>
      <c r="Q3555">
        <v>0.276652412626547</v>
      </c>
      <c r="R3555">
        <v>0.97838912950460499</v>
      </c>
      <c r="S3555" t="s">
        <v>9866</v>
      </c>
      <c r="T3555" t="s">
        <v>12620</v>
      </c>
      <c r="U3555" t="s">
        <v>12620</v>
      </c>
      <c r="V3555" t="s">
        <v>12620</v>
      </c>
      <c r="W3555" t="s">
        <v>16126</v>
      </c>
      <c r="X3555">
        <v>11</v>
      </c>
      <c r="Y3555" t="s">
        <v>22258</v>
      </c>
      <c r="Z3555" t="s">
        <v>28502</v>
      </c>
      <c r="AA3555">
        <v>0.64705989872984626</v>
      </c>
      <c r="AB3555" t="str">
        <f>HYPERLINK("Melting_Curves/meltCurve_Q5VWQ8_2_DAB2IP.pdf", "Melting_Curves/meltCurve_Q5VWQ8_2_DAB2IP.pdf")</f>
        <v>Melting_Curves/meltCurve_Q5VWQ8_2_DAB2IP.pdf</v>
      </c>
    </row>
    <row r="3556" spans="1:28" x14ac:dyDescent="0.25">
      <c r="A3556" t="s">
        <v>3560</v>
      </c>
      <c r="B3556">
        <v>0.99987803227770999</v>
      </c>
      <c r="C3556">
        <v>0.87601997594511005</v>
      </c>
      <c r="D3556">
        <v>1.1519550146556199</v>
      </c>
      <c r="E3556">
        <v>0.91416318730908697</v>
      </c>
      <c r="F3556">
        <v>0.98127942937795198</v>
      </c>
      <c r="G3556">
        <v>0.29529973548255301</v>
      </c>
      <c r="H3556">
        <v>0.13792713004978399</v>
      </c>
      <c r="I3556">
        <v>0.110660583219445</v>
      </c>
      <c r="J3556">
        <v>7.0182130541259102E-2</v>
      </c>
      <c r="K3556">
        <v>5.7845587035919702E-2</v>
      </c>
      <c r="L3556">
        <v>3533.9729868111999</v>
      </c>
      <c r="M3556">
        <v>63.229234373093497</v>
      </c>
      <c r="N3556">
        <v>56.0727798148706</v>
      </c>
      <c r="O3556">
        <v>55.835613302465603</v>
      </c>
      <c r="P3556">
        <v>-0.25692700388691803</v>
      </c>
      <c r="Q3556">
        <v>9.2465870911339204E-2</v>
      </c>
      <c r="R3556">
        <v>0.97378195369930498</v>
      </c>
      <c r="S3556" t="s">
        <v>9867</v>
      </c>
      <c r="T3556" t="s">
        <v>12620</v>
      </c>
      <c r="U3556" t="s">
        <v>12620</v>
      </c>
      <c r="V3556" t="s">
        <v>12620</v>
      </c>
      <c r="W3556" t="s">
        <v>16127</v>
      </c>
      <c r="X3556">
        <v>7</v>
      </c>
      <c r="Y3556" t="s">
        <v>22259</v>
      </c>
      <c r="Z3556" t="s">
        <v>28503</v>
      </c>
      <c r="AA3556">
        <v>0.57459607030424331</v>
      </c>
      <c r="AB3556" t="str">
        <f>HYPERLINK("Melting_Curves/meltCurve_Q5VWZ2_LYPLAL1.pdf", "Melting_Curves/meltCurve_Q5VWZ2_LYPLAL1.pdf")</f>
        <v>Melting_Curves/meltCurve_Q5VWZ2_LYPLAL1.pdf</v>
      </c>
    </row>
    <row r="3557" spans="1:28" x14ac:dyDescent="0.25">
      <c r="A3557" t="s">
        <v>3561</v>
      </c>
      <c r="B3557">
        <v>0.99987803227770999</v>
      </c>
      <c r="C3557">
        <v>0.95923764559222202</v>
      </c>
      <c r="D3557">
        <v>0.71085815328426205</v>
      </c>
      <c r="E3557">
        <v>0.68917308948587097</v>
      </c>
      <c r="F3557">
        <v>0.50892776610437196</v>
      </c>
      <c r="G3557">
        <v>0.45251589458070501</v>
      </c>
      <c r="H3557">
        <v>0.410892272092098</v>
      </c>
      <c r="I3557">
        <v>0.36185666766367303</v>
      </c>
      <c r="J3557">
        <v>0.45156931174049703</v>
      </c>
      <c r="K3557">
        <v>0.25872700616976002</v>
      </c>
      <c r="L3557">
        <v>582.87625391391305</v>
      </c>
      <c r="M3557">
        <v>11.817047653972899</v>
      </c>
      <c r="N3557">
        <v>54.329988229038399</v>
      </c>
      <c r="O3557">
        <v>47.9760889917874</v>
      </c>
      <c r="P3557">
        <v>-4.1165634221270599E-2</v>
      </c>
      <c r="Q3557">
        <v>0.331656785268857</v>
      </c>
      <c r="R3557">
        <v>0.94088501940037295</v>
      </c>
      <c r="S3557" t="s">
        <v>9868</v>
      </c>
      <c r="T3557" t="s">
        <v>12620</v>
      </c>
      <c r="U3557" t="s">
        <v>12620</v>
      </c>
      <c r="V3557" t="s">
        <v>12620</v>
      </c>
      <c r="W3557" t="s">
        <v>16128</v>
      </c>
      <c r="X3557">
        <v>1</v>
      </c>
      <c r="Y3557" t="s">
        <v>22260</v>
      </c>
      <c r="Z3557" t="s">
        <v>28504</v>
      </c>
      <c r="AA3557">
        <v>0.56408991645896001</v>
      </c>
      <c r="AB3557" t="str">
        <f>HYPERLINK("Melting_Curves/meltCurve_Q5VX52_SPATA1.pdf", "Melting_Curves/meltCurve_Q5VX52_SPATA1.pdf")</f>
        <v>Melting_Curves/meltCurve_Q5VX52_SPATA1.pdf</v>
      </c>
    </row>
    <row r="3558" spans="1:28" x14ac:dyDescent="0.25">
      <c r="A3558" t="s">
        <v>3562</v>
      </c>
      <c r="B3558">
        <v>0.99987803227770999</v>
      </c>
      <c r="C3558">
        <v>1.1052408713829101</v>
      </c>
      <c r="D3558">
        <v>1.0081366416663</v>
      </c>
      <c r="E3558">
        <v>0.90781523931256802</v>
      </c>
      <c r="F3558">
        <v>1.1992085215444199</v>
      </c>
      <c r="G3558">
        <v>0.71382006089614003</v>
      </c>
      <c r="H3558">
        <v>0.61802507677444196</v>
      </c>
      <c r="I3558">
        <v>0.92756069261730101</v>
      </c>
      <c r="J3558">
        <v>0.48109403118449401</v>
      </c>
      <c r="K3558">
        <v>0.39574704375439201</v>
      </c>
      <c r="L3558">
        <v>715.67573307204395</v>
      </c>
      <c r="M3558">
        <v>10.503331076816</v>
      </c>
      <c r="N3558">
        <v>68.137977424926007</v>
      </c>
      <c r="O3558">
        <v>65.807016921679306</v>
      </c>
      <c r="P3558">
        <v>-3.9918083453801802E-2</v>
      </c>
      <c r="Q3558">
        <v>0</v>
      </c>
      <c r="R3558">
        <v>0.68568391630813796</v>
      </c>
      <c r="S3558" t="s">
        <v>9869</v>
      </c>
      <c r="T3558" t="s">
        <v>12620</v>
      </c>
      <c r="U3558" t="s">
        <v>12620</v>
      </c>
      <c r="V3558" t="s">
        <v>12620</v>
      </c>
      <c r="W3558" t="s">
        <v>16129</v>
      </c>
      <c r="X3558">
        <v>1</v>
      </c>
      <c r="Y3558" t="s">
        <v>22261</v>
      </c>
      <c r="Z3558" t="s">
        <v>28505</v>
      </c>
      <c r="AA3558">
        <v>0.84310565190942655</v>
      </c>
      <c r="AB3558" t="str">
        <f>HYPERLINK("Melting_Curves/meltCurve_Q5VYB9_LRP11.pdf", "Melting_Curves/meltCurve_Q5VYB9_LRP11.pdf")</f>
        <v>Melting_Curves/meltCurve_Q5VYB9_LRP11.pdf</v>
      </c>
    </row>
    <row r="3559" spans="1:28" x14ac:dyDescent="0.25">
      <c r="A3559" t="s">
        <v>3563</v>
      </c>
      <c r="B3559">
        <v>0.99987803227770999</v>
      </c>
      <c r="C3559">
        <v>1.1163338228577899</v>
      </c>
      <c r="D3559">
        <v>0.92009295002915303</v>
      </c>
      <c r="E3559">
        <v>0.74166985644445704</v>
      </c>
      <c r="F3559">
        <v>0.22007615685089599</v>
      </c>
      <c r="G3559">
        <v>0.143140442059287</v>
      </c>
      <c r="H3559">
        <v>9.36612750988675E-2</v>
      </c>
      <c r="I3559">
        <v>8.0223701672569897E-2</v>
      </c>
      <c r="J3559">
        <v>5.84463566676654E-2</v>
      </c>
      <c r="K3559">
        <v>4.1427344815536601E-2</v>
      </c>
      <c r="L3559">
        <v>2177.8781892933098</v>
      </c>
      <c r="M3559">
        <v>42.673178886758002</v>
      </c>
      <c r="N3559">
        <v>51.242228713879697</v>
      </c>
      <c r="O3559">
        <v>50.924533215682999</v>
      </c>
      <c r="P3559">
        <v>-0.19298132458785799</v>
      </c>
      <c r="Q3559">
        <v>7.8815462419339705E-2</v>
      </c>
      <c r="R3559">
        <v>0.98655029092917701</v>
      </c>
      <c r="S3559" t="s">
        <v>9870</v>
      </c>
      <c r="T3559" t="s">
        <v>12620</v>
      </c>
      <c r="U3559" t="s">
        <v>12620</v>
      </c>
      <c r="V3559" t="s">
        <v>12620</v>
      </c>
      <c r="W3559" t="s">
        <v>16130</v>
      </c>
      <c r="X3559">
        <v>47</v>
      </c>
      <c r="Y3559" t="s">
        <v>22262</v>
      </c>
      <c r="Z3559" t="s">
        <v>28506</v>
      </c>
      <c r="AA3559">
        <v>0.42054815983441762</v>
      </c>
      <c r="AB3559" t="str">
        <f>HYPERLINK("Melting_Curves/meltCurve_Q5VYK3_ECM29.pdf", "Melting_Curves/meltCurve_Q5VYK3_ECM29.pdf")</f>
        <v>Melting_Curves/meltCurve_Q5VYK3_ECM29.pdf</v>
      </c>
    </row>
    <row r="3560" spans="1:28" x14ac:dyDescent="0.25">
      <c r="A3560" t="s">
        <v>3564</v>
      </c>
      <c r="B3560">
        <v>0.99987803227770999</v>
      </c>
      <c r="C3560">
        <v>0.81847043581989898</v>
      </c>
      <c r="D3560">
        <v>0.77460342655874603</v>
      </c>
      <c r="E3560">
        <v>0.65815104475821495</v>
      </c>
      <c r="F3560">
        <v>0.51527225689753398</v>
      </c>
      <c r="G3560">
        <v>0.35532231753620303</v>
      </c>
      <c r="H3560">
        <v>0.331323472415331</v>
      </c>
      <c r="I3560">
        <v>0.219996902685615</v>
      </c>
      <c r="J3560">
        <v>0.241860937062541</v>
      </c>
      <c r="K3560">
        <v>0.18291099792808399</v>
      </c>
      <c r="L3560">
        <v>454.52854288413602</v>
      </c>
      <c r="M3560">
        <v>8.7583178353625097</v>
      </c>
      <c r="N3560">
        <v>53.381421255187597</v>
      </c>
      <c r="O3560">
        <v>49.4045066327404</v>
      </c>
      <c r="P3560">
        <v>-3.9560602334749201E-2</v>
      </c>
      <c r="Q3560">
        <v>0.108093536646058</v>
      </c>
      <c r="R3560">
        <v>0.98386317152257596</v>
      </c>
      <c r="S3560" t="s">
        <v>9871</v>
      </c>
      <c r="T3560" t="s">
        <v>12620</v>
      </c>
      <c r="U3560" t="s">
        <v>12620</v>
      </c>
      <c r="V3560" t="s">
        <v>12620</v>
      </c>
      <c r="W3560" t="s">
        <v>16131</v>
      </c>
      <c r="X3560">
        <v>3</v>
      </c>
      <c r="Y3560" t="s">
        <v>22263</v>
      </c>
      <c r="Z3560" t="s">
        <v>28507</v>
      </c>
      <c r="AA3560">
        <v>0.50099220006073308</v>
      </c>
      <c r="AB3560" t="str">
        <f>HYPERLINK("Melting_Curves/meltCurve_Q5VYS8_6_ZCCHC6.pdf", "Melting_Curves/meltCurve_Q5VYS8_6_ZCCHC6.pdf")</f>
        <v>Melting_Curves/meltCurve_Q5VYS8_6_ZCCHC6.pdf</v>
      </c>
    </row>
    <row r="3561" spans="1:28" x14ac:dyDescent="0.25">
      <c r="A3561" t="s">
        <v>3565</v>
      </c>
      <c r="B3561">
        <v>0.99987803227770999</v>
      </c>
      <c r="C3561">
        <v>0.80543958631928303</v>
      </c>
      <c r="D3561">
        <v>1.0977240125668299</v>
      </c>
      <c r="E3561">
        <v>0.73977557120788195</v>
      </c>
      <c r="F3561">
        <v>1.0992142118568</v>
      </c>
      <c r="G3561">
        <v>0.90666821344506598</v>
      </c>
      <c r="H3561">
        <v>0.99077036487955294</v>
      </c>
      <c r="I3561">
        <v>0.905809160266422</v>
      </c>
      <c r="J3561">
        <v>1.02653257084655</v>
      </c>
      <c r="K3561">
        <v>0.92097360456409205</v>
      </c>
      <c r="L3561">
        <v>10211.304255487001</v>
      </c>
      <c r="M3561">
        <v>250</v>
      </c>
      <c r="O3561">
        <v>40.842598350769201</v>
      </c>
      <c r="P3561">
        <v>-8.6220454741010394E-2</v>
      </c>
      <c r="Q3561">
        <v>0.943656514923634</v>
      </c>
      <c r="R3561">
        <v>2.2967809761267201E-2</v>
      </c>
      <c r="S3561" t="s">
        <v>9872</v>
      </c>
      <c r="T3561" t="s">
        <v>12620</v>
      </c>
      <c r="U3561" t="s">
        <v>12620</v>
      </c>
      <c r="V3561" t="s">
        <v>12620</v>
      </c>
      <c r="W3561" t="s">
        <v>16132</v>
      </c>
      <c r="X3561">
        <v>2</v>
      </c>
      <c r="Y3561" t="s">
        <v>22264</v>
      </c>
      <c r="Z3561" t="s">
        <v>28508</v>
      </c>
      <c r="AA3561">
        <v>0.94524944889158669</v>
      </c>
      <c r="AB3561" t="str">
        <f>HYPERLINK("Melting_Curves/meltCurve_Q5VYV7_SLX4IP.pdf", "Melting_Curves/meltCurve_Q5VYV7_SLX4IP.pdf")</f>
        <v>Melting_Curves/meltCurve_Q5VYV7_SLX4IP.pdf</v>
      </c>
    </row>
    <row r="3562" spans="1:28" x14ac:dyDescent="0.25">
      <c r="A3562" t="s">
        <v>3566</v>
      </c>
      <c r="B3562">
        <v>0.99987803227770999</v>
      </c>
      <c r="C3562">
        <v>0.87916380351729395</v>
      </c>
      <c r="D3562">
        <v>0.98526463397421604</v>
      </c>
      <c r="E3562">
        <v>0.85382921147022195</v>
      </c>
      <c r="F3562">
        <v>0.87486097245040795</v>
      </c>
      <c r="G3562">
        <v>0.47135583571663298</v>
      </c>
      <c r="H3562">
        <v>0.18307847415478701</v>
      </c>
      <c r="I3562">
        <v>0.125769607473456</v>
      </c>
      <c r="J3562">
        <v>7.4809127600955802E-2</v>
      </c>
      <c r="K3562">
        <v>6.5189100978578093E-2</v>
      </c>
      <c r="L3562">
        <v>1245.91269280034</v>
      </c>
      <c r="M3562">
        <v>22.0518107769397</v>
      </c>
      <c r="N3562">
        <v>56.752241999031497</v>
      </c>
      <c r="O3562">
        <v>56.040880682953798</v>
      </c>
      <c r="P3562">
        <v>-9.3772206238963193E-2</v>
      </c>
      <c r="Q3562">
        <v>4.6797682639683202E-2</v>
      </c>
      <c r="R3562">
        <v>0.98167368913907604</v>
      </c>
      <c r="S3562" t="s">
        <v>9873</v>
      </c>
      <c r="T3562" t="s">
        <v>12620</v>
      </c>
      <c r="U3562" t="s">
        <v>12620</v>
      </c>
      <c r="V3562" t="s">
        <v>12620</v>
      </c>
      <c r="W3562" t="s">
        <v>16133</v>
      </c>
      <c r="X3562">
        <v>3</v>
      </c>
      <c r="Y3562" t="s">
        <v>22265</v>
      </c>
      <c r="Z3562" t="s">
        <v>28509</v>
      </c>
      <c r="AA3562">
        <v>0.58154967683361081</v>
      </c>
      <c r="AB3562" t="str">
        <f>HYPERLINK("Melting_Curves/meltCurve_Q5VYX0_2_RNLS.pdf", "Melting_Curves/meltCurve_Q5VYX0_2_RNLS.pdf")</f>
        <v>Melting_Curves/meltCurve_Q5VYX0_2_RNLS.pdf</v>
      </c>
    </row>
    <row r="3563" spans="1:28" x14ac:dyDescent="0.25">
      <c r="A3563" t="s">
        <v>3567</v>
      </c>
      <c r="B3563">
        <v>0.99987803227770999</v>
      </c>
      <c r="C3563">
        <v>1.05719718271772</v>
      </c>
      <c r="D3563">
        <v>0.77881584577018104</v>
      </c>
      <c r="E3563">
        <v>0.42960576054949501</v>
      </c>
      <c r="F3563">
        <v>0.239933328723587</v>
      </c>
      <c r="G3563">
        <v>0.15858901444133999</v>
      </c>
      <c r="H3563">
        <v>0.121221667787298</v>
      </c>
      <c r="I3563">
        <v>0.109267260030894</v>
      </c>
      <c r="J3563">
        <v>9.2689030268406594E-2</v>
      </c>
      <c r="K3563">
        <v>6.6243974175858006E-2</v>
      </c>
      <c r="L3563">
        <v>1087.2843664981499</v>
      </c>
      <c r="M3563">
        <v>22.283680823231101</v>
      </c>
      <c r="N3563">
        <v>49.283821243453801</v>
      </c>
      <c r="O3563">
        <v>48.405019431172597</v>
      </c>
      <c r="P3563">
        <v>-0.10363607581734301</v>
      </c>
      <c r="Q3563">
        <v>9.9538656372424303E-2</v>
      </c>
      <c r="R3563">
        <v>0.99067238891820897</v>
      </c>
      <c r="S3563" t="s">
        <v>9874</v>
      </c>
      <c r="T3563" t="s">
        <v>12620</v>
      </c>
      <c r="U3563" t="s">
        <v>12620</v>
      </c>
      <c r="V3563" t="s">
        <v>12620</v>
      </c>
      <c r="W3563" t="s">
        <v>16134</v>
      </c>
      <c r="X3563">
        <v>9</v>
      </c>
      <c r="Y3563" t="s">
        <v>22266</v>
      </c>
      <c r="Z3563" t="s">
        <v>28510</v>
      </c>
      <c r="AA3563">
        <v>0.37357418360399952</v>
      </c>
      <c r="AB3563" t="str">
        <f>HYPERLINK("Melting_Curves/meltCurve_Q5VZE5_NAA35.pdf", "Melting_Curves/meltCurve_Q5VZE5_NAA35.pdf")</f>
        <v>Melting_Curves/meltCurve_Q5VZE5_NAA35.pdf</v>
      </c>
    </row>
    <row r="3564" spans="1:28" x14ac:dyDescent="0.25">
      <c r="A3564" t="s">
        <v>3568</v>
      </c>
      <c r="B3564">
        <v>0.99987803227770999</v>
      </c>
      <c r="C3564">
        <v>1.03025645513102</v>
      </c>
      <c r="D3564">
        <v>0.92321877099006799</v>
      </c>
      <c r="E3564">
        <v>1.13703902805336</v>
      </c>
      <c r="F3564">
        <v>0.95080308401011604</v>
      </c>
      <c r="G3564">
        <v>0.83962819745909301</v>
      </c>
      <c r="H3564">
        <v>0.54332992415625403</v>
      </c>
      <c r="I3564">
        <v>0.490560103205603</v>
      </c>
      <c r="J3564">
        <v>0.40051604542421598</v>
      </c>
      <c r="K3564">
        <v>0.33680078314178202</v>
      </c>
      <c r="L3564">
        <v>1487.71728831011</v>
      </c>
      <c r="M3564">
        <v>25.0456515908188</v>
      </c>
      <c r="N3564">
        <v>62.467989327027297</v>
      </c>
      <c r="O3564">
        <v>59.025447987937</v>
      </c>
      <c r="P3564">
        <v>-6.8544444914823602E-2</v>
      </c>
      <c r="Q3564">
        <v>0.353850174910186</v>
      </c>
      <c r="R3564">
        <v>0.95887240724996403</v>
      </c>
      <c r="S3564" t="s">
        <v>9875</v>
      </c>
      <c r="T3564" t="s">
        <v>12620</v>
      </c>
      <c r="U3564" t="s">
        <v>12620</v>
      </c>
      <c r="V3564" t="s">
        <v>12620</v>
      </c>
      <c r="W3564" t="s">
        <v>16135</v>
      </c>
      <c r="X3564">
        <v>34</v>
      </c>
      <c r="Y3564" t="s">
        <v>22267</v>
      </c>
      <c r="Z3564" t="s">
        <v>28511</v>
      </c>
      <c r="AA3564">
        <v>0.77680722789967593</v>
      </c>
      <c r="AB3564" t="str">
        <f>HYPERLINK("Melting_Curves/meltCurve_Q5VZK9_LRRC16A.pdf", "Melting_Curves/meltCurve_Q5VZK9_LRRC16A.pdf")</f>
        <v>Melting_Curves/meltCurve_Q5VZK9_LRRC16A.pdf</v>
      </c>
    </row>
    <row r="3565" spans="1:28" x14ac:dyDescent="0.25">
      <c r="A3565" t="s">
        <v>3569</v>
      </c>
      <c r="B3565">
        <v>0.99987803227770999</v>
      </c>
      <c r="C3565">
        <v>0.93939462111045802</v>
      </c>
      <c r="D3565">
        <v>0.91310926427318095</v>
      </c>
      <c r="E3565">
        <v>0.796696114253024</v>
      </c>
      <c r="F3565">
        <v>0.80466416019778697</v>
      </c>
      <c r="G3565">
        <v>0.63823128422960396</v>
      </c>
      <c r="H3565">
        <v>0.58887820274935299</v>
      </c>
      <c r="I3565">
        <v>0.47591657800015702</v>
      </c>
      <c r="J3565">
        <v>0.44362618579901397</v>
      </c>
      <c r="K3565">
        <v>0.30243785557767999</v>
      </c>
      <c r="L3565">
        <v>399.08344388580599</v>
      </c>
      <c r="M3565">
        <v>6.3221142928236196</v>
      </c>
      <c r="N3565">
        <v>63.124996697526697</v>
      </c>
      <c r="O3565">
        <v>57.693158309116498</v>
      </c>
      <c r="P3565">
        <v>-2.7468971270369E-2</v>
      </c>
      <c r="Q3565">
        <v>0</v>
      </c>
      <c r="R3565">
        <v>0.98194332971499698</v>
      </c>
      <c r="S3565" t="s">
        <v>9876</v>
      </c>
      <c r="T3565" t="s">
        <v>12620</v>
      </c>
      <c r="U3565" t="s">
        <v>12620</v>
      </c>
      <c r="V3565" t="s">
        <v>12620</v>
      </c>
      <c r="W3565" t="s">
        <v>16136</v>
      </c>
      <c r="X3565">
        <v>6</v>
      </c>
      <c r="Y3565" t="s">
        <v>22268</v>
      </c>
      <c r="Z3565" t="s">
        <v>28512</v>
      </c>
      <c r="AA3565">
        <v>0.69814422149857225</v>
      </c>
      <c r="AB3565" t="str">
        <f>HYPERLINK("Melting_Curves/meltCurve_Q5VZL5_4_ZMYM4.pdf", "Melting_Curves/meltCurve_Q5VZL5_4_ZMYM4.pdf")</f>
        <v>Melting_Curves/meltCurve_Q5VZL5_4_ZMYM4.pdf</v>
      </c>
    </row>
    <row r="3566" spans="1:28" x14ac:dyDescent="0.25">
      <c r="A3566" t="s">
        <v>3570</v>
      </c>
      <c r="B3566">
        <v>0.99987803227770999</v>
      </c>
      <c r="C3566">
        <v>1.03586158223522</v>
      </c>
      <c r="D3566">
        <v>0.96919629921191097</v>
      </c>
      <c r="E3566">
        <v>0.87613147023123905</v>
      </c>
      <c r="F3566">
        <v>0.62511118827311096</v>
      </c>
      <c r="G3566">
        <v>0.49706632435845599</v>
      </c>
      <c r="H3566">
        <v>0.38067918664878497</v>
      </c>
      <c r="I3566">
        <v>0.27025570068799398</v>
      </c>
      <c r="J3566">
        <v>0.16829439711441199</v>
      </c>
      <c r="K3566">
        <v>0.104100615869354</v>
      </c>
      <c r="L3566">
        <v>648.57672900056502</v>
      </c>
      <c r="M3566">
        <v>11.404282295257</v>
      </c>
      <c r="N3566">
        <v>57.1808728575432</v>
      </c>
      <c r="O3566">
        <v>55.206906383990201</v>
      </c>
      <c r="P3566">
        <v>-5.0112187559564002E-2</v>
      </c>
      <c r="Q3566">
        <v>2.9934011602080601E-2</v>
      </c>
      <c r="R3566">
        <v>0.98569324478345</v>
      </c>
      <c r="S3566" t="s">
        <v>9877</v>
      </c>
      <c r="T3566" t="s">
        <v>12620</v>
      </c>
      <c r="U3566" t="s">
        <v>12620</v>
      </c>
      <c r="V3566" t="s">
        <v>12620</v>
      </c>
      <c r="W3566" t="s">
        <v>16137</v>
      </c>
      <c r="X3566">
        <v>24</v>
      </c>
      <c r="Y3566" t="s">
        <v>22269</v>
      </c>
      <c r="Z3566" t="s">
        <v>28513</v>
      </c>
      <c r="AA3566">
        <v>0.59223660302414616</v>
      </c>
      <c r="AB3566" t="str">
        <f>HYPERLINK("Melting_Curves/meltCurve_Q5W015_PFKFB3.pdf", "Melting_Curves/meltCurve_Q5W015_PFKFB3.pdf")</f>
        <v>Melting_Curves/meltCurve_Q5W015_PFKFB3.pdf</v>
      </c>
    </row>
    <row r="3567" spans="1:28" x14ac:dyDescent="0.25">
      <c r="A3567" t="s">
        <v>3571</v>
      </c>
      <c r="B3567">
        <v>0.99987803227770999</v>
      </c>
      <c r="C3567">
        <v>1.07396370920234</v>
      </c>
      <c r="D3567">
        <v>1.0061768841696299</v>
      </c>
      <c r="E3567">
        <v>1.0451752592168899</v>
      </c>
      <c r="F3567">
        <v>0.79166955975977205</v>
      </c>
      <c r="G3567">
        <v>0.89818966282412105</v>
      </c>
      <c r="H3567">
        <v>0.91629899336372</v>
      </c>
      <c r="I3567">
        <v>0.93250165432087095</v>
      </c>
      <c r="J3567">
        <v>0.76522498990838494</v>
      </c>
      <c r="K3567">
        <v>0.614391877866592</v>
      </c>
      <c r="L3567">
        <v>773.44874976826895</v>
      </c>
      <c r="M3567">
        <v>10.405890034275</v>
      </c>
      <c r="Q3567">
        <v>0</v>
      </c>
      <c r="R3567">
        <v>0.67986243883116204</v>
      </c>
      <c r="S3567" t="s">
        <v>9878</v>
      </c>
      <c r="T3567" t="s">
        <v>12620</v>
      </c>
      <c r="U3567" t="s">
        <v>12620</v>
      </c>
      <c r="V3567" t="s">
        <v>12620</v>
      </c>
      <c r="W3567" t="s">
        <v>16138</v>
      </c>
      <c r="X3567">
        <v>4</v>
      </c>
      <c r="Y3567" t="s">
        <v>22270</v>
      </c>
      <c r="Z3567" t="s">
        <v>28514</v>
      </c>
      <c r="AA3567">
        <v>0.92494409754520457</v>
      </c>
      <c r="AB3567" t="str">
        <f>HYPERLINK("Melting_Curves/meltCurve_Q5W0B1_RNF219.pdf", "Melting_Curves/meltCurve_Q5W0B1_RNF219.pdf")</f>
        <v>Melting_Curves/meltCurve_Q5W0B1_RNF219.pdf</v>
      </c>
    </row>
    <row r="3568" spans="1:28" x14ac:dyDescent="0.25">
      <c r="A3568" t="s">
        <v>3572</v>
      </c>
      <c r="B3568">
        <v>0.99987803227770999</v>
      </c>
      <c r="C3568">
        <v>1.00091267883144</v>
      </c>
      <c r="D3568">
        <v>0.98715411121932195</v>
      </c>
      <c r="E3568">
        <v>0.91121240400604198</v>
      </c>
      <c r="F3568">
        <v>0.90647695536750195</v>
      </c>
      <c r="G3568">
        <v>0.53049974122695198</v>
      </c>
      <c r="H3568">
        <v>0.62389317160576296</v>
      </c>
      <c r="I3568">
        <v>0.47492277524530302</v>
      </c>
      <c r="J3568">
        <v>0.35561718813839499</v>
      </c>
      <c r="K3568">
        <v>0.246844252866952</v>
      </c>
      <c r="L3568">
        <v>569.99237622238104</v>
      </c>
      <c r="M3568">
        <v>9.1987350977319693</v>
      </c>
      <c r="N3568">
        <v>62.305415815955101</v>
      </c>
      <c r="O3568">
        <v>59.246716025665002</v>
      </c>
      <c r="P3568">
        <v>-3.78872132717466E-2</v>
      </c>
      <c r="Q3568">
        <v>2.4564355762490098E-2</v>
      </c>
      <c r="R3568">
        <v>0.94372206719611595</v>
      </c>
      <c r="S3568" t="s">
        <v>9879</v>
      </c>
      <c r="T3568" t="s">
        <v>12620</v>
      </c>
      <c r="U3568" t="s">
        <v>12620</v>
      </c>
      <c r="V3568" t="s">
        <v>12620</v>
      </c>
      <c r="W3568" t="s">
        <v>16139</v>
      </c>
      <c r="X3568">
        <v>1</v>
      </c>
      <c r="Y3568" t="s">
        <v>22271</v>
      </c>
      <c r="Z3568" t="s">
        <v>28515</v>
      </c>
      <c r="AA3568">
        <v>0.71313284727862636</v>
      </c>
      <c r="AB3568" t="str">
        <f>HYPERLINK("Melting_Curves/meltCurve_Q5W0Q7_2_USPL1.pdf", "Melting_Curves/meltCurve_Q5W0Q7_2_USPL1.pdf")</f>
        <v>Melting_Curves/meltCurve_Q5W0Q7_2_USPL1.pdf</v>
      </c>
    </row>
    <row r="3569" spans="1:28" x14ac:dyDescent="0.25">
      <c r="A3569" t="s">
        <v>3573</v>
      </c>
      <c r="B3569">
        <v>0.99987803227770999</v>
      </c>
      <c r="C3569">
        <v>1.0409165181831199</v>
      </c>
      <c r="D3569">
        <v>1.0442198624771599</v>
      </c>
      <c r="E3569">
        <v>1.06300143166453</v>
      </c>
      <c r="F3569">
        <v>0.94771827980225598</v>
      </c>
      <c r="G3569">
        <v>0.75797884781777902</v>
      </c>
      <c r="H3569">
        <v>0.223459199142238</v>
      </c>
      <c r="I3569">
        <v>0.163111370046997</v>
      </c>
      <c r="J3569">
        <v>8.2695072656785606E-2</v>
      </c>
      <c r="K3569">
        <v>5.7829316374598497E-2</v>
      </c>
      <c r="L3569">
        <v>2162.1809439838898</v>
      </c>
      <c r="M3569">
        <v>36.960940397332401</v>
      </c>
      <c r="N3569">
        <v>58.774880093561002</v>
      </c>
      <c r="O3569">
        <v>58.3286260751307</v>
      </c>
      <c r="P3569">
        <v>-0.14580473777577299</v>
      </c>
      <c r="Q3569">
        <v>7.9615901933929104E-2</v>
      </c>
      <c r="R3569">
        <v>0.99315248022936298</v>
      </c>
      <c r="S3569" t="s">
        <v>9880</v>
      </c>
      <c r="T3569" t="s">
        <v>12620</v>
      </c>
      <c r="U3569" t="s">
        <v>12620</v>
      </c>
      <c r="V3569" t="s">
        <v>12620</v>
      </c>
      <c r="W3569" t="s">
        <v>16140</v>
      </c>
      <c r="X3569">
        <v>12</v>
      </c>
      <c r="Y3569" t="s">
        <v>22272</v>
      </c>
      <c r="Z3569" t="s">
        <v>28516</v>
      </c>
      <c r="AA3569">
        <v>0.65135300572441557</v>
      </c>
      <c r="AB3569" t="str">
        <f>HYPERLINK("Melting_Curves/meltCurve_Q5W0V3_FAM160B1.pdf", "Melting_Curves/meltCurve_Q5W0V3_FAM160B1.pdf")</f>
        <v>Melting_Curves/meltCurve_Q5W0V3_FAM160B1.pdf</v>
      </c>
    </row>
    <row r="3570" spans="1:28" x14ac:dyDescent="0.25">
      <c r="A3570" t="s">
        <v>3574</v>
      </c>
      <c r="B3570">
        <v>0.99987803227770999</v>
      </c>
      <c r="C3570">
        <v>0.78806103941018102</v>
      </c>
      <c r="D3570">
        <v>0.815832159362325</v>
      </c>
      <c r="E3570">
        <v>0.84911626441056198</v>
      </c>
      <c r="F3570">
        <v>0.69863364864377198</v>
      </c>
      <c r="G3570">
        <v>0.365191697706646</v>
      </c>
      <c r="H3570">
        <v>0.29587386212509698</v>
      </c>
      <c r="I3570">
        <v>0.26152736648847402</v>
      </c>
      <c r="J3570">
        <v>0.224595398443276</v>
      </c>
      <c r="K3570">
        <v>0.19567981223143999</v>
      </c>
      <c r="L3570">
        <v>502.96645677482798</v>
      </c>
      <c r="M3570">
        <v>9.0860603744854593</v>
      </c>
      <c r="N3570">
        <v>55.9521533957126</v>
      </c>
      <c r="O3570">
        <v>52.8719846431825</v>
      </c>
      <c r="P3570">
        <v>-4.1008618245905598E-2</v>
      </c>
      <c r="Q3570">
        <v>4.6147609403318197E-2</v>
      </c>
      <c r="R3570">
        <v>0.93452925435253598</v>
      </c>
      <c r="S3570" t="s">
        <v>9881</v>
      </c>
      <c r="T3570" t="s">
        <v>12620</v>
      </c>
      <c r="U3570" t="s">
        <v>12620</v>
      </c>
      <c r="V3570" t="s">
        <v>12620</v>
      </c>
      <c r="W3570" t="s">
        <v>16141</v>
      </c>
      <c r="X3570">
        <v>1</v>
      </c>
      <c r="Y3570" t="s">
        <v>22273</v>
      </c>
      <c r="Z3570" t="s">
        <v>28517</v>
      </c>
      <c r="AA3570">
        <v>0.55789611253050919</v>
      </c>
      <c r="AB3570" t="str">
        <f>HYPERLINK("Melting_Curves/meltCurve_Q5W111_2_SPRYD7.pdf", "Melting_Curves/meltCurve_Q5W111_2_SPRYD7.pdf")</f>
        <v>Melting_Curves/meltCurve_Q5W111_2_SPRYD7.pdf</v>
      </c>
    </row>
    <row r="3571" spans="1:28" x14ac:dyDescent="0.25">
      <c r="A3571" t="s">
        <v>3575</v>
      </c>
      <c r="B3571">
        <v>0.99987803227770999</v>
      </c>
      <c r="C3571">
        <v>1.17036216005555</v>
      </c>
      <c r="D3571">
        <v>0.91154026190230397</v>
      </c>
      <c r="E3571">
        <v>1.0818839045364299</v>
      </c>
      <c r="F3571">
        <v>0.33619925136495299</v>
      </c>
      <c r="G3571">
        <v>0.23675222479723901</v>
      </c>
      <c r="H3571">
        <v>0.143565867892718</v>
      </c>
      <c r="I3571">
        <v>0.10673350290156799</v>
      </c>
      <c r="J3571">
        <v>9.0403669276093598E-2</v>
      </c>
      <c r="K3571">
        <v>6.5794338183957496E-2</v>
      </c>
      <c r="L3571">
        <v>13188.381697631599</v>
      </c>
      <c r="M3571">
        <v>250</v>
      </c>
      <c r="N3571">
        <v>52.8163715885537</v>
      </c>
      <c r="O3571">
        <v>52.750150920805503</v>
      </c>
      <c r="P3571">
        <v>-1.03240242775538</v>
      </c>
      <c r="Q3571">
        <v>0.128649859120258</v>
      </c>
      <c r="R3571">
        <v>0.96836187157933096</v>
      </c>
      <c r="S3571" t="s">
        <v>9882</v>
      </c>
      <c r="T3571" t="s">
        <v>12620</v>
      </c>
      <c r="U3571" t="s">
        <v>12620</v>
      </c>
      <c r="V3571" t="s">
        <v>12620</v>
      </c>
      <c r="W3571" t="s">
        <v>16142</v>
      </c>
      <c r="X3571">
        <v>4</v>
      </c>
      <c r="Y3571" t="s">
        <v>22274</v>
      </c>
      <c r="Z3571" t="s">
        <v>28518</v>
      </c>
      <c r="AA3571">
        <v>0.49915677564786443</v>
      </c>
      <c r="AB3571" t="str">
        <f>HYPERLINK("Melting_Curves/meltCurve_Q5XPI4_RNF123.pdf", "Melting_Curves/meltCurve_Q5XPI4_RNF123.pdf")</f>
        <v>Melting_Curves/meltCurve_Q5XPI4_RNF123.pdf</v>
      </c>
    </row>
    <row r="3572" spans="1:28" x14ac:dyDescent="0.25">
      <c r="A3572" t="s">
        <v>3576</v>
      </c>
      <c r="B3572">
        <v>0.99987803227770999</v>
      </c>
      <c r="C3572">
        <v>1.01683895399586</v>
      </c>
      <c r="D3572">
        <v>1.07089098321023</v>
      </c>
      <c r="E3572">
        <v>0.81972263644522403</v>
      </c>
      <c r="F3572">
        <v>0.75747792863090202</v>
      </c>
      <c r="G3572">
        <v>0.39142746815248702</v>
      </c>
      <c r="H3572">
        <v>0.25539252329187201</v>
      </c>
      <c r="I3572">
        <v>0.200296217738483</v>
      </c>
      <c r="J3572">
        <v>0.20032420888836899</v>
      </c>
      <c r="K3572">
        <v>0.14443362565022999</v>
      </c>
      <c r="L3572">
        <v>1117.25911673822</v>
      </c>
      <c r="M3572">
        <v>20.423775333877501</v>
      </c>
      <c r="N3572">
        <v>55.735948673864897</v>
      </c>
      <c r="O3572">
        <v>54.1875137039302</v>
      </c>
      <c r="P3572">
        <v>-7.9393362683668603E-2</v>
      </c>
      <c r="Q3572">
        <v>0.15745261822034501</v>
      </c>
      <c r="R3572">
        <v>0.98696708727353299</v>
      </c>
      <c r="S3572" t="s">
        <v>9883</v>
      </c>
      <c r="T3572" t="s">
        <v>12620</v>
      </c>
      <c r="U3572" t="s">
        <v>12620</v>
      </c>
      <c r="V3572" t="s">
        <v>12620</v>
      </c>
      <c r="W3572" t="s">
        <v>16143</v>
      </c>
      <c r="X3572">
        <v>3</v>
      </c>
      <c r="Y3572" t="s">
        <v>22275</v>
      </c>
      <c r="Z3572" t="s">
        <v>28519</v>
      </c>
      <c r="AA3572">
        <v>0.58134783427966819</v>
      </c>
      <c r="AB3572" t="str">
        <f>HYPERLINK("Melting_Curves/meltCurve_Q5XUX1_3_FBXW9.pdf", "Melting_Curves/meltCurve_Q5XUX1_3_FBXW9.pdf")</f>
        <v>Melting_Curves/meltCurve_Q5XUX1_3_FBXW9.pdf</v>
      </c>
    </row>
    <row r="3573" spans="1:28" x14ac:dyDescent="0.25">
      <c r="A3573" t="s">
        <v>3577</v>
      </c>
      <c r="B3573">
        <v>0.99987803227770999</v>
      </c>
      <c r="C3573">
        <v>0.89617446217879704</v>
      </c>
      <c r="D3573">
        <v>0.91560038042119396</v>
      </c>
      <c r="E3573">
        <v>0.79603839765596895</v>
      </c>
      <c r="F3573">
        <v>0.82004022217244998</v>
      </c>
      <c r="G3573">
        <v>0.47275164355122001</v>
      </c>
      <c r="H3573">
        <v>0.54138354358006602</v>
      </c>
      <c r="I3573">
        <v>0.470348322265429</v>
      </c>
      <c r="J3573">
        <v>0.65054060251272705</v>
      </c>
      <c r="K3573">
        <v>0.53262756079502305</v>
      </c>
      <c r="L3573">
        <v>804.52083269028105</v>
      </c>
      <c r="M3573">
        <v>15.6728009674997</v>
      </c>
      <c r="O3573">
        <v>50.5183889946546</v>
      </c>
      <c r="P3573">
        <v>-3.7337572964266402E-2</v>
      </c>
      <c r="Q3573">
        <v>0.51863777232505004</v>
      </c>
      <c r="R3573">
        <v>0.838836503699673</v>
      </c>
      <c r="S3573" t="s">
        <v>9884</v>
      </c>
      <c r="T3573" t="s">
        <v>12620</v>
      </c>
      <c r="U3573" t="s">
        <v>12620</v>
      </c>
      <c r="V3573" t="s">
        <v>12620</v>
      </c>
      <c r="W3573" t="s">
        <v>16144</v>
      </c>
      <c r="X3573">
        <v>79</v>
      </c>
      <c r="Y3573" t="s">
        <v>22276</v>
      </c>
      <c r="Z3573" t="s">
        <v>28520</v>
      </c>
      <c r="AA3573">
        <v>0.71071242660443212</v>
      </c>
      <c r="AB3573" t="str">
        <f>HYPERLINK("Melting_Curves/meltCurve_Q63HN8_RNF213.pdf", "Melting_Curves/meltCurve_Q63HN8_RNF213.pdf")</f>
        <v>Melting_Curves/meltCurve_Q63HN8_RNF213.pdf</v>
      </c>
    </row>
    <row r="3574" spans="1:28" x14ac:dyDescent="0.25">
      <c r="A3574" t="s">
        <v>3578</v>
      </c>
      <c r="B3574">
        <v>0.99987803227770999</v>
      </c>
      <c r="C3574">
        <v>0.82540494910133599</v>
      </c>
      <c r="D3574">
        <v>0.74917414906164304</v>
      </c>
      <c r="E3574">
        <v>0.55616138180830599</v>
      </c>
      <c r="F3574">
        <v>0.33163879967279802</v>
      </c>
      <c r="G3574">
        <v>0.20586666474526299</v>
      </c>
      <c r="H3574">
        <v>0.16613936737402299</v>
      </c>
      <c r="I3574">
        <v>0.14628704428558101</v>
      </c>
      <c r="J3574">
        <v>0.14480520936624799</v>
      </c>
      <c r="K3574">
        <v>0.11164346628239601</v>
      </c>
      <c r="L3574">
        <v>636.02038146863504</v>
      </c>
      <c r="M3574">
        <v>12.8959892656554</v>
      </c>
      <c r="N3574">
        <v>50.151226135447502</v>
      </c>
      <c r="O3574">
        <v>48.178458518702698</v>
      </c>
      <c r="P3574">
        <v>-6.0484564504098601E-2</v>
      </c>
      <c r="Q3574">
        <v>9.6301072096631496E-2</v>
      </c>
      <c r="R3574">
        <v>0.99042340883271995</v>
      </c>
      <c r="S3574" t="s">
        <v>9885</v>
      </c>
      <c r="T3574" t="s">
        <v>12620</v>
      </c>
      <c r="U3574" t="s">
        <v>12620</v>
      </c>
      <c r="V3574" t="s">
        <v>12620</v>
      </c>
      <c r="W3574" t="s">
        <v>16145</v>
      </c>
      <c r="X3574">
        <v>79</v>
      </c>
      <c r="Y3574" t="s">
        <v>22276</v>
      </c>
      <c r="Z3574" t="s">
        <v>28521</v>
      </c>
      <c r="AA3574">
        <v>0.40589096964790522</v>
      </c>
      <c r="AB3574" t="str">
        <f>HYPERLINK("Melting_Curves/meltCurve_Q63HN8_4_RNF213.pdf", "Melting_Curves/meltCurve_Q63HN8_4_RNF213.pdf")</f>
        <v>Melting_Curves/meltCurve_Q63HN8_4_RNF213.pdf</v>
      </c>
    </row>
    <row r="3575" spans="1:28" x14ac:dyDescent="0.25">
      <c r="A3575" t="s">
        <v>3579</v>
      </c>
      <c r="B3575">
        <v>0.99987803227770999</v>
      </c>
      <c r="C3575">
        <v>0.80384620148618802</v>
      </c>
      <c r="D3575">
        <v>0.960391405130952</v>
      </c>
      <c r="E3575">
        <v>0.80334399062472395</v>
      </c>
      <c r="F3575">
        <v>1.14497328090166</v>
      </c>
      <c r="G3575">
        <v>0.92168924438418898</v>
      </c>
      <c r="H3575">
        <v>1.15888097428707</v>
      </c>
      <c r="I3575">
        <v>0.96200066039726395</v>
      </c>
      <c r="J3575">
        <v>1.3483813722418501</v>
      </c>
      <c r="K3575">
        <v>1.2092084516764701</v>
      </c>
      <c r="L3575">
        <v>15000</v>
      </c>
      <c r="M3575">
        <v>229.41424221142199</v>
      </c>
      <c r="O3575">
        <v>65.378945272178996</v>
      </c>
      <c r="P3575">
        <v>0.24481070303209501</v>
      </c>
      <c r="Q3575">
        <v>1.2790666219145901</v>
      </c>
      <c r="R3575">
        <v>0.50491721083636598</v>
      </c>
      <c r="S3575" t="s">
        <v>9886</v>
      </c>
      <c r="T3575" t="s">
        <v>12620</v>
      </c>
      <c r="U3575" t="s">
        <v>12620</v>
      </c>
      <c r="V3575" t="s">
        <v>12620</v>
      </c>
      <c r="W3575" t="s">
        <v>16146</v>
      </c>
      <c r="X3575">
        <v>1</v>
      </c>
      <c r="Y3575" t="s">
        <v>22277</v>
      </c>
      <c r="Z3575" t="s">
        <v>28522</v>
      </c>
      <c r="AA3575">
        <v>1.0429018671143151</v>
      </c>
      <c r="AB3575" t="str">
        <f>HYPERLINK("Melting_Curves/meltCurve_Q63HQ0_2_AP1AR.pdf", "Melting_Curves/meltCurve_Q63HQ0_2_AP1AR.pdf")</f>
        <v>Melting_Curves/meltCurve_Q63HQ0_2_AP1AR.pdf</v>
      </c>
    </row>
    <row r="3576" spans="1:28" x14ac:dyDescent="0.25">
      <c r="A3576" t="s">
        <v>3580</v>
      </c>
      <c r="B3576">
        <v>0.99987803227770999</v>
      </c>
      <c r="C3576">
        <v>0.92338307472269798</v>
      </c>
      <c r="D3576">
        <v>0.92375185515814295</v>
      </c>
      <c r="E3576">
        <v>0.74047781402519697</v>
      </c>
      <c r="F3576">
        <v>0.50843701021814602</v>
      </c>
      <c r="G3576">
        <v>0.34190679919462102</v>
      </c>
      <c r="H3576">
        <v>0.29524698927347398</v>
      </c>
      <c r="I3576">
        <v>0.251125143526434</v>
      </c>
      <c r="J3576">
        <v>0.23891700187419601</v>
      </c>
      <c r="K3576">
        <v>0.19357112774042301</v>
      </c>
      <c r="L3576">
        <v>857.07251712338496</v>
      </c>
      <c r="M3576">
        <v>16.556659957594601</v>
      </c>
      <c r="N3576">
        <v>53.536539930348397</v>
      </c>
      <c r="O3576">
        <v>51.028527834898803</v>
      </c>
      <c r="P3576">
        <v>-6.4018782730198301E-2</v>
      </c>
      <c r="Q3576">
        <v>0.21081659191980401</v>
      </c>
      <c r="R3576">
        <v>0.99413598034278705</v>
      </c>
      <c r="S3576" t="s">
        <v>9887</v>
      </c>
      <c r="T3576" t="s">
        <v>12620</v>
      </c>
      <c r="U3576" t="s">
        <v>12620</v>
      </c>
      <c r="V3576" t="s">
        <v>12620</v>
      </c>
      <c r="W3576" t="s">
        <v>16147</v>
      </c>
      <c r="X3576">
        <v>15</v>
      </c>
      <c r="Y3576" t="s">
        <v>22278</v>
      </c>
      <c r="Z3576" t="s">
        <v>28523</v>
      </c>
      <c r="AA3576">
        <v>0.53551085991986913</v>
      </c>
      <c r="AB3576" t="str">
        <f>HYPERLINK("Melting_Curves/meltCurve_Q63ZY3_3_KANK2.pdf", "Melting_Curves/meltCurve_Q63ZY3_3_KANK2.pdf")</f>
        <v>Melting_Curves/meltCurve_Q63ZY3_3_KANK2.pdf</v>
      </c>
    </row>
    <row r="3577" spans="1:28" x14ac:dyDescent="0.25">
      <c r="A3577" t="s">
        <v>3581</v>
      </c>
      <c r="B3577">
        <v>0.99987803227770999</v>
      </c>
      <c r="C3577">
        <v>1.0008421097312199</v>
      </c>
      <c r="D3577">
        <v>1.0258519310521399</v>
      </c>
      <c r="E3577">
        <v>1.16797784232219</v>
      </c>
      <c r="F3577">
        <v>1.1084987127013901</v>
      </c>
      <c r="G3577">
        <v>1.1102940867022699</v>
      </c>
      <c r="H3577">
        <v>1.2449338015829601</v>
      </c>
      <c r="I3577">
        <v>1.0553761679282601</v>
      </c>
      <c r="J3577">
        <v>0.97657509134472797</v>
      </c>
      <c r="K3577">
        <v>0.76997853400373295</v>
      </c>
      <c r="L3577">
        <v>15000</v>
      </c>
      <c r="M3577">
        <v>221.702869841096</v>
      </c>
      <c r="O3577">
        <v>67.652609423522307</v>
      </c>
      <c r="P3577">
        <v>-0.18856278947931501</v>
      </c>
      <c r="Q3577">
        <v>0.76984030442336104</v>
      </c>
      <c r="R3577">
        <v>0.21786788027102899</v>
      </c>
      <c r="S3577" t="s">
        <v>9888</v>
      </c>
      <c r="T3577" t="s">
        <v>12620</v>
      </c>
      <c r="U3577" t="s">
        <v>12620</v>
      </c>
      <c r="V3577" t="s">
        <v>12620</v>
      </c>
      <c r="W3577" t="s">
        <v>16148</v>
      </c>
      <c r="X3577">
        <v>31</v>
      </c>
      <c r="Y3577" t="s">
        <v>22279</v>
      </c>
      <c r="Z3577" t="s">
        <v>28524</v>
      </c>
      <c r="AA3577">
        <v>0.98206637497203231</v>
      </c>
      <c r="AB3577" t="str">
        <f>HYPERLINK("Melting_Curves/meltCurve_Q641Q2_FAM21A.pdf", "Melting_Curves/meltCurve_Q641Q2_FAM21A.pdf")</f>
        <v>Melting_Curves/meltCurve_Q641Q2_FAM21A.pdf</v>
      </c>
    </row>
    <row r="3578" spans="1:28" x14ac:dyDescent="0.25">
      <c r="A3578" t="s">
        <v>3582</v>
      </c>
      <c r="B3578">
        <v>0.99987803227770999</v>
      </c>
      <c r="C3578">
        <v>1.0047928718258801</v>
      </c>
      <c r="D3578">
        <v>0.950711628781992</v>
      </c>
      <c r="E3578">
        <v>0.76881526502319397</v>
      </c>
      <c r="F3578">
        <v>0.64468730152342202</v>
      </c>
      <c r="G3578">
        <v>0.45001728679694802</v>
      </c>
      <c r="H3578">
        <v>0.41416778312367297</v>
      </c>
      <c r="I3578">
        <v>0.36774269242719698</v>
      </c>
      <c r="J3578">
        <v>0.35241807113606</v>
      </c>
      <c r="K3578">
        <v>0.27974079718292999</v>
      </c>
      <c r="L3578">
        <v>815.47675156845901</v>
      </c>
      <c r="M3578">
        <v>15.4977685847113</v>
      </c>
      <c r="N3578">
        <v>56.1345249884493</v>
      </c>
      <c r="O3578">
        <v>51.7662278703027</v>
      </c>
      <c r="P3578">
        <v>-5.1605061431478E-2</v>
      </c>
      <c r="Q3578">
        <v>0.31056864143352603</v>
      </c>
      <c r="R3578">
        <v>0.99278816978750295</v>
      </c>
      <c r="S3578" t="s">
        <v>9889</v>
      </c>
      <c r="T3578" t="s">
        <v>12620</v>
      </c>
      <c r="U3578" t="s">
        <v>12620</v>
      </c>
      <c r="V3578" t="s">
        <v>12620</v>
      </c>
      <c r="W3578" t="s">
        <v>16149</v>
      </c>
      <c r="X3578">
        <v>4</v>
      </c>
      <c r="Y3578" t="s">
        <v>22280</v>
      </c>
      <c r="Z3578" t="s">
        <v>28525</v>
      </c>
      <c r="AA3578">
        <v>0.61492924992723019</v>
      </c>
      <c r="AB3578" t="str">
        <f>HYPERLINK("Melting_Curves/meltCurve_Q659A1_NARG2.pdf", "Melting_Curves/meltCurve_Q659A1_NARG2.pdf")</f>
        <v>Melting_Curves/meltCurve_Q659A1_NARG2.pdf</v>
      </c>
    </row>
    <row r="3579" spans="1:28" x14ac:dyDescent="0.25">
      <c r="A3579" t="s">
        <v>3583</v>
      </c>
      <c r="B3579">
        <v>0.99987803227770999</v>
      </c>
      <c r="C3579">
        <v>1.19827555779025</v>
      </c>
      <c r="D3579">
        <v>1.0023159192798501</v>
      </c>
      <c r="E3579">
        <v>0.92280166462702895</v>
      </c>
      <c r="F3579">
        <v>0.67921671221371704</v>
      </c>
      <c r="G3579">
        <v>0.50958175854410503</v>
      </c>
      <c r="H3579">
        <v>0.28239582780891098</v>
      </c>
      <c r="I3579">
        <v>0.31540137806012503</v>
      </c>
      <c r="J3579">
        <v>0.26651881681731898</v>
      </c>
      <c r="K3579">
        <v>0.19861612079719601</v>
      </c>
      <c r="L3579">
        <v>1078.65436783635</v>
      </c>
      <c r="M3579">
        <v>19.727107226206201</v>
      </c>
      <c r="N3579">
        <v>56.443863967470897</v>
      </c>
      <c r="O3579">
        <v>54.126214108566501</v>
      </c>
      <c r="P3579">
        <v>-7.0144545407285694E-2</v>
      </c>
      <c r="Q3579">
        <v>0.230190614531324</v>
      </c>
      <c r="R3579">
        <v>0.95836945405333795</v>
      </c>
      <c r="S3579" t="s">
        <v>9890</v>
      </c>
      <c r="T3579" t="s">
        <v>12620</v>
      </c>
      <c r="U3579" t="s">
        <v>12620</v>
      </c>
      <c r="V3579" t="s">
        <v>12620</v>
      </c>
      <c r="W3579" t="s">
        <v>16150</v>
      </c>
      <c r="X3579">
        <v>4</v>
      </c>
      <c r="Y3579" t="s">
        <v>22281</v>
      </c>
      <c r="Z3579" t="s">
        <v>28526</v>
      </c>
      <c r="AA3579">
        <v>0.61740156682223313</v>
      </c>
      <c r="AB3579" t="str">
        <f>HYPERLINK("Melting_Curves/meltCurve_Q66GS9_CEP135.pdf", "Melting_Curves/meltCurve_Q66GS9_CEP135.pdf")</f>
        <v>Melting_Curves/meltCurve_Q66GS9_CEP135.pdf</v>
      </c>
    </row>
    <row r="3580" spans="1:28" x14ac:dyDescent="0.25">
      <c r="A3580" t="s">
        <v>3584</v>
      </c>
      <c r="B3580">
        <v>0.99987803227770999</v>
      </c>
      <c r="C3580">
        <v>1.14459799123804</v>
      </c>
      <c r="D3580">
        <v>0.98976204556148395</v>
      </c>
      <c r="E3580">
        <v>0.78137998905124595</v>
      </c>
      <c r="F3580">
        <v>0.32445611713815897</v>
      </c>
      <c r="G3580">
        <v>0.21126163541159501</v>
      </c>
      <c r="H3580">
        <v>0.12788261277104199</v>
      </c>
      <c r="I3580">
        <v>0.13277482889660899</v>
      </c>
      <c r="J3580">
        <v>9.5598140999176004E-2</v>
      </c>
      <c r="K3580">
        <v>6.7672474738966301E-2</v>
      </c>
      <c r="L3580">
        <v>1873.17426086712</v>
      </c>
      <c r="M3580">
        <v>36.409478231306203</v>
      </c>
      <c r="N3580">
        <v>51.832500794878896</v>
      </c>
      <c r="O3580">
        <v>51.292974408605602</v>
      </c>
      <c r="P3580">
        <v>-0.15643025005637201</v>
      </c>
      <c r="Q3580">
        <v>0.11849891840770101</v>
      </c>
      <c r="R3580">
        <v>0.98282908526040602</v>
      </c>
      <c r="S3580" t="s">
        <v>9891</v>
      </c>
      <c r="T3580" t="s">
        <v>12620</v>
      </c>
      <c r="U3580" t="s">
        <v>12620</v>
      </c>
      <c r="V3580" t="s">
        <v>12620</v>
      </c>
      <c r="W3580" t="s">
        <v>16151</v>
      </c>
      <c r="X3580">
        <v>20</v>
      </c>
      <c r="Y3580" t="s">
        <v>22282</v>
      </c>
      <c r="Z3580" t="s">
        <v>28527</v>
      </c>
      <c r="AA3580">
        <v>0.45865012569214758</v>
      </c>
      <c r="AB3580" t="str">
        <f>HYPERLINK("Melting_Curves/meltCurve_Q66K14_2_TBC1D9B.pdf", "Melting_Curves/meltCurve_Q66K14_2_TBC1D9B.pdf")</f>
        <v>Melting_Curves/meltCurve_Q66K14_2_TBC1D9B.pdf</v>
      </c>
    </row>
    <row r="3581" spans="1:28" x14ac:dyDescent="0.25">
      <c r="A3581" t="s">
        <v>3585</v>
      </c>
      <c r="B3581">
        <v>0.99987803227770999</v>
      </c>
      <c r="C3581">
        <v>1.10293561059566</v>
      </c>
      <c r="D3581">
        <v>0.98156663476352901</v>
      </c>
      <c r="E3581">
        <v>0.86267800769969505</v>
      </c>
      <c r="F3581">
        <v>0.84144274458067403</v>
      </c>
      <c r="G3581">
        <v>0.47259490827287598</v>
      </c>
      <c r="H3581">
        <v>0.36495566643556698</v>
      </c>
      <c r="I3581">
        <v>0.25386966414482298</v>
      </c>
      <c r="J3581">
        <v>0.33908567988185101</v>
      </c>
      <c r="K3581">
        <v>0.23968463438646101</v>
      </c>
      <c r="L3581">
        <v>1221.40561073903</v>
      </c>
      <c r="M3581">
        <v>22.1490726824136</v>
      </c>
      <c r="N3581">
        <v>57.068370988418799</v>
      </c>
      <c r="O3581">
        <v>54.701172404815999</v>
      </c>
      <c r="P3581">
        <v>-7.46056960409337E-2</v>
      </c>
      <c r="Q3581">
        <v>0.263006691217407</v>
      </c>
      <c r="R3581">
        <v>0.974620487542465</v>
      </c>
      <c r="S3581" t="s">
        <v>9892</v>
      </c>
      <c r="T3581" t="s">
        <v>12620</v>
      </c>
      <c r="U3581" t="s">
        <v>12620</v>
      </c>
      <c r="V3581" t="s">
        <v>12620</v>
      </c>
      <c r="W3581" t="s">
        <v>16152</v>
      </c>
      <c r="X3581">
        <v>2</v>
      </c>
      <c r="Y3581" t="s">
        <v>22283</v>
      </c>
      <c r="Z3581" t="s">
        <v>28528</v>
      </c>
      <c r="AA3581">
        <v>0.64340814311029459</v>
      </c>
      <c r="AB3581" t="str">
        <f>HYPERLINK("Melting_Curves/meltCurve_Q66K64_DCAF15.pdf", "Melting_Curves/meltCurve_Q66K64_DCAF15.pdf")</f>
        <v>Melting_Curves/meltCurve_Q66K64_DCAF15.pdf</v>
      </c>
    </row>
    <row r="3582" spans="1:28" x14ac:dyDescent="0.25">
      <c r="A3582" t="s">
        <v>3586</v>
      </c>
      <c r="B3582">
        <v>0.99987803227770999</v>
      </c>
      <c r="C3582">
        <v>1.0042963791025801</v>
      </c>
      <c r="D3582">
        <v>0.874754921846705</v>
      </c>
      <c r="E3582">
        <v>0.91097570036143205</v>
      </c>
      <c r="F3582">
        <v>0.46941234470806698</v>
      </c>
      <c r="G3582">
        <v>0.211581486238787</v>
      </c>
      <c r="H3582">
        <v>0.172793729195863</v>
      </c>
      <c r="I3582">
        <v>0.13135861643560601</v>
      </c>
      <c r="J3582">
        <v>0.107551519004655</v>
      </c>
      <c r="K3582">
        <v>8.7909447585794095E-2</v>
      </c>
      <c r="L3582">
        <v>1852.2718640504299</v>
      </c>
      <c r="M3582">
        <v>35.273346314200602</v>
      </c>
      <c r="N3582">
        <v>52.955873398719604</v>
      </c>
      <c r="O3582">
        <v>52.344022253415503</v>
      </c>
      <c r="P3582">
        <v>-0.146906286904812</v>
      </c>
      <c r="Q3582">
        <v>0.127994361703159</v>
      </c>
      <c r="R3582">
        <v>0.98574621095790105</v>
      </c>
      <c r="S3582" t="s">
        <v>9893</v>
      </c>
      <c r="T3582" t="s">
        <v>12620</v>
      </c>
      <c r="U3582" t="s">
        <v>12620</v>
      </c>
      <c r="V3582" t="s">
        <v>12620</v>
      </c>
      <c r="W3582" t="s">
        <v>16153</v>
      </c>
      <c r="X3582">
        <v>5</v>
      </c>
      <c r="Y3582" t="s">
        <v>22284</v>
      </c>
      <c r="Z3582" t="s">
        <v>28529</v>
      </c>
      <c r="AA3582">
        <v>0.49574698615631341</v>
      </c>
      <c r="AB3582" t="str">
        <f>HYPERLINK("Melting_Curves/meltCurve_Q66LE6_PPP2R2D.pdf", "Melting_Curves/meltCurve_Q66LE6_PPP2R2D.pdf")</f>
        <v>Melting_Curves/meltCurve_Q66LE6_PPP2R2D.pdf</v>
      </c>
    </row>
    <row r="3583" spans="1:28" x14ac:dyDescent="0.25">
      <c r="A3583" t="s">
        <v>3587</v>
      </c>
      <c r="B3583">
        <v>0.99987803227770999</v>
      </c>
      <c r="C3583">
        <v>0.88985610803013804</v>
      </c>
      <c r="D3583">
        <v>1.02396684736957</v>
      </c>
      <c r="E3583">
        <v>0.86721769651495295</v>
      </c>
      <c r="F3583">
        <v>0.95096184896119396</v>
      </c>
      <c r="G3583">
        <v>0.64182435933940896</v>
      </c>
      <c r="H3583">
        <v>0.84718901536929503</v>
      </c>
      <c r="I3583">
        <v>0.67916978434608399</v>
      </c>
      <c r="J3583">
        <v>0.79804461567571805</v>
      </c>
      <c r="K3583">
        <v>0.65374660659820005</v>
      </c>
      <c r="L3583">
        <v>908.885938570034</v>
      </c>
      <c r="M3583">
        <v>17.2140170315337</v>
      </c>
      <c r="O3583">
        <v>52.102097802454701</v>
      </c>
      <c r="P3583">
        <v>-2.37085249773368E-2</v>
      </c>
      <c r="Q3583">
        <v>0.71298022107597203</v>
      </c>
      <c r="R3583">
        <v>0.61586708366959897</v>
      </c>
      <c r="S3583" t="s">
        <v>9894</v>
      </c>
      <c r="T3583" t="s">
        <v>12620</v>
      </c>
      <c r="U3583" t="s">
        <v>12620</v>
      </c>
      <c r="V3583" t="s">
        <v>12620</v>
      </c>
      <c r="W3583" t="s">
        <v>16154</v>
      </c>
      <c r="X3583">
        <v>9</v>
      </c>
      <c r="Y3583" t="s">
        <v>22285</v>
      </c>
      <c r="Z3583" t="s">
        <v>28530</v>
      </c>
      <c r="AA3583">
        <v>0.84050037040556325</v>
      </c>
      <c r="AB3583" t="str">
        <f>HYPERLINK("Melting_Curves/meltCurve_Q66PJ3_ARL6IP4.pdf", "Melting_Curves/meltCurve_Q66PJ3_ARL6IP4.pdf")</f>
        <v>Melting_Curves/meltCurve_Q66PJ3_ARL6IP4.pdf</v>
      </c>
    </row>
    <row r="3584" spans="1:28" x14ac:dyDescent="0.25">
      <c r="A3584" t="s">
        <v>3588</v>
      </c>
      <c r="B3584">
        <v>0.99987803227770999</v>
      </c>
      <c r="C3584">
        <v>1.04075565636312</v>
      </c>
      <c r="D3584">
        <v>0.94259094810747801</v>
      </c>
      <c r="E3584">
        <v>1.0543429620395099</v>
      </c>
      <c r="F3584">
        <v>1.00983474542288</v>
      </c>
      <c r="G3584">
        <v>0.79253870824287198</v>
      </c>
      <c r="H3584">
        <v>0.65577463605280795</v>
      </c>
      <c r="I3584">
        <v>0.50704953842360001</v>
      </c>
      <c r="J3584">
        <v>0.35456179544015398</v>
      </c>
      <c r="K3584">
        <v>0.24461716124163099</v>
      </c>
      <c r="L3584">
        <v>975.61950671874297</v>
      </c>
      <c r="M3584">
        <v>15.5167347374553</v>
      </c>
      <c r="N3584">
        <v>63.7971412951091</v>
      </c>
      <c r="O3584">
        <v>61.858766495318797</v>
      </c>
      <c r="P3584">
        <v>-5.6417613200962599E-2</v>
      </c>
      <c r="Q3584">
        <v>0.100425365295659</v>
      </c>
      <c r="R3584">
        <v>0.97997593394853399</v>
      </c>
      <c r="S3584" t="s">
        <v>9895</v>
      </c>
      <c r="T3584" t="s">
        <v>12620</v>
      </c>
      <c r="U3584" t="s">
        <v>12620</v>
      </c>
      <c r="V3584" t="s">
        <v>12620</v>
      </c>
      <c r="W3584" t="s">
        <v>16155</v>
      </c>
      <c r="X3584">
        <v>22</v>
      </c>
      <c r="Y3584" t="s">
        <v>22286</v>
      </c>
      <c r="Z3584" t="s">
        <v>28531</v>
      </c>
      <c r="AA3584">
        <v>0.78000279145831664</v>
      </c>
      <c r="AB3584" t="str">
        <f>HYPERLINK("Melting_Curves/meltCurve_Q676U5_2_ATG16L1.pdf", "Melting_Curves/meltCurve_Q676U5_2_ATG16L1.pdf")</f>
        <v>Melting_Curves/meltCurve_Q676U5_2_ATG16L1.pdf</v>
      </c>
    </row>
    <row r="3585" spans="1:28" x14ac:dyDescent="0.25">
      <c r="A3585" t="s">
        <v>3589</v>
      </c>
      <c r="B3585">
        <v>0.99987803227770999</v>
      </c>
      <c r="C3585">
        <v>1.01738545845912</v>
      </c>
      <c r="D3585">
        <v>1.2084981940881601</v>
      </c>
      <c r="E3585">
        <v>0.914952267954104</v>
      </c>
      <c r="F3585">
        <v>0.74742582974343097</v>
      </c>
      <c r="G3585">
        <v>0.46936850452295598</v>
      </c>
      <c r="H3585">
        <v>0.58065116467193301</v>
      </c>
      <c r="I3585">
        <v>0.40288494240898198</v>
      </c>
      <c r="J3585">
        <v>0.40314145484727898</v>
      </c>
      <c r="K3585">
        <v>0.245239936056034</v>
      </c>
      <c r="L3585">
        <v>1221.3912586742799</v>
      </c>
      <c r="M3585">
        <v>22.551849495212501</v>
      </c>
      <c r="N3585">
        <v>57.690722174437397</v>
      </c>
      <c r="O3585">
        <v>53.738794811337698</v>
      </c>
      <c r="P3585">
        <v>-6.5649153733516999E-2</v>
      </c>
      <c r="Q3585">
        <v>0.37427131569618999</v>
      </c>
      <c r="R3585">
        <v>0.89864516987813203</v>
      </c>
      <c r="S3585" t="s">
        <v>9896</v>
      </c>
      <c r="T3585" t="s">
        <v>12620</v>
      </c>
      <c r="U3585" t="s">
        <v>12620</v>
      </c>
      <c r="V3585" t="s">
        <v>12620</v>
      </c>
      <c r="W3585" t="s">
        <v>16156</v>
      </c>
      <c r="X3585">
        <v>3</v>
      </c>
      <c r="Y3585" t="s">
        <v>22287</v>
      </c>
      <c r="Z3585" t="s">
        <v>28532</v>
      </c>
      <c r="AA3585">
        <v>0.67654954707587889</v>
      </c>
      <c r="AB3585" t="str">
        <f>HYPERLINK("Melting_Curves/meltCurve_Q684P5_3_RAP1GAP2.pdf", "Melting_Curves/meltCurve_Q684P5_3_RAP1GAP2.pdf")</f>
        <v>Melting_Curves/meltCurve_Q684P5_3_RAP1GAP2.pdf</v>
      </c>
    </row>
    <row r="3586" spans="1:28" x14ac:dyDescent="0.25">
      <c r="A3586" t="s">
        <v>3590</v>
      </c>
      <c r="B3586">
        <v>0.99987803227770999</v>
      </c>
      <c r="C3586">
        <v>0.97130583942695903</v>
      </c>
      <c r="D3586">
        <v>0.73153511954091799</v>
      </c>
      <c r="E3586">
        <v>0.69476417891509501</v>
      </c>
      <c r="F3586">
        <v>0.621659058383077</v>
      </c>
      <c r="G3586">
        <v>0.60578028614158197</v>
      </c>
      <c r="H3586">
        <v>0.52446675412821098</v>
      </c>
      <c r="I3586">
        <v>0.28885609852891803</v>
      </c>
      <c r="J3586">
        <v>0.38713410372239199</v>
      </c>
      <c r="K3586">
        <v>0.26833168621639703</v>
      </c>
      <c r="L3586">
        <v>337.08780996429499</v>
      </c>
      <c r="M3586">
        <v>5.7714321506989199</v>
      </c>
      <c r="N3586">
        <v>58.827973050664902</v>
      </c>
      <c r="O3586">
        <v>52.536171357991002</v>
      </c>
      <c r="P3586">
        <v>-2.70075823019898E-2</v>
      </c>
      <c r="Q3586">
        <v>2.0264277051086001E-2</v>
      </c>
      <c r="R3586">
        <v>0.92345607871498703</v>
      </c>
      <c r="S3586" t="s">
        <v>9897</v>
      </c>
      <c r="T3586" t="s">
        <v>12620</v>
      </c>
      <c r="U3586" t="s">
        <v>12620</v>
      </c>
      <c r="V3586" t="s">
        <v>12620</v>
      </c>
      <c r="W3586" t="s">
        <v>16157</v>
      </c>
      <c r="X3586">
        <v>11</v>
      </c>
      <c r="Y3586" t="s">
        <v>22288</v>
      </c>
      <c r="Z3586" t="s">
        <v>28533</v>
      </c>
      <c r="AA3586">
        <v>0.60606206778413807</v>
      </c>
      <c r="AB3586" t="str">
        <f>HYPERLINK("Melting_Curves/meltCurve_Q68CP9_ARID2.pdf", "Melting_Curves/meltCurve_Q68CP9_ARID2.pdf")</f>
        <v>Melting_Curves/meltCurve_Q68CP9_ARID2.pdf</v>
      </c>
    </row>
    <row r="3587" spans="1:28" x14ac:dyDescent="0.25">
      <c r="A3587" t="s">
        <v>3591</v>
      </c>
      <c r="B3587">
        <v>0.99987803227770999</v>
      </c>
      <c r="C3587">
        <v>1.0043121294805399</v>
      </c>
      <c r="D3587">
        <v>0.73202267855298597</v>
      </c>
      <c r="E3587">
        <v>0.37111110833554301</v>
      </c>
      <c r="F3587">
        <v>0.29082979874693399</v>
      </c>
      <c r="G3587">
        <v>0.19156944663994899</v>
      </c>
      <c r="H3587">
        <v>0.21821395383528999</v>
      </c>
      <c r="I3587">
        <v>0.225800785548956</v>
      </c>
      <c r="J3587">
        <v>0.116824090901822</v>
      </c>
      <c r="K3587">
        <v>8.84952315815076E-2</v>
      </c>
      <c r="L3587">
        <v>1082.5281157566401</v>
      </c>
      <c r="M3587">
        <v>22.654475311295201</v>
      </c>
      <c r="N3587">
        <v>48.653398556996898</v>
      </c>
      <c r="O3587">
        <v>47.416655508256703</v>
      </c>
      <c r="P3587">
        <v>-9.9569390026310406E-2</v>
      </c>
      <c r="Q3587">
        <v>0.16640721273941</v>
      </c>
      <c r="R3587">
        <v>0.98140828883501896</v>
      </c>
      <c r="S3587" t="s">
        <v>9898</v>
      </c>
      <c r="T3587" t="s">
        <v>12620</v>
      </c>
      <c r="U3587" t="s">
        <v>12620</v>
      </c>
      <c r="V3587" t="s">
        <v>12620</v>
      </c>
      <c r="W3587" t="s">
        <v>16158</v>
      </c>
      <c r="X3587">
        <v>8</v>
      </c>
      <c r="Y3587" t="s">
        <v>22289</v>
      </c>
      <c r="Z3587" t="s">
        <v>28534</v>
      </c>
      <c r="AA3587">
        <v>0.39181421057330401</v>
      </c>
      <c r="AB3587" t="str">
        <f>HYPERLINK("Melting_Curves/meltCurve_Q68CQ4_DIEXF.pdf", "Melting_Curves/meltCurve_Q68CQ4_DIEXF.pdf")</f>
        <v>Melting_Curves/meltCurve_Q68CQ4_DIEXF.pdf</v>
      </c>
    </row>
    <row r="3588" spans="1:28" x14ac:dyDescent="0.25">
      <c r="A3588" t="s">
        <v>3592</v>
      </c>
      <c r="B3588">
        <v>0.99987803227770999</v>
      </c>
      <c r="C3588">
        <v>1.03440798887831</v>
      </c>
      <c r="D3588">
        <v>0.80494417012007802</v>
      </c>
      <c r="E3588">
        <v>0.65718200460409004</v>
      </c>
      <c r="F3588">
        <v>0.474200553910956</v>
      </c>
      <c r="G3588">
        <v>0.32362891397647903</v>
      </c>
      <c r="H3588">
        <v>0.25432962689409999</v>
      </c>
      <c r="I3588">
        <v>0.25079325619366999</v>
      </c>
      <c r="J3588">
        <v>0.17662092353032499</v>
      </c>
      <c r="K3588">
        <v>8.95486654401354E-2</v>
      </c>
      <c r="L3588">
        <v>672.93853864185405</v>
      </c>
      <c r="M3588">
        <v>13.0400083956491</v>
      </c>
      <c r="N3588">
        <v>52.820180830950399</v>
      </c>
      <c r="O3588">
        <v>50.437273557050098</v>
      </c>
      <c r="P3588">
        <v>-5.6272633976306503E-2</v>
      </c>
      <c r="Q3588">
        <v>0.129527288163126</v>
      </c>
      <c r="R3588">
        <v>0.98179960906576502</v>
      </c>
      <c r="S3588" t="s">
        <v>9899</v>
      </c>
      <c r="T3588" t="s">
        <v>12620</v>
      </c>
      <c r="U3588" t="s">
        <v>12620</v>
      </c>
      <c r="V3588" t="s">
        <v>12620</v>
      </c>
      <c r="W3588" t="s">
        <v>16159</v>
      </c>
      <c r="X3588">
        <v>1</v>
      </c>
      <c r="Y3588" t="s">
        <v>22290</v>
      </c>
      <c r="Z3588" t="s">
        <v>28535</v>
      </c>
      <c r="AA3588">
        <v>0.49063193126137</v>
      </c>
      <c r="AB3588" t="str">
        <f>HYPERLINK("Melting_Curves/meltCurve_Q68CZ1_2_RPGRIP1L.pdf", "Melting_Curves/meltCurve_Q68CZ1_2_RPGRIP1L.pdf")</f>
        <v>Melting_Curves/meltCurve_Q68CZ1_2_RPGRIP1L.pdf</v>
      </c>
    </row>
    <row r="3589" spans="1:28" x14ac:dyDescent="0.25">
      <c r="A3589" t="s">
        <v>3593</v>
      </c>
      <c r="B3589">
        <v>0.99987803227770999</v>
      </c>
      <c r="C3589">
        <v>0.91581751939452105</v>
      </c>
      <c r="D3589">
        <v>0.86804370532680997</v>
      </c>
      <c r="E3589">
        <v>0.55936399090478095</v>
      </c>
      <c r="F3589">
        <v>0.31907424931460199</v>
      </c>
      <c r="G3589">
        <v>0.222245148877562</v>
      </c>
      <c r="H3589">
        <v>0.18383274789715201</v>
      </c>
      <c r="I3589">
        <v>0.15947738158366301</v>
      </c>
      <c r="J3589">
        <v>0.14131857581304599</v>
      </c>
      <c r="K3589">
        <v>0.110280644467317</v>
      </c>
      <c r="L3589">
        <v>930.81429733483003</v>
      </c>
      <c r="M3589">
        <v>18.693883543435401</v>
      </c>
      <c r="N3589">
        <v>50.645579186706499</v>
      </c>
      <c r="O3589">
        <v>49.233148568431403</v>
      </c>
      <c r="P3589">
        <v>-8.2107408692420905E-2</v>
      </c>
      <c r="Q3589">
        <v>0.13506786363155199</v>
      </c>
      <c r="R3589">
        <v>0.99583137879854</v>
      </c>
      <c r="S3589" t="s">
        <v>9900</v>
      </c>
      <c r="T3589" t="s">
        <v>12620</v>
      </c>
      <c r="U3589" t="s">
        <v>12620</v>
      </c>
      <c r="V3589" t="s">
        <v>12620</v>
      </c>
      <c r="W3589" t="s">
        <v>16160</v>
      </c>
      <c r="X3589">
        <v>39</v>
      </c>
      <c r="Y3589" t="s">
        <v>19229</v>
      </c>
      <c r="Z3589" t="s">
        <v>28536</v>
      </c>
      <c r="AA3589">
        <v>0.4311456405107959</v>
      </c>
      <c r="AB3589" t="str">
        <f>HYPERLINK("Melting_Curves/meltCurve_Q68CZ2_TNS3.pdf", "Melting_Curves/meltCurve_Q68CZ2_TNS3.pdf")</f>
        <v>Melting_Curves/meltCurve_Q68CZ2_TNS3.pdf</v>
      </c>
    </row>
    <row r="3590" spans="1:28" x14ac:dyDescent="0.25">
      <c r="A3590" t="s">
        <v>3594</v>
      </c>
      <c r="B3590">
        <v>0.99987803227770999</v>
      </c>
      <c r="C3590">
        <v>1.2118825967511699</v>
      </c>
      <c r="D3590">
        <v>0.61910506153834999</v>
      </c>
      <c r="E3590">
        <v>0.42071497707591798</v>
      </c>
      <c r="F3590">
        <v>0.203953719644345</v>
      </c>
      <c r="G3590">
        <v>0.13620935143374399</v>
      </c>
      <c r="H3590">
        <v>9.0492864499330097E-2</v>
      </c>
      <c r="I3590">
        <v>8.9671831926735099E-2</v>
      </c>
      <c r="J3590">
        <v>6.0674551207334997E-2</v>
      </c>
      <c r="K3590">
        <v>3.9660535537083902E-2</v>
      </c>
      <c r="L3590">
        <v>1050.2294165696501</v>
      </c>
      <c r="M3590">
        <v>21.752027506016798</v>
      </c>
      <c r="N3590">
        <v>48.657682247409802</v>
      </c>
      <c r="O3590">
        <v>47.879397173366797</v>
      </c>
      <c r="P3590">
        <v>-0.10479814973911999</v>
      </c>
      <c r="Q3590">
        <v>7.7317303921114994E-2</v>
      </c>
      <c r="R3590">
        <v>0.93874953511127102</v>
      </c>
      <c r="S3590" t="s">
        <v>9901</v>
      </c>
      <c r="T3590" t="s">
        <v>12620</v>
      </c>
      <c r="U3590" t="s">
        <v>12620</v>
      </c>
      <c r="V3590" t="s">
        <v>12620</v>
      </c>
      <c r="W3590" t="s">
        <v>16161</v>
      </c>
      <c r="X3590">
        <v>3</v>
      </c>
      <c r="Y3590" t="s">
        <v>22291</v>
      </c>
      <c r="Z3590" t="s">
        <v>28537</v>
      </c>
      <c r="AA3590">
        <v>0.34296934709863081</v>
      </c>
      <c r="AB3590" t="str">
        <f>HYPERLINK("Melting_Curves/meltCurve_Q68CZ6_HAUS3.pdf", "Melting_Curves/meltCurve_Q68CZ6_HAUS3.pdf")</f>
        <v>Melting_Curves/meltCurve_Q68CZ6_HAUS3.pdf</v>
      </c>
    </row>
    <row r="3591" spans="1:28" x14ac:dyDescent="0.25">
      <c r="A3591" t="s">
        <v>3595</v>
      </c>
      <c r="B3591">
        <v>0.99987803227770999</v>
      </c>
      <c r="C3591">
        <v>0.85900622012965</v>
      </c>
      <c r="D3591">
        <v>1.0117767978986301</v>
      </c>
      <c r="E3591">
        <v>0.86650151249381502</v>
      </c>
      <c r="F3591">
        <v>1.1225813164121601</v>
      </c>
      <c r="G3591">
        <v>0.92469114292371102</v>
      </c>
      <c r="H3591">
        <v>0.93957412304168597</v>
      </c>
      <c r="I3591">
        <v>0.86198723993008497</v>
      </c>
      <c r="J3591">
        <v>0.94730883176564895</v>
      </c>
      <c r="K3591">
        <v>0.81005859451905504</v>
      </c>
      <c r="L3591">
        <v>395.70050516707698</v>
      </c>
      <c r="M3591">
        <v>3.9333133882336901</v>
      </c>
      <c r="Q3591">
        <v>0</v>
      </c>
      <c r="R3591">
        <v>0.16833921702698501</v>
      </c>
      <c r="S3591" t="s">
        <v>9902</v>
      </c>
      <c r="T3591" t="s">
        <v>12620</v>
      </c>
      <c r="U3591" t="s">
        <v>12620</v>
      </c>
      <c r="V3591" t="s">
        <v>12620</v>
      </c>
      <c r="W3591" t="s">
        <v>16162</v>
      </c>
      <c r="X3591">
        <v>9</v>
      </c>
      <c r="Y3591" t="s">
        <v>22292</v>
      </c>
      <c r="Z3591" t="s">
        <v>28538</v>
      </c>
      <c r="AA3591">
        <v>0.94911425319644815</v>
      </c>
      <c r="AB3591" t="str">
        <f>HYPERLINK("Melting_Curves/meltCurve_Q68D10_2_SPTY2D1.pdf", "Melting_Curves/meltCurve_Q68D10_2_SPTY2D1.pdf")</f>
        <v>Melting_Curves/meltCurve_Q68D10_2_SPTY2D1.pdf</v>
      </c>
    </row>
    <row r="3592" spans="1:28" x14ac:dyDescent="0.25">
      <c r="A3592" t="s">
        <v>3596</v>
      </c>
      <c r="B3592">
        <v>0.99987803227770999</v>
      </c>
      <c r="C3592">
        <v>0.68285121295774698</v>
      </c>
      <c r="D3592">
        <v>0.81546981651847406</v>
      </c>
      <c r="E3592">
        <v>0.68296324161710698</v>
      </c>
      <c r="F3592">
        <v>0.90430934027624998</v>
      </c>
      <c r="G3592">
        <v>0.75896109229513498</v>
      </c>
      <c r="H3592">
        <v>0.83217153001524002</v>
      </c>
      <c r="I3592">
        <v>0.76033800373926497</v>
      </c>
      <c r="J3592">
        <v>0.72293838057611204</v>
      </c>
      <c r="K3592">
        <v>0.56351076858651405</v>
      </c>
      <c r="L3592">
        <v>103.15718203329099</v>
      </c>
      <c r="M3592">
        <v>0.67835072994576995</v>
      </c>
      <c r="Q3592">
        <v>0</v>
      </c>
      <c r="R3592">
        <v>0.26077365864978602</v>
      </c>
      <c r="S3592" t="s">
        <v>9903</v>
      </c>
      <c r="T3592" t="s">
        <v>12620</v>
      </c>
      <c r="U3592" t="s">
        <v>12620</v>
      </c>
      <c r="V3592" t="s">
        <v>12620</v>
      </c>
      <c r="W3592" t="s">
        <v>16163</v>
      </c>
      <c r="X3592">
        <v>3</v>
      </c>
      <c r="Y3592" t="s">
        <v>22293</v>
      </c>
      <c r="Z3592" t="s">
        <v>28539</v>
      </c>
      <c r="AA3592">
        <v>0.77197102956247876</v>
      </c>
      <c r="AB3592" t="str">
        <f>HYPERLINK("Melting_Curves/meltCurve_Q68D20_PMS2CL.pdf", "Melting_Curves/meltCurve_Q68D20_PMS2CL.pdf")</f>
        <v>Melting_Curves/meltCurve_Q68D20_PMS2CL.pdf</v>
      </c>
    </row>
    <row r="3593" spans="1:28" x14ac:dyDescent="0.25">
      <c r="A3593" t="s">
        <v>3597</v>
      </c>
      <c r="B3593">
        <v>0.99987803227770999</v>
      </c>
      <c r="C3593">
        <v>0.98961978438641796</v>
      </c>
      <c r="D3593">
        <v>0.83373249118614101</v>
      </c>
      <c r="E3593">
        <v>0.59809812762319003</v>
      </c>
      <c r="F3593">
        <v>0.42587668790150901</v>
      </c>
      <c r="G3593">
        <v>0.40283799701432199</v>
      </c>
      <c r="H3593">
        <v>0.36991638955113498</v>
      </c>
      <c r="I3593">
        <v>0.38542131278700398</v>
      </c>
      <c r="J3593">
        <v>0.34849582769224902</v>
      </c>
      <c r="K3593">
        <v>0.32642278331714297</v>
      </c>
      <c r="L3593">
        <v>1040.1639091268</v>
      </c>
      <c r="M3593">
        <v>21.411876364898401</v>
      </c>
      <c r="N3593">
        <v>51.575706539823301</v>
      </c>
      <c r="O3593">
        <v>48.161070106767298</v>
      </c>
      <c r="P3593">
        <v>-7.1590675791856406E-2</v>
      </c>
      <c r="Q3593">
        <v>0.35590943698648098</v>
      </c>
      <c r="R3593">
        <v>0.99417099495943995</v>
      </c>
      <c r="S3593" t="s">
        <v>9904</v>
      </c>
      <c r="T3593" t="s">
        <v>12620</v>
      </c>
      <c r="U3593" t="s">
        <v>12620</v>
      </c>
      <c r="V3593" t="s">
        <v>12620</v>
      </c>
      <c r="W3593" t="s">
        <v>16164</v>
      </c>
      <c r="X3593">
        <v>4</v>
      </c>
      <c r="Y3593" t="s">
        <v>18980</v>
      </c>
      <c r="Z3593" t="s">
        <v>28540</v>
      </c>
      <c r="AA3593">
        <v>0.54796228187241069</v>
      </c>
      <c r="AB3593" t="str">
        <f>HYPERLINK("Melting_Curves/meltCurve_Q68DQ2_CRYBG3.pdf", "Melting_Curves/meltCurve_Q68DQ2_CRYBG3.pdf")</f>
        <v>Melting_Curves/meltCurve_Q68DQ2_CRYBG3.pdf</v>
      </c>
    </row>
    <row r="3594" spans="1:28" x14ac:dyDescent="0.25">
      <c r="A3594" t="s">
        <v>3598</v>
      </c>
      <c r="B3594">
        <v>0.99987803227770999</v>
      </c>
      <c r="C3594">
        <v>1.2164303646088299</v>
      </c>
      <c r="D3594">
        <v>0.87988220854388199</v>
      </c>
      <c r="E3594">
        <v>1.29957373811434</v>
      </c>
      <c r="F3594">
        <v>0.55992262229731504</v>
      </c>
      <c r="G3594">
        <v>0.34399497123026701</v>
      </c>
      <c r="H3594">
        <v>0.222072852326406</v>
      </c>
      <c r="I3594">
        <v>0.229436279231436</v>
      </c>
      <c r="J3594">
        <v>0.12006569489051</v>
      </c>
      <c r="K3594">
        <v>0.115958054341418</v>
      </c>
      <c r="L3594">
        <v>13238.4071336128</v>
      </c>
      <c r="M3594">
        <v>250</v>
      </c>
      <c r="N3594">
        <v>53.0665688550935</v>
      </c>
      <c r="O3594">
        <v>52.950241876411802</v>
      </c>
      <c r="P3594">
        <v>-0.93684002989328596</v>
      </c>
      <c r="Q3594">
        <v>0.20630553231766199</v>
      </c>
      <c r="R3594">
        <v>0.90291553157050397</v>
      </c>
      <c r="S3594" t="s">
        <v>9905</v>
      </c>
      <c r="T3594" t="s">
        <v>12620</v>
      </c>
      <c r="U3594" t="s">
        <v>12620</v>
      </c>
      <c r="V3594" t="s">
        <v>12620</v>
      </c>
      <c r="W3594" t="s">
        <v>16165</v>
      </c>
      <c r="X3594">
        <v>3</v>
      </c>
      <c r="Y3594" t="s">
        <v>22294</v>
      </c>
      <c r="Z3594" t="s">
        <v>28541</v>
      </c>
      <c r="AA3594">
        <v>0.54908673603561053</v>
      </c>
      <c r="AB3594" t="str">
        <f>HYPERLINK("Melting_Curves/meltCurve_Q68DW7_DKFZp781D1416.pdf", "Melting_Curves/meltCurve_Q68DW7_DKFZp781D1416.pdf")</f>
        <v>Melting_Curves/meltCurve_Q68DW7_DKFZp781D1416.pdf</v>
      </c>
    </row>
    <row r="3595" spans="1:28" x14ac:dyDescent="0.25">
      <c r="A3595" t="s">
        <v>3599</v>
      </c>
      <c r="B3595">
        <v>0.99987803227770999</v>
      </c>
      <c r="C3595">
        <v>0.92331054934259804</v>
      </c>
      <c r="D3595">
        <v>0.55147342282080902</v>
      </c>
      <c r="E3595">
        <v>0.44661789981779398</v>
      </c>
      <c r="F3595">
        <v>0.29550796871433799</v>
      </c>
      <c r="G3595">
        <v>0.22257775561875801</v>
      </c>
      <c r="H3595">
        <v>0.114652758640403</v>
      </c>
      <c r="I3595">
        <v>6.0437365685370503E-2</v>
      </c>
      <c r="J3595">
        <v>4.5207064049920601E-2</v>
      </c>
      <c r="K3595">
        <v>3.4139548221293801E-2</v>
      </c>
      <c r="L3595">
        <v>592.96946167304395</v>
      </c>
      <c r="M3595">
        <v>12.210540276943201</v>
      </c>
      <c r="N3595">
        <v>48.807964139974999</v>
      </c>
      <c r="O3595">
        <v>47.314677839346601</v>
      </c>
      <c r="P3595">
        <v>-6.2607394523977206E-2</v>
      </c>
      <c r="Q3595">
        <v>2.9827907343245801E-2</v>
      </c>
      <c r="R3595">
        <v>0.97296854240174602</v>
      </c>
      <c r="S3595" t="s">
        <v>9906</v>
      </c>
      <c r="T3595" t="s">
        <v>12620</v>
      </c>
      <c r="U3595" t="s">
        <v>12620</v>
      </c>
      <c r="V3595" t="s">
        <v>12620</v>
      </c>
      <c r="W3595" t="s">
        <v>16166</v>
      </c>
      <c r="X3595">
        <v>8</v>
      </c>
      <c r="Y3595" t="s">
        <v>22295</v>
      </c>
      <c r="Z3595" t="s">
        <v>28542</v>
      </c>
      <c r="AA3595">
        <v>0.34225224505101298</v>
      </c>
      <c r="AB3595" t="str">
        <f>HYPERLINK("Melting_Curves/meltCurve_Q68E01_2_INTS3.pdf", "Melting_Curves/meltCurve_Q68E01_2_INTS3.pdf")</f>
        <v>Melting_Curves/meltCurve_Q68E01_2_INTS3.pdf</v>
      </c>
    </row>
    <row r="3596" spans="1:28" x14ac:dyDescent="0.25">
      <c r="A3596" t="s">
        <v>3600</v>
      </c>
      <c r="B3596">
        <v>0.99987803227770999</v>
      </c>
      <c r="C3596">
        <v>1.1091897344800501</v>
      </c>
      <c r="D3596">
        <v>0.91720126934708801</v>
      </c>
      <c r="E3596">
        <v>0.70303752757819005</v>
      </c>
      <c r="F3596">
        <v>0.32807220900723599</v>
      </c>
      <c r="G3596">
        <v>0.17783768950835499</v>
      </c>
      <c r="H3596">
        <v>0.14564404927453201</v>
      </c>
      <c r="I3596">
        <v>0.13359842137191799</v>
      </c>
      <c r="J3596">
        <v>9.7350427919788499E-2</v>
      </c>
      <c r="K3596">
        <v>7.2504875982041903E-2</v>
      </c>
      <c r="L3596">
        <v>1411.9504001947701</v>
      </c>
      <c r="M3596">
        <v>27.639987844359801</v>
      </c>
      <c r="N3596">
        <v>51.549077199815301</v>
      </c>
      <c r="O3596">
        <v>50.8184408070099</v>
      </c>
      <c r="P3596">
        <v>-0.12095894409491301</v>
      </c>
      <c r="Q3596">
        <v>0.110434986911189</v>
      </c>
      <c r="R3596">
        <v>0.98806024040850404</v>
      </c>
      <c r="S3596" t="s">
        <v>9907</v>
      </c>
      <c r="T3596" t="s">
        <v>12620</v>
      </c>
      <c r="U3596" t="s">
        <v>12620</v>
      </c>
      <c r="V3596" t="s">
        <v>12620</v>
      </c>
      <c r="W3596" t="s">
        <v>16167</v>
      </c>
      <c r="X3596">
        <v>14</v>
      </c>
      <c r="Y3596" t="s">
        <v>22296</v>
      </c>
      <c r="Z3596" t="s">
        <v>28543</v>
      </c>
      <c r="AA3596">
        <v>0.44568362422120028</v>
      </c>
      <c r="AB3596" t="str">
        <f>HYPERLINK("Melting_Curves/meltCurve_Q68EM7_6_ARHGAP17.pdf", "Melting_Curves/meltCurve_Q68EM7_6_ARHGAP17.pdf")</f>
        <v>Melting_Curves/meltCurve_Q68EM7_6_ARHGAP17.pdf</v>
      </c>
    </row>
    <row r="3597" spans="1:28" x14ac:dyDescent="0.25">
      <c r="A3597" t="s">
        <v>3601</v>
      </c>
      <c r="B3597">
        <v>0.99987803227770999</v>
      </c>
      <c r="C3597">
        <v>0.94136324033211405</v>
      </c>
      <c r="D3597">
        <v>0.95818941697172699</v>
      </c>
      <c r="E3597">
        <v>1.0127285150497001</v>
      </c>
      <c r="F3597">
        <v>0.95269560876480297</v>
      </c>
      <c r="G3597">
        <v>0.82694133541155301</v>
      </c>
      <c r="H3597">
        <v>0.75522633020595997</v>
      </c>
      <c r="I3597">
        <v>0.68346994304685904</v>
      </c>
      <c r="J3597">
        <v>0.60730833540830298</v>
      </c>
      <c r="K3597">
        <v>0.47214367453785699</v>
      </c>
      <c r="L3597">
        <v>576.57715728216795</v>
      </c>
      <c r="M3597">
        <v>8.2755614596863101</v>
      </c>
      <c r="N3597">
        <v>69.672274576807695</v>
      </c>
      <c r="O3597">
        <v>65.959366260041904</v>
      </c>
      <c r="P3597">
        <v>-3.1397385867562203E-2</v>
      </c>
      <c r="Q3597">
        <v>0</v>
      </c>
      <c r="R3597">
        <v>0.971104882622017</v>
      </c>
      <c r="S3597" t="s">
        <v>9908</v>
      </c>
      <c r="T3597" t="s">
        <v>12620</v>
      </c>
      <c r="U3597" t="s">
        <v>12620</v>
      </c>
      <c r="V3597" t="s">
        <v>12620</v>
      </c>
      <c r="W3597" t="s">
        <v>16168</v>
      </c>
      <c r="X3597">
        <v>14</v>
      </c>
      <c r="Y3597" t="s">
        <v>22297</v>
      </c>
      <c r="Z3597" t="s">
        <v>28544</v>
      </c>
      <c r="AA3597">
        <v>0.84087878106656055</v>
      </c>
      <c r="AB3597" t="str">
        <f>HYPERLINK("Melting_Curves/meltCurve_Q69YH5_CDCA2.pdf", "Melting_Curves/meltCurve_Q69YH5_CDCA2.pdf")</f>
        <v>Melting_Curves/meltCurve_Q69YH5_CDCA2.pdf</v>
      </c>
    </row>
    <row r="3598" spans="1:28" x14ac:dyDescent="0.25">
      <c r="A3598" t="s">
        <v>3602</v>
      </c>
      <c r="B3598">
        <v>0.99987803227770999</v>
      </c>
      <c r="C3598">
        <v>0.90184329554391196</v>
      </c>
      <c r="D3598">
        <v>0.98836934495505802</v>
      </c>
      <c r="E3598">
        <v>0.71632521551983896</v>
      </c>
      <c r="F3598">
        <v>0.37361700129360498</v>
      </c>
      <c r="G3598">
        <v>0.12812757131562399</v>
      </c>
      <c r="H3598">
        <v>9.7663844069421801E-2</v>
      </c>
      <c r="I3598">
        <v>8.3528684343119705E-2</v>
      </c>
      <c r="J3598">
        <v>6.9777618173811007E-2</v>
      </c>
      <c r="K3598">
        <v>4.9672598798405E-2</v>
      </c>
      <c r="L3598">
        <v>1379.75953878839</v>
      </c>
      <c r="M3598">
        <v>26.756576880430799</v>
      </c>
      <c r="N3598">
        <v>51.850046998759503</v>
      </c>
      <c r="O3598">
        <v>51.281629399532001</v>
      </c>
      <c r="P3598">
        <v>-0.121581569643037</v>
      </c>
      <c r="Q3598">
        <v>6.7916666928698799E-2</v>
      </c>
      <c r="R3598">
        <v>0.99340535589440604</v>
      </c>
      <c r="S3598" t="s">
        <v>9909</v>
      </c>
      <c r="T3598" t="s">
        <v>12620</v>
      </c>
      <c r="U3598" t="s">
        <v>12620</v>
      </c>
      <c r="V3598" t="s">
        <v>12620</v>
      </c>
      <c r="W3598" t="s">
        <v>16169</v>
      </c>
      <c r="X3598">
        <v>12</v>
      </c>
      <c r="Y3598" t="s">
        <v>22298</v>
      </c>
      <c r="Z3598" t="s">
        <v>28545</v>
      </c>
      <c r="AA3598">
        <v>0.43471905709813441</v>
      </c>
      <c r="AB3598" t="str">
        <f>HYPERLINK("Melting_Curves/meltCurve_Q69YN2_CWF19L1.pdf", "Melting_Curves/meltCurve_Q69YN2_CWF19L1.pdf")</f>
        <v>Melting_Curves/meltCurve_Q69YN2_CWF19L1.pdf</v>
      </c>
    </row>
    <row r="3599" spans="1:28" x14ac:dyDescent="0.25">
      <c r="A3599" t="s">
        <v>3603</v>
      </c>
      <c r="B3599">
        <v>0.99987803227770999</v>
      </c>
      <c r="C3599">
        <v>1.0804414426181701</v>
      </c>
      <c r="D3599">
        <v>0.88096594742328305</v>
      </c>
      <c r="E3599">
        <v>0.92313985968379597</v>
      </c>
      <c r="F3599">
        <v>0.41488074654710999</v>
      </c>
      <c r="G3599">
        <v>0.33627518369286502</v>
      </c>
      <c r="H3599">
        <v>0.18973188349140899</v>
      </c>
      <c r="I3599">
        <v>0.147267954209304</v>
      </c>
      <c r="J3599">
        <v>0.10302632647219</v>
      </c>
      <c r="K3599">
        <v>8.2588676036291497E-2</v>
      </c>
      <c r="L3599">
        <v>1259.80987205867</v>
      </c>
      <c r="M3599">
        <v>23.922491457528199</v>
      </c>
      <c r="N3599">
        <v>53.312213627643501</v>
      </c>
      <c r="O3599">
        <v>52.298301010107998</v>
      </c>
      <c r="P3599">
        <v>-9.9890802345773799E-2</v>
      </c>
      <c r="Q3599">
        <v>0.12650645673470701</v>
      </c>
      <c r="R3599">
        <v>0.96409059529913699</v>
      </c>
      <c r="S3599" t="s">
        <v>9910</v>
      </c>
      <c r="T3599" t="s">
        <v>12620</v>
      </c>
      <c r="U3599" t="s">
        <v>12620</v>
      </c>
      <c r="V3599" t="s">
        <v>12620</v>
      </c>
      <c r="W3599" t="s">
        <v>16170</v>
      </c>
      <c r="X3599">
        <v>16</v>
      </c>
      <c r="Y3599" t="s">
        <v>22299</v>
      </c>
      <c r="Z3599" t="s">
        <v>28546</v>
      </c>
      <c r="AA3599">
        <v>0.50389861308003814</v>
      </c>
      <c r="AB3599" t="str">
        <f>HYPERLINK("Melting_Curves/meltCurve_Q69YN4_KIAA1429.pdf", "Melting_Curves/meltCurve_Q69YN4_KIAA1429.pdf")</f>
        <v>Melting_Curves/meltCurve_Q69YN4_KIAA1429.pdf</v>
      </c>
    </row>
    <row r="3600" spans="1:28" x14ac:dyDescent="0.25">
      <c r="A3600" t="s">
        <v>3604</v>
      </c>
      <c r="B3600">
        <v>0.99987803227770999</v>
      </c>
      <c r="C3600">
        <v>0.94687216815070496</v>
      </c>
      <c r="D3600">
        <v>1.02451836759083</v>
      </c>
      <c r="E3600">
        <v>1.01024251599743</v>
      </c>
      <c r="F3600">
        <v>0.929160406323154</v>
      </c>
      <c r="G3600">
        <v>0.76307895385054503</v>
      </c>
      <c r="H3600">
        <v>0.78490525688418999</v>
      </c>
      <c r="I3600">
        <v>0.71109167370051296</v>
      </c>
      <c r="J3600">
        <v>0.67054005051258303</v>
      </c>
      <c r="K3600">
        <v>0.53794833243212903</v>
      </c>
      <c r="L3600">
        <v>531.00985501120397</v>
      </c>
      <c r="M3600">
        <v>7.93591422942362</v>
      </c>
      <c r="O3600">
        <v>63.063732490444899</v>
      </c>
      <c r="P3600">
        <v>-2.3135359479917399E-2</v>
      </c>
      <c r="Q3600">
        <v>0.26546404617917102</v>
      </c>
      <c r="R3600">
        <v>0.92781321349316304</v>
      </c>
      <c r="S3600" t="s">
        <v>9911</v>
      </c>
      <c r="T3600" t="s">
        <v>12620</v>
      </c>
      <c r="U3600" t="s">
        <v>12620</v>
      </c>
      <c r="V3600" t="s">
        <v>12620</v>
      </c>
      <c r="W3600" t="s">
        <v>16171</v>
      </c>
      <c r="X3600">
        <v>23</v>
      </c>
      <c r="Y3600" t="s">
        <v>22300</v>
      </c>
      <c r="Z3600" t="s">
        <v>28547</v>
      </c>
      <c r="AA3600">
        <v>0.84698519219304036</v>
      </c>
      <c r="AB3600" t="str">
        <f>HYPERLINK("Melting_Curves/meltCurve_Q69YQ0_2_SPECC1L.pdf", "Melting_Curves/meltCurve_Q69YQ0_2_SPECC1L.pdf")</f>
        <v>Melting_Curves/meltCurve_Q69YQ0_2_SPECC1L.pdf</v>
      </c>
    </row>
    <row r="3601" spans="1:28" x14ac:dyDescent="0.25">
      <c r="A3601" t="s">
        <v>3605</v>
      </c>
      <c r="B3601">
        <v>0.99987803227770999</v>
      </c>
      <c r="C3601">
        <v>1.04789696291403</v>
      </c>
      <c r="D3601">
        <v>0.67471576410219702</v>
      </c>
      <c r="E3601">
        <v>0.346728863310512</v>
      </c>
      <c r="F3601">
        <v>0.19704357059805999</v>
      </c>
      <c r="G3601">
        <v>0.112255502803182</v>
      </c>
      <c r="H3601">
        <v>8.8790417158108301E-2</v>
      </c>
      <c r="I3601">
        <v>8.0489035606458606E-2</v>
      </c>
      <c r="J3601">
        <v>8.0103116958528994E-2</v>
      </c>
      <c r="K3601">
        <v>6.6304433304537294E-2</v>
      </c>
      <c r="L3601">
        <v>1086.1881331340601</v>
      </c>
      <c r="M3601">
        <v>22.712538499279699</v>
      </c>
      <c r="N3601">
        <v>48.209420155922501</v>
      </c>
      <c r="O3601">
        <v>47.457179923450703</v>
      </c>
      <c r="P3601">
        <v>-0.10969922206169699</v>
      </c>
      <c r="Q3601">
        <v>8.3164871225023307E-2</v>
      </c>
      <c r="R3601">
        <v>0.98755295468973903</v>
      </c>
      <c r="S3601" t="s">
        <v>9912</v>
      </c>
      <c r="T3601" t="s">
        <v>12620</v>
      </c>
      <c r="U3601" t="s">
        <v>12620</v>
      </c>
      <c r="V3601" t="s">
        <v>12620</v>
      </c>
      <c r="W3601" t="s">
        <v>16172</v>
      </c>
      <c r="X3601">
        <v>3</v>
      </c>
      <c r="Y3601" t="s">
        <v>22301</v>
      </c>
      <c r="Z3601" t="s">
        <v>28548</v>
      </c>
      <c r="AA3601">
        <v>0.33221258840291651</v>
      </c>
      <c r="AB3601" t="str">
        <f>HYPERLINK("Melting_Curves/meltCurve_Q6AI08_HEATR6.pdf", "Melting_Curves/meltCurve_Q6AI08_HEATR6.pdf")</f>
        <v>Melting_Curves/meltCurve_Q6AI08_HEATR6.pdf</v>
      </c>
    </row>
    <row r="3602" spans="1:28" x14ac:dyDescent="0.25">
      <c r="A3602" t="s">
        <v>3606</v>
      </c>
      <c r="B3602">
        <v>0.99987803227770999</v>
      </c>
      <c r="C3602">
        <v>0.98763890785485897</v>
      </c>
      <c r="D3602">
        <v>0.90276893388218704</v>
      </c>
      <c r="E3602">
        <v>1.0354178584387601</v>
      </c>
      <c r="F3602">
        <v>0.80584501720338897</v>
      </c>
      <c r="G3602">
        <v>0.70321123351321102</v>
      </c>
      <c r="H3602">
        <v>0.80644846325873398</v>
      </c>
      <c r="I3602">
        <v>0.798872967510451</v>
      </c>
      <c r="J3602">
        <v>0.97872886882358501</v>
      </c>
      <c r="K3602">
        <v>0.69117914920429302</v>
      </c>
      <c r="L3602">
        <v>13093.658842770201</v>
      </c>
      <c r="M3602">
        <v>250</v>
      </c>
      <c r="O3602">
        <v>52.371281792870001</v>
      </c>
      <c r="P3602">
        <v>-0.24382740418504301</v>
      </c>
      <c r="Q3602">
        <v>0.79568713353735199</v>
      </c>
      <c r="R3602">
        <v>0.55569005261006499</v>
      </c>
      <c r="S3602" t="s">
        <v>9913</v>
      </c>
      <c r="T3602" t="s">
        <v>12620</v>
      </c>
      <c r="U3602" t="s">
        <v>12620</v>
      </c>
      <c r="V3602" t="s">
        <v>12620</v>
      </c>
      <c r="W3602" t="s">
        <v>16173</v>
      </c>
      <c r="X3602">
        <v>9</v>
      </c>
      <c r="Y3602" t="s">
        <v>22302</v>
      </c>
      <c r="Z3602" t="s">
        <v>28549</v>
      </c>
      <c r="AA3602">
        <v>0.87998248743217444</v>
      </c>
      <c r="AB3602" t="str">
        <f>HYPERLINK("Melting_Curves/meltCurve_Q6AI12_ANKRD40.pdf", "Melting_Curves/meltCurve_Q6AI12_ANKRD40.pdf")</f>
        <v>Melting_Curves/meltCurve_Q6AI12_ANKRD40.pdf</v>
      </c>
    </row>
    <row r="3603" spans="1:28" x14ac:dyDescent="0.25">
      <c r="A3603" t="s">
        <v>3607</v>
      </c>
      <c r="B3603">
        <v>0.99987803227770999</v>
      </c>
      <c r="C3603">
        <v>1.1610889314819499</v>
      </c>
      <c r="D3603">
        <v>0.95620698405341098</v>
      </c>
      <c r="E3603">
        <v>0.88746874401671205</v>
      </c>
      <c r="F3603">
        <v>0.56850954388306196</v>
      </c>
      <c r="G3603">
        <v>0.40851055428151201</v>
      </c>
      <c r="H3603">
        <v>0.27248082607095597</v>
      </c>
      <c r="I3603">
        <v>0.253007423523816</v>
      </c>
      <c r="J3603">
        <v>0.113284383038283</v>
      </c>
      <c r="K3603">
        <v>7.6880833307585994E-2</v>
      </c>
      <c r="L3603">
        <v>882.54924141129197</v>
      </c>
      <c r="M3603">
        <v>16.198274769301801</v>
      </c>
      <c r="N3603">
        <v>55.289273269920201</v>
      </c>
      <c r="O3603">
        <v>53.674056318046802</v>
      </c>
      <c r="P3603">
        <v>-6.7525607056082307E-2</v>
      </c>
      <c r="Q3603">
        <v>0.105064627609522</v>
      </c>
      <c r="R3603">
        <v>0.96524482018678404</v>
      </c>
      <c r="S3603" t="s">
        <v>9914</v>
      </c>
      <c r="T3603" t="s">
        <v>12620</v>
      </c>
      <c r="U3603" t="s">
        <v>12620</v>
      </c>
      <c r="V3603" t="s">
        <v>12620</v>
      </c>
      <c r="W3603" t="s">
        <v>16174</v>
      </c>
      <c r="X3603">
        <v>3</v>
      </c>
      <c r="Y3603" t="s">
        <v>22303</v>
      </c>
      <c r="Z3603" t="s">
        <v>28550</v>
      </c>
      <c r="AA3603">
        <v>0.55340844866005368</v>
      </c>
      <c r="AB3603" t="str">
        <f>HYPERLINK("Melting_Curves/meltCurve_Q6AWC2_4_WWC2.pdf", "Melting_Curves/meltCurve_Q6AWC2_4_WWC2.pdf")</f>
        <v>Melting_Curves/meltCurve_Q6AWC2_4_WWC2.pdf</v>
      </c>
    </row>
    <row r="3604" spans="1:28" x14ac:dyDescent="0.25">
      <c r="A3604" t="s">
        <v>3608</v>
      </c>
      <c r="B3604">
        <v>0.99987803227770999</v>
      </c>
      <c r="C3604">
        <v>1.05933164889355</v>
      </c>
      <c r="D3604">
        <v>0.91519420853940603</v>
      </c>
      <c r="E3604">
        <v>0.57755201517743304</v>
      </c>
      <c r="F3604">
        <v>0.42756556683330599</v>
      </c>
      <c r="G3604">
        <v>0.23707946239289901</v>
      </c>
      <c r="H3604">
        <v>0.220298851538968</v>
      </c>
      <c r="I3604">
        <v>0.167245709103578</v>
      </c>
      <c r="J3604">
        <v>0.139031790469931</v>
      </c>
      <c r="K3604">
        <v>0.147124741162451</v>
      </c>
      <c r="L3604">
        <v>1020.94477223719</v>
      </c>
      <c r="M3604">
        <v>20.206524380193699</v>
      </c>
      <c r="N3604">
        <v>51.499606734375099</v>
      </c>
      <c r="O3604">
        <v>50.038455223095603</v>
      </c>
      <c r="P3604">
        <v>-8.4923669513580796E-2</v>
      </c>
      <c r="Q3604">
        <v>0.15882290896705001</v>
      </c>
      <c r="R3604">
        <v>0.99012637740275999</v>
      </c>
      <c r="S3604" t="s">
        <v>9915</v>
      </c>
      <c r="T3604" t="s">
        <v>12620</v>
      </c>
      <c r="U3604" t="s">
        <v>12620</v>
      </c>
      <c r="V3604" t="s">
        <v>12620</v>
      </c>
      <c r="W3604" t="s">
        <v>16175</v>
      </c>
      <c r="X3604">
        <v>4</v>
      </c>
      <c r="Y3604" t="s">
        <v>22304</v>
      </c>
      <c r="Z3604" t="s">
        <v>28551</v>
      </c>
      <c r="AA3604">
        <v>0.46541334192118861</v>
      </c>
      <c r="AB3604" t="str">
        <f>HYPERLINK("Melting_Curves/meltCurve_Q6AZZ1_TRIM68.pdf", "Melting_Curves/meltCurve_Q6AZZ1_TRIM68.pdf")</f>
        <v>Melting_Curves/meltCurve_Q6AZZ1_TRIM68.pdf</v>
      </c>
    </row>
    <row r="3605" spans="1:28" x14ac:dyDescent="0.25">
      <c r="A3605" t="s">
        <v>3609</v>
      </c>
      <c r="B3605">
        <v>0.99987803227770999</v>
      </c>
      <c r="C3605">
        <v>1.1089948803102101</v>
      </c>
      <c r="D3605">
        <v>0.93297811552603604</v>
      </c>
      <c r="E3605">
        <v>0.96133448648085695</v>
      </c>
      <c r="F3605">
        <v>0.98706892506798605</v>
      </c>
      <c r="G3605">
        <v>0.76926278441545304</v>
      </c>
      <c r="H3605">
        <v>0.67415373062159401</v>
      </c>
      <c r="I3605">
        <v>0.33000829817008198</v>
      </c>
      <c r="J3605">
        <v>0.11663824278587601</v>
      </c>
      <c r="K3605">
        <v>8.6692526143376705E-2</v>
      </c>
      <c r="L3605">
        <v>1309.9537492768</v>
      </c>
      <c r="M3605">
        <v>21.124123105702299</v>
      </c>
      <c r="N3605">
        <v>62.012227266468301</v>
      </c>
      <c r="O3605">
        <v>61.464505168480301</v>
      </c>
      <c r="P3605">
        <v>-8.5922261008500395E-2</v>
      </c>
      <c r="Q3605">
        <v>0</v>
      </c>
      <c r="R3605">
        <v>0.97156552587153999</v>
      </c>
      <c r="S3605" t="s">
        <v>9916</v>
      </c>
      <c r="T3605" t="s">
        <v>12620</v>
      </c>
      <c r="U3605" t="s">
        <v>12620</v>
      </c>
      <c r="V3605" t="s">
        <v>12620</v>
      </c>
      <c r="W3605" t="s">
        <v>16176</v>
      </c>
      <c r="X3605">
        <v>4</v>
      </c>
      <c r="Y3605" t="s">
        <v>22305</v>
      </c>
      <c r="Z3605" t="s">
        <v>28552</v>
      </c>
      <c r="AA3605">
        <v>0.73735432508416665</v>
      </c>
      <c r="AB3605" t="str">
        <f>HYPERLINK("Melting_Curves/meltCurve_Q6BCY4_CYB5R2.pdf", "Melting_Curves/meltCurve_Q6BCY4_CYB5R2.pdf")</f>
        <v>Melting_Curves/meltCurve_Q6BCY4_CYB5R2.pdf</v>
      </c>
    </row>
    <row r="3606" spans="1:28" x14ac:dyDescent="0.25">
      <c r="A3606" t="s">
        <v>3610</v>
      </c>
      <c r="B3606">
        <v>0.99987803227770999</v>
      </c>
      <c r="C3606">
        <v>1.0450294080338101</v>
      </c>
      <c r="D3606">
        <v>0.93363404255964699</v>
      </c>
      <c r="E3606">
        <v>1.24108936401842</v>
      </c>
      <c r="F3606">
        <v>1.16912191432499</v>
      </c>
      <c r="G3606">
        <v>0.77756806091925501</v>
      </c>
      <c r="H3606">
        <v>0.57372811893502396</v>
      </c>
      <c r="I3606">
        <v>0.49712751065162603</v>
      </c>
      <c r="J3606">
        <v>0.45150727762263698</v>
      </c>
      <c r="K3606">
        <v>0.39161965856193198</v>
      </c>
      <c r="L3606">
        <v>2089.1080867019</v>
      </c>
      <c r="M3606">
        <v>35.810516195494202</v>
      </c>
      <c r="N3606">
        <v>62.087313559052497</v>
      </c>
      <c r="O3606">
        <v>58.156815809126201</v>
      </c>
      <c r="P3606">
        <v>-8.5823433823353598E-2</v>
      </c>
      <c r="Q3606">
        <v>0.44248764616960901</v>
      </c>
      <c r="R3606">
        <v>0.87838825617644201</v>
      </c>
      <c r="S3606" t="s">
        <v>9917</v>
      </c>
      <c r="T3606" t="s">
        <v>12620</v>
      </c>
      <c r="U3606" t="s">
        <v>12620</v>
      </c>
      <c r="V3606" t="s">
        <v>12620</v>
      </c>
      <c r="W3606" t="s">
        <v>16177</v>
      </c>
      <c r="X3606">
        <v>4</v>
      </c>
      <c r="Y3606" t="s">
        <v>22306</v>
      </c>
      <c r="Z3606" t="s">
        <v>28553</v>
      </c>
      <c r="AA3606">
        <v>0.7859653537117447</v>
      </c>
      <c r="AB3606" t="str">
        <f>HYPERLINK("Melting_Curves/meltCurve_Q6BDS2_UHRF1BP1.pdf", "Melting_Curves/meltCurve_Q6BDS2_UHRF1BP1.pdf")</f>
        <v>Melting_Curves/meltCurve_Q6BDS2_UHRF1BP1.pdf</v>
      </c>
    </row>
    <row r="3607" spans="1:28" x14ac:dyDescent="0.25">
      <c r="A3607" t="s">
        <v>3611</v>
      </c>
      <c r="B3607">
        <v>0.99987803227770999</v>
      </c>
      <c r="C3607">
        <v>0.76650616200923105</v>
      </c>
      <c r="D3607">
        <v>0.780446848434308</v>
      </c>
      <c r="E3607">
        <v>0.48655957489493101</v>
      </c>
      <c r="F3607">
        <v>0.21950780119070201</v>
      </c>
      <c r="G3607">
        <v>0.112781496050314</v>
      </c>
      <c r="H3607">
        <v>7.1556839437787303E-2</v>
      </c>
      <c r="I3607">
        <v>6.1444617929811499E-2</v>
      </c>
      <c r="J3607">
        <v>4.8202629541799998E-2</v>
      </c>
      <c r="K3607">
        <v>3.6574088381493002E-2</v>
      </c>
      <c r="L3607">
        <v>694.86601983790399</v>
      </c>
      <c r="M3607">
        <v>14.162561355813001</v>
      </c>
      <c r="N3607">
        <v>49.168815059449699</v>
      </c>
      <c r="O3607">
        <v>48.116476714002999</v>
      </c>
      <c r="P3607">
        <v>-7.2495495159311099E-2</v>
      </c>
      <c r="Q3607">
        <v>1.49279639323783E-2</v>
      </c>
      <c r="R3607">
        <v>0.98014463899202497</v>
      </c>
      <c r="S3607" t="s">
        <v>9918</v>
      </c>
      <c r="T3607" t="s">
        <v>12620</v>
      </c>
      <c r="U3607" t="s">
        <v>12620</v>
      </c>
      <c r="V3607" t="s">
        <v>12620</v>
      </c>
      <c r="W3607" t="s">
        <v>16178</v>
      </c>
      <c r="X3607">
        <v>4</v>
      </c>
      <c r="Y3607" t="s">
        <v>22307</v>
      </c>
      <c r="Z3607" t="s">
        <v>28554</v>
      </c>
      <c r="AA3607">
        <v>0.33951375837499043</v>
      </c>
      <c r="AB3607" t="str">
        <f>HYPERLINK("Melting_Curves/meltCurve_Q6DCA0_AMMECR1L.pdf", "Melting_Curves/meltCurve_Q6DCA0_AMMECR1L.pdf")</f>
        <v>Melting_Curves/meltCurve_Q6DCA0_AMMECR1L.pdf</v>
      </c>
    </row>
    <row r="3608" spans="1:28" x14ac:dyDescent="0.25">
      <c r="A3608" t="s">
        <v>3612</v>
      </c>
      <c r="B3608">
        <v>0.99987803227770999</v>
      </c>
      <c r="C3608">
        <v>0.90438064243182303</v>
      </c>
      <c r="D3608">
        <v>1.0072369929323599</v>
      </c>
      <c r="E3608">
        <v>0.90949419483237304</v>
      </c>
      <c r="F3608">
        <v>0.97752766138617297</v>
      </c>
      <c r="G3608">
        <v>0.84636731661546405</v>
      </c>
      <c r="H3608">
        <v>0.87257615568040903</v>
      </c>
      <c r="I3608">
        <v>0.73157906419753105</v>
      </c>
      <c r="J3608">
        <v>0.85090066390764096</v>
      </c>
      <c r="K3608">
        <v>0.65258259936970897</v>
      </c>
      <c r="L3608">
        <v>351.05247426516001</v>
      </c>
      <c r="M3608">
        <v>4.1325533507957903</v>
      </c>
      <c r="Q3608">
        <v>0</v>
      </c>
      <c r="R3608">
        <v>0.730573452696615</v>
      </c>
      <c r="S3608" t="s">
        <v>9919</v>
      </c>
      <c r="T3608" t="s">
        <v>12620</v>
      </c>
      <c r="U3608" t="s">
        <v>12620</v>
      </c>
      <c r="V3608" t="s">
        <v>12620</v>
      </c>
      <c r="W3608" t="s">
        <v>16179</v>
      </c>
      <c r="X3608">
        <v>11</v>
      </c>
      <c r="Y3608" t="s">
        <v>22308</v>
      </c>
      <c r="Z3608" t="s">
        <v>28555</v>
      </c>
      <c r="AA3608">
        <v>0.88494265494017688</v>
      </c>
      <c r="AB3608" t="str">
        <f>HYPERLINK("Melting_Curves/meltCurve_Q6DD87_ZNF787.pdf", "Melting_Curves/meltCurve_Q6DD87_ZNF787.pdf")</f>
        <v>Melting_Curves/meltCurve_Q6DD87_ZNF787.pdf</v>
      </c>
    </row>
    <row r="3609" spans="1:28" x14ac:dyDescent="0.25">
      <c r="A3609" t="s">
        <v>3613</v>
      </c>
      <c r="B3609">
        <v>0.99987803227770999</v>
      </c>
      <c r="C3609">
        <v>0.965242149272869</v>
      </c>
      <c r="D3609">
        <v>1.0580530406780999</v>
      </c>
      <c r="E3609">
        <v>0.74677117628684597</v>
      </c>
      <c r="F3609">
        <v>0.71080361159990302</v>
      </c>
      <c r="G3609">
        <v>0.562297302997258</v>
      </c>
      <c r="H3609">
        <v>0.55109488308427301</v>
      </c>
      <c r="I3609">
        <v>0.349682905538169</v>
      </c>
      <c r="J3609">
        <v>0.14682684175883501</v>
      </c>
      <c r="K3609">
        <v>9.6418708411529705E-2</v>
      </c>
      <c r="L3609">
        <v>584.85220594847999</v>
      </c>
      <c r="M3609">
        <v>9.9452318569005609</v>
      </c>
      <c r="N3609">
        <v>58.807293103467998</v>
      </c>
      <c r="O3609">
        <v>56.577816792570601</v>
      </c>
      <c r="P3609">
        <v>-4.3966740974588997E-2</v>
      </c>
      <c r="Q3609">
        <v>0</v>
      </c>
      <c r="R3609">
        <v>0.94348702894505498</v>
      </c>
      <c r="S3609" t="s">
        <v>9920</v>
      </c>
      <c r="T3609" t="s">
        <v>12620</v>
      </c>
      <c r="U3609" t="s">
        <v>12620</v>
      </c>
      <c r="V3609" t="s">
        <v>12620</v>
      </c>
      <c r="W3609" t="s">
        <v>16180</v>
      </c>
      <c r="X3609">
        <v>5</v>
      </c>
      <c r="Y3609" t="s">
        <v>22309</v>
      </c>
      <c r="Z3609" t="s">
        <v>28556</v>
      </c>
      <c r="AA3609">
        <v>0.63140871522505948</v>
      </c>
      <c r="AB3609" t="str">
        <f>HYPERLINK("Melting_Curves/meltCurve_Q6DHV7_3_ADAL.pdf", "Melting_Curves/meltCurve_Q6DHV7_3_ADAL.pdf")</f>
        <v>Melting_Curves/meltCurve_Q6DHV7_3_ADAL.pdf</v>
      </c>
    </row>
    <row r="3610" spans="1:28" x14ac:dyDescent="0.25">
      <c r="A3610" t="s">
        <v>3614</v>
      </c>
      <c r="B3610">
        <v>0.99987803227770999</v>
      </c>
      <c r="C3610">
        <v>1.03085974535492</v>
      </c>
      <c r="D3610">
        <v>1.04880326357415</v>
      </c>
      <c r="E3610">
        <v>0.92079873589935701</v>
      </c>
      <c r="F3610">
        <v>0.69739490000756998</v>
      </c>
      <c r="G3610">
        <v>0.43284193121779502</v>
      </c>
      <c r="H3610">
        <v>0.26046452904197798</v>
      </c>
      <c r="I3610">
        <v>0.17742458143630399</v>
      </c>
      <c r="J3610">
        <v>0.10575041316071999</v>
      </c>
      <c r="K3610">
        <v>7.8507314471971401E-2</v>
      </c>
      <c r="L3610">
        <v>1005.16686158433</v>
      </c>
      <c r="M3610">
        <v>18.068711879936401</v>
      </c>
      <c r="N3610">
        <v>56.150670596749102</v>
      </c>
      <c r="O3610">
        <v>54.962260632073701</v>
      </c>
      <c r="P3610">
        <v>-7.5854326381302406E-2</v>
      </c>
      <c r="Q3610">
        <v>7.7095729460285006E-2</v>
      </c>
      <c r="R3610">
        <v>0.99339747414128998</v>
      </c>
      <c r="S3610" t="s">
        <v>9921</v>
      </c>
      <c r="T3610" t="s">
        <v>12620</v>
      </c>
      <c r="U3610" t="s">
        <v>12620</v>
      </c>
      <c r="V3610" t="s">
        <v>12620</v>
      </c>
      <c r="W3610" t="s">
        <v>16181</v>
      </c>
      <c r="X3610">
        <v>12</v>
      </c>
      <c r="Y3610" t="s">
        <v>22310</v>
      </c>
      <c r="Z3610" t="s">
        <v>28557</v>
      </c>
      <c r="AA3610">
        <v>0.57174384720404559</v>
      </c>
      <c r="AB3610" t="str">
        <f>HYPERLINK("Melting_Curves/meltCurve_Q6DKJ4_NXN.pdf", "Melting_Curves/meltCurve_Q6DKJ4_NXN.pdf")</f>
        <v>Melting_Curves/meltCurve_Q6DKJ4_NXN.pdf</v>
      </c>
    </row>
    <row r="3611" spans="1:28" x14ac:dyDescent="0.25">
      <c r="A3611" t="s">
        <v>3615</v>
      </c>
      <c r="B3611">
        <v>0.99987803227770999</v>
      </c>
      <c r="C3611">
        <v>0.957425847188904</v>
      </c>
      <c r="D3611">
        <v>1.0017626804984301</v>
      </c>
      <c r="E3611">
        <v>0.84378376990585802</v>
      </c>
      <c r="F3611">
        <v>0.75805769460295902</v>
      </c>
      <c r="G3611">
        <v>0.347258613965713</v>
      </c>
      <c r="H3611">
        <v>0.32025350295741201</v>
      </c>
      <c r="I3611">
        <v>0.26820064058777598</v>
      </c>
      <c r="J3611">
        <v>0.234277730921199</v>
      </c>
      <c r="K3611">
        <v>0.11997984866004199</v>
      </c>
      <c r="L3611">
        <v>1078.3651662570401</v>
      </c>
      <c r="M3611">
        <v>19.807207037252098</v>
      </c>
      <c r="N3611">
        <v>55.748966152332102</v>
      </c>
      <c r="O3611">
        <v>53.897243123533499</v>
      </c>
      <c r="P3611">
        <v>-7.4824497915806198E-2</v>
      </c>
      <c r="Q3611">
        <v>0.185610044524678</v>
      </c>
      <c r="R3611">
        <v>0.97986262401659796</v>
      </c>
      <c r="S3611" t="s">
        <v>9922</v>
      </c>
      <c r="T3611" t="s">
        <v>12620</v>
      </c>
      <c r="U3611" t="s">
        <v>12620</v>
      </c>
      <c r="V3611" t="s">
        <v>12620</v>
      </c>
      <c r="W3611" t="s">
        <v>16182</v>
      </c>
      <c r="X3611">
        <v>5</v>
      </c>
      <c r="Y3611" t="s">
        <v>22311</v>
      </c>
      <c r="Z3611" t="s">
        <v>28558</v>
      </c>
      <c r="AA3611">
        <v>0.58883548085856985</v>
      </c>
      <c r="AB3611" t="str">
        <f>HYPERLINK("Melting_Curves/meltCurve_Q6DKK2_TTC19.pdf", "Melting_Curves/meltCurve_Q6DKK2_TTC19.pdf")</f>
        <v>Melting_Curves/meltCurve_Q6DKK2_TTC19.pdf</v>
      </c>
    </row>
    <row r="3612" spans="1:28" x14ac:dyDescent="0.25">
      <c r="A3612" t="s">
        <v>3616</v>
      </c>
      <c r="B3612">
        <v>0.99987803227770999</v>
      </c>
      <c r="C3612">
        <v>0.74969811248100005</v>
      </c>
      <c r="D3612">
        <v>0.99963497464154205</v>
      </c>
      <c r="E3612">
        <v>0.77403976309492395</v>
      </c>
      <c r="F3612">
        <v>1.1600788048739601</v>
      </c>
      <c r="G3612">
        <v>0.94238368411673601</v>
      </c>
      <c r="H3612">
        <v>1.08406368983664</v>
      </c>
      <c r="I3612">
        <v>1.11964937598267</v>
      </c>
      <c r="J3612">
        <v>1.08480145051518</v>
      </c>
      <c r="K3612">
        <v>0.96172342388272702</v>
      </c>
      <c r="L3612">
        <v>3976.33434780876</v>
      </c>
      <c r="M3612">
        <v>67.105342555168903</v>
      </c>
      <c r="O3612">
        <v>59.202539467706103</v>
      </c>
      <c r="P3612">
        <v>1.7730239568482499E-2</v>
      </c>
      <c r="Q3612">
        <v>1.0625687974706</v>
      </c>
      <c r="R3612">
        <v>7.6974665581410806E-2</v>
      </c>
      <c r="S3612" t="s">
        <v>9923</v>
      </c>
      <c r="T3612" t="s">
        <v>12620</v>
      </c>
      <c r="U3612" t="s">
        <v>12620</v>
      </c>
      <c r="V3612" t="s">
        <v>12620</v>
      </c>
      <c r="W3612" t="s">
        <v>16183</v>
      </c>
      <c r="X3612">
        <v>4</v>
      </c>
      <c r="Y3612" t="s">
        <v>20425</v>
      </c>
      <c r="Z3612" t="s">
        <v>28559</v>
      </c>
      <c r="AA3612">
        <v>1.022319354855413</v>
      </c>
      <c r="AB3612" t="str">
        <f>HYPERLINK("Melting_Curves/meltCurve_Q6EEV4_2_POLR2M.pdf", "Melting_Curves/meltCurve_Q6EEV4_2_POLR2M.pdf")</f>
        <v>Melting_Curves/meltCurve_Q6EEV4_2_POLR2M.pdf</v>
      </c>
    </row>
    <row r="3613" spans="1:28" x14ac:dyDescent="0.25">
      <c r="A3613" t="s">
        <v>3617</v>
      </c>
      <c r="B3613">
        <v>0.99987803227770999</v>
      </c>
      <c r="C3613">
        <v>0.85615885992849505</v>
      </c>
      <c r="D3613">
        <v>1.0308189917198001</v>
      </c>
      <c r="E3613">
        <v>0.88879475286574705</v>
      </c>
      <c r="F3613">
        <v>0.941244251188045</v>
      </c>
      <c r="G3613">
        <v>0.58361448428274798</v>
      </c>
      <c r="H3613">
        <v>0.40780506361324997</v>
      </c>
      <c r="I3613">
        <v>0.33869076963158601</v>
      </c>
      <c r="J3613">
        <v>0.32587695794121602</v>
      </c>
      <c r="K3613">
        <v>0.27282305768576098</v>
      </c>
      <c r="L3613">
        <v>1379.8511484655501</v>
      </c>
      <c r="M3613">
        <v>24.4064055697939</v>
      </c>
      <c r="N3613">
        <v>58.654570364345297</v>
      </c>
      <c r="O3613">
        <v>56.160980123756801</v>
      </c>
      <c r="P3613">
        <v>-7.6824839655075597E-2</v>
      </c>
      <c r="Q3613">
        <v>0.29289143732655198</v>
      </c>
      <c r="R3613">
        <v>0.96038501134562804</v>
      </c>
      <c r="S3613" t="s">
        <v>9924</v>
      </c>
      <c r="T3613" t="s">
        <v>12620</v>
      </c>
      <c r="U3613" t="s">
        <v>12620</v>
      </c>
      <c r="V3613" t="s">
        <v>12620</v>
      </c>
      <c r="W3613" t="s">
        <v>16184</v>
      </c>
      <c r="X3613">
        <v>17</v>
      </c>
      <c r="Y3613" t="s">
        <v>22312</v>
      </c>
      <c r="Z3613" t="s">
        <v>28560</v>
      </c>
      <c r="AA3613">
        <v>0.68934662703758498</v>
      </c>
      <c r="AB3613" t="str">
        <f>HYPERLINK("Melting_Curves/meltCurve_Q6FI81_CIAPIN1.pdf", "Melting_Curves/meltCurve_Q6FI81_CIAPIN1.pdf")</f>
        <v>Melting_Curves/meltCurve_Q6FI81_CIAPIN1.pdf</v>
      </c>
    </row>
    <row r="3614" spans="1:28" x14ac:dyDescent="0.25">
      <c r="A3614" t="s">
        <v>3618</v>
      </c>
      <c r="B3614">
        <v>0.99987803227770999</v>
      </c>
      <c r="C3614">
        <v>0.82424973911307098</v>
      </c>
      <c r="D3614">
        <v>0.97165258057889103</v>
      </c>
      <c r="E3614">
        <v>0.82227537805516204</v>
      </c>
      <c r="F3614">
        <v>1.1556012875488799</v>
      </c>
      <c r="G3614">
        <v>0.80161781387062203</v>
      </c>
      <c r="H3614">
        <v>1.0333353994134999</v>
      </c>
      <c r="I3614">
        <v>0.99914362096235498</v>
      </c>
      <c r="J3614">
        <v>1.0313538504544599</v>
      </c>
      <c r="K3614">
        <v>0.96217703377211905</v>
      </c>
      <c r="L3614">
        <v>11.9352192199259</v>
      </c>
      <c r="M3614">
        <v>16.951179277962101</v>
      </c>
      <c r="Q3614">
        <v>0.96012847308401505</v>
      </c>
      <c r="R3614">
        <v>-3.9306646826275901E-10</v>
      </c>
      <c r="S3614" t="s">
        <v>9925</v>
      </c>
      <c r="T3614" t="s">
        <v>12620</v>
      </c>
      <c r="U3614" t="s">
        <v>12620</v>
      </c>
      <c r="V3614" t="s">
        <v>12620</v>
      </c>
      <c r="W3614" t="s">
        <v>16185</v>
      </c>
      <c r="X3614">
        <v>10</v>
      </c>
      <c r="Y3614" t="s">
        <v>22313</v>
      </c>
      <c r="Z3614" t="s">
        <v>28561</v>
      </c>
      <c r="AA3614">
        <v>0.96012847525089484</v>
      </c>
      <c r="AB3614" t="str">
        <f>HYPERLINK("Melting_Curves/meltCurve_Q6FIF0_2_ZFAND6.pdf", "Melting_Curves/meltCurve_Q6FIF0_2_ZFAND6.pdf")</f>
        <v>Melting_Curves/meltCurve_Q6FIF0_2_ZFAND6.pdf</v>
      </c>
    </row>
    <row r="3615" spans="1:28" x14ac:dyDescent="0.25">
      <c r="A3615" t="s">
        <v>3619</v>
      </c>
      <c r="B3615">
        <v>0.99987803227770999</v>
      </c>
      <c r="C3615">
        <v>0.93681927383679198</v>
      </c>
      <c r="D3615">
        <v>1.0153098606098401</v>
      </c>
      <c r="E3615">
        <v>0.93876613492736205</v>
      </c>
      <c r="F3615">
        <v>0.94761957567349597</v>
      </c>
      <c r="G3615">
        <v>0.31876340048117802</v>
      </c>
      <c r="H3615">
        <v>0.16917944514517499</v>
      </c>
      <c r="I3615">
        <v>0.13865461322702</v>
      </c>
      <c r="J3615">
        <v>0.114352728871431</v>
      </c>
      <c r="K3615">
        <v>8.2513803306770106E-2</v>
      </c>
      <c r="L3615">
        <v>2845.8649609027102</v>
      </c>
      <c r="M3615">
        <v>51.136349353465903</v>
      </c>
      <c r="N3615">
        <v>55.959745497259</v>
      </c>
      <c r="O3615">
        <v>55.567571832638798</v>
      </c>
      <c r="P3615">
        <v>-0.20190390162307301</v>
      </c>
      <c r="Q3615">
        <v>0.12240111197923501</v>
      </c>
      <c r="R3615">
        <v>0.99330683449830404</v>
      </c>
      <c r="S3615" t="s">
        <v>9926</v>
      </c>
      <c r="T3615" t="s">
        <v>12620</v>
      </c>
      <c r="U3615" t="s">
        <v>12620</v>
      </c>
      <c r="V3615" t="s">
        <v>12620</v>
      </c>
      <c r="W3615" t="s">
        <v>16186</v>
      </c>
      <c r="X3615">
        <v>11</v>
      </c>
      <c r="Y3615" t="s">
        <v>22314</v>
      </c>
      <c r="Z3615" t="s">
        <v>28562</v>
      </c>
      <c r="AA3615">
        <v>0.5823456142077581</v>
      </c>
      <c r="AB3615" t="str">
        <f>HYPERLINK("Melting_Curves/meltCurve_Q6GMV2_SMYD5.pdf", "Melting_Curves/meltCurve_Q6GMV2_SMYD5.pdf")</f>
        <v>Melting_Curves/meltCurve_Q6GMV2_SMYD5.pdf</v>
      </c>
    </row>
    <row r="3616" spans="1:28" x14ac:dyDescent="0.25">
      <c r="A3616" t="s">
        <v>3620</v>
      </c>
      <c r="B3616">
        <v>0.99987803227770999</v>
      </c>
      <c r="C3616">
        <v>0.85351221170309</v>
      </c>
      <c r="D3616">
        <v>1.00922256343202</v>
      </c>
      <c r="E3616">
        <v>0.88033838344330595</v>
      </c>
      <c r="F3616">
        <v>1.1460064614577099</v>
      </c>
      <c r="G3616">
        <v>1.0339121064119801</v>
      </c>
      <c r="H3616">
        <v>0.78145763484285402</v>
      </c>
      <c r="I3616">
        <v>0.55213093515779899</v>
      </c>
      <c r="J3616">
        <v>0.39240535231704599</v>
      </c>
      <c r="K3616">
        <v>0.252386013617517</v>
      </c>
      <c r="L3616">
        <v>1863.21541047815</v>
      </c>
      <c r="M3616">
        <v>29.4332247061865</v>
      </c>
      <c r="N3616">
        <v>64.676603263111801</v>
      </c>
      <c r="O3616">
        <v>63.013077980985798</v>
      </c>
      <c r="P3616">
        <v>-8.9638837753961406E-2</v>
      </c>
      <c r="Q3616">
        <v>0.232380491212723</v>
      </c>
      <c r="R3616">
        <v>0.91912495063946698</v>
      </c>
      <c r="S3616" t="s">
        <v>9927</v>
      </c>
      <c r="T3616" t="s">
        <v>12620</v>
      </c>
      <c r="U3616" t="s">
        <v>12620</v>
      </c>
      <c r="V3616" t="s">
        <v>12620</v>
      </c>
      <c r="W3616" t="s">
        <v>16187</v>
      </c>
      <c r="X3616">
        <v>7</v>
      </c>
      <c r="Y3616" t="s">
        <v>22315</v>
      </c>
      <c r="Z3616" t="s">
        <v>28563</v>
      </c>
      <c r="AA3616">
        <v>0.83064810984498272</v>
      </c>
      <c r="AB3616" t="str">
        <f>HYPERLINK("Melting_Curves/meltCurve_Q6GMV3_PTRHD1.pdf", "Melting_Curves/meltCurve_Q6GMV3_PTRHD1.pdf")</f>
        <v>Melting_Curves/meltCurve_Q6GMV3_PTRHD1.pdf</v>
      </c>
    </row>
    <row r="3617" spans="1:28" x14ac:dyDescent="0.25">
      <c r="A3617" t="s">
        <v>3621</v>
      </c>
      <c r="B3617">
        <v>0.99987803227770999</v>
      </c>
      <c r="C3617">
        <v>0.94758468711860699</v>
      </c>
      <c r="D3617">
        <v>0.92812943288449401</v>
      </c>
      <c r="E3617">
        <v>0.55442026224793595</v>
      </c>
      <c r="F3617">
        <v>0.36512824297935798</v>
      </c>
      <c r="G3617">
        <v>0.24026446016134501</v>
      </c>
      <c r="H3617">
        <v>0.23312580164320101</v>
      </c>
      <c r="I3617">
        <v>0.200024698587982</v>
      </c>
      <c r="J3617">
        <v>0.234563740071218</v>
      </c>
      <c r="K3617">
        <v>0.184023189100403</v>
      </c>
      <c r="L3617">
        <v>1214.8585536574001</v>
      </c>
      <c r="M3617">
        <v>24.463272444329601</v>
      </c>
      <c r="N3617">
        <v>50.793837606684299</v>
      </c>
      <c r="O3617">
        <v>49.332234006317996</v>
      </c>
      <c r="P3617">
        <v>-9.7899636040198496E-2</v>
      </c>
      <c r="Q3617">
        <v>0.210320389729342</v>
      </c>
      <c r="R3617">
        <v>0.99597464420704895</v>
      </c>
      <c r="S3617" t="s">
        <v>9928</v>
      </c>
      <c r="T3617" t="s">
        <v>12620</v>
      </c>
      <c r="U3617" t="s">
        <v>12620</v>
      </c>
      <c r="V3617" t="s">
        <v>12620</v>
      </c>
      <c r="W3617" t="s">
        <v>16188</v>
      </c>
      <c r="X3617">
        <v>14</v>
      </c>
      <c r="Y3617" t="s">
        <v>22316</v>
      </c>
      <c r="Z3617" t="s">
        <v>28564</v>
      </c>
      <c r="AA3617">
        <v>0.47196144848863142</v>
      </c>
      <c r="AB3617" t="str">
        <f>HYPERLINK("Melting_Curves/meltCurve_Q6GQQ9_OTUD7B.pdf", "Melting_Curves/meltCurve_Q6GQQ9_OTUD7B.pdf")</f>
        <v>Melting_Curves/meltCurve_Q6GQQ9_OTUD7B.pdf</v>
      </c>
    </row>
    <row r="3618" spans="1:28" x14ac:dyDescent="0.25">
      <c r="A3618" t="s">
        <v>3622</v>
      </c>
      <c r="B3618">
        <v>0.99987803227770999</v>
      </c>
      <c r="C3618">
        <v>1.01573413683852</v>
      </c>
      <c r="D3618">
        <v>0.96276216731909203</v>
      </c>
      <c r="E3618">
        <v>1.0947904730379601</v>
      </c>
      <c r="F3618">
        <v>0.80320185487627205</v>
      </c>
      <c r="G3618">
        <v>0.67177411150702904</v>
      </c>
      <c r="H3618">
        <v>0.59521512615997796</v>
      </c>
      <c r="I3618">
        <v>0.64180096197587999</v>
      </c>
      <c r="J3618">
        <v>0.36022949578736102</v>
      </c>
      <c r="K3618">
        <v>0.259365379997334</v>
      </c>
      <c r="L3618">
        <v>611.04471912036195</v>
      </c>
      <c r="M3618">
        <v>9.5571581301219695</v>
      </c>
      <c r="N3618">
        <v>63.935804317850497</v>
      </c>
      <c r="O3618">
        <v>61.324481557881803</v>
      </c>
      <c r="P3618">
        <v>-3.8983955661841298E-2</v>
      </c>
      <c r="Q3618">
        <v>0</v>
      </c>
      <c r="R3618">
        <v>0.91244329211210995</v>
      </c>
      <c r="S3618" t="s">
        <v>9929</v>
      </c>
      <c r="T3618" t="s">
        <v>12620</v>
      </c>
      <c r="U3618" t="s">
        <v>12620</v>
      </c>
      <c r="V3618" t="s">
        <v>12620</v>
      </c>
      <c r="W3618" t="s">
        <v>16189</v>
      </c>
      <c r="X3618">
        <v>5</v>
      </c>
      <c r="Y3618" t="s">
        <v>22317</v>
      </c>
      <c r="Z3618" t="s">
        <v>28565</v>
      </c>
      <c r="AA3618">
        <v>0.75269989317477182</v>
      </c>
      <c r="AB3618" t="str">
        <f>HYPERLINK("Melting_Curves/meltCurve_Q6GYQ0_RALGAPA1.pdf", "Melting_Curves/meltCurve_Q6GYQ0_RALGAPA1.pdf")</f>
        <v>Melting_Curves/meltCurve_Q6GYQ0_RALGAPA1.pdf</v>
      </c>
    </row>
    <row r="3619" spans="1:28" x14ac:dyDescent="0.25">
      <c r="A3619" t="s">
        <v>3623</v>
      </c>
      <c r="B3619">
        <v>0.99987803227770999</v>
      </c>
      <c r="C3619">
        <v>0.94179573895698099</v>
      </c>
      <c r="D3619">
        <v>1.0270373093276099</v>
      </c>
      <c r="E3619">
        <v>1.0430942160786101</v>
      </c>
      <c r="F3619">
        <v>0.82206978474371395</v>
      </c>
      <c r="G3619">
        <v>0.55109782756432102</v>
      </c>
      <c r="H3619">
        <v>0.43294056009175103</v>
      </c>
      <c r="I3619">
        <v>0.33098432809931599</v>
      </c>
      <c r="J3619">
        <v>0.43833160718321001</v>
      </c>
      <c r="K3619">
        <v>0.33473469191277899</v>
      </c>
      <c r="L3619">
        <v>1636.67453826307</v>
      </c>
      <c r="M3619">
        <v>29.6963124959005</v>
      </c>
      <c r="N3619">
        <v>57.770990830139098</v>
      </c>
      <c r="O3619">
        <v>54.865617601064898</v>
      </c>
      <c r="P3619">
        <v>-8.4919794615733499E-2</v>
      </c>
      <c r="Q3619">
        <v>0.37242775460271099</v>
      </c>
      <c r="R3619">
        <v>0.97659028372817303</v>
      </c>
      <c r="S3619" t="s">
        <v>9930</v>
      </c>
      <c r="T3619" t="s">
        <v>12620</v>
      </c>
      <c r="U3619" t="s">
        <v>12620</v>
      </c>
      <c r="V3619" t="s">
        <v>12620</v>
      </c>
      <c r="W3619" t="s">
        <v>16190</v>
      </c>
      <c r="X3619">
        <v>4</v>
      </c>
      <c r="Y3619" t="s">
        <v>22318</v>
      </c>
      <c r="Z3619" t="s">
        <v>28566</v>
      </c>
      <c r="AA3619">
        <v>0.69283990179778199</v>
      </c>
      <c r="AB3619" t="str">
        <f>HYPERLINK("Melting_Curves/meltCurve_Q6I9Y2_THOC7.pdf", "Melting_Curves/meltCurve_Q6I9Y2_THOC7.pdf")</f>
        <v>Melting_Curves/meltCurve_Q6I9Y2_THOC7.pdf</v>
      </c>
    </row>
    <row r="3620" spans="1:28" x14ac:dyDescent="0.25">
      <c r="A3620" t="s">
        <v>3624</v>
      </c>
      <c r="B3620">
        <v>0.99987803227770999</v>
      </c>
      <c r="C3620">
        <v>1.15711688630758</v>
      </c>
      <c r="D3620">
        <v>0.95506201271170299</v>
      </c>
      <c r="E3620">
        <v>1.15695808460592</v>
      </c>
      <c r="F3620">
        <v>0.40599723787722097</v>
      </c>
      <c r="G3620">
        <v>0.14627127791342501</v>
      </c>
      <c r="H3620">
        <v>9.29659474419227E-2</v>
      </c>
      <c r="I3620">
        <v>7.7629103224712601E-2</v>
      </c>
      <c r="J3620">
        <v>5.7630735247104402E-2</v>
      </c>
      <c r="K3620">
        <v>4.3838347709345901E-2</v>
      </c>
      <c r="L3620">
        <v>13217.6008111274</v>
      </c>
      <c r="M3620">
        <v>250</v>
      </c>
      <c r="N3620">
        <v>52.909174633252803</v>
      </c>
      <c r="O3620">
        <v>52.866999558425199</v>
      </c>
      <c r="P3620">
        <v>-1.08329937400128</v>
      </c>
      <c r="Q3620">
        <v>8.3667046130468103E-2</v>
      </c>
      <c r="R3620">
        <v>0.97381194167930896</v>
      </c>
      <c r="S3620" t="s">
        <v>9931</v>
      </c>
      <c r="T3620" t="s">
        <v>12620</v>
      </c>
      <c r="U3620" t="s">
        <v>12620</v>
      </c>
      <c r="V3620" t="s">
        <v>12620</v>
      </c>
      <c r="W3620" t="s">
        <v>16191</v>
      </c>
      <c r="X3620">
        <v>7</v>
      </c>
      <c r="Y3620" t="s">
        <v>22319</v>
      </c>
      <c r="Z3620" t="s">
        <v>28567</v>
      </c>
      <c r="AA3620">
        <v>0.47687122375774021</v>
      </c>
      <c r="AB3620" t="str">
        <f>HYPERLINK("Melting_Curves/meltCurve_Q6IA69_NADSYN1.pdf", "Melting_Curves/meltCurve_Q6IA69_NADSYN1.pdf")</f>
        <v>Melting_Curves/meltCurve_Q6IA69_NADSYN1.pdf</v>
      </c>
    </row>
    <row r="3621" spans="1:28" x14ac:dyDescent="0.25">
      <c r="A3621" t="s">
        <v>3625</v>
      </c>
      <c r="B3621">
        <v>0.99987803227770999</v>
      </c>
      <c r="C3621">
        <v>0.84948620303838696</v>
      </c>
      <c r="D3621">
        <v>0.95018447498320602</v>
      </c>
      <c r="E3621">
        <v>1.2189981757392501</v>
      </c>
      <c r="F3621">
        <v>1.0391398331030901</v>
      </c>
      <c r="G3621">
        <v>0.71071149070402895</v>
      </c>
      <c r="H3621">
        <v>0.33250821455461799</v>
      </c>
      <c r="I3621">
        <v>0.22722972018069801</v>
      </c>
      <c r="J3621">
        <v>0.21643302440101</v>
      </c>
      <c r="K3621">
        <v>0.170053142706275</v>
      </c>
      <c r="L3621">
        <v>2187.8258956409099</v>
      </c>
      <c r="M3621">
        <v>37.691421343682102</v>
      </c>
      <c r="N3621">
        <v>58.839094494041397</v>
      </c>
      <c r="O3621">
        <v>57.8830533765897</v>
      </c>
      <c r="P3621">
        <v>-0.13036122458167099</v>
      </c>
      <c r="Q3621">
        <v>0.19921450260783399</v>
      </c>
      <c r="R3621">
        <v>0.94407541227914504</v>
      </c>
      <c r="S3621" t="s">
        <v>9932</v>
      </c>
      <c r="T3621" t="s">
        <v>12620</v>
      </c>
      <c r="U3621" t="s">
        <v>12620</v>
      </c>
      <c r="V3621" t="s">
        <v>12620</v>
      </c>
      <c r="W3621" t="s">
        <v>16192</v>
      </c>
      <c r="X3621">
        <v>8</v>
      </c>
      <c r="Y3621" t="s">
        <v>22320</v>
      </c>
      <c r="Z3621" t="s">
        <v>28568</v>
      </c>
      <c r="AA3621">
        <v>0.68442762034845528</v>
      </c>
      <c r="AB3621" t="str">
        <f>HYPERLINK("Melting_Curves/meltCurve_Q6IA86_3_ELP2.pdf", "Melting_Curves/meltCurve_Q6IA86_3_ELP2.pdf")</f>
        <v>Melting_Curves/meltCurve_Q6IA86_3_ELP2.pdf</v>
      </c>
    </row>
    <row r="3622" spans="1:28" x14ac:dyDescent="0.25">
      <c r="A3622" t="s">
        <v>3626</v>
      </c>
      <c r="B3622">
        <v>0.99987803227770999</v>
      </c>
      <c r="C3622">
        <v>0.86516554315616001</v>
      </c>
      <c r="D3622">
        <v>0.95596976241640697</v>
      </c>
      <c r="E3622">
        <v>0.94315989493090202</v>
      </c>
      <c r="F3622">
        <v>0.84295896974872697</v>
      </c>
      <c r="G3622">
        <v>0.41129608677540602</v>
      </c>
      <c r="H3622">
        <v>0.16943509650343599</v>
      </c>
      <c r="I3622">
        <v>0.147128536134285</v>
      </c>
      <c r="J3622">
        <v>0.10784450218462301</v>
      </c>
      <c r="K3622">
        <v>7.0627113136412706E-2</v>
      </c>
      <c r="L3622">
        <v>1512.9488757583799</v>
      </c>
      <c r="M3622">
        <v>27.110138932850202</v>
      </c>
      <c r="N3622">
        <v>56.229429562110703</v>
      </c>
      <c r="O3622">
        <v>55.506488258209799</v>
      </c>
      <c r="P3622">
        <v>-0.11086657642723</v>
      </c>
      <c r="Q3622">
        <v>9.2036472883982604E-2</v>
      </c>
      <c r="R3622">
        <v>0.98489003176313195</v>
      </c>
      <c r="S3622" t="s">
        <v>9933</v>
      </c>
      <c r="T3622" t="s">
        <v>12620</v>
      </c>
      <c r="U3622" t="s">
        <v>12620</v>
      </c>
      <c r="V3622" t="s">
        <v>12620</v>
      </c>
      <c r="W3622" t="s">
        <v>16193</v>
      </c>
      <c r="X3622">
        <v>18</v>
      </c>
      <c r="Y3622" t="s">
        <v>22321</v>
      </c>
      <c r="Z3622" t="s">
        <v>28569</v>
      </c>
      <c r="AA3622">
        <v>0.57772259942980664</v>
      </c>
      <c r="AB3622" t="str">
        <f>HYPERLINK("Melting_Curves/meltCurve_Q6IBS0_TWF2.pdf", "Melting_Curves/meltCurve_Q6IBS0_TWF2.pdf")</f>
        <v>Melting_Curves/meltCurve_Q6IBS0_TWF2.pdf</v>
      </c>
    </row>
    <row r="3623" spans="1:28" x14ac:dyDescent="0.25">
      <c r="A3623" t="s">
        <v>3627</v>
      </c>
      <c r="B3623">
        <v>0.99987803227770999</v>
      </c>
      <c r="C3623">
        <v>0.90476348676611096</v>
      </c>
      <c r="D3623">
        <v>0.82867400890883902</v>
      </c>
      <c r="E3623">
        <v>0.57097420832448098</v>
      </c>
      <c r="F3623">
        <v>0.53052079753327597</v>
      </c>
      <c r="G3623">
        <v>0.33074821923985198</v>
      </c>
      <c r="H3623">
        <v>0.33144722841111701</v>
      </c>
      <c r="I3623">
        <v>0.262089133928745</v>
      </c>
      <c r="J3623">
        <v>0.27637267415918698</v>
      </c>
      <c r="K3623">
        <v>0.18423801379368199</v>
      </c>
      <c r="L3623">
        <v>608.18829886560695</v>
      </c>
      <c r="M3623">
        <v>12.0763291296586</v>
      </c>
      <c r="N3623">
        <v>52.692117858046103</v>
      </c>
      <c r="O3623">
        <v>49.040696508390099</v>
      </c>
      <c r="P3623">
        <v>-4.8838197665732802E-2</v>
      </c>
      <c r="Q3623">
        <v>0.20687951577900299</v>
      </c>
      <c r="R3623">
        <v>0.98501165479535702</v>
      </c>
      <c r="S3623" t="s">
        <v>9934</v>
      </c>
      <c r="T3623" t="s">
        <v>12620</v>
      </c>
      <c r="U3623" t="s">
        <v>12620</v>
      </c>
      <c r="V3623" t="s">
        <v>12620</v>
      </c>
      <c r="W3623" t="s">
        <v>16194</v>
      </c>
      <c r="X3623">
        <v>4</v>
      </c>
      <c r="Y3623" t="s">
        <v>22322</v>
      </c>
      <c r="Z3623" t="s">
        <v>28570</v>
      </c>
      <c r="AA3623">
        <v>0.50744105177593457</v>
      </c>
      <c r="AB3623" t="str">
        <f>HYPERLINK("Melting_Curves/meltCurve_Q6IBW4_NCAPH2.pdf", "Melting_Curves/meltCurve_Q6IBW4_NCAPH2.pdf")</f>
        <v>Melting_Curves/meltCurve_Q6IBW4_NCAPH2.pdf</v>
      </c>
    </row>
    <row r="3624" spans="1:28" x14ac:dyDescent="0.25">
      <c r="A3624" t="s">
        <v>3628</v>
      </c>
      <c r="B3624">
        <v>0.99987803227770999</v>
      </c>
      <c r="C3624">
        <v>1.1479884552742601</v>
      </c>
      <c r="D3624">
        <v>1.05204009445855</v>
      </c>
      <c r="E3624">
        <v>1.14070377582725</v>
      </c>
      <c r="F3624">
        <v>0.87227650631957698</v>
      </c>
      <c r="G3624">
        <v>0.627486040539598</v>
      </c>
      <c r="H3624">
        <v>0.25342695483484901</v>
      </c>
      <c r="I3624">
        <v>0.33431982866530502</v>
      </c>
      <c r="J3624">
        <v>0.107384442367383</v>
      </c>
      <c r="K3624">
        <v>4.9842584567302298E-2</v>
      </c>
      <c r="L3624">
        <v>1323.0719260001699</v>
      </c>
      <c r="M3624">
        <v>22.821363537286199</v>
      </c>
      <c r="N3624">
        <v>58.501780296691003</v>
      </c>
      <c r="O3624">
        <v>57.535499527145099</v>
      </c>
      <c r="P3624">
        <v>-8.9956037139299005E-2</v>
      </c>
      <c r="Q3624">
        <v>9.2856022806968697E-2</v>
      </c>
      <c r="R3624">
        <v>0.95244871306664702</v>
      </c>
      <c r="S3624" t="s">
        <v>9935</v>
      </c>
      <c r="T3624" t="s">
        <v>12620</v>
      </c>
      <c r="U3624" t="s">
        <v>12620</v>
      </c>
      <c r="V3624" t="s">
        <v>12620</v>
      </c>
      <c r="W3624" t="s">
        <v>16195</v>
      </c>
      <c r="X3624">
        <v>3</v>
      </c>
      <c r="Y3624" t="s">
        <v>22323</v>
      </c>
      <c r="Z3624" t="s">
        <v>28571</v>
      </c>
      <c r="AA3624">
        <v>0.64529795891879538</v>
      </c>
      <c r="AB3624" t="str">
        <f>HYPERLINK("Melting_Curves/meltCurve_Q6ICG6_KIAA0930.pdf", "Melting_Curves/meltCurve_Q6ICG6_KIAA0930.pdf")</f>
        <v>Melting_Curves/meltCurve_Q6ICG6_KIAA0930.pdf</v>
      </c>
    </row>
    <row r="3625" spans="1:28" x14ac:dyDescent="0.25">
      <c r="A3625" t="s">
        <v>3629</v>
      </c>
      <c r="B3625">
        <v>0.99987803227770999</v>
      </c>
      <c r="C3625">
        <v>1.16183574753949</v>
      </c>
      <c r="D3625">
        <v>0.87732182831366801</v>
      </c>
      <c r="E3625">
        <v>1.1547908405884599</v>
      </c>
      <c r="F3625">
        <v>1.12252454320552</v>
      </c>
      <c r="G3625">
        <v>0.47171689253009802</v>
      </c>
      <c r="H3625">
        <v>0.90695303862605403</v>
      </c>
      <c r="I3625">
        <v>0.68259636215536001</v>
      </c>
      <c r="J3625">
        <v>0.681063612609624</v>
      </c>
      <c r="K3625">
        <v>0.18660949191172599</v>
      </c>
      <c r="L3625">
        <v>821.50204099884695</v>
      </c>
      <c r="M3625">
        <v>12.2389014121032</v>
      </c>
      <c r="N3625">
        <v>67.122210075632097</v>
      </c>
      <c r="O3625">
        <v>65.405674652072904</v>
      </c>
      <c r="P3625">
        <v>-4.6791180017016702E-2</v>
      </c>
      <c r="Q3625">
        <v>0</v>
      </c>
      <c r="R3625">
        <v>0.60754840514715902</v>
      </c>
      <c r="S3625" t="s">
        <v>9936</v>
      </c>
      <c r="T3625" t="s">
        <v>12620</v>
      </c>
      <c r="U3625" t="s">
        <v>12620</v>
      </c>
      <c r="V3625" t="s">
        <v>12620</v>
      </c>
      <c r="W3625" t="s">
        <v>16196</v>
      </c>
      <c r="X3625">
        <v>3</v>
      </c>
      <c r="Y3625" t="s">
        <v>22324</v>
      </c>
      <c r="Z3625" t="s">
        <v>28572</v>
      </c>
      <c r="AA3625">
        <v>0.83887255687677309</v>
      </c>
      <c r="AB3625" t="str">
        <f>HYPERLINK("Melting_Curves/meltCurve_Q6IE81_2_PHF17.pdf", "Melting_Curves/meltCurve_Q6IE81_2_PHF17.pdf")</f>
        <v>Melting_Curves/meltCurve_Q6IE81_2_PHF17.pdf</v>
      </c>
    </row>
    <row r="3626" spans="1:28" x14ac:dyDescent="0.25">
      <c r="A3626" t="s">
        <v>3630</v>
      </c>
      <c r="B3626">
        <v>0.99987803227770999</v>
      </c>
      <c r="C3626">
        <v>1.1097441491440601</v>
      </c>
      <c r="D3626">
        <v>0.94172577769049903</v>
      </c>
      <c r="E3626">
        <v>1.02105605847242</v>
      </c>
      <c r="F3626">
        <v>0.79795722688259896</v>
      </c>
      <c r="G3626">
        <v>1.2202132067973499</v>
      </c>
      <c r="H3626">
        <v>0.29559180239593902</v>
      </c>
      <c r="I3626">
        <v>0.43306339791943699</v>
      </c>
      <c r="J3626">
        <v>0.126701383479704</v>
      </c>
      <c r="K3626">
        <v>8.1838985469093406E-2</v>
      </c>
      <c r="L3626">
        <v>12344.549512208499</v>
      </c>
      <c r="M3626">
        <v>204.523045178046</v>
      </c>
      <c r="N3626">
        <v>60.522900679699298</v>
      </c>
      <c r="O3626">
        <v>60.351972201690302</v>
      </c>
      <c r="P3626">
        <v>-0.66602944944217601</v>
      </c>
      <c r="Q3626">
        <v>0.213855025454568</v>
      </c>
      <c r="R3626">
        <v>0.89163110281491897</v>
      </c>
      <c r="S3626" t="s">
        <v>9937</v>
      </c>
      <c r="T3626" t="s">
        <v>12620</v>
      </c>
      <c r="U3626" t="s">
        <v>12620</v>
      </c>
      <c r="V3626" t="s">
        <v>12620</v>
      </c>
      <c r="W3626" t="s">
        <v>16197</v>
      </c>
      <c r="X3626">
        <v>2</v>
      </c>
      <c r="Y3626" t="s">
        <v>22325</v>
      </c>
      <c r="Z3626" t="s">
        <v>28573</v>
      </c>
      <c r="AA3626">
        <v>0.74745072279957825</v>
      </c>
      <c r="AB3626" t="str">
        <f>HYPERLINK("Melting_Curves/meltCurve_Q6IN84_MRM1.pdf", "Melting_Curves/meltCurve_Q6IN84_MRM1.pdf")</f>
        <v>Melting_Curves/meltCurve_Q6IN84_MRM1.pdf</v>
      </c>
    </row>
    <row r="3627" spans="1:28" x14ac:dyDescent="0.25">
      <c r="A3627" t="s">
        <v>3631</v>
      </c>
      <c r="B3627">
        <v>0.99987803227770999</v>
      </c>
      <c r="C3627">
        <v>1.25468088438818</v>
      </c>
      <c r="D3627">
        <v>0.63420657843591899</v>
      </c>
      <c r="E3627">
        <v>1.03954056589759</v>
      </c>
      <c r="F3627">
        <v>0.70209331262033703</v>
      </c>
      <c r="G3627">
        <v>0.62906837472669297</v>
      </c>
      <c r="H3627">
        <v>0.26996392354492899</v>
      </c>
      <c r="I3627">
        <v>0.16138203430072501</v>
      </c>
      <c r="J3627">
        <v>0.12394014754261901</v>
      </c>
      <c r="K3627">
        <v>8.7290078139690197E-2</v>
      </c>
      <c r="L3627">
        <v>844.88824089157902</v>
      </c>
      <c r="M3627">
        <v>14.6401984093472</v>
      </c>
      <c r="N3627">
        <v>57.710163396474897</v>
      </c>
      <c r="O3627">
        <v>56.665499664601199</v>
      </c>
      <c r="P3627">
        <v>-6.4597617125903395E-2</v>
      </c>
      <c r="Q3627">
        <v>0</v>
      </c>
      <c r="R3627">
        <v>0.86086770247145294</v>
      </c>
      <c r="S3627" t="s">
        <v>9938</v>
      </c>
      <c r="T3627" t="s">
        <v>12620</v>
      </c>
      <c r="U3627" t="s">
        <v>12620</v>
      </c>
      <c r="V3627" t="s">
        <v>12620</v>
      </c>
      <c r="W3627" t="s">
        <v>16198</v>
      </c>
      <c r="X3627">
        <v>24</v>
      </c>
      <c r="Y3627" t="s">
        <v>22326</v>
      </c>
      <c r="Z3627" t="s">
        <v>28574</v>
      </c>
      <c r="AA3627">
        <v>0.60460917353024501</v>
      </c>
      <c r="AB3627" t="str">
        <f>HYPERLINK("Melting_Curves/meltCurve_Q6IN85_SMEK1.pdf", "Melting_Curves/meltCurve_Q6IN85_SMEK1.pdf")</f>
        <v>Melting_Curves/meltCurve_Q6IN85_SMEK1.pdf</v>
      </c>
    </row>
    <row r="3628" spans="1:28" x14ac:dyDescent="0.25">
      <c r="A3628" t="s">
        <v>3632</v>
      </c>
      <c r="B3628">
        <v>0.99987803227770999</v>
      </c>
      <c r="C3628">
        <v>0.94733995751942701</v>
      </c>
      <c r="D3628">
        <v>1.0474214097461201</v>
      </c>
      <c r="E3628">
        <v>0.95733537231875598</v>
      </c>
      <c r="F3628">
        <v>0.997752639810776</v>
      </c>
      <c r="G3628">
        <v>0.81465528603448101</v>
      </c>
      <c r="H3628">
        <v>0.69956959482960701</v>
      </c>
      <c r="I3628">
        <v>0.423421180787938</v>
      </c>
      <c r="J3628">
        <v>0.220886005536852</v>
      </c>
      <c r="K3628">
        <v>0.138200031195957</v>
      </c>
      <c r="L3628">
        <v>1178.1745922622799</v>
      </c>
      <c r="M3628">
        <v>18.7005382319301</v>
      </c>
      <c r="N3628">
        <v>63.0021768049304</v>
      </c>
      <c r="O3628">
        <v>62.295017504110902</v>
      </c>
      <c r="P3628">
        <v>-7.5051500758387096E-2</v>
      </c>
      <c r="Q3628">
        <v>0</v>
      </c>
      <c r="R3628">
        <v>0.98649527773732204</v>
      </c>
      <c r="S3628" t="s">
        <v>9939</v>
      </c>
      <c r="T3628" t="s">
        <v>12620</v>
      </c>
      <c r="U3628" t="s">
        <v>12620</v>
      </c>
      <c r="V3628" t="s">
        <v>12620</v>
      </c>
      <c r="W3628" t="s">
        <v>16199</v>
      </c>
      <c r="X3628">
        <v>6</v>
      </c>
      <c r="Y3628" t="s">
        <v>22327</v>
      </c>
      <c r="Z3628" t="s">
        <v>28575</v>
      </c>
      <c r="AA3628">
        <v>0.76442828489021553</v>
      </c>
      <c r="AB3628" t="str">
        <f>HYPERLINK("Melting_Curves/meltCurve_Q6IQ22_RAB12.pdf", "Melting_Curves/meltCurve_Q6IQ22_RAB12.pdf")</f>
        <v>Melting_Curves/meltCurve_Q6IQ22_RAB12.pdf</v>
      </c>
    </row>
    <row r="3629" spans="1:28" x14ac:dyDescent="0.25">
      <c r="A3629" t="s">
        <v>3633</v>
      </c>
      <c r="B3629">
        <v>0.99987803227770999</v>
      </c>
      <c r="C3629">
        <v>0.96350167537043196</v>
      </c>
      <c r="D3629">
        <v>1.03877792476439</v>
      </c>
      <c r="E3629">
        <v>0.83631798438947103</v>
      </c>
      <c r="F3629">
        <v>0.76786250868006001</v>
      </c>
      <c r="G3629">
        <v>0.67299139831696497</v>
      </c>
      <c r="H3629">
        <v>0.448366093610923</v>
      </c>
      <c r="I3629">
        <v>0.41848886719397599</v>
      </c>
      <c r="J3629">
        <v>0.31330103680973898</v>
      </c>
      <c r="K3629">
        <v>0.26741790331759402</v>
      </c>
      <c r="L3629">
        <v>620.41632578627002</v>
      </c>
      <c r="M3629">
        <v>10.582435059214101</v>
      </c>
      <c r="N3629">
        <v>60.500557624360297</v>
      </c>
      <c r="O3629">
        <v>56.649636900200299</v>
      </c>
      <c r="P3629">
        <v>-4.0192105254504201E-2</v>
      </c>
      <c r="Q3629">
        <v>0.13971518381786699</v>
      </c>
      <c r="R3629">
        <v>0.98274096861545601</v>
      </c>
      <c r="S3629" t="s">
        <v>9940</v>
      </c>
      <c r="T3629" t="s">
        <v>12620</v>
      </c>
      <c r="U3629" t="s">
        <v>12620</v>
      </c>
      <c r="V3629" t="s">
        <v>12620</v>
      </c>
      <c r="W3629" t="s">
        <v>16200</v>
      </c>
      <c r="X3629">
        <v>10</v>
      </c>
      <c r="Y3629" t="s">
        <v>22328</v>
      </c>
      <c r="Z3629" t="s">
        <v>28576</v>
      </c>
      <c r="AA3629">
        <v>0.68017487856186676</v>
      </c>
      <c r="AB3629" t="str">
        <f>HYPERLINK("Melting_Curves/meltCurve_Q6IQ23_2_PLEKHA7.pdf", "Melting_Curves/meltCurve_Q6IQ23_2_PLEKHA7.pdf")</f>
        <v>Melting_Curves/meltCurve_Q6IQ23_2_PLEKHA7.pdf</v>
      </c>
    </row>
    <row r="3630" spans="1:28" x14ac:dyDescent="0.25">
      <c r="A3630" t="s">
        <v>3634</v>
      </c>
      <c r="B3630">
        <v>0.99987803227770999</v>
      </c>
      <c r="C3630">
        <v>0.77079641187008596</v>
      </c>
      <c r="D3630">
        <v>0.85994188365024704</v>
      </c>
      <c r="E3630">
        <v>0.76601774258675803</v>
      </c>
      <c r="F3630">
        <v>0.86132284989899299</v>
      </c>
      <c r="G3630">
        <v>0.17218576068181499</v>
      </c>
      <c r="H3630">
        <v>0.24464120196477199</v>
      </c>
      <c r="I3630">
        <v>0.225502166945831</v>
      </c>
      <c r="J3630">
        <v>0.39441441439421399</v>
      </c>
      <c r="K3630">
        <v>0.28957396846238698</v>
      </c>
      <c r="L3630">
        <v>11237.671533906199</v>
      </c>
      <c r="M3630">
        <v>210.57336283510901</v>
      </c>
      <c r="N3630">
        <v>53.559318364930199</v>
      </c>
      <c r="O3630">
        <v>53.362200330365198</v>
      </c>
      <c r="P3630">
        <v>-0.72483879139632501</v>
      </c>
      <c r="Q3630">
        <v>0.26526333517227701</v>
      </c>
      <c r="R3630">
        <v>0.83231575781527201</v>
      </c>
      <c r="S3630" t="s">
        <v>9941</v>
      </c>
      <c r="T3630" t="s">
        <v>12620</v>
      </c>
      <c r="U3630" t="s">
        <v>12620</v>
      </c>
      <c r="V3630" t="s">
        <v>12620</v>
      </c>
      <c r="W3630" t="s">
        <v>16201</v>
      </c>
      <c r="X3630">
        <v>2</v>
      </c>
      <c r="Y3630" t="s">
        <v>22329</v>
      </c>
      <c r="Z3630" t="s">
        <v>28577</v>
      </c>
      <c r="AA3630">
        <v>0.59273484086975603</v>
      </c>
      <c r="AB3630" t="str">
        <f>HYPERLINK("Melting_Curves/meltCurve_Q6IQ32_ADNP2.pdf", "Melting_Curves/meltCurve_Q6IQ32_ADNP2.pdf")</f>
        <v>Melting_Curves/meltCurve_Q6IQ32_ADNP2.pdf</v>
      </c>
    </row>
    <row r="3631" spans="1:28" x14ac:dyDescent="0.25">
      <c r="A3631" t="s">
        <v>3635</v>
      </c>
      <c r="B3631">
        <v>0.99987803227770999</v>
      </c>
      <c r="C3631">
        <v>0.79658094653927602</v>
      </c>
      <c r="D3631">
        <v>0.98400018296557701</v>
      </c>
      <c r="E3631">
        <v>0.81496626329816502</v>
      </c>
      <c r="F3631">
        <v>1.0412779603256299</v>
      </c>
      <c r="G3631">
        <v>0.80860770881087696</v>
      </c>
      <c r="H3631">
        <v>0.85645916988876303</v>
      </c>
      <c r="I3631">
        <v>0.79209192032305897</v>
      </c>
      <c r="J3631">
        <v>0.81772475563680502</v>
      </c>
      <c r="K3631">
        <v>0.67242435560161695</v>
      </c>
      <c r="L3631">
        <v>208.813648717213</v>
      </c>
      <c r="M3631">
        <v>1.91112901061505</v>
      </c>
      <c r="O3631">
        <v>63.0773005384047</v>
      </c>
      <c r="P3631">
        <v>-8.3316107135667401E-3</v>
      </c>
      <c r="Q3631">
        <v>0</v>
      </c>
      <c r="R3631">
        <v>0.394105105245386</v>
      </c>
      <c r="S3631" t="s">
        <v>9942</v>
      </c>
      <c r="T3631" t="s">
        <v>12620</v>
      </c>
      <c r="U3631" t="s">
        <v>12620</v>
      </c>
      <c r="V3631" t="s">
        <v>12620</v>
      </c>
      <c r="W3631" t="s">
        <v>16202</v>
      </c>
      <c r="X3631">
        <v>13</v>
      </c>
      <c r="Y3631" t="s">
        <v>22330</v>
      </c>
      <c r="Z3631" t="s">
        <v>28578</v>
      </c>
      <c r="AA3631">
        <v>0.86383597857155114</v>
      </c>
      <c r="AB3631" t="str">
        <f>HYPERLINK("Melting_Curves/meltCurve_Q6IQ49_2_SDE2.pdf", "Melting_Curves/meltCurve_Q6IQ49_2_SDE2.pdf")</f>
        <v>Melting_Curves/meltCurve_Q6IQ49_2_SDE2.pdf</v>
      </c>
    </row>
    <row r="3632" spans="1:28" x14ac:dyDescent="0.25">
      <c r="A3632" t="s">
        <v>3636</v>
      </c>
      <c r="B3632">
        <v>0.99987803227770999</v>
      </c>
      <c r="C3632">
        <v>0.92887558619952604</v>
      </c>
      <c r="D3632">
        <v>1.0959973800290399</v>
      </c>
      <c r="E3632">
        <v>0.89049034239556701</v>
      </c>
      <c r="F3632">
        <v>0.83945006458878602</v>
      </c>
      <c r="G3632">
        <v>0.36277082701121299</v>
      </c>
      <c r="H3632">
        <v>0.58440581174286399</v>
      </c>
      <c r="I3632">
        <v>0.51661305248520994</v>
      </c>
      <c r="J3632">
        <v>0.76797399793045396</v>
      </c>
      <c r="K3632">
        <v>0.550768143659641</v>
      </c>
      <c r="L3632">
        <v>9690.3404652870195</v>
      </c>
      <c r="M3632">
        <v>182.270054008827</v>
      </c>
      <c r="O3632">
        <v>53.158336077538301</v>
      </c>
      <c r="P3632">
        <v>-0.38016411906550401</v>
      </c>
      <c r="Q3632">
        <v>0.55650653650052795</v>
      </c>
      <c r="R3632">
        <v>0.78403345087421905</v>
      </c>
      <c r="S3632" t="s">
        <v>9943</v>
      </c>
      <c r="T3632" t="s">
        <v>12620</v>
      </c>
      <c r="U3632" t="s">
        <v>12620</v>
      </c>
      <c r="V3632" t="s">
        <v>12620</v>
      </c>
      <c r="W3632" t="s">
        <v>16203</v>
      </c>
      <c r="X3632">
        <v>10</v>
      </c>
      <c r="Y3632" t="s">
        <v>22331</v>
      </c>
      <c r="Z3632" t="s">
        <v>28579</v>
      </c>
      <c r="AA3632">
        <v>0.75120030369626301</v>
      </c>
      <c r="AB3632" t="str">
        <f>HYPERLINK("Melting_Curves/meltCurve_Q6IS14_EIF5AL1.pdf", "Melting_Curves/meltCurve_Q6IS14_EIF5AL1.pdf")</f>
        <v>Melting_Curves/meltCurve_Q6IS14_EIF5AL1.pdf</v>
      </c>
    </row>
    <row r="3633" spans="1:28" x14ac:dyDescent="0.25">
      <c r="A3633" t="s">
        <v>3637</v>
      </c>
      <c r="B3633">
        <v>0.99987803227770999</v>
      </c>
      <c r="C3633">
        <v>0.84509163264653597</v>
      </c>
      <c r="D3633">
        <v>0.71118609951234801</v>
      </c>
      <c r="E3633">
        <v>0.40688464609024</v>
      </c>
      <c r="F3633">
        <v>0.30537777172570402</v>
      </c>
      <c r="G3633">
        <v>0.21269592624096001</v>
      </c>
      <c r="H3633">
        <v>0.14295828345752601</v>
      </c>
      <c r="I3633">
        <v>0.10675383858918699</v>
      </c>
      <c r="J3633">
        <v>8.0270931948877994E-2</v>
      </c>
      <c r="K3633">
        <v>6.2126590737771499E-2</v>
      </c>
      <c r="L3633">
        <v>653.08068276737595</v>
      </c>
      <c r="M3633">
        <v>13.4661501133066</v>
      </c>
      <c r="N3633">
        <v>49.055566841281198</v>
      </c>
      <c r="O3633">
        <v>47.465901479557701</v>
      </c>
      <c r="P3633">
        <v>-6.5902299610399298E-2</v>
      </c>
      <c r="Q3633">
        <v>7.09652447321059E-2</v>
      </c>
      <c r="R3633">
        <v>0.99398498142819203</v>
      </c>
      <c r="S3633" t="s">
        <v>9944</v>
      </c>
      <c r="T3633" t="s">
        <v>12620</v>
      </c>
      <c r="U3633" t="s">
        <v>12620</v>
      </c>
      <c r="V3633" t="s">
        <v>12620</v>
      </c>
      <c r="W3633" t="s">
        <v>12790</v>
      </c>
      <c r="X3633">
        <v>11</v>
      </c>
      <c r="Y3633" t="s">
        <v>22332</v>
      </c>
      <c r="Z3633" t="s">
        <v>28580</v>
      </c>
      <c r="AA3633">
        <v>0.36279497584610731</v>
      </c>
      <c r="AB3633" t="str">
        <f>HYPERLINK("Melting_Curves/meltCurve_Q6JHV3_USP3.pdf", "Melting_Curves/meltCurve_Q6JHV3_USP3.pdf")</f>
        <v>Melting_Curves/meltCurve_Q6JHV3_USP3.pdf</v>
      </c>
    </row>
    <row r="3634" spans="1:28" x14ac:dyDescent="0.25">
      <c r="A3634" t="s">
        <v>3638</v>
      </c>
      <c r="B3634">
        <v>0.99987803227770999</v>
      </c>
      <c r="C3634">
        <v>0.93647705707383799</v>
      </c>
      <c r="D3634">
        <v>0.93489512932452901</v>
      </c>
      <c r="E3634">
        <v>0.76934720517903699</v>
      </c>
      <c r="F3634">
        <v>0.52971951966953201</v>
      </c>
      <c r="G3634">
        <v>0.36827082305199299</v>
      </c>
      <c r="H3634">
        <v>0.26922500659032</v>
      </c>
      <c r="I3634">
        <v>0.34820971804620698</v>
      </c>
      <c r="J3634">
        <v>0.17462857916173499</v>
      </c>
      <c r="K3634">
        <v>0.10024616278798699</v>
      </c>
      <c r="L3634">
        <v>708.860989508687</v>
      </c>
      <c r="M3634">
        <v>13.3516733620514</v>
      </c>
      <c r="N3634">
        <v>54.453801902505603</v>
      </c>
      <c r="O3634">
        <v>51.942981905241197</v>
      </c>
      <c r="P3634">
        <v>-5.5146283373928198E-2</v>
      </c>
      <c r="Q3634">
        <v>0.14197829809082099</v>
      </c>
      <c r="R3634">
        <v>0.97389235751362202</v>
      </c>
      <c r="S3634" t="s">
        <v>9945</v>
      </c>
      <c r="T3634" t="s">
        <v>12620</v>
      </c>
      <c r="U3634" t="s">
        <v>12620</v>
      </c>
      <c r="V3634" t="s">
        <v>12620</v>
      </c>
      <c r="W3634" t="s">
        <v>16204</v>
      </c>
      <c r="X3634">
        <v>6</v>
      </c>
      <c r="Y3634" t="s">
        <v>22333</v>
      </c>
      <c r="Z3634" t="s">
        <v>28581</v>
      </c>
      <c r="AA3634">
        <v>0.53781873939158098</v>
      </c>
      <c r="AB3634" t="str">
        <f>HYPERLINK("Melting_Curves/meltCurve_Q6KB66_KRT80.pdf", "Melting_Curves/meltCurve_Q6KB66_KRT80.pdf")</f>
        <v>Melting_Curves/meltCurve_Q6KB66_KRT80.pdf</v>
      </c>
    </row>
    <row r="3635" spans="1:28" x14ac:dyDescent="0.25">
      <c r="A3635" t="s">
        <v>3639</v>
      </c>
      <c r="B3635">
        <v>0.99987803227770999</v>
      </c>
      <c r="C3635">
        <v>0.93059944731307498</v>
      </c>
      <c r="D3635">
        <v>0.96900803643575995</v>
      </c>
      <c r="E3635">
        <v>0.90133695344855702</v>
      </c>
      <c r="F3635">
        <v>0.95472248295822104</v>
      </c>
      <c r="G3635">
        <v>0.82770920318972896</v>
      </c>
      <c r="H3635">
        <v>0.79389012730438702</v>
      </c>
      <c r="I3635">
        <v>0.70606332072040701</v>
      </c>
      <c r="J3635">
        <v>0.68049630738859501</v>
      </c>
      <c r="K3635">
        <v>0.57020561645132195</v>
      </c>
      <c r="L3635">
        <v>408.39755488767503</v>
      </c>
      <c r="M3635">
        <v>5.45424137403639</v>
      </c>
      <c r="O3635">
        <v>66.607960515931097</v>
      </c>
      <c r="P3635">
        <v>-2.0564280433744E-2</v>
      </c>
      <c r="Q3635">
        <v>0</v>
      </c>
      <c r="R3635">
        <v>0.95319808072916101</v>
      </c>
      <c r="S3635" t="s">
        <v>9946</v>
      </c>
      <c r="T3635" t="s">
        <v>12620</v>
      </c>
      <c r="U3635" t="s">
        <v>12620</v>
      </c>
      <c r="V3635" t="s">
        <v>12620</v>
      </c>
      <c r="W3635" t="s">
        <v>16205</v>
      </c>
      <c r="X3635">
        <v>8</v>
      </c>
      <c r="Y3635" t="s">
        <v>22334</v>
      </c>
      <c r="Z3635" t="s">
        <v>28582</v>
      </c>
      <c r="AA3635">
        <v>0.84671777320168462</v>
      </c>
      <c r="AB3635" t="str">
        <f>HYPERLINK("Melting_Curves/meltCurve_Q6KC79_2_NIPBL.pdf", "Melting_Curves/meltCurve_Q6KC79_2_NIPBL.pdf")</f>
        <v>Melting_Curves/meltCurve_Q6KC79_2_NIPBL.pdf</v>
      </c>
    </row>
    <row r="3636" spans="1:28" x14ac:dyDescent="0.25">
      <c r="A3636" t="s">
        <v>3640</v>
      </c>
      <c r="B3636">
        <v>0.99987803227770999</v>
      </c>
      <c r="C3636">
        <v>1.12029621064532</v>
      </c>
      <c r="D3636">
        <v>1.0301502285755</v>
      </c>
      <c r="E3636">
        <v>0.90994668085471597</v>
      </c>
      <c r="F3636">
        <v>0.33915920470296501</v>
      </c>
      <c r="G3636">
        <v>0.19585145853493899</v>
      </c>
      <c r="H3636">
        <v>0.129555645777895</v>
      </c>
      <c r="I3636">
        <v>9.9958089724805799E-2</v>
      </c>
      <c r="J3636">
        <v>8.6413410377201794E-2</v>
      </c>
      <c r="K3636">
        <v>7.3042079597557E-2</v>
      </c>
      <c r="L3636">
        <v>2763.7664560322901</v>
      </c>
      <c r="M3636">
        <v>53.181779353836397</v>
      </c>
      <c r="N3636">
        <v>52.223018491438602</v>
      </c>
      <c r="O3636">
        <v>51.894951710586099</v>
      </c>
      <c r="P3636">
        <v>-0.226929503480019</v>
      </c>
      <c r="Q3636">
        <v>0.114246089762191</v>
      </c>
      <c r="R3636">
        <v>0.98712336806967105</v>
      </c>
      <c r="S3636" t="s">
        <v>9947</v>
      </c>
      <c r="T3636" t="s">
        <v>12620</v>
      </c>
      <c r="U3636" t="s">
        <v>12620</v>
      </c>
      <c r="V3636" t="s">
        <v>12620</v>
      </c>
      <c r="W3636" t="s">
        <v>16206</v>
      </c>
      <c r="X3636">
        <v>15</v>
      </c>
      <c r="Y3636" t="s">
        <v>22335</v>
      </c>
      <c r="Z3636" t="s">
        <v>28583</v>
      </c>
      <c r="AA3636">
        <v>0.46940512271550539</v>
      </c>
      <c r="AB3636" t="str">
        <f>HYPERLINK("Melting_Curves/meltCurve_Q6L8Q7_2_PDE12.pdf", "Melting_Curves/meltCurve_Q6L8Q7_2_PDE12.pdf")</f>
        <v>Melting_Curves/meltCurve_Q6L8Q7_2_PDE12.pdf</v>
      </c>
    </row>
    <row r="3637" spans="1:28" x14ac:dyDescent="0.25">
      <c r="A3637" t="s">
        <v>3641</v>
      </c>
      <c r="B3637">
        <v>0.99987803227770999</v>
      </c>
      <c r="C3637">
        <v>0.92794354873149099</v>
      </c>
      <c r="D3637">
        <v>0.95840350529642404</v>
      </c>
      <c r="E3637">
        <v>0.74280980033412003</v>
      </c>
      <c r="F3637">
        <v>0.69936980432705897</v>
      </c>
      <c r="G3637">
        <v>0.55304758957172095</v>
      </c>
      <c r="H3637">
        <v>0.42724475244464699</v>
      </c>
      <c r="I3637">
        <v>0.437878738055616</v>
      </c>
      <c r="J3637">
        <v>0.33378891656828302</v>
      </c>
      <c r="K3637">
        <v>0.292980535825282</v>
      </c>
      <c r="L3637">
        <v>527.29226693835801</v>
      </c>
      <c r="M3637">
        <v>9.5381612495393302</v>
      </c>
      <c r="N3637">
        <v>58.841073242402501</v>
      </c>
      <c r="O3637">
        <v>53.016077584674001</v>
      </c>
      <c r="P3637">
        <v>-3.5140287855809901E-2</v>
      </c>
      <c r="Q3637">
        <v>0.219172099151831</v>
      </c>
      <c r="R3637">
        <v>0.98386815851637899</v>
      </c>
      <c r="S3637" t="s">
        <v>9948</v>
      </c>
      <c r="T3637" t="s">
        <v>12620</v>
      </c>
      <c r="U3637" t="s">
        <v>12620</v>
      </c>
      <c r="V3637" t="s">
        <v>12620</v>
      </c>
      <c r="W3637" t="s">
        <v>16207</v>
      </c>
      <c r="X3637">
        <v>7</v>
      </c>
      <c r="Y3637" t="s">
        <v>22336</v>
      </c>
      <c r="Z3637" t="s">
        <v>28584</v>
      </c>
      <c r="AA3637">
        <v>0.63634999102778633</v>
      </c>
      <c r="AB3637" t="str">
        <f>HYPERLINK("Melting_Curves/meltCurve_Q6MZP7_LIN54.pdf", "Melting_Curves/meltCurve_Q6MZP7_LIN54.pdf")</f>
        <v>Melting_Curves/meltCurve_Q6MZP7_LIN54.pdf</v>
      </c>
    </row>
    <row r="3638" spans="1:28" x14ac:dyDescent="0.25">
      <c r="A3638" t="s">
        <v>3642</v>
      </c>
      <c r="B3638">
        <v>0.99987803227770999</v>
      </c>
      <c r="C3638">
        <v>0.82701154974402602</v>
      </c>
      <c r="D3638">
        <v>1.0298550546179199</v>
      </c>
      <c r="E3638">
        <v>0.740088366662632</v>
      </c>
      <c r="F3638">
        <v>0.96665052377460203</v>
      </c>
      <c r="G3638">
        <v>0.74497386264838095</v>
      </c>
      <c r="H3638">
        <v>0.80252899346189999</v>
      </c>
      <c r="I3638">
        <v>0.72399303016742</v>
      </c>
      <c r="J3638">
        <v>0.77513824714992097</v>
      </c>
      <c r="K3638">
        <v>0.61087500060891398</v>
      </c>
      <c r="L3638">
        <v>220.80426847812001</v>
      </c>
      <c r="M3638">
        <v>2.4305367872469299</v>
      </c>
      <c r="O3638">
        <v>60.362075939108998</v>
      </c>
      <c r="P3638">
        <v>-1.0621329314560401E-2</v>
      </c>
      <c r="Q3638">
        <v>0</v>
      </c>
      <c r="R3638">
        <v>0.54608226362430401</v>
      </c>
      <c r="S3638" t="s">
        <v>9949</v>
      </c>
      <c r="T3638" t="s">
        <v>12620</v>
      </c>
      <c r="U3638" t="s">
        <v>12620</v>
      </c>
      <c r="V3638" t="s">
        <v>12620</v>
      </c>
      <c r="W3638" t="s">
        <v>16208</v>
      </c>
      <c r="X3638">
        <v>3</v>
      </c>
      <c r="Y3638" t="s">
        <v>22337</v>
      </c>
      <c r="Z3638" t="s">
        <v>28585</v>
      </c>
      <c r="AA3638">
        <v>0.82497182650529666</v>
      </c>
      <c r="AB3638" t="str">
        <f>HYPERLINK("Melting_Curves/meltCurve_Q6N043_2_ZNF280D.pdf", "Melting_Curves/meltCurve_Q6N043_2_ZNF280D.pdf")</f>
        <v>Melting_Curves/meltCurve_Q6N043_2_ZNF280D.pdf</v>
      </c>
    </row>
    <row r="3639" spans="1:28" x14ac:dyDescent="0.25">
      <c r="A3639" t="s">
        <v>3643</v>
      </c>
      <c r="B3639">
        <v>0.99987803227770999</v>
      </c>
      <c r="C3639">
        <v>0.89884453446208701</v>
      </c>
      <c r="D3639">
        <v>0.92493877854851603</v>
      </c>
      <c r="E3639">
        <v>0.53296470708574095</v>
      </c>
      <c r="F3639">
        <v>0.43841931576674698</v>
      </c>
      <c r="G3639">
        <v>0.17783317894063999</v>
      </c>
      <c r="H3639">
        <v>0.18827706685187201</v>
      </c>
      <c r="I3639">
        <v>0.171666651625629</v>
      </c>
      <c r="J3639">
        <v>0.228685854290235</v>
      </c>
      <c r="K3639">
        <v>0.120086552182339</v>
      </c>
      <c r="L3639">
        <v>959.75747008145095</v>
      </c>
      <c r="M3639">
        <v>19.172450824590399</v>
      </c>
      <c r="N3639">
        <v>51.0800042306658</v>
      </c>
      <c r="O3639">
        <v>49.524149473117198</v>
      </c>
      <c r="P3639">
        <v>-8.1384171305198996E-2</v>
      </c>
      <c r="Q3639">
        <v>0.15914232447742899</v>
      </c>
      <c r="R3639">
        <v>0.97897722804085996</v>
      </c>
      <c r="S3639" t="s">
        <v>9950</v>
      </c>
      <c r="T3639" t="s">
        <v>12620</v>
      </c>
      <c r="U3639" t="s">
        <v>12620</v>
      </c>
      <c r="V3639" t="s">
        <v>12620</v>
      </c>
      <c r="W3639" t="s">
        <v>16209</v>
      </c>
      <c r="X3639">
        <v>3</v>
      </c>
      <c r="Y3639" t="s">
        <v>22338</v>
      </c>
      <c r="Z3639" t="s">
        <v>28586</v>
      </c>
      <c r="AA3639">
        <v>0.45378866204688229</v>
      </c>
      <c r="AB3639" t="str">
        <f>HYPERLINK("Melting_Curves/meltCurve_Q6N063_OGFOD2.pdf", "Melting_Curves/meltCurve_Q6N063_OGFOD2.pdf")</f>
        <v>Melting_Curves/meltCurve_Q6N063_OGFOD2.pdf</v>
      </c>
    </row>
    <row r="3640" spans="1:28" x14ac:dyDescent="0.25">
      <c r="A3640" t="s">
        <v>3644</v>
      </c>
      <c r="B3640">
        <v>0.99987803227770999</v>
      </c>
      <c r="C3640">
        <v>1.14142183228956</v>
      </c>
      <c r="D3640">
        <v>0.58962683874570598</v>
      </c>
      <c r="E3640">
        <v>0.38025764993452499</v>
      </c>
      <c r="F3640">
        <v>0.21446040633484201</v>
      </c>
      <c r="G3640">
        <v>0.15190827989938399</v>
      </c>
      <c r="H3640">
        <v>0.11096083061590301</v>
      </c>
      <c r="I3640">
        <v>0.11949149926297201</v>
      </c>
      <c r="J3640">
        <v>6.9299145840396995E-2</v>
      </c>
      <c r="K3640">
        <v>5.3940187040398303E-2</v>
      </c>
      <c r="L3640">
        <v>1058.4092122888001</v>
      </c>
      <c r="M3640">
        <v>22.2225931726197</v>
      </c>
      <c r="N3640">
        <v>48.117904201833198</v>
      </c>
      <c r="O3640">
        <v>47.246968479162597</v>
      </c>
      <c r="P3640">
        <v>-0.105676520047807</v>
      </c>
      <c r="Q3640">
        <v>0.101312984353691</v>
      </c>
      <c r="R3640">
        <v>0.95137566276591401</v>
      </c>
      <c r="S3640" t="s">
        <v>9951</v>
      </c>
      <c r="T3640" t="s">
        <v>12620</v>
      </c>
      <c r="U3640" t="s">
        <v>12620</v>
      </c>
      <c r="V3640" t="s">
        <v>12620</v>
      </c>
      <c r="W3640" t="s">
        <v>16210</v>
      </c>
      <c r="X3640">
        <v>13</v>
      </c>
      <c r="Y3640" t="s">
        <v>22339</v>
      </c>
      <c r="Z3640" t="s">
        <v>28587</v>
      </c>
      <c r="AA3640">
        <v>0.34006902217370022</v>
      </c>
      <c r="AB3640" t="str">
        <f>HYPERLINK("Melting_Curves/meltCurve_Q6N069_NAA16.pdf", "Melting_Curves/meltCurve_Q6N069_NAA16.pdf")</f>
        <v>Melting_Curves/meltCurve_Q6N069_NAA16.pdf</v>
      </c>
    </row>
    <row r="3641" spans="1:28" x14ac:dyDescent="0.25">
      <c r="A3641" t="s">
        <v>3645</v>
      </c>
      <c r="B3641">
        <v>0.99987803227770999</v>
      </c>
      <c r="C3641">
        <v>0.75046044855243199</v>
      </c>
      <c r="D3641">
        <v>0.93703277674694196</v>
      </c>
      <c r="E3641">
        <v>0.827149567135399</v>
      </c>
      <c r="F3641">
        <v>1.0769438069667501</v>
      </c>
      <c r="G3641">
        <v>0.92261679934504104</v>
      </c>
      <c r="H3641">
        <v>0.95663823923038604</v>
      </c>
      <c r="I3641">
        <v>0.90584772483238996</v>
      </c>
      <c r="J3641">
        <v>1.03458999793269</v>
      </c>
      <c r="K3641">
        <v>0.83309718821049605</v>
      </c>
      <c r="L3641">
        <v>1.00001157791558E-5</v>
      </c>
      <c r="M3641">
        <v>5.5975506100840198</v>
      </c>
      <c r="Q3641">
        <v>0.92414527585559603</v>
      </c>
      <c r="R3641">
        <v>-2.5775825918117299E-11</v>
      </c>
      <c r="S3641" t="s">
        <v>9952</v>
      </c>
      <c r="T3641" t="s">
        <v>12620</v>
      </c>
      <c r="U3641" t="s">
        <v>12620</v>
      </c>
      <c r="V3641" t="s">
        <v>12620</v>
      </c>
      <c r="W3641" t="s">
        <v>16211</v>
      </c>
      <c r="X3641">
        <v>1</v>
      </c>
      <c r="Y3641" t="s">
        <v>22340</v>
      </c>
      <c r="Z3641" t="s">
        <v>28588</v>
      </c>
      <c r="AA3641">
        <v>0.92442542574037823</v>
      </c>
      <c r="AB3641" t="str">
        <f>HYPERLINK("Melting_Curves/meltCurve_Q6NS38_ALKBH2.pdf", "Melting_Curves/meltCurve_Q6NS38_ALKBH2.pdf")</f>
        <v>Melting_Curves/meltCurve_Q6NS38_ALKBH2.pdf</v>
      </c>
    </row>
    <row r="3642" spans="1:28" x14ac:dyDescent="0.25">
      <c r="A3642" t="s">
        <v>3646</v>
      </c>
      <c r="B3642">
        <v>0.99987803227770999</v>
      </c>
      <c r="C3642">
        <v>0.72419693418048603</v>
      </c>
      <c r="D3642">
        <v>0.90033195583618597</v>
      </c>
      <c r="E3642">
        <v>0.67898834878657799</v>
      </c>
      <c r="F3642">
        <v>0.68458089813495404</v>
      </c>
      <c r="G3642">
        <v>0.46138938140069102</v>
      </c>
      <c r="H3642">
        <v>0.56912386469099296</v>
      </c>
      <c r="I3642">
        <v>0.42448142052024401</v>
      </c>
      <c r="J3642">
        <v>0.558737402221542</v>
      </c>
      <c r="K3642">
        <v>0.44628058622351102</v>
      </c>
      <c r="L3642">
        <v>425.37642334803098</v>
      </c>
      <c r="M3642">
        <v>8.6204130887868509</v>
      </c>
      <c r="N3642">
        <v>63.108263305293796</v>
      </c>
      <c r="O3642">
        <v>46.905215868493599</v>
      </c>
      <c r="P3642">
        <v>-2.65010674777655E-2</v>
      </c>
      <c r="Q3642">
        <v>0.42370414878370799</v>
      </c>
      <c r="R3642">
        <v>0.80360220496082002</v>
      </c>
      <c r="S3642" t="s">
        <v>9953</v>
      </c>
      <c r="T3642" t="s">
        <v>12620</v>
      </c>
      <c r="U3642" t="s">
        <v>12620</v>
      </c>
      <c r="V3642" t="s">
        <v>12620</v>
      </c>
      <c r="W3642" t="s">
        <v>16212</v>
      </c>
      <c r="X3642">
        <v>2</v>
      </c>
      <c r="Y3642" t="s">
        <v>22341</v>
      </c>
      <c r="Z3642" t="s">
        <v>28589</v>
      </c>
      <c r="AA3642">
        <v>0.63677431708035093</v>
      </c>
      <c r="AB3642" t="str">
        <f>HYPERLINK("Melting_Curves/meltCurve_Q6NSJ2_PHLDB3.pdf", "Melting_Curves/meltCurve_Q6NSJ2_PHLDB3.pdf")</f>
        <v>Melting_Curves/meltCurve_Q6NSJ2_PHLDB3.pdf</v>
      </c>
    </row>
    <row r="3643" spans="1:28" x14ac:dyDescent="0.25">
      <c r="A3643" t="s">
        <v>3647</v>
      </c>
      <c r="B3643">
        <v>0.99987803227770999</v>
      </c>
      <c r="C3643">
        <v>0.64614315526183497</v>
      </c>
      <c r="D3643">
        <v>0.84050551193790501</v>
      </c>
      <c r="E3643">
        <v>0.68981844506035495</v>
      </c>
      <c r="F3643">
        <v>0.944581981382281</v>
      </c>
      <c r="G3643">
        <v>0.749729682859406</v>
      </c>
      <c r="H3643">
        <v>0.88759714634147302</v>
      </c>
      <c r="I3643">
        <v>0.86839402268504595</v>
      </c>
      <c r="J3643">
        <v>0.86904390350678695</v>
      </c>
      <c r="K3643">
        <v>0.795342178076343</v>
      </c>
      <c r="L3643">
        <v>10230.2145194759</v>
      </c>
      <c r="M3643">
        <v>250</v>
      </c>
      <c r="O3643">
        <v>40.918240721047297</v>
      </c>
      <c r="P3643">
        <v>-0.29001647001573599</v>
      </c>
      <c r="Q3643">
        <v>0.81012858655195796</v>
      </c>
      <c r="R3643">
        <v>0.29591075673099798</v>
      </c>
      <c r="S3643" t="s">
        <v>9954</v>
      </c>
      <c r="T3643" t="s">
        <v>12620</v>
      </c>
      <c r="U3643" t="s">
        <v>12620</v>
      </c>
      <c r="V3643" t="s">
        <v>12620</v>
      </c>
      <c r="W3643" t="s">
        <v>16213</v>
      </c>
      <c r="X3643">
        <v>1</v>
      </c>
      <c r="Y3643" t="s">
        <v>22342</v>
      </c>
      <c r="Z3643" t="s">
        <v>28590</v>
      </c>
      <c r="AA3643">
        <v>0.8159734809202569</v>
      </c>
      <c r="AB3643" t="str">
        <f>HYPERLINK("Melting_Curves/meltCurve_Q6NT89_TRNP1.pdf", "Melting_Curves/meltCurve_Q6NT89_TRNP1.pdf")</f>
        <v>Melting_Curves/meltCurve_Q6NT89_TRNP1.pdf</v>
      </c>
    </row>
    <row r="3644" spans="1:28" x14ac:dyDescent="0.25">
      <c r="A3644" t="s">
        <v>3648</v>
      </c>
      <c r="B3644">
        <v>0.99987803227770999</v>
      </c>
      <c r="C3644">
        <v>1.0168478626925299</v>
      </c>
      <c r="D3644">
        <v>1.1886537053661199</v>
      </c>
      <c r="E3644">
        <v>0.84679743207680402</v>
      </c>
      <c r="F3644">
        <v>0.83721819340703196</v>
      </c>
      <c r="G3644">
        <v>0.61598351423280195</v>
      </c>
      <c r="H3644">
        <v>0.70564623692795403</v>
      </c>
      <c r="I3644">
        <v>0.57886093868457</v>
      </c>
      <c r="J3644">
        <v>0.74102953744976496</v>
      </c>
      <c r="K3644">
        <v>0.57309768885323498</v>
      </c>
      <c r="L3644">
        <v>1502.6791657654901</v>
      </c>
      <c r="M3644">
        <v>28.740529452383299</v>
      </c>
      <c r="O3644">
        <v>52.033161289887701</v>
      </c>
      <c r="P3644">
        <v>-4.9774447915631799E-2</v>
      </c>
      <c r="Q3644">
        <v>0.63954708763477597</v>
      </c>
      <c r="R3644">
        <v>0.81333490095043404</v>
      </c>
      <c r="S3644" t="s">
        <v>9955</v>
      </c>
      <c r="T3644" t="s">
        <v>12620</v>
      </c>
      <c r="U3644" t="s">
        <v>12620</v>
      </c>
      <c r="V3644" t="s">
        <v>12620</v>
      </c>
      <c r="W3644" t="s">
        <v>16214</v>
      </c>
      <c r="X3644">
        <v>3</v>
      </c>
      <c r="Y3644" t="s">
        <v>22343</v>
      </c>
      <c r="Z3644" t="s">
        <v>28591</v>
      </c>
      <c r="AA3644">
        <v>0.78966164693449037</v>
      </c>
      <c r="AB3644" t="str">
        <f>HYPERLINK("Melting_Curves/meltCurve_Q6NTE8_C5orf45.pdf", "Melting_Curves/meltCurve_Q6NTE8_C5orf45.pdf")</f>
        <v>Melting_Curves/meltCurve_Q6NTE8_C5orf45.pdf</v>
      </c>
    </row>
    <row r="3645" spans="1:28" x14ac:dyDescent="0.25">
      <c r="A3645" t="s">
        <v>3649</v>
      </c>
      <c r="B3645">
        <v>0.99987803227770999</v>
      </c>
      <c r="C3645">
        <v>0.84548053055579298</v>
      </c>
      <c r="D3645">
        <v>0.91353283720656298</v>
      </c>
      <c r="E3645">
        <v>0.62924140549542096</v>
      </c>
      <c r="F3645">
        <v>0.48395513965623299</v>
      </c>
      <c r="G3645">
        <v>0.205581371143986</v>
      </c>
      <c r="H3645">
        <v>0.18470447038144799</v>
      </c>
      <c r="I3645">
        <v>0.16379276611343699</v>
      </c>
      <c r="J3645">
        <v>0.17464217469218599</v>
      </c>
      <c r="K3645">
        <v>0.12896591510425201</v>
      </c>
      <c r="L3645">
        <v>803.009883689052</v>
      </c>
      <c r="M3645">
        <v>15.705017787391499</v>
      </c>
      <c r="N3645">
        <v>52.062206952078803</v>
      </c>
      <c r="O3645">
        <v>50.323312276200703</v>
      </c>
      <c r="P3645">
        <v>-6.8470806404965903E-2</v>
      </c>
      <c r="Q3645">
        <v>0.12247487726546299</v>
      </c>
      <c r="R3645">
        <v>0.980264712087073</v>
      </c>
      <c r="S3645" t="s">
        <v>9956</v>
      </c>
      <c r="T3645" t="s">
        <v>12620</v>
      </c>
      <c r="U3645" t="s">
        <v>12620</v>
      </c>
      <c r="V3645" t="s">
        <v>12620</v>
      </c>
      <c r="W3645" t="s">
        <v>16215</v>
      </c>
      <c r="X3645">
        <v>1</v>
      </c>
      <c r="Y3645" t="s">
        <v>22344</v>
      </c>
      <c r="Z3645" t="s">
        <v>28592</v>
      </c>
      <c r="AA3645">
        <v>0.4667696271083171</v>
      </c>
      <c r="AB3645" t="str">
        <f>HYPERLINK("Melting_Curves/meltCurve_Q6NVU6_UFSP1.pdf", "Melting_Curves/meltCurve_Q6NVU6_UFSP1.pdf")</f>
        <v>Melting_Curves/meltCurve_Q6NVU6_UFSP1.pdf</v>
      </c>
    </row>
    <row r="3646" spans="1:28" x14ac:dyDescent="0.25">
      <c r="A3646" t="s">
        <v>3650</v>
      </c>
      <c r="B3646">
        <v>0.99987803227770999</v>
      </c>
      <c r="C3646">
        <v>0.94955655359536095</v>
      </c>
      <c r="D3646">
        <v>1.0120954663748301</v>
      </c>
      <c r="E3646">
        <v>0.91940094588888599</v>
      </c>
      <c r="F3646">
        <v>0.787282968589476</v>
      </c>
      <c r="G3646">
        <v>0.18768069126418399</v>
      </c>
      <c r="H3646">
        <v>0.11546615914017</v>
      </c>
      <c r="I3646">
        <v>9.0241851857785799E-2</v>
      </c>
      <c r="J3646">
        <v>6.5393953586246695E-2</v>
      </c>
      <c r="K3646">
        <v>4.6840521796641603E-2</v>
      </c>
      <c r="L3646">
        <v>2201.14589749782</v>
      </c>
      <c r="M3646">
        <v>40.416428617742199</v>
      </c>
      <c r="N3646">
        <v>54.674331589662202</v>
      </c>
      <c r="O3646">
        <v>54.328856738918098</v>
      </c>
      <c r="P3646">
        <v>-0.17245296153909201</v>
      </c>
      <c r="Q3646">
        <v>7.2738358979196699E-2</v>
      </c>
      <c r="R3646">
        <v>0.99532687448179302</v>
      </c>
      <c r="S3646" t="s">
        <v>9957</v>
      </c>
      <c r="T3646" t="s">
        <v>12620</v>
      </c>
      <c r="U3646" t="s">
        <v>12620</v>
      </c>
      <c r="V3646" t="s">
        <v>12620</v>
      </c>
      <c r="W3646" t="s">
        <v>16216</v>
      </c>
      <c r="X3646">
        <v>12</v>
      </c>
      <c r="Y3646" t="s">
        <v>22345</v>
      </c>
      <c r="Z3646" t="s">
        <v>28593</v>
      </c>
      <c r="AA3646">
        <v>0.52314003251140107</v>
      </c>
      <c r="AB3646" t="str">
        <f>HYPERLINK("Melting_Curves/meltCurve_Q6NVY1_HIBCH.pdf", "Melting_Curves/meltCurve_Q6NVY1_HIBCH.pdf")</f>
        <v>Melting_Curves/meltCurve_Q6NVY1_HIBCH.pdf</v>
      </c>
    </row>
    <row r="3647" spans="1:28" x14ac:dyDescent="0.25">
      <c r="A3647" t="s">
        <v>3651</v>
      </c>
      <c r="B3647">
        <v>0.99987803227770999</v>
      </c>
      <c r="C3647">
        <v>0.57238428905035899</v>
      </c>
      <c r="D3647">
        <v>0.311177365618239</v>
      </c>
      <c r="E3647">
        <v>0.239966098165796</v>
      </c>
      <c r="F3647">
        <v>0.12528178815750499</v>
      </c>
      <c r="G3647">
        <v>7.8247069424321095E-2</v>
      </c>
      <c r="H3647">
        <v>4.19507509911815E-2</v>
      </c>
      <c r="I3647">
        <v>3.5905878545290197E-2</v>
      </c>
      <c r="J3647">
        <v>3.13963573183631E-2</v>
      </c>
      <c r="K3647">
        <v>2.0470031462609499E-2</v>
      </c>
      <c r="L3647">
        <v>855.36086102019601</v>
      </c>
      <c r="M3647">
        <v>19.446234941277901</v>
      </c>
      <c r="N3647">
        <v>44.259850277387201</v>
      </c>
      <c r="O3647">
        <v>43.528695149344301</v>
      </c>
      <c r="P3647">
        <v>-0.105358238832009</v>
      </c>
      <c r="Q3647">
        <v>5.6693227640136401E-2</v>
      </c>
      <c r="R3647">
        <v>0.96233321731313004</v>
      </c>
      <c r="S3647" t="s">
        <v>9958</v>
      </c>
      <c r="T3647" t="s">
        <v>12620</v>
      </c>
      <c r="U3647" t="s">
        <v>12620</v>
      </c>
      <c r="V3647" t="s">
        <v>12620</v>
      </c>
      <c r="W3647" t="s">
        <v>16217</v>
      </c>
      <c r="X3647">
        <v>3</v>
      </c>
      <c r="Y3647" t="s">
        <v>22346</v>
      </c>
      <c r="Z3647" t="s">
        <v>28594</v>
      </c>
      <c r="AA3647">
        <v>0.20162120297780231</v>
      </c>
      <c r="AB3647" t="str">
        <f>HYPERLINK("Melting_Curves/meltCurve_Q6NXE6_2_ARMC6.pdf", "Melting_Curves/meltCurve_Q6NXE6_2_ARMC6.pdf")</f>
        <v>Melting_Curves/meltCurve_Q6NXE6_2_ARMC6.pdf</v>
      </c>
    </row>
    <row r="3648" spans="1:28" x14ac:dyDescent="0.25">
      <c r="A3648" t="s">
        <v>3652</v>
      </c>
      <c r="B3648">
        <v>0.99987803227770999</v>
      </c>
      <c r="C3648">
        <v>1.0523834170501201</v>
      </c>
      <c r="D3648">
        <v>1.08878205325434</v>
      </c>
      <c r="E3648">
        <v>0.965591269613567</v>
      </c>
      <c r="F3648">
        <v>0.83596489503110705</v>
      </c>
      <c r="G3648">
        <v>0.54374994455735404</v>
      </c>
      <c r="H3648">
        <v>0.38357962871769502</v>
      </c>
      <c r="I3648">
        <v>0.41365760638730498</v>
      </c>
      <c r="J3648">
        <v>0.31516550384726399</v>
      </c>
      <c r="K3648">
        <v>0.25403461490769902</v>
      </c>
      <c r="L3648">
        <v>1312.80028108753</v>
      </c>
      <c r="M3648">
        <v>23.588811183249</v>
      </c>
      <c r="N3648">
        <v>57.995590071029604</v>
      </c>
      <c r="O3648">
        <v>55.258170353395002</v>
      </c>
      <c r="P3648">
        <v>-7.3944766005645493E-2</v>
      </c>
      <c r="Q3648">
        <v>0.30713197366401301</v>
      </c>
      <c r="R3648">
        <v>0.978953233767894</v>
      </c>
      <c r="S3648" t="s">
        <v>9959</v>
      </c>
      <c r="T3648" t="s">
        <v>12620</v>
      </c>
      <c r="U3648" t="s">
        <v>12620</v>
      </c>
      <c r="V3648" t="s">
        <v>12620</v>
      </c>
      <c r="W3648" t="s">
        <v>16218</v>
      </c>
      <c r="X3648">
        <v>6</v>
      </c>
      <c r="Y3648" t="s">
        <v>22347</v>
      </c>
      <c r="Z3648" t="s">
        <v>28595</v>
      </c>
      <c r="AA3648">
        <v>0.67569131216248957</v>
      </c>
      <c r="AB3648" t="str">
        <f>HYPERLINK("Melting_Curves/meltCurve_Q6NXT1_ANKRD54.pdf", "Melting_Curves/meltCurve_Q6NXT1_ANKRD54.pdf")</f>
        <v>Melting_Curves/meltCurve_Q6NXT1_ANKRD54.pdf</v>
      </c>
    </row>
    <row r="3649" spans="1:28" x14ac:dyDescent="0.25">
      <c r="A3649" t="s">
        <v>3653</v>
      </c>
      <c r="B3649">
        <v>0.99987803227770999</v>
      </c>
      <c r="C3649">
        <v>1.05539548587126</v>
      </c>
      <c r="D3649">
        <v>17.363557058661399</v>
      </c>
      <c r="E3649">
        <v>1.30498688118872</v>
      </c>
      <c r="F3649">
        <v>1.17575727960165</v>
      </c>
      <c r="G3649">
        <v>0.79806699984416196</v>
      </c>
      <c r="H3649">
        <v>0.74973197736192199</v>
      </c>
      <c r="I3649">
        <v>0.40592919243207698</v>
      </c>
      <c r="J3649">
        <v>8.0215119749725006E-2</v>
      </c>
      <c r="K3649">
        <v>5.5970984128634702E-2</v>
      </c>
      <c r="L3649">
        <v>1903.94523473616</v>
      </c>
      <c r="M3649">
        <v>30.248213286919601</v>
      </c>
      <c r="N3649">
        <v>62.944056333422701</v>
      </c>
      <c r="O3649">
        <v>62.670870375003602</v>
      </c>
      <c r="P3649">
        <v>-0.120663739638384</v>
      </c>
      <c r="Q3649">
        <v>0</v>
      </c>
      <c r="R3649">
        <v>-6.9495920485631996E-2</v>
      </c>
      <c r="S3649" t="s">
        <v>9960</v>
      </c>
      <c r="T3649" t="s">
        <v>12620</v>
      </c>
      <c r="U3649" t="s">
        <v>12620</v>
      </c>
      <c r="V3649" t="s">
        <v>12620</v>
      </c>
      <c r="W3649" t="s">
        <v>16219</v>
      </c>
      <c r="X3649">
        <v>2</v>
      </c>
      <c r="Y3649" t="s">
        <v>22348</v>
      </c>
      <c r="Z3649" t="s">
        <v>28596</v>
      </c>
      <c r="AA3649">
        <v>0.76815639159194726</v>
      </c>
      <c r="AB3649" t="str">
        <f>HYPERLINK("Melting_Curves/meltCurve_Q6NY19_2_KANK3.pdf", "Melting_Curves/meltCurve_Q6NY19_2_KANK3.pdf")</f>
        <v>Melting_Curves/meltCurve_Q6NY19_2_KANK3.pdf</v>
      </c>
    </row>
    <row r="3650" spans="1:28" x14ac:dyDescent="0.25">
      <c r="A3650" t="s">
        <v>3654</v>
      </c>
      <c r="B3650">
        <v>0.99987803227770999</v>
      </c>
      <c r="C3650">
        <v>1.4537780532529101</v>
      </c>
      <c r="D3650">
        <v>0.302671254717226</v>
      </c>
      <c r="E3650">
        <v>0.70833038487204902</v>
      </c>
      <c r="F3650">
        <v>0.30745205910672002</v>
      </c>
      <c r="G3650">
        <v>0.119594296009101</v>
      </c>
      <c r="H3650">
        <v>6.3171845270322005E-2</v>
      </c>
      <c r="I3650">
        <v>4.7314569918071897E-2</v>
      </c>
      <c r="J3650">
        <v>4.2126732522451901E-2</v>
      </c>
      <c r="K3650">
        <v>2.8461849211779799E-2</v>
      </c>
      <c r="L3650">
        <v>740.43663013427397</v>
      </c>
      <c r="M3650">
        <v>14.7828937334104</v>
      </c>
      <c r="N3650">
        <v>50.160784477175604</v>
      </c>
      <c r="O3650">
        <v>49.1976258164906</v>
      </c>
      <c r="P3650">
        <v>-7.4324345721129004E-2</v>
      </c>
      <c r="Q3650">
        <v>1.06970057919136E-2</v>
      </c>
      <c r="R3650">
        <v>0.74149950755008298</v>
      </c>
      <c r="S3650" t="s">
        <v>9961</v>
      </c>
      <c r="T3650" t="s">
        <v>12620</v>
      </c>
      <c r="U3650" t="s">
        <v>12620</v>
      </c>
      <c r="V3650" t="s">
        <v>12620</v>
      </c>
      <c r="W3650" t="s">
        <v>16220</v>
      </c>
      <c r="X3650">
        <v>10</v>
      </c>
      <c r="Y3650" t="s">
        <v>22349</v>
      </c>
      <c r="Z3650" t="s">
        <v>28597</v>
      </c>
      <c r="AA3650">
        <v>0.36748142271534828</v>
      </c>
      <c r="AB3650" t="str">
        <f>HYPERLINK("Melting_Curves/meltCurve_Q6NYC1_JMJD6.pdf", "Melting_Curves/meltCurve_Q6NYC1_JMJD6.pdf")</f>
        <v>Melting_Curves/meltCurve_Q6NYC1_JMJD6.pdf</v>
      </c>
    </row>
    <row r="3651" spans="1:28" x14ac:dyDescent="0.25">
      <c r="A3651" t="s">
        <v>3655</v>
      </c>
      <c r="B3651">
        <v>0.99987803227770999</v>
      </c>
      <c r="C3651">
        <v>0.858191854162344</v>
      </c>
      <c r="D3651">
        <v>0.97890700869453695</v>
      </c>
      <c r="E3651">
        <v>0.87314543683797397</v>
      </c>
      <c r="F3651">
        <v>1.01593195037749</v>
      </c>
      <c r="G3651">
        <v>0.785704650067793</v>
      </c>
      <c r="H3651">
        <v>0.86126784155829195</v>
      </c>
      <c r="I3651">
        <v>0.835460673171597</v>
      </c>
      <c r="J3651">
        <v>0.93525401141163</v>
      </c>
      <c r="K3651">
        <v>0.786683941237171</v>
      </c>
      <c r="L3651">
        <v>169.92906734225801</v>
      </c>
      <c r="M3651">
        <v>2.1596126475392201</v>
      </c>
      <c r="O3651">
        <v>48.936742987967499</v>
      </c>
      <c r="P3651">
        <v>-4.5538613120300799E-3</v>
      </c>
      <c r="Q3651">
        <v>0.61585536996105605</v>
      </c>
      <c r="R3651">
        <v>0.26989830405896897</v>
      </c>
      <c r="S3651" t="s">
        <v>9962</v>
      </c>
      <c r="T3651" t="s">
        <v>12620</v>
      </c>
      <c r="U3651" t="s">
        <v>12620</v>
      </c>
      <c r="V3651" t="s">
        <v>12620</v>
      </c>
      <c r="W3651" t="s">
        <v>16221</v>
      </c>
      <c r="X3651">
        <v>8</v>
      </c>
      <c r="Y3651" t="s">
        <v>22350</v>
      </c>
      <c r="Z3651" t="s">
        <v>28598</v>
      </c>
      <c r="AA3651">
        <v>0.89295164972713537</v>
      </c>
      <c r="AB3651" t="str">
        <f>HYPERLINK("Melting_Curves/meltCurve_Q6NYC8_PPP1R18.pdf", "Melting_Curves/meltCurve_Q6NYC8_PPP1R18.pdf")</f>
        <v>Melting_Curves/meltCurve_Q6NYC8_PPP1R18.pdf</v>
      </c>
    </row>
    <row r="3652" spans="1:28" x14ac:dyDescent="0.25">
      <c r="A3652" t="s">
        <v>3656</v>
      </c>
      <c r="B3652">
        <v>0.99987803227770999</v>
      </c>
      <c r="C3652">
        <v>0.79925904900231304</v>
      </c>
      <c r="D3652">
        <v>0.80530801533959795</v>
      </c>
      <c r="E3652">
        <v>0.800645854953416</v>
      </c>
      <c r="F3652">
        <v>1.0053669703036801</v>
      </c>
      <c r="G3652">
        <v>0.94215911699142896</v>
      </c>
      <c r="H3652">
        <v>0.80262119693086897</v>
      </c>
      <c r="I3652">
        <v>1.054776412531</v>
      </c>
      <c r="J3652">
        <v>0.82309260289611097</v>
      </c>
      <c r="K3652">
        <v>0.78123254878285797</v>
      </c>
      <c r="L3652">
        <v>10234.787374896299</v>
      </c>
      <c r="M3652">
        <v>250</v>
      </c>
      <c r="O3652">
        <v>40.936529788642297</v>
      </c>
      <c r="P3652">
        <v>-0.20111387912433101</v>
      </c>
      <c r="Q3652">
        <v>0.868273531691519</v>
      </c>
      <c r="R3652">
        <v>0.15303835247082001</v>
      </c>
      <c r="S3652" t="s">
        <v>9963</v>
      </c>
      <c r="T3652" t="s">
        <v>12620</v>
      </c>
      <c r="U3652" t="s">
        <v>12620</v>
      </c>
      <c r="V3652" t="s">
        <v>12620</v>
      </c>
      <c r="W3652" t="s">
        <v>16222</v>
      </c>
      <c r="X3652">
        <v>2</v>
      </c>
      <c r="Y3652" t="s">
        <v>22351</v>
      </c>
      <c r="Z3652" t="s">
        <v>28599</v>
      </c>
      <c r="AA3652">
        <v>0.8724086114165438</v>
      </c>
      <c r="AB3652" t="str">
        <f>HYPERLINK("Melting_Curves/meltCurve_Q6NZ36_5_FAAP20.pdf", "Melting_Curves/meltCurve_Q6NZ36_5_FAAP20.pdf")</f>
        <v>Melting_Curves/meltCurve_Q6NZ36_5_FAAP20.pdf</v>
      </c>
    </row>
    <row r="3653" spans="1:28" x14ac:dyDescent="0.25">
      <c r="A3653" t="s">
        <v>3657</v>
      </c>
      <c r="B3653">
        <v>0.99987803227770999</v>
      </c>
      <c r="C3653">
        <v>0.93493414834456601</v>
      </c>
      <c r="D3653">
        <v>0.97002280931561002</v>
      </c>
      <c r="E3653">
        <v>0.85170710078491696</v>
      </c>
      <c r="F3653">
        <v>0.88587103141739398</v>
      </c>
      <c r="G3653">
        <v>0.649833858362317</v>
      </c>
      <c r="H3653">
        <v>0.67749475644132195</v>
      </c>
      <c r="I3653">
        <v>0.653005410994422</v>
      </c>
      <c r="J3653">
        <v>0.69536806151235697</v>
      </c>
      <c r="K3653">
        <v>0.58610189159164106</v>
      </c>
      <c r="L3653">
        <v>699.96522152943896</v>
      </c>
      <c r="M3653">
        <v>13.1746526720801</v>
      </c>
      <c r="O3653">
        <v>51.950343422457102</v>
      </c>
      <c r="P3653">
        <v>-2.4614111849096301E-2</v>
      </c>
      <c r="Q3653">
        <v>0.61183124577313097</v>
      </c>
      <c r="R3653">
        <v>0.90414575692866495</v>
      </c>
      <c r="S3653" t="s">
        <v>9964</v>
      </c>
      <c r="T3653" t="s">
        <v>12620</v>
      </c>
      <c r="U3653" t="s">
        <v>12620</v>
      </c>
      <c r="V3653" t="s">
        <v>12620</v>
      </c>
      <c r="W3653" t="s">
        <v>16223</v>
      </c>
      <c r="X3653">
        <v>14</v>
      </c>
      <c r="Y3653" t="s">
        <v>22352</v>
      </c>
      <c r="Z3653" t="s">
        <v>28600</v>
      </c>
      <c r="AA3653">
        <v>0.79153880030421087</v>
      </c>
      <c r="AB3653" t="str">
        <f>HYPERLINK("Melting_Curves/meltCurve_Q6NZI2_PTRF.pdf", "Melting_Curves/meltCurve_Q6NZI2_PTRF.pdf")</f>
        <v>Melting_Curves/meltCurve_Q6NZI2_PTRF.pdf</v>
      </c>
    </row>
    <row r="3654" spans="1:28" x14ac:dyDescent="0.25">
      <c r="A3654" t="s">
        <v>3658</v>
      </c>
      <c r="B3654">
        <v>0.99987803227770999</v>
      </c>
      <c r="C3654">
        <v>1.0364316484623699</v>
      </c>
      <c r="D3654">
        <v>1.0667782492890601</v>
      </c>
      <c r="E3654">
        <v>1.1244681958923299</v>
      </c>
      <c r="F3654">
        <v>0.96993265447847099</v>
      </c>
      <c r="G3654">
        <v>0.85095587858200405</v>
      </c>
      <c r="H3654">
        <v>0.68895480599704195</v>
      </c>
      <c r="I3654">
        <v>0.66301027671969603</v>
      </c>
      <c r="J3654">
        <v>0.55447862920211899</v>
      </c>
      <c r="K3654">
        <v>0.474055458198885</v>
      </c>
      <c r="L3654">
        <v>1112.34520647094</v>
      </c>
      <c r="M3654">
        <v>18.2934777206722</v>
      </c>
      <c r="O3654">
        <v>60.092923969649298</v>
      </c>
      <c r="P3654">
        <v>-4.1253545078212002E-2</v>
      </c>
      <c r="Q3654">
        <v>0.45796388651178099</v>
      </c>
      <c r="R3654">
        <v>0.93930309221262998</v>
      </c>
      <c r="S3654" t="s">
        <v>9965</v>
      </c>
      <c r="T3654" t="s">
        <v>12620</v>
      </c>
      <c r="U3654" t="s">
        <v>12620</v>
      </c>
      <c r="V3654" t="s">
        <v>12620</v>
      </c>
      <c r="W3654" t="s">
        <v>16224</v>
      </c>
      <c r="X3654">
        <v>11</v>
      </c>
      <c r="Y3654" t="s">
        <v>22353</v>
      </c>
      <c r="Z3654" t="s">
        <v>28601</v>
      </c>
      <c r="AA3654">
        <v>0.83716109248598047</v>
      </c>
      <c r="AB3654" t="str">
        <f>HYPERLINK("Melting_Curves/meltCurve_Q6NZY4_ZCCHC8.pdf", "Melting_Curves/meltCurve_Q6NZY4_ZCCHC8.pdf")</f>
        <v>Melting_Curves/meltCurve_Q6NZY4_ZCCHC8.pdf</v>
      </c>
    </row>
    <row r="3655" spans="1:28" x14ac:dyDescent="0.25">
      <c r="A3655" t="s">
        <v>3659</v>
      </c>
      <c r="B3655">
        <v>0.99987803227770999</v>
      </c>
      <c r="C3655">
        <v>0.91663569241801102</v>
      </c>
      <c r="D3655">
        <v>0.92163906233720905</v>
      </c>
      <c r="E3655">
        <v>0.80581327571958505</v>
      </c>
      <c r="F3655">
        <v>0.90165526465881596</v>
      </c>
      <c r="G3655">
        <v>0.60803350705745796</v>
      </c>
      <c r="H3655">
        <v>0.60710736464078996</v>
      </c>
      <c r="I3655">
        <v>0.55568648245443097</v>
      </c>
      <c r="J3655">
        <v>0.57164431450790698</v>
      </c>
      <c r="K3655">
        <v>0.43744020267992201</v>
      </c>
      <c r="L3655">
        <v>413.41880448793501</v>
      </c>
      <c r="M3655">
        <v>6.9705725460425398</v>
      </c>
      <c r="N3655">
        <v>67.807525288955205</v>
      </c>
      <c r="O3655">
        <v>55.005882651704901</v>
      </c>
      <c r="P3655">
        <v>-2.2495174465438701E-2</v>
      </c>
      <c r="Q3655">
        <v>0.29128255605062398</v>
      </c>
      <c r="R3655">
        <v>0.91442842582498196</v>
      </c>
      <c r="S3655" t="s">
        <v>9966</v>
      </c>
      <c r="T3655" t="s">
        <v>12620</v>
      </c>
      <c r="U3655" t="s">
        <v>12620</v>
      </c>
      <c r="V3655" t="s">
        <v>12620</v>
      </c>
      <c r="W3655" t="s">
        <v>16225</v>
      </c>
      <c r="X3655">
        <v>1</v>
      </c>
      <c r="Y3655" t="s">
        <v>22354</v>
      </c>
      <c r="Z3655" t="s">
        <v>28602</v>
      </c>
      <c r="AA3655">
        <v>0.73625376722716851</v>
      </c>
      <c r="AB3655" t="str">
        <f>HYPERLINK("Melting_Curves/meltCurve_Q6P0N0_2_MIS18BP1.pdf", "Melting_Curves/meltCurve_Q6P0N0_2_MIS18BP1.pdf")</f>
        <v>Melting_Curves/meltCurve_Q6P0N0_2_MIS18BP1.pdf</v>
      </c>
    </row>
    <row r="3656" spans="1:28" x14ac:dyDescent="0.25">
      <c r="A3656" t="s">
        <v>3660</v>
      </c>
      <c r="B3656">
        <v>0.99987803227770999</v>
      </c>
      <c r="C3656">
        <v>0.95713496399986797</v>
      </c>
      <c r="D3656">
        <v>0.93269979721539098</v>
      </c>
      <c r="E3656">
        <v>0.90693284615622205</v>
      </c>
      <c r="F3656">
        <v>0.71498692872565495</v>
      </c>
      <c r="G3656">
        <v>0.472523517378446</v>
      </c>
      <c r="H3656">
        <v>0.26804241793989603</v>
      </c>
      <c r="I3656">
        <v>0.21989112673356401</v>
      </c>
      <c r="J3656">
        <v>0.171076398496952</v>
      </c>
      <c r="K3656">
        <v>0.111803835860267</v>
      </c>
      <c r="L3656">
        <v>868.54724086065505</v>
      </c>
      <c r="M3656">
        <v>15.5606153125386</v>
      </c>
      <c r="N3656">
        <v>56.563624939555197</v>
      </c>
      <c r="O3656">
        <v>54.919555733432396</v>
      </c>
      <c r="P3656">
        <v>-6.4263471170508096E-2</v>
      </c>
      <c r="Q3656">
        <v>9.2834909488283504E-2</v>
      </c>
      <c r="R3656">
        <v>0.99591064681847397</v>
      </c>
      <c r="S3656" t="s">
        <v>9967</v>
      </c>
      <c r="T3656" t="s">
        <v>12620</v>
      </c>
      <c r="U3656" t="s">
        <v>12620</v>
      </c>
      <c r="V3656" t="s">
        <v>12620</v>
      </c>
      <c r="W3656" t="s">
        <v>16226</v>
      </c>
      <c r="X3656">
        <v>8</v>
      </c>
      <c r="Y3656" t="s">
        <v>22355</v>
      </c>
      <c r="Z3656" t="s">
        <v>28603</v>
      </c>
      <c r="AA3656">
        <v>0.58695108720070144</v>
      </c>
      <c r="AB3656" t="str">
        <f>HYPERLINK("Melting_Curves/meltCurve_Q6P158_DHX57.pdf", "Melting_Curves/meltCurve_Q6P158_DHX57.pdf")</f>
        <v>Melting_Curves/meltCurve_Q6P158_DHX57.pdf</v>
      </c>
    </row>
    <row r="3657" spans="1:28" x14ac:dyDescent="0.25">
      <c r="A3657" t="s">
        <v>3661</v>
      </c>
      <c r="B3657">
        <v>0.99987803227770999</v>
      </c>
      <c r="C3657">
        <v>0.90257732787470302</v>
      </c>
      <c r="D3657">
        <v>0.89414641598794298</v>
      </c>
      <c r="E3657">
        <v>0.63453941961382498</v>
      </c>
      <c r="F3657">
        <v>0.56006844922629195</v>
      </c>
      <c r="G3657">
        <v>0.18687127617881</v>
      </c>
      <c r="H3657">
        <v>0.121322070180011</v>
      </c>
      <c r="I3657">
        <v>9.6798996297729006E-2</v>
      </c>
      <c r="J3657">
        <v>8.1581521376713095E-2</v>
      </c>
      <c r="K3657">
        <v>6.2013977894820299E-2</v>
      </c>
      <c r="L3657">
        <v>755.288003869205</v>
      </c>
      <c r="M3657">
        <v>14.4244838852455</v>
      </c>
      <c r="N3657">
        <v>52.551934267098197</v>
      </c>
      <c r="O3657">
        <v>51.3859980926809</v>
      </c>
      <c r="P3657">
        <v>-6.83984230196302E-2</v>
      </c>
      <c r="Q3657">
        <v>2.5460414863954998E-2</v>
      </c>
      <c r="R3657">
        <v>0.98615009444272705</v>
      </c>
      <c r="S3657" t="s">
        <v>9968</v>
      </c>
      <c r="T3657" t="s">
        <v>12620</v>
      </c>
      <c r="U3657" t="s">
        <v>12620</v>
      </c>
      <c r="V3657" t="s">
        <v>12620</v>
      </c>
      <c r="W3657" t="s">
        <v>16227</v>
      </c>
      <c r="X3657">
        <v>21</v>
      </c>
      <c r="Y3657" t="s">
        <v>22356</v>
      </c>
      <c r="Z3657" t="s">
        <v>28604</v>
      </c>
      <c r="AA3657">
        <v>0.44978939253443118</v>
      </c>
      <c r="AB3657" t="str">
        <f>HYPERLINK("Melting_Curves/meltCurve_Q6P1J9_CDC73.pdf", "Melting_Curves/meltCurve_Q6P1J9_CDC73.pdf")</f>
        <v>Melting_Curves/meltCurve_Q6P1J9_CDC73.pdf</v>
      </c>
    </row>
    <row r="3658" spans="1:28" x14ac:dyDescent="0.25">
      <c r="A3658" t="s">
        <v>3662</v>
      </c>
      <c r="B3658">
        <v>0.99987803227770999</v>
      </c>
      <c r="C3658">
        <v>1.10153796826215</v>
      </c>
      <c r="D3658">
        <v>1.07281499606806</v>
      </c>
      <c r="E3658">
        <v>0.90857396474030006</v>
      </c>
      <c r="F3658">
        <v>0.53483569090824401</v>
      </c>
      <c r="G3658">
        <v>0.332262352302863</v>
      </c>
      <c r="H3658">
        <v>0.24252928140944399</v>
      </c>
      <c r="I3658">
        <v>0.215042340211892</v>
      </c>
      <c r="J3658">
        <v>0.17817897743978001</v>
      </c>
      <c r="K3658">
        <v>0.12075673563816899</v>
      </c>
      <c r="L3658">
        <v>1549.18016188361</v>
      </c>
      <c r="M3658">
        <v>29.297895133352199</v>
      </c>
      <c r="N3658">
        <v>53.759378788729201</v>
      </c>
      <c r="O3658">
        <v>52.6323315706763</v>
      </c>
      <c r="P3658">
        <v>-0.112596583652435</v>
      </c>
      <c r="Q3658">
        <v>0.190907293850229</v>
      </c>
      <c r="R3658">
        <v>0.97933442597918097</v>
      </c>
      <c r="S3658" t="s">
        <v>9969</v>
      </c>
      <c r="T3658" t="s">
        <v>12620</v>
      </c>
      <c r="U3658" t="s">
        <v>12620</v>
      </c>
      <c r="V3658" t="s">
        <v>12620</v>
      </c>
      <c r="W3658" t="s">
        <v>16228</v>
      </c>
      <c r="X3658">
        <v>3</v>
      </c>
      <c r="Y3658" t="s">
        <v>22357</v>
      </c>
      <c r="Z3658" t="s">
        <v>28605</v>
      </c>
      <c r="AA3658">
        <v>0.54367909734148334</v>
      </c>
      <c r="AB3658" t="str">
        <f>HYPERLINK("Melting_Curves/meltCurve_Q6P1K2_PMF1.pdf", "Melting_Curves/meltCurve_Q6P1K2_PMF1.pdf")</f>
        <v>Melting_Curves/meltCurve_Q6P1K2_PMF1.pdf</v>
      </c>
    </row>
    <row r="3659" spans="1:28" x14ac:dyDescent="0.25">
      <c r="A3659" t="s">
        <v>3663</v>
      </c>
      <c r="B3659">
        <v>0.99987803227770999</v>
      </c>
      <c r="C3659">
        <v>0.95083475666204398</v>
      </c>
      <c r="D3659">
        <v>1.00636053368792</v>
      </c>
      <c r="E3659">
        <v>0.92532989767314699</v>
      </c>
      <c r="F3659">
        <v>0.99374634621548397</v>
      </c>
      <c r="G3659">
        <v>0.79022476387875096</v>
      </c>
      <c r="H3659">
        <v>0.83928162644008097</v>
      </c>
      <c r="I3659">
        <v>0.77766073087709298</v>
      </c>
      <c r="J3659">
        <v>0.77804922397377396</v>
      </c>
      <c r="K3659">
        <v>0.67273068221573695</v>
      </c>
      <c r="L3659">
        <v>411.812391250394</v>
      </c>
      <c r="M3659">
        <v>5.8750009496240603</v>
      </c>
      <c r="O3659">
        <v>63.258909333571602</v>
      </c>
      <c r="P3659">
        <v>-1.4122103461353799E-2</v>
      </c>
      <c r="Q3659">
        <v>0.393878166560442</v>
      </c>
      <c r="R3659">
        <v>0.85437312685312305</v>
      </c>
      <c r="S3659" t="s">
        <v>9970</v>
      </c>
      <c r="T3659" t="s">
        <v>12620</v>
      </c>
      <c r="U3659" t="s">
        <v>12620</v>
      </c>
      <c r="V3659" t="s">
        <v>12620</v>
      </c>
      <c r="W3659" t="s">
        <v>16229</v>
      </c>
      <c r="X3659">
        <v>7</v>
      </c>
      <c r="Y3659" t="s">
        <v>22358</v>
      </c>
      <c r="Z3659" t="s">
        <v>28606</v>
      </c>
      <c r="AA3659">
        <v>0.87935340995075861</v>
      </c>
      <c r="AB3659" t="str">
        <f>HYPERLINK("Melting_Curves/meltCurve_Q6P1L5_FAM117B.pdf", "Melting_Curves/meltCurve_Q6P1L5_FAM117B.pdf")</f>
        <v>Melting_Curves/meltCurve_Q6P1L5_FAM117B.pdf</v>
      </c>
    </row>
    <row r="3660" spans="1:28" x14ac:dyDescent="0.25">
      <c r="A3660" t="s">
        <v>3664</v>
      </c>
      <c r="B3660">
        <v>0.99987803227770999</v>
      </c>
      <c r="C3660">
        <v>0.80009233895640197</v>
      </c>
      <c r="D3660">
        <v>0.47766997572391301</v>
      </c>
      <c r="E3660">
        <v>0.46393250854500701</v>
      </c>
      <c r="F3660">
        <v>0.28709917900966497</v>
      </c>
      <c r="G3660">
        <v>0.20883218342242199</v>
      </c>
      <c r="H3660">
        <v>0.178691774099762</v>
      </c>
      <c r="I3660">
        <v>0.213453629871701</v>
      </c>
      <c r="J3660">
        <v>0.26239200138719898</v>
      </c>
      <c r="K3660">
        <v>0.121202563388827</v>
      </c>
      <c r="L3660">
        <v>705.41470293141299</v>
      </c>
      <c r="M3660">
        <v>15.408862602568499</v>
      </c>
      <c r="N3660">
        <v>47.255067938622602</v>
      </c>
      <c r="O3660">
        <v>45.029528436911598</v>
      </c>
      <c r="P3660">
        <v>-6.9220750180389104E-2</v>
      </c>
      <c r="Q3660">
        <v>0.19093447374971101</v>
      </c>
      <c r="R3660">
        <v>0.94995550176394195</v>
      </c>
      <c r="S3660" t="s">
        <v>9971</v>
      </c>
      <c r="T3660" t="s">
        <v>12620</v>
      </c>
      <c r="U3660" t="s">
        <v>12620</v>
      </c>
      <c r="V3660" t="s">
        <v>12620</v>
      </c>
      <c r="W3660" t="s">
        <v>16230</v>
      </c>
      <c r="X3660">
        <v>4</v>
      </c>
      <c r="Y3660" t="s">
        <v>22359</v>
      </c>
      <c r="Z3660" t="s">
        <v>28607</v>
      </c>
      <c r="AA3660">
        <v>0.36955304448145981</v>
      </c>
      <c r="AB3660" t="str">
        <f>HYPERLINK("Melting_Curves/meltCurve_Q6P1M3_2_LLGL2.pdf", "Melting_Curves/meltCurve_Q6P1M3_2_LLGL2.pdf")</f>
        <v>Melting_Curves/meltCurve_Q6P1M3_2_LLGL2.pdf</v>
      </c>
    </row>
    <row r="3661" spans="1:28" x14ac:dyDescent="0.25">
      <c r="A3661" t="s">
        <v>3665</v>
      </c>
      <c r="B3661">
        <v>0.99987803227770999</v>
      </c>
      <c r="C3661">
        <v>0.76890657399108997</v>
      </c>
      <c r="D3661">
        <v>0.91949408899907703</v>
      </c>
      <c r="E3661">
        <v>0.73915966779267195</v>
      </c>
      <c r="F3661">
        <v>0.97731523862917402</v>
      </c>
      <c r="G3661">
        <v>0.70472227705684798</v>
      </c>
      <c r="H3661">
        <v>0.77034740666403101</v>
      </c>
      <c r="I3661">
        <v>0.65978989953313305</v>
      </c>
      <c r="J3661">
        <v>0.88899801272743295</v>
      </c>
      <c r="K3661">
        <v>0.71415882173657996</v>
      </c>
      <c r="L3661">
        <v>313.24070432072301</v>
      </c>
      <c r="M3661">
        <v>6.8802508849804003</v>
      </c>
      <c r="O3661">
        <v>42.147293809812503</v>
      </c>
      <c r="P3661">
        <v>-1.1018921487348199E-2</v>
      </c>
      <c r="Q3661">
        <v>0.73053170090697594</v>
      </c>
      <c r="R3661">
        <v>0.26699043603407602</v>
      </c>
      <c r="S3661" t="s">
        <v>9972</v>
      </c>
      <c r="T3661" t="s">
        <v>12620</v>
      </c>
      <c r="U3661" t="s">
        <v>12620</v>
      </c>
      <c r="V3661" t="s">
        <v>12620</v>
      </c>
      <c r="W3661" t="s">
        <v>16231</v>
      </c>
      <c r="X3661">
        <v>3</v>
      </c>
      <c r="Y3661" t="s">
        <v>22360</v>
      </c>
      <c r="Z3661" t="s">
        <v>28608</v>
      </c>
      <c r="AA3661">
        <v>0.80981786243573339</v>
      </c>
      <c r="AB3661" t="str">
        <f>HYPERLINK("Melting_Curves/meltCurve_Q6P1M9_ARMCX5.pdf", "Melting_Curves/meltCurve_Q6P1M9_ARMCX5.pdf")</f>
        <v>Melting_Curves/meltCurve_Q6P1M9_ARMCX5.pdf</v>
      </c>
    </row>
    <row r="3662" spans="1:28" x14ac:dyDescent="0.25">
      <c r="A3662" t="s">
        <v>3666</v>
      </c>
      <c r="B3662">
        <v>0.99987803227770999</v>
      </c>
      <c r="C3662">
        <v>0.94876165033859094</v>
      </c>
      <c r="D3662">
        <v>0.966779181280083</v>
      </c>
      <c r="E3662">
        <v>0.62325483511551905</v>
      </c>
      <c r="F3662">
        <v>0.38689693206743297</v>
      </c>
      <c r="G3662">
        <v>0.251009878012805</v>
      </c>
      <c r="H3662">
        <v>0.221293526536673</v>
      </c>
      <c r="I3662">
        <v>0.22953835778815199</v>
      </c>
      <c r="J3662">
        <v>0.202231410086646</v>
      </c>
      <c r="K3662">
        <v>0.15278609216158401</v>
      </c>
      <c r="L3662">
        <v>1251.06850665192</v>
      </c>
      <c r="M3662">
        <v>24.825075403078799</v>
      </c>
      <c r="N3662">
        <v>51.448239235663003</v>
      </c>
      <c r="O3662">
        <v>50.071761146036103</v>
      </c>
      <c r="P3662">
        <v>-9.9262999946210698E-2</v>
      </c>
      <c r="Q3662">
        <v>0.19916387638293501</v>
      </c>
      <c r="R3662">
        <v>0.99436309744190499</v>
      </c>
      <c r="S3662" t="s">
        <v>9973</v>
      </c>
      <c r="T3662" t="s">
        <v>12620</v>
      </c>
      <c r="U3662" t="s">
        <v>12620</v>
      </c>
      <c r="V3662" t="s">
        <v>12620</v>
      </c>
      <c r="W3662" t="s">
        <v>16232</v>
      </c>
      <c r="X3662">
        <v>17</v>
      </c>
      <c r="Y3662" t="s">
        <v>22361</v>
      </c>
      <c r="Z3662" t="s">
        <v>28609</v>
      </c>
      <c r="AA3662">
        <v>0.48395166704328962</v>
      </c>
      <c r="AB3662" t="str">
        <f>HYPERLINK("Melting_Curves/meltCurve_Q6P1N0_CC2D1A.pdf", "Melting_Curves/meltCurve_Q6P1N0_CC2D1A.pdf")</f>
        <v>Melting_Curves/meltCurve_Q6P1N0_CC2D1A.pdf</v>
      </c>
    </row>
    <row r="3663" spans="1:28" x14ac:dyDescent="0.25">
      <c r="A3663" t="s">
        <v>3667</v>
      </c>
      <c r="B3663">
        <v>0.99987803227770999</v>
      </c>
      <c r="C3663">
        <v>0.96144932653452897</v>
      </c>
      <c r="D3663">
        <v>1.01169817389137</v>
      </c>
      <c r="E3663">
        <v>0.936881110042739</v>
      </c>
      <c r="F3663">
        <v>1.0013490520383901</v>
      </c>
      <c r="G3663">
        <v>0.94371541155424699</v>
      </c>
      <c r="H3663">
        <v>0.74528027579907796</v>
      </c>
      <c r="I3663">
        <v>0.22339648598637399</v>
      </c>
      <c r="J3663">
        <v>0.10755173850064501</v>
      </c>
      <c r="K3663">
        <v>8.2115027274542299E-2</v>
      </c>
      <c r="L3663">
        <v>3370.3641687927302</v>
      </c>
      <c r="M3663">
        <v>54.3265096303289</v>
      </c>
      <c r="N3663">
        <v>62.249033944008303</v>
      </c>
      <c r="O3663">
        <v>61.955154954091697</v>
      </c>
      <c r="P3663">
        <v>-0.200860964249475</v>
      </c>
      <c r="Q3663">
        <v>8.3735585600061904E-2</v>
      </c>
      <c r="R3663">
        <v>0.99428872582283501</v>
      </c>
      <c r="S3663" t="s">
        <v>9974</v>
      </c>
      <c r="T3663" t="s">
        <v>12620</v>
      </c>
      <c r="U3663" t="s">
        <v>12620</v>
      </c>
      <c r="V3663" t="s">
        <v>12620</v>
      </c>
      <c r="W3663" t="s">
        <v>16233</v>
      </c>
      <c r="X3663">
        <v>20</v>
      </c>
      <c r="Y3663" t="s">
        <v>22362</v>
      </c>
      <c r="Z3663" t="s">
        <v>28610</v>
      </c>
      <c r="AA3663">
        <v>0.75888105409046935</v>
      </c>
      <c r="AB3663" t="str">
        <f>HYPERLINK("Melting_Curves/meltCurve_Q6P1N9_TATDN1.pdf", "Melting_Curves/meltCurve_Q6P1N9_TATDN1.pdf")</f>
        <v>Melting_Curves/meltCurve_Q6P1N9_TATDN1.pdf</v>
      </c>
    </row>
    <row r="3664" spans="1:28" x14ac:dyDescent="0.25">
      <c r="A3664" t="s">
        <v>3668</v>
      </c>
      <c r="B3664">
        <v>0.99987803227770999</v>
      </c>
      <c r="C3664">
        <v>0.75668245570440895</v>
      </c>
      <c r="D3664">
        <v>0.548815245194617</v>
      </c>
      <c r="E3664">
        <v>0.26379969987523699</v>
      </c>
      <c r="F3664">
        <v>0.17470967741752499</v>
      </c>
      <c r="G3664">
        <v>0.105048673127039</v>
      </c>
      <c r="H3664">
        <v>9.6711444339057595E-2</v>
      </c>
      <c r="I3664">
        <v>0.112879416966089</v>
      </c>
      <c r="J3664">
        <v>6.6666158734547204E-2</v>
      </c>
      <c r="K3664">
        <v>4.8885239388750598E-2</v>
      </c>
      <c r="L3664">
        <v>790.26935881454597</v>
      </c>
      <c r="M3664">
        <v>17.161495182389899</v>
      </c>
      <c r="N3664">
        <v>46.492563688127902</v>
      </c>
      <c r="O3664">
        <v>45.437361753628302</v>
      </c>
      <c r="P3664">
        <v>-8.7298472596016904E-2</v>
      </c>
      <c r="Q3664">
        <v>7.5517365758064905E-2</v>
      </c>
      <c r="R3664">
        <v>0.99225813328673895</v>
      </c>
      <c r="S3664" t="s">
        <v>9975</v>
      </c>
      <c r="T3664" t="s">
        <v>12620</v>
      </c>
      <c r="U3664" t="s">
        <v>12620</v>
      </c>
      <c r="V3664" t="s">
        <v>12620</v>
      </c>
      <c r="W3664" t="s">
        <v>16234</v>
      </c>
      <c r="X3664">
        <v>4</v>
      </c>
      <c r="Y3664" t="s">
        <v>22363</v>
      </c>
      <c r="Z3664" t="s">
        <v>28611</v>
      </c>
      <c r="AA3664">
        <v>0.28203117284428181</v>
      </c>
      <c r="AB3664" t="str">
        <f>HYPERLINK("Melting_Curves/meltCurve_Q6P1Q9_METTL2B.pdf", "Melting_Curves/meltCurve_Q6P1Q9_METTL2B.pdf")</f>
        <v>Melting_Curves/meltCurve_Q6P1Q9_METTL2B.pdf</v>
      </c>
    </row>
    <row r="3665" spans="1:28" x14ac:dyDescent="0.25">
      <c r="A3665" t="s">
        <v>3669</v>
      </c>
      <c r="B3665">
        <v>0.99987803227770999</v>
      </c>
      <c r="C3665">
        <v>1.0477666056635999</v>
      </c>
      <c r="D3665">
        <v>0.82209636887636095</v>
      </c>
      <c r="E3665">
        <v>0.49350652623546998</v>
      </c>
      <c r="F3665">
        <v>0.27517617848794901</v>
      </c>
      <c r="G3665">
        <v>0.20951787078870401</v>
      </c>
      <c r="H3665">
        <v>0.19144619693199499</v>
      </c>
      <c r="I3665">
        <v>0.161379450754561</v>
      </c>
      <c r="J3665">
        <v>0.12727809193207301</v>
      </c>
      <c r="K3665">
        <v>9.7452559075508705E-2</v>
      </c>
      <c r="L3665">
        <v>1103.25362721139</v>
      </c>
      <c r="M3665">
        <v>22.4500049090339</v>
      </c>
      <c r="N3665">
        <v>49.900381115700803</v>
      </c>
      <c r="O3665">
        <v>48.757757012469597</v>
      </c>
      <c r="P3665">
        <v>-9.8486886239235197E-2</v>
      </c>
      <c r="Q3665">
        <v>0.144427758243038</v>
      </c>
      <c r="R3665">
        <v>0.99052903194721997</v>
      </c>
      <c r="S3665" t="s">
        <v>9976</v>
      </c>
      <c r="T3665" t="s">
        <v>12620</v>
      </c>
      <c r="U3665" t="s">
        <v>12620</v>
      </c>
      <c r="V3665" t="s">
        <v>12620</v>
      </c>
      <c r="W3665" t="s">
        <v>16235</v>
      </c>
      <c r="X3665">
        <v>9</v>
      </c>
      <c r="Y3665" t="s">
        <v>22364</v>
      </c>
      <c r="Z3665" t="s">
        <v>28612</v>
      </c>
      <c r="AA3665">
        <v>0.41463048499938232</v>
      </c>
      <c r="AB3665" t="str">
        <f>HYPERLINK("Melting_Curves/meltCurve_Q6P1R4_DUS1L.pdf", "Melting_Curves/meltCurve_Q6P1R4_DUS1L.pdf")</f>
        <v>Melting_Curves/meltCurve_Q6P1R4_DUS1L.pdf</v>
      </c>
    </row>
    <row r="3666" spans="1:28" x14ac:dyDescent="0.25">
      <c r="A3666" t="s">
        <v>3670</v>
      </c>
      <c r="B3666">
        <v>0.99987803227770999</v>
      </c>
      <c r="C3666">
        <v>1.13073061374165</v>
      </c>
      <c r="D3666">
        <v>0.89080816008812602</v>
      </c>
      <c r="E3666">
        <v>1.09064135155437</v>
      </c>
      <c r="F3666">
        <v>0.64414085009275501</v>
      </c>
      <c r="G3666">
        <v>0.32036599430520801</v>
      </c>
      <c r="H3666">
        <v>0.16908178239195701</v>
      </c>
      <c r="I3666">
        <v>0.29989252476196998</v>
      </c>
      <c r="J3666">
        <v>8.6055648099659196E-2</v>
      </c>
      <c r="K3666">
        <v>8.46022161983596E-2</v>
      </c>
      <c r="L3666">
        <v>1901.58950164117</v>
      </c>
      <c r="M3666">
        <v>35.278890969704399</v>
      </c>
      <c r="N3666">
        <v>54.5116039480776</v>
      </c>
      <c r="O3666">
        <v>53.7292906491639</v>
      </c>
      <c r="P3666">
        <v>-0.137381857272798</v>
      </c>
      <c r="Q3666">
        <v>0.163079417941873</v>
      </c>
      <c r="R3666">
        <v>0.94853094892504097</v>
      </c>
      <c r="S3666" t="s">
        <v>9977</v>
      </c>
      <c r="T3666" t="s">
        <v>12620</v>
      </c>
      <c r="U3666" t="s">
        <v>12620</v>
      </c>
      <c r="V3666" t="s">
        <v>12620</v>
      </c>
      <c r="W3666" t="s">
        <v>16236</v>
      </c>
      <c r="X3666">
        <v>2</v>
      </c>
      <c r="Y3666" t="s">
        <v>22365</v>
      </c>
      <c r="Z3666" t="s">
        <v>28613</v>
      </c>
      <c r="AA3666">
        <v>0.55489477398901788</v>
      </c>
      <c r="AB3666" t="str">
        <f>HYPERLINK("Melting_Curves/meltCurve_Q6P1X5_TAF2.pdf", "Melting_Curves/meltCurve_Q6P1X5_TAF2.pdf")</f>
        <v>Melting_Curves/meltCurve_Q6P1X5_TAF2.pdf</v>
      </c>
    </row>
    <row r="3667" spans="1:28" x14ac:dyDescent="0.25">
      <c r="A3667" t="s">
        <v>3671</v>
      </c>
      <c r="B3667">
        <v>0.99987803227770999</v>
      </c>
      <c r="C3667">
        <v>1.0148538968583001</v>
      </c>
      <c r="D3667">
        <v>1.03164621415774</v>
      </c>
      <c r="E3667">
        <v>0.96761281863049897</v>
      </c>
      <c r="F3667">
        <v>0.81493248755155601</v>
      </c>
      <c r="G3667">
        <v>0.56723566221666599</v>
      </c>
      <c r="H3667">
        <v>0.33799188448466899</v>
      </c>
      <c r="I3667">
        <v>0.33841562759041299</v>
      </c>
      <c r="J3667">
        <v>0.170018072513163</v>
      </c>
      <c r="K3667">
        <v>0.118324493731515</v>
      </c>
      <c r="L3667">
        <v>934.64592671100297</v>
      </c>
      <c r="M3667">
        <v>16.2205742685152</v>
      </c>
      <c r="N3667">
        <v>58.450920357012897</v>
      </c>
      <c r="O3667">
        <v>56.766572823558597</v>
      </c>
      <c r="P3667">
        <v>-6.4092719919065302E-2</v>
      </c>
      <c r="Q3667">
        <v>0.10285453706375899</v>
      </c>
      <c r="R3667">
        <v>0.98868816205806997</v>
      </c>
      <c r="S3667" t="s">
        <v>9978</v>
      </c>
      <c r="T3667" t="s">
        <v>12620</v>
      </c>
      <c r="U3667" t="s">
        <v>12620</v>
      </c>
      <c r="V3667" t="s">
        <v>12620</v>
      </c>
      <c r="W3667" t="s">
        <v>16237</v>
      </c>
      <c r="X3667">
        <v>6</v>
      </c>
      <c r="Y3667" t="s">
        <v>22366</v>
      </c>
      <c r="Z3667" t="s">
        <v>28614</v>
      </c>
      <c r="AA3667">
        <v>0.64227342965644563</v>
      </c>
      <c r="AB3667" t="str">
        <f>HYPERLINK("Melting_Curves/meltCurve_Q6P1X6_C8orf82.pdf", "Melting_Curves/meltCurve_Q6P1X6_C8orf82.pdf")</f>
        <v>Melting_Curves/meltCurve_Q6P1X6_C8orf82.pdf</v>
      </c>
    </row>
    <row r="3668" spans="1:28" x14ac:dyDescent="0.25">
      <c r="A3668" t="s">
        <v>3672</v>
      </c>
      <c r="B3668">
        <v>0.99987803227770999</v>
      </c>
      <c r="C3668">
        <v>1.0705278373796601</v>
      </c>
      <c r="D3668">
        <v>0.98371909508797795</v>
      </c>
      <c r="E3668">
        <v>0.92740752932213499</v>
      </c>
      <c r="F3668">
        <v>0.83444552752928103</v>
      </c>
      <c r="G3668">
        <v>0.51102460365606694</v>
      </c>
      <c r="H3668">
        <v>0.30203634736204898</v>
      </c>
      <c r="I3668">
        <v>0.33070843963282898</v>
      </c>
      <c r="J3668">
        <v>0.20855232101162</v>
      </c>
      <c r="K3668">
        <v>0.17244209407592001</v>
      </c>
      <c r="L3668">
        <v>1151.9430124818</v>
      </c>
      <c r="M3668">
        <v>20.5452714783288</v>
      </c>
      <c r="N3668">
        <v>57.4461170538723</v>
      </c>
      <c r="O3668">
        <v>55.545423768618299</v>
      </c>
      <c r="P3668">
        <v>-7.4486347876766598E-2</v>
      </c>
      <c r="Q3668">
        <v>0.19450930272697201</v>
      </c>
      <c r="R3668">
        <v>0.98806849477028802</v>
      </c>
      <c r="S3668" t="s">
        <v>9979</v>
      </c>
      <c r="T3668" t="s">
        <v>12620</v>
      </c>
      <c r="U3668" t="s">
        <v>12620</v>
      </c>
      <c r="V3668" t="s">
        <v>12620</v>
      </c>
      <c r="W3668" t="s">
        <v>16238</v>
      </c>
      <c r="X3668">
        <v>2</v>
      </c>
      <c r="Y3668" t="s">
        <v>22367</v>
      </c>
      <c r="Z3668" t="s">
        <v>28615</v>
      </c>
      <c r="AA3668">
        <v>0.63591638374317017</v>
      </c>
      <c r="AB3668" t="str">
        <f>HYPERLINK("Melting_Curves/meltCurve_Q6P2D0_2_ZFP1.pdf", "Melting_Curves/meltCurve_Q6P2D0_2_ZFP1.pdf")</f>
        <v>Melting_Curves/meltCurve_Q6P2D0_2_ZFP1.pdf</v>
      </c>
    </row>
    <row r="3669" spans="1:28" x14ac:dyDescent="0.25">
      <c r="A3669" t="s">
        <v>3673</v>
      </c>
      <c r="B3669">
        <v>0.99987803227770999</v>
      </c>
      <c r="C3669">
        <v>1.17360715925652</v>
      </c>
      <c r="D3669">
        <v>1.11382511891902</v>
      </c>
      <c r="E3669">
        <v>1.12749560477558</v>
      </c>
      <c r="F3669">
        <v>0.80730725382600399</v>
      </c>
      <c r="G3669">
        <v>0.45109345425129399</v>
      </c>
      <c r="H3669">
        <v>0.29366540138967701</v>
      </c>
      <c r="I3669">
        <v>0.16401538395743001</v>
      </c>
      <c r="J3669">
        <v>0.13714972372978301</v>
      </c>
      <c r="K3669">
        <v>9.6636505573726106E-2</v>
      </c>
      <c r="L3669">
        <v>1513.72218965413</v>
      </c>
      <c r="M3669">
        <v>26.984456319622801</v>
      </c>
      <c r="N3669">
        <v>56.750393186453998</v>
      </c>
      <c r="O3669">
        <v>55.790717778914299</v>
      </c>
      <c r="P3669">
        <v>-0.104753985750917</v>
      </c>
      <c r="Q3669">
        <v>0.13368762342839599</v>
      </c>
      <c r="R3669">
        <v>0.95736255964154904</v>
      </c>
      <c r="S3669" t="s">
        <v>9980</v>
      </c>
      <c r="T3669" t="s">
        <v>12620</v>
      </c>
      <c r="U3669" t="s">
        <v>12620</v>
      </c>
      <c r="V3669" t="s">
        <v>12620</v>
      </c>
      <c r="W3669" t="s">
        <v>16239</v>
      </c>
      <c r="X3669">
        <v>28</v>
      </c>
      <c r="Y3669" t="s">
        <v>22368</v>
      </c>
      <c r="Z3669" t="s">
        <v>28616</v>
      </c>
      <c r="AA3669">
        <v>0.60547396284195898</v>
      </c>
      <c r="AB3669" t="str">
        <f>HYPERLINK("Melting_Curves/meltCurve_Q6P2E9_EDC4.pdf", "Melting_Curves/meltCurve_Q6P2E9_EDC4.pdf")</f>
        <v>Melting_Curves/meltCurve_Q6P2E9_EDC4.pdf</v>
      </c>
    </row>
    <row r="3670" spans="1:28" x14ac:dyDescent="0.25">
      <c r="A3670" t="s">
        <v>3674</v>
      </c>
      <c r="B3670">
        <v>0.99987803227770999</v>
      </c>
      <c r="C3670">
        <v>0.819610572490994</v>
      </c>
      <c r="D3670">
        <v>0.93813798600951503</v>
      </c>
      <c r="E3670">
        <v>0.82021986674764602</v>
      </c>
      <c r="F3670">
        <v>0.94494488944260002</v>
      </c>
      <c r="G3670">
        <v>0.88800571224384595</v>
      </c>
      <c r="H3670">
        <v>0.75179247330372501</v>
      </c>
      <c r="I3670">
        <v>0.87637559581753699</v>
      </c>
      <c r="J3670">
        <v>0.69607038584124403</v>
      </c>
      <c r="K3670">
        <v>0.57850446581619197</v>
      </c>
      <c r="L3670">
        <v>263.50004733159801</v>
      </c>
      <c r="M3670">
        <v>3.0401720556737</v>
      </c>
      <c r="O3670">
        <v>64.1904447164072</v>
      </c>
      <c r="P3670">
        <v>-1.2192411432237701E-2</v>
      </c>
      <c r="Q3670">
        <v>0</v>
      </c>
      <c r="R3670">
        <v>0.57640177770466405</v>
      </c>
      <c r="S3670" t="s">
        <v>9981</v>
      </c>
      <c r="T3670" t="s">
        <v>12620</v>
      </c>
      <c r="U3670" t="s">
        <v>12620</v>
      </c>
      <c r="V3670" t="s">
        <v>12620</v>
      </c>
      <c r="W3670" t="s">
        <v>16240</v>
      </c>
      <c r="X3670">
        <v>4</v>
      </c>
      <c r="Y3670" t="s">
        <v>22369</v>
      </c>
      <c r="Z3670" t="s">
        <v>28617</v>
      </c>
      <c r="AA3670">
        <v>0.84206332715087673</v>
      </c>
      <c r="AB3670" t="str">
        <f>HYPERLINK("Melting_Curves/meltCurve_Q6P2H3_2_CEP85.pdf", "Melting_Curves/meltCurve_Q6P2H3_2_CEP85.pdf")</f>
        <v>Melting_Curves/meltCurve_Q6P2H3_2_CEP85.pdf</v>
      </c>
    </row>
    <row r="3671" spans="1:28" x14ac:dyDescent="0.25">
      <c r="A3671" t="s">
        <v>3675</v>
      </c>
      <c r="B3671">
        <v>0.99987803227770999</v>
      </c>
      <c r="C3671">
        <v>1.13772863579702</v>
      </c>
      <c r="D3671">
        <v>1.1199740860344001</v>
      </c>
      <c r="E3671">
        <v>0.98789068935912205</v>
      </c>
      <c r="F3671">
        <v>0.60300686920288005</v>
      </c>
      <c r="G3671">
        <v>0.38752641302492802</v>
      </c>
      <c r="H3671">
        <v>0.26011542057405201</v>
      </c>
      <c r="I3671">
        <v>0.209913731417326</v>
      </c>
      <c r="J3671">
        <v>0.127743578536719</v>
      </c>
      <c r="K3671">
        <v>0.103670879554914</v>
      </c>
      <c r="L3671">
        <v>1305.18656535634</v>
      </c>
      <c r="M3671">
        <v>24.075268082475102</v>
      </c>
      <c r="N3671">
        <v>55.055747572076598</v>
      </c>
      <c r="O3671">
        <v>53.842872985040003</v>
      </c>
      <c r="P3671">
        <v>-9.4553557794213594E-2</v>
      </c>
      <c r="Q3671">
        <v>0.15416008161597</v>
      </c>
      <c r="R3671">
        <v>0.96309705751517305</v>
      </c>
      <c r="S3671" t="s">
        <v>9982</v>
      </c>
      <c r="T3671" t="s">
        <v>12620</v>
      </c>
      <c r="U3671" t="s">
        <v>12620</v>
      </c>
      <c r="V3671" t="s">
        <v>12620</v>
      </c>
      <c r="W3671" t="s">
        <v>16241</v>
      </c>
      <c r="X3671">
        <v>8</v>
      </c>
      <c r="Y3671" t="s">
        <v>22370</v>
      </c>
      <c r="Z3671" t="s">
        <v>28618</v>
      </c>
      <c r="AA3671">
        <v>0.56326192690850452</v>
      </c>
      <c r="AB3671" t="str">
        <f>HYPERLINK("Melting_Curves/meltCurve_Q6P2P2_PRMT10.pdf", "Melting_Curves/meltCurve_Q6P2P2_PRMT10.pdf")</f>
        <v>Melting_Curves/meltCurve_Q6P2P2_PRMT10.pdf</v>
      </c>
    </row>
    <row r="3672" spans="1:28" x14ac:dyDescent="0.25">
      <c r="A3672" t="s">
        <v>3676</v>
      </c>
      <c r="B3672">
        <v>0.99987803227770999</v>
      </c>
      <c r="C3672">
        <v>0.81786520670235796</v>
      </c>
      <c r="D3672">
        <v>0.84016149660922201</v>
      </c>
      <c r="E3672">
        <v>1.2241436164216399</v>
      </c>
      <c r="F3672">
        <v>0.57146311904525504</v>
      </c>
      <c r="G3672">
        <v>0.29352089658564301</v>
      </c>
      <c r="H3672">
        <v>0.19470644521723501</v>
      </c>
      <c r="I3672">
        <v>0.16812134298172701</v>
      </c>
      <c r="J3672">
        <v>0.12764300587792801</v>
      </c>
      <c r="K3672">
        <v>8.4606168474258794E-2</v>
      </c>
      <c r="L3672">
        <v>13246.047910687001</v>
      </c>
      <c r="M3672">
        <v>250</v>
      </c>
      <c r="N3672">
        <v>53.074820705143502</v>
      </c>
      <c r="O3672">
        <v>52.980800444405297</v>
      </c>
      <c r="P3672">
        <v>-0.97474042239421499</v>
      </c>
      <c r="Q3672">
        <v>0.17371954734631201</v>
      </c>
      <c r="R3672">
        <v>0.91324896091935404</v>
      </c>
      <c r="S3672" t="s">
        <v>9983</v>
      </c>
      <c r="T3672" t="s">
        <v>12620</v>
      </c>
      <c r="U3672" t="s">
        <v>12620</v>
      </c>
      <c r="V3672" t="s">
        <v>12620</v>
      </c>
      <c r="W3672" t="s">
        <v>16242</v>
      </c>
      <c r="X3672">
        <v>30</v>
      </c>
      <c r="Y3672" t="s">
        <v>22371</v>
      </c>
      <c r="Z3672" t="s">
        <v>28619</v>
      </c>
      <c r="AA3672">
        <v>0.53141583848093699</v>
      </c>
      <c r="AB3672" t="str">
        <f>HYPERLINK("Melting_Curves/meltCurve_Q6P2Q9_PRPF8.pdf", "Melting_Curves/meltCurve_Q6P2Q9_PRPF8.pdf")</f>
        <v>Melting_Curves/meltCurve_Q6P2Q9_PRPF8.pdf</v>
      </c>
    </row>
    <row r="3673" spans="1:28" x14ac:dyDescent="0.25">
      <c r="A3673" t="s">
        <v>3677</v>
      </c>
      <c r="B3673">
        <v>0.99987803227770999</v>
      </c>
      <c r="C3673">
        <v>1.0046218719848401</v>
      </c>
      <c r="D3673">
        <v>1.1856454215461001</v>
      </c>
      <c r="E3673">
        <v>1.0111703778575001</v>
      </c>
      <c r="F3673">
        <v>0.57810721499601103</v>
      </c>
      <c r="G3673">
        <v>0.14208277863471899</v>
      </c>
      <c r="H3673">
        <v>0.16704497607744101</v>
      </c>
      <c r="I3673">
        <v>0.202308288334552</v>
      </c>
      <c r="J3673">
        <v>0.197645798469612</v>
      </c>
      <c r="K3673">
        <v>0.13924767116647799</v>
      </c>
      <c r="L3673">
        <v>13248.282645830501</v>
      </c>
      <c r="M3673">
        <v>250</v>
      </c>
      <c r="N3673">
        <v>53.081140021236699</v>
      </c>
      <c r="O3673">
        <v>52.989740263027699</v>
      </c>
      <c r="P3673">
        <v>-0.97935717412527101</v>
      </c>
      <c r="Q3673">
        <v>0.169665898387203</v>
      </c>
      <c r="R3673">
        <v>0.97822095262256503</v>
      </c>
      <c r="S3673" t="s">
        <v>9984</v>
      </c>
      <c r="T3673" t="s">
        <v>12620</v>
      </c>
      <c r="U3673" t="s">
        <v>12620</v>
      </c>
      <c r="V3673" t="s">
        <v>12620</v>
      </c>
      <c r="W3673" t="s">
        <v>16243</v>
      </c>
      <c r="X3673">
        <v>3</v>
      </c>
      <c r="Y3673" t="s">
        <v>22372</v>
      </c>
      <c r="Z3673" t="s">
        <v>28620</v>
      </c>
      <c r="AA3673">
        <v>0.52936443488649287</v>
      </c>
      <c r="AB3673" t="str">
        <f>HYPERLINK("Melting_Curves/meltCurve_Q6P3S6_FBXO42.pdf", "Melting_Curves/meltCurve_Q6P3S6_FBXO42.pdf")</f>
        <v>Melting_Curves/meltCurve_Q6P3S6_FBXO42.pdf</v>
      </c>
    </row>
    <row r="3674" spans="1:28" x14ac:dyDescent="0.25">
      <c r="A3674" t="s">
        <v>3678</v>
      </c>
      <c r="B3674">
        <v>0.99987803227770999</v>
      </c>
      <c r="C3674">
        <v>1.1914291821945799</v>
      </c>
      <c r="D3674">
        <v>1.10551358733712</v>
      </c>
      <c r="E3674">
        <v>1.1833021977731999</v>
      </c>
      <c r="F3674">
        <v>0.92505818201561196</v>
      </c>
      <c r="G3674">
        <v>0.49143498886509901</v>
      </c>
      <c r="H3674">
        <v>0.23973668299217801</v>
      </c>
      <c r="I3674">
        <v>0.24356907548283399</v>
      </c>
      <c r="J3674">
        <v>0.18623963258054799</v>
      </c>
      <c r="K3674">
        <v>0.14003557154652299</v>
      </c>
      <c r="L3674">
        <v>2306.0064804346598</v>
      </c>
      <c r="M3674">
        <v>40.964186910658299</v>
      </c>
      <c r="N3674">
        <v>56.964844557895802</v>
      </c>
      <c r="O3674">
        <v>56.159587987235398</v>
      </c>
      <c r="P3674">
        <v>-0.14743080102328701</v>
      </c>
      <c r="Q3674">
        <v>0.19152446043344001</v>
      </c>
      <c r="R3674">
        <v>0.951183614624457</v>
      </c>
      <c r="S3674" t="s">
        <v>9985</v>
      </c>
      <c r="T3674" t="s">
        <v>12620</v>
      </c>
      <c r="U3674" t="s">
        <v>12620</v>
      </c>
      <c r="V3674" t="s">
        <v>12620</v>
      </c>
      <c r="W3674" t="s">
        <v>16244</v>
      </c>
      <c r="X3674">
        <v>14</v>
      </c>
      <c r="Y3674" t="s">
        <v>22373</v>
      </c>
      <c r="Z3674" t="s">
        <v>28621</v>
      </c>
      <c r="AA3674">
        <v>0.63359288939573</v>
      </c>
      <c r="AB3674" t="str">
        <f>HYPERLINK("Melting_Curves/meltCurve_Q6P3W7_SCYL2.pdf", "Melting_Curves/meltCurve_Q6P3W7_SCYL2.pdf")</f>
        <v>Melting_Curves/meltCurve_Q6P3W7_SCYL2.pdf</v>
      </c>
    </row>
    <row r="3675" spans="1:28" x14ac:dyDescent="0.25">
      <c r="A3675" t="s">
        <v>3679</v>
      </c>
      <c r="B3675">
        <v>0.99987803227770999</v>
      </c>
      <c r="C3675">
        <v>1.0119351725250501</v>
      </c>
      <c r="D3675">
        <v>0.78690994026218797</v>
      </c>
      <c r="E3675">
        <v>0.33729021485105498</v>
      </c>
      <c r="F3675">
        <v>0.18943459759446199</v>
      </c>
      <c r="G3675">
        <v>0.11528167280001</v>
      </c>
      <c r="H3675">
        <v>8.4154158762153E-2</v>
      </c>
      <c r="I3675">
        <v>6.8627234852697103E-2</v>
      </c>
      <c r="J3675">
        <v>5.4758206269028498E-2</v>
      </c>
      <c r="K3675">
        <v>3.7155856136327998E-2</v>
      </c>
      <c r="L3675">
        <v>1198.4492316083799</v>
      </c>
      <c r="M3675">
        <v>24.785085940704501</v>
      </c>
      <c r="N3675">
        <v>48.641600844186897</v>
      </c>
      <c r="O3675">
        <v>48.0421658440888</v>
      </c>
      <c r="P3675">
        <v>-0.120176700542209</v>
      </c>
      <c r="Q3675">
        <v>6.8235043422520097E-2</v>
      </c>
      <c r="R3675">
        <v>0.99620901946986795</v>
      </c>
      <c r="S3675" t="s">
        <v>9986</v>
      </c>
      <c r="T3675" t="s">
        <v>12620</v>
      </c>
      <c r="U3675" t="s">
        <v>12620</v>
      </c>
      <c r="V3675" t="s">
        <v>12620</v>
      </c>
      <c r="W3675" t="s">
        <v>16245</v>
      </c>
      <c r="X3675">
        <v>19</v>
      </c>
      <c r="Y3675" t="s">
        <v>22374</v>
      </c>
      <c r="Z3675" t="s">
        <v>28622</v>
      </c>
      <c r="AA3675">
        <v>0.33607468333493451</v>
      </c>
      <c r="AB3675" t="str">
        <f>HYPERLINK("Melting_Curves/meltCurve_Q6P3X3_TTC27.pdf", "Melting_Curves/meltCurve_Q6P3X3_TTC27.pdf")</f>
        <v>Melting_Curves/meltCurve_Q6P3X3_TTC27.pdf</v>
      </c>
    </row>
    <row r="3676" spans="1:28" x14ac:dyDescent="0.25">
      <c r="A3676" t="s">
        <v>3680</v>
      </c>
      <c r="B3676">
        <v>0.99987803227770999</v>
      </c>
      <c r="C3676">
        <v>0.92017873301867403</v>
      </c>
      <c r="D3676">
        <v>0.847759639000773</v>
      </c>
      <c r="E3676">
        <v>0.63009444211353405</v>
      </c>
      <c r="F3676">
        <v>0.52024439222500096</v>
      </c>
      <c r="G3676">
        <v>0.39317287709966298</v>
      </c>
      <c r="H3676">
        <v>0.363204887620862</v>
      </c>
      <c r="I3676">
        <v>0.35243001484328201</v>
      </c>
      <c r="J3676">
        <v>0.33416205456405201</v>
      </c>
      <c r="K3676">
        <v>0.28571820286699501</v>
      </c>
      <c r="L3676">
        <v>705.73027215158595</v>
      </c>
      <c r="M3676">
        <v>14.1728538739393</v>
      </c>
      <c r="N3676">
        <v>53.3402166662231</v>
      </c>
      <c r="O3676">
        <v>48.834630383606402</v>
      </c>
      <c r="P3676">
        <v>-5.0425108144536497E-2</v>
      </c>
      <c r="Q3676">
        <v>0.30509946994002701</v>
      </c>
      <c r="R3676">
        <v>0.99584402973225405</v>
      </c>
      <c r="S3676" t="s">
        <v>9987</v>
      </c>
      <c r="T3676" t="s">
        <v>12620</v>
      </c>
      <c r="U3676" t="s">
        <v>12620</v>
      </c>
      <c r="V3676" t="s">
        <v>12620</v>
      </c>
      <c r="W3676" t="s">
        <v>16246</v>
      </c>
      <c r="X3676">
        <v>2</v>
      </c>
      <c r="Y3676" t="s">
        <v>22375</v>
      </c>
      <c r="Z3676" t="s">
        <v>28623</v>
      </c>
      <c r="AA3676">
        <v>0.55041786889825062</v>
      </c>
      <c r="AB3676" t="str">
        <f>HYPERLINK("Melting_Curves/meltCurve_Q6P4F2_FDX1L.pdf", "Melting_Curves/meltCurve_Q6P4F2_FDX1L.pdf")</f>
        <v>Melting_Curves/meltCurve_Q6P4F2_FDX1L.pdf</v>
      </c>
    </row>
    <row r="3677" spans="1:28" x14ac:dyDescent="0.25">
      <c r="A3677" t="s">
        <v>3681</v>
      </c>
      <c r="B3677">
        <v>0.99987803227770999</v>
      </c>
      <c r="C3677">
        <v>1.20567366880308</v>
      </c>
      <c r="D3677">
        <v>1.0137781022218599</v>
      </c>
      <c r="E3677">
        <v>1.22193763824222</v>
      </c>
      <c r="F3677">
        <v>0.98952803927938204</v>
      </c>
      <c r="G3677">
        <v>0.82847000973817297</v>
      </c>
      <c r="H3677">
        <v>0.66726744439821095</v>
      </c>
      <c r="I3677">
        <v>0.46485423542092102</v>
      </c>
      <c r="J3677">
        <v>0.29282415914048499</v>
      </c>
      <c r="K3677">
        <v>0.209271217129118</v>
      </c>
      <c r="L3677">
        <v>1228.6833656235599</v>
      </c>
      <c r="M3677">
        <v>19.6876434098013</v>
      </c>
      <c r="N3677">
        <v>63.268860395092297</v>
      </c>
      <c r="O3677">
        <v>61.775673022999797</v>
      </c>
      <c r="P3677">
        <v>-7.0322928707258203E-2</v>
      </c>
      <c r="Q3677">
        <v>0.117396496525289</v>
      </c>
      <c r="R3677">
        <v>0.91817751106906598</v>
      </c>
      <c r="S3677" t="s">
        <v>9988</v>
      </c>
      <c r="T3677" t="s">
        <v>12620</v>
      </c>
      <c r="U3677" t="s">
        <v>12620</v>
      </c>
      <c r="V3677" t="s">
        <v>12620</v>
      </c>
      <c r="W3677" t="s">
        <v>16247</v>
      </c>
      <c r="X3677">
        <v>8</v>
      </c>
      <c r="Y3677" t="s">
        <v>22376</v>
      </c>
      <c r="Z3677" t="s">
        <v>28624</v>
      </c>
      <c r="AA3677">
        <v>0.77785732653966166</v>
      </c>
      <c r="AB3677" t="str">
        <f>HYPERLINK("Melting_Curves/meltCurve_Q6P4G0_RECQL5.pdf", "Melting_Curves/meltCurve_Q6P4G0_RECQL5.pdf")</f>
        <v>Melting_Curves/meltCurve_Q6P4G0_RECQL5.pdf</v>
      </c>
    </row>
    <row r="3678" spans="1:28" x14ac:dyDescent="0.25">
      <c r="A3678" t="s">
        <v>3682</v>
      </c>
      <c r="B3678">
        <v>0.99987803227770999</v>
      </c>
      <c r="C3678">
        <v>0.99521764915391697</v>
      </c>
      <c r="D3678">
        <v>1.0022428075268199</v>
      </c>
      <c r="E3678">
        <v>0.92652395951446698</v>
      </c>
      <c r="F3678">
        <v>0.88509696686944495</v>
      </c>
      <c r="G3678">
        <v>0.55918895635240595</v>
      </c>
      <c r="H3678">
        <v>0.26889633211321301</v>
      </c>
      <c r="I3678">
        <v>0.23470276622523001</v>
      </c>
      <c r="J3678">
        <v>0.145105893436351</v>
      </c>
      <c r="K3678">
        <v>0.107971435475043</v>
      </c>
      <c r="L3678">
        <v>1225.9574931878999</v>
      </c>
      <c r="M3678">
        <v>21.463247381778899</v>
      </c>
      <c r="N3678">
        <v>57.793862787146402</v>
      </c>
      <c r="O3678">
        <v>56.6300177145676</v>
      </c>
      <c r="P3678">
        <v>-8.4250348671706193E-2</v>
      </c>
      <c r="Q3678">
        <v>0.110855672984603</v>
      </c>
      <c r="R3678">
        <v>0.99653504696922601</v>
      </c>
      <c r="S3678" t="s">
        <v>9989</v>
      </c>
      <c r="T3678" t="s">
        <v>12620</v>
      </c>
      <c r="U3678" t="s">
        <v>12620</v>
      </c>
      <c r="V3678" t="s">
        <v>12620</v>
      </c>
      <c r="W3678" t="s">
        <v>16248</v>
      </c>
      <c r="X3678">
        <v>9</v>
      </c>
      <c r="Y3678" t="s">
        <v>22377</v>
      </c>
      <c r="Z3678" t="s">
        <v>28625</v>
      </c>
      <c r="AA3678">
        <v>0.62813431218460536</v>
      </c>
      <c r="AB3678" t="str">
        <f>HYPERLINK("Melting_Curves/meltCurve_Q6P4I2_WDR73.pdf", "Melting_Curves/meltCurve_Q6P4I2_WDR73.pdf")</f>
        <v>Melting_Curves/meltCurve_Q6P4I2_WDR73.pdf</v>
      </c>
    </row>
    <row r="3679" spans="1:28" x14ac:dyDescent="0.25">
      <c r="A3679" t="s">
        <v>3683</v>
      </c>
      <c r="B3679">
        <v>0.99987803227770999</v>
      </c>
      <c r="C3679">
        <v>0.88845144051891101</v>
      </c>
      <c r="D3679">
        <v>0.95989451776801704</v>
      </c>
      <c r="E3679">
        <v>0.77678550679218195</v>
      </c>
      <c r="F3679">
        <v>0.81535126244714595</v>
      </c>
      <c r="G3679">
        <v>0.55388848107669197</v>
      </c>
      <c r="H3679">
        <v>0.67649748911221697</v>
      </c>
      <c r="I3679">
        <v>0.63432032711964503</v>
      </c>
      <c r="J3679">
        <v>0.76396451693637701</v>
      </c>
      <c r="K3679">
        <v>0.51110600984271704</v>
      </c>
      <c r="L3679">
        <v>665.37798082789095</v>
      </c>
      <c r="M3679">
        <v>13.279844393832301</v>
      </c>
      <c r="O3679">
        <v>49.0090759623099</v>
      </c>
      <c r="P3679">
        <v>-2.6340115953430901E-2</v>
      </c>
      <c r="Q3679">
        <v>0.61123192975264096</v>
      </c>
      <c r="R3679">
        <v>0.74442382033649301</v>
      </c>
      <c r="S3679" t="s">
        <v>9990</v>
      </c>
      <c r="T3679" t="s">
        <v>12620</v>
      </c>
      <c r="U3679" t="s">
        <v>12620</v>
      </c>
      <c r="V3679" t="s">
        <v>12620</v>
      </c>
      <c r="W3679" t="s">
        <v>16249</v>
      </c>
      <c r="X3679">
        <v>8</v>
      </c>
      <c r="Y3679" t="s">
        <v>22378</v>
      </c>
      <c r="Z3679" t="s">
        <v>28626</v>
      </c>
      <c r="AA3679">
        <v>0.75354705213669493</v>
      </c>
      <c r="AB3679" t="str">
        <f>HYPERLINK("Melting_Curves/meltCurve_Q6P4R8_3_NFRKB.pdf", "Melting_Curves/meltCurve_Q6P4R8_3_NFRKB.pdf")</f>
        <v>Melting_Curves/meltCurve_Q6P4R8_3_NFRKB.pdf</v>
      </c>
    </row>
    <row r="3680" spans="1:28" x14ac:dyDescent="0.25">
      <c r="A3680" t="s">
        <v>3684</v>
      </c>
      <c r="B3680">
        <v>0.99987803227770999</v>
      </c>
      <c r="C3680">
        <v>0.90351450187517401</v>
      </c>
      <c r="D3680">
        <v>0.95371672318434597</v>
      </c>
      <c r="E3680">
        <v>0.90198015484106897</v>
      </c>
      <c r="F3680">
        <v>0.94896913733090404</v>
      </c>
      <c r="G3680">
        <v>0.61227453439712098</v>
      </c>
      <c r="H3680">
        <v>0.70466813235225001</v>
      </c>
      <c r="I3680">
        <v>0.69783810103421395</v>
      </c>
      <c r="J3680">
        <v>0.72628676873359299</v>
      </c>
      <c r="K3680">
        <v>0.60172513575813502</v>
      </c>
      <c r="L3680">
        <v>13340.3025854179</v>
      </c>
      <c r="M3680">
        <v>250</v>
      </c>
      <c r="O3680">
        <v>53.357795590374799</v>
      </c>
      <c r="P3680">
        <v>-0.38822990512182998</v>
      </c>
      <c r="Q3680">
        <v>0.66855852975147301</v>
      </c>
      <c r="R3680">
        <v>0.83415323856769796</v>
      </c>
      <c r="S3680" t="s">
        <v>9991</v>
      </c>
      <c r="T3680" t="s">
        <v>12620</v>
      </c>
      <c r="U3680" t="s">
        <v>12620</v>
      </c>
      <c r="V3680" t="s">
        <v>12620</v>
      </c>
      <c r="W3680" t="s">
        <v>16250</v>
      </c>
      <c r="X3680">
        <v>4</v>
      </c>
      <c r="Y3680" t="s">
        <v>22379</v>
      </c>
      <c r="Z3680" t="s">
        <v>28627</v>
      </c>
      <c r="AA3680">
        <v>0.81620487527810492</v>
      </c>
      <c r="AB3680" t="str">
        <f>HYPERLINK("Melting_Curves/meltCurve_Q6P582_MZT2A.pdf", "Melting_Curves/meltCurve_Q6P582_MZT2A.pdf")</f>
        <v>Melting_Curves/meltCurve_Q6P582_MZT2A.pdf</v>
      </c>
    </row>
    <row r="3681" spans="1:28" x14ac:dyDescent="0.25">
      <c r="A3681" t="s">
        <v>3685</v>
      </c>
      <c r="B3681">
        <v>0.99987803227770999</v>
      </c>
      <c r="C3681">
        <v>1.0089247462961499</v>
      </c>
      <c r="D3681">
        <v>1.05709487916045</v>
      </c>
      <c r="E3681">
        <v>0.97076729553391194</v>
      </c>
      <c r="F3681">
        <v>0.987513211129738</v>
      </c>
      <c r="G3681">
        <v>0.74596708381362797</v>
      </c>
      <c r="H3681">
        <v>0.78926720406551898</v>
      </c>
      <c r="I3681">
        <v>0.74219848264350197</v>
      </c>
      <c r="J3681">
        <v>0.58961819609376798</v>
      </c>
      <c r="K3681">
        <v>0.38450869442742103</v>
      </c>
      <c r="L3681">
        <v>676.787318311136</v>
      </c>
      <c r="M3681">
        <v>9.8745589697037701</v>
      </c>
      <c r="N3681">
        <v>68.538485621952702</v>
      </c>
      <c r="O3681">
        <v>65.905111710763606</v>
      </c>
      <c r="P3681">
        <v>-3.74766015572532E-2</v>
      </c>
      <c r="Q3681">
        <v>0</v>
      </c>
      <c r="R3681">
        <v>0.91833385198481499</v>
      </c>
      <c r="S3681" t="s">
        <v>9992</v>
      </c>
      <c r="T3681" t="s">
        <v>12620</v>
      </c>
      <c r="U3681" t="s">
        <v>12620</v>
      </c>
      <c r="V3681" t="s">
        <v>12620</v>
      </c>
      <c r="W3681" t="s">
        <v>16251</v>
      </c>
      <c r="X3681">
        <v>11</v>
      </c>
      <c r="Y3681" t="s">
        <v>22380</v>
      </c>
      <c r="Z3681" t="s">
        <v>28628</v>
      </c>
      <c r="AA3681">
        <v>0.84344467953300051</v>
      </c>
      <c r="AB3681" t="str">
        <f>HYPERLINK("Melting_Curves/meltCurve_Q6P587_FAHD1.pdf", "Melting_Curves/meltCurve_Q6P587_FAHD1.pdf")</f>
        <v>Melting_Curves/meltCurve_Q6P587_FAHD1.pdf</v>
      </c>
    </row>
    <row r="3682" spans="1:28" x14ac:dyDescent="0.25">
      <c r="A3682" t="s">
        <v>3686</v>
      </c>
      <c r="B3682">
        <v>0.99987803227770999</v>
      </c>
      <c r="C3682">
        <v>0.73086422673998697</v>
      </c>
      <c r="D3682">
        <v>0.94694961692636703</v>
      </c>
      <c r="E3682">
        <v>0.81222873122759598</v>
      </c>
      <c r="F3682">
        <v>1.0519633258643699</v>
      </c>
      <c r="G3682">
        <v>0.976164273340004</v>
      </c>
      <c r="H3682">
        <v>1.0469050608472901</v>
      </c>
      <c r="I3682">
        <v>0.96828889453912603</v>
      </c>
      <c r="J3682">
        <v>0.99262357277844304</v>
      </c>
      <c r="K3682">
        <v>0.87323111263999398</v>
      </c>
      <c r="L3682">
        <v>1.0000000000000001E-5</v>
      </c>
      <c r="M3682">
        <v>22.678832848492601</v>
      </c>
      <c r="Q3682">
        <v>0.93990968470958602</v>
      </c>
      <c r="R3682">
        <v>0</v>
      </c>
      <c r="S3682" t="s">
        <v>9993</v>
      </c>
      <c r="T3682" t="s">
        <v>12620</v>
      </c>
      <c r="U3682" t="s">
        <v>12620</v>
      </c>
      <c r="V3682" t="s">
        <v>12620</v>
      </c>
      <c r="W3682" t="s">
        <v>16252</v>
      </c>
      <c r="X3682">
        <v>7</v>
      </c>
      <c r="Y3682" t="s">
        <v>22381</v>
      </c>
      <c r="Z3682" t="s">
        <v>28629</v>
      </c>
      <c r="AA3682">
        <v>0.93990968471808778</v>
      </c>
      <c r="AB3682" t="str">
        <f>HYPERLINK("Melting_Curves/meltCurve_Q6P6B1_C8orf47.pdf", "Melting_Curves/meltCurve_Q6P6B1_C8orf47.pdf")</f>
        <v>Melting_Curves/meltCurve_Q6P6B1_C8orf47.pdf</v>
      </c>
    </row>
    <row r="3683" spans="1:28" x14ac:dyDescent="0.25">
      <c r="A3683" t="s">
        <v>3687</v>
      </c>
      <c r="B3683">
        <v>0.99987803227770999</v>
      </c>
      <c r="C3683">
        <v>0.901946980341781</v>
      </c>
      <c r="D3683">
        <v>0.80652470232548301</v>
      </c>
      <c r="E3683">
        <v>0.77093104575124405</v>
      </c>
      <c r="F3683">
        <v>0.76591476505259803</v>
      </c>
      <c r="G3683">
        <v>0.57803098926177199</v>
      </c>
      <c r="H3683">
        <v>0.61007696500471897</v>
      </c>
      <c r="I3683">
        <v>0.52306732090966801</v>
      </c>
      <c r="J3683">
        <v>0.47666995558204001</v>
      </c>
      <c r="K3683">
        <v>0.33239690712542502</v>
      </c>
      <c r="L3683">
        <v>300.30692758692197</v>
      </c>
      <c r="M3683">
        <v>4.7026148073846104</v>
      </c>
      <c r="N3683">
        <v>63.859563526909596</v>
      </c>
      <c r="O3683">
        <v>54.906338240795499</v>
      </c>
      <c r="P3683">
        <v>-2.15735861127275E-2</v>
      </c>
      <c r="Q3683">
        <v>0</v>
      </c>
      <c r="R3683">
        <v>0.94571315441015102</v>
      </c>
      <c r="S3683" t="s">
        <v>9994</v>
      </c>
      <c r="T3683" t="s">
        <v>12620</v>
      </c>
      <c r="U3683" t="s">
        <v>12620</v>
      </c>
      <c r="V3683" t="s">
        <v>12620</v>
      </c>
      <c r="W3683" t="s">
        <v>16253</v>
      </c>
      <c r="X3683">
        <v>12</v>
      </c>
      <c r="Y3683" t="s">
        <v>22382</v>
      </c>
      <c r="Z3683" t="s">
        <v>28630</v>
      </c>
      <c r="AA3683">
        <v>0.67865474389911984</v>
      </c>
      <c r="AB3683" t="str">
        <f>HYPERLINK("Melting_Curves/meltCurve_Q6P6C2_ALKBH5.pdf", "Melting_Curves/meltCurve_Q6P6C2_ALKBH5.pdf")</f>
        <v>Melting_Curves/meltCurve_Q6P6C2_ALKBH5.pdf</v>
      </c>
    </row>
    <row r="3684" spans="1:28" x14ac:dyDescent="0.25">
      <c r="A3684" t="s">
        <v>3688</v>
      </c>
      <c r="B3684">
        <v>0.99987803227770999</v>
      </c>
      <c r="C3684">
        <v>0.91212683805277495</v>
      </c>
      <c r="D3684">
        <v>1.0161751523724101</v>
      </c>
      <c r="E3684">
        <v>0.80764469610821699</v>
      </c>
      <c r="F3684">
        <v>0.61371794264832003</v>
      </c>
      <c r="G3684">
        <v>0.21635263131490701</v>
      </c>
      <c r="H3684">
        <v>0.103321837825904</v>
      </c>
      <c r="I3684">
        <v>8.9575375218131206E-2</v>
      </c>
      <c r="J3684">
        <v>6.4083546676930295E-2</v>
      </c>
      <c r="K3684">
        <v>3.9011465392733799E-2</v>
      </c>
      <c r="L3684">
        <v>1211.6207184003099</v>
      </c>
      <c r="M3684">
        <v>22.616343579903901</v>
      </c>
      <c r="N3684">
        <v>53.809074666948803</v>
      </c>
      <c r="O3684">
        <v>53.159224766732102</v>
      </c>
      <c r="P3684">
        <v>-0.101335739637042</v>
      </c>
      <c r="Q3684">
        <v>4.7269206288933302E-2</v>
      </c>
      <c r="R3684">
        <v>0.99245824950881101</v>
      </c>
      <c r="S3684" t="s">
        <v>9995</v>
      </c>
      <c r="T3684" t="s">
        <v>12620</v>
      </c>
      <c r="U3684" t="s">
        <v>12620</v>
      </c>
      <c r="V3684" t="s">
        <v>12620</v>
      </c>
      <c r="W3684" t="s">
        <v>16254</v>
      </c>
      <c r="X3684">
        <v>3</v>
      </c>
      <c r="Y3684" t="s">
        <v>22383</v>
      </c>
      <c r="Z3684" t="s">
        <v>28631</v>
      </c>
      <c r="AA3684">
        <v>0.48886180515145922</v>
      </c>
      <c r="AB3684" t="str">
        <f>HYPERLINK("Melting_Curves/meltCurve_Q6P9B6_KIAA1609.pdf", "Melting_Curves/meltCurve_Q6P9B6_KIAA1609.pdf")</f>
        <v>Melting_Curves/meltCurve_Q6P9B6_KIAA1609.pdf</v>
      </c>
    </row>
    <row r="3685" spans="1:28" x14ac:dyDescent="0.25">
      <c r="A3685" t="s">
        <v>3689</v>
      </c>
      <c r="B3685">
        <v>0.99987803227770999</v>
      </c>
      <c r="C3685">
        <v>1.0405249801879799</v>
      </c>
      <c r="D3685">
        <v>0.91675912624874201</v>
      </c>
      <c r="E3685">
        <v>0.73065648260770999</v>
      </c>
      <c r="F3685">
        <v>0.43036453396090402</v>
      </c>
      <c r="G3685">
        <v>0.297178376233523</v>
      </c>
      <c r="H3685">
        <v>0.29630662424361998</v>
      </c>
      <c r="I3685">
        <v>0.29751843294928998</v>
      </c>
      <c r="J3685">
        <v>0.248101345336839</v>
      </c>
      <c r="K3685">
        <v>0.15656864793570699</v>
      </c>
      <c r="L3685">
        <v>1237.63392421037</v>
      </c>
      <c r="M3685">
        <v>24.286712683400001</v>
      </c>
      <c r="N3685">
        <v>52.382755169892</v>
      </c>
      <c r="O3685">
        <v>50.6175883175869</v>
      </c>
      <c r="P3685">
        <v>-9.0977159777220401E-2</v>
      </c>
      <c r="Q3685">
        <v>0.2415648447308</v>
      </c>
      <c r="R3685">
        <v>0.98476862314352298</v>
      </c>
      <c r="S3685" t="s">
        <v>9996</v>
      </c>
      <c r="T3685" t="s">
        <v>12620</v>
      </c>
      <c r="U3685" t="s">
        <v>12620</v>
      </c>
      <c r="V3685" t="s">
        <v>12620</v>
      </c>
      <c r="W3685" t="s">
        <v>16255</v>
      </c>
      <c r="X3685">
        <v>1</v>
      </c>
      <c r="Y3685" t="s">
        <v>22384</v>
      </c>
      <c r="Z3685" t="s">
        <v>28632</v>
      </c>
      <c r="AA3685">
        <v>0.52587830851783524</v>
      </c>
      <c r="AB3685" t="str">
        <f>HYPERLINK("Melting_Curves/meltCurve_Q6P9B9_INTS5.pdf", "Melting_Curves/meltCurve_Q6P9B9_INTS5.pdf")</f>
        <v>Melting_Curves/meltCurve_Q6P9B9_INTS5.pdf</v>
      </c>
    </row>
    <row r="3686" spans="1:28" x14ac:dyDescent="0.25">
      <c r="A3686" t="s">
        <v>3690</v>
      </c>
      <c r="B3686">
        <v>0.99987803227770999</v>
      </c>
      <c r="C3686">
        <v>0.93640874942369401</v>
      </c>
      <c r="D3686">
        <v>0.98200232840381496</v>
      </c>
      <c r="E3686">
        <v>0.89834703038413899</v>
      </c>
      <c r="F3686">
        <v>0.87509628380172699</v>
      </c>
      <c r="G3686">
        <v>0.72121539622557995</v>
      </c>
      <c r="H3686">
        <v>0.69163732140829703</v>
      </c>
      <c r="I3686">
        <v>0.62672418912300298</v>
      </c>
      <c r="J3686">
        <v>0.53376007378835</v>
      </c>
      <c r="K3686">
        <v>0.46617025723077199</v>
      </c>
      <c r="L3686">
        <v>410.29073636698303</v>
      </c>
      <c r="M3686">
        <v>6.0065104332219503</v>
      </c>
      <c r="N3686">
        <v>68.691566290287398</v>
      </c>
      <c r="O3686">
        <v>61.890776865290299</v>
      </c>
      <c r="P3686">
        <v>-2.3939024410614101E-2</v>
      </c>
      <c r="Q3686">
        <v>1.6506646290699901E-2</v>
      </c>
      <c r="R3686">
        <v>0.98115727103225903</v>
      </c>
      <c r="S3686" t="s">
        <v>9997</v>
      </c>
      <c r="T3686" t="s">
        <v>12620</v>
      </c>
      <c r="U3686" t="s">
        <v>12620</v>
      </c>
      <c r="V3686" t="s">
        <v>12620</v>
      </c>
      <c r="W3686" t="s">
        <v>16256</v>
      </c>
      <c r="X3686">
        <v>8</v>
      </c>
      <c r="Y3686" t="s">
        <v>22385</v>
      </c>
      <c r="Z3686" t="s">
        <v>28633</v>
      </c>
      <c r="AA3686">
        <v>0.78242615570205143</v>
      </c>
      <c r="AB3686" t="str">
        <f>HYPERLINK("Melting_Curves/meltCurve_Q6PCB5_RSBN1L.pdf", "Melting_Curves/meltCurve_Q6PCB5_RSBN1L.pdf")</f>
        <v>Melting_Curves/meltCurve_Q6PCB5_RSBN1L.pdf</v>
      </c>
    </row>
    <row r="3687" spans="1:28" x14ac:dyDescent="0.25">
      <c r="A3687" t="s">
        <v>3691</v>
      </c>
      <c r="B3687">
        <v>0.99987803227770999</v>
      </c>
      <c r="C3687">
        <v>1.03636436754088</v>
      </c>
      <c r="D3687">
        <v>1.0417355697975099</v>
      </c>
      <c r="E3687">
        <v>1.0442521120756101</v>
      </c>
      <c r="F3687">
        <v>0.95012904210631799</v>
      </c>
      <c r="G3687">
        <v>0.48876013157907</v>
      </c>
      <c r="H3687">
        <v>0.17912900060532699</v>
      </c>
      <c r="I3687">
        <v>0.14082018252856901</v>
      </c>
      <c r="J3687">
        <v>0.102155077013971</v>
      </c>
      <c r="K3687">
        <v>7.3525729270354598E-2</v>
      </c>
      <c r="L3687">
        <v>2160.2368294115599</v>
      </c>
      <c r="M3687">
        <v>38.142499380751197</v>
      </c>
      <c r="N3687">
        <v>56.989084970016599</v>
      </c>
      <c r="O3687">
        <v>56.480947287181898</v>
      </c>
      <c r="P3687">
        <v>-0.151060607554486</v>
      </c>
      <c r="Q3687">
        <v>0.10524742832072501</v>
      </c>
      <c r="R3687">
        <v>0.99563105758224002</v>
      </c>
      <c r="S3687" t="s">
        <v>9998</v>
      </c>
      <c r="T3687" t="s">
        <v>12620</v>
      </c>
      <c r="U3687" t="s">
        <v>12620</v>
      </c>
      <c r="V3687" t="s">
        <v>12620</v>
      </c>
      <c r="W3687" t="s">
        <v>16257</v>
      </c>
      <c r="X3687">
        <v>25</v>
      </c>
      <c r="Y3687" t="s">
        <v>22386</v>
      </c>
      <c r="Z3687" t="s">
        <v>28634</v>
      </c>
      <c r="AA3687">
        <v>0.60522313783854742</v>
      </c>
      <c r="AB3687" t="str">
        <f>HYPERLINK("Melting_Curves/meltCurve_Q6PCE3_PGM2L1.pdf", "Melting_Curves/meltCurve_Q6PCE3_PGM2L1.pdf")</f>
        <v>Melting_Curves/meltCurve_Q6PCE3_PGM2L1.pdf</v>
      </c>
    </row>
    <row r="3688" spans="1:28" x14ac:dyDescent="0.25">
      <c r="A3688" t="s">
        <v>3692</v>
      </c>
      <c r="B3688">
        <v>0.99987803227770999</v>
      </c>
      <c r="C3688">
        <v>1.0981611204783099</v>
      </c>
      <c r="D3688">
        <v>0.80131850008703998</v>
      </c>
      <c r="E3688">
        <v>0.59237643499776005</v>
      </c>
      <c r="F3688">
        <v>0.22277731949061599</v>
      </c>
      <c r="G3688">
        <v>9.6715315087212705E-2</v>
      </c>
      <c r="H3688">
        <v>7.2577154382941295E-2</v>
      </c>
      <c r="I3688">
        <v>4.5533658574098301E-2</v>
      </c>
      <c r="J3688">
        <v>4.0164958649115699E-2</v>
      </c>
      <c r="K3688">
        <v>5.8442509822369301E-2</v>
      </c>
      <c r="L3688">
        <v>1140.05914986425</v>
      </c>
      <c r="M3688">
        <v>22.730691268345002</v>
      </c>
      <c r="N3688">
        <v>50.354700299688602</v>
      </c>
      <c r="O3688">
        <v>49.771710545859399</v>
      </c>
      <c r="P3688">
        <v>-0.10925716027069</v>
      </c>
      <c r="Q3688">
        <v>4.3089520220754601E-2</v>
      </c>
      <c r="R3688">
        <v>0.98368235088336997</v>
      </c>
      <c r="S3688" t="s">
        <v>9999</v>
      </c>
      <c r="T3688" t="s">
        <v>12620</v>
      </c>
      <c r="U3688" t="s">
        <v>12620</v>
      </c>
      <c r="V3688" t="s">
        <v>12620</v>
      </c>
      <c r="W3688" t="s">
        <v>16258</v>
      </c>
      <c r="X3688">
        <v>5</v>
      </c>
      <c r="Y3688" t="s">
        <v>22387</v>
      </c>
      <c r="Z3688" t="s">
        <v>28635</v>
      </c>
      <c r="AA3688">
        <v>0.37736217545100931</v>
      </c>
      <c r="AB3688" t="str">
        <f>HYPERLINK("Melting_Curves/meltCurve_Q6PCT2_2_FBXL19.pdf", "Melting_Curves/meltCurve_Q6PCT2_2_FBXL19.pdf")</f>
        <v>Melting_Curves/meltCurve_Q6PCT2_2_FBXL19.pdf</v>
      </c>
    </row>
    <row r="3689" spans="1:28" x14ac:dyDescent="0.25">
      <c r="A3689" t="s">
        <v>3693</v>
      </c>
      <c r="B3689">
        <v>0.99987803227770999</v>
      </c>
      <c r="C3689">
        <v>1.0028332859182401</v>
      </c>
      <c r="D3689">
        <v>0.65500175705510399</v>
      </c>
      <c r="E3689">
        <v>0.47420617490120598</v>
      </c>
      <c r="F3689">
        <v>0.29644476249118001</v>
      </c>
      <c r="G3689">
        <v>0.19243818283856601</v>
      </c>
      <c r="H3689">
        <v>0.13317924537269701</v>
      </c>
      <c r="I3689">
        <v>0.123052185267214</v>
      </c>
      <c r="J3689">
        <v>0.10472468887846299</v>
      </c>
      <c r="K3689">
        <v>7.3421342144255095E-2</v>
      </c>
      <c r="L3689">
        <v>771.68372643716305</v>
      </c>
      <c r="M3689">
        <v>15.8558077656732</v>
      </c>
      <c r="N3689">
        <v>49.324079111598799</v>
      </c>
      <c r="O3689">
        <v>47.9144100077635</v>
      </c>
      <c r="P3689">
        <v>-7.4879460506319398E-2</v>
      </c>
      <c r="Q3689">
        <v>9.4965244686291195E-2</v>
      </c>
      <c r="R3689">
        <v>0.98336125376452499</v>
      </c>
      <c r="S3689" t="s">
        <v>10000</v>
      </c>
      <c r="T3689" t="s">
        <v>12620</v>
      </c>
      <c r="U3689" t="s">
        <v>12620</v>
      </c>
      <c r="V3689" t="s">
        <v>12620</v>
      </c>
      <c r="W3689" t="s">
        <v>16259</v>
      </c>
      <c r="X3689">
        <v>15</v>
      </c>
      <c r="Y3689" t="s">
        <v>22388</v>
      </c>
      <c r="Z3689" t="s">
        <v>28636</v>
      </c>
      <c r="AA3689">
        <v>0.37680539348085268</v>
      </c>
      <c r="AB3689" t="str">
        <f>HYPERLINK("Melting_Curves/meltCurve_Q6PD62_CTR9.pdf", "Melting_Curves/meltCurve_Q6PD62_CTR9.pdf")</f>
        <v>Melting_Curves/meltCurve_Q6PD62_CTR9.pdf</v>
      </c>
    </row>
    <row r="3690" spans="1:28" x14ac:dyDescent="0.25">
      <c r="A3690" t="s">
        <v>3694</v>
      </c>
      <c r="B3690">
        <v>0.99987803227770999</v>
      </c>
      <c r="C3690">
        <v>0.51171563132756304</v>
      </c>
      <c r="D3690">
        <v>1.08645080410513</v>
      </c>
      <c r="E3690">
        <v>0.79687279023888102</v>
      </c>
      <c r="F3690">
        <v>0.47566813770864502</v>
      </c>
      <c r="G3690">
        <v>0.16724646591980499</v>
      </c>
      <c r="H3690">
        <v>0.105984610333495</v>
      </c>
      <c r="I3690">
        <v>8.4239673670742296E-2</v>
      </c>
      <c r="J3690">
        <v>6.06910816015084E-2</v>
      </c>
      <c r="K3690">
        <v>3.5891227900541202E-2</v>
      </c>
      <c r="L3690">
        <v>1335.45022223153</v>
      </c>
      <c r="M3690">
        <v>25.4102292451485</v>
      </c>
      <c r="N3690">
        <v>52.817816005815999</v>
      </c>
      <c r="O3690">
        <v>52.233344574354902</v>
      </c>
      <c r="P3690">
        <v>-0.11441364441077199</v>
      </c>
      <c r="Q3690">
        <v>5.9255547842154199E-2</v>
      </c>
      <c r="R3690">
        <v>0.83221610338212904</v>
      </c>
      <c r="S3690" t="s">
        <v>10001</v>
      </c>
      <c r="T3690" t="s">
        <v>12620</v>
      </c>
      <c r="U3690" t="s">
        <v>12620</v>
      </c>
      <c r="V3690" t="s">
        <v>12620</v>
      </c>
      <c r="W3690" t="s">
        <v>16260</v>
      </c>
      <c r="X3690">
        <v>6</v>
      </c>
      <c r="Y3690" t="s">
        <v>22389</v>
      </c>
      <c r="Z3690" t="s">
        <v>28637</v>
      </c>
      <c r="AA3690">
        <v>0.46134482655628439</v>
      </c>
      <c r="AB3690" t="str">
        <f>HYPERLINK("Melting_Curves/meltCurve_Q6PD74_AAGAB.pdf", "Melting_Curves/meltCurve_Q6PD74_AAGAB.pdf")</f>
        <v>Melting_Curves/meltCurve_Q6PD74_AAGAB.pdf</v>
      </c>
    </row>
    <row r="3691" spans="1:28" x14ac:dyDescent="0.25">
      <c r="A3691" t="s">
        <v>3695</v>
      </c>
      <c r="B3691">
        <v>0.99987803227770999</v>
      </c>
      <c r="C3691">
        <v>0.80089431126691002</v>
      </c>
      <c r="D3691">
        <v>0.97884412478093596</v>
      </c>
      <c r="E3691">
        <v>0.86305917734724202</v>
      </c>
      <c r="F3691">
        <v>1.08128687042533</v>
      </c>
      <c r="G3691">
        <v>0.90052942914365097</v>
      </c>
      <c r="H3691">
        <v>0.92104425414170299</v>
      </c>
      <c r="I3691">
        <v>0.866946752271335</v>
      </c>
      <c r="J3691">
        <v>0.77633240860772901</v>
      </c>
      <c r="K3691">
        <v>0.67569515554617698</v>
      </c>
      <c r="L3691">
        <v>671.62385964606801</v>
      </c>
      <c r="M3691">
        <v>8.7934777263390291</v>
      </c>
      <c r="Q3691">
        <v>0</v>
      </c>
      <c r="R3691">
        <v>0.44409192202966102</v>
      </c>
      <c r="S3691" t="s">
        <v>10002</v>
      </c>
      <c r="T3691" t="s">
        <v>12620</v>
      </c>
      <c r="U3691" t="s">
        <v>12620</v>
      </c>
      <c r="V3691" t="s">
        <v>12620</v>
      </c>
      <c r="W3691" t="s">
        <v>16261</v>
      </c>
      <c r="X3691">
        <v>4</v>
      </c>
      <c r="Y3691" t="s">
        <v>22390</v>
      </c>
      <c r="Z3691" t="s">
        <v>28638</v>
      </c>
      <c r="AA3691">
        <v>0.92564184035442088</v>
      </c>
      <c r="AB3691" t="str">
        <f>HYPERLINK("Melting_Curves/meltCurve_Q6PGN9_2_PSRC1.pdf", "Melting_Curves/meltCurve_Q6PGN9_2_PSRC1.pdf")</f>
        <v>Melting_Curves/meltCurve_Q6PGN9_2_PSRC1.pdf</v>
      </c>
    </row>
    <row r="3692" spans="1:28" x14ac:dyDescent="0.25">
      <c r="A3692" t="s">
        <v>3696</v>
      </c>
      <c r="B3692">
        <v>0.99987803227770999</v>
      </c>
      <c r="C3692">
        <v>1.1454944796711699</v>
      </c>
      <c r="D3692">
        <v>0.70039357837660599</v>
      </c>
      <c r="E3692">
        <v>0.62332380431114798</v>
      </c>
      <c r="F3692">
        <v>0.25105659747926701</v>
      </c>
      <c r="G3692">
        <v>0.11515621020884199</v>
      </c>
      <c r="H3692">
        <v>7.2661447750829194E-2</v>
      </c>
      <c r="I3692">
        <v>6.9921008051918407E-2</v>
      </c>
      <c r="J3692">
        <v>4.8192551088203903E-2</v>
      </c>
      <c r="K3692">
        <v>2.8157712047316999E-2</v>
      </c>
      <c r="L3692">
        <v>940.85038660803298</v>
      </c>
      <c r="M3692">
        <v>18.7431801411457</v>
      </c>
      <c r="N3692">
        <v>50.388408963586599</v>
      </c>
      <c r="O3692">
        <v>49.636035295271299</v>
      </c>
      <c r="P3692">
        <v>-9.1162205577282704E-2</v>
      </c>
      <c r="Q3692">
        <v>3.4371291534552401E-2</v>
      </c>
      <c r="R3692">
        <v>0.95887316331845496</v>
      </c>
      <c r="S3692" t="s">
        <v>10003</v>
      </c>
      <c r="T3692" t="s">
        <v>12620</v>
      </c>
      <c r="U3692" t="s">
        <v>12620</v>
      </c>
      <c r="V3692" t="s">
        <v>12620</v>
      </c>
      <c r="W3692" t="s">
        <v>16262</v>
      </c>
      <c r="X3692">
        <v>8</v>
      </c>
      <c r="Y3692" t="s">
        <v>22391</v>
      </c>
      <c r="Z3692" t="s">
        <v>28639</v>
      </c>
      <c r="AA3692">
        <v>0.37780245387624578</v>
      </c>
      <c r="AB3692" t="str">
        <f>HYPERLINK("Melting_Curves/meltCurve_Q6PGP7_TTC37.pdf", "Melting_Curves/meltCurve_Q6PGP7_TTC37.pdf")</f>
        <v>Melting_Curves/meltCurve_Q6PGP7_TTC37.pdf</v>
      </c>
    </row>
    <row r="3693" spans="1:28" x14ac:dyDescent="0.25">
      <c r="A3693" t="s">
        <v>3697</v>
      </c>
      <c r="B3693">
        <v>0.99987803227770999</v>
      </c>
      <c r="C3693">
        <v>0.91082825494326802</v>
      </c>
      <c r="D3693">
        <v>1.07029566263804</v>
      </c>
      <c r="E3693">
        <v>0.88478396287072203</v>
      </c>
      <c r="F3693">
        <v>0.99294138319827696</v>
      </c>
      <c r="G3693">
        <v>0.62518269075652899</v>
      </c>
      <c r="H3693">
        <v>0.69926807204108499</v>
      </c>
      <c r="I3693">
        <v>0.53103637304621898</v>
      </c>
      <c r="J3693">
        <v>0.61306073327669997</v>
      </c>
      <c r="K3693">
        <v>0.47422406487239499</v>
      </c>
      <c r="L3693">
        <v>4128.3399103542997</v>
      </c>
      <c r="M3693">
        <v>74.4497838144502</v>
      </c>
      <c r="O3693">
        <v>55.4113663070084</v>
      </c>
      <c r="P3693">
        <v>-0.14152117676849199</v>
      </c>
      <c r="Q3693">
        <v>0.57867545196750103</v>
      </c>
      <c r="R3693">
        <v>0.86908009056310098</v>
      </c>
      <c r="S3693" t="s">
        <v>10004</v>
      </c>
      <c r="T3693" t="s">
        <v>12620</v>
      </c>
      <c r="U3693" t="s">
        <v>12620</v>
      </c>
      <c r="V3693" t="s">
        <v>12620</v>
      </c>
      <c r="W3693" t="s">
        <v>16263</v>
      </c>
      <c r="X3693">
        <v>1</v>
      </c>
      <c r="Y3693" t="s">
        <v>22392</v>
      </c>
      <c r="Z3693" t="s">
        <v>28640</v>
      </c>
      <c r="AA3693">
        <v>0.79613973115242354</v>
      </c>
      <c r="AB3693" t="str">
        <f>HYPERLINK("Melting_Curves/meltCurve_Q6PH81_C16orf87.pdf", "Melting_Curves/meltCurve_Q6PH81_C16orf87.pdf")</f>
        <v>Melting_Curves/meltCurve_Q6PH81_C16orf87.pdf</v>
      </c>
    </row>
    <row r="3694" spans="1:28" x14ac:dyDescent="0.25">
      <c r="A3694" t="s">
        <v>3698</v>
      </c>
      <c r="B3694">
        <v>0.99987803227770999</v>
      </c>
      <c r="C3694">
        <v>0.94542804369668898</v>
      </c>
      <c r="D3694">
        <v>0.95807298502788996</v>
      </c>
      <c r="E3694">
        <v>0.49092278147739399</v>
      </c>
      <c r="F3694">
        <v>0.180700712937307</v>
      </c>
      <c r="G3694">
        <v>0.127462022652826</v>
      </c>
      <c r="H3694">
        <v>8.5245402117268096E-2</v>
      </c>
      <c r="I3694">
        <v>7.5508953723230604E-2</v>
      </c>
      <c r="J3694">
        <v>4.7029924261222301E-2</v>
      </c>
      <c r="K3694">
        <v>2.67287798471454E-2</v>
      </c>
      <c r="L3694">
        <v>1581.30358497678</v>
      </c>
      <c r="M3694">
        <v>31.781504526108701</v>
      </c>
      <c r="N3694">
        <v>49.982629034968603</v>
      </c>
      <c r="O3694">
        <v>49.559718447876399</v>
      </c>
      <c r="P3694">
        <v>-0.149539317044841</v>
      </c>
      <c r="Q3694">
        <v>6.7245157621149396E-2</v>
      </c>
      <c r="R3694">
        <v>0.99536767278771299</v>
      </c>
      <c r="S3694" t="s">
        <v>10005</v>
      </c>
      <c r="T3694" t="s">
        <v>12620</v>
      </c>
      <c r="U3694" t="s">
        <v>12620</v>
      </c>
      <c r="V3694" t="s">
        <v>12620</v>
      </c>
      <c r="W3694" t="s">
        <v>16264</v>
      </c>
      <c r="X3694">
        <v>7</v>
      </c>
      <c r="Y3694" t="s">
        <v>22393</v>
      </c>
      <c r="Z3694" t="s">
        <v>28641</v>
      </c>
      <c r="AA3694">
        <v>0.37567238158263072</v>
      </c>
      <c r="AB3694" t="str">
        <f>HYPERLINK("Melting_Curves/meltCurve_Q6PHR2_3_ULK3.pdf", "Melting_Curves/meltCurve_Q6PHR2_3_ULK3.pdf")</f>
        <v>Melting_Curves/meltCurve_Q6PHR2_3_ULK3.pdf</v>
      </c>
    </row>
    <row r="3695" spans="1:28" x14ac:dyDescent="0.25">
      <c r="A3695" t="s">
        <v>3699</v>
      </c>
      <c r="B3695">
        <v>0.99987803227770999</v>
      </c>
      <c r="C3695">
        <v>1.0102678334558199</v>
      </c>
      <c r="D3695">
        <v>0.55089221051771897</v>
      </c>
      <c r="E3695">
        <v>0.39493897086686502</v>
      </c>
      <c r="F3695">
        <v>0.217131324070376</v>
      </c>
      <c r="G3695">
        <v>0.16071962263908601</v>
      </c>
      <c r="H3695">
        <v>0.101857955297839</v>
      </c>
      <c r="I3695">
        <v>0.105441723957725</v>
      </c>
      <c r="J3695">
        <v>6.1100919331469897E-2</v>
      </c>
      <c r="K3695">
        <v>3.59822274442489E-2</v>
      </c>
      <c r="L3695">
        <v>841.57141000397201</v>
      </c>
      <c r="M3695">
        <v>17.7057046917033</v>
      </c>
      <c r="N3695">
        <v>47.9987347989398</v>
      </c>
      <c r="O3695">
        <v>46.9372268474091</v>
      </c>
      <c r="P3695">
        <v>-8.6838714123721003E-2</v>
      </c>
      <c r="Q3695">
        <v>7.9222892005576306E-2</v>
      </c>
      <c r="R3695">
        <v>0.96934147895574596</v>
      </c>
      <c r="S3695" t="s">
        <v>10006</v>
      </c>
      <c r="T3695" t="s">
        <v>12620</v>
      </c>
      <c r="U3695" t="s">
        <v>12620</v>
      </c>
      <c r="V3695" t="s">
        <v>12620</v>
      </c>
      <c r="W3695" t="s">
        <v>16265</v>
      </c>
      <c r="X3695">
        <v>15</v>
      </c>
      <c r="Y3695" t="s">
        <v>22394</v>
      </c>
      <c r="Z3695" t="s">
        <v>28642</v>
      </c>
      <c r="AA3695">
        <v>0.32756419837209411</v>
      </c>
      <c r="AB3695" t="str">
        <f>HYPERLINK("Melting_Curves/meltCurve_Q6PI48_DARS2.pdf", "Melting_Curves/meltCurve_Q6PI48_DARS2.pdf")</f>
        <v>Melting_Curves/meltCurve_Q6PI48_DARS2.pdf</v>
      </c>
    </row>
    <row r="3696" spans="1:28" x14ac:dyDescent="0.25">
      <c r="A3696" t="s">
        <v>3700</v>
      </c>
      <c r="B3696">
        <v>0.99987803227770999</v>
      </c>
      <c r="C3696">
        <v>0.98388928512722096</v>
      </c>
      <c r="D3696">
        <v>0.975706976167659</v>
      </c>
      <c r="E3696">
        <v>0.74306628808970998</v>
      </c>
      <c r="F3696">
        <v>0.47642063221891001</v>
      </c>
      <c r="G3696">
        <v>0.271243634284279</v>
      </c>
      <c r="H3696">
        <v>0.169282968697782</v>
      </c>
      <c r="I3696">
        <v>0.141391571391357</v>
      </c>
      <c r="J3696">
        <v>0.126820418222473</v>
      </c>
      <c r="K3696">
        <v>9.1578737813824099E-2</v>
      </c>
      <c r="L3696">
        <v>1048.8078703195099</v>
      </c>
      <c r="M3696">
        <v>20.070666033420899</v>
      </c>
      <c r="N3696">
        <v>52.927965944993502</v>
      </c>
      <c r="O3696">
        <v>51.745305186555299</v>
      </c>
      <c r="P3696">
        <v>-8.6062028293898696E-2</v>
      </c>
      <c r="Q3696">
        <v>0.112503277724758</v>
      </c>
      <c r="R3696">
        <v>0.99822147637609104</v>
      </c>
      <c r="S3696" t="s">
        <v>10007</v>
      </c>
      <c r="T3696" t="s">
        <v>12620</v>
      </c>
      <c r="U3696" t="s">
        <v>12620</v>
      </c>
      <c r="V3696" t="s">
        <v>12620</v>
      </c>
      <c r="W3696" t="s">
        <v>16266</v>
      </c>
      <c r="X3696">
        <v>2</v>
      </c>
      <c r="Y3696" t="s">
        <v>22395</v>
      </c>
      <c r="Z3696" t="s">
        <v>28643</v>
      </c>
      <c r="AA3696">
        <v>0.48725906439985012</v>
      </c>
      <c r="AB3696" t="str">
        <f>HYPERLINK("Melting_Curves/meltCurve_Q6PID6_TTC33.pdf", "Melting_Curves/meltCurve_Q6PID6_TTC33.pdf")</f>
        <v>Melting_Curves/meltCurve_Q6PID6_TTC33.pdf</v>
      </c>
    </row>
    <row r="3697" spans="1:28" x14ac:dyDescent="0.25">
      <c r="A3697" t="s">
        <v>3701</v>
      </c>
      <c r="B3697">
        <v>0.99987803227770999</v>
      </c>
      <c r="C3697">
        <v>0.91433437841446996</v>
      </c>
      <c r="D3697">
        <v>1.0205744112402699</v>
      </c>
      <c r="E3697">
        <v>0.94932213494379103</v>
      </c>
      <c r="F3697">
        <v>1.06588444483059</v>
      </c>
      <c r="G3697">
        <v>0.73447338554185304</v>
      </c>
      <c r="H3697">
        <v>0.79474812593905098</v>
      </c>
      <c r="I3697">
        <v>0.79199935512532105</v>
      </c>
      <c r="J3697">
        <v>0.65437285392127797</v>
      </c>
      <c r="K3697">
        <v>0.566763188492589</v>
      </c>
      <c r="L3697">
        <v>499.885065789745</v>
      </c>
      <c r="M3697">
        <v>6.8127990215575496</v>
      </c>
      <c r="O3697">
        <v>67.831407738749505</v>
      </c>
      <c r="P3697">
        <v>-2.51607123486365E-2</v>
      </c>
      <c r="Q3697">
        <v>0</v>
      </c>
      <c r="R3697">
        <v>0.80192232953697395</v>
      </c>
      <c r="S3697" t="s">
        <v>10008</v>
      </c>
      <c r="T3697" t="s">
        <v>12620</v>
      </c>
      <c r="U3697" t="s">
        <v>12620</v>
      </c>
      <c r="V3697" t="s">
        <v>12620</v>
      </c>
      <c r="W3697" t="s">
        <v>16267</v>
      </c>
      <c r="X3697">
        <v>6</v>
      </c>
      <c r="Y3697" t="s">
        <v>22396</v>
      </c>
      <c r="Z3697" t="s">
        <v>28644</v>
      </c>
      <c r="AA3697">
        <v>0.86321831049940001</v>
      </c>
      <c r="AB3697" t="str">
        <f>HYPERLINK("Melting_Curves/meltCurve_Q6PII3_CCDC174.pdf", "Melting_Curves/meltCurve_Q6PII3_CCDC174.pdf")</f>
        <v>Melting_Curves/meltCurve_Q6PII3_CCDC174.pdf</v>
      </c>
    </row>
    <row r="3698" spans="1:28" x14ac:dyDescent="0.25">
      <c r="A3698" t="s">
        <v>3702</v>
      </c>
      <c r="B3698">
        <v>0.99987803227770999</v>
      </c>
      <c r="C3698">
        <v>0.96828115206611098</v>
      </c>
      <c r="D3698">
        <v>0.83589530755094898</v>
      </c>
      <c r="E3698">
        <v>0.93246190955392605</v>
      </c>
      <c r="F3698">
        <v>0.67771699228367799</v>
      </c>
      <c r="G3698">
        <v>0.42774734901404798</v>
      </c>
      <c r="H3698">
        <v>0.419202596677064</v>
      </c>
      <c r="I3698">
        <v>0.36630312464774001</v>
      </c>
      <c r="J3698">
        <v>0.39773853004529602</v>
      </c>
      <c r="K3698">
        <v>0.30431291411883898</v>
      </c>
      <c r="L3698">
        <v>1256.15311766895</v>
      </c>
      <c r="M3698">
        <v>23.655974190190001</v>
      </c>
      <c r="N3698">
        <v>56.009175850118297</v>
      </c>
      <c r="O3698">
        <v>52.7257839387429</v>
      </c>
      <c r="P3698">
        <v>-7.2503564559937797E-2</v>
      </c>
      <c r="Q3698">
        <v>0.35361050993021198</v>
      </c>
      <c r="R3698">
        <v>0.95409854252029302</v>
      </c>
      <c r="S3698" t="s">
        <v>10009</v>
      </c>
      <c r="T3698" t="s">
        <v>12620</v>
      </c>
      <c r="U3698" t="s">
        <v>12620</v>
      </c>
      <c r="V3698" t="s">
        <v>12620</v>
      </c>
      <c r="W3698" t="s">
        <v>16268</v>
      </c>
      <c r="X3698">
        <v>5</v>
      </c>
      <c r="Y3698" t="s">
        <v>22397</v>
      </c>
      <c r="Z3698" t="s">
        <v>28645</v>
      </c>
      <c r="AA3698">
        <v>0.6424846215161063</v>
      </c>
      <c r="AB3698" t="str">
        <f>HYPERLINK("Melting_Curves/meltCurve_Q6PIJ6_FBXO38.pdf", "Melting_Curves/meltCurve_Q6PIJ6_FBXO38.pdf")</f>
        <v>Melting_Curves/meltCurve_Q6PIJ6_FBXO38.pdf</v>
      </c>
    </row>
    <row r="3699" spans="1:28" x14ac:dyDescent="0.25">
      <c r="A3699" t="s">
        <v>3703</v>
      </c>
      <c r="B3699">
        <v>0.99987803227770999</v>
      </c>
      <c r="C3699">
        <v>0.847433850388712</v>
      </c>
      <c r="D3699">
        <v>1.04629225517418</v>
      </c>
      <c r="E3699">
        <v>0.87269350243284904</v>
      </c>
      <c r="F3699">
        <v>1.15369392095015</v>
      </c>
      <c r="G3699">
        <v>1.03515395084124</v>
      </c>
      <c r="H3699">
        <v>1.05677895501967</v>
      </c>
      <c r="I3699">
        <v>1.00606046867403</v>
      </c>
      <c r="J3699">
        <v>1.0552586981521499</v>
      </c>
      <c r="K3699">
        <v>0.85249243900216498</v>
      </c>
      <c r="L3699">
        <v>15000</v>
      </c>
      <c r="M3699">
        <v>212.531388210004</v>
      </c>
      <c r="Q3699">
        <v>0</v>
      </c>
      <c r="R3699">
        <v>0.22558005841029799</v>
      </c>
      <c r="S3699" t="s">
        <v>10010</v>
      </c>
      <c r="T3699" t="s">
        <v>12620</v>
      </c>
      <c r="U3699" t="s">
        <v>12620</v>
      </c>
      <c r="V3699" t="s">
        <v>12620</v>
      </c>
      <c r="W3699" t="s">
        <v>16269</v>
      </c>
      <c r="X3699">
        <v>5</v>
      </c>
      <c r="Y3699" t="s">
        <v>22398</v>
      </c>
      <c r="Z3699" t="s">
        <v>28646</v>
      </c>
      <c r="AA3699">
        <v>0.99827893853725669</v>
      </c>
      <c r="AB3699" t="str">
        <f>HYPERLINK("Melting_Curves/meltCurve_Q6PIR0_CENPC1.pdf", "Melting_Curves/meltCurve_Q6PIR0_CENPC1.pdf")</f>
        <v>Melting_Curves/meltCurve_Q6PIR0_CENPC1.pdf</v>
      </c>
    </row>
    <row r="3700" spans="1:28" x14ac:dyDescent="0.25">
      <c r="A3700" t="s">
        <v>3704</v>
      </c>
      <c r="B3700">
        <v>0.99987803227770999</v>
      </c>
      <c r="C3700">
        <v>0.96285374203429597</v>
      </c>
      <c r="D3700">
        <v>0.70733099989358705</v>
      </c>
      <c r="E3700">
        <v>0.44108807533954703</v>
      </c>
      <c r="F3700">
        <v>0.29707245212877198</v>
      </c>
      <c r="G3700">
        <v>0.226848205136429</v>
      </c>
      <c r="H3700">
        <v>0.137526556079509</v>
      </c>
      <c r="I3700">
        <v>0.12589956069570499</v>
      </c>
      <c r="J3700">
        <v>0.105777707432027</v>
      </c>
      <c r="K3700">
        <v>7.7299632981003105E-2</v>
      </c>
      <c r="L3700">
        <v>781.48968535314896</v>
      </c>
      <c r="M3700">
        <v>16.072328545896401</v>
      </c>
      <c r="N3700">
        <v>49.333618243011799</v>
      </c>
      <c r="O3700">
        <v>47.889249478418201</v>
      </c>
      <c r="P3700">
        <v>-7.5242672689319695E-2</v>
      </c>
      <c r="Q3700">
        <v>0.103294081241424</v>
      </c>
      <c r="R3700">
        <v>0.99233120694108301</v>
      </c>
      <c r="S3700" t="s">
        <v>10011</v>
      </c>
      <c r="T3700" t="s">
        <v>12620</v>
      </c>
      <c r="U3700" t="s">
        <v>12620</v>
      </c>
      <c r="V3700" t="s">
        <v>12620</v>
      </c>
      <c r="W3700" t="s">
        <v>16270</v>
      </c>
      <c r="X3700">
        <v>10</v>
      </c>
      <c r="Y3700" t="s">
        <v>22399</v>
      </c>
      <c r="Z3700" t="s">
        <v>28647</v>
      </c>
      <c r="AA3700">
        <v>0.3806811317487957</v>
      </c>
      <c r="AB3700" t="str">
        <f>HYPERLINK("Melting_Curves/meltCurve_Q6PIW4_2_FIGNL1.pdf", "Melting_Curves/meltCurve_Q6PIW4_2_FIGNL1.pdf")</f>
        <v>Melting_Curves/meltCurve_Q6PIW4_2_FIGNL1.pdf</v>
      </c>
    </row>
    <row r="3701" spans="1:28" x14ac:dyDescent="0.25">
      <c r="A3701" t="s">
        <v>3705</v>
      </c>
      <c r="B3701">
        <v>0.99987803227770999</v>
      </c>
      <c r="C3701">
        <v>0.951524382578816</v>
      </c>
      <c r="D3701">
        <v>0.85959392268429802</v>
      </c>
      <c r="E3701">
        <v>0.60086063228784603</v>
      </c>
      <c r="F3701">
        <v>0.41649684018932298</v>
      </c>
      <c r="G3701">
        <v>0.216930592046326</v>
      </c>
      <c r="H3701">
        <v>0.174482906402912</v>
      </c>
      <c r="I3701">
        <v>0.15302563596926499</v>
      </c>
      <c r="J3701">
        <v>0.160201089375338</v>
      </c>
      <c r="K3701">
        <v>0.118789988596386</v>
      </c>
      <c r="L3701">
        <v>850.47538578069998</v>
      </c>
      <c r="M3701">
        <v>16.8212956629934</v>
      </c>
      <c r="N3701">
        <v>51.443214689683501</v>
      </c>
      <c r="O3701">
        <v>49.861110868116903</v>
      </c>
      <c r="P3701">
        <v>-7.3761887973900195E-2</v>
      </c>
      <c r="Q3701">
        <v>0.12548648297388401</v>
      </c>
      <c r="R3701">
        <v>0.99865464881275501</v>
      </c>
      <c r="S3701" t="s">
        <v>10012</v>
      </c>
      <c r="T3701" t="s">
        <v>12620</v>
      </c>
      <c r="U3701" t="s">
        <v>12620</v>
      </c>
      <c r="V3701" t="s">
        <v>12620</v>
      </c>
      <c r="W3701" t="s">
        <v>16271</v>
      </c>
      <c r="X3701">
        <v>11</v>
      </c>
      <c r="Y3701" t="s">
        <v>22400</v>
      </c>
      <c r="Z3701" t="s">
        <v>28648</v>
      </c>
      <c r="AA3701">
        <v>0.45005608596249208</v>
      </c>
      <c r="AB3701" t="str">
        <f>HYPERLINK("Melting_Curves/meltCurve_Q6PJ69_TRIM65.pdf", "Melting_Curves/meltCurve_Q6PJ69_TRIM65.pdf")</f>
        <v>Melting_Curves/meltCurve_Q6PJ69_TRIM65.pdf</v>
      </c>
    </row>
    <row r="3702" spans="1:28" x14ac:dyDescent="0.25">
      <c r="A3702" t="s">
        <v>3706</v>
      </c>
      <c r="B3702">
        <v>0.99987803227770999</v>
      </c>
      <c r="C3702">
        <v>0.90395512289096902</v>
      </c>
      <c r="D3702">
        <v>0.97897512320645097</v>
      </c>
      <c r="E3702">
        <v>0.83183396746890503</v>
      </c>
      <c r="F3702">
        <v>0.89725166659676003</v>
      </c>
      <c r="G3702">
        <v>0.73400908769179896</v>
      </c>
      <c r="H3702">
        <v>0.72093070934634396</v>
      </c>
      <c r="I3702">
        <v>0.75536192419710901</v>
      </c>
      <c r="J3702">
        <v>0.62007431256873102</v>
      </c>
      <c r="K3702">
        <v>0.54132513388358805</v>
      </c>
      <c r="L3702">
        <v>306.118742623012</v>
      </c>
      <c r="M3702">
        <v>4.0550251937094801</v>
      </c>
      <c r="O3702">
        <v>62.241886264063602</v>
      </c>
      <c r="P3702">
        <v>-1.64877235024312E-2</v>
      </c>
      <c r="Q3702">
        <v>0</v>
      </c>
      <c r="R3702">
        <v>0.89163104397101001</v>
      </c>
      <c r="S3702" t="s">
        <v>10013</v>
      </c>
      <c r="T3702" t="s">
        <v>12620</v>
      </c>
      <c r="U3702" t="s">
        <v>12620</v>
      </c>
      <c r="V3702" t="s">
        <v>12620</v>
      </c>
      <c r="W3702" t="s">
        <v>16272</v>
      </c>
      <c r="X3702">
        <v>10</v>
      </c>
      <c r="Y3702" t="s">
        <v>22401</v>
      </c>
      <c r="Z3702" t="s">
        <v>28649</v>
      </c>
      <c r="AA3702">
        <v>0.80420804020973047</v>
      </c>
      <c r="AB3702" t="str">
        <f>HYPERLINK("Melting_Curves/meltCurve_Q6PJG2_ELMSAN1.pdf", "Melting_Curves/meltCurve_Q6PJG2_ELMSAN1.pdf")</f>
        <v>Melting_Curves/meltCurve_Q6PJG2_ELMSAN1.pdf</v>
      </c>
    </row>
    <row r="3703" spans="1:28" x14ac:dyDescent="0.25">
      <c r="A3703" t="s">
        <v>3707</v>
      </c>
      <c r="B3703">
        <v>0.99987803227770999</v>
      </c>
      <c r="C3703">
        <v>0.83154119572020402</v>
      </c>
      <c r="D3703">
        <v>0.48036653817693997</v>
      </c>
      <c r="E3703">
        <v>0.43845644899912101</v>
      </c>
      <c r="F3703">
        <v>0.25018490026043699</v>
      </c>
      <c r="G3703">
        <v>0.141034091514771</v>
      </c>
      <c r="H3703">
        <v>9.0731335754254697E-2</v>
      </c>
      <c r="I3703">
        <v>7.9098641227206903E-2</v>
      </c>
      <c r="J3703">
        <v>5.6431791116721197E-2</v>
      </c>
      <c r="K3703">
        <v>4.8048969088791103E-2</v>
      </c>
      <c r="L3703">
        <v>604.39567429429496</v>
      </c>
      <c r="M3703">
        <v>12.777537424062</v>
      </c>
      <c r="N3703">
        <v>47.645404233497203</v>
      </c>
      <c r="O3703">
        <v>46.187738574358001</v>
      </c>
      <c r="P3703">
        <v>-6.6125871669251907E-2</v>
      </c>
      <c r="Q3703">
        <v>4.4063834912376601E-2</v>
      </c>
      <c r="R3703">
        <v>0.97093479084539902</v>
      </c>
      <c r="S3703" t="s">
        <v>10014</v>
      </c>
      <c r="T3703" t="s">
        <v>12620</v>
      </c>
      <c r="U3703" t="s">
        <v>12620</v>
      </c>
      <c r="V3703" t="s">
        <v>12620</v>
      </c>
      <c r="W3703" t="s">
        <v>16273</v>
      </c>
      <c r="X3703">
        <v>15</v>
      </c>
      <c r="Y3703" t="s">
        <v>22402</v>
      </c>
      <c r="Z3703" t="s">
        <v>28650</v>
      </c>
      <c r="AA3703">
        <v>0.31167080462427532</v>
      </c>
      <c r="AB3703" t="str">
        <f>HYPERLINK("Melting_Curves/meltCurve_Q6PJG6_BRAT1.pdf", "Melting_Curves/meltCurve_Q6PJG6_BRAT1.pdf")</f>
        <v>Melting_Curves/meltCurve_Q6PJG6_BRAT1.pdf</v>
      </c>
    </row>
    <row r="3704" spans="1:28" x14ac:dyDescent="0.25">
      <c r="A3704" t="s">
        <v>3708</v>
      </c>
      <c r="B3704">
        <v>0.99987803227770999</v>
      </c>
      <c r="C3704">
        <v>0.82373158743934505</v>
      </c>
      <c r="D3704">
        <v>0.98734903151702902</v>
      </c>
      <c r="E3704">
        <v>0.79990635120603304</v>
      </c>
      <c r="F3704">
        <v>0.96279363248125305</v>
      </c>
      <c r="G3704">
        <v>0.77201405895309805</v>
      </c>
      <c r="H3704">
        <v>0.77925648400358305</v>
      </c>
      <c r="I3704">
        <v>0.70274904122801796</v>
      </c>
      <c r="J3704">
        <v>0.69289451820011105</v>
      </c>
      <c r="K3704">
        <v>0.57946770400134795</v>
      </c>
      <c r="L3704">
        <v>272.40662211748099</v>
      </c>
      <c r="M3704">
        <v>3.3795279177227</v>
      </c>
      <c r="O3704">
        <v>62.355492060563897</v>
      </c>
      <c r="P3704">
        <v>-1.38439409795957E-2</v>
      </c>
      <c r="Q3704">
        <v>0</v>
      </c>
      <c r="R3704">
        <v>0.73601373041251095</v>
      </c>
      <c r="S3704" t="s">
        <v>10015</v>
      </c>
      <c r="T3704" t="s">
        <v>12620</v>
      </c>
      <c r="U3704" t="s">
        <v>12620</v>
      </c>
      <c r="V3704" t="s">
        <v>12620</v>
      </c>
      <c r="W3704" t="s">
        <v>16274</v>
      </c>
      <c r="X3704">
        <v>21</v>
      </c>
      <c r="Y3704" t="s">
        <v>22403</v>
      </c>
      <c r="Z3704" t="s">
        <v>28651</v>
      </c>
      <c r="AA3704">
        <v>0.81760282491221981</v>
      </c>
      <c r="AB3704" t="str">
        <f>HYPERLINK("Melting_Curves/meltCurve_Q6PJT7_5_ZC3H14.pdf", "Melting_Curves/meltCurve_Q6PJT7_5_ZC3H14.pdf")</f>
        <v>Melting_Curves/meltCurve_Q6PJT7_5_ZC3H14.pdf</v>
      </c>
    </row>
    <row r="3705" spans="1:28" x14ac:dyDescent="0.25">
      <c r="A3705" t="s">
        <v>3709</v>
      </c>
      <c r="B3705">
        <v>0.99987803227770999</v>
      </c>
      <c r="C3705">
        <v>0.89680524676200501</v>
      </c>
      <c r="D3705">
        <v>0.89551656731254003</v>
      </c>
      <c r="E3705">
        <v>0.83903060423380205</v>
      </c>
      <c r="F3705">
        <v>0.73009325004474801</v>
      </c>
      <c r="G3705">
        <v>0.45507246875284901</v>
      </c>
      <c r="H3705">
        <v>0.372572107605526</v>
      </c>
      <c r="I3705">
        <v>0.32374700405159001</v>
      </c>
      <c r="J3705">
        <v>0.33624484860599801</v>
      </c>
      <c r="K3705">
        <v>0.26914209386445398</v>
      </c>
      <c r="L3705">
        <v>711.76777540165801</v>
      </c>
      <c r="M3705">
        <v>13.1122200401916</v>
      </c>
      <c r="N3705">
        <v>57.127917882078499</v>
      </c>
      <c r="O3705">
        <v>53.066763961754297</v>
      </c>
      <c r="P3705">
        <v>-4.6969337597689398E-2</v>
      </c>
      <c r="Q3705">
        <v>0.23976722996448399</v>
      </c>
      <c r="R3705">
        <v>0.979012404846483</v>
      </c>
      <c r="S3705" t="s">
        <v>10016</v>
      </c>
      <c r="T3705" t="s">
        <v>12620</v>
      </c>
      <c r="U3705" t="s">
        <v>12620</v>
      </c>
      <c r="V3705" t="s">
        <v>12620</v>
      </c>
      <c r="W3705" t="s">
        <v>16275</v>
      </c>
      <c r="X3705">
        <v>1</v>
      </c>
      <c r="Y3705" t="s">
        <v>22404</v>
      </c>
      <c r="Z3705" t="s">
        <v>28652</v>
      </c>
      <c r="AA3705">
        <v>0.61949355051736066</v>
      </c>
      <c r="AB3705" t="str">
        <f>HYPERLINK("Melting_Curves/meltCurve_Q6PK81_2_ZNF773.pdf", "Melting_Curves/meltCurve_Q6PK81_2_ZNF773.pdf")</f>
        <v>Melting_Curves/meltCurve_Q6PK81_2_ZNF773.pdf</v>
      </c>
    </row>
    <row r="3706" spans="1:28" x14ac:dyDescent="0.25">
      <c r="A3706" t="s">
        <v>3710</v>
      </c>
      <c r="B3706">
        <v>0.99987803227770999</v>
      </c>
      <c r="C3706">
        <v>0.96825836553519995</v>
      </c>
      <c r="D3706">
        <v>0.91490326195868199</v>
      </c>
      <c r="E3706">
        <v>0.75898353319870704</v>
      </c>
      <c r="F3706">
        <v>0.63789999826676502</v>
      </c>
      <c r="G3706">
        <v>0.46108085717345199</v>
      </c>
      <c r="H3706">
        <v>0.42503963014164797</v>
      </c>
      <c r="I3706">
        <v>0.40852840698707699</v>
      </c>
      <c r="J3706">
        <v>0.40060717420479802</v>
      </c>
      <c r="K3706">
        <v>0.33882241276165798</v>
      </c>
      <c r="L3706">
        <v>777.55206174684201</v>
      </c>
      <c r="M3706">
        <v>15.0185398038928</v>
      </c>
      <c r="N3706">
        <v>56.495272257388201</v>
      </c>
      <c r="O3706">
        <v>50.880924805463302</v>
      </c>
      <c r="P3706">
        <v>-4.7415048463232502E-2</v>
      </c>
      <c r="Q3706">
        <v>0.35751970803899003</v>
      </c>
      <c r="R3706">
        <v>0.99540884307661104</v>
      </c>
      <c r="S3706" t="s">
        <v>10017</v>
      </c>
      <c r="T3706" t="s">
        <v>12620</v>
      </c>
      <c r="U3706" t="s">
        <v>12620</v>
      </c>
      <c r="V3706" t="s">
        <v>12620</v>
      </c>
      <c r="W3706" t="s">
        <v>16276</v>
      </c>
      <c r="X3706">
        <v>22</v>
      </c>
      <c r="Y3706" t="s">
        <v>22405</v>
      </c>
      <c r="Z3706" t="s">
        <v>28653</v>
      </c>
      <c r="AA3706">
        <v>0.62409471258712756</v>
      </c>
      <c r="AB3706" t="str">
        <f>HYPERLINK("Melting_Curves/meltCurve_Q6PKG0_LARP1.pdf", "Melting_Curves/meltCurve_Q6PKG0_LARP1.pdf")</f>
        <v>Melting_Curves/meltCurve_Q6PKG0_LARP1.pdf</v>
      </c>
    </row>
    <row r="3707" spans="1:28" x14ac:dyDescent="0.25">
      <c r="A3707" t="s">
        <v>3711</v>
      </c>
      <c r="B3707">
        <v>0.99987803227770999</v>
      </c>
      <c r="C3707">
        <v>0.85367021097243601</v>
      </c>
      <c r="D3707">
        <v>0.93587433736523695</v>
      </c>
      <c r="E3707">
        <v>0.60956051891361096</v>
      </c>
      <c r="F3707">
        <v>0.373660651108568</v>
      </c>
      <c r="G3707">
        <v>0.25420221397595599</v>
      </c>
      <c r="H3707">
        <v>0.182574156901539</v>
      </c>
      <c r="I3707">
        <v>0.172225607518667</v>
      </c>
      <c r="J3707">
        <v>0.14458723261252401</v>
      </c>
      <c r="K3707">
        <v>0.117718936047973</v>
      </c>
      <c r="L3707">
        <v>897.13395656184503</v>
      </c>
      <c r="M3707">
        <v>17.742645800855399</v>
      </c>
      <c r="N3707">
        <v>51.476172138480003</v>
      </c>
      <c r="O3707">
        <v>49.9345069138189</v>
      </c>
      <c r="P3707">
        <v>-7.6848348030025201E-2</v>
      </c>
      <c r="Q3707">
        <v>0.13492406990467701</v>
      </c>
      <c r="R3707">
        <v>0.98367222019073197</v>
      </c>
      <c r="S3707" t="s">
        <v>10018</v>
      </c>
      <c r="T3707" t="s">
        <v>12620</v>
      </c>
      <c r="U3707" t="s">
        <v>12620</v>
      </c>
      <c r="V3707" t="s">
        <v>12620</v>
      </c>
      <c r="W3707" t="s">
        <v>16277</v>
      </c>
      <c r="X3707">
        <v>10</v>
      </c>
      <c r="Y3707" t="s">
        <v>22406</v>
      </c>
      <c r="Z3707" t="s">
        <v>28654</v>
      </c>
      <c r="AA3707">
        <v>0.45458164408267993</v>
      </c>
      <c r="AB3707" t="str">
        <f>HYPERLINK("Melting_Curves/meltCurve_Q6PL24_TMED8.pdf", "Melting_Curves/meltCurve_Q6PL24_TMED8.pdf")</f>
        <v>Melting_Curves/meltCurve_Q6PL24_TMED8.pdf</v>
      </c>
    </row>
    <row r="3708" spans="1:28" x14ac:dyDescent="0.25">
      <c r="A3708" t="s">
        <v>3712</v>
      </c>
      <c r="B3708">
        <v>0.99987803227770999</v>
      </c>
      <c r="C3708">
        <v>0.78844768212245897</v>
      </c>
      <c r="D3708">
        <v>1.09166168148497</v>
      </c>
      <c r="E3708">
        <v>0.87057830722613605</v>
      </c>
      <c r="F3708">
        <v>1.24876250430511</v>
      </c>
      <c r="G3708">
        <v>1.0449075137183099</v>
      </c>
      <c r="H3708">
        <v>1.0236578538693699</v>
      </c>
      <c r="I3708">
        <v>1.0689254266960899</v>
      </c>
      <c r="J3708">
        <v>0.86711053884635603</v>
      </c>
      <c r="K3708">
        <v>0.71182904011959702</v>
      </c>
      <c r="L3708">
        <v>15000</v>
      </c>
      <c r="M3708">
        <v>223.724626658548</v>
      </c>
      <c r="O3708">
        <v>67.041346661096298</v>
      </c>
      <c r="P3708">
        <v>-0.24043512408818499</v>
      </c>
      <c r="Q3708">
        <v>0.71180471333003004</v>
      </c>
      <c r="R3708">
        <v>0.39968192177053902</v>
      </c>
      <c r="S3708" t="s">
        <v>10019</v>
      </c>
      <c r="T3708" t="s">
        <v>12620</v>
      </c>
      <c r="U3708" t="s">
        <v>12620</v>
      </c>
      <c r="V3708" t="s">
        <v>12620</v>
      </c>
      <c r="W3708" t="s">
        <v>16278</v>
      </c>
      <c r="X3708">
        <v>15</v>
      </c>
      <c r="Y3708" t="s">
        <v>22407</v>
      </c>
      <c r="Z3708" t="s">
        <v>28655</v>
      </c>
      <c r="AA3708">
        <v>0.97167127848291124</v>
      </c>
      <c r="AB3708" t="str">
        <f>HYPERLINK("Melting_Curves/meltCurve_Q6PUV4_CPLX2.pdf", "Melting_Curves/meltCurve_Q6PUV4_CPLX2.pdf")</f>
        <v>Melting_Curves/meltCurve_Q6PUV4_CPLX2.pdf</v>
      </c>
    </row>
    <row r="3709" spans="1:28" x14ac:dyDescent="0.25">
      <c r="A3709" t="s">
        <v>3713</v>
      </c>
      <c r="B3709">
        <v>0.99987803227770999</v>
      </c>
      <c r="C3709">
        <v>1.0882492982865299</v>
      </c>
      <c r="D3709">
        <v>0.89652216461608203</v>
      </c>
      <c r="E3709">
        <v>0.74359581757493898</v>
      </c>
      <c r="F3709">
        <v>0.375835578183849</v>
      </c>
      <c r="G3709">
        <v>0.25362686203200002</v>
      </c>
      <c r="H3709">
        <v>0.17810570352374899</v>
      </c>
      <c r="I3709">
        <v>0.14440718349571899</v>
      </c>
      <c r="J3709">
        <v>0.12757319426039301</v>
      </c>
      <c r="K3709">
        <v>7.9558971099866801E-2</v>
      </c>
      <c r="L3709">
        <v>1161.7980192063901</v>
      </c>
      <c r="M3709">
        <v>22.564564136455399</v>
      </c>
      <c r="N3709">
        <v>52.153131174252998</v>
      </c>
      <c r="O3709">
        <v>51.088467367450399</v>
      </c>
      <c r="P3709">
        <v>-9.6609833805219994E-2</v>
      </c>
      <c r="Q3709">
        <v>0.12508004706952899</v>
      </c>
      <c r="R3709">
        <v>0.98556134553923602</v>
      </c>
      <c r="S3709" t="s">
        <v>10020</v>
      </c>
      <c r="T3709" t="s">
        <v>12620</v>
      </c>
      <c r="U3709" t="s">
        <v>12620</v>
      </c>
      <c r="V3709" t="s">
        <v>12620</v>
      </c>
      <c r="W3709" t="s">
        <v>16279</v>
      </c>
      <c r="X3709">
        <v>4</v>
      </c>
      <c r="Y3709" t="s">
        <v>22408</v>
      </c>
      <c r="Z3709" t="s">
        <v>28656</v>
      </c>
      <c r="AA3709">
        <v>0.469787796858884</v>
      </c>
      <c r="AB3709" t="str">
        <f>HYPERLINK("Melting_Curves/meltCurve_Q6Q0C0_TRAF7.pdf", "Melting_Curves/meltCurve_Q6Q0C0_TRAF7.pdf")</f>
        <v>Melting_Curves/meltCurve_Q6Q0C0_TRAF7.pdf</v>
      </c>
    </row>
    <row r="3710" spans="1:28" x14ac:dyDescent="0.25">
      <c r="A3710" t="s">
        <v>3714</v>
      </c>
      <c r="B3710">
        <v>0.99987803227770999</v>
      </c>
      <c r="C3710">
        <v>1.07483394593475</v>
      </c>
      <c r="D3710">
        <v>1.0201792797275899</v>
      </c>
      <c r="E3710">
        <v>1.06979909419576</v>
      </c>
      <c r="F3710">
        <v>1.0803778507396999</v>
      </c>
      <c r="G3710">
        <v>0.91750299274527902</v>
      </c>
      <c r="H3710">
        <v>0.86896940437462</v>
      </c>
      <c r="I3710">
        <v>0.86314418843972096</v>
      </c>
      <c r="J3710">
        <v>0.71725401128058797</v>
      </c>
      <c r="K3710">
        <v>0.62651206656116398</v>
      </c>
      <c r="L3710">
        <v>981.34439231838803</v>
      </c>
      <c r="M3710">
        <v>14.360783063665901</v>
      </c>
      <c r="O3710">
        <v>67.050936213021004</v>
      </c>
      <c r="P3710">
        <v>-3.41454661407063E-2</v>
      </c>
      <c r="Q3710">
        <v>0.36237154170017399</v>
      </c>
      <c r="R3710">
        <v>0.88910884299262005</v>
      </c>
      <c r="S3710" t="s">
        <v>10021</v>
      </c>
      <c r="T3710" t="s">
        <v>12620</v>
      </c>
      <c r="U3710" t="s">
        <v>12620</v>
      </c>
      <c r="V3710" t="s">
        <v>12620</v>
      </c>
      <c r="W3710" t="s">
        <v>16280</v>
      </c>
      <c r="X3710">
        <v>8</v>
      </c>
      <c r="Y3710" t="s">
        <v>22409</v>
      </c>
      <c r="Z3710" t="s">
        <v>28657</v>
      </c>
      <c r="AA3710">
        <v>0.92019907475271845</v>
      </c>
      <c r="AB3710" t="str">
        <f>HYPERLINK("Melting_Curves/meltCurve_Q6QNY0_BLOC1S3.pdf", "Melting_Curves/meltCurve_Q6QNY0_BLOC1S3.pdf")</f>
        <v>Melting_Curves/meltCurve_Q6QNY0_BLOC1S3.pdf</v>
      </c>
    </row>
    <row r="3711" spans="1:28" x14ac:dyDescent="0.25">
      <c r="A3711" t="s">
        <v>3715</v>
      </c>
      <c r="B3711">
        <v>0.99987803227770999</v>
      </c>
      <c r="C3711">
        <v>0.85220956993644903</v>
      </c>
      <c r="D3711">
        <v>0.88678322472950799</v>
      </c>
      <c r="E3711">
        <v>0.83168458004402901</v>
      </c>
      <c r="F3711">
        <v>0.781107466467725</v>
      </c>
      <c r="G3711">
        <v>0.59476612668655104</v>
      </c>
      <c r="H3711">
        <v>0.53504566608741</v>
      </c>
      <c r="I3711">
        <v>0.53137842573916705</v>
      </c>
      <c r="J3711">
        <v>0.49461806386389301</v>
      </c>
      <c r="K3711">
        <v>0.37061535585319799</v>
      </c>
      <c r="L3711">
        <v>332.67790443024899</v>
      </c>
      <c r="M3711">
        <v>5.3180516692590603</v>
      </c>
      <c r="N3711">
        <v>64.201930326564494</v>
      </c>
      <c r="O3711">
        <v>55.354463441459103</v>
      </c>
      <c r="P3711">
        <v>-2.2599286032903902E-2</v>
      </c>
      <c r="Q3711">
        <v>6.3713345616752098E-2</v>
      </c>
      <c r="R3711">
        <v>0.95530419300926295</v>
      </c>
      <c r="S3711" t="s">
        <v>10022</v>
      </c>
      <c r="T3711" t="s">
        <v>12620</v>
      </c>
      <c r="U3711" t="s">
        <v>12620</v>
      </c>
      <c r="V3711" t="s">
        <v>12620</v>
      </c>
      <c r="W3711" t="s">
        <v>16281</v>
      </c>
      <c r="X3711">
        <v>5</v>
      </c>
      <c r="Y3711" t="s">
        <v>22410</v>
      </c>
      <c r="Z3711" t="s">
        <v>28658</v>
      </c>
      <c r="AA3711">
        <v>0.69129640872304832</v>
      </c>
      <c r="AB3711" t="str">
        <f>HYPERLINK("Melting_Curves/meltCurve_Q6R327_RICTOR.pdf", "Melting_Curves/meltCurve_Q6R327_RICTOR.pdf")</f>
        <v>Melting_Curves/meltCurve_Q6R327_RICTOR.pdf</v>
      </c>
    </row>
    <row r="3712" spans="1:28" x14ac:dyDescent="0.25">
      <c r="A3712" t="s">
        <v>3716</v>
      </c>
      <c r="B3712">
        <v>0.99987803227770999</v>
      </c>
      <c r="C3712">
        <v>1.08582649821701</v>
      </c>
      <c r="D3712">
        <v>0.80551816072527305</v>
      </c>
      <c r="E3712">
        <v>1.1927724591841999</v>
      </c>
      <c r="F3712">
        <v>1.8087188344424701</v>
      </c>
      <c r="G3712">
        <v>0.60309347082328502</v>
      </c>
      <c r="H3712">
        <v>0.50929769145925297</v>
      </c>
      <c r="I3712">
        <v>0.15774340203125101</v>
      </c>
      <c r="J3712">
        <v>0.103021519055502</v>
      </c>
      <c r="K3712">
        <v>4.8353138279277397E-2</v>
      </c>
      <c r="L3712">
        <v>1822.7445269059799</v>
      </c>
      <c r="M3712">
        <v>30.3482872385806</v>
      </c>
      <c r="N3712">
        <v>60.291740734549997</v>
      </c>
      <c r="O3712">
        <v>59.801901103753401</v>
      </c>
      <c r="P3712">
        <v>-0.11991162888653401</v>
      </c>
      <c r="Q3712">
        <v>5.4852989897597897E-2</v>
      </c>
      <c r="R3712">
        <v>0.70648769067666295</v>
      </c>
      <c r="S3712" t="s">
        <v>10023</v>
      </c>
      <c r="T3712" t="s">
        <v>12620</v>
      </c>
      <c r="U3712" t="s">
        <v>12620</v>
      </c>
      <c r="V3712" t="s">
        <v>12620</v>
      </c>
      <c r="W3712" t="s">
        <v>16282</v>
      </c>
      <c r="X3712">
        <v>2</v>
      </c>
      <c r="Y3712" t="s">
        <v>22411</v>
      </c>
      <c r="Z3712" t="s">
        <v>28659</v>
      </c>
      <c r="AA3712">
        <v>0.69250236787865438</v>
      </c>
      <c r="AB3712" t="str">
        <f>HYPERLINK("Melting_Curves/meltCurve_Q6SJ93_FAM111B.pdf", "Melting_Curves/meltCurve_Q6SJ93_FAM111B.pdf")</f>
        <v>Melting_Curves/meltCurve_Q6SJ93_FAM111B.pdf</v>
      </c>
    </row>
    <row r="3713" spans="1:28" x14ac:dyDescent="0.25">
      <c r="A3713" t="s">
        <v>3717</v>
      </c>
      <c r="B3713">
        <v>0.99987803227770999</v>
      </c>
      <c r="C3713">
        <v>0.79570230178351897</v>
      </c>
      <c r="D3713">
        <v>0.86039527241796598</v>
      </c>
      <c r="E3713">
        <v>0.59987807172617302</v>
      </c>
      <c r="F3713">
        <v>0.59320118413455103</v>
      </c>
      <c r="G3713">
        <v>0.46203721486945698</v>
      </c>
      <c r="H3713">
        <v>0.37994905324161499</v>
      </c>
      <c r="I3713">
        <v>0.34574892044285599</v>
      </c>
      <c r="J3713">
        <v>0.25710000659468801</v>
      </c>
      <c r="K3713">
        <v>0.34112577457211002</v>
      </c>
      <c r="L3713">
        <v>455.78243174660599</v>
      </c>
      <c r="M3713">
        <v>8.9030085536507997</v>
      </c>
      <c r="N3713">
        <v>55.0581682119333</v>
      </c>
      <c r="O3713">
        <v>48.808918103991502</v>
      </c>
      <c r="P3713">
        <v>-3.50338243563032E-2</v>
      </c>
      <c r="Q3713">
        <v>0.23231781974316201</v>
      </c>
      <c r="R3713">
        <v>0.95521199464046302</v>
      </c>
      <c r="S3713" t="s">
        <v>10024</v>
      </c>
      <c r="T3713" t="s">
        <v>12620</v>
      </c>
      <c r="U3713" t="s">
        <v>12620</v>
      </c>
      <c r="V3713" t="s">
        <v>12620</v>
      </c>
      <c r="W3713" t="s">
        <v>16283</v>
      </c>
      <c r="X3713">
        <v>4</v>
      </c>
      <c r="Y3713" t="s">
        <v>22412</v>
      </c>
      <c r="Z3713" t="s">
        <v>28660</v>
      </c>
      <c r="AA3713">
        <v>0.55463681921957386</v>
      </c>
      <c r="AB3713" t="str">
        <f>HYPERLINK("Melting_Curves/meltCurve_Q6SPF0_SAMD1.pdf", "Melting_Curves/meltCurve_Q6SPF0_SAMD1.pdf")</f>
        <v>Melting_Curves/meltCurve_Q6SPF0_SAMD1.pdf</v>
      </c>
    </row>
    <row r="3714" spans="1:28" x14ac:dyDescent="0.25">
      <c r="A3714" t="s">
        <v>3718</v>
      </c>
      <c r="B3714">
        <v>0.99987803227770999</v>
      </c>
      <c r="C3714">
        <v>0.94709045705234696</v>
      </c>
      <c r="D3714">
        <v>0.75775259840507903</v>
      </c>
      <c r="E3714">
        <v>1.07088676828753</v>
      </c>
      <c r="F3714">
        <v>0.35700731830548399</v>
      </c>
      <c r="G3714">
        <v>0.22325341230111101</v>
      </c>
      <c r="H3714">
        <v>0.122756048941457</v>
      </c>
      <c r="I3714">
        <v>0.162330069635892</v>
      </c>
      <c r="J3714">
        <v>2.89684110310853E-2</v>
      </c>
      <c r="K3714">
        <v>4.1948686270765798E-2</v>
      </c>
      <c r="L3714">
        <v>13198.0235734362</v>
      </c>
      <c r="M3714">
        <v>250</v>
      </c>
      <c r="N3714">
        <v>52.847813359126299</v>
      </c>
      <c r="O3714">
        <v>52.788717370727198</v>
      </c>
      <c r="P3714">
        <v>-1.0468012637033901</v>
      </c>
      <c r="Q3714">
        <v>0.11585128797679201</v>
      </c>
      <c r="R3714">
        <v>0.94239072186793804</v>
      </c>
      <c r="S3714" t="s">
        <v>10025</v>
      </c>
      <c r="T3714" t="s">
        <v>12620</v>
      </c>
      <c r="U3714" t="s">
        <v>12620</v>
      </c>
      <c r="V3714" t="s">
        <v>12620</v>
      </c>
      <c r="W3714" t="s">
        <v>16284</v>
      </c>
      <c r="X3714">
        <v>2</v>
      </c>
      <c r="Y3714" t="s">
        <v>22413</v>
      </c>
      <c r="Z3714" t="s">
        <v>28661</v>
      </c>
      <c r="AA3714">
        <v>0.49293699353593179</v>
      </c>
      <c r="AB3714" t="str">
        <f>HYPERLINK("Melting_Curves/meltCurve_Q6SZW1_SARM1.pdf", "Melting_Curves/meltCurve_Q6SZW1_SARM1.pdf")</f>
        <v>Melting_Curves/meltCurve_Q6SZW1_SARM1.pdf</v>
      </c>
    </row>
    <row r="3715" spans="1:28" x14ac:dyDescent="0.25">
      <c r="A3715" t="s">
        <v>3719</v>
      </c>
      <c r="B3715">
        <v>0.99987803227770999</v>
      </c>
      <c r="C3715">
        <v>0.91308212112291798</v>
      </c>
      <c r="D3715">
        <v>0.98079752125433295</v>
      </c>
      <c r="E3715">
        <v>0.93902833392992002</v>
      </c>
      <c r="F3715">
        <v>1.08291320743848</v>
      </c>
      <c r="G3715">
        <v>0.93569479503440001</v>
      </c>
      <c r="H3715">
        <v>0.97888543450469401</v>
      </c>
      <c r="I3715">
        <v>0.94054089130271701</v>
      </c>
      <c r="J3715">
        <v>0.88023165508054502</v>
      </c>
      <c r="K3715">
        <v>0.74198145250056202</v>
      </c>
      <c r="L3715">
        <v>1275.57967580114</v>
      </c>
      <c r="M3715">
        <v>17.141060882790001</v>
      </c>
      <c r="Q3715">
        <v>0</v>
      </c>
      <c r="R3715">
        <v>0.68500116180288395</v>
      </c>
      <c r="S3715" t="s">
        <v>10026</v>
      </c>
      <c r="T3715" t="s">
        <v>12620</v>
      </c>
      <c r="U3715" t="s">
        <v>12620</v>
      </c>
      <c r="V3715" t="s">
        <v>12620</v>
      </c>
      <c r="W3715" t="s">
        <v>16285</v>
      </c>
      <c r="X3715">
        <v>15</v>
      </c>
      <c r="Y3715" t="s">
        <v>22414</v>
      </c>
      <c r="Z3715" t="s">
        <v>28662</v>
      </c>
      <c r="AA3715">
        <v>0.96640404922439915</v>
      </c>
      <c r="AB3715" t="str">
        <f>HYPERLINK("Melting_Curves/meltCurve_Q6T4R5_4_NHS.pdf", "Melting_Curves/meltCurve_Q6T4R5_4_NHS.pdf")</f>
        <v>Melting_Curves/meltCurve_Q6T4R5_4_NHS.pdf</v>
      </c>
    </row>
    <row r="3716" spans="1:28" x14ac:dyDescent="0.25">
      <c r="A3716" t="s">
        <v>3720</v>
      </c>
      <c r="B3716">
        <v>0.99987803227770999</v>
      </c>
      <c r="C3716">
        <v>0.93907355524922198</v>
      </c>
      <c r="D3716">
        <v>0.56471464848712105</v>
      </c>
      <c r="E3716">
        <v>0.26769077866630597</v>
      </c>
      <c r="F3716">
        <v>0.14564144975638299</v>
      </c>
      <c r="G3716">
        <v>8.8650325743302005E-2</v>
      </c>
      <c r="H3716">
        <v>6.09096352211803E-2</v>
      </c>
      <c r="I3716">
        <v>5.5918517721533001E-2</v>
      </c>
      <c r="J3716">
        <v>3.6949231723204502E-2</v>
      </c>
      <c r="K3716">
        <v>2.5518609629088598E-2</v>
      </c>
      <c r="L3716">
        <v>1000.03595419365</v>
      </c>
      <c r="M3716">
        <v>21.358816292451699</v>
      </c>
      <c r="N3716">
        <v>47.062120371189899</v>
      </c>
      <c r="O3716">
        <v>46.416127854298303</v>
      </c>
      <c r="P3716">
        <v>-0.10907462664619801</v>
      </c>
      <c r="Q3716">
        <v>5.1877272930756599E-2</v>
      </c>
      <c r="R3716">
        <v>0.99337753365635495</v>
      </c>
      <c r="S3716" t="s">
        <v>10027</v>
      </c>
      <c r="T3716" t="s">
        <v>12620</v>
      </c>
      <c r="U3716" t="s">
        <v>12620</v>
      </c>
      <c r="V3716" t="s">
        <v>12620</v>
      </c>
      <c r="W3716" t="s">
        <v>16286</v>
      </c>
      <c r="X3716">
        <v>17</v>
      </c>
      <c r="Y3716" t="s">
        <v>22415</v>
      </c>
      <c r="Z3716" t="s">
        <v>28663</v>
      </c>
      <c r="AA3716">
        <v>0.27951901080835673</v>
      </c>
      <c r="AB3716" t="str">
        <f>HYPERLINK("Melting_Curves/meltCurve_Q6UB35_MTHFD1L.pdf", "Melting_Curves/meltCurve_Q6UB35_MTHFD1L.pdf")</f>
        <v>Melting_Curves/meltCurve_Q6UB35_MTHFD1L.pdf</v>
      </c>
    </row>
    <row r="3717" spans="1:28" x14ac:dyDescent="0.25">
      <c r="A3717" t="s">
        <v>3721</v>
      </c>
      <c r="B3717">
        <v>0.99987803227770999</v>
      </c>
      <c r="C3717">
        <v>0.95838175855985597</v>
      </c>
      <c r="D3717">
        <v>1.0748395624801801</v>
      </c>
      <c r="E3717">
        <v>0.96031066734225101</v>
      </c>
      <c r="F3717">
        <v>0.74391512073658095</v>
      </c>
      <c r="G3717">
        <v>0.65139165210653704</v>
      </c>
      <c r="H3717">
        <v>0.61331258806090905</v>
      </c>
      <c r="I3717">
        <v>0.56408489974963405</v>
      </c>
      <c r="J3717">
        <v>0.516951822995803</v>
      </c>
      <c r="K3717">
        <v>0.33557054596031199</v>
      </c>
      <c r="L3717">
        <v>603.770169673483</v>
      </c>
      <c r="M3717">
        <v>10.282708081089501</v>
      </c>
      <c r="N3717">
        <v>64.6472352429587</v>
      </c>
      <c r="O3717">
        <v>56.626345425305701</v>
      </c>
      <c r="P3717">
        <v>-3.1550319767291203E-2</v>
      </c>
      <c r="Q3717">
        <v>0.30531974374187398</v>
      </c>
      <c r="R3717">
        <v>0.92571162955723996</v>
      </c>
      <c r="S3717" t="s">
        <v>10028</v>
      </c>
      <c r="T3717" t="s">
        <v>12620</v>
      </c>
      <c r="U3717" t="s">
        <v>12620</v>
      </c>
      <c r="V3717" t="s">
        <v>12620</v>
      </c>
      <c r="W3717" t="s">
        <v>16287</v>
      </c>
      <c r="X3717">
        <v>2</v>
      </c>
      <c r="Y3717" t="s">
        <v>22416</v>
      </c>
      <c r="Z3717" t="s">
        <v>28664</v>
      </c>
      <c r="AA3717">
        <v>0.74293051079699635</v>
      </c>
      <c r="AB3717" t="str">
        <f>HYPERLINK("Melting_Curves/meltCurve_Q6UB99_ANKRD11.pdf", "Melting_Curves/meltCurve_Q6UB99_ANKRD11.pdf")</f>
        <v>Melting_Curves/meltCurve_Q6UB99_ANKRD11.pdf</v>
      </c>
    </row>
    <row r="3718" spans="1:28" x14ac:dyDescent="0.25">
      <c r="A3718" t="s">
        <v>3722</v>
      </c>
      <c r="B3718">
        <v>0.99987803227770999</v>
      </c>
      <c r="C3718">
        <v>0.97179538859271997</v>
      </c>
      <c r="D3718">
        <v>0.93162888017020595</v>
      </c>
      <c r="E3718">
        <v>1.07901946517254</v>
      </c>
      <c r="F3718">
        <v>0.99748105841402102</v>
      </c>
      <c r="G3718">
        <v>0.93163119603298805</v>
      </c>
      <c r="H3718">
        <v>0.84693076696066305</v>
      </c>
      <c r="I3718">
        <v>0.88213386994700604</v>
      </c>
      <c r="J3718">
        <v>0.779973680982471</v>
      </c>
      <c r="K3718">
        <v>0.65631783811613498</v>
      </c>
      <c r="L3718">
        <v>708.34377631817495</v>
      </c>
      <c r="M3718">
        <v>9.4009760170083698</v>
      </c>
      <c r="Q3718">
        <v>0</v>
      </c>
      <c r="R3718">
        <v>0.86188343250438404</v>
      </c>
      <c r="S3718" t="s">
        <v>10029</v>
      </c>
      <c r="T3718" t="s">
        <v>12620</v>
      </c>
      <c r="U3718" t="s">
        <v>12620</v>
      </c>
      <c r="V3718" t="s">
        <v>12620</v>
      </c>
      <c r="W3718" t="s">
        <v>16288</v>
      </c>
      <c r="X3718">
        <v>16</v>
      </c>
      <c r="Y3718" t="s">
        <v>22417</v>
      </c>
      <c r="Z3718" t="s">
        <v>28665</v>
      </c>
      <c r="AA3718">
        <v>0.92389638655637218</v>
      </c>
      <c r="AB3718" t="str">
        <f>HYPERLINK("Melting_Curves/meltCurve_Q6ULP2_5_AFTPH.pdf", "Melting_Curves/meltCurve_Q6ULP2_5_AFTPH.pdf")</f>
        <v>Melting_Curves/meltCurve_Q6ULP2_5_AFTPH.pdf</v>
      </c>
    </row>
    <row r="3719" spans="1:28" x14ac:dyDescent="0.25">
      <c r="A3719" t="s">
        <v>3723</v>
      </c>
      <c r="B3719">
        <v>0.99987803227770999</v>
      </c>
      <c r="C3719">
        <v>0.98748545997539205</v>
      </c>
      <c r="D3719">
        <v>1.17812732041663</v>
      </c>
      <c r="E3719">
        <v>1.29291235651252</v>
      </c>
      <c r="F3719">
        <v>1.45383881469068</v>
      </c>
      <c r="G3719">
        <v>1.4932582291047301</v>
      </c>
      <c r="H3719">
        <v>1.7193610401942301</v>
      </c>
      <c r="I3719">
        <v>1.69675036089644</v>
      </c>
      <c r="J3719">
        <v>1.8094470440750201</v>
      </c>
      <c r="K3719">
        <v>1.59240293273033</v>
      </c>
      <c r="L3719">
        <v>1136.99024087259</v>
      </c>
      <c r="M3719">
        <v>23.583813012555499</v>
      </c>
      <c r="O3719">
        <v>47.868004405779097</v>
      </c>
      <c r="P3719">
        <v>6.1586580627301803E-2</v>
      </c>
      <c r="Q3719">
        <v>1.5</v>
      </c>
      <c r="R3719">
        <v>0.74541975540553795</v>
      </c>
      <c r="S3719" t="s">
        <v>10030</v>
      </c>
      <c r="T3719" t="s">
        <v>12620</v>
      </c>
      <c r="U3719" t="s">
        <v>12620</v>
      </c>
      <c r="V3719" t="s">
        <v>12620</v>
      </c>
      <c r="W3719" t="s">
        <v>16289</v>
      </c>
      <c r="X3719">
        <v>4</v>
      </c>
      <c r="Y3719" t="s">
        <v>22418</v>
      </c>
      <c r="Z3719" t="s">
        <v>28666</v>
      </c>
      <c r="AA3719">
        <v>1.3581590964831529</v>
      </c>
      <c r="AB3719" t="str">
        <f>HYPERLINK("Melting_Curves/meltCurve_Q6UN15_FIP1L1.pdf", "Melting_Curves/meltCurve_Q6UN15_FIP1L1.pdf")</f>
        <v>Melting_Curves/meltCurve_Q6UN15_FIP1L1.pdf</v>
      </c>
    </row>
    <row r="3720" spans="1:28" x14ac:dyDescent="0.25">
      <c r="A3720" t="s">
        <v>3724</v>
      </c>
      <c r="B3720">
        <v>0.99987803227770999</v>
      </c>
      <c r="C3720">
        <v>0.94415045571309497</v>
      </c>
      <c r="D3720">
        <v>0.96828901243409204</v>
      </c>
      <c r="E3720">
        <v>0.87326329869707298</v>
      </c>
      <c r="F3720">
        <v>0.84717127356016397</v>
      </c>
      <c r="G3720">
        <v>0.74116588816732998</v>
      </c>
      <c r="H3720">
        <v>0.71162791044927898</v>
      </c>
      <c r="I3720">
        <v>0.77657635912239198</v>
      </c>
      <c r="J3720">
        <v>0.53800967072445005</v>
      </c>
      <c r="K3720">
        <v>0.50478645638928399</v>
      </c>
      <c r="L3720">
        <v>354.11623498305102</v>
      </c>
      <c r="M3720">
        <v>4.91751899388679</v>
      </c>
      <c r="O3720">
        <v>62.602771468828102</v>
      </c>
      <c r="P3720">
        <v>-1.97651633349562E-2</v>
      </c>
      <c r="Q3720">
        <v>0</v>
      </c>
      <c r="R3720">
        <v>0.90875486589723697</v>
      </c>
      <c r="S3720" t="s">
        <v>10031</v>
      </c>
      <c r="T3720" t="s">
        <v>12620</v>
      </c>
      <c r="U3720" t="s">
        <v>12620</v>
      </c>
      <c r="V3720" t="s">
        <v>12620</v>
      </c>
      <c r="W3720" t="s">
        <v>16290</v>
      </c>
      <c r="X3720">
        <v>3</v>
      </c>
      <c r="Y3720" t="s">
        <v>22419</v>
      </c>
      <c r="Z3720" t="s">
        <v>28667</v>
      </c>
      <c r="AA3720">
        <v>0.79824300584441654</v>
      </c>
      <c r="AB3720" t="str">
        <f>HYPERLINK("Melting_Curves/meltCurve_Q6UUV9_3_CRTC1.pdf", "Melting_Curves/meltCurve_Q6UUV9_3_CRTC1.pdf")</f>
        <v>Melting_Curves/meltCurve_Q6UUV9_3_CRTC1.pdf</v>
      </c>
    </row>
    <row r="3721" spans="1:28" x14ac:dyDescent="0.25">
      <c r="A3721" t="s">
        <v>3725</v>
      </c>
      <c r="B3721">
        <v>0.99987803227770999</v>
      </c>
      <c r="C3721">
        <v>0.993153704299651</v>
      </c>
      <c r="D3721">
        <v>0.93792178598082199</v>
      </c>
      <c r="E3721">
        <v>0.59767979954928196</v>
      </c>
      <c r="F3721">
        <v>0.27179097882776398</v>
      </c>
      <c r="G3721">
        <v>0.21238425785774201</v>
      </c>
      <c r="H3721">
        <v>0.106825131332892</v>
      </c>
      <c r="I3721">
        <v>8.1694928846447107E-2</v>
      </c>
      <c r="J3721">
        <v>6.2439076031442498E-2</v>
      </c>
      <c r="K3721">
        <v>4.97103529427761E-2</v>
      </c>
      <c r="L3721">
        <v>1195.8217625407599</v>
      </c>
      <c r="M3721">
        <v>23.6739709703605</v>
      </c>
      <c r="N3721">
        <v>50.887038751160198</v>
      </c>
      <c r="O3721">
        <v>50.155814405622898</v>
      </c>
      <c r="P3721">
        <v>-0.108559699260539</v>
      </c>
      <c r="Q3721">
        <v>8.0034485340460704E-2</v>
      </c>
      <c r="R3721">
        <v>0.99414952866709405</v>
      </c>
      <c r="S3721" t="s">
        <v>10032</v>
      </c>
      <c r="T3721" t="s">
        <v>12620</v>
      </c>
      <c r="U3721" t="s">
        <v>12620</v>
      </c>
      <c r="V3721" t="s">
        <v>12620</v>
      </c>
      <c r="W3721" t="s">
        <v>16291</v>
      </c>
      <c r="X3721">
        <v>3</v>
      </c>
      <c r="Y3721" t="s">
        <v>22420</v>
      </c>
      <c r="Z3721" t="s">
        <v>28668</v>
      </c>
      <c r="AA3721">
        <v>0.4116029152279283</v>
      </c>
      <c r="AB3721" t="str">
        <f>HYPERLINK("Melting_Curves/meltCurve_Q6UW63_KDELC1.pdf", "Melting_Curves/meltCurve_Q6UW63_KDELC1.pdf")</f>
        <v>Melting_Curves/meltCurve_Q6UW63_KDELC1.pdf</v>
      </c>
    </row>
    <row r="3722" spans="1:28" x14ac:dyDescent="0.25">
      <c r="A3722" t="s">
        <v>3726</v>
      </c>
      <c r="B3722">
        <v>0.99987803227770999</v>
      </c>
      <c r="C3722">
        <v>1.04961652067622</v>
      </c>
      <c r="D3722">
        <v>1.05958503110069</v>
      </c>
      <c r="E3722">
        <v>1.0111018107343599</v>
      </c>
      <c r="F3722">
        <v>0.93838137393396703</v>
      </c>
      <c r="G3722">
        <v>0.37871352388801399</v>
      </c>
      <c r="H3722">
        <v>0.158958390523814</v>
      </c>
      <c r="I3722">
        <v>0.125123517378781</v>
      </c>
      <c r="J3722">
        <v>7.0167865824821402E-2</v>
      </c>
      <c r="K3722">
        <v>5.2583606913030399E-2</v>
      </c>
      <c r="L3722">
        <v>2364.1481714914999</v>
      </c>
      <c r="M3722">
        <v>42.192420482353903</v>
      </c>
      <c r="N3722">
        <v>56.301579588533897</v>
      </c>
      <c r="O3722">
        <v>55.907110443064099</v>
      </c>
      <c r="P3722">
        <v>-0.17144745866150701</v>
      </c>
      <c r="Q3722">
        <v>9.1295155161085606E-2</v>
      </c>
      <c r="R3722">
        <v>0.99423249400897096</v>
      </c>
      <c r="S3722" t="s">
        <v>10033</v>
      </c>
      <c r="T3722" t="s">
        <v>12620</v>
      </c>
      <c r="U3722" t="s">
        <v>12620</v>
      </c>
      <c r="V3722" t="s">
        <v>12620</v>
      </c>
      <c r="W3722" t="s">
        <v>16292</v>
      </c>
      <c r="X3722">
        <v>30</v>
      </c>
      <c r="Y3722" t="s">
        <v>22421</v>
      </c>
      <c r="Z3722" t="s">
        <v>28669</v>
      </c>
      <c r="AA3722">
        <v>0.58006973000127238</v>
      </c>
      <c r="AB3722" t="str">
        <f>HYPERLINK("Melting_Curves/meltCurve_Q6UWE0_LRSAM1.pdf", "Melting_Curves/meltCurve_Q6UWE0_LRSAM1.pdf")</f>
        <v>Melting_Curves/meltCurve_Q6UWE0_LRSAM1.pdf</v>
      </c>
    </row>
    <row r="3723" spans="1:28" x14ac:dyDescent="0.25">
      <c r="A3723" t="s">
        <v>3727</v>
      </c>
      <c r="B3723">
        <v>0.99987803227770999</v>
      </c>
      <c r="C3723">
        <v>0.98793663923048702</v>
      </c>
      <c r="D3723">
        <v>1.04339061610078</v>
      </c>
      <c r="E3723">
        <v>0.63900884308488004</v>
      </c>
      <c r="F3723">
        <v>0.22056298875008901</v>
      </c>
      <c r="G3723">
        <v>0.14521172414039901</v>
      </c>
      <c r="H3723">
        <v>0.104270914445607</v>
      </c>
      <c r="I3723">
        <v>8.6446954010619803E-2</v>
      </c>
      <c r="J3723">
        <v>5.9992330584845398E-2</v>
      </c>
      <c r="K3723">
        <v>3.9923425566339002E-2</v>
      </c>
      <c r="L3723">
        <v>1984.65824057029</v>
      </c>
      <c r="M3723">
        <v>39.221883318725602</v>
      </c>
      <c r="N3723">
        <v>50.841183016139901</v>
      </c>
      <c r="O3723">
        <v>50.469780242335801</v>
      </c>
      <c r="P3723">
        <v>-0.17784107768882201</v>
      </c>
      <c r="Q3723">
        <v>8.4635398677869206E-2</v>
      </c>
      <c r="R3723">
        <v>0.99446970109604804</v>
      </c>
      <c r="S3723" t="s">
        <v>10034</v>
      </c>
      <c r="T3723" t="s">
        <v>12620</v>
      </c>
      <c r="U3723" t="s">
        <v>12620</v>
      </c>
      <c r="V3723" t="s">
        <v>12620</v>
      </c>
      <c r="W3723" t="s">
        <v>16293</v>
      </c>
      <c r="X3723">
        <v>8</v>
      </c>
      <c r="Y3723" t="s">
        <v>22422</v>
      </c>
      <c r="Z3723" t="s">
        <v>28670</v>
      </c>
      <c r="AA3723">
        <v>0.41141956406894908</v>
      </c>
      <c r="AB3723" t="str">
        <f>HYPERLINK("Melting_Curves/meltCurve_Q6UWP2_DHRS11.pdf", "Melting_Curves/meltCurve_Q6UWP2_DHRS11.pdf")</f>
        <v>Melting_Curves/meltCurve_Q6UWP2_DHRS11.pdf</v>
      </c>
    </row>
    <row r="3724" spans="1:28" x14ac:dyDescent="0.25">
      <c r="A3724" t="s">
        <v>3728</v>
      </c>
      <c r="B3724">
        <v>0.99987803227770999</v>
      </c>
      <c r="C3724">
        <v>0.79380382870644495</v>
      </c>
      <c r="D3724">
        <v>1.7471685564909401</v>
      </c>
      <c r="E3724">
        <v>0.81344661852882305</v>
      </c>
      <c r="F3724">
        <v>0.54613751369499297</v>
      </c>
      <c r="G3724">
        <v>1.04133971107886</v>
      </c>
      <c r="H3724">
        <v>0.870466361269291</v>
      </c>
      <c r="I3724">
        <v>2.0052532875726898</v>
      </c>
      <c r="J3724">
        <v>0.38670577087392899</v>
      </c>
      <c r="K3724">
        <v>0.371066009845677</v>
      </c>
      <c r="L3724">
        <v>15000</v>
      </c>
      <c r="M3724">
        <v>226.75438863258901</v>
      </c>
      <c r="N3724">
        <v>66.529305575784605</v>
      </c>
      <c r="O3724">
        <v>66.145720205092601</v>
      </c>
      <c r="P3724">
        <v>-0.54648668626202601</v>
      </c>
      <c r="Q3724">
        <v>0.36234517472207201</v>
      </c>
      <c r="R3724">
        <v>0.28688251513058799</v>
      </c>
      <c r="S3724" t="s">
        <v>10035</v>
      </c>
      <c r="T3724" t="s">
        <v>12620</v>
      </c>
      <c r="U3724" t="s">
        <v>12620</v>
      </c>
      <c r="V3724" t="s">
        <v>12620</v>
      </c>
      <c r="W3724" t="s">
        <v>16294</v>
      </c>
      <c r="X3724">
        <v>1</v>
      </c>
      <c r="Y3724" t="s">
        <v>22423</v>
      </c>
      <c r="Z3724" t="s">
        <v>28671</v>
      </c>
      <c r="AA3724">
        <v>0.91827607572176873</v>
      </c>
      <c r="AB3724" t="str">
        <f>HYPERLINK("Melting_Curves/meltCurve_Q6UWP8_SBSN.pdf", "Melting_Curves/meltCurve_Q6UWP8_SBSN.pdf")</f>
        <v>Melting_Curves/meltCurve_Q6UWP8_SBSN.pdf</v>
      </c>
    </row>
    <row r="3725" spans="1:28" x14ac:dyDescent="0.25">
      <c r="A3725" t="s">
        <v>3729</v>
      </c>
      <c r="B3725">
        <v>0.99987803227770999</v>
      </c>
      <c r="C3725">
        <v>0.92614622122522905</v>
      </c>
      <c r="D3725">
        <v>0.87753654092514899</v>
      </c>
      <c r="E3725">
        <v>0.85506648021704901</v>
      </c>
      <c r="F3725">
        <v>0.79518396639260402</v>
      </c>
      <c r="G3725">
        <v>0.60057576212762598</v>
      </c>
      <c r="H3725">
        <v>0.57170497136182696</v>
      </c>
      <c r="I3725">
        <v>0.51603795155835197</v>
      </c>
      <c r="J3725">
        <v>0.31841410023672101</v>
      </c>
      <c r="K3725">
        <v>0.29991393473000999</v>
      </c>
      <c r="L3725">
        <v>428.031569664583</v>
      </c>
      <c r="M3725">
        <v>6.8865651405513999</v>
      </c>
      <c r="N3725">
        <v>62.1545807944537</v>
      </c>
      <c r="O3725">
        <v>57.547327445421203</v>
      </c>
      <c r="P3725">
        <v>-2.9975846673503701E-2</v>
      </c>
      <c r="Q3725">
        <v>0</v>
      </c>
      <c r="R3725">
        <v>0.97139401451041496</v>
      </c>
      <c r="S3725" t="s">
        <v>10036</v>
      </c>
      <c r="T3725" t="s">
        <v>12620</v>
      </c>
      <c r="U3725" t="s">
        <v>12620</v>
      </c>
      <c r="V3725" t="s">
        <v>12620</v>
      </c>
      <c r="W3725" t="s">
        <v>16295</v>
      </c>
      <c r="X3725">
        <v>1</v>
      </c>
      <c r="Y3725" t="s">
        <v>22424</v>
      </c>
      <c r="Z3725" t="s">
        <v>28672</v>
      </c>
      <c r="AA3725">
        <v>0.68736274849019774</v>
      </c>
      <c r="AB3725" t="str">
        <f>HYPERLINK("Melting_Curves/meltCurve_Q6UWW8_2_CES3.pdf", "Melting_Curves/meltCurve_Q6UWW8_2_CES3.pdf")</f>
        <v>Melting_Curves/meltCurve_Q6UWW8_2_CES3.pdf</v>
      </c>
    </row>
    <row r="3726" spans="1:28" x14ac:dyDescent="0.25">
      <c r="A3726" t="s">
        <v>3730</v>
      </c>
      <c r="B3726">
        <v>0.99987803227770999</v>
      </c>
      <c r="C3726">
        <v>0.94759416388721895</v>
      </c>
      <c r="D3726">
        <v>1.07974106702928</v>
      </c>
      <c r="E3726">
        <v>0.752025804538899</v>
      </c>
      <c r="F3726">
        <v>0.44744467671428201</v>
      </c>
      <c r="G3726">
        <v>0.30058025345473699</v>
      </c>
      <c r="H3726">
        <v>0.26018070939641702</v>
      </c>
      <c r="I3726">
        <v>0.25280646271217599</v>
      </c>
      <c r="J3726">
        <v>0.19244266502535901</v>
      </c>
      <c r="K3726">
        <v>0.157183578502993</v>
      </c>
      <c r="L3726">
        <v>1518.9604829807299</v>
      </c>
      <c r="M3726">
        <v>29.508213392370099</v>
      </c>
      <c r="N3726">
        <v>52.508003148130797</v>
      </c>
      <c r="O3726">
        <v>51.241177700218302</v>
      </c>
      <c r="P3726">
        <v>-0.112286169450724</v>
      </c>
      <c r="Q3726">
        <v>0.22006317936199901</v>
      </c>
      <c r="R3726">
        <v>0.98212194976242595</v>
      </c>
      <c r="S3726" t="s">
        <v>10037</v>
      </c>
      <c r="T3726" t="s">
        <v>12620</v>
      </c>
      <c r="U3726" t="s">
        <v>12620</v>
      </c>
      <c r="V3726" t="s">
        <v>12620</v>
      </c>
      <c r="W3726" t="s">
        <v>16296</v>
      </c>
      <c r="X3726">
        <v>9</v>
      </c>
      <c r="Y3726" t="s">
        <v>22425</v>
      </c>
      <c r="Z3726" t="s">
        <v>28673</v>
      </c>
      <c r="AA3726">
        <v>0.52351860485599777</v>
      </c>
      <c r="AB3726" t="str">
        <f>HYPERLINK("Melting_Curves/meltCurve_Q6UX04_CWC27.pdf", "Melting_Curves/meltCurve_Q6UX04_CWC27.pdf")</f>
        <v>Melting_Curves/meltCurve_Q6UX04_CWC27.pdf</v>
      </c>
    </row>
    <row r="3727" spans="1:28" x14ac:dyDescent="0.25">
      <c r="A3727" t="s">
        <v>3731</v>
      </c>
      <c r="B3727">
        <v>0.99987803227770999</v>
      </c>
      <c r="C3727">
        <v>0.84853310258584103</v>
      </c>
      <c r="D3727">
        <v>1.00065186225442</v>
      </c>
      <c r="E3727">
        <v>0.89110212843861503</v>
      </c>
      <c r="F3727">
        <v>1.03084071813819</v>
      </c>
      <c r="G3727">
        <v>0.89986127783595005</v>
      </c>
      <c r="H3727">
        <v>0.97061918002396697</v>
      </c>
      <c r="I3727">
        <v>0.91406235879588904</v>
      </c>
      <c r="J3727">
        <v>0.95321206625675103</v>
      </c>
      <c r="K3727">
        <v>0.791357204043869</v>
      </c>
      <c r="L3727">
        <v>152.639560510754</v>
      </c>
      <c r="M3727">
        <v>0.131914751069139</v>
      </c>
      <c r="O3727">
        <v>62.527320930531502</v>
      </c>
      <c r="P3727">
        <v>-3.2090158216670499E-3</v>
      </c>
      <c r="Q3727">
        <v>0</v>
      </c>
      <c r="R3727">
        <v>0.123530283147255</v>
      </c>
      <c r="S3727" t="s">
        <v>10038</v>
      </c>
      <c r="T3727" t="s">
        <v>12620</v>
      </c>
      <c r="U3727" t="s">
        <v>12620</v>
      </c>
      <c r="V3727" t="s">
        <v>12620</v>
      </c>
      <c r="W3727" t="s">
        <v>16297</v>
      </c>
      <c r="X3727">
        <v>6</v>
      </c>
      <c r="Y3727" t="s">
        <v>22426</v>
      </c>
      <c r="Z3727" t="s">
        <v>28674</v>
      </c>
      <c r="AA3727">
        <v>0.93266209696356028</v>
      </c>
      <c r="AB3727" t="str">
        <f>HYPERLINK("Melting_Curves/meltCurve_Q6UXH1_4_CRELD2.pdf", "Melting_Curves/meltCurve_Q6UXH1_4_CRELD2.pdf")</f>
        <v>Melting_Curves/meltCurve_Q6UXH1_4_CRELD2.pdf</v>
      </c>
    </row>
    <row r="3728" spans="1:28" x14ac:dyDescent="0.25">
      <c r="A3728" t="s">
        <v>3732</v>
      </c>
      <c r="B3728">
        <v>0.99987803227770999</v>
      </c>
      <c r="C3728">
        <v>1.01963533781789</v>
      </c>
      <c r="D3728">
        <v>1.03617544136127</v>
      </c>
      <c r="E3728">
        <v>0.98179259792740403</v>
      </c>
      <c r="F3728">
        <v>0.962793300781836</v>
      </c>
      <c r="G3728">
        <v>0.638748735774196</v>
      </c>
      <c r="H3728">
        <v>0.45042065264871101</v>
      </c>
      <c r="I3728">
        <v>0.15481431992973699</v>
      </c>
      <c r="J3728">
        <v>5.75575414166015E-2</v>
      </c>
      <c r="K3728">
        <v>4.5682239336180402E-2</v>
      </c>
      <c r="L3728">
        <v>1212.9426969077001</v>
      </c>
      <c r="M3728">
        <v>20.410750794246098</v>
      </c>
      <c r="N3728">
        <v>59.426657758004097</v>
      </c>
      <c r="O3728">
        <v>58.865027193405801</v>
      </c>
      <c r="P3728">
        <v>-8.6687131298985795E-2</v>
      </c>
      <c r="Q3728">
        <v>0</v>
      </c>
      <c r="R3728">
        <v>0.98986940455932404</v>
      </c>
      <c r="S3728" t="s">
        <v>10039</v>
      </c>
      <c r="T3728" t="s">
        <v>12620</v>
      </c>
      <c r="U3728" t="s">
        <v>12620</v>
      </c>
      <c r="V3728" t="s">
        <v>12620</v>
      </c>
      <c r="W3728" t="s">
        <v>16298</v>
      </c>
      <c r="X3728">
        <v>11</v>
      </c>
      <c r="Y3728" t="s">
        <v>22427</v>
      </c>
      <c r="Z3728" t="s">
        <v>28675</v>
      </c>
      <c r="AA3728">
        <v>0.65686339121719284</v>
      </c>
      <c r="AB3728" t="str">
        <f>HYPERLINK("Melting_Curves/meltCurve_Q6UXN9_WDR82.pdf", "Melting_Curves/meltCurve_Q6UXN9_WDR82.pdf")</f>
        <v>Melting_Curves/meltCurve_Q6UXN9_WDR82.pdf</v>
      </c>
    </row>
    <row r="3729" spans="1:28" x14ac:dyDescent="0.25">
      <c r="A3729" t="s">
        <v>3733</v>
      </c>
      <c r="B3729">
        <v>0.99987803227770999</v>
      </c>
      <c r="C3729">
        <v>1.0084363623500601</v>
      </c>
      <c r="D3729">
        <v>1.0348618046470901</v>
      </c>
      <c r="E3729">
        <v>0.90104109301572899</v>
      </c>
      <c r="F3729">
        <v>0.87222768828652997</v>
      </c>
      <c r="G3729">
        <v>0.60408598357861298</v>
      </c>
      <c r="H3729">
        <v>0.74434254973844804</v>
      </c>
      <c r="I3729">
        <v>0.73672579752196998</v>
      </c>
      <c r="J3729">
        <v>0.79603737751863302</v>
      </c>
      <c r="K3729">
        <v>0.640555270578962</v>
      </c>
      <c r="L3729">
        <v>1831.16472994131</v>
      </c>
      <c r="M3729">
        <v>35.0050654610938</v>
      </c>
      <c r="O3729">
        <v>52.141602185876103</v>
      </c>
      <c r="P3729">
        <v>-4.9241850153506198E-2</v>
      </c>
      <c r="Q3729">
        <v>0.70660944641883705</v>
      </c>
      <c r="R3729">
        <v>0.83543863095308402</v>
      </c>
      <c r="S3729" t="s">
        <v>10040</v>
      </c>
      <c r="T3729" t="s">
        <v>12620</v>
      </c>
      <c r="U3729" t="s">
        <v>12620</v>
      </c>
      <c r="V3729" t="s">
        <v>12620</v>
      </c>
      <c r="W3729" t="s">
        <v>16299</v>
      </c>
      <c r="X3729">
        <v>2</v>
      </c>
      <c r="Y3729" t="s">
        <v>22428</v>
      </c>
      <c r="Z3729" t="s">
        <v>28676</v>
      </c>
      <c r="AA3729">
        <v>0.82839677887995256</v>
      </c>
      <c r="AB3729" t="str">
        <f>HYPERLINK("Melting_Curves/meltCurve_Q6UXY1_2_BAIAP2L2.pdf", "Melting_Curves/meltCurve_Q6UXY1_2_BAIAP2L2.pdf")</f>
        <v>Melting_Curves/meltCurve_Q6UXY1_2_BAIAP2L2.pdf</v>
      </c>
    </row>
    <row r="3730" spans="1:28" x14ac:dyDescent="0.25">
      <c r="A3730" t="s">
        <v>3734</v>
      </c>
      <c r="B3730">
        <v>0.99987803227770999</v>
      </c>
      <c r="C3730">
        <v>0.90289831496573003</v>
      </c>
      <c r="D3730">
        <v>1.06991992480218</v>
      </c>
      <c r="E3730">
        <v>0.94494134990421796</v>
      </c>
      <c r="F3730">
        <v>0.97090925865382505</v>
      </c>
      <c r="G3730">
        <v>0.80497040412128396</v>
      </c>
      <c r="H3730">
        <v>0.94395499216067402</v>
      </c>
      <c r="I3730">
        <v>0.74167303489035596</v>
      </c>
      <c r="J3730">
        <v>0.94049126074497502</v>
      </c>
      <c r="K3730">
        <v>0.893470864817142</v>
      </c>
      <c r="L3730">
        <v>13318.5284642514</v>
      </c>
      <c r="M3730">
        <v>250</v>
      </c>
      <c r="O3730">
        <v>53.2707046777522</v>
      </c>
      <c r="P3730">
        <v>-0.15849223490750899</v>
      </c>
      <c r="Q3730">
        <v>0.86491211155381198</v>
      </c>
      <c r="R3730">
        <v>0.38153401183123098</v>
      </c>
      <c r="S3730" t="s">
        <v>10041</v>
      </c>
      <c r="T3730" t="s">
        <v>12620</v>
      </c>
      <c r="U3730" t="s">
        <v>12620</v>
      </c>
      <c r="V3730" t="s">
        <v>12620</v>
      </c>
      <c r="W3730" t="s">
        <v>16300</v>
      </c>
      <c r="X3730">
        <v>1</v>
      </c>
      <c r="Y3730" t="s">
        <v>22429</v>
      </c>
      <c r="Z3730" t="s">
        <v>28677</v>
      </c>
      <c r="AA3730">
        <v>0.92469714202636222</v>
      </c>
      <c r="AB3730" t="str">
        <f>HYPERLINK("Melting_Curves/meltCurve_Q6UXY8_2_TMC5.pdf", "Melting_Curves/meltCurve_Q6UXY8_2_TMC5.pdf")</f>
        <v>Melting_Curves/meltCurve_Q6UXY8_2_TMC5.pdf</v>
      </c>
    </row>
    <row r="3731" spans="1:28" x14ac:dyDescent="0.25">
      <c r="A3731" t="s">
        <v>3735</v>
      </c>
      <c r="B3731">
        <v>0.99987803227770999</v>
      </c>
      <c r="C3731">
        <v>1.1736870349211801</v>
      </c>
      <c r="D3731">
        <v>0.94055528665452204</v>
      </c>
      <c r="E3731">
        <v>1.09527344290027</v>
      </c>
      <c r="F3731">
        <v>0.77290569872687098</v>
      </c>
      <c r="G3731">
        <v>0.363203345756136</v>
      </c>
      <c r="H3731">
        <v>0.204870252249682</v>
      </c>
      <c r="I3731">
        <v>0.17183699955319201</v>
      </c>
      <c r="J3731">
        <v>0.13148045263503799</v>
      </c>
      <c r="K3731">
        <v>9.1084007340791098E-2</v>
      </c>
      <c r="L3731">
        <v>1763.3264700951299</v>
      </c>
      <c r="M3731">
        <v>31.991420215622199</v>
      </c>
      <c r="N3731">
        <v>55.672297418318003</v>
      </c>
      <c r="O3731">
        <v>54.904700420655502</v>
      </c>
      <c r="P3731">
        <v>-0.12582337154215201</v>
      </c>
      <c r="Q3731">
        <v>0.13623595214477999</v>
      </c>
      <c r="R3731">
        <v>0.96867164738535905</v>
      </c>
      <c r="S3731" t="s">
        <v>10042</v>
      </c>
      <c r="T3731" t="s">
        <v>12620</v>
      </c>
      <c r="U3731" t="s">
        <v>12620</v>
      </c>
      <c r="V3731" t="s">
        <v>12620</v>
      </c>
      <c r="W3731" t="s">
        <v>16301</v>
      </c>
      <c r="X3731">
        <v>6</v>
      </c>
      <c r="Y3731" t="s">
        <v>22430</v>
      </c>
      <c r="Z3731" t="s">
        <v>28678</v>
      </c>
      <c r="AA3731">
        <v>0.57661202024690594</v>
      </c>
      <c r="AB3731" t="str">
        <f>HYPERLINK("Melting_Curves/meltCurve_Q6V1X1_4_DPP8.pdf", "Melting_Curves/meltCurve_Q6V1X1_4_DPP8.pdf")</f>
        <v>Melting_Curves/meltCurve_Q6V1X1_4_DPP8.pdf</v>
      </c>
    </row>
    <row r="3732" spans="1:28" x14ac:dyDescent="0.25">
      <c r="A3732" t="s">
        <v>3736</v>
      </c>
      <c r="B3732">
        <v>0.99987803227770999</v>
      </c>
      <c r="C3732">
        <v>1.2504579837113401</v>
      </c>
      <c r="D3732">
        <v>0.93327178631857699</v>
      </c>
      <c r="E3732">
        <v>0.93899234046493396</v>
      </c>
      <c r="F3732">
        <v>0.66038161150492003</v>
      </c>
      <c r="G3732">
        <v>0.63555832377232302</v>
      </c>
      <c r="H3732">
        <v>0.58303544010282304</v>
      </c>
      <c r="I3732">
        <v>0.53693960548340702</v>
      </c>
      <c r="J3732">
        <v>0.53848589793533796</v>
      </c>
      <c r="K3732">
        <v>0.42943303665176502</v>
      </c>
      <c r="L3732">
        <v>1283.22400714127</v>
      </c>
      <c r="M3732">
        <v>24.495742759429501</v>
      </c>
      <c r="O3732">
        <v>52.040210885326701</v>
      </c>
      <c r="P3732">
        <v>-5.6302244418469503E-2</v>
      </c>
      <c r="Q3732">
        <v>0.52155964934800303</v>
      </c>
      <c r="R3732">
        <v>0.85908243958770003</v>
      </c>
      <c r="S3732" t="s">
        <v>10043</v>
      </c>
      <c r="T3732" t="s">
        <v>12620</v>
      </c>
      <c r="U3732" t="s">
        <v>12620</v>
      </c>
      <c r="V3732" t="s">
        <v>12620</v>
      </c>
      <c r="W3732" t="s">
        <v>16302</v>
      </c>
      <c r="X3732">
        <v>9</v>
      </c>
      <c r="Y3732" t="s">
        <v>22431</v>
      </c>
      <c r="Z3732" t="s">
        <v>28679</v>
      </c>
      <c r="AA3732">
        <v>0.72364191243242737</v>
      </c>
      <c r="AB3732" t="str">
        <f>HYPERLINK("Melting_Curves/meltCurve_Q6VMQ6_2_ATF7IP.pdf", "Melting_Curves/meltCurve_Q6VMQ6_2_ATF7IP.pdf")</f>
        <v>Melting_Curves/meltCurve_Q6VMQ6_2_ATF7IP.pdf</v>
      </c>
    </row>
    <row r="3733" spans="1:28" x14ac:dyDescent="0.25">
      <c r="A3733" t="s">
        <v>3737</v>
      </c>
      <c r="B3733">
        <v>0.99987803227770999</v>
      </c>
      <c r="C3733">
        <v>0.964541246163515</v>
      </c>
      <c r="D3733">
        <v>1.0248144609510399</v>
      </c>
      <c r="E3733">
        <v>0.92397651333405795</v>
      </c>
      <c r="F3733">
        <v>0.76820442364102703</v>
      </c>
      <c r="G3733">
        <v>0.465250945920827</v>
      </c>
      <c r="H3733">
        <v>0.24297044064301601</v>
      </c>
      <c r="I3733">
        <v>0.163819027125129</v>
      </c>
      <c r="J3733">
        <v>0.12891859219711599</v>
      </c>
      <c r="K3733">
        <v>8.9988258897679099E-2</v>
      </c>
      <c r="L3733">
        <v>1090.32103382475</v>
      </c>
      <c r="M3733">
        <v>19.458238966885901</v>
      </c>
      <c r="N3733">
        <v>56.571436262471899</v>
      </c>
      <c r="O3733">
        <v>55.452141414701202</v>
      </c>
      <c r="P3733">
        <v>-8.0324072546369196E-2</v>
      </c>
      <c r="Q3733">
        <v>8.4402188981016896E-2</v>
      </c>
      <c r="R3733">
        <v>0.99800340240336805</v>
      </c>
      <c r="S3733" t="s">
        <v>10044</v>
      </c>
      <c r="T3733" t="s">
        <v>12620</v>
      </c>
      <c r="U3733" t="s">
        <v>12620</v>
      </c>
      <c r="V3733" t="s">
        <v>12620</v>
      </c>
      <c r="W3733" t="s">
        <v>16303</v>
      </c>
      <c r="X3733">
        <v>22</v>
      </c>
      <c r="Y3733" t="s">
        <v>22432</v>
      </c>
      <c r="Z3733" t="s">
        <v>28680</v>
      </c>
      <c r="AA3733">
        <v>0.58597224190346742</v>
      </c>
      <c r="AB3733" t="str">
        <f>HYPERLINK("Melting_Curves/meltCurve_Q6VY07_PACS1.pdf", "Melting_Curves/meltCurve_Q6VY07_PACS1.pdf")</f>
        <v>Melting_Curves/meltCurve_Q6VY07_PACS1.pdf</v>
      </c>
    </row>
    <row r="3734" spans="1:28" x14ac:dyDescent="0.25">
      <c r="A3734" t="s">
        <v>3738</v>
      </c>
      <c r="B3734">
        <v>0.99987803227770999</v>
      </c>
      <c r="C3734">
        <v>1.1553128248089599</v>
      </c>
      <c r="D3734">
        <v>0.81819399000978499</v>
      </c>
      <c r="E3734">
        <v>0.93829105902263599</v>
      </c>
      <c r="F3734">
        <v>0.82735980059256398</v>
      </c>
      <c r="G3734">
        <v>0.688223183536817</v>
      </c>
      <c r="H3734">
        <v>0.59018490919474498</v>
      </c>
      <c r="I3734">
        <v>0.54652786598567304</v>
      </c>
      <c r="J3734">
        <v>0.50347723472355399</v>
      </c>
      <c r="K3734">
        <v>0.41140648625618698</v>
      </c>
      <c r="L3734">
        <v>588.138719112844</v>
      </c>
      <c r="M3734">
        <v>10.0638543840225</v>
      </c>
      <c r="N3734">
        <v>65.563671111817698</v>
      </c>
      <c r="O3734">
        <v>56.273909452820597</v>
      </c>
      <c r="P3734">
        <v>-2.9859586210803001E-2</v>
      </c>
      <c r="Q3734">
        <v>0.33245520027068998</v>
      </c>
      <c r="R3734">
        <v>0.89701098424633097</v>
      </c>
      <c r="S3734" t="s">
        <v>10045</v>
      </c>
      <c r="T3734" t="s">
        <v>12620</v>
      </c>
      <c r="U3734" t="s">
        <v>12620</v>
      </c>
      <c r="V3734" t="s">
        <v>12620</v>
      </c>
      <c r="W3734" t="s">
        <v>16304</v>
      </c>
      <c r="X3734">
        <v>46</v>
      </c>
      <c r="Y3734" t="s">
        <v>19462</v>
      </c>
      <c r="Z3734" t="s">
        <v>28681</v>
      </c>
      <c r="AA3734">
        <v>0.74763946870723719</v>
      </c>
      <c r="AB3734" t="str">
        <f>HYPERLINK("Melting_Curves/meltCurve_Q6WCQ1_2_MPRIP.pdf", "Melting_Curves/meltCurve_Q6WCQ1_2_MPRIP.pdf")</f>
        <v>Melting_Curves/meltCurve_Q6WCQ1_2_MPRIP.pdf</v>
      </c>
    </row>
    <row r="3735" spans="1:28" x14ac:dyDescent="0.25">
      <c r="A3735" t="s">
        <v>3739</v>
      </c>
      <c r="B3735">
        <v>0.99987803227770999</v>
      </c>
      <c r="C3735">
        <v>0.92668128775881997</v>
      </c>
      <c r="D3735">
        <v>1.07987799337275</v>
      </c>
      <c r="E3735">
        <v>0.85716630640545</v>
      </c>
      <c r="F3735">
        <v>0.74779010964209203</v>
      </c>
      <c r="G3735">
        <v>0.418489304892391</v>
      </c>
      <c r="H3735">
        <v>0.44660016036648298</v>
      </c>
      <c r="I3735">
        <v>0.42016085578912199</v>
      </c>
      <c r="J3735">
        <v>0.45578331844491698</v>
      </c>
      <c r="K3735">
        <v>0.38652114851368602</v>
      </c>
      <c r="L3735">
        <v>1598.2239371430001</v>
      </c>
      <c r="M3735">
        <v>30.185971230209901</v>
      </c>
      <c r="N3735">
        <v>56.233177804675798</v>
      </c>
      <c r="O3735">
        <v>52.715180516373401</v>
      </c>
      <c r="P3735">
        <v>-8.3836637643619205E-2</v>
      </c>
      <c r="Q3735">
        <v>0.414372294484395</v>
      </c>
      <c r="R3735">
        <v>0.96458062716900805</v>
      </c>
      <c r="S3735" t="s">
        <v>10046</v>
      </c>
      <c r="T3735" t="s">
        <v>12620</v>
      </c>
      <c r="U3735" t="s">
        <v>12620</v>
      </c>
      <c r="V3735" t="s">
        <v>12620</v>
      </c>
      <c r="W3735" t="s">
        <v>16305</v>
      </c>
      <c r="X3735">
        <v>13</v>
      </c>
      <c r="Y3735" t="s">
        <v>22433</v>
      </c>
      <c r="Z3735" t="s">
        <v>28682</v>
      </c>
      <c r="AA3735">
        <v>0.67083775212618946</v>
      </c>
      <c r="AB3735" t="str">
        <f>HYPERLINK("Melting_Curves/meltCurve_Q6WKZ4_RAB11FIP1.pdf", "Melting_Curves/meltCurve_Q6WKZ4_RAB11FIP1.pdf")</f>
        <v>Melting_Curves/meltCurve_Q6WKZ4_RAB11FIP1.pdf</v>
      </c>
    </row>
    <row r="3736" spans="1:28" x14ac:dyDescent="0.25">
      <c r="A3736" t="s">
        <v>3740</v>
      </c>
      <c r="B3736">
        <v>0.99987803227770999</v>
      </c>
      <c r="C3736">
        <v>0.98014958633555804</v>
      </c>
      <c r="D3736">
        <v>0.92212802624677703</v>
      </c>
      <c r="E3736">
        <v>1.22283154979803</v>
      </c>
      <c r="F3736">
        <v>0.84027862706230405</v>
      </c>
      <c r="G3736">
        <v>5.8383581567713998</v>
      </c>
      <c r="H3736">
        <v>0.56134604575091596</v>
      </c>
      <c r="I3736">
        <v>1.9815614124350001</v>
      </c>
      <c r="J3736">
        <v>0.38419023677101</v>
      </c>
      <c r="K3736">
        <v>0.31043707342162302</v>
      </c>
      <c r="L3736">
        <v>15000</v>
      </c>
      <c r="M3736">
        <v>225.948280369744</v>
      </c>
      <c r="N3736">
        <v>66.670417092089806</v>
      </c>
      <c r="O3736">
        <v>66.381683008070198</v>
      </c>
      <c r="P3736">
        <v>-0.58823005181863097</v>
      </c>
      <c r="Q3736">
        <v>0.308732159375046</v>
      </c>
      <c r="R3736">
        <v>-3.26233898301964E-2</v>
      </c>
      <c r="S3736" t="s">
        <v>10047</v>
      </c>
      <c r="T3736" t="s">
        <v>12620</v>
      </c>
      <c r="U3736" t="s">
        <v>12620</v>
      </c>
      <c r="V3736" t="s">
        <v>12620</v>
      </c>
      <c r="W3736" t="s">
        <v>16306</v>
      </c>
      <c r="X3736">
        <v>4</v>
      </c>
      <c r="Y3736" t="s">
        <v>22434</v>
      </c>
      <c r="Z3736" t="s">
        <v>28683</v>
      </c>
      <c r="AA3736">
        <v>0.91684394090792942</v>
      </c>
      <c r="AB3736" t="str">
        <f>HYPERLINK("Melting_Curves/meltCurve_Q6WN34_CHRDL2.pdf", "Melting_Curves/meltCurve_Q6WN34_CHRDL2.pdf")</f>
        <v>Melting_Curves/meltCurve_Q6WN34_CHRDL2.pdf</v>
      </c>
    </row>
    <row r="3737" spans="1:28" x14ac:dyDescent="0.25">
      <c r="A3737" t="s">
        <v>3741</v>
      </c>
      <c r="B3737">
        <v>0.99987803227770999</v>
      </c>
      <c r="C3737">
        <v>1.08754303787749</v>
      </c>
      <c r="D3737">
        <v>0.99936936972617396</v>
      </c>
      <c r="E3737">
        <v>1.0515034266350001</v>
      </c>
      <c r="F3737">
        <v>0.911678545525477</v>
      </c>
      <c r="G3737">
        <v>0.88601203382656901</v>
      </c>
      <c r="H3737">
        <v>0.88584471041448998</v>
      </c>
      <c r="I3737">
        <v>0.56400814749744999</v>
      </c>
      <c r="J3737">
        <v>0.20569196707912901</v>
      </c>
      <c r="K3737">
        <v>0.149408585386333</v>
      </c>
      <c r="L3737">
        <v>2507.3956857492499</v>
      </c>
      <c r="M3737">
        <v>39.185601467422501</v>
      </c>
      <c r="N3737">
        <v>64.361552093169394</v>
      </c>
      <c r="O3737">
        <v>63.82171153817</v>
      </c>
      <c r="P3737">
        <v>-0.13787228272893401</v>
      </c>
      <c r="Q3737">
        <v>0.101789950068468</v>
      </c>
      <c r="R3737">
        <v>0.97147977251487705</v>
      </c>
      <c r="S3737" t="s">
        <v>10048</v>
      </c>
      <c r="T3737" t="s">
        <v>12620</v>
      </c>
      <c r="U3737" t="s">
        <v>12620</v>
      </c>
      <c r="V3737" t="s">
        <v>12620</v>
      </c>
      <c r="W3737" t="s">
        <v>16307</v>
      </c>
      <c r="X3737">
        <v>9</v>
      </c>
      <c r="Y3737" t="s">
        <v>22435</v>
      </c>
      <c r="Z3737" t="s">
        <v>28684</v>
      </c>
      <c r="AA3737">
        <v>0.82202219966305412</v>
      </c>
      <c r="AB3737" t="str">
        <f>HYPERLINK("Melting_Curves/meltCurve_Q6XQN6_NAPRT1.pdf", "Melting_Curves/meltCurve_Q6XQN6_NAPRT1.pdf")</f>
        <v>Melting_Curves/meltCurve_Q6XQN6_NAPRT1.pdf</v>
      </c>
    </row>
    <row r="3738" spans="1:28" x14ac:dyDescent="0.25">
      <c r="A3738" t="s">
        <v>3742</v>
      </c>
      <c r="B3738">
        <v>0.99987803227770999</v>
      </c>
      <c r="C3738">
        <v>0.87373314750094799</v>
      </c>
      <c r="D3738">
        <v>0.51778384325285798</v>
      </c>
      <c r="E3738">
        <v>0.414978467255745</v>
      </c>
      <c r="F3738">
        <v>0.294092979513283</v>
      </c>
      <c r="G3738">
        <v>0.177039462718453</v>
      </c>
      <c r="H3738">
        <v>0.172569282340331</v>
      </c>
      <c r="I3738">
        <v>0.16375469103308801</v>
      </c>
      <c r="J3738">
        <v>0.12825705713361901</v>
      </c>
      <c r="K3738">
        <v>7.8859210506723093E-2</v>
      </c>
      <c r="L3738">
        <v>693.05298397585102</v>
      </c>
      <c r="M3738">
        <v>14.7923044165032</v>
      </c>
      <c r="N3738">
        <v>47.792162790160098</v>
      </c>
      <c r="O3738">
        <v>46.020996596739202</v>
      </c>
      <c r="P3738">
        <v>-7.0222322222995001E-2</v>
      </c>
      <c r="Q3738">
        <v>0.126206097037596</v>
      </c>
      <c r="R3738">
        <v>0.97388152448171805</v>
      </c>
      <c r="S3738" t="s">
        <v>10049</v>
      </c>
      <c r="T3738" t="s">
        <v>12620</v>
      </c>
      <c r="U3738" t="s">
        <v>12620</v>
      </c>
      <c r="V3738" t="s">
        <v>12620</v>
      </c>
      <c r="W3738" t="s">
        <v>16308</v>
      </c>
      <c r="X3738">
        <v>1</v>
      </c>
      <c r="Y3738" t="s">
        <v>22436</v>
      </c>
      <c r="Z3738" t="s">
        <v>28685</v>
      </c>
      <c r="AA3738">
        <v>0.35045216931866091</v>
      </c>
      <c r="AB3738" t="str">
        <f>HYPERLINK("Melting_Curves/meltCurve_Q6XUX3_2_DSTYK.pdf", "Melting_Curves/meltCurve_Q6XUX3_2_DSTYK.pdf")</f>
        <v>Melting_Curves/meltCurve_Q6XUX3_2_DSTYK.pdf</v>
      </c>
    </row>
    <row r="3739" spans="1:28" x14ac:dyDescent="0.25">
      <c r="A3739" t="s">
        <v>3743</v>
      </c>
      <c r="B3739">
        <v>0.99987803227770999</v>
      </c>
      <c r="C3739">
        <v>0.93269347493529398</v>
      </c>
      <c r="D3739">
        <v>0.90201063301094797</v>
      </c>
      <c r="E3739">
        <v>0.637833985514494</v>
      </c>
      <c r="F3739">
        <v>0.51352353623257596</v>
      </c>
      <c r="G3739">
        <v>0.34369828860613899</v>
      </c>
      <c r="H3739">
        <v>0.34886698549608403</v>
      </c>
      <c r="I3739">
        <v>0.320487629086804</v>
      </c>
      <c r="J3739">
        <v>0.35543545129780202</v>
      </c>
      <c r="K3739">
        <v>0.29565132788020898</v>
      </c>
      <c r="L3739">
        <v>919.44398575388198</v>
      </c>
      <c r="M3739">
        <v>18.417582968542099</v>
      </c>
      <c r="N3739">
        <v>52.7586776728252</v>
      </c>
      <c r="O3739">
        <v>49.344694424311797</v>
      </c>
      <c r="P3739">
        <v>-6.3990365249582001E-2</v>
      </c>
      <c r="Q3739">
        <v>0.314254635254333</v>
      </c>
      <c r="R3739">
        <v>0.99235636375158598</v>
      </c>
      <c r="S3739" t="s">
        <v>10050</v>
      </c>
      <c r="T3739" t="s">
        <v>12620</v>
      </c>
      <c r="U3739" t="s">
        <v>12620</v>
      </c>
      <c r="V3739" t="s">
        <v>12620</v>
      </c>
      <c r="W3739" t="s">
        <v>16309</v>
      </c>
      <c r="X3739">
        <v>20</v>
      </c>
      <c r="Y3739" t="s">
        <v>22437</v>
      </c>
      <c r="Z3739" t="s">
        <v>28686</v>
      </c>
      <c r="AA3739">
        <v>0.55225930232051446</v>
      </c>
      <c r="AB3739" t="str">
        <f>HYPERLINK("Melting_Curves/meltCurve_Q6XZF7_DNMBP.pdf", "Melting_Curves/meltCurve_Q6XZF7_DNMBP.pdf")</f>
        <v>Melting_Curves/meltCurve_Q6XZF7_DNMBP.pdf</v>
      </c>
    </row>
    <row r="3740" spans="1:28" x14ac:dyDescent="0.25">
      <c r="A3740" t="s">
        <v>3744</v>
      </c>
      <c r="B3740">
        <v>0.99987803227770999</v>
      </c>
      <c r="C3740">
        <v>0.93267941273181498</v>
      </c>
      <c r="D3740">
        <v>0.998501778665702</v>
      </c>
      <c r="E3740">
        <v>0.90749173751634904</v>
      </c>
      <c r="F3740">
        <v>0.86569459493560696</v>
      </c>
      <c r="G3740">
        <v>0.61630777326186603</v>
      </c>
      <c r="H3740">
        <v>0.54887117926134499</v>
      </c>
      <c r="I3740">
        <v>0.490661613146465</v>
      </c>
      <c r="J3740">
        <v>0.49326549638066902</v>
      </c>
      <c r="K3740">
        <v>0.36438564951809399</v>
      </c>
      <c r="L3740">
        <v>818.24018771829503</v>
      </c>
      <c r="M3740">
        <v>14.5146865896013</v>
      </c>
      <c r="N3740">
        <v>62.687472564114003</v>
      </c>
      <c r="O3740">
        <v>55.335596925065197</v>
      </c>
      <c r="P3740">
        <v>-4.03918417078638E-2</v>
      </c>
      <c r="Q3740">
        <v>0.38411335936402002</v>
      </c>
      <c r="R3740">
        <v>0.97236898825394202</v>
      </c>
      <c r="S3740" t="s">
        <v>10051</v>
      </c>
      <c r="T3740" t="s">
        <v>12620</v>
      </c>
      <c r="U3740" t="s">
        <v>12620</v>
      </c>
      <c r="V3740" t="s">
        <v>12620</v>
      </c>
      <c r="W3740" t="s">
        <v>16310</v>
      </c>
      <c r="X3740">
        <v>29</v>
      </c>
      <c r="Y3740" t="s">
        <v>22438</v>
      </c>
      <c r="Z3740" t="s">
        <v>28687</v>
      </c>
      <c r="AA3740">
        <v>0.73101598488358666</v>
      </c>
      <c r="AB3740" t="str">
        <f>HYPERLINK("Melting_Curves/meltCurve_Q6Y7W6_GIGYF2.pdf", "Melting_Curves/meltCurve_Q6Y7W6_GIGYF2.pdf")</f>
        <v>Melting_Curves/meltCurve_Q6Y7W6_GIGYF2.pdf</v>
      </c>
    </row>
    <row r="3741" spans="1:28" x14ac:dyDescent="0.25">
      <c r="A3741" t="s">
        <v>3745</v>
      </c>
      <c r="B3741">
        <v>0.99987803227770999</v>
      </c>
      <c r="C3741">
        <v>1.26929993155328</v>
      </c>
      <c r="D3741">
        <v>0.93332429602842604</v>
      </c>
      <c r="E3741">
        <v>1.29653308355302</v>
      </c>
      <c r="F3741">
        <v>0.859058957617854</v>
      </c>
      <c r="G3741">
        <v>0.97864755517322399</v>
      </c>
      <c r="H3741">
        <v>0.72542464742924295</v>
      </c>
      <c r="I3741">
        <v>0.554115575864224</v>
      </c>
      <c r="J3741">
        <v>0.28229943558288201</v>
      </c>
      <c r="K3741">
        <v>0.235287625928609</v>
      </c>
      <c r="L3741">
        <v>1537.8617063387901</v>
      </c>
      <c r="M3741">
        <v>24.294487767751999</v>
      </c>
      <c r="N3741">
        <v>64.187739063362798</v>
      </c>
      <c r="O3741">
        <v>62.876622849753197</v>
      </c>
      <c r="P3741">
        <v>-8.2825032105026702E-2</v>
      </c>
      <c r="Q3741">
        <v>0.14257407208650799</v>
      </c>
      <c r="R3741">
        <v>0.84416129600745204</v>
      </c>
      <c r="S3741" t="s">
        <v>10052</v>
      </c>
      <c r="T3741" t="s">
        <v>12620</v>
      </c>
      <c r="U3741" t="s">
        <v>12620</v>
      </c>
      <c r="V3741" t="s">
        <v>12620</v>
      </c>
      <c r="W3741" t="s">
        <v>16311</v>
      </c>
      <c r="X3741">
        <v>2</v>
      </c>
      <c r="Y3741" t="s">
        <v>22439</v>
      </c>
      <c r="Z3741" t="s">
        <v>28688</v>
      </c>
      <c r="AA3741">
        <v>0.80944384145449433</v>
      </c>
      <c r="AB3741" t="str">
        <f>HYPERLINK("Melting_Curves/meltCurve_Q6YHK3_CD109.pdf", "Melting_Curves/meltCurve_Q6YHK3_CD109.pdf")</f>
        <v>Melting_Curves/meltCurve_Q6YHK3_CD109.pdf</v>
      </c>
    </row>
    <row r="3742" spans="1:28" x14ac:dyDescent="0.25">
      <c r="A3742" t="s">
        <v>3746</v>
      </c>
      <c r="B3742">
        <v>0.99987803227770999</v>
      </c>
      <c r="C3742">
        <v>1.0624044587585799</v>
      </c>
      <c r="D3742">
        <v>0.75075073629645195</v>
      </c>
      <c r="E3742">
        <v>0.64119038673697104</v>
      </c>
      <c r="F3742">
        <v>0.24546708478191401</v>
      </c>
      <c r="G3742">
        <v>0.17018847027346401</v>
      </c>
      <c r="H3742">
        <v>0.12761285056173999</v>
      </c>
      <c r="I3742">
        <v>0.117655105333938</v>
      </c>
      <c r="J3742">
        <v>8.7876387120987998E-2</v>
      </c>
      <c r="K3742">
        <v>6.7771655688950605E-2</v>
      </c>
      <c r="L3742">
        <v>960.95160153453401</v>
      </c>
      <c r="M3742">
        <v>19.188754696353701</v>
      </c>
      <c r="N3742">
        <v>50.554907107007999</v>
      </c>
      <c r="O3742">
        <v>49.544514634867497</v>
      </c>
      <c r="P3742">
        <v>-8.8826832552109394E-2</v>
      </c>
      <c r="Q3742">
        <v>8.26473811045257E-2</v>
      </c>
      <c r="R3742">
        <v>0.97418969208960504</v>
      </c>
      <c r="S3742" t="s">
        <v>10053</v>
      </c>
      <c r="T3742" t="s">
        <v>12620</v>
      </c>
      <c r="U3742" t="s">
        <v>12620</v>
      </c>
      <c r="V3742" t="s">
        <v>12620</v>
      </c>
      <c r="W3742" t="s">
        <v>16312</v>
      </c>
      <c r="X3742">
        <v>28</v>
      </c>
      <c r="Y3742" t="s">
        <v>22440</v>
      </c>
      <c r="Z3742" t="s">
        <v>28689</v>
      </c>
      <c r="AA3742">
        <v>0.40467615965300419</v>
      </c>
      <c r="AB3742" t="str">
        <f>HYPERLINK("Melting_Curves/meltCurve_Q6YHU6_3_THADA.pdf", "Melting_Curves/meltCurve_Q6YHU6_3_THADA.pdf")</f>
        <v>Melting_Curves/meltCurve_Q6YHU6_3_THADA.pdf</v>
      </c>
    </row>
    <row r="3743" spans="1:28" x14ac:dyDescent="0.25">
      <c r="A3743" t="s">
        <v>3747</v>
      </c>
      <c r="B3743">
        <v>0.99987803227770999</v>
      </c>
      <c r="C3743">
        <v>0.96272474605783798</v>
      </c>
      <c r="D3743">
        <v>0.93075808258439496</v>
      </c>
      <c r="E3743">
        <v>0.64635898389966295</v>
      </c>
      <c r="F3743">
        <v>0.307864382504561</v>
      </c>
      <c r="G3743">
        <v>0.14544853375966499</v>
      </c>
      <c r="H3743">
        <v>0.124091389425979</v>
      </c>
      <c r="I3743">
        <v>0.113419895259706</v>
      </c>
      <c r="J3743">
        <v>0.108867142876996</v>
      </c>
      <c r="K3743">
        <v>8.0914676865304E-2</v>
      </c>
      <c r="L3743">
        <v>1333.30327545979</v>
      </c>
      <c r="M3743">
        <v>26.2916657072061</v>
      </c>
      <c r="N3743">
        <v>51.150602691198102</v>
      </c>
      <c r="O3743">
        <v>50.421361041480097</v>
      </c>
      <c r="P3743">
        <v>-0.11720566445895</v>
      </c>
      <c r="Q3743">
        <v>0.100915988697762</v>
      </c>
      <c r="R3743">
        <v>0.99855602086017303</v>
      </c>
      <c r="S3743" t="s">
        <v>10054</v>
      </c>
      <c r="T3743" t="s">
        <v>12620</v>
      </c>
      <c r="U3743" t="s">
        <v>12620</v>
      </c>
      <c r="V3743" t="s">
        <v>12620</v>
      </c>
      <c r="W3743" t="s">
        <v>16313</v>
      </c>
      <c r="X3743">
        <v>8</v>
      </c>
      <c r="Y3743" t="s">
        <v>22441</v>
      </c>
      <c r="Z3743" t="s">
        <v>28690</v>
      </c>
      <c r="AA3743">
        <v>0.42927542137817359</v>
      </c>
      <c r="AB3743" t="str">
        <f>HYPERLINK("Melting_Curves/meltCurve_Q6YN16_HSDL2.pdf", "Melting_Curves/meltCurve_Q6YN16_HSDL2.pdf")</f>
        <v>Melting_Curves/meltCurve_Q6YN16_HSDL2.pdf</v>
      </c>
    </row>
    <row r="3744" spans="1:28" x14ac:dyDescent="0.25">
      <c r="A3744" t="s">
        <v>3748</v>
      </c>
      <c r="B3744">
        <v>0.99987803227770999</v>
      </c>
      <c r="C3744">
        <v>1.00898217813465</v>
      </c>
      <c r="D3744">
        <v>0.98760609027972002</v>
      </c>
      <c r="E3744">
        <v>0.90550220753309396</v>
      </c>
      <c r="F3744">
        <v>0.85421138468327595</v>
      </c>
      <c r="G3744">
        <v>0.77827817435595203</v>
      </c>
      <c r="H3744">
        <v>0.77728106731972801</v>
      </c>
      <c r="I3744">
        <v>0.63276983753247595</v>
      </c>
      <c r="J3744">
        <v>0.39187792626434498</v>
      </c>
      <c r="K3744">
        <v>0.21099583711103001</v>
      </c>
      <c r="L3744">
        <v>801.05704633633195</v>
      </c>
      <c r="M3744">
        <v>12.313160550372199</v>
      </c>
      <c r="N3744">
        <v>65.056960269733196</v>
      </c>
      <c r="O3744">
        <v>63.412448127542703</v>
      </c>
      <c r="P3744">
        <v>-4.8554537298532999E-2</v>
      </c>
      <c r="Q3744">
        <v>0</v>
      </c>
      <c r="R3744">
        <v>0.93982323407514501</v>
      </c>
      <c r="S3744" t="s">
        <v>10055</v>
      </c>
      <c r="T3744" t="s">
        <v>12620</v>
      </c>
      <c r="U3744" t="s">
        <v>12620</v>
      </c>
      <c r="V3744" t="s">
        <v>12620</v>
      </c>
      <c r="W3744" t="s">
        <v>16314</v>
      </c>
      <c r="X3744">
        <v>13</v>
      </c>
      <c r="Y3744" t="s">
        <v>22442</v>
      </c>
      <c r="Z3744" t="s">
        <v>28691</v>
      </c>
      <c r="AA3744">
        <v>0.7965643727913293</v>
      </c>
      <c r="AB3744" t="str">
        <f>HYPERLINK("Melting_Curves/meltCurve_Q6YP21_3_CCBL2.pdf", "Melting_Curves/meltCurve_Q6YP21_3_CCBL2.pdf")</f>
        <v>Melting_Curves/meltCurve_Q6YP21_3_CCBL2.pdf</v>
      </c>
    </row>
    <row r="3745" spans="1:28" x14ac:dyDescent="0.25">
      <c r="A3745" t="s">
        <v>3749</v>
      </c>
      <c r="B3745">
        <v>0.99987803227770999</v>
      </c>
      <c r="C3745">
        <v>1.1621642027416901</v>
      </c>
      <c r="D3745">
        <v>0.91944205673227797</v>
      </c>
      <c r="E3745">
        <v>0.77595797618282003</v>
      </c>
      <c r="F3745">
        <v>0.32833102349629101</v>
      </c>
      <c r="G3745">
        <v>0.23350092953558099</v>
      </c>
      <c r="H3745">
        <v>0.15780231097199299</v>
      </c>
      <c r="I3745">
        <v>0.12249834028062501</v>
      </c>
      <c r="J3745">
        <v>0.10731142989324401</v>
      </c>
      <c r="K3745">
        <v>7.2653368281290098E-2</v>
      </c>
      <c r="L3745">
        <v>1638.5317444341299</v>
      </c>
      <c r="M3745">
        <v>31.8712631748047</v>
      </c>
      <c r="N3745">
        <v>51.8785964699522</v>
      </c>
      <c r="O3745">
        <v>51.209813584500303</v>
      </c>
      <c r="P3745">
        <v>-0.136165418784125</v>
      </c>
      <c r="Q3745">
        <v>0.124858029099975</v>
      </c>
      <c r="R3745">
        <v>0.97441579856240002</v>
      </c>
      <c r="S3745" t="s">
        <v>10056</v>
      </c>
      <c r="T3745" t="s">
        <v>12620</v>
      </c>
      <c r="U3745" t="s">
        <v>12620</v>
      </c>
      <c r="V3745" t="s">
        <v>12620</v>
      </c>
      <c r="W3745" t="s">
        <v>16315</v>
      </c>
      <c r="X3745">
        <v>6</v>
      </c>
      <c r="Y3745" t="s">
        <v>22443</v>
      </c>
      <c r="Z3745" t="s">
        <v>28692</v>
      </c>
      <c r="AA3745">
        <v>0.46263958728314097</v>
      </c>
      <c r="AB3745" t="str">
        <f>HYPERLINK("Melting_Curves/meltCurve_Q6ZMI0_PPP1R21.pdf", "Melting_Curves/meltCurve_Q6ZMI0_PPP1R21.pdf")</f>
        <v>Melting_Curves/meltCurve_Q6ZMI0_PPP1R21.pdf</v>
      </c>
    </row>
    <row r="3746" spans="1:28" x14ac:dyDescent="0.25">
      <c r="A3746" t="s">
        <v>3750</v>
      </c>
      <c r="B3746">
        <v>0.99987803227770999</v>
      </c>
      <c r="C3746">
        <v>0.94848956830421105</v>
      </c>
      <c r="D3746">
        <v>0.98633313098852204</v>
      </c>
      <c r="E3746">
        <v>0.843209153053184</v>
      </c>
      <c r="F3746">
        <v>0.79348434860172501</v>
      </c>
      <c r="G3746">
        <v>0.49941323459745701</v>
      </c>
      <c r="H3746">
        <v>0.45411131677059602</v>
      </c>
      <c r="I3746">
        <v>0.28666614875041602</v>
      </c>
      <c r="J3746">
        <v>0.36995381949788297</v>
      </c>
      <c r="K3746">
        <v>0.31192767301392299</v>
      </c>
      <c r="L3746">
        <v>910.88010983996401</v>
      </c>
      <c r="M3746">
        <v>16.623346555012699</v>
      </c>
      <c r="N3746">
        <v>57.923934218078998</v>
      </c>
      <c r="O3746">
        <v>54.020680341063802</v>
      </c>
      <c r="P3746">
        <v>-5.4140669009566801E-2</v>
      </c>
      <c r="Q3746">
        <v>0.296286488813503</v>
      </c>
      <c r="R3746">
        <v>0.97875650565277805</v>
      </c>
      <c r="S3746" t="s">
        <v>10057</v>
      </c>
      <c r="T3746" t="s">
        <v>12620</v>
      </c>
      <c r="U3746" t="s">
        <v>12620</v>
      </c>
      <c r="V3746" t="s">
        <v>12620</v>
      </c>
      <c r="W3746" t="s">
        <v>16316</v>
      </c>
      <c r="X3746">
        <v>3</v>
      </c>
      <c r="Y3746" t="s">
        <v>22444</v>
      </c>
      <c r="Z3746" t="s">
        <v>28693</v>
      </c>
      <c r="AA3746">
        <v>0.65552897033574475</v>
      </c>
      <c r="AB3746" t="str">
        <f>HYPERLINK("Melting_Curves/meltCurve_Q6ZN04_MEX3B.pdf", "Melting_Curves/meltCurve_Q6ZN04_MEX3B.pdf")</f>
        <v>Melting_Curves/meltCurve_Q6ZN04_MEX3B.pdf</v>
      </c>
    </row>
    <row r="3747" spans="1:28" x14ac:dyDescent="0.25">
      <c r="A3747" t="s">
        <v>3751</v>
      </c>
      <c r="B3747">
        <v>0.99987803227770999</v>
      </c>
      <c r="C3747">
        <v>1.02066033637135</v>
      </c>
      <c r="D3747">
        <v>1.03558399902779</v>
      </c>
      <c r="E3747">
        <v>1.0223288029362501</v>
      </c>
      <c r="F3747">
        <v>1.3804077125248999</v>
      </c>
      <c r="G3747">
        <v>1.0564007844785701</v>
      </c>
      <c r="H3747">
        <v>0.94169159393370805</v>
      </c>
      <c r="I3747">
        <v>0.453732527370731</v>
      </c>
      <c r="J3747">
        <v>0.23237506282981599</v>
      </c>
      <c r="K3747">
        <v>0.169390023706877</v>
      </c>
      <c r="L3747">
        <v>4115.6158281713897</v>
      </c>
      <c r="M3747">
        <v>65.000505410633096</v>
      </c>
      <c r="N3747">
        <v>63.777643226081501</v>
      </c>
      <c r="O3747">
        <v>63.256824885303999</v>
      </c>
      <c r="P3747">
        <v>-0.20873996858686</v>
      </c>
      <c r="Q3747">
        <v>0.187438706299771</v>
      </c>
      <c r="R3747">
        <v>0.895521153855665</v>
      </c>
      <c r="S3747" t="s">
        <v>10058</v>
      </c>
      <c r="T3747" t="s">
        <v>12620</v>
      </c>
      <c r="U3747" t="s">
        <v>12620</v>
      </c>
      <c r="V3747" t="s">
        <v>12620</v>
      </c>
      <c r="W3747" t="s">
        <v>16317</v>
      </c>
      <c r="X3747">
        <v>2</v>
      </c>
      <c r="Y3747" t="s">
        <v>22445</v>
      </c>
      <c r="Z3747" t="s">
        <v>28694</v>
      </c>
      <c r="AA3747">
        <v>0.8202520446170658</v>
      </c>
      <c r="AB3747" t="str">
        <f>HYPERLINK("Melting_Curves/meltCurve_Q6ZN17_2_LIN28B.pdf", "Melting_Curves/meltCurve_Q6ZN17_2_LIN28B.pdf")</f>
        <v>Melting_Curves/meltCurve_Q6ZN17_2_LIN28B.pdf</v>
      </c>
    </row>
    <row r="3748" spans="1:28" x14ac:dyDescent="0.25">
      <c r="A3748" t="s">
        <v>3752</v>
      </c>
      <c r="B3748">
        <v>0.99987803227770999</v>
      </c>
      <c r="C3748">
        <v>0.81795145525353297</v>
      </c>
      <c r="D3748">
        <v>1.01726893793273</v>
      </c>
      <c r="E3748">
        <v>0.73806638947943304</v>
      </c>
      <c r="F3748">
        <v>0.84118948138999705</v>
      </c>
      <c r="G3748">
        <v>0.75707111530319904</v>
      </c>
      <c r="H3748">
        <v>0.72087152870559901</v>
      </c>
      <c r="I3748">
        <v>0.70895211804165104</v>
      </c>
      <c r="J3748">
        <v>0.74698354836075898</v>
      </c>
      <c r="K3748">
        <v>0.61311978277477097</v>
      </c>
      <c r="L3748">
        <v>296.32343423780401</v>
      </c>
      <c r="M3748">
        <v>5.3339027929663096</v>
      </c>
      <c r="O3748">
        <v>49.190035071398903</v>
      </c>
      <c r="P3748">
        <v>-1.2096099212166299E-2</v>
      </c>
      <c r="Q3748">
        <v>0.55596899658110499</v>
      </c>
      <c r="R3748">
        <v>0.66715225566416203</v>
      </c>
      <c r="S3748" t="s">
        <v>10059</v>
      </c>
      <c r="T3748" t="s">
        <v>12620</v>
      </c>
      <c r="U3748" t="s">
        <v>12620</v>
      </c>
      <c r="V3748" t="s">
        <v>12620</v>
      </c>
      <c r="W3748" t="s">
        <v>16318</v>
      </c>
      <c r="X3748">
        <v>2</v>
      </c>
      <c r="Y3748" t="s">
        <v>22446</v>
      </c>
      <c r="Z3748" t="s">
        <v>28695</v>
      </c>
      <c r="AA3748">
        <v>0.79417464792170334</v>
      </c>
      <c r="AB3748" t="str">
        <f>HYPERLINK("Melting_Curves/meltCurve_Q6ZN18_2_AEBP2.pdf", "Melting_Curves/meltCurve_Q6ZN18_2_AEBP2.pdf")</f>
        <v>Melting_Curves/meltCurve_Q6ZN18_2_AEBP2.pdf</v>
      </c>
    </row>
    <row r="3749" spans="1:28" x14ac:dyDescent="0.25">
      <c r="A3749" t="s">
        <v>3753</v>
      </c>
      <c r="B3749">
        <v>0.99987803227770999</v>
      </c>
      <c r="C3749">
        <v>1.04344930450048</v>
      </c>
      <c r="D3749">
        <v>1.2225961082269301</v>
      </c>
      <c r="E3749">
        <v>1.07153557227945</v>
      </c>
      <c r="F3749">
        <v>1.2515682946064199</v>
      </c>
      <c r="G3749">
        <v>1.0266859591078199</v>
      </c>
      <c r="H3749">
        <v>1.0883581730127501</v>
      </c>
      <c r="I3749">
        <v>1.0737036445804899</v>
      </c>
      <c r="J3749">
        <v>1.3863084586234999</v>
      </c>
      <c r="K3749">
        <v>1.2320555162339</v>
      </c>
      <c r="L3749">
        <v>181.32392977629499</v>
      </c>
      <c r="M3749">
        <v>2.3620985444768401</v>
      </c>
      <c r="O3749">
        <v>50.224231314552597</v>
      </c>
      <c r="P3749">
        <v>6.2279267448531201E-3</v>
      </c>
      <c r="Q3749">
        <v>1.5</v>
      </c>
      <c r="R3749">
        <v>0.236583973182664</v>
      </c>
      <c r="S3749" t="s">
        <v>10060</v>
      </c>
      <c r="T3749" t="s">
        <v>12620</v>
      </c>
      <c r="U3749" t="s">
        <v>12620</v>
      </c>
      <c r="V3749" t="s">
        <v>12620</v>
      </c>
      <c r="W3749" t="s">
        <v>16319</v>
      </c>
      <c r="X3749">
        <v>45</v>
      </c>
      <c r="Y3749" t="s">
        <v>19550</v>
      </c>
      <c r="Z3749" t="s">
        <v>28696</v>
      </c>
      <c r="AA3749">
        <v>1.1391477182336669</v>
      </c>
      <c r="AB3749" t="str">
        <f>HYPERLINK("Melting_Curves/meltCurve_Q6ZN40_TPM1.pdf", "Melting_Curves/meltCurve_Q6ZN40_TPM1.pdf")</f>
        <v>Melting_Curves/meltCurve_Q6ZN40_TPM1.pdf</v>
      </c>
    </row>
    <row r="3750" spans="1:28" x14ac:dyDescent="0.25">
      <c r="A3750" t="s">
        <v>3754</v>
      </c>
      <c r="B3750">
        <v>0.99987803227770999</v>
      </c>
      <c r="C3750">
        <v>0.93990204156971802</v>
      </c>
      <c r="D3750">
        <v>0.93257168624154096</v>
      </c>
      <c r="E3750">
        <v>0.82210259553669396</v>
      </c>
      <c r="F3750">
        <v>0.74137057124627503</v>
      </c>
      <c r="G3750">
        <v>0.45170186784597899</v>
      </c>
      <c r="H3750">
        <v>0.275484714546124</v>
      </c>
      <c r="I3750">
        <v>0.21910876169903501</v>
      </c>
      <c r="J3750">
        <v>0.199671497412684</v>
      </c>
      <c r="K3750">
        <v>0.13309932567051699</v>
      </c>
      <c r="L3750">
        <v>769.82398428917395</v>
      </c>
      <c r="M3750">
        <v>13.853767303238101</v>
      </c>
      <c r="N3750">
        <v>56.4119864051736</v>
      </c>
      <c r="O3750">
        <v>54.4484233801698</v>
      </c>
      <c r="P3750">
        <v>-5.7662753602430603E-2</v>
      </c>
      <c r="Q3750">
        <v>9.3614569379180501E-2</v>
      </c>
      <c r="R3750">
        <v>0.99385425748156797</v>
      </c>
      <c r="S3750" t="s">
        <v>10061</v>
      </c>
      <c r="T3750" t="s">
        <v>12620</v>
      </c>
      <c r="U3750" t="s">
        <v>12620</v>
      </c>
      <c r="V3750" t="s">
        <v>12620</v>
      </c>
      <c r="W3750" t="s">
        <v>16320</v>
      </c>
      <c r="X3750">
        <v>2</v>
      </c>
      <c r="Y3750" t="s">
        <v>22447</v>
      </c>
      <c r="Z3750" t="s">
        <v>28697</v>
      </c>
      <c r="AA3750">
        <v>0.58189007523413616</v>
      </c>
      <c r="AB3750" t="str">
        <f>HYPERLINK("Melting_Curves/meltCurve_Q6ZN54_6_DEF8.pdf", "Melting_Curves/meltCurve_Q6ZN54_6_DEF8.pdf")</f>
        <v>Melting_Curves/meltCurve_Q6ZN54_6_DEF8.pdf</v>
      </c>
    </row>
    <row r="3751" spans="1:28" x14ac:dyDescent="0.25">
      <c r="A3751" t="s">
        <v>3755</v>
      </c>
      <c r="B3751">
        <v>0.99987803227770999</v>
      </c>
      <c r="C3751">
        <v>0.99472705584579302</v>
      </c>
      <c r="D3751">
        <v>0.92000490706702698</v>
      </c>
      <c r="E3751">
        <v>0.87260869131993801</v>
      </c>
      <c r="F3751">
        <v>0.87240817680960503</v>
      </c>
      <c r="G3751">
        <v>0.77200131837233199</v>
      </c>
      <c r="H3751">
        <v>0.88998074027597596</v>
      </c>
      <c r="I3751">
        <v>0.79709730008250401</v>
      </c>
      <c r="J3751">
        <v>0.772731067026733</v>
      </c>
      <c r="K3751">
        <v>0.60560672349114597</v>
      </c>
      <c r="L3751">
        <v>270.27305398003898</v>
      </c>
      <c r="M3751">
        <v>3.0644541067286499</v>
      </c>
      <c r="O3751">
        <v>65.544303783860201</v>
      </c>
      <c r="P3751">
        <v>-1.20280143345487E-2</v>
      </c>
      <c r="Q3751">
        <v>0</v>
      </c>
      <c r="R3751">
        <v>0.77584059898138202</v>
      </c>
      <c r="S3751" t="s">
        <v>10062</v>
      </c>
      <c r="T3751" t="s">
        <v>12620</v>
      </c>
      <c r="U3751" t="s">
        <v>12620</v>
      </c>
      <c r="V3751" t="s">
        <v>12620</v>
      </c>
      <c r="W3751" t="s">
        <v>16321</v>
      </c>
      <c r="X3751">
        <v>6</v>
      </c>
      <c r="Y3751" t="s">
        <v>22448</v>
      </c>
      <c r="Z3751" t="s">
        <v>28698</v>
      </c>
      <c r="AA3751">
        <v>0.85323628480554303</v>
      </c>
      <c r="AB3751" t="str">
        <f>HYPERLINK("Melting_Curves/meltCurve_Q6ZNA4_2_RNF111.pdf", "Melting_Curves/meltCurve_Q6ZNA4_2_RNF111.pdf")</f>
        <v>Melting_Curves/meltCurve_Q6ZNA4_2_RNF111.pdf</v>
      </c>
    </row>
    <row r="3752" spans="1:28" x14ac:dyDescent="0.25">
      <c r="A3752" t="s">
        <v>3756</v>
      </c>
      <c r="B3752">
        <v>0.99987803227770999</v>
      </c>
      <c r="C3752">
        <v>0.52664823126177096</v>
      </c>
      <c r="D3752">
        <v>0.900925235106111</v>
      </c>
      <c r="E3752">
        <v>0.87529706111594396</v>
      </c>
      <c r="F3752">
        <v>0.94316959082006502</v>
      </c>
      <c r="G3752">
        <v>0.94883772075407802</v>
      </c>
      <c r="H3752">
        <v>0.85574621906878401</v>
      </c>
      <c r="I3752">
        <v>0.87880710491548097</v>
      </c>
      <c r="J3752">
        <v>0.92659779655512997</v>
      </c>
      <c r="K3752">
        <v>0.84351116651020697</v>
      </c>
      <c r="L3752">
        <v>10217.1030128364</v>
      </c>
      <c r="M3752">
        <v>250</v>
      </c>
      <c r="O3752">
        <v>40.865796760437902</v>
      </c>
      <c r="P3752">
        <v>-0.22099034756381999</v>
      </c>
      <c r="Q3752">
        <v>0.85550485415433297</v>
      </c>
      <c r="R3752">
        <v>0.123819509067851</v>
      </c>
      <c r="S3752" t="s">
        <v>10063</v>
      </c>
      <c r="T3752" t="s">
        <v>12620</v>
      </c>
      <c r="U3752" t="s">
        <v>12620</v>
      </c>
      <c r="V3752" t="s">
        <v>12620</v>
      </c>
      <c r="W3752" t="s">
        <v>16322</v>
      </c>
      <c r="X3752">
        <v>1</v>
      </c>
      <c r="Y3752" t="s">
        <v>22449</v>
      </c>
      <c r="Z3752" t="s">
        <v>28699</v>
      </c>
      <c r="AA3752">
        <v>0.85970120987210175</v>
      </c>
      <c r="AB3752" t="str">
        <f>HYPERLINK("Melting_Curves/meltCurve_Q6ZNB6_2_NFXL1.pdf", "Melting_Curves/meltCurve_Q6ZNB6_2_NFXL1.pdf")</f>
        <v>Melting_Curves/meltCurve_Q6ZNB6_2_NFXL1.pdf</v>
      </c>
    </row>
    <row r="3753" spans="1:28" x14ac:dyDescent="0.25">
      <c r="A3753" t="s">
        <v>3757</v>
      </c>
      <c r="B3753">
        <v>0.99987803227770999</v>
      </c>
      <c r="C3753">
        <v>1.0006836537360999</v>
      </c>
      <c r="D3753">
        <v>0.99473743527270897</v>
      </c>
      <c r="E3753">
        <v>1.1661103409939999</v>
      </c>
      <c r="F3753">
        <v>0.82875623956052202</v>
      </c>
      <c r="G3753">
        <v>0.48499179273156401</v>
      </c>
      <c r="H3753">
        <v>0.26054827979249201</v>
      </c>
      <c r="I3753">
        <v>0.34652816303337902</v>
      </c>
      <c r="J3753">
        <v>0.27051788082299399</v>
      </c>
      <c r="K3753">
        <v>0.213077780410631</v>
      </c>
      <c r="L3753">
        <v>1975.9464544263101</v>
      </c>
      <c r="M3753">
        <v>35.655654454990596</v>
      </c>
      <c r="N3753">
        <v>56.626730082385301</v>
      </c>
      <c r="O3753">
        <v>55.244026460335398</v>
      </c>
      <c r="P3753">
        <v>-0.118354740205112</v>
      </c>
      <c r="Q3753">
        <v>0.266498286210894</v>
      </c>
      <c r="R3753">
        <v>0.964292641736334</v>
      </c>
      <c r="S3753" t="s">
        <v>10064</v>
      </c>
      <c r="T3753" t="s">
        <v>12620</v>
      </c>
      <c r="U3753" t="s">
        <v>12620</v>
      </c>
      <c r="V3753" t="s">
        <v>12620</v>
      </c>
      <c r="W3753" t="s">
        <v>16323</v>
      </c>
      <c r="X3753">
        <v>1</v>
      </c>
      <c r="Y3753" t="s">
        <v>22450</v>
      </c>
      <c r="Z3753" t="s">
        <v>28700</v>
      </c>
      <c r="AA3753">
        <v>0.64696300813839236</v>
      </c>
      <c r="AB3753" t="str">
        <f>HYPERLINK("Melting_Curves/meltCurve_Q6ZNE5_ATG14.pdf", "Melting_Curves/meltCurve_Q6ZNE5_ATG14.pdf")</f>
        <v>Melting_Curves/meltCurve_Q6ZNE5_ATG14.pdf</v>
      </c>
    </row>
    <row r="3754" spans="1:28" x14ac:dyDescent="0.25">
      <c r="A3754" t="s">
        <v>3758</v>
      </c>
      <c r="B3754">
        <v>0.99987803227770999</v>
      </c>
      <c r="C3754">
        <v>1.0595904465445301</v>
      </c>
      <c r="D3754">
        <v>0.77276675133088002</v>
      </c>
      <c r="E3754">
        <v>0.48006249322731998</v>
      </c>
      <c r="F3754">
        <v>0.38407359059219198</v>
      </c>
      <c r="G3754">
        <v>0.223018224371</v>
      </c>
      <c r="H3754">
        <v>0.21203009584754801</v>
      </c>
      <c r="I3754">
        <v>0.19675269040983601</v>
      </c>
      <c r="J3754">
        <v>0.17226441218659699</v>
      </c>
      <c r="K3754">
        <v>0.113563879936147</v>
      </c>
      <c r="L3754">
        <v>915.55115738920097</v>
      </c>
      <c r="M3754">
        <v>18.653468123816801</v>
      </c>
      <c r="N3754">
        <v>50.178033428856097</v>
      </c>
      <c r="O3754">
        <v>48.528432836930698</v>
      </c>
      <c r="P3754">
        <v>-8.0020784529195102E-2</v>
      </c>
      <c r="Q3754">
        <v>0.16731490821398101</v>
      </c>
      <c r="R3754">
        <v>0.98058170526494304</v>
      </c>
      <c r="S3754" t="s">
        <v>10065</v>
      </c>
      <c r="T3754" t="s">
        <v>12620</v>
      </c>
      <c r="U3754" t="s">
        <v>12620</v>
      </c>
      <c r="V3754" t="s">
        <v>12620</v>
      </c>
      <c r="W3754" t="s">
        <v>16324</v>
      </c>
      <c r="X3754">
        <v>9</v>
      </c>
      <c r="Y3754" t="s">
        <v>22451</v>
      </c>
      <c r="Z3754" t="s">
        <v>28701</v>
      </c>
      <c r="AA3754">
        <v>0.43281126004867332</v>
      </c>
      <c r="AB3754" t="str">
        <f>HYPERLINK("Melting_Curves/meltCurve_Q6ZNJ1_3_NBEAL2.pdf", "Melting_Curves/meltCurve_Q6ZNJ1_3_NBEAL2.pdf")</f>
        <v>Melting_Curves/meltCurve_Q6ZNJ1_3_NBEAL2.pdf</v>
      </c>
    </row>
    <row r="3755" spans="1:28" x14ac:dyDescent="0.25">
      <c r="A3755" t="s">
        <v>3759</v>
      </c>
      <c r="B3755">
        <v>0.99987803227770999</v>
      </c>
      <c r="C3755">
        <v>1.0189389565520299</v>
      </c>
      <c r="D3755">
        <v>1.0489541351706699</v>
      </c>
      <c r="E3755">
        <v>0.64935642815333905</v>
      </c>
      <c r="F3755">
        <v>0.135125856626748</v>
      </c>
      <c r="G3755">
        <v>8.6327898460656305E-2</v>
      </c>
      <c r="H3755">
        <v>4.2560945243055801E-2</v>
      </c>
      <c r="I3755">
        <v>4.2872501730202697E-2</v>
      </c>
      <c r="J3755">
        <v>3.0023258472181201E-2</v>
      </c>
      <c r="K3755">
        <v>2.3286528989304899E-2</v>
      </c>
      <c r="L3755">
        <v>2532.2384145004899</v>
      </c>
      <c r="M3755">
        <v>50.083879413736</v>
      </c>
      <c r="N3755">
        <v>50.654855454089002</v>
      </c>
      <c r="O3755">
        <v>50.479539563865401</v>
      </c>
      <c r="P3755">
        <v>-0.236932734397589</v>
      </c>
      <c r="Q3755">
        <v>4.4782872229893397E-2</v>
      </c>
      <c r="R3755">
        <v>0.99708048935114701</v>
      </c>
      <c r="S3755" t="s">
        <v>10066</v>
      </c>
      <c r="T3755" t="s">
        <v>12620</v>
      </c>
      <c r="U3755" t="s">
        <v>12620</v>
      </c>
      <c r="V3755" t="s">
        <v>12620</v>
      </c>
      <c r="W3755" t="s">
        <v>16325</v>
      </c>
      <c r="X3755">
        <v>8</v>
      </c>
      <c r="Y3755" t="s">
        <v>22452</v>
      </c>
      <c r="Z3755" t="s">
        <v>28702</v>
      </c>
      <c r="AA3755">
        <v>0.38314084589122899</v>
      </c>
      <c r="AB3755" t="str">
        <f>HYPERLINK("Melting_Curves/meltCurve_Q6ZNW5_GDPGP1.pdf", "Melting_Curves/meltCurve_Q6ZNW5_GDPGP1.pdf")</f>
        <v>Melting_Curves/meltCurve_Q6ZNW5_GDPGP1.pdf</v>
      </c>
    </row>
    <row r="3756" spans="1:28" x14ac:dyDescent="0.25">
      <c r="A3756" t="s">
        <v>3760</v>
      </c>
      <c r="B3756">
        <v>0.99987803227770999</v>
      </c>
      <c r="C3756">
        <v>0.95945684777617102</v>
      </c>
      <c r="D3756">
        <v>0.872983888909872</v>
      </c>
      <c r="E3756">
        <v>0.86677471827982799</v>
      </c>
      <c r="F3756">
        <v>1.01729492230032</v>
      </c>
      <c r="G3756">
        <v>0.70884016194056898</v>
      </c>
      <c r="H3756">
        <v>0.64950964416388302</v>
      </c>
      <c r="I3756">
        <v>0.66032939319733097</v>
      </c>
      <c r="J3756">
        <v>0.484389963425991</v>
      </c>
      <c r="K3756">
        <v>0.38835312429149399</v>
      </c>
      <c r="L3756">
        <v>487.576589511782</v>
      </c>
      <c r="M3756">
        <v>7.2861341440973497</v>
      </c>
      <c r="N3756">
        <v>66.918420580407499</v>
      </c>
      <c r="O3756">
        <v>62.4301125067621</v>
      </c>
      <c r="P3756">
        <v>-2.9223847484932602E-2</v>
      </c>
      <c r="Q3756">
        <v>0</v>
      </c>
      <c r="R3756">
        <v>0.89169784679761599</v>
      </c>
      <c r="S3756" t="s">
        <v>10067</v>
      </c>
      <c r="T3756" t="s">
        <v>12620</v>
      </c>
      <c r="U3756" t="s">
        <v>12620</v>
      </c>
      <c r="V3756" t="s">
        <v>12620</v>
      </c>
      <c r="W3756" t="s">
        <v>16326</v>
      </c>
      <c r="X3756">
        <v>4</v>
      </c>
      <c r="Y3756" t="s">
        <v>22453</v>
      </c>
      <c r="Z3756" t="s">
        <v>28703</v>
      </c>
      <c r="AA3756">
        <v>0.78176482851865681</v>
      </c>
      <c r="AB3756" t="str">
        <f>HYPERLINK("Melting_Curves/meltCurve_Q6ZQX7_4_C17orf97.pdf", "Melting_Curves/meltCurve_Q6ZQX7_4_C17orf97.pdf")</f>
        <v>Melting_Curves/meltCurve_Q6ZQX7_4_C17orf97.pdf</v>
      </c>
    </row>
    <row r="3757" spans="1:28" x14ac:dyDescent="0.25">
      <c r="A3757" t="s">
        <v>3761</v>
      </c>
      <c r="B3757">
        <v>0.99987803227770999</v>
      </c>
      <c r="C3757">
        <v>1.1169457860040199</v>
      </c>
      <c r="D3757">
        <v>0.96667447044576604</v>
      </c>
      <c r="E3757">
        <v>0.94298292197428502</v>
      </c>
      <c r="F3757">
        <v>0.76448006100958399</v>
      </c>
      <c r="G3757">
        <v>0.53582410761727095</v>
      </c>
      <c r="H3757">
        <v>0.68199062236435604</v>
      </c>
      <c r="I3757">
        <v>0.60364728523946798</v>
      </c>
      <c r="J3757">
        <v>0.56156333401465997</v>
      </c>
      <c r="K3757">
        <v>0.23981995821381899</v>
      </c>
      <c r="L3757">
        <v>449.13560434192902</v>
      </c>
      <c r="M3757">
        <v>6.9262328606704298</v>
      </c>
      <c r="N3757">
        <v>64.845582349433798</v>
      </c>
      <c r="O3757">
        <v>60.087289162606197</v>
      </c>
      <c r="P3757">
        <v>-2.8872919271670901E-2</v>
      </c>
      <c r="Q3757">
        <v>0</v>
      </c>
      <c r="R3757">
        <v>0.83471787083822402</v>
      </c>
      <c r="S3757" t="s">
        <v>10068</v>
      </c>
      <c r="T3757" t="s">
        <v>12620</v>
      </c>
      <c r="U3757" t="s">
        <v>12620</v>
      </c>
      <c r="V3757" t="s">
        <v>12620</v>
      </c>
      <c r="W3757" t="s">
        <v>16327</v>
      </c>
      <c r="X3757">
        <v>11</v>
      </c>
      <c r="Y3757" t="s">
        <v>22454</v>
      </c>
      <c r="Z3757" t="s">
        <v>28704</v>
      </c>
      <c r="AA3757">
        <v>0.73961054377125435</v>
      </c>
      <c r="AB3757" t="str">
        <f>HYPERLINK("Melting_Curves/meltCurve_Q6ZRS2_3_SRCAP.pdf", "Melting_Curves/meltCurve_Q6ZRS2_3_SRCAP.pdf")</f>
        <v>Melting_Curves/meltCurve_Q6ZRS2_3_SRCAP.pdf</v>
      </c>
    </row>
    <row r="3758" spans="1:28" x14ac:dyDescent="0.25">
      <c r="A3758" t="s">
        <v>3762</v>
      </c>
      <c r="B3758">
        <v>0.99987803227770999</v>
      </c>
      <c r="C3758">
        <v>1.0296391265893501</v>
      </c>
      <c r="D3758">
        <v>0.93048433219403803</v>
      </c>
      <c r="E3758">
        <v>0.47326344918651198</v>
      </c>
      <c r="F3758">
        <v>0.16621347101540901</v>
      </c>
      <c r="G3758">
        <v>0.10791167913751</v>
      </c>
      <c r="H3758">
        <v>6.6035672140142804E-2</v>
      </c>
      <c r="I3758">
        <v>6.1286556488414898E-2</v>
      </c>
      <c r="J3758">
        <v>4.7551722546244103E-2</v>
      </c>
      <c r="K3758">
        <v>2.7233432492369501E-2</v>
      </c>
      <c r="L3758">
        <v>1567.9512674309301</v>
      </c>
      <c r="M3758">
        <v>31.5841127911842</v>
      </c>
      <c r="N3758">
        <v>49.835339439675003</v>
      </c>
      <c r="O3758">
        <v>49.445929583347798</v>
      </c>
      <c r="P3758">
        <v>-0.15055795013468201</v>
      </c>
      <c r="Q3758">
        <v>5.7192048177795302E-2</v>
      </c>
      <c r="R3758">
        <v>0.99784369273959095</v>
      </c>
      <c r="S3758" t="s">
        <v>10069</v>
      </c>
      <c r="T3758" t="s">
        <v>12620</v>
      </c>
      <c r="U3758" t="s">
        <v>12620</v>
      </c>
      <c r="V3758" t="s">
        <v>12620</v>
      </c>
      <c r="W3758" t="s">
        <v>16328</v>
      </c>
      <c r="X3758">
        <v>6</v>
      </c>
      <c r="Y3758" t="s">
        <v>22455</v>
      </c>
      <c r="Z3758" t="s">
        <v>28705</v>
      </c>
      <c r="AA3758">
        <v>0.36548583434930582</v>
      </c>
      <c r="AB3758" t="str">
        <f>HYPERLINK("Melting_Curves/meltCurve_Q6ZS17_2_FAM65A.pdf", "Melting_Curves/meltCurve_Q6ZS17_2_FAM65A.pdf")</f>
        <v>Melting_Curves/meltCurve_Q6ZS17_2_FAM65A.pdf</v>
      </c>
    </row>
    <row r="3759" spans="1:28" x14ac:dyDescent="0.25">
      <c r="A3759" t="s">
        <v>3763</v>
      </c>
      <c r="B3759">
        <v>0.99987803227770999</v>
      </c>
      <c r="C3759">
        <v>0.98769016874910798</v>
      </c>
      <c r="D3759">
        <v>0.95062298247872001</v>
      </c>
      <c r="E3759">
        <v>0.864852740410198</v>
      </c>
      <c r="F3759">
        <v>0.77011398392892005</v>
      </c>
      <c r="G3759">
        <v>0.59676564915099495</v>
      </c>
      <c r="H3759">
        <v>0.50579377132154602</v>
      </c>
      <c r="I3759">
        <v>0.399650714291021</v>
      </c>
      <c r="J3759">
        <v>0.25100207430596599</v>
      </c>
      <c r="K3759">
        <v>0.18670571548513801</v>
      </c>
      <c r="L3759">
        <v>561.87908280199201</v>
      </c>
      <c r="M3759">
        <v>9.3414144108616206</v>
      </c>
      <c r="N3759">
        <v>60.149244052656499</v>
      </c>
      <c r="O3759">
        <v>57.585766443487003</v>
      </c>
      <c r="P3759">
        <v>-4.0579927958854803E-2</v>
      </c>
      <c r="Q3759">
        <v>0</v>
      </c>
      <c r="R3759">
        <v>0.99371312010160795</v>
      </c>
      <c r="S3759" t="s">
        <v>10070</v>
      </c>
      <c r="T3759" t="s">
        <v>12620</v>
      </c>
      <c r="U3759" t="s">
        <v>12620</v>
      </c>
      <c r="V3759" t="s">
        <v>12620</v>
      </c>
      <c r="W3759" t="s">
        <v>16329</v>
      </c>
      <c r="X3759">
        <v>5</v>
      </c>
      <c r="Y3759" t="s">
        <v>22456</v>
      </c>
      <c r="Z3759" t="s">
        <v>28706</v>
      </c>
      <c r="AA3759">
        <v>0.66336384593519893</v>
      </c>
      <c r="AB3759" t="str">
        <f>HYPERLINK("Melting_Curves/meltCurve_Q6ZS30_NBEAL1.pdf", "Melting_Curves/meltCurve_Q6ZS30_NBEAL1.pdf")</f>
        <v>Melting_Curves/meltCurve_Q6ZS30_NBEAL1.pdf</v>
      </c>
    </row>
    <row r="3760" spans="1:28" x14ac:dyDescent="0.25">
      <c r="A3760" t="s">
        <v>3764</v>
      </c>
      <c r="B3760">
        <v>0.99987803227770999</v>
      </c>
      <c r="C3760">
        <v>1.0649480185437601</v>
      </c>
      <c r="D3760">
        <v>1.01307727904811</v>
      </c>
      <c r="E3760">
        <v>0.98076222650839495</v>
      </c>
      <c r="F3760">
        <v>1.0223300517795599</v>
      </c>
      <c r="G3760">
        <v>0.870800073463875</v>
      </c>
      <c r="H3760">
        <v>0.81018996806003796</v>
      </c>
      <c r="I3760">
        <v>0.86711166568504905</v>
      </c>
      <c r="J3760">
        <v>0.72047521059965003</v>
      </c>
      <c r="K3760">
        <v>0.585480860803551</v>
      </c>
      <c r="L3760">
        <v>662.50969119996705</v>
      </c>
      <c r="M3760">
        <v>9.0080275497356901</v>
      </c>
      <c r="Q3760">
        <v>0</v>
      </c>
      <c r="R3760">
        <v>0.90339764700188796</v>
      </c>
      <c r="S3760" t="s">
        <v>10071</v>
      </c>
      <c r="T3760" t="s">
        <v>12620</v>
      </c>
      <c r="U3760" t="s">
        <v>12620</v>
      </c>
      <c r="V3760" t="s">
        <v>12620</v>
      </c>
      <c r="W3760" t="s">
        <v>16330</v>
      </c>
      <c r="X3760">
        <v>3</v>
      </c>
      <c r="Y3760" t="s">
        <v>22457</v>
      </c>
      <c r="Z3760" t="s">
        <v>28707</v>
      </c>
      <c r="AA3760">
        <v>0.90099784334042721</v>
      </c>
      <c r="AB3760" t="str">
        <f>HYPERLINK("Melting_Curves/meltCurve_Q6ZSJ8_C1orf122.pdf", "Melting_Curves/meltCurve_Q6ZSJ8_C1orf122.pdf")</f>
        <v>Melting_Curves/meltCurve_Q6ZSJ8_C1orf122.pdf</v>
      </c>
    </row>
    <row r="3761" spans="1:28" x14ac:dyDescent="0.25">
      <c r="A3761" t="s">
        <v>3765</v>
      </c>
      <c r="B3761">
        <v>0.99987803227770999</v>
      </c>
      <c r="C3761">
        <v>1.0505417174009499</v>
      </c>
      <c r="D3761">
        <v>0.906558987032974</v>
      </c>
      <c r="E3761">
        <v>0.64402949910113605</v>
      </c>
      <c r="F3761">
        <v>0.44018539095977</v>
      </c>
      <c r="G3761">
        <v>0.351332972871155</v>
      </c>
      <c r="H3761">
        <v>0.25600447017267097</v>
      </c>
      <c r="I3761">
        <v>0.235997461166773</v>
      </c>
      <c r="J3761">
        <v>0.20700849703902599</v>
      </c>
      <c r="K3761">
        <v>0.16190284544976799</v>
      </c>
      <c r="L3761">
        <v>929.60593251775595</v>
      </c>
      <c r="M3761">
        <v>18.2809427053508</v>
      </c>
      <c r="N3761">
        <v>52.352672382641003</v>
      </c>
      <c r="O3761">
        <v>50.254339681000403</v>
      </c>
      <c r="P3761">
        <v>-7.2391019256303604E-2</v>
      </c>
      <c r="Q3761">
        <v>0.204025175052029</v>
      </c>
      <c r="R3761">
        <v>0.98897533425662598</v>
      </c>
      <c r="S3761" t="s">
        <v>10072</v>
      </c>
      <c r="T3761" t="s">
        <v>12620</v>
      </c>
      <c r="U3761" t="s">
        <v>12620</v>
      </c>
      <c r="V3761" t="s">
        <v>12620</v>
      </c>
      <c r="W3761" t="s">
        <v>16331</v>
      </c>
      <c r="X3761">
        <v>23</v>
      </c>
      <c r="Y3761" t="s">
        <v>22458</v>
      </c>
      <c r="Z3761" t="s">
        <v>28708</v>
      </c>
      <c r="AA3761">
        <v>0.50499264831735668</v>
      </c>
      <c r="AB3761" t="str">
        <f>HYPERLINK("Melting_Curves/meltCurve_Q6ZSZ5_2_ARHGEF18.pdf", "Melting_Curves/meltCurve_Q6ZSZ5_2_ARHGEF18.pdf")</f>
        <v>Melting_Curves/meltCurve_Q6ZSZ5_2_ARHGEF18.pdf</v>
      </c>
    </row>
    <row r="3762" spans="1:28" x14ac:dyDescent="0.25">
      <c r="A3762" t="s">
        <v>3766</v>
      </c>
      <c r="B3762">
        <v>0.99987803227770999</v>
      </c>
      <c r="C3762">
        <v>1.11606281909986</v>
      </c>
      <c r="D3762">
        <v>0.86713727053029699</v>
      </c>
      <c r="E3762">
        <v>0.66430433743030004</v>
      </c>
      <c r="F3762">
        <v>0.36385154460976299</v>
      </c>
      <c r="G3762">
        <v>0.23106397123389999</v>
      </c>
      <c r="H3762">
        <v>0.162195955225473</v>
      </c>
      <c r="I3762">
        <v>0.14267683983033999</v>
      </c>
      <c r="J3762">
        <v>0.100601505203385</v>
      </c>
      <c r="K3762">
        <v>6.7956224325280895E-2</v>
      </c>
      <c r="L3762">
        <v>1033.33314142771</v>
      </c>
      <c r="M3762">
        <v>20.2417285340339</v>
      </c>
      <c r="N3762">
        <v>51.660019902598499</v>
      </c>
      <c r="O3762">
        <v>50.559232677917201</v>
      </c>
      <c r="P3762">
        <v>-8.9446976677881498E-2</v>
      </c>
      <c r="Q3762">
        <v>0.106354947360426</v>
      </c>
      <c r="R3762">
        <v>0.98272313816254098</v>
      </c>
      <c r="S3762" t="s">
        <v>10073</v>
      </c>
      <c r="T3762" t="s">
        <v>12620</v>
      </c>
      <c r="U3762" t="s">
        <v>12620</v>
      </c>
      <c r="V3762" t="s">
        <v>12620</v>
      </c>
      <c r="W3762" t="s">
        <v>16332</v>
      </c>
      <c r="X3762">
        <v>13</v>
      </c>
      <c r="Y3762" t="s">
        <v>22459</v>
      </c>
      <c r="Z3762" t="s">
        <v>28709</v>
      </c>
      <c r="AA3762">
        <v>0.44763165968213242</v>
      </c>
      <c r="AB3762" t="str">
        <f>HYPERLINK("Melting_Curves/meltCurve_Q6ZT12_UBR3.pdf", "Melting_Curves/meltCurve_Q6ZT12_UBR3.pdf")</f>
        <v>Melting_Curves/meltCurve_Q6ZT12_UBR3.pdf</v>
      </c>
    </row>
    <row r="3763" spans="1:28" x14ac:dyDescent="0.25">
      <c r="A3763" t="s">
        <v>3767</v>
      </c>
      <c r="B3763">
        <v>0.99987803227770999</v>
      </c>
      <c r="C3763">
        <v>0.97715952274787499</v>
      </c>
      <c r="D3763">
        <v>0.93260413638171002</v>
      </c>
      <c r="E3763">
        <v>0.82498373694796101</v>
      </c>
      <c r="F3763">
        <v>0.65178390517670504</v>
      </c>
      <c r="G3763">
        <v>0.34074666510699297</v>
      </c>
      <c r="H3763">
        <v>0.24179418013993501</v>
      </c>
      <c r="I3763">
        <v>0.21329753662589199</v>
      </c>
      <c r="J3763">
        <v>0.13992682816186999</v>
      </c>
      <c r="K3763">
        <v>0.12886512716601001</v>
      </c>
      <c r="L3763">
        <v>919.10752723361895</v>
      </c>
      <c r="M3763">
        <v>17.025276014691801</v>
      </c>
      <c r="N3763">
        <v>54.8921415025535</v>
      </c>
      <c r="O3763">
        <v>53.256593938556101</v>
      </c>
      <c r="P3763">
        <v>-7.0124201660474603E-2</v>
      </c>
      <c r="Q3763">
        <v>0.12263463147307201</v>
      </c>
      <c r="R3763">
        <v>0.99668855933831002</v>
      </c>
      <c r="S3763" t="s">
        <v>10074</v>
      </c>
      <c r="T3763" t="s">
        <v>12620</v>
      </c>
      <c r="U3763" t="s">
        <v>12620</v>
      </c>
      <c r="V3763" t="s">
        <v>12620</v>
      </c>
      <c r="W3763" t="s">
        <v>16333</v>
      </c>
      <c r="X3763">
        <v>7</v>
      </c>
      <c r="Y3763" t="s">
        <v>22460</v>
      </c>
      <c r="Z3763" t="s">
        <v>28710</v>
      </c>
      <c r="AA3763">
        <v>0.54685449160856991</v>
      </c>
      <c r="AB3763" t="str">
        <f>HYPERLINK("Melting_Curves/meltCurve_Q6ZT62_SH3BP1.pdf", "Melting_Curves/meltCurve_Q6ZT62_SH3BP1.pdf")</f>
        <v>Melting_Curves/meltCurve_Q6ZT62_SH3BP1.pdf</v>
      </c>
    </row>
    <row r="3764" spans="1:28" x14ac:dyDescent="0.25">
      <c r="A3764" t="s">
        <v>3768</v>
      </c>
      <c r="B3764">
        <v>0.99987803227770999</v>
      </c>
      <c r="C3764">
        <v>0.87272222418476697</v>
      </c>
      <c r="D3764">
        <v>1.1071520104603001</v>
      </c>
      <c r="E3764">
        <v>0.73140915345693602</v>
      </c>
      <c r="F3764">
        <v>0.88265650695344999</v>
      </c>
      <c r="G3764">
        <v>0.80199687575674405</v>
      </c>
      <c r="H3764">
        <v>0.770381553339888</v>
      </c>
      <c r="I3764">
        <v>1.0380083114919201</v>
      </c>
      <c r="J3764">
        <v>0.71997281880880304</v>
      </c>
      <c r="K3764">
        <v>0.57629826672041895</v>
      </c>
      <c r="L3764">
        <v>248.89576074714199</v>
      </c>
      <c r="M3764">
        <v>2.6867005632362599</v>
      </c>
      <c r="O3764">
        <v>64.796118757363999</v>
      </c>
      <c r="P3764">
        <v>-1.0802640230979901E-2</v>
      </c>
      <c r="Q3764">
        <v>0</v>
      </c>
      <c r="R3764">
        <v>0.33585595117557798</v>
      </c>
      <c r="S3764" t="s">
        <v>10075</v>
      </c>
      <c r="T3764" t="s">
        <v>12620</v>
      </c>
      <c r="U3764" t="s">
        <v>12620</v>
      </c>
      <c r="V3764" t="s">
        <v>12620</v>
      </c>
      <c r="W3764" t="s">
        <v>16334</v>
      </c>
      <c r="X3764">
        <v>1</v>
      </c>
      <c r="Y3764" t="s">
        <v>22461</v>
      </c>
      <c r="Z3764" t="s">
        <v>28711</v>
      </c>
      <c r="AA3764">
        <v>0.8544333161738652</v>
      </c>
      <c r="AB3764" t="str">
        <f>HYPERLINK("Melting_Curves/meltCurve_Q6ZU65_UBN2.pdf", "Melting_Curves/meltCurve_Q6ZU65_UBN2.pdf")</f>
        <v>Melting_Curves/meltCurve_Q6ZU65_UBN2.pdf</v>
      </c>
    </row>
    <row r="3765" spans="1:28" x14ac:dyDescent="0.25">
      <c r="A3765" t="s">
        <v>3769</v>
      </c>
      <c r="B3765">
        <v>0.99987803227770999</v>
      </c>
      <c r="C3765">
        <v>0.91737355618474103</v>
      </c>
      <c r="D3765">
        <v>0.89351311381564102</v>
      </c>
      <c r="E3765">
        <v>0.901754116819244</v>
      </c>
      <c r="F3765">
        <v>0.69595400589120904</v>
      </c>
      <c r="G3765">
        <v>0.514252307387006</v>
      </c>
      <c r="H3765">
        <v>0.303370845919051</v>
      </c>
      <c r="I3765">
        <v>0.29789739029206402</v>
      </c>
      <c r="J3765">
        <v>0.137615734374846</v>
      </c>
      <c r="K3765">
        <v>8.6901950828729105E-2</v>
      </c>
      <c r="L3765">
        <v>650.01066124683803</v>
      </c>
      <c r="M3765">
        <v>11.3482746680401</v>
      </c>
      <c r="N3765">
        <v>57.278367597478301</v>
      </c>
      <c r="O3765">
        <v>55.586233245260402</v>
      </c>
      <c r="P3765">
        <v>-5.1054316293617501E-2</v>
      </c>
      <c r="Q3765">
        <v>0</v>
      </c>
      <c r="R3765">
        <v>0.98487605025781899</v>
      </c>
      <c r="S3765" t="s">
        <v>10076</v>
      </c>
      <c r="T3765" t="s">
        <v>12620</v>
      </c>
      <c r="U3765" t="s">
        <v>12620</v>
      </c>
      <c r="V3765" t="s">
        <v>12620</v>
      </c>
      <c r="W3765" t="s">
        <v>16335</v>
      </c>
      <c r="X3765">
        <v>4</v>
      </c>
      <c r="Y3765" t="s">
        <v>22462</v>
      </c>
      <c r="Z3765" t="s">
        <v>28712</v>
      </c>
      <c r="AA3765">
        <v>0.59143003803043659</v>
      </c>
      <c r="AB3765" t="str">
        <f>HYPERLINK("Melting_Curves/meltCurve_Q6ZUM4_2_ARHGAP27.pdf", "Melting_Curves/meltCurve_Q6ZUM4_2_ARHGAP27.pdf")</f>
        <v>Melting_Curves/meltCurve_Q6ZUM4_2_ARHGAP27.pdf</v>
      </c>
    </row>
    <row r="3766" spans="1:28" x14ac:dyDescent="0.25">
      <c r="A3766" t="s">
        <v>3770</v>
      </c>
      <c r="B3766">
        <v>0.99987803227770999</v>
      </c>
      <c r="C3766">
        <v>0.94801900731142796</v>
      </c>
      <c r="D3766">
        <v>1.00961455238576</v>
      </c>
      <c r="E3766">
        <v>0.85759074895822196</v>
      </c>
      <c r="F3766">
        <v>0.87472678990673403</v>
      </c>
      <c r="G3766">
        <v>0.70155623839038805</v>
      </c>
      <c r="H3766">
        <v>0.71343870252376596</v>
      </c>
      <c r="I3766">
        <v>0.78553543736328302</v>
      </c>
      <c r="J3766">
        <v>0.69625849370236803</v>
      </c>
      <c r="K3766">
        <v>0.57763018581607395</v>
      </c>
      <c r="L3766">
        <v>520.20497940257405</v>
      </c>
      <c r="M3766">
        <v>9.40101827383039</v>
      </c>
      <c r="O3766">
        <v>53.004421988884403</v>
      </c>
      <c r="P3766">
        <v>-1.7648015174317001E-2</v>
      </c>
      <c r="Q3766">
        <v>0.60223571938317599</v>
      </c>
      <c r="R3766">
        <v>0.853753959063552</v>
      </c>
      <c r="S3766" t="s">
        <v>10077</v>
      </c>
      <c r="T3766" t="s">
        <v>12620</v>
      </c>
      <c r="U3766" t="s">
        <v>12620</v>
      </c>
      <c r="V3766" t="s">
        <v>12620</v>
      </c>
      <c r="W3766" t="s">
        <v>16336</v>
      </c>
      <c r="X3766">
        <v>3</v>
      </c>
      <c r="Y3766" t="s">
        <v>22463</v>
      </c>
      <c r="Z3766" t="s">
        <v>28713</v>
      </c>
      <c r="AA3766">
        <v>0.81536538134025349</v>
      </c>
      <c r="AB3766" t="str">
        <f>HYPERLINK("Melting_Curves/meltCurve_Q6ZUT6_4_C15orf52.pdf", "Melting_Curves/meltCurve_Q6ZUT6_4_C15orf52.pdf")</f>
        <v>Melting_Curves/meltCurve_Q6ZUT6_4_C15orf52.pdf</v>
      </c>
    </row>
    <row r="3767" spans="1:28" x14ac:dyDescent="0.25">
      <c r="A3767" t="s">
        <v>3771</v>
      </c>
      <c r="B3767">
        <v>0.99987803227770999</v>
      </c>
      <c r="C3767">
        <v>0.98402042231864095</v>
      </c>
      <c r="D3767">
        <v>0.69464632851244901</v>
      </c>
      <c r="E3767">
        <v>0.42227886988456098</v>
      </c>
      <c r="F3767">
        <v>0.24946870412420799</v>
      </c>
      <c r="G3767">
        <v>0.18505982082487099</v>
      </c>
      <c r="H3767">
        <v>0.148277506877146</v>
      </c>
      <c r="I3767">
        <v>0.114429425499968</v>
      </c>
      <c r="J3767">
        <v>9.1785696707593706E-2</v>
      </c>
      <c r="K3767">
        <v>5.88794401737089E-2</v>
      </c>
      <c r="L3767">
        <v>869.28803149323801</v>
      </c>
      <c r="M3767">
        <v>17.992702431409999</v>
      </c>
      <c r="N3767">
        <v>48.914386352547702</v>
      </c>
      <c r="O3767">
        <v>47.728429893743098</v>
      </c>
      <c r="P3767">
        <v>-8.4902771841020699E-2</v>
      </c>
      <c r="Q3767">
        <v>9.9173510928689895E-2</v>
      </c>
      <c r="R3767">
        <v>0.99082797143424295</v>
      </c>
      <c r="S3767" t="s">
        <v>10078</v>
      </c>
      <c r="T3767" t="s">
        <v>12620</v>
      </c>
      <c r="U3767" t="s">
        <v>12620</v>
      </c>
      <c r="V3767" t="s">
        <v>12620</v>
      </c>
      <c r="W3767" t="s">
        <v>16337</v>
      </c>
      <c r="X3767">
        <v>5</v>
      </c>
      <c r="Y3767" t="s">
        <v>22464</v>
      </c>
      <c r="Z3767" t="s">
        <v>28714</v>
      </c>
      <c r="AA3767">
        <v>0.36465946608410071</v>
      </c>
      <c r="AB3767" t="str">
        <f>HYPERLINK("Melting_Curves/meltCurve_Q6ZUT9_DENND5B.pdf", "Melting_Curves/meltCurve_Q6ZUT9_DENND5B.pdf")</f>
        <v>Melting_Curves/meltCurve_Q6ZUT9_DENND5B.pdf</v>
      </c>
    </row>
    <row r="3768" spans="1:28" x14ac:dyDescent="0.25">
      <c r="A3768" t="s">
        <v>3772</v>
      </c>
      <c r="B3768">
        <v>0.99987803227770999</v>
      </c>
      <c r="C3768">
        <v>1.0362213109392899</v>
      </c>
      <c r="D3768">
        <v>1.0400831838040101</v>
      </c>
      <c r="E3768">
        <v>0.896694913549552</v>
      </c>
      <c r="F3768">
        <v>0.74017933927250001</v>
      </c>
      <c r="G3768">
        <v>0.57371052790063803</v>
      </c>
      <c r="H3768">
        <v>0.47976119622529501</v>
      </c>
      <c r="I3768">
        <v>0.38184650515784602</v>
      </c>
      <c r="J3768">
        <v>0.34156627353496999</v>
      </c>
      <c r="K3768">
        <v>0.27827073917508999</v>
      </c>
      <c r="L3768">
        <v>813.75383378480205</v>
      </c>
      <c r="M3768">
        <v>14.544669850478501</v>
      </c>
      <c r="N3768">
        <v>59.157747518834803</v>
      </c>
      <c r="O3768">
        <v>54.922890956070603</v>
      </c>
      <c r="P3768">
        <v>-4.8146289985895999E-2</v>
      </c>
      <c r="Q3768">
        <v>0.27285216791719502</v>
      </c>
      <c r="R3768">
        <v>0.98651371730661297</v>
      </c>
      <c r="S3768" t="s">
        <v>10079</v>
      </c>
      <c r="T3768" t="s">
        <v>12620</v>
      </c>
      <c r="U3768" t="s">
        <v>12620</v>
      </c>
      <c r="V3768" t="s">
        <v>12620</v>
      </c>
      <c r="W3768" t="s">
        <v>16338</v>
      </c>
      <c r="X3768">
        <v>23</v>
      </c>
      <c r="Y3768" t="s">
        <v>22465</v>
      </c>
      <c r="Z3768" t="s">
        <v>28715</v>
      </c>
      <c r="AA3768">
        <v>0.67271954028049608</v>
      </c>
      <c r="AB3768" t="str">
        <f>HYPERLINK("Melting_Curves/meltCurve_Q6ZV73_FGD6.pdf", "Melting_Curves/meltCurve_Q6ZV73_FGD6.pdf")</f>
        <v>Melting_Curves/meltCurve_Q6ZV73_FGD6.pdf</v>
      </c>
    </row>
    <row r="3769" spans="1:28" x14ac:dyDescent="0.25">
      <c r="A3769" t="s">
        <v>3773</v>
      </c>
      <c r="B3769">
        <v>0.99987803227770999</v>
      </c>
      <c r="C3769">
        <v>0.83105885865512596</v>
      </c>
      <c r="D3769">
        <v>0.98950997910679706</v>
      </c>
      <c r="E3769">
        <v>0.80761668643040896</v>
      </c>
      <c r="F3769">
        <v>1.07690142268052</v>
      </c>
      <c r="G3769">
        <v>0.86531104029878003</v>
      </c>
      <c r="H3769">
        <v>0.93804365830940795</v>
      </c>
      <c r="I3769">
        <v>0.873329791180814</v>
      </c>
      <c r="J3769">
        <v>0.90453931691195699</v>
      </c>
      <c r="K3769">
        <v>0.74494220679309797</v>
      </c>
      <c r="L3769">
        <v>161.93638971051899</v>
      </c>
      <c r="M3769">
        <v>0.65966379795994301</v>
      </c>
      <c r="O3769">
        <v>61.332958106314102</v>
      </c>
      <c r="P3769">
        <v>-4.5868271963088797E-3</v>
      </c>
      <c r="Q3769">
        <v>0</v>
      </c>
      <c r="R3769">
        <v>0.15886671494718599</v>
      </c>
      <c r="S3769" t="s">
        <v>10080</v>
      </c>
      <c r="T3769" t="s">
        <v>12620</v>
      </c>
      <c r="U3769" t="s">
        <v>12620</v>
      </c>
      <c r="V3769" t="s">
        <v>12620</v>
      </c>
      <c r="W3769" t="s">
        <v>16339</v>
      </c>
      <c r="X3769">
        <v>14</v>
      </c>
      <c r="Y3769" t="s">
        <v>22466</v>
      </c>
      <c r="Z3769" t="s">
        <v>28716</v>
      </c>
      <c r="AA3769">
        <v>0.90625842043692706</v>
      </c>
      <c r="AB3769" t="str">
        <f>HYPERLINK("Melting_Curves/meltCurve_Q6ZVF9_GPRIN3.pdf", "Melting_Curves/meltCurve_Q6ZVF9_GPRIN3.pdf")</f>
        <v>Melting_Curves/meltCurve_Q6ZVF9_GPRIN3.pdf</v>
      </c>
    </row>
    <row r="3770" spans="1:28" x14ac:dyDescent="0.25">
      <c r="A3770" t="s">
        <v>3774</v>
      </c>
      <c r="B3770">
        <v>0.99987803227770999</v>
      </c>
      <c r="C3770">
        <v>0.93618283126528601</v>
      </c>
      <c r="D3770">
        <v>1.03586072565537</v>
      </c>
      <c r="E3770">
        <v>0.81130994870514594</v>
      </c>
      <c r="F3770">
        <v>0.72929159490095896</v>
      </c>
      <c r="G3770">
        <v>0.25789090479584498</v>
      </c>
      <c r="H3770">
        <v>0.141689746784983</v>
      </c>
      <c r="I3770">
        <v>9.8456147868068097E-2</v>
      </c>
      <c r="J3770">
        <v>9.8339947136672601E-2</v>
      </c>
      <c r="K3770">
        <v>6.4807933134161694E-2</v>
      </c>
      <c r="L3770">
        <v>1286.0401591780401</v>
      </c>
      <c r="M3770">
        <v>23.6867782785034</v>
      </c>
      <c r="N3770">
        <v>54.644430691017398</v>
      </c>
      <c r="O3770">
        <v>53.911047873826398</v>
      </c>
      <c r="P3770">
        <v>-0.10209535804730301</v>
      </c>
      <c r="Q3770">
        <v>7.0540364360272695E-2</v>
      </c>
      <c r="R3770">
        <v>0.98796082725552903</v>
      </c>
      <c r="S3770" t="s">
        <v>10081</v>
      </c>
      <c r="T3770" t="s">
        <v>12620</v>
      </c>
      <c r="U3770" t="s">
        <v>12620</v>
      </c>
      <c r="V3770" t="s">
        <v>12620</v>
      </c>
      <c r="W3770" t="s">
        <v>16340</v>
      </c>
      <c r="X3770">
        <v>8</v>
      </c>
      <c r="Y3770" t="s">
        <v>22467</v>
      </c>
      <c r="Z3770" t="s">
        <v>28717</v>
      </c>
      <c r="AA3770">
        <v>0.52285738613508803</v>
      </c>
      <c r="AB3770" t="str">
        <f>HYPERLINK("Melting_Curves/meltCurve_Q6ZVK8_NUDT18.pdf", "Melting_Curves/meltCurve_Q6ZVK8_NUDT18.pdf")</f>
        <v>Melting_Curves/meltCurve_Q6ZVK8_NUDT18.pdf</v>
      </c>
    </row>
    <row r="3771" spans="1:28" x14ac:dyDescent="0.25">
      <c r="A3771" t="s">
        <v>3775</v>
      </c>
      <c r="B3771">
        <v>0.99987803227770999</v>
      </c>
      <c r="C3771">
        <v>0.96993744883440802</v>
      </c>
      <c r="D3771">
        <v>1.08300454451281</v>
      </c>
      <c r="E3771">
        <v>0.98959581326144397</v>
      </c>
      <c r="F3771">
        <v>0.92315644012262099</v>
      </c>
      <c r="G3771">
        <v>0.57105219780906102</v>
      </c>
      <c r="H3771">
        <v>0.40819000681879403</v>
      </c>
      <c r="I3771">
        <v>0.34871722755289802</v>
      </c>
      <c r="J3771">
        <v>0.294570993578959</v>
      </c>
      <c r="K3771">
        <v>0.22648682112500901</v>
      </c>
      <c r="L3771">
        <v>1440.85556934894</v>
      </c>
      <c r="M3771">
        <v>25.426192774100901</v>
      </c>
      <c r="N3771">
        <v>58.495493753494898</v>
      </c>
      <c r="O3771">
        <v>56.321102913965497</v>
      </c>
      <c r="P3771">
        <v>-8.1933983341303904E-2</v>
      </c>
      <c r="Q3771">
        <v>0.27404700887806599</v>
      </c>
      <c r="R3771">
        <v>0.98483552722836398</v>
      </c>
      <c r="S3771" t="s">
        <v>10082</v>
      </c>
      <c r="T3771" t="s">
        <v>12620</v>
      </c>
      <c r="U3771" t="s">
        <v>12620</v>
      </c>
      <c r="V3771" t="s">
        <v>12620</v>
      </c>
      <c r="W3771" t="s">
        <v>16341</v>
      </c>
      <c r="X3771">
        <v>11</v>
      </c>
      <c r="Y3771" t="s">
        <v>22468</v>
      </c>
      <c r="Z3771" t="s">
        <v>28718</v>
      </c>
      <c r="AA3771">
        <v>0.68380524096744888</v>
      </c>
      <c r="AB3771" t="str">
        <f>HYPERLINK("Melting_Curves/meltCurve_Q6ZVM7_TOM1L2.pdf", "Melting_Curves/meltCurve_Q6ZVM7_TOM1L2.pdf")</f>
        <v>Melting_Curves/meltCurve_Q6ZVM7_TOM1L2.pdf</v>
      </c>
    </row>
    <row r="3772" spans="1:28" x14ac:dyDescent="0.25">
      <c r="A3772" t="s">
        <v>3776</v>
      </c>
      <c r="B3772">
        <v>0.99987803227770999</v>
      </c>
      <c r="C3772">
        <v>1.0752654825657699</v>
      </c>
      <c r="D3772">
        <v>1.00352419032615</v>
      </c>
      <c r="E3772">
        <v>0.95319659349541996</v>
      </c>
      <c r="F3772">
        <v>0.97218467914019602</v>
      </c>
      <c r="G3772">
        <v>0.59332003331634897</v>
      </c>
      <c r="H3772">
        <v>0.23414926386404</v>
      </c>
      <c r="I3772">
        <v>0.17181677815308299</v>
      </c>
      <c r="J3772">
        <v>0.15521981733033199</v>
      </c>
      <c r="K3772">
        <v>0.111857790586531</v>
      </c>
      <c r="L3772">
        <v>1963.0543968520701</v>
      </c>
      <c r="M3772">
        <v>34.289250335393099</v>
      </c>
      <c r="N3772">
        <v>57.787608389313498</v>
      </c>
      <c r="O3772">
        <v>57.056177245185999</v>
      </c>
      <c r="P3772">
        <v>-0.129721446768609</v>
      </c>
      <c r="Q3772">
        <v>0.136594528461527</v>
      </c>
      <c r="R3772">
        <v>0.99420979544024002</v>
      </c>
      <c r="S3772" t="s">
        <v>10083</v>
      </c>
      <c r="T3772" t="s">
        <v>12620</v>
      </c>
      <c r="U3772" t="s">
        <v>12620</v>
      </c>
      <c r="V3772" t="s">
        <v>12620</v>
      </c>
      <c r="W3772" t="s">
        <v>16342</v>
      </c>
      <c r="X3772">
        <v>8</v>
      </c>
      <c r="Y3772" t="s">
        <v>22469</v>
      </c>
      <c r="Z3772" t="s">
        <v>28719</v>
      </c>
      <c r="AA3772">
        <v>0.63756400526977186</v>
      </c>
      <c r="AB3772" t="str">
        <f>HYPERLINK("Melting_Curves/meltCurve_Q6ZW49_4_PAXIP1.pdf", "Melting_Curves/meltCurve_Q6ZW49_4_PAXIP1.pdf")</f>
        <v>Melting_Curves/meltCurve_Q6ZW49_4_PAXIP1.pdf</v>
      </c>
    </row>
    <row r="3773" spans="1:28" x14ac:dyDescent="0.25">
      <c r="A3773" t="s">
        <v>3777</v>
      </c>
      <c r="B3773">
        <v>0.99987803227770999</v>
      </c>
      <c r="C3773">
        <v>0.89402771021312599</v>
      </c>
      <c r="D3773">
        <v>0.806855467836048</v>
      </c>
      <c r="E3773">
        <v>0.54229326794013999</v>
      </c>
      <c r="F3773">
        <v>0.35933625240294298</v>
      </c>
      <c r="G3773">
        <v>0.245116333178516</v>
      </c>
      <c r="H3773">
        <v>0.16816435841895899</v>
      </c>
      <c r="I3773">
        <v>0.14264353916724801</v>
      </c>
      <c r="J3773">
        <v>0.11437981349531701</v>
      </c>
      <c r="K3773">
        <v>9.0197767389120595E-2</v>
      </c>
      <c r="L3773">
        <v>694.25838144977297</v>
      </c>
      <c r="M3773">
        <v>13.884852875726301</v>
      </c>
      <c r="N3773">
        <v>50.7335793150814</v>
      </c>
      <c r="O3773">
        <v>48.998210557762697</v>
      </c>
      <c r="P3773">
        <v>-6.4418338217995905E-2</v>
      </c>
      <c r="Q3773">
        <v>9.0821628862545994E-2</v>
      </c>
      <c r="R3773">
        <v>0.99772533854956802</v>
      </c>
      <c r="S3773" t="s">
        <v>10084</v>
      </c>
      <c r="T3773" t="s">
        <v>12620</v>
      </c>
      <c r="U3773" t="s">
        <v>12620</v>
      </c>
      <c r="V3773" t="s">
        <v>12620</v>
      </c>
      <c r="W3773" t="s">
        <v>16343</v>
      </c>
      <c r="X3773">
        <v>15</v>
      </c>
      <c r="Y3773" t="s">
        <v>22470</v>
      </c>
      <c r="Z3773" t="s">
        <v>28720</v>
      </c>
      <c r="AA3773">
        <v>0.41871064485946352</v>
      </c>
      <c r="AB3773" t="str">
        <f>HYPERLINK("Melting_Curves/meltCurve_Q6ZWJ1_STXBP4.pdf", "Melting_Curves/meltCurve_Q6ZWJ1_STXBP4.pdf")</f>
        <v>Melting_Curves/meltCurve_Q6ZWJ1_STXBP4.pdf</v>
      </c>
    </row>
    <row r="3774" spans="1:28" x14ac:dyDescent="0.25">
      <c r="A3774" t="s">
        <v>3778</v>
      </c>
      <c r="B3774">
        <v>0.99987803227770999</v>
      </c>
      <c r="C3774">
        <v>0.98667409918848603</v>
      </c>
      <c r="D3774">
        <v>0.97849347230977501</v>
      </c>
      <c r="E3774">
        <v>0.85077543273251799</v>
      </c>
      <c r="F3774">
        <v>1.1256839014587801</v>
      </c>
      <c r="G3774">
        <v>1.153448330437</v>
      </c>
      <c r="H3774">
        <v>1.17313134505509</v>
      </c>
      <c r="I3774">
        <v>1.2833508113073999</v>
      </c>
      <c r="J3774">
        <v>0.89380762008914205</v>
      </c>
      <c r="K3774">
        <v>0.67266823788284302</v>
      </c>
      <c r="L3774">
        <v>15000</v>
      </c>
      <c r="M3774">
        <v>223.14659852081101</v>
      </c>
      <c r="O3774">
        <v>67.214996649181202</v>
      </c>
      <c r="P3774">
        <v>-0.27171668977466901</v>
      </c>
      <c r="Q3774">
        <v>0.67262000431346303</v>
      </c>
      <c r="R3774">
        <v>0.40418539175773299</v>
      </c>
      <c r="S3774" t="s">
        <v>10085</v>
      </c>
      <c r="T3774" t="s">
        <v>12620</v>
      </c>
      <c r="U3774" t="s">
        <v>12620</v>
      </c>
      <c r="V3774" t="s">
        <v>12620</v>
      </c>
      <c r="W3774" t="s">
        <v>16344</v>
      </c>
      <c r="X3774">
        <v>1</v>
      </c>
      <c r="Y3774" t="s">
        <v>22471</v>
      </c>
      <c r="Z3774" t="s">
        <v>28721</v>
      </c>
      <c r="AA3774">
        <v>0.96971494382295964</v>
      </c>
      <c r="AB3774" t="str">
        <f>HYPERLINK("Melting_Curves/meltCurve_Q6ZYL4_GTF2H5.pdf", "Melting_Curves/meltCurve_Q6ZYL4_GTF2H5.pdf")</f>
        <v>Melting_Curves/meltCurve_Q6ZYL4_GTF2H5.pdf</v>
      </c>
    </row>
    <row r="3775" spans="1:28" x14ac:dyDescent="0.25">
      <c r="A3775" t="s">
        <v>3779</v>
      </c>
      <c r="B3775">
        <v>0.99987803227770999</v>
      </c>
      <c r="C3775">
        <v>1.08436437518531</v>
      </c>
      <c r="D3775">
        <v>0.90654450768112205</v>
      </c>
      <c r="E3775">
        <v>1.2923883188262799</v>
      </c>
      <c r="F3775">
        <v>0.89798569681041696</v>
      </c>
      <c r="G3775">
        <v>0.77177719033806902</v>
      </c>
      <c r="H3775">
        <v>0.47318693021022401</v>
      </c>
      <c r="I3775">
        <v>0.24111852503977199</v>
      </c>
      <c r="J3775">
        <v>0.1461219976433</v>
      </c>
      <c r="K3775">
        <v>0.111663510431114</v>
      </c>
      <c r="L3775">
        <v>1410.93023323067</v>
      </c>
      <c r="M3775">
        <v>23.512577928730401</v>
      </c>
      <c r="N3775">
        <v>60.439123201795802</v>
      </c>
      <c r="O3775">
        <v>59.5784329011165</v>
      </c>
      <c r="P3775">
        <v>-9.1037662293602994E-2</v>
      </c>
      <c r="Q3775">
        <v>7.7295512855055495E-2</v>
      </c>
      <c r="R3775">
        <v>0.93014074499833099</v>
      </c>
      <c r="S3775" t="s">
        <v>10086</v>
      </c>
      <c r="T3775" t="s">
        <v>12620</v>
      </c>
      <c r="U3775" t="s">
        <v>12620</v>
      </c>
      <c r="V3775" t="s">
        <v>12620</v>
      </c>
      <c r="W3775" t="s">
        <v>16345</v>
      </c>
      <c r="X3775">
        <v>51</v>
      </c>
      <c r="Y3775" t="s">
        <v>22472</v>
      </c>
      <c r="Z3775" t="s">
        <v>28722</v>
      </c>
      <c r="AA3775">
        <v>0.69984076283376184</v>
      </c>
      <c r="AB3775" t="str">
        <f>HYPERLINK("Melting_Curves/meltCurve_Q709C8_3_VPS13C.pdf", "Melting_Curves/meltCurve_Q709C8_3_VPS13C.pdf")</f>
        <v>Melting_Curves/meltCurve_Q709C8_3_VPS13C.pdf</v>
      </c>
    </row>
    <row r="3776" spans="1:28" x14ac:dyDescent="0.25">
      <c r="A3776" t="s">
        <v>3780</v>
      </c>
      <c r="B3776">
        <v>0.99987803227770999</v>
      </c>
      <c r="C3776">
        <v>0.91842819990147895</v>
      </c>
      <c r="D3776">
        <v>0.83757963150604098</v>
      </c>
      <c r="E3776">
        <v>0.73721038735451305</v>
      </c>
      <c r="F3776">
        <v>0.47809985112105902</v>
      </c>
      <c r="G3776">
        <v>0.25592359449987201</v>
      </c>
      <c r="H3776">
        <v>0.195286030932451</v>
      </c>
      <c r="I3776">
        <v>0.176808887523355</v>
      </c>
      <c r="J3776">
        <v>0.14883726492478799</v>
      </c>
      <c r="K3776">
        <v>0.110386545964403</v>
      </c>
      <c r="L3776">
        <v>748.558401176144</v>
      </c>
      <c r="M3776">
        <v>14.402449105790501</v>
      </c>
      <c r="N3776">
        <v>52.791563201663301</v>
      </c>
      <c r="O3776">
        <v>51.0031955844888</v>
      </c>
      <c r="P3776">
        <v>-6.3549500840942102E-2</v>
      </c>
      <c r="Q3776">
        <v>9.9918712378818594E-2</v>
      </c>
      <c r="R3776">
        <v>0.99105500578361405</v>
      </c>
      <c r="S3776" t="s">
        <v>10087</v>
      </c>
      <c r="T3776" t="s">
        <v>12620</v>
      </c>
      <c r="U3776" t="s">
        <v>12620</v>
      </c>
      <c r="V3776" t="s">
        <v>12620</v>
      </c>
      <c r="W3776" t="s">
        <v>16346</v>
      </c>
      <c r="X3776">
        <v>12</v>
      </c>
      <c r="Y3776" t="s">
        <v>22473</v>
      </c>
      <c r="Z3776" t="s">
        <v>28723</v>
      </c>
      <c r="AA3776">
        <v>0.48059841984520252</v>
      </c>
      <c r="AB3776" t="str">
        <f>HYPERLINK("Melting_Curves/meltCurve_Q70CQ2_USP34.pdf", "Melting_Curves/meltCurve_Q70CQ2_USP34.pdf")</f>
        <v>Melting_Curves/meltCurve_Q70CQ2_USP34.pdf</v>
      </c>
    </row>
    <row r="3777" spans="1:28" x14ac:dyDescent="0.25">
      <c r="A3777" t="s">
        <v>3781</v>
      </c>
      <c r="B3777">
        <v>0.99987803227770999</v>
      </c>
      <c r="C3777">
        <v>0.70695882428395995</v>
      </c>
      <c r="D3777">
        <v>0.88214368422533695</v>
      </c>
      <c r="E3777">
        <v>0.73886629048725105</v>
      </c>
      <c r="F3777">
        <v>1.2119844565276301</v>
      </c>
      <c r="G3777">
        <v>0.83706241207085297</v>
      </c>
      <c r="H3777">
        <v>0.96752220730724403</v>
      </c>
      <c r="I3777">
        <v>0.83845698104381206</v>
      </c>
      <c r="J3777">
        <v>1.2816141470543501</v>
      </c>
      <c r="K3777">
        <v>0.93573517775804904</v>
      </c>
      <c r="L3777">
        <v>1627.8713748560699</v>
      </c>
      <c r="M3777">
        <v>24.5973084338493</v>
      </c>
      <c r="O3777">
        <v>65.748095626227496</v>
      </c>
      <c r="P3777">
        <v>4.9000134549130898E-3</v>
      </c>
      <c r="Q3777">
        <v>1.0523897860807601</v>
      </c>
      <c r="R3777">
        <v>-0.105196385774912</v>
      </c>
      <c r="S3777" t="s">
        <v>10088</v>
      </c>
      <c r="T3777" t="s">
        <v>12620</v>
      </c>
      <c r="U3777" t="s">
        <v>12620</v>
      </c>
      <c r="V3777" t="s">
        <v>12620</v>
      </c>
      <c r="W3777" t="s">
        <v>16347</v>
      </c>
      <c r="X3777">
        <v>2</v>
      </c>
      <c r="Y3777" t="s">
        <v>22474</v>
      </c>
      <c r="Z3777" t="s">
        <v>28724</v>
      </c>
      <c r="AA3777">
        <v>1.007375523720988</v>
      </c>
      <c r="AB3777" t="str">
        <f>HYPERLINK("Melting_Curves/meltCurve_Q70CQ4_USP31.pdf", "Melting_Curves/meltCurve_Q70CQ4_USP31.pdf")</f>
        <v>Melting_Curves/meltCurve_Q70CQ4_USP31.pdf</v>
      </c>
    </row>
    <row r="3778" spans="1:28" x14ac:dyDescent="0.25">
      <c r="A3778" t="s">
        <v>3782</v>
      </c>
      <c r="B3778">
        <v>0.99987803227770999</v>
      </c>
      <c r="C3778">
        <v>1.0104616223246099</v>
      </c>
      <c r="D3778">
        <v>1.0324707968867699</v>
      </c>
      <c r="E3778">
        <v>0.94991518509317496</v>
      </c>
      <c r="F3778">
        <v>0.92518884425821801</v>
      </c>
      <c r="G3778">
        <v>0.68021536554176598</v>
      </c>
      <c r="H3778">
        <v>0.40482046904636798</v>
      </c>
      <c r="I3778">
        <v>0.31216134195986101</v>
      </c>
      <c r="J3778">
        <v>0.26796856337630598</v>
      </c>
      <c r="K3778">
        <v>0.22518222635049701</v>
      </c>
      <c r="L3778">
        <v>1290.2896170198601</v>
      </c>
      <c r="M3778">
        <v>22.272083267869</v>
      </c>
      <c r="N3778">
        <v>59.488156239067699</v>
      </c>
      <c r="O3778">
        <v>57.472069336177</v>
      </c>
      <c r="P3778">
        <v>-7.5504471522267996E-2</v>
      </c>
      <c r="Q3778">
        <v>0.22067353657033201</v>
      </c>
      <c r="R3778">
        <v>0.99750440124939899</v>
      </c>
      <c r="S3778" t="s">
        <v>10089</v>
      </c>
      <c r="T3778" t="s">
        <v>12620</v>
      </c>
      <c r="U3778" t="s">
        <v>12620</v>
      </c>
      <c r="V3778" t="s">
        <v>12620</v>
      </c>
      <c r="W3778" t="s">
        <v>16348</v>
      </c>
      <c r="X3778">
        <v>9</v>
      </c>
      <c r="Y3778" t="s">
        <v>22475</v>
      </c>
      <c r="Z3778" t="s">
        <v>28725</v>
      </c>
      <c r="AA3778">
        <v>0.69443356654972255</v>
      </c>
      <c r="AB3778" t="str">
        <f>HYPERLINK("Melting_Curves/meltCurve_Q70E73_RAPH1.pdf", "Melting_Curves/meltCurve_Q70E73_RAPH1.pdf")</f>
        <v>Melting_Curves/meltCurve_Q70E73_RAPH1.pdf</v>
      </c>
    </row>
    <row r="3779" spans="1:28" x14ac:dyDescent="0.25">
      <c r="A3779" t="s">
        <v>3783</v>
      </c>
      <c r="B3779">
        <v>0.99987803227770999</v>
      </c>
      <c r="C3779">
        <v>0.93050689576256895</v>
      </c>
      <c r="D3779">
        <v>0.94215239890815305</v>
      </c>
      <c r="E3779">
        <v>0.89764368829152197</v>
      </c>
      <c r="F3779">
        <v>0.90980740841041896</v>
      </c>
      <c r="G3779">
        <v>0.65807189773324704</v>
      </c>
      <c r="H3779">
        <v>0.68711670099282696</v>
      </c>
      <c r="I3779">
        <v>0.68891891595158095</v>
      </c>
      <c r="J3779">
        <v>0.54800709010711501</v>
      </c>
      <c r="K3779">
        <v>0.49793952595988</v>
      </c>
      <c r="L3779">
        <v>373.48638675876998</v>
      </c>
      <c r="M3779">
        <v>5.5066229524816803</v>
      </c>
      <c r="O3779">
        <v>60.4521512397599</v>
      </c>
      <c r="P3779">
        <v>-2.0656582447083401E-2</v>
      </c>
      <c r="Q3779">
        <v>9.6882518913013901E-2</v>
      </c>
      <c r="R3779">
        <v>0.92236202565036396</v>
      </c>
      <c r="S3779" t="s">
        <v>10090</v>
      </c>
      <c r="T3779" t="s">
        <v>12620</v>
      </c>
      <c r="U3779" t="s">
        <v>12620</v>
      </c>
      <c r="V3779" t="s">
        <v>12620</v>
      </c>
      <c r="W3779" t="s">
        <v>16349</v>
      </c>
      <c r="X3779">
        <v>3</v>
      </c>
      <c r="Y3779" t="s">
        <v>22476</v>
      </c>
      <c r="Z3779" t="s">
        <v>28726</v>
      </c>
      <c r="AA3779">
        <v>0.78294714414608113</v>
      </c>
      <c r="AB3779" t="str">
        <f>HYPERLINK("Melting_Curves/meltCurve_Q70EK8_USP53.pdf", "Melting_Curves/meltCurve_Q70EK8_USP53.pdf")</f>
        <v>Melting_Curves/meltCurve_Q70EK8_USP53.pdf</v>
      </c>
    </row>
    <row r="3780" spans="1:28" x14ac:dyDescent="0.25">
      <c r="A3780" t="s">
        <v>3784</v>
      </c>
      <c r="B3780">
        <v>0.99987803227770999</v>
      </c>
      <c r="C3780">
        <v>0.99523780331424305</v>
      </c>
      <c r="D3780">
        <v>1.0254436857229601</v>
      </c>
      <c r="E3780">
        <v>0.92973170539984296</v>
      </c>
      <c r="F3780">
        <v>1.02246096472445</v>
      </c>
      <c r="G3780">
        <v>0.917290855313178</v>
      </c>
      <c r="H3780">
        <v>0.86836376544264404</v>
      </c>
      <c r="I3780">
        <v>0.90081198145363806</v>
      </c>
      <c r="J3780">
        <v>0.73840732051273095</v>
      </c>
      <c r="K3780">
        <v>0.57753629102469095</v>
      </c>
      <c r="L3780">
        <v>930.141165413164</v>
      </c>
      <c r="M3780">
        <v>12.887831415677001</v>
      </c>
      <c r="Q3780">
        <v>0</v>
      </c>
      <c r="R3780">
        <v>0.91580547842086002</v>
      </c>
      <c r="S3780" t="s">
        <v>10091</v>
      </c>
      <c r="T3780" t="s">
        <v>12620</v>
      </c>
      <c r="U3780" t="s">
        <v>12620</v>
      </c>
      <c r="V3780" t="s">
        <v>12620</v>
      </c>
      <c r="W3780" t="s">
        <v>16350</v>
      </c>
      <c r="X3780">
        <v>1</v>
      </c>
      <c r="Y3780" t="s">
        <v>22477</v>
      </c>
      <c r="Z3780" t="s">
        <v>28727</v>
      </c>
      <c r="AA3780">
        <v>0.92243924688314172</v>
      </c>
      <c r="AB3780" t="str">
        <f>HYPERLINK("Melting_Curves/meltCurve_Q70EL1_7_USP54.pdf", "Melting_Curves/meltCurve_Q70EL1_7_USP54.pdf")</f>
        <v>Melting_Curves/meltCurve_Q70EL1_7_USP54.pdf</v>
      </c>
    </row>
    <row r="3781" spans="1:28" x14ac:dyDescent="0.25">
      <c r="A3781" t="s">
        <v>3785</v>
      </c>
      <c r="B3781">
        <v>0.99987803227770999</v>
      </c>
      <c r="C3781">
        <v>1.1423283518694201</v>
      </c>
      <c r="D3781">
        <v>0.89677379217532804</v>
      </c>
      <c r="E3781">
        <v>0.36152971946842999</v>
      </c>
      <c r="F3781">
        <v>0.15241507704986201</v>
      </c>
      <c r="G3781">
        <v>7.5219982996732104E-2</v>
      </c>
      <c r="H3781">
        <v>5.8064944456041503E-2</v>
      </c>
      <c r="I3781">
        <v>4.7770864706052199E-2</v>
      </c>
      <c r="J3781">
        <v>4.3796938127965097E-2</v>
      </c>
      <c r="K3781">
        <v>3.4712696946986102E-2</v>
      </c>
      <c r="L3781">
        <v>1657.2986905243299</v>
      </c>
      <c r="M3781">
        <v>33.823349661603302</v>
      </c>
      <c r="N3781">
        <v>49.165045508856402</v>
      </c>
      <c r="O3781">
        <v>48.828327455628198</v>
      </c>
      <c r="P3781">
        <v>-0.16381069010888</v>
      </c>
      <c r="Q3781">
        <v>5.4077173830073398E-2</v>
      </c>
      <c r="R3781">
        <v>0.98666699971694405</v>
      </c>
      <c r="S3781" t="s">
        <v>10092</v>
      </c>
      <c r="T3781" t="s">
        <v>12620</v>
      </c>
      <c r="U3781" t="s">
        <v>12620</v>
      </c>
      <c r="V3781" t="s">
        <v>12620</v>
      </c>
      <c r="W3781" t="s">
        <v>16351</v>
      </c>
      <c r="X3781">
        <v>4</v>
      </c>
      <c r="Y3781" t="s">
        <v>22478</v>
      </c>
      <c r="Z3781" t="s">
        <v>28728</v>
      </c>
      <c r="AA3781">
        <v>0.34232014040218289</v>
      </c>
      <c r="AB3781" t="str">
        <f>HYPERLINK("Melting_Curves/meltCurve_Q70IA6_MOB2.pdf", "Melting_Curves/meltCurve_Q70IA6_MOB2.pdf")</f>
        <v>Melting_Curves/meltCurve_Q70IA6_MOB2.pdf</v>
      </c>
    </row>
    <row r="3782" spans="1:28" x14ac:dyDescent="0.25">
      <c r="A3782" t="s">
        <v>3786</v>
      </c>
      <c r="B3782">
        <v>0.99987803227770999</v>
      </c>
      <c r="C3782">
        <v>0.98067467483554005</v>
      </c>
      <c r="D3782">
        <v>0.73743148484695697</v>
      </c>
      <c r="E3782">
        <v>0.44819711372253201</v>
      </c>
      <c r="F3782">
        <v>0.35183533106831899</v>
      </c>
      <c r="G3782">
        <v>0.23312612240844999</v>
      </c>
      <c r="H3782">
        <v>0.22153715258971399</v>
      </c>
      <c r="I3782">
        <v>0.20208378843182401</v>
      </c>
      <c r="J3782">
        <v>0.21404492630944799</v>
      </c>
      <c r="K3782">
        <v>0.18925542599192399</v>
      </c>
      <c r="L3782">
        <v>937.82919638917701</v>
      </c>
      <c r="M3782">
        <v>19.510024601188899</v>
      </c>
      <c r="N3782">
        <v>49.398155923037798</v>
      </c>
      <c r="O3782">
        <v>47.5726276378983</v>
      </c>
      <c r="P3782">
        <v>-8.1594554095042196E-2</v>
      </c>
      <c r="Q3782">
        <v>0.20419824042648799</v>
      </c>
      <c r="R3782">
        <v>0.99433374707693101</v>
      </c>
      <c r="S3782" t="s">
        <v>10093</v>
      </c>
      <c r="T3782" t="s">
        <v>12620</v>
      </c>
      <c r="U3782" t="s">
        <v>12620</v>
      </c>
      <c r="V3782" t="s">
        <v>12620</v>
      </c>
      <c r="W3782" t="s">
        <v>16352</v>
      </c>
      <c r="X3782">
        <v>3</v>
      </c>
      <c r="Y3782" t="s">
        <v>22479</v>
      </c>
      <c r="Z3782" t="s">
        <v>28729</v>
      </c>
      <c r="AA3782">
        <v>0.43014580852119411</v>
      </c>
      <c r="AB3782" t="str">
        <f>HYPERLINK("Melting_Curves/meltCurve_Q70J99_UNC13D.pdf", "Melting_Curves/meltCurve_Q70J99_UNC13D.pdf")</f>
        <v>Melting_Curves/meltCurve_Q70J99_UNC13D.pdf</v>
      </c>
    </row>
    <row r="3783" spans="1:28" x14ac:dyDescent="0.25">
      <c r="A3783" t="s">
        <v>3787</v>
      </c>
      <c r="B3783">
        <v>0.99987803227770999</v>
      </c>
      <c r="C3783">
        <v>0.89946890383471101</v>
      </c>
      <c r="D3783">
        <v>1.0019504326542701</v>
      </c>
      <c r="E3783">
        <v>0.77138598623618504</v>
      </c>
      <c r="F3783">
        <v>0.58388193394184695</v>
      </c>
      <c r="G3783">
        <v>0.212781628561937</v>
      </c>
      <c r="H3783">
        <v>0.144252641846978</v>
      </c>
      <c r="I3783">
        <v>0.130235559245168</v>
      </c>
      <c r="J3783">
        <v>0.11173205232210801</v>
      </c>
      <c r="K3783">
        <v>8.4736566966475801E-2</v>
      </c>
      <c r="L3783">
        <v>1158.33617986745</v>
      </c>
      <c r="M3783">
        <v>21.868525910053901</v>
      </c>
      <c r="N3783">
        <v>53.467847315390003</v>
      </c>
      <c r="O3783">
        <v>52.531239186791197</v>
      </c>
      <c r="P3783">
        <v>-9.4457926214851606E-2</v>
      </c>
      <c r="Q3783">
        <v>9.2416578142401007E-2</v>
      </c>
      <c r="R3783">
        <v>0.98929910002500199</v>
      </c>
      <c r="S3783" t="s">
        <v>10094</v>
      </c>
      <c r="T3783" t="s">
        <v>12620</v>
      </c>
      <c r="U3783" t="s">
        <v>12620</v>
      </c>
      <c r="V3783" t="s">
        <v>12620</v>
      </c>
      <c r="W3783" t="s">
        <v>16353</v>
      </c>
      <c r="X3783">
        <v>4</v>
      </c>
      <c r="Y3783" t="s">
        <v>22480</v>
      </c>
      <c r="Z3783" t="s">
        <v>28730</v>
      </c>
      <c r="AA3783">
        <v>0.49542056719413358</v>
      </c>
      <c r="AB3783" t="str">
        <f>HYPERLINK("Melting_Curves/meltCurve_Q70Z53_2_FRA10AC1.pdf", "Melting_Curves/meltCurve_Q70Z53_2_FRA10AC1.pdf")</f>
        <v>Melting_Curves/meltCurve_Q70Z53_2_FRA10AC1.pdf</v>
      </c>
    </row>
    <row r="3784" spans="1:28" x14ac:dyDescent="0.25">
      <c r="A3784" t="s">
        <v>3788</v>
      </c>
      <c r="B3784">
        <v>0.99987803227770999</v>
      </c>
      <c r="C3784">
        <v>0.90965369804055296</v>
      </c>
      <c r="D3784">
        <v>1.0755846358686401</v>
      </c>
      <c r="E3784">
        <v>0.95282019105096705</v>
      </c>
      <c r="F3784">
        <v>1.1200816239875699</v>
      </c>
      <c r="G3784">
        <v>0.91811161062833702</v>
      </c>
      <c r="H3784">
        <v>0.74081159598990398</v>
      </c>
      <c r="I3784">
        <v>0.41622568400055798</v>
      </c>
      <c r="J3784">
        <v>0.15396444092862399</v>
      </c>
      <c r="K3784">
        <v>8.7067361677921798E-2</v>
      </c>
      <c r="L3784">
        <v>1853.5016280489999</v>
      </c>
      <c r="M3784">
        <v>29.399326759187801</v>
      </c>
      <c r="N3784">
        <v>63.161705717717297</v>
      </c>
      <c r="O3784">
        <v>62.756186466251997</v>
      </c>
      <c r="P3784">
        <v>-0.114040629897014</v>
      </c>
      <c r="Q3784">
        <v>2.6276551304550901E-2</v>
      </c>
      <c r="R3784">
        <v>0.97426479865224502</v>
      </c>
      <c r="S3784" t="s">
        <v>10095</v>
      </c>
      <c r="T3784" t="s">
        <v>12620</v>
      </c>
      <c r="U3784" t="s">
        <v>12620</v>
      </c>
      <c r="V3784" t="s">
        <v>12620</v>
      </c>
      <c r="W3784" t="s">
        <v>16354</v>
      </c>
      <c r="X3784">
        <v>7</v>
      </c>
      <c r="Y3784" t="s">
        <v>22481</v>
      </c>
      <c r="Z3784" t="s">
        <v>28731</v>
      </c>
      <c r="AA3784">
        <v>0.77730432715600462</v>
      </c>
      <c r="AB3784" t="str">
        <f>HYPERLINK("Melting_Curves/meltCurve_Q712K3_UBE2R2.pdf", "Melting_Curves/meltCurve_Q712K3_UBE2R2.pdf")</f>
        <v>Melting_Curves/meltCurve_Q712K3_UBE2R2.pdf</v>
      </c>
    </row>
    <row r="3785" spans="1:28" x14ac:dyDescent="0.25">
      <c r="A3785" t="s">
        <v>3789</v>
      </c>
      <c r="B3785">
        <v>0.99987803227770999</v>
      </c>
      <c r="C3785">
        <v>0.83816152428068802</v>
      </c>
      <c r="D3785">
        <v>0.93538288833932004</v>
      </c>
      <c r="E3785">
        <v>0.71793451961919097</v>
      </c>
      <c r="F3785">
        <v>0.72827215733866701</v>
      </c>
      <c r="G3785">
        <v>0.501714804589938</v>
      </c>
      <c r="H3785">
        <v>0.47361007839489999</v>
      </c>
      <c r="I3785">
        <v>0.45555020334032797</v>
      </c>
      <c r="J3785">
        <v>0.43999507855917702</v>
      </c>
      <c r="K3785">
        <v>0.34340699683950798</v>
      </c>
      <c r="L3785">
        <v>463.70032873730003</v>
      </c>
      <c r="M3785">
        <v>8.62367714639878</v>
      </c>
      <c r="N3785">
        <v>59.856913029145502</v>
      </c>
      <c r="O3785">
        <v>51.113618402034703</v>
      </c>
      <c r="P3785">
        <v>-2.9890028040190701E-2</v>
      </c>
      <c r="Q3785">
        <v>0.29195661876287898</v>
      </c>
      <c r="R3785">
        <v>0.94589235331267996</v>
      </c>
      <c r="S3785" t="s">
        <v>10096</v>
      </c>
      <c r="T3785" t="s">
        <v>12620</v>
      </c>
      <c r="U3785" t="s">
        <v>12620</v>
      </c>
      <c r="V3785" t="s">
        <v>12620</v>
      </c>
      <c r="W3785" t="s">
        <v>16355</v>
      </c>
      <c r="X3785">
        <v>14</v>
      </c>
      <c r="Y3785" t="s">
        <v>22482</v>
      </c>
      <c r="Z3785" t="s">
        <v>28732</v>
      </c>
      <c r="AA3785">
        <v>0.6412329992655853</v>
      </c>
      <c r="AB3785" t="str">
        <f>HYPERLINK("Melting_Curves/meltCurve_Q71RC2_3_LARP4.pdf", "Melting_Curves/meltCurve_Q71RC2_3_LARP4.pdf")</f>
        <v>Melting_Curves/meltCurve_Q71RC2_3_LARP4.pdf</v>
      </c>
    </row>
    <row r="3786" spans="1:28" x14ac:dyDescent="0.25">
      <c r="A3786" t="s">
        <v>3790</v>
      </c>
      <c r="B3786">
        <v>0.99987803227770999</v>
      </c>
      <c r="C3786">
        <v>0.81501938080093805</v>
      </c>
      <c r="D3786">
        <v>0.671427387926811</v>
      </c>
      <c r="E3786">
        <v>0.48545782347115901</v>
      </c>
      <c r="F3786">
        <v>0.29055816006992902</v>
      </c>
      <c r="G3786">
        <v>0.17048509217777699</v>
      </c>
      <c r="H3786">
        <v>0.126637746824627</v>
      </c>
      <c r="I3786">
        <v>0.17024746514915501</v>
      </c>
      <c r="J3786">
        <v>8.8356162852808798E-2</v>
      </c>
      <c r="K3786">
        <v>6.5228340529284598E-2</v>
      </c>
      <c r="L3786">
        <v>614.23264435369697</v>
      </c>
      <c r="M3786">
        <v>12.6689520294285</v>
      </c>
      <c r="N3786">
        <v>49.073285256181499</v>
      </c>
      <c r="O3786">
        <v>47.322904584850697</v>
      </c>
      <c r="P3786">
        <v>-6.2212556222460101E-2</v>
      </c>
      <c r="Q3786">
        <v>7.0639858281453305E-2</v>
      </c>
      <c r="R3786">
        <v>0.98879132892917598</v>
      </c>
      <c r="S3786" t="s">
        <v>10097</v>
      </c>
      <c r="T3786" t="s">
        <v>12620</v>
      </c>
      <c r="U3786" t="s">
        <v>12620</v>
      </c>
      <c r="V3786" t="s">
        <v>12620</v>
      </c>
      <c r="W3786" t="s">
        <v>16356</v>
      </c>
      <c r="X3786">
        <v>2</v>
      </c>
      <c r="Y3786" t="s">
        <v>22483</v>
      </c>
      <c r="Z3786" t="s">
        <v>28733</v>
      </c>
      <c r="AA3786">
        <v>0.36549451686230988</v>
      </c>
      <c r="AB3786" t="str">
        <f>HYPERLINK("Melting_Curves/meltCurve_Q71SY5_5_MED25.pdf", "Melting_Curves/meltCurve_Q71SY5_5_MED25.pdf")</f>
        <v>Melting_Curves/meltCurve_Q71SY5_5_MED25.pdf</v>
      </c>
    </row>
    <row r="3787" spans="1:28" x14ac:dyDescent="0.25">
      <c r="A3787" t="s">
        <v>3791</v>
      </c>
      <c r="B3787">
        <v>0.99987803227770999</v>
      </c>
      <c r="C3787">
        <v>0.91737950496076504</v>
      </c>
      <c r="D3787">
        <v>0.664810423077144</v>
      </c>
      <c r="E3787">
        <v>0.80294858341604802</v>
      </c>
      <c r="F3787">
        <v>0.55464862899849199</v>
      </c>
      <c r="G3787">
        <v>0.34582000690446502</v>
      </c>
      <c r="H3787">
        <v>0.148220414791292</v>
      </c>
      <c r="I3787">
        <v>0.115459706640653</v>
      </c>
      <c r="J3787">
        <v>8.1547778207448102E-2</v>
      </c>
      <c r="K3787">
        <v>5.7913799042913702E-2</v>
      </c>
      <c r="L3787">
        <v>583.88208927997096</v>
      </c>
      <c r="M3787">
        <v>10.933590526777399</v>
      </c>
      <c r="N3787">
        <v>53.402592400836902</v>
      </c>
      <c r="O3787">
        <v>51.709366934191202</v>
      </c>
      <c r="P3787">
        <v>-5.2879038295222502E-2</v>
      </c>
      <c r="Q3787">
        <v>0</v>
      </c>
      <c r="R3787">
        <v>0.95217230484450699</v>
      </c>
      <c r="S3787" t="s">
        <v>10098</v>
      </c>
      <c r="T3787" t="s">
        <v>12620</v>
      </c>
      <c r="U3787" t="s">
        <v>12620</v>
      </c>
      <c r="V3787" t="s">
        <v>12620</v>
      </c>
      <c r="W3787" t="s">
        <v>16357</v>
      </c>
      <c r="X3787">
        <v>24</v>
      </c>
      <c r="Y3787" t="s">
        <v>22484</v>
      </c>
      <c r="Z3787" t="s">
        <v>28734</v>
      </c>
      <c r="AA3787">
        <v>0.47694915085612588</v>
      </c>
      <c r="AB3787" t="str">
        <f>HYPERLINK("Melting_Curves/meltCurve_Q71U36_2_TUBA1A.pdf", "Melting_Curves/meltCurve_Q71U36_2_TUBA1A.pdf")</f>
        <v>Melting_Curves/meltCurve_Q71U36_2_TUBA1A.pdf</v>
      </c>
    </row>
    <row r="3788" spans="1:28" x14ac:dyDescent="0.25">
      <c r="A3788" t="s">
        <v>3792</v>
      </c>
      <c r="B3788">
        <v>0.99987803227770999</v>
      </c>
      <c r="C3788">
        <v>0.83395031495953997</v>
      </c>
      <c r="D3788">
        <v>0.62221531205381397</v>
      </c>
      <c r="E3788">
        <v>0.40499484978872302</v>
      </c>
      <c r="F3788">
        <v>0.251111466878221</v>
      </c>
      <c r="G3788">
        <v>0.17643288373368601</v>
      </c>
      <c r="H3788">
        <v>0.120364639815602</v>
      </c>
      <c r="I3788">
        <v>0.106360819681077</v>
      </c>
      <c r="J3788">
        <v>7.3866864394801807E-2</v>
      </c>
      <c r="K3788">
        <v>5.84310978759192E-2</v>
      </c>
      <c r="L3788">
        <v>662.79767206270401</v>
      </c>
      <c r="M3788">
        <v>13.8896975757263</v>
      </c>
      <c r="N3788">
        <v>48.2342948474843</v>
      </c>
      <c r="O3788">
        <v>46.762155980331798</v>
      </c>
      <c r="P3788">
        <v>-6.9143256036640302E-2</v>
      </c>
      <c r="Q3788">
        <v>6.8994366032163398E-2</v>
      </c>
      <c r="R3788">
        <v>0.99437766382858805</v>
      </c>
      <c r="S3788" t="s">
        <v>10099</v>
      </c>
      <c r="T3788" t="s">
        <v>12620</v>
      </c>
      <c r="U3788" t="s">
        <v>12620</v>
      </c>
      <c r="V3788" t="s">
        <v>12620</v>
      </c>
      <c r="W3788" t="s">
        <v>16358</v>
      </c>
      <c r="X3788">
        <v>5</v>
      </c>
      <c r="Y3788" t="s">
        <v>22485</v>
      </c>
      <c r="Z3788" t="s">
        <v>28735</v>
      </c>
      <c r="AA3788">
        <v>0.33679834299057909</v>
      </c>
      <c r="AB3788" t="str">
        <f>HYPERLINK("Melting_Curves/meltCurve_Q71UI9_H2AFV.pdf", "Melting_Curves/meltCurve_Q71UI9_H2AFV.pdf")</f>
        <v>Melting_Curves/meltCurve_Q71UI9_H2AFV.pdf</v>
      </c>
    </row>
    <row r="3789" spans="1:28" x14ac:dyDescent="0.25">
      <c r="A3789" t="s">
        <v>3793</v>
      </c>
      <c r="B3789">
        <v>0.99987803227770999</v>
      </c>
      <c r="C3789">
        <v>0.88358003126956697</v>
      </c>
      <c r="D3789">
        <v>0.944559064860377</v>
      </c>
      <c r="E3789">
        <v>0.85710250218384498</v>
      </c>
      <c r="F3789">
        <v>0.69716965184944102</v>
      </c>
      <c r="G3789">
        <v>0.439770480606817</v>
      </c>
      <c r="H3789">
        <v>0.33380531365577998</v>
      </c>
      <c r="I3789">
        <v>0.284314010041049</v>
      </c>
      <c r="J3789">
        <v>0.25462195159324702</v>
      </c>
      <c r="K3789">
        <v>0.20244551785081599</v>
      </c>
      <c r="L3789">
        <v>799.75103136989696</v>
      </c>
      <c r="M3789">
        <v>14.6490827982068</v>
      </c>
      <c r="N3789">
        <v>56.407560052026398</v>
      </c>
      <c r="O3789">
        <v>53.606840725250201</v>
      </c>
      <c r="P3789">
        <v>-5.5492635770660402E-2</v>
      </c>
      <c r="Q3789">
        <v>0.187811213662295</v>
      </c>
      <c r="R3789">
        <v>0.98568814084284595</v>
      </c>
      <c r="S3789" t="s">
        <v>10100</v>
      </c>
      <c r="T3789" t="s">
        <v>12620</v>
      </c>
      <c r="U3789" t="s">
        <v>12620</v>
      </c>
      <c r="V3789" t="s">
        <v>12620</v>
      </c>
      <c r="W3789" t="s">
        <v>16359</v>
      </c>
      <c r="X3789">
        <v>4</v>
      </c>
      <c r="Y3789" t="s">
        <v>22486</v>
      </c>
      <c r="Z3789" t="s">
        <v>28736</v>
      </c>
      <c r="AA3789">
        <v>0.59943959524921475</v>
      </c>
      <c r="AB3789" t="str">
        <f>HYPERLINK("Melting_Curves/meltCurve_Q71UM5_RPS27L.pdf", "Melting_Curves/meltCurve_Q71UM5_RPS27L.pdf")</f>
        <v>Melting_Curves/meltCurve_Q71UM5_RPS27L.pdf</v>
      </c>
    </row>
    <row r="3790" spans="1:28" x14ac:dyDescent="0.25">
      <c r="A3790" t="s">
        <v>3794</v>
      </c>
      <c r="B3790">
        <v>0.99987803227770999</v>
      </c>
      <c r="C3790">
        <v>1.0220882718569599</v>
      </c>
      <c r="D3790">
        <v>0.94351042972661803</v>
      </c>
      <c r="E3790">
        <v>0.88649257628125799</v>
      </c>
      <c r="F3790">
        <v>0.78477295543057202</v>
      </c>
      <c r="G3790">
        <v>0.53968578758792696</v>
      </c>
      <c r="H3790">
        <v>0.532695373609676</v>
      </c>
      <c r="I3790">
        <v>0.31816198701359899</v>
      </c>
      <c r="J3790">
        <v>0.25671439533847701</v>
      </c>
      <c r="K3790">
        <v>0.19207478072407499</v>
      </c>
      <c r="L3790">
        <v>595.58274670607796</v>
      </c>
      <c r="M3790">
        <v>10.0156704978149</v>
      </c>
      <c r="N3790">
        <v>59.699540453235898</v>
      </c>
      <c r="O3790">
        <v>57.240352769641099</v>
      </c>
      <c r="P3790">
        <v>-4.2921036314306701E-2</v>
      </c>
      <c r="Q3790">
        <v>1.9285623517955101E-2</v>
      </c>
      <c r="R3790">
        <v>0.98319834090649505</v>
      </c>
      <c r="S3790" t="s">
        <v>10101</v>
      </c>
      <c r="T3790" t="s">
        <v>12620</v>
      </c>
      <c r="U3790" t="s">
        <v>12620</v>
      </c>
      <c r="V3790" t="s">
        <v>12620</v>
      </c>
      <c r="W3790" t="s">
        <v>16360</v>
      </c>
      <c r="X3790">
        <v>6</v>
      </c>
      <c r="Y3790" t="s">
        <v>22487</v>
      </c>
      <c r="Z3790" t="s">
        <v>28737</v>
      </c>
      <c r="AA3790">
        <v>0.6556920478951308</v>
      </c>
      <c r="AB3790" t="str">
        <f>HYPERLINK("Melting_Curves/meltCurve_Q75N03_CBLL1.pdf", "Melting_Curves/meltCurve_Q75N03_CBLL1.pdf")</f>
        <v>Melting_Curves/meltCurve_Q75N03_CBLL1.pdf</v>
      </c>
    </row>
    <row r="3791" spans="1:28" x14ac:dyDescent="0.25">
      <c r="A3791" t="s">
        <v>3795</v>
      </c>
      <c r="B3791">
        <v>0.99987803227770999</v>
      </c>
      <c r="C3791">
        <v>0.96747793724863496</v>
      </c>
      <c r="D3791">
        <v>0.95715353204808995</v>
      </c>
      <c r="E3791">
        <v>0.90557068075728397</v>
      </c>
      <c r="F3791">
        <v>1.0256223027629201</v>
      </c>
      <c r="G3791">
        <v>0.72985712617885301</v>
      </c>
      <c r="H3791">
        <v>0.58763912747034097</v>
      </c>
      <c r="I3791">
        <v>0.56625534572788305</v>
      </c>
      <c r="J3791">
        <v>0.52264689582040502</v>
      </c>
      <c r="K3791">
        <v>0.43420157537633702</v>
      </c>
      <c r="L3791">
        <v>1366.68631730794</v>
      </c>
      <c r="M3791">
        <v>23.749625345593699</v>
      </c>
      <c r="N3791">
        <v>66.616989342742698</v>
      </c>
      <c r="O3791">
        <v>57.142261001627297</v>
      </c>
      <c r="P3791">
        <v>-5.4000574087971001E-2</v>
      </c>
      <c r="Q3791">
        <v>0.480301015978638</v>
      </c>
      <c r="R3791">
        <v>0.94916955702692696</v>
      </c>
      <c r="S3791" t="s">
        <v>10102</v>
      </c>
      <c r="T3791" t="s">
        <v>12620</v>
      </c>
      <c r="U3791" t="s">
        <v>12620</v>
      </c>
      <c r="V3791" t="s">
        <v>12620</v>
      </c>
      <c r="W3791" t="s">
        <v>16361</v>
      </c>
      <c r="X3791">
        <v>9</v>
      </c>
      <c r="Y3791" t="s">
        <v>19527</v>
      </c>
      <c r="Z3791" t="s">
        <v>28738</v>
      </c>
      <c r="AA3791">
        <v>0.78920260543908116</v>
      </c>
      <c r="AB3791" t="str">
        <f>HYPERLINK("Melting_Curves/meltCurve_Q765P7_MTSS1L.pdf", "Melting_Curves/meltCurve_Q765P7_MTSS1L.pdf")</f>
        <v>Melting_Curves/meltCurve_Q765P7_MTSS1L.pdf</v>
      </c>
    </row>
    <row r="3792" spans="1:28" x14ac:dyDescent="0.25">
      <c r="A3792" t="s">
        <v>3796</v>
      </c>
      <c r="B3792">
        <v>0.99987803227770999</v>
      </c>
      <c r="C3792">
        <v>0.90434296539338599</v>
      </c>
      <c r="D3792">
        <v>1.03018042005081</v>
      </c>
      <c r="E3792">
        <v>0.89939061726649405</v>
      </c>
      <c r="F3792">
        <v>0.96729488573978895</v>
      </c>
      <c r="G3792">
        <v>0.63225065872858499</v>
      </c>
      <c r="H3792">
        <v>0.59125211993009896</v>
      </c>
      <c r="I3792">
        <v>0.52888585509888797</v>
      </c>
      <c r="J3792">
        <v>0.53769605997887004</v>
      </c>
      <c r="K3792">
        <v>0.467841253165936</v>
      </c>
      <c r="L3792">
        <v>2159.2996329592102</v>
      </c>
      <c r="M3792">
        <v>38.876294484618903</v>
      </c>
      <c r="O3792">
        <v>55.396480467058197</v>
      </c>
      <c r="P3792">
        <v>-8.3576733450009794E-2</v>
      </c>
      <c r="Q3792">
        <v>0.52363298030637095</v>
      </c>
      <c r="R3792">
        <v>0.94066439925308698</v>
      </c>
      <c r="S3792" t="s">
        <v>10103</v>
      </c>
      <c r="T3792" t="s">
        <v>12620</v>
      </c>
      <c r="U3792" t="s">
        <v>12620</v>
      </c>
      <c r="V3792" t="s">
        <v>12620</v>
      </c>
      <c r="W3792" t="s">
        <v>16362</v>
      </c>
      <c r="X3792">
        <v>10</v>
      </c>
      <c r="Y3792" t="s">
        <v>22488</v>
      </c>
      <c r="Z3792" t="s">
        <v>28739</v>
      </c>
      <c r="AA3792">
        <v>0.77236127456562531</v>
      </c>
      <c r="AB3792" t="str">
        <f>HYPERLINK("Melting_Curves/meltCurve_Q76FK4_4_NOL8.pdf", "Melting_Curves/meltCurve_Q76FK4_4_NOL8.pdf")</f>
        <v>Melting_Curves/meltCurve_Q76FK4_4_NOL8.pdf</v>
      </c>
    </row>
    <row r="3793" spans="1:28" x14ac:dyDescent="0.25">
      <c r="A3793" t="s">
        <v>3797</v>
      </c>
      <c r="B3793">
        <v>0.99987803227770999</v>
      </c>
      <c r="C3793">
        <v>0.66294289266465301</v>
      </c>
      <c r="D3793">
        <v>1.3116635580748</v>
      </c>
      <c r="E3793">
        <v>1.1015427514489</v>
      </c>
      <c r="F3793">
        <v>1.44390908201863</v>
      </c>
      <c r="G3793">
        <v>0.96307076908559797</v>
      </c>
      <c r="H3793">
        <v>1.5406253704673001</v>
      </c>
      <c r="I3793">
        <v>1.5454654471684699</v>
      </c>
      <c r="J3793">
        <v>0.94921916922266703</v>
      </c>
      <c r="K3793">
        <v>0.80855024002523002</v>
      </c>
      <c r="L3793">
        <v>11126.695870785201</v>
      </c>
      <c r="M3793">
        <v>250</v>
      </c>
      <c r="O3793">
        <v>44.503930868546</v>
      </c>
      <c r="P3793">
        <v>0.29211707760079803</v>
      </c>
      <c r="Q3793">
        <v>1.20800575234093</v>
      </c>
      <c r="R3793">
        <v>0.19490848543785999</v>
      </c>
      <c r="S3793" t="s">
        <v>10104</v>
      </c>
      <c r="T3793" t="s">
        <v>12620</v>
      </c>
      <c r="U3793" t="s">
        <v>12620</v>
      </c>
      <c r="V3793" t="s">
        <v>12620</v>
      </c>
      <c r="W3793" t="s">
        <v>16363</v>
      </c>
      <c r="X3793">
        <v>1</v>
      </c>
      <c r="Y3793" t="s">
        <v>22489</v>
      </c>
      <c r="Z3793" t="s">
        <v>28740</v>
      </c>
      <c r="AA3793">
        <v>1.1767416089778431</v>
      </c>
      <c r="AB3793" t="str">
        <f>HYPERLINK("Melting_Curves/meltCurve_Q76N32_2_CEP68.pdf", "Melting_Curves/meltCurve_Q76N32_2_CEP68.pdf")</f>
        <v>Melting_Curves/meltCurve_Q76N32_2_CEP68.pdf</v>
      </c>
    </row>
    <row r="3794" spans="1:28" x14ac:dyDescent="0.25">
      <c r="A3794" t="s">
        <v>3798</v>
      </c>
      <c r="B3794">
        <v>0.99987803227770999</v>
      </c>
      <c r="C3794">
        <v>1.14733453373782</v>
      </c>
      <c r="D3794">
        <v>0.93868933630390505</v>
      </c>
      <c r="E3794">
        <v>0.730704918865825</v>
      </c>
      <c r="F3794">
        <v>0.28023686774499801</v>
      </c>
      <c r="G3794">
        <v>0.18919144315581199</v>
      </c>
      <c r="H3794">
        <v>0.146737408320298</v>
      </c>
      <c r="I3794">
        <v>0.115907456567965</v>
      </c>
      <c r="J3794">
        <v>8.7572920249733399E-2</v>
      </c>
      <c r="K3794">
        <v>6.20872190605367E-2</v>
      </c>
      <c r="L3794">
        <v>1806.3537184844399</v>
      </c>
      <c r="M3794">
        <v>35.372821954403499</v>
      </c>
      <c r="N3794">
        <v>51.435052955215198</v>
      </c>
      <c r="O3794">
        <v>50.903763480975201</v>
      </c>
      <c r="P3794">
        <v>-0.15426033669290901</v>
      </c>
      <c r="Q3794">
        <v>0.112040900409446</v>
      </c>
      <c r="R3794">
        <v>0.98107011783073705</v>
      </c>
      <c r="S3794" t="s">
        <v>10105</v>
      </c>
      <c r="T3794" t="s">
        <v>12620</v>
      </c>
      <c r="U3794" t="s">
        <v>12620</v>
      </c>
      <c r="V3794" t="s">
        <v>12620</v>
      </c>
      <c r="W3794" t="s">
        <v>16364</v>
      </c>
      <c r="X3794">
        <v>37</v>
      </c>
      <c r="Y3794" t="s">
        <v>22490</v>
      </c>
      <c r="Z3794" t="s">
        <v>28741</v>
      </c>
      <c r="AA3794">
        <v>0.44359824153717808</v>
      </c>
      <c r="AB3794" t="str">
        <f>HYPERLINK("Melting_Curves/meltCurve_Q7KZ85_SUPT6H.pdf", "Melting_Curves/meltCurve_Q7KZ85_SUPT6H.pdf")</f>
        <v>Melting_Curves/meltCurve_Q7KZ85_SUPT6H.pdf</v>
      </c>
    </row>
    <row r="3795" spans="1:28" x14ac:dyDescent="0.25">
      <c r="A3795" t="s">
        <v>3799</v>
      </c>
      <c r="B3795">
        <v>0.99987803227770999</v>
      </c>
      <c r="C3795">
        <v>0.82720130407084103</v>
      </c>
      <c r="D3795">
        <v>1.0485904669678601</v>
      </c>
      <c r="E3795">
        <v>1.0776229909627799</v>
      </c>
      <c r="F3795">
        <v>1.68620086146051</v>
      </c>
      <c r="G3795">
        <v>1.7213852538902901</v>
      </c>
      <c r="H3795">
        <v>2.0281026661302701</v>
      </c>
      <c r="I3795">
        <v>1.773965902105</v>
      </c>
      <c r="J3795">
        <v>2.2686941704548902</v>
      </c>
      <c r="K3795">
        <v>1.6443348892185801</v>
      </c>
      <c r="L3795">
        <v>12584.6981222348</v>
      </c>
      <c r="M3795">
        <v>250</v>
      </c>
      <c r="O3795">
        <v>50.335550822264203</v>
      </c>
      <c r="P3795">
        <v>0.62083332421125403</v>
      </c>
      <c r="Q3795">
        <v>1.5</v>
      </c>
      <c r="R3795">
        <v>0.49310557783238901</v>
      </c>
      <c r="S3795" t="s">
        <v>10106</v>
      </c>
      <c r="T3795" t="s">
        <v>12620</v>
      </c>
      <c r="U3795" t="s">
        <v>12620</v>
      </c>
      <c r="V3795" t="s">
        <v>12620</v>
      </c>
      <c r="W3795" t="s">
        <v>16365</v>
      </c>
      <c r="X3795">
        <v>11</v>
      </c>
      <c r="Y3795" t="s">
        <v>22490</v>
      </c>
      <c r="Z3795" t="s">
        <v>28742</v>
      </c>
      <c r="AA3795">
        <v>1.327642619952327</v>
      </c>
      <c r="AB3795" t="str">
        <f>HYPERLINK("Melting_Curves/meltCurve_Q7KZ85_2_SUPT6H.pdf", "Melting_Curves/meltCurve_Q7KZ85_2_SUPT6H.pdf")</f>
        <v>Melting_Curves/meltCurve_Q7KZ85_2_SUPT6H.pdf</v>
      </c>
    </row>
    <row r="3796" spans="1:28" x14ac:dyDescent="0.25">
      <c r="A3796" t="s">
        <v>3800</v>
      </c>
      <c r="B3796">
        <v>0.99987803227770999</v>
      </c>
      <c r="C3796">
        <v>0.96394600854138901</v>
      </c>
      <c r="D3796">
        <v>0.37961165657870599</v>
      </c>
      <c r="E3796">
        <v>0.25615649885855202</v>
      </c>
      <c r="F3796">
        <v>0.15003338357343801</v>
      </c>
      <c r="G3796">
        <v>0.106594823975432</v>
      </c>
      <c r="H3796">
        <v>7.9462821502999895E-2</v>
      </c>
      <c r="I3796">
        <v>7.2922619050557094E-2</v>
      </c>
      <c r="J3796">
        <v>5.5111269686032797E-2</v>
      </c>
      <c r="K3796">
        <v>3.9484047255278501E-2</v>
      </c>
      <c r="L3796">
        <v>2062.7404634581699</v>
      </c>
      <c r="M3796">
        <v>45.563263299251602</v>
      </c>
      <c r="N3796">
        <v>45.507366562662398</v>
      </c>
      <c r="O3796">
        <v>45.185059053679197</v>
      </c>
      <c r="P3796">
        <v>-0.225630670454287</v>
      </c>
      <c r="Q3796">
        <v>0.10496993399799801</v>
      </c>
      <c r="R3796">
        <v>0.97466013072979196</v>
      </c>
      <c r="S3796" t="s">
        <v>10107</v>
      </c>
      <c r="T3796" t="s">
        <v>12620</v>
      </c>
      <c r="U3796" t="s">
        <v>12620</v>
      </c>
      <c r="V3796" t="s">
        <v>12620</v>
      </c>
      <c r="W3796" t="s">
        <v>16366</v>
      </c>
      <c r="X3796">
        <v>41</v>
      </c>
      <c r="Y3796" t="s">
        <v>22491</v>
      </c>
      <c r="Z3796" t="s">
        <v>28743</v>
      </c>
      <c r="AA3796">
        <v>0.26446657592333611</v>
      </c>
      <c r="AB3796" t="str">
        <f>HYPERLINK("Melting_Curves/meltCurve_Q7KZF4_SND1.pdf", "Melting_Curves/meltCurve_Q7KZF4_SND1.pdf")</f>
        <v>Melting_Curves/meltCurve_Q7KZF4_SND1.pdf</v>
      </c>
    </row>
    <row r="3797" spans="1:28" x14ac:dyDescent="0.25">
      <c r="A3797" t="s">
        <v>3801</v>
      </c>
      <c r="B3797">
        <v>0.99987803227770999</v>
      </c>
      <c r="C3797">
        <v>0.92056752521232099</v>
      </c>
      <c r="D3797">
        <v>0.89022572500256503</v>
      </c>
      <c r="E3797">
        <v>0.73762136098036302</v>
      </c>
      <c r="F3797">
        <v>0.82356757547383297</v>
      </c>
      <c r="G3797">
        <v>0.61098696128506502</v>
      </c>
      <c r="H3797">
        <v>0.59438256632388098</v>
      </c>
      <c r="I3797">
        <v>0.63284662565535299</v>
      </c>
      <c r="J3797">
        <v>0.55008794213050005</v>
      </c>
      <c r="K3797">
        <v>0.47978668839940097</v>
      </c>
      <c r="L3797">
        <v>394.22025190172297</v>
      </c>
      <c r="M3797">
        <v>7.2019181566511197</v>
      </c>
      <c r="O3797">
        <v>50.990022106787897</v>
      </c>
      <c r="P3797">
        <v>-2.0610282868962299E-2</v>
      </c>
      <c r="Q3797">
        <v>0.41728491999024703</v>
      </c>
      <c r="R3797">
        <v>0.92344861350685703</v>
      </c>
      <c r="S3797" t="s">
        <v>10108</v>
      </c>
      <c r="T3797" t="s">
        <v>12620</v>
      </c>
      <c r="U3797" t="s">
        <v>12620</v>
      </c>
      <c r="V3797" t="s">
        <v>12620</v>
      </c>
      <c r="W3797" t="s">
        <v>16367</v>
      </c>
      <c r="X3797">
        <v>6</v>
      </c>
      <c r="Y3797" t="s">
        <v>22492</v>
      </c>
      <c r="Z3797" t="s">
        <v>28744</v>
      </c>
      <c r="AA3797">
        <v>0.72064521688523686</v>
      </c>
      <c r="AB3797" t="str">
        <f>HYPERLINK("Melting_Curves/meltCurve_Q7KZI7_14_MARK2.pdf", "Melting_Curves/meltCurve_Q7KZI7_14_MARK2.pdf")</f>
        <v>Melting_Curves/meltCurve_Q7KZI7_14_MARK2.pdf</v>
      </c>
    </row>
    <row r="3798" spans="1:28" x14ac:dyDescent="0.25">
      <c r="A3798" t="s">
        <v>3802</v>
      </c>
      <c r="B3798">
        <v>0.99987803227770999</v>
      </c>
      <c r="C3798">
        <v>0.884595824329653</v>
      </c>
      <c r="D3798">
        <v>0.93041162982655801</v>
      </c>
      <c r="E3798">
        <v>0.46692846718761499</v>
      </c>
      <c r="F3798">
        <v>0.38589367731686602</v>
      </c>
      <c r="G3798">
        <v>0.256647484586566</v>
      </c>
      <c r="H3798">
        <v>0.216454552599532</v>
      </c>
      <c r="I3798">
        <v>0.17490910681788499</v>
      </c>
      <c r="J3798">
        <v>0.14694356019195401</v>
      </c>
      <c r="K3798">
        <v>0.11170921454379899</v>
      </c>
      <c r="L3798">
        <v>903.60124701217705</v>
      </c>
      <c r="M3798">
        <v>18.216109921677301</v>
      </c>
      <c r="N3798">
        <v>50.632656360021699</v>
      </c>
      <c r="O3798">
        <v>49.018307148335097</v>
      </c>
      <c r="P3798">
        <v>-7.8545691970089301E-2</v>
      </c>
      <c r="Q3798">
        <v>0.154595602657258</v>
      </c>
      <c r="R3798">
        <v>0.97673492622228197</v>
      </c>
      <c r="S3798" t="s">
        <v>10109</v>
      </c>
      <c r="T3798" t="s">
        <v>12620</v>
      </c>
      <c r="U3798" t="s">
        <v>12620</v>
      </c>
      <c r="V3798" t="s">
        <v>12620</v>
      </c>
      <c r="W3798" t="s">
        <v>16368</v>
      </c>
      <c r="X3798">
        <v>34</v>
      </c>
      <c r="Y3798" t="s">
        <v>22493</v>
      </c>
      <c r="Z3798" t="s">
        <v>28745</v>
      </c>
      <c r="AA3798">
        <v>0.43941687391392431</v>
      </c>
      <c r="AB3798" t="str">
        <f>HYPERLINK("Melting_Curves/meltCurve_Q7L014_DDX46.pdf", "Melting_Curves/meltCurve_Q7L014_DDX46.pdf")</f>
        <v>Melting_Curves/meltCurve_Q7L014_DDX46.pdf</v>
      </c>
    </row>
    <row r="3799" spans="1:28" x14ac:dyDescent="0.25">
      <c r="A3799" t="s">
        <v>3803</v>
      </c>
      <c r="B3799">
        <v>0.99987803227770999</v>
      </c>
      <c r="C3799">
        <v>0.96369224994872005</v>
      </c>
      <c r="D3799">
        <v>1.09136082711435</v>
      </c>
      <c r="E3799">
        <v>0.99039822162421598</v>
      </c>
      <c r="F3799">
        <v>0.84342501962118299</v>
      </c>
      <c r="G3799">
        <v>0.35343303812063398</v>
      </c>
      <c r="H3799">
        <v>0.167139685726894</v>
      </c>
      <c r="I3799">
        <v>0.13923879584348101</v>
      </c>
      <c r="J3799">
        <v>7.7311166333925999E-2</v>
      </c>
      <c r="K3799">
        <v>6.4100995206006497E-2</v>
      </c>
      <c r="L3799">
        <v>1804.2536375914101</v>
      </c>
      <c r="M3799">
        <v>32.500895524556199</v>
      </c>
      <c r="N3799">
        <v>55.871717111344402</v>
      </c>
      <c r="O3799">
        <v>55.305076577362598</v>
      </c>
      <c r="P3799">
        <v>-0.13311581964625399</v>
      </c>
      <c r="Q3799">
        <v>9.3939524026195195E-2</v>
      </c>
      <c r="R3799">
        <v>0.99235011797283601</v>
      </c>
      <c r="S3799" t="s">
        <v>10110</v>
      </c>
      <c r="T3799" t="s">
        <v>12620</v>
      </c>
      <c r="U3799" t="s">
        <v>12620</v>
      </c>
      <c r="V3799" t="s">
        <v>12620</v>
      </c>
      <c r="W3799" t="s">
        <v>16369</v>
      </c>
      <c r="X3799">
        <v>4</v>
      </c>
      <c r="Y3799" t="s">
        <v>22494</v>
      </c>
      <c r="Z3799" t="s">
        <v>28746</v>
      </c>
      <c r="AA3799">
        <v>0.56767797606730008</v>
      </c>
      <c r="AB3799" t="str">
        <f>HYPERLINK("Melting_Curves/meltCurve_Q7L099_2_RUFY3.pdf", "Melting_Curves/meltCurve_Q7L099_2_RUFY3.pdf")</f>
        <v>Melting_Curves/meltCurve_Q7L099_2_RUFY3.pdf</v>
      </c>
    </row>
    <row r="3800" spans="1:28" x14ac:dyDescent="0.25">
      <c r="A3800" t="s">
        <v>3804</v>
      </c>
      <c r="B3800">
        <v>0.99987803227770999</v>
      </c>
      <c r="C3800">
        <v>1.01919720420154</v>
      </c>
      <c r="D3800">
        <v>0.80387617391048805</v>
      </c>
      <c r="E3800">
        <v>0.65144862586694896</v>
      </c>
      <c r="F3800">
        <v>0.327602492003159</v>
      </c>
      <c r="G3800">
        <v>0.20495347688615201</v>
      </c>
      <c r="H3800">
        <v>0.16788178781888399</v>
      </c>
      <c r="I3800">
        <v>0.16010708392210499</v>
      </c>
      <c r="J3800">
        <v>0.126417466256383</v>
      </c>
      <c r="K3800">
        <v>0.105351621324629</v>
      </c>
      <c r="L3800">
        <v>936.98783555579803</v>
      </c>
      <c r="M3800">
        <v>18.598447500196201</v>
      </c>
      <c r="N3800">
        <v>51.133898070144497</v>
      </c>
      <c r="O3800">
        <v>49.808289134970501</v>
      </c>
      <c r="P3800">
        <v>-8.2158531363006604E-2</v>
      </c>
      <c r="Q3800">
        <v>0.119926885759438</v>
      </c>
      <c r="R3800">
        <v>0.98872702073052998</v>
      </c>
      <c r="S3800" t="s">
        <v>10111</v>
      </c>
      <c r="T3800" t="s">
        <v>12620</v>
      </c>
      <c r="U3800" t="s">
        <v>12620</v>
      </c>
      <c r="V3800" t="s">
        <v>12620</v>
      </c>
      <c r="W3800" t="s">
        <v>16370</v>
      </c>
      <c r="X3800">
        <v>11</v>
      </c>
      <c r="Y3800" t="s">
        <v>22495</v>
      </c>
      <c r="Z3800" t="s">
        <v>28747</v>
      </c>
      <c r="AA3800">
        <v>0.43847880860219363</v>
      </c>
      <c r="AB3800" t="str">
        <f>HYPERLINK("Melting_Curves/meltCurve_Q7L0Y3_TRMT10C.pdf", "Melting_Curves/meltCurve_Q7L0Y3_TRMT10C.pdf")</f>
        <v>Melting_Curves/meltCurve_Q7L0Y3_TRMT10C.pdf</v>
      </c>
    </row>
    <row r="3801" spans="1:28" x14ac:dyDescent="0.25">
      <c r="A3801" t="s">
        <v>3805</v>
      </c>
      <c r="B3801">
        <v>0.99987803227770999</v>
      </c>
      <c r="C3801">
        <v>0.719368181902309</v>
      </c>
      <c r="D3801">
        <v>0.96182192457566196</v>
      </c>
      <c r="E3801">
        <v>0.57818416787622795</v>
      </c>
      <c r="F3801">
        <v>0.19873844987650599</v>
      </c>
      <c r="G3801">
        <v>0.12654854094648399</v>
      </c>
      <c r="H3801">
        <v>8.7736585121036798E-2</v>
      </c>
      <c r="I3801">
        <v>7.8033609667915602E-2</v>
      </c>
      <c r="J3801">
        <v>6.19466316938833E-2</v>
      </c>
      <c r="K3801">
        <v>4.4283327737559303E-2</v>
      </c>
      <c r="L3801">
        <v>1400.7130512839401</v>
      </c>
      <c r="M3801">
        <v>27.9130421737575</v>
      </c>
      <c r="N3801">
        <v>50.439333990360403</v>
      </c>
      <c r="O3801">
        <v>49.925866979505003</v>
      </c>
      <c r="P3801">
        <v>-0.130474280657115</v>
      </c>
      <c r="Q3801">
        <v>6.6531654329741993E-2</v>
      </c>
      <c r="R3801">
        <v>0.94218488415082702</v>
      </c>
      <c r="S3801" t="s">
        <v>10112</v>
      </c>
      <c r="T3801" t="s">
        <v>12620</v>
      </c>
      <c r="U3801" t="s">
        <v>12620</v>
      </c>
      <c r="V3801" t="s">
        <v>12620</v>
      </c>
      <c r="W3801" t="s">
        <v>16371</v>
      </c>
      <c r="X3801">
        <v>27</v>
      </c>
      <c r="Y3801" t="s">
        <v>22496</v>
      </c>
      <c r="Z3801" t="s">
        <v>28748</v>
      </c>
      <c r="AA3801">
        <v>0.39002700503090931</v>
      </c>
      <c r="AB3801" t="str">
        <f>HYPERLINK("Melting_Curves/meltCurve_Q7L1Q6_BZW1.pdf", "Melting_Curves/meltCurve_Q7L1Q6_BZW1.pdf")</f>
        <v>Melting_Curves/meltCurve_Q7L1Q6_BZW1.pdf</v>
      </c>
    </row>
    <row r="3802" spans="1:28" x14ac:dyDescent="0.25">
      <c r="A3802" t="s">
        <v>3806</v>
      </c>
      <c r="B3802">
        <v>0.99987803227770999</v>
      </c>
      <c r="C3802">
        <v>0.84007768102505997</v>
      </c>
      <c r="D3802">
        <v>0.82747729029356498</v>
      </c>
      <c r="E3802">
        <v>0.37082828467762502</v>
      </c>
      <c r="F3802">
        <v>0.140443739535143</v>
      </c>
      <c r="G3802">
        <v>8.7828823618419302E-2</v>
      </c>
      <c r="H3802">
        <v>6.5433826285695898E-2</v>
      </c>
      <c r="I3802">
        <v>7.9636411645229999E-2</v>
      </c>
      <c r="J3802">
        <v>5.1260945851515097E-2</v>
      </c>
      <c r="K3802">
        <v>3.1554123838367198E-2</v>
      </c>
      <c r="L3802">
        <v>1077.67657126422</v>
      </c>
      <c r="M3802">
        <v>22.227432472373099</v>
      </c>
      <c r="N3802">
        <v>48.707824911670201</v>
      </c>
      <c r="O3802">
        <v>48.096775389922897</v>
      </c>
      <c r="P3802">
        <v>-0.109930120981167</v>
      </c>
      <c r="Q3802">
        <v>4.85326645112754E-2</v>
      </c>
      <c r="R3802">
        <v>0.98766901372404703</v>
      </c>
      <c r="S3802" t="s">
        <v>10113</v>
      </c>
      <c r="T3802" t="s">
        <v>12620</v>
      </c>
      <c r="U3802" t="s">
        <v>12620</v>
      </c>
      <c r="V3802" t="s">
        <v>12620</v>
      </c>
      <c r="W3802" t="s">
        <v>16372</v>
      </c>
      <c r="X3802">
        <v>4</v>
      </c>
      <c r="Y3802" t="s">
        <v>22497</v>
      </c>
      <c r="Z3802" t="s">
        <v>28749</v>
      </c>
      <c r="AA3802">
        <v>0.32836731376678452</v>
      </c>
      <c r="AB3802" t="str">
        <f>HYPERLINK("Melting_Curves/meltCurve_Q7L1T6_CYB5R4.pdf", "Melting_Curves/meltCurve_Q7L1T6_CYB5R4.pdf")</f>
        <v>Melting_Curves/meltCurve_Q7L1T6_CYB5R4.pdf</v>
      </c>
    </row>
    <row r="3803" spans="1:28" x14ac:dyDescent="0.25">
      <c r="A3803" t="s">
        <v>3807</v>
      </c>
      <c r="B3803">
        <v>0.99987803227770999</v>
      </c>
      <c r="C3803">
        <v>0.99024935061708297</v>
      </c>
      <c r="D3803">
        <v>1.0380312977670301</v>
      </c>
      <c r="E3803">
        <v>0.931396200284902</v>
      </c>
      <c r="F3803">
        <v>0.86434569201208999</v>
      </c>
      <c r="G3803">
        <v>0.69510686151626699</v>
      </c>
      <c r="H3803">
        <v>0.48002505850322003</v>
      </c>
      <c r="I3803">
        <v>0.348936652934007</v>
      </c>
      <c r="J3803">
        <v>0.18785845888754901</v>
      </c>
      <c r="K3803">
        <v>0.114691586632393</v>
      </c>
      <c r="L3803">
        <v>836.70419867490102</v>
      </c>
      <c r="M3803">
        <v>13.826835740857501</v>
      </c>
      <c r="N3803">
        <v>60.5130643032021</v>
      </c>
      <c r="O3803">
        <v>59.2894260724186</v>
      </c>
      <c r="P3803">
        <v>-5.8310382945545199E-2</v>
      </c>
      <c r="Q3803">
        <v>0</v>
      </c>
      <c r="R3803">
        <v>0.99586035009208396</v>
      </c>
      <c r="S3803" t="s">
        <v>10114</v>
      </c>
      <c r="T3803" t="s">
        <v>12620</v>
      </c>
      <c r="U3803" t="s">
        <v>12620</v>
      </c>
      <c r="V3803" t="s">
        <v>12620</v>
      </c>
      <c r="W3803" t="s">
        <v>16373</v>
      </c>
      <c r="X3803">
        <v>7</v>
      </c>
      <c r="Y3803" t="s">
        <v>22498</v>
      </c>
      <c r="Z3803" t="s">
        <v>28750</v>
      </c>
      <c r="AA3803">
        <v>0.68688723926646034</v>
      </c>
      <c r="AB3803" t="str">
        <f>HYPERLINK("Melting_Curves/meltCurve_Q7L266_ASRGL1.pdf", "Melting_Curves/meltCurve_Q7L266_ASRGL1.pdf")</f>
        <v>Melting_Curves/meltCurve_Q7L266_ASRGL1.pdf</v>
      </c>
    </row>
    <row r="3804" spans="1:28" x14ac:dyDescent="0.25">
      <c r="A3804" t="s">
        <v>3808</v>
      </c>
      <c r="B3804">
        <v>0.99987803227770999</v>
      </c>
      <c r="C3804">
        <v>1.17381523991542</v>
      </c>
      <c r="D3804">
        <v>0.94212438224463801</v>
      </c>
      <c r="E3804">
        <v>1.26658153113351</v>
      </c>
      <c r="F3804">
        <v>0.87101997302521705</v>
      </c>
      <c r="G3804">
        <v>0.40415724017792698</v>
      </c>
      <c r="H3804">
        <v>0.15619592419872699</v>
      </c>
      <c r="I3804">
        <v>0.12101638529446999</v>
      </c>
      <c r="J3804">
        <v>7.18466125721859E-2</v>
      </c>
      <c r="K3804">
        <v>5.5679471676448801E-2</v>
      </c>
      <c r="L3804">
        <v>2147.8336557043399</v>
      </c>
      <c r="M3804">
        <v>38.305269999062602</v>
      </c>
      <c r="N3804">
        <v>56.3555964439782</v>
      </c>
      <c r="O3804">
        <v>55.919329544241897</v>
      </c>
      <c r="P3804">
        <v>-0.156216136019587</v>
      </c>
      <c r="Q3804">
        <v>8.7803887125247795E-2</v>
      </c>
      <c r="R3804">
        <v>0.94744675342108597</v>
      </c>
      <c r="S3804" t="s">
        <v>10115</v>
      </c>
      <c r="T3804" t="s">
        <v>12620</v>
      </c>
      <c r="U3804" t="s">
        <v>12620</v>
      </c>
      <c r="V3804" t="s">
        <v>12620</v>
      </c>
      <c r="W3804" t="s">
        <v>16374</v>
      </c>
      <c r="X3804">
        <v>8</v>
      </c>
      <c r="Y3804" t="s">
        <v>22499</v>
      </c>
      <c r="Z3804" t="s">
        <v>28751</v>
      </c>
      <c r="AA3804">
        <v>0.58030540183961732</v>
      </c>
      <c r="AB3804" t="str">
        <f>HYPERLINK("Melting_Curves/meltCurve_Q7L273_KCTD9.pdf", "Melting_Curves/meltCurve_Q7L273_KCTD9.pdf")</f>
        <v>Melting_Curves/meltCurve_Q7L273_KCTD9.pdf</v>
      </c>
    </row>
    <row r="3805" spans="1:28" x14ac:dyDescent="0.25">
      <c r="A3805" t="s">
        <v>3809</v>
      </c>
      <c r="B3805">
        <v>0.99987803227770999</v>
      </c>
      <c r="C3805">
        <v>0.94607419254269598</v>
      </c>
      <c r="D3805">
        <v>1.0489831128171201</v>
      </c>
      <c r="E3805">
        <v>1.3153723330306799</v>
      </c>
      <c r="F3805">
        <v>0.42171560224787003</v>
      </c>
      <c r="G3805">
        <v>0.30889658052952701</v>
      </c>
      <c r="H3805">
        <v>0.22602635607924401</v>
      </c>
      <c r="I3805">
        <v>0.217250474205884</v>
      </c>
      <c r="J3805">
        <v>0.12758622420311</v>
      </c>
      <c r="K3805">
        <v>8.6083055640929496E-2</v>
      </c>
      <c r="L3805">
        <v>13200.7993196106</v>
      </c>
      <c r="M3805">
        <v>250</v>
      </c>
      <c r="N3805">
        <v>52.9065415741983</v>
      </c>
      <c r="O3805">
        <v>52.799818261711899</v>
      </c>
      <c r="P3805">
        <v>-0.95505964446210301</v>
      </c>
      <c r="Q3805">
        <v>0.19316839101408101</v>
      </c>
      <c r="R3805">
        <v>0.92764954844419101</v>
      </c>
      <c r="S3805" t="s">
        <v>10116</v>
      </c>
      <c r="T3805" t="s">
        <v>12620</v>
      </c>
      <c r="U3805" t="s">
        <v>12620</v>
      </c>
      <c r="V3805" t="s">
        <v>12620</v>
      </c>
      <c r="W3805" t="s">
        <v>16375</v>
      </c>
      <c r="X3805">
        <v>9</v>
      </c>
      <c r="Y3805" t="s">
        <v>22500</v>
      </c>
      <c r="Z3805" t="s">
        <v>28752</v>
      </c>
      <c r="AA3805">
        <v>0.53757730113354907</v>
      </c>
      <c r="AB3805" t="str">
        <f>HYPERLINK("Melting_Curves/meltCurve_Q7L2H7_EIF3M.pdf", "Melting_Curves/meltCurve_Q7L2H7_EIF3M.pdf")</f>
        <v>Melting_Curves/meltCurve_Q7L2H7_EIF3M.pdf</v>
      </c>
    </row>
    <row r="3806" spans="1:28" x14ac:dyDescent="0.25">
      <c r="A3806" t="s">
        <v>3810</v>
      </c>
      <c r="B3806">
        <v>0.99987803227770999</v>
      </c>
      <c r="C3806">
        <v>0.92070180466060003</v>
      </c>
      <c r="D3806">
        <v>0.87596252325398605</v>
      </c>
      <c r="E3806">
        <v>0.74186613527246803</v>
      </c>
      <c r="F3806">
        <v>0.73378096029975803</v>
      </c>
      <c r="G3806">
        <v>0.53936554722715302</v>
      </c>
      <c r="H3806">
        <v>0.529885919503849</v>
      </c>
      <c r="I3806">
        <v>0.50140851930359198</v>
      </c>
      <c r="J3806">
        <v>0.52343457157538698</v>
      </c>
      <c r="K3806">
        <v>0.44890032311289302</v>
      </c>
      <c r="L3806">
        <v>546.12741311932098</v>
      </c>
      <c r="M3806">
        <v>10.614339764161601</v>
      </c>
      <c r="N3806">
        <v>64.369397107112306</v>
      </c>
      <c r="O3806">
        <v>49.7263416682569</v>
      </c>
      <c r="P3806">
        <v>-2.98640240298635E-2</v>
      </c>
      <c r="Q3806">
        <v>0.44058542023235803</v>
      </c>
      <c r="R3806">
        <v>0.97474282789818101</v>
      </c>
      <c r="S3806" t="s">
        <v>10117</v>
      </c>
      <c r="T3806" t="s">
        <v>12620</v>
      </c>
      <c r="U3806" t="s">
        <v>12620</v>
      </c>
      <c r="V3806" t="s">
        <v>12620</v>
      </c>
      <c r="W3806" t="s">
        <v>16376</v>
      </c>
      <c r="X3806">
        <v>11</v>
      </c>
      <c r="Y3806" t="s">
        <v>22501</v>
      </c>
      <c r="Z3806" t="s">
        <v>28753</v>
      </c>
      <c r="AA3806">
        <v>0.67493966299945596</v>
      </c>
      <c r="AB3806" t="str">
        <f>HYPERLINK("Melting_Curves/meltCurve_Q7L2J0_MEPCE.pdf", "Melting_Curves/meltCurve_Q7L2J0_MEPCE.pdf")</f>
        <v>Melting_Curves/meltCurve_Q7L2J0_MEPCE.pdf</v>
      </c>
    </row>
    <row r="3807" spans="1:28" x14ac:dyDescent="0.25">
      <c r="A3807" t="s">
        <v>3811</v>
      </c>
      <c r="B3807">
        <v>0.99987803227770999</v>
      </c>
      <c r="C3807">
        <v>0.82218540071344903</v>
      </c>
      <c r="D3807">
        <v>0.88985555210440803</v>
      </c>
      <c r="E3807">
        <v>0.791078417959167</v>
      </c>
      <c r="F3807">
        <v>0.76787284588965199</v>
      </c>
      <c r="G3807">
        <v>0.53354837525870402</v>
      </c>
      <c r="H3807">
        <v>0.38386839085281399</v>
      </c>
      <c r="I3807">
        <v>0.35920672876680598</v>
      </c>
      <c r="J3807">
        <v>0.34884024040521899</v>
      </c>
      <c r="K3807">
        <v>0.21136405805203801</v>
      </c>
      <c r="L3807">
        <v>424.650609066382</v>
      </c>
      <c r="M3807">
        <v>7.2145023704158904</v>
      </c>
      <c r="N3807">
        <v>58.860695086933397</v>
      </c>
      <c r="O3807">
        <v>54.842701964973301</v>
      </c>
      <c r="P3807">
        <v>-3.2941820617260802E-2</v>
      </c>
      <c r="Q3807">
        <v>0</v>
      </c>
      <c r="R3807">
        <v>0.95937962910155306</v>
      </c>
      <c r="S3807" t="s">
        <v>10118</v>
      </c>
      <c r="T3807" t="s">
        <v>12620</v>
      </c>
      <c r="U3807" t="s">
        <v>12620</v>
      </c>
      <c r="V3807" t="s">
        <v>12620</v>
      </c>
      <c r="W3807" t="s">
        <v>16377</v>
      </c>
      <c r="X3807">
        <v>2</v>
      </c>
      <c r="Y3807" t="s">
        <v>22502</v>
      </c>
      <c r="Z3807" t="s">
        <v>28754</v>
      </c>
      <c r="AA3807">
        <v>0.61960209076073591</v>
      </c>
      <c r="AB3807" t="str">
        <f>HYPERLINK("Melting_Curves/meltCurve_Q7L3S4_ZNF771.pdf", "Melting_Curves/meltCurve_Q7L3S4_ZNF771.pdf")</f>
        <v>Melting_Curves/meltCurve_Q7L3S4_ZNF771.pdf</v>
      </c>
    </row>
    <row r="3808" spans="1:28" x14ac:dyDescent="0.25">
      <c r="A3808" t="s">
        <v>3812</v>
      </c>
      <c r="B3808">
        <v>0.99987803227770999</v>
      </c>
      <c r="C3808">
        <v>0.82700724707379902</v>
      </c>
      <c r="D3808">
        <v>0.99008612847938804</v>
      </c>
      <c r="E3808">
        <v>0.916054853469491</v>
      </c>
      <c r="F3808">
        <v>1.10109124791766</v>
      </c>
      <c r="G3808">
        <v>0.86518126933517603</v>
      </c>
      <c r="H3808">
        <v>0.96295738789965302</v>
      </c>
      <c r="I3808">
        <v>0.92647306350165104</v>
      </c>
      <c r="J3808">
        <v>1.0374729022011</v>
      </c>
      <c r="K3808">
        <v>0.85113293938305001</v>
      </c>
      <c r="L3808">
        <v>27.485360193379901</v>
      </c>
      <c r="M3808">
        <v>1.0000000000000001E-5</v>
      </c>
      <c r="Q3808">
        <v>0.86031491101150104</v>
      </c>
      <c r="R3808">
        <v>1.2529033627048901E-3</v>
      </c>
      <c r="S3808" t="s">
        <v>10119</v>
      </c>
      <c r="T3808" t="s">
        <v>12620</v>
      </c>
      <c r="U3808" t="s">
        <v>12620</v>
      </c>
      <c r="V3808" t="s">
        <v>12620</v>
      </c>
      <c r="W3808" t="s">
        <v>16378</v>
      </c>
      <c r="X3808">
        <v>5</v>
      </c>
      <c r="Y3808" t="s">
        <v>22503</v>
      </c>
      <c r="Z3808" t="s">
        <v>28755</v>
      </c>
      <c r="AA3808">
        <v>0.94765048392839801</v>
      </c>
      <c r="AB3808" t="str">
        <f>HYPERLINK("Melting_Curves/meltCurve_Q7L4I2_RSRC2.pdf", "Melting_Curves/meltCurve_Q7L4I2_RSRC2.pdf")</f>
        <v>Melting_Curves/meltCurve_Q7L4I2_RSRC2.pdf</v>
      </c>
    </row>
    <row r="3809" spans="1:28" x14ac:dyDescent="0.25">
      <c r="A3809" t="s">
        <v>3813</v>
      </c>
      <c r="B3809">
        <v>0.99987803227770999</v>
      </c>
      <c r="C3809">
        <v>0.96281483272063595</v>
      </c>
      <c r="D3809">
        <v>1.0602710373536</v>
      </c>
      <c r="E3809">
        <v>0.869759278620165</v>
      </c>
      <c r="F3809">
        <v>0.79992043124344403</v>
      </c>
      <c r="G3809">
        <v>0.54738647337240298</v>
      </c>
      <c r="H3809">
        <v>0.51803616264718999</v>
      </c>
      <c r="I3809">
        <v>0.37285148225167603</v>
      </c>
      <c r="J3809">
        <v>0.15915329316531199</v>
      </c>
      <c r="K3809">
        <v>8.1844880499019695E-2</v>
      </c>
      <c r="L3809">
        <v>692.89192581260102</v>
      </c>
      <c r="M3809">
        <v>11.6495727684112</v>
      </c>
      <c r="N3809">
        <v>59.477883001788399</v>
      </c>
      <c r="O3809">
        <v>57.806343520497201</v>
      </c>
      <c r="P3809">
        <v>-5.0395513657599103E-2</v>
      </c>
      <c r="Q3809">
        <v>0</v>
      </c>
      <c r="R3809">
        <v>0.96799893911957902</v>
      </c>
      <c r="S3809" t="s">
        <v>10120</v>
      </c>
      <c r="T3809" t="s">
        <v>12620</v>
      </c>
      <c r="U3809" t="s">
        <v>12620</v>
      </c>
      <c r="V3809" t="s">
        <v>12620</v>
      </c>
      <c r="W3809" t="s">
        <v>16379</v>
      </c>
      <c r="X3809">
        <v>8</v>
      </c>
      <c r="Y3809" t="s">
        <v>22504</v>
      </c>
      <c r="Z3809" t="s">
        <v>28756</v>
      </c>
      <c r="AA3809">
        <v>0.65390956890787411</v>
      </c>
      <c r="AB3809" t="str">
        <f>HYPERLINK("Melting_Curves/meltCurve_Q7L523_RRAGA.pdf", "Melting_Curves/meltCurve_Q7L523_RRAGA.pdf")</f>
        <v>Melting_Curves/meltCurve_Q7L523_RRAGA.pdf</v>
      </c>
    </row>
    <row r="3810" spans="1:28" x14ac:dyDescent="0.25">
      <c r="A3810" t="s">
        <v>3814</v>
      </c>
      <c r="B3810">
        <v>0.99987803227770999</v>
      </c>
      <c r="C3810">
        <v>1.0638802086524199</v>
      </c>
      <c r="D3810">
        <v>0.87436520008086405</v>
      </c>
      <c r="E3810">
        <v>1.33519317970419</v>
      </c>
      <c r="F3810">
        <v>0.76874439725969401</v>
      </c>
      <c r="G3810">
        <v>0.241667728447859</v>
      </c>
      <c r="H3810">
        <v>0.14084280244987099</v>
      </c>
      <c r="I3810">
        <v>0.13128197632109601</v>
      </c>
      <c r="J3810">
        <v>0.108278799634968</v>
      </c>
      <c r="K3810">
        <v>8.4248686368155995E-2</v>
      </c>
      <c r="L3810">
        <v>2755.2047722636898</v>
      </c>
      <c r="M3810">
        <v>50.680373390396802</v>
      </c>
      <c r="N3810">
        <v>54.669763032431902</v>
      </c>
      <c r="O3810">
        <v>54.279891171670798</v>
      </c>
      <c r="P3810">
        <v>-0.204642426290532</v>
      </c>
      <c r="Q3810">
        <v>0.123292999576345</v>
      </c>
      <c r="R3810">
        <v>0.93030051225086996</v>
      </c>
      <c r="S3810" t="s">
        <v>10121</v>
      </c>
      <c r="T3810" t="s">
        <v>12620</v>
      </c>
      <c r="U3810" t="s">
        <v>12620</v>
      </c>
      <c r="V3810" t="s">
        <v>12620</v>
      </c>
      <c r="W3810" t="s">
        <v>16380</v>
      </c>
      <c r="X3810">
        <v>34</v>
      </c>
      <c r="Y3810" t="s">
        <v>22505</v>
      </c>
      <c r="Z3810" t="s">
        <v>28757</v>
      </c>
      <c r="AA3810">
        <v>0.54511542001350832</v>
      </c>
      <c r="AB3810" t="str">
        <f>HYPERLINK("Melting_Curves/meltCurve_Q7L576_CYFIP1.pdf", "Melting_Curves/meltCurve_Q7L576_CYFIP1.pdf")</f>
        <v>Melting_Curves/meltCurve_Q7L576_CYFIP1.pdf</v>
      </c>
    </row>
    <row r="3811" spans="1:28" x14ac:dyDescent="0.25">
      <c r="A3811" t="s">
        <v>3815</v>
      </c>
      <c r="B3811">
        <v>0.99987803227770999</v>
      </c>
      <c r="C3811">
        <v>0.98329931777495505</v>
      </c>
      <c r="D3811">
        <v>1.0277098184437401</v>
      </c>
      <c r="E3811">
        <v>0.89114165672770596</v>
      </c>
      <c r="F3811">
        <v>0.82493802169978403</v>
      </c>
      <c r="G3811">
        <v>0.52433123969717299</v>
      </c>
      <c r="H3811">
        <v>0.38928537442012601</v>
      </c>
      <c r="I3811">
        <v>0.33025686381979702</v>
      </c>
      <c r="J3811">
        <v>0.223902338475433</v>
      </c>
      <c r="K3811">
        <v>0.148111254814601</v>
      </c>
      <c r="L3811">
        <v>830.23679238136106</v>
      </c>
      <c r="M3811">
        <v>14.496938505614301</v>
      </c>
      <c r="N3811">
        <v>58.425001603837003</v>
      </c>
      <c r="O3811">
        <v>56.213146124506203</v>
      </c>
      <c r="P3811">
        <v>-5.6445701598920699E-2</v>
      </c>
      <c r="Q3811">
        <v>0.12460850985774399</v>
      </c>
      <c r="R3811">
        <v>0.99017879989055901</v>
      </c>
      <c r="S3811" t="s">
        <v>10122</v>
      </c>
      <c r="T3811" t="s">
        <v>12620</v>
      </c>
      <c r="U3811" t="s">
        <v>12620</v>
      </c>
      <c r="V3811" t="s">
        <v>12620</v>
      </c>
      <c r="W3811" t="s">
        <v>16381</v>
      </c>
      <c r="X3811">
        <v>1</v>
      </c>
      <c r="Y3811" t="s">
        <v>22506</v>
      </c>
      <c r="Z3811" t="s">
        <v>28758</v>
      </c>
      <c r="AA3811">
        <v>0.64206269799930071</v>
      </c>
      <c r="AB3811" t="str">
        <f>HYPERLINK("Melting_Curves/meltCurve_Q7L590_2_MCM10.pdf", "Melting_Curves/meltCurve_Q7L590_2_MCM10.pdf")</f>
        <v>Melting_Curves/meltCurve_Q7L590_2_MCM10.pdf</v>
      </c>
    </row>
    <row r="3812" spans="1:28" x14ac:dyDescent="0.25">
      <c r="A3812" t="s">
        <v>3816</v>
      </c>
      <c r="B3812">
        <v>0.99987803227770999</v>
      </c>
      <c r="C3812">
        <v>1.0633765384606499</v>
      </c>
      <c r="D3812">
        <v>0.93081004443936499</v>
      </c>
      <c r="E3812">
        <v>0.90235852185980903</v>
      </c>
      <c r="F3812">
        <v>0.44700713344301102</v>
      </c>
      <c r="G3812">
        <v>0.32453744482674302</v>
      </c>
      <c r="H3812">
        <v>0.19229959498261101</v>
      </c>
      <c r="I3812">
        <v>0.178589572751012</v>
      </c>
      <c r="J3812">
        <v>7.6339844581532604E-2</v>
      </c>
      <c r="K3812">
        <v>4.99222681770407E-2</v>
      </c>
      <c r="L3812">
        <v>1135.1897247278901</v>
      </c>
      <c r="M3812">
        <v>21.419072110097201</v>
      </c>
      <c r="N3812">
        <v>53.5893932121351</v>
      </c>
      <c r="O3812">
        <v>52.543539010224102</v>
      </c>
      <c r="P3812">
        <v>-9.1202828736530295E-2</v>
      </c>
      <c r="Q3812">
        <v>0.105096698238529</v>
      </c>
      <c r="R3812">
        <v>0.97458223109030995</v>
      </c>
      <c r="S3812" t="s">
        <v>10123</v>
      </c>
      <c r="T3812" t="s">
        <v>12620</v>
      </c>
      <c r="U3812" t="s">
        <v>12620</v>
      </c>
      <c r="V3812" t="s">
        <v>12620</v>
      </c>
      <c r="W3812" t="s">
        <v>16382</v>
      </c>
      <c r="X3812">
        <v>7</v>
      </c>
      <c r="Y3812" t="s">
        <v>22507</v>
      </c>
      <c r="Z3812" t="s">
        <v>28759</v>
      </c>
      <c r="AA3812">
        <v>0.50378503140269371</v>
      </c>
      <c r="AB3812" t="str">
        <f>HYPERLINK("Melting_Curves/meltCurve_Q7L592_NDUFAF7.pdf", "Melting_Curves/meltCurve_Q7L592_NDUFAF7.pdf")</f>
        <v>Melting_Curves/meltCurve_Q7L592_NDUFAF7.pdf</v>
      </c>
    </row>
    <row r="3813" spans="1:28" x14ac:dyDescent="0.25">
      <c r="A3813" t="s">
        <v>3817</v>
      </c>
      <c r="B3813">
        <v>0.99987803227770999</v>
      </c>
      <c r="C3813">
        <v>1.1243620376780701</v>
      </c>
      <c r="D3813">
        <v>0.80264093160580796</v>
      </c>
      <c r="E3813">
        <v>0.76021846716363395</v>
      </c>
      <c r="F3813">
        <v>0.38564393945825598</v>
      </c>
      <c r="G3813">
        <v>0.318639764480105</v>
      </c>
      <c r="H3813">
        <v>0.200659361052695</v>
      </c>
      <c r="I3813">
        <v>0.159006365061345</v>
      </c>
      <c r="J3813">
        <v>0.12020859474494799</v>
      </c>
      <c r="K3813">
        <v>8.1127841067567499E-2</v>
      </c>
      <c r="L3813">
        <v>853.80308051482496</v>
      </c>
      <c r="M3813">
        <v>16.472829865046201</v>
      </c>
      <c r="N3813">
        <v>52.599354112613497</v>
      </c>
      <c r="O3813">
        <v>51.085193613835699</v>
      </c>
      <c r="P3813">
        <v>-7.1999086881919805E-2</v>
      </c>
      <c r="Q3813">
        <v>0.106933957051369</v>
      </c>
      <c r="R3813">
        <v>0.96269516389216403</v>
      </c>
      <c r="S3813" t="s">
        <v>10124</v>
      </c>
      <c r="T3813" t="s">
        <v>12620</v>
      </c>
      <c r="U3813" t="s">
        <v>12620</v>
      </c>
      <c r="V3813" t="s">
        <v>12620</v>
      </c>
      <c r="W3813" t="s">
        <v>16383</v>
      </c>
      <c r="X3813">
        <v>5</v>
      </c>
      <c r="Y3813" t="s">
        <v>22508</v>
      </c>
      <c r="Z3813" t="s">
        <v>28760</v>
      </c>
      <c r="AA3813">
        <v>0.47642187095421318</v>
      </c>
      <c r="AB3813" t="str">
        <f>HYPERLINK("Melting_Curves/meltCurve_Q7L5D6_GET4.pdf", "Melting_Curves/meltCurve_Q7L5D6_GET4.pdf")</f>
        <v>Melting_Curves/meltCurve_Q7L5D6_GET4.pdf</v>
      </c>
    </row>
    <row r="3814" spans="1:28" x14ac:dyDescent="0.25">
      <c r="A3814" t="s">
        <v>3818</v>
      </c>
      <c r="B3814">
        <v>0.99987803227770999</v>
      </c>
      <c r="C3814">
        <v>0.95796220514480201</v>
      </c>
      <c r="D3814">
        <v>1.0154532717854201</v>
      </c>
      <c r="E3814">
        <v>0.71757826839563899</v>
      </c>
      <c r="F3814">
        <v>0.26412882370757701</v>
      </c>
      <c r="G3814">
        <v>0.136979559945347</v>
      </c>
      <c r="H3814">
        <v>8.0136120021276597E-2</v>
      </c>
      <c r="I3814">
        <v>6.44613676808094E-2</v>
      </c>
      <c r="J3814">
        <v>4.51022620523149E-2</v>
      </c>
      <c r="K3814">
        <v>3.48281504643638E-2</v>
      </c>
      <c r="L3814">
        <v>1829.33852332269</v>
      </c>
      <c r="M3814">
        <v>35.7539128063448</v>
      </c>
      <c r="N3814">
        <v>51.364869402325603</v>
      </c>
      <c r="O3814">
        <v>51.005444923038198</v>
      </c>
      <c r="P3814">
        <v>-0.163850155173689</v>
      </c>
      <c r="Q3814">
        <v>6.5028496965893703E-2</v>
      </c>
      <c r="R3814">
        <v>0.99608808568958096</v>
      </c>
      <c r="S3814" t="s">
        <v>10125</v>
      </c>
      <c r="T3814" t="s">
        <v>12620</v>
      </c>
      <c r="U3814" t="s">
        <v>12620</v>
      </c>
      <c r="V3814" t="s">
        <v>12620</v>
      </c>
      <c r="W3814" t="s">
        <v>16384</v>
      </c>
      <c r="X3814">
        <v>9</v>
      </c>
      <c r="Y3814" t="s">
        <v>22509</v>
      </c>
      <c r="Z3814" t="s">
        <v>28761</v>
      </c>
      <c r="AA3814">
        <v>0.41712905090147978</v>
      </c>
      <c r="AB3814" t="str">
        <f>HYPERLINK("Melting_Curves/meltCurve_Q7L5Y1_ENOSF1.pdf", "Melting_Curves/meltCurve_Q7L5Y1_ENOSF1.pdf")</f>
        <v>Melting_Curves/meltCurve_Q7L5Y1_ENOSF1.pdf</v>
      </c>
    </row>
    <row r="3815" spans="1:28" x14ac:dyDescent="0.25">
      <c r="A3815" t="s">
        <v>3819</v>
      </c>
      <c r="B3815">
        <v>0.99987803227770999</v>
      </c>
      <c r="C3815">
        <v>0.78777979585079605</v>
      </c>
      <c r="D3815">
        <v>0.76671765275157899</v>
      </c>
      <c r="E3815">
        <v>0.93185097612108803</v>
      </c>
      <c r="F3815">
        <v>0.85772107845682299</v>
      </c>
      <c r="G3815">
        <v>0.37958507841019001</v>
      </c>
      <c r="H3815">
        <v>0.41748773695302399</v>
      </c>
      <c r="I3815">
        <v>0.38402309452931199</v>
      </c>
      <c r="J3815">
        <v>0.60435779478263896</v>
      </c>
      <c r="K3815">
        <v>0.41156710937604901</v>
      </c>
      <c r="L3815">
        <v>503.75344037893802</v>
      </c>
      <c r="M3815">
        <v>9.4710717957581494</v>
      </c>
      <c r="N3815">
        <v>61.067263028354503</v>
      </c>
      <c r="O3815">
        <v>50.979271835725001</v>
      </c>
      <c r="P3815">
        <v>-3.0083811458812101E-2</v>
      </c>
      <c r="Q3815">
        <v>0.35266729811193398</v>
      </c>
      <c r="R3815">
        <v>0.67312600082666296</v>
      </c>
      <c r="S3815" t="s">
        <v>10126</v>
      </c>
      <c r="T3815" t="s">
        <v>12620</v>
      </c>
      <c r="U3815" t="s">
        <v>12620</v>
      </c>
      <c r="V3815" t="s">
        <v>12620</v>
      </c>
      <c r="W3815" t="s">
        <v>16385</v>
      </c>
      <c r="X3815">
        <v>6</v>
      </c>
      <c r="Y3815" t="s">
        <v>22510</v>
      </c>
      <c r="Z3815" t="s">
        <v>28762</v>
      </c>
      <c r="AA3815">
        <v>0.6599203394432791</v>
      </c>
      <c r="AB3815" t="str">
        <f>HYPERLINK("Melting_Curves/meltCurve_Q7L5Y9_MAEA.pdf", "Melting_Curves/meltCurve_Q7L5Y9_MAEA.pdf")</f>
        <v>Melting_Curves/meltCurve_Q7L5Y9_MAEA.pdf</v>
      </c>
    </row>
    <row r="3816" spans="1:28" x14ac:dyDescent="0.25">
      <c r="A3816" t="s">
        <v>3820</v>
      </c>
      <c r="B3816">
        <v>0.99987803227770999</v>
      </c>
      <c r="C3816">
        <v>1.1073096027490701</v>
      </c>
      <c r="D3816">
        <v>1.02834986537449</v>
      </c>
      <c r="E3816">
        <v>1.0259629941287201</v>
      </c>
      <c r="F3816">
        <v>0.66589799312858899</v>
      </c>
      <c r="G3816">
        <v>0.33572592645618199</v>
      </c>
      <c r="H3816">
        <v>0.16328729822240601</v>
      </c>
      <c r="I3816">
        <v>0.129612296620426</v>
      </c>
      <c r="J3816">
        <v>9.4041237251105705E-2</v>
      </c>
      <c r="K3816">
        <v>7.5215715744967798E-2</v>
      </c>
      <c r="L3816">
        <v>1506.7498164041699</v>
      </c>
      <c r="M3816">
        <v>27.621019657295399</v>
      </c>
      <c r="N3816">
        <v>54.9973028547223</v>
      </c>
      <c r="O3816">
        <v>54.267288592689198</v>
      </c>
      <c r="P3816">
        <v>-0.11446670856652399</v>
      </c>
      <c r="Q3816">
        <v>0.10043242592862001</v>
      </c>
      <c r="R3816">
        <v>0.98506320785095203</v>
      </c>
      <c r="S3816" t="s">
        <v>10127</v>
      </c>
      <c r="T3816" t="s">
        <v>12620</v>
      </c>
      <c r="U3816" t="s">
        <v>12620</v>
      </c>
      <c r="V3816" t="s">
        <v>12620</v>
      </c>
      <c r="W3816" t="s">
        <v>16386</v>
      </c>
      <c r="X3816">
        <v>10</v>
      </c>
      <c r="Y3816" t="s">
        <v>22511</v>
      </c>
      <c r="Z3816" t="s">
        <v>28763</v>
      </c>
      <c r="AA3816">
        <v>0.54369297398719185</v>
      </c>
      <c r="AB3816" t="str">
        <f>HYPERLINK("Melting_Curves/meltCurve_Q7L775_EPM2AIP1.pdf", "Melting_Curves/meltCurve_Q7L775_EPM2AIP1.pdf")</f>
        <v>Melting_Curves/meltCurve_Q7L775_EPM2AIP1.pdf</v>
      </c>
    </row>
    <row r="3817" spans="1:28" x14ac:dyDescent="0.25">
      <c r="A3817" t="s">
        <v>3821</v>
      </c>
      <c r="B3817">
        <v>0.99987803227770999</v>
      </c>
      <c r="C3817">
        <v>0.719269367789517</v>
      </c>
      <c r="D3817">
        <v>0.42615831997295001</v>
      </c>
      <c r="E3817">
        <v>0.34440507910333101</v>
      </c>
      <c r="F3817">
        <v>0.20074615059491499</v>
      </c>
      <c r="G3817">
        <v>0.118139781365538</v>
      </c>
      <c r="H3817">
        <v>7.5804020930760593E-2</v>
      </c>
      <c r="I3817">
        <v>6.2975768077050506E-2</v>
      </c>
      <c r="J3817">
        <v>4.4057297044282899E-2</v>
      </c>
      <c r="K3817">
        <v>2.82378992428488E-2</v>
      </c>
      <c r="L3817">
        <v>639.85400743608602</v>
      </c>
      <c r="M3817">
        <v>13.9422305898864</v>
      </c>
      <c r="N3817">
        <v>46.224561614720201</v>
      </c>
      <c r="O3817">
        <v>44.9800362788177</v>
      </c>
      <c r="P3817">
        <v>-7.3816289806351201E-2</v>
      </c>
      <c r="Q3817">
        <v>4.7552256762108697E-2</v>
      </c>
      <c r="R3817">
        <v>0.97283418511571296</v>
      </c>
      <c r="S3817" t="s">
        <v>10128</v>
      </c>
      <c r="T3817" t="s">
        <v>12620</v>
      </c>
      <c r="U3817" t="s">
        <v>12620</v>
      </c>
      <c r="V3817" t="s">
        <v>12620</v>
      </c>
      <c r="W3817" t="s">
        <v>16387</v>
      </c>
      <c r="X3817">
        <v>7</v>
      </c>
      <c r="Y3817" t="s">
        <v>22512</v>
      </c>
      <c r="Z3817" t="s">
        <v>28764</v>
      </c>
      <c r="AA3817">
        <v>0.2673065282486482</v>
      </c>
      <c r="AB3817" t="str">
        <f>HYPERLINK("Melting_Curves/meltCurve_Q7L7V1_DHX32.pdf", "Melting_Curves/meltCurve_Q7L7V1_DHX32.pdf")</f>
        <v>Melting_Curves/meltCurve_Q7L7V1_DHX32.pdf</v>
      </c>
    </row>
    <row r="3818" spans="1:28" x14ac:dyDescent="0.25">
      <c r="A3818" t="s">
        <v>3822</v>
      </c>
      <c r="B3818">
        <v>0.99987803227770999</v>
      </c>
      <c r="C3818">
        <v>1.0489324298417</v>
      </c>
      <c r="D3818">
        <v>0.95595228917061204</v>
      </c>
      <c r="E3818">
        <v>0.96613689194376695</v>
      </c>
      <c r="F3818">
        <v>0.47543666630554798</v>
      </c>
      <c r="G3818">
        <v>0.18865073186331799</v>
      </c>
      <c r="H3818">
        <v>0.14578947286740701</v>
      </c>
      <c r="I3818">
        <v>0.14066336923893299</v>
      </c>
      <c r="J3818">
        <v>0.117277083380725</v>
      </c>
      <c r="K3818">
        <v>8.5390300904679001E-2</v>
      </c>
      <c r="L3818">
        <v>2823.71101951234</v>
      </c>
      <c r="M3818">
        <v>53.671013392570799</v>
      </c>
      <c r="N3818">
        <v>52.913636277038002</v>
      </c>
      <c r="O3818">
        <v>52.538584232403501</v>
      </c>
      <c r="P3818">
        <v>-0.22168222929515499</v>
      </c>
      <c r="Q3818">
        <v>0.131981143097991</v>
      </c>
      <c r="R3818">
        <v>0.99448664846924795</v>
      </c>
      <c r="S3818" t="s">
        <v>10129</v>
      </c>
      <c r="T3818" t="s">
        <v>12620</v>
      </c>
      <c r="U3818" t="s">
        <v>12620</v>
      </c>
      <c r="V3818" t="s">
        <v>12620</v>
      </c>
      <c r="W3818" t="s">
        <v>16388</v>
      </c>
      <c r="X3818">
        <v>26</v>
      </c>
      <c r="Y3818" t="s">
        <v>22513</v>
      </c>
      <c r="Z3818" t="s">
        <v>28765</v>
      </c>
      <c r="AA3818">
        <v>0.49862789091454601</v>
      </c>
      <c r="AB3818" t="str">
        <f>HYPERLINK("Melting_Curves/meltCurve_Q7L7X3_TAOK1.pdf", "Melting_Curves/meltCurve_Q7L7X3_TAOK1.pdf")</f>
        <v>Melting_Curves/meltCurve_Q7L7X3_TAOK1.pdf</v>
      </c>
    </row>
    <row r="3819" spans="1:28" x14ac:dyDescent="0.25">
      <c r="A3819" t="s">
        <v>3823</v>
      </c>
      <c r="B3819">
        <v>0.99987803227770999</v>
      </c>
      <c r="C3819">
        <v>1.0180606573205599</v>
      </c>
      <c r="D3819">
        <v>1.0383898280711601</v>
      </c>
      <c r="E3819">
        <v>0.97692664795644701</v>
      </c>
      <c r="F3819">
        <v>0.85514322895913297</v>
      </c>
      <c r="G3819">
        <v>0.66798545863643499</v>
      </c>
      <c r="H3819">
        <v>0.665587518987939</v>
      </c>
      <c r="I3819">
        <v>0.55373243656233395</v>
      </c>
      <c r="J3819">
        <v>0.57506344176452495</v>
      </c>
      <c r="K3819">
        <v>0.429451269419382</v>
      </c>
      <c r="L3819">
        <v>850.44509802875803</v>
      </c>
      <c r="M3819">
        <v>14.9515018286274</v>
      </c>
      <c r="N3819">
        <v>69.6642080117783</v>
      </c>
      <c r="O3819">
        <v>55.891812769379698</v>
      </c>
      <c r="P3819">
        <v>-3.5593233940495003E-2</v>
      </c>
      <c r="Q3819">
        <v>0.46783486693491</v>
      </c>
      <c r="R3819">
        <v>0.95688004006796601</v>
      </c>
      <c r="S3819" t="s">
        <v>10130</v>
      </c>
      <c r="T3819" t="s">
        <v>12620</v>
      </c>
      <c r="U3819" t="s">
        <v>12620</v>
      </c>
      <c r="V3819" t="s">
        <v>12620</v>
      </c>
      <c r="W3819" t="s">
        <v>16389</v>
      </c>
      <c r="X3819">
        <v>7</v>
      </c>
      <c r="Y3819" t="s">
        <v>22514</v>
      </c>
      <c r="Z3819" t="s">
        <v>28766</v>
      </c>
      <c r="AA3819">
        <v>0.77584094003439596</v>
      </c>
      <c r="AB3819" t="str">
        <f>HYPERLINK("Melting_Curves/meltCurve_Q7L8J4_SH3BP5L.pdf", "Melting_Curves/meltCurve_Q7L8J4_SH3BP5L.pdf")</f>
        <v>Melting_Curves/meltCurve_Q7L8J4_SH3BP5L.pdf</v>
      </c>
    </row>
    <row r="3820" spans="1:28" x14ac:dyDescent="0.25">
      <c r="A3820" t="s">
        <v>3824</v>
      </c>
      <c r="B3820">
        <v>0.99987803227770999</v>
      </c>
      <c r="C3820">
        <v>0.98817538810090699</v>
      </c>
      <c r="D3820">
        <v>0.94228653718073097</v>
      </c>
      <c r="E3820">
        <v>0.56837846710560502</v>
      </c>
      <c r="F3820">
        <v>0.17111540801528499</v>
      </c>
      <c r="G3820">
        <v>0.10557495432528401</v>
      </c>
      <c r="H3820">
        <v>5.3199699777681297E-2</v>
      </c>
      <c r="I3820">
        <v>4.0523005461289903E-2</v>
      </c>
      <c r="J3820">
        <v>3.9960356975246601E-2</v>
      </c>
      <c r="K3820">
        <v>3.2769434652325798E-2</v>
      </c>
      <c r="L3820">
        <v>1648.8390970325499</v>
      </c>
      <c r="M3820">
        <v>32.830255699191298</v>
      </c>
      <c r="N3820">
        <v>50.374564874131401</v>
      </c>
      <c r="O3820">
        <v>50.037915332501001</v>
      </c>
      <c r="P3820">
        <v>-0.156321515595992</v>
      </c>
      <c r="Q3820">
        <v>4.6980662792577101E-2</v>
      </c>
      <c r="R3820">
        <v>0.99841310997538002</v>
      </c>
      <c r="S3820" t="s">
        <v>10131</v>
      </c>
      <c r="T3820" t="s">
        <v>12620</v>
      </c>
      <c r="U3820" t="s">
        <v>12620</v>
      </c>
      <c r="V3820" t="s">
        <v>12620</v>
      </c>
      <c r="W3820" t="s">
        <v>16390</v>
      </c>
      <c r="X3820">
        <v>6</v>
      </c>
      <c r="Y3820" t="s">
        <v>22515</v>
      </c>
      <c r="Z3820" t="s">
        <v>28767</v>
      </c>
      <c r="AA3820">
        <v>0.37667402865263538</v>
      </c>
      <c r="AB3820" t="str">
        <f>HYPERLINK("Melting_Curves/meltCurve_Q7L8L6_FASTKD5.pdf", "Melting_Curves/meltCurve_Q7L8L6_FASTKD5.pdf")</f>
        <v>Melting_Curves/meltCurve_Q7L8L6_FASTKD5.pdf</v>
      </c>
    </row>
    <row r="3821" spans="1:28" x14ac:dyDescent="0.25">
      <c r="A3821" t="s">
        <v>3825</v>
      </c>
      <c r="B3821">
        <v>0.99987803227770999</v>
      </c>
      <c r="C3821">
        <v>0.92246135635262805</v>
      </c>
      <c r="D3821">
        <v>1.0051428770663899</v>
      </c>
      <c r="E3821">
        <v>0.74924099506837505</v>
      </c>
      <c r="F3821">
        <v>0.46920398286571902</v>
      </c>
      <c r="G3821">
        <v>0.24200652991687399</v>
      </c>
      <c r="H3821">
        <v>0.143110626438709</v>
      </c>
      <c r="I3821">
        <v>0.14843701312931201</v>
      </c>
      <c r="J3821">
        <v>8.7781882469644801E-2</v>
      </c>
      <c r="K3821">
        <v>6.6203673214339995E-2</v>
      </c>
      <c r="L3821">
        <v>1102.7414401073299</v>
      </c>
      <c r="M3821">
        <v>21.080005290932501</v>
      </c>
      <c r="N3821">
        <v>52.829406971836598</v>
      </c>
      <c r="O3821">
        <v>51.8482459972508</v>
      </c>
      <c r="P3821">
        <v>-9.2168479287736499E-2</v>
      </c>
      <c r="Q3821">
        <v>9.3235864349296094E-2</v>
      </c>
      <c r="R3821">
        <v>0.99261504511223597</v>
      </c>
      <c r="S3821" t="s">
        <v>10132</v>
      </c>
      <c r="T3821" t="s">
        <v>12620</v>
      </c>
      <c r="U3821" t="s">
        <v>12620</v>
      </c>
      <c r="V3821" t="s">
        <v>12620</v>
      </c>
      <c r="W3821" t="s">
        <v>16391</v>
      </c>
      <c r="X3821">
        <v>7</v>
      </c>
      <c r="Y3821" t="s">
        <v>22516</v>
      </c>
      <c r="Z3821" t="s">
        <v>28768</v>
      </c>
      <c r="AA3821">
        <v>0.47678406079715158</v>
      </c>
      <c r="AB3821" t="str">
        <f>HYPERLINK("Melting_Curves/meltCurve_Q7L8W6_ATPBD4.pdf", "Melting_Curves/meltCurve_Q7L8W6_ATPBD4.pdf")</f>
        <v>Melting_Curves/meltCurve_Q7L8W6_ATPBD4.pdf</v>
      </c>
    </row>
    <row r="3822" spans="1:28" x14ac:dyDescent="0.25">
      <c r="A3822" t="s">
        <v>3826</v>
      </c>
      <c r="B3822">
        <v>0.99987803227770999</v>
      </c>
      <c r="C3822">
        <v>0.94291682899572304</v>
      </c>
      <c r="D3822">
        <v>1.0256760763489201</v>
      </c>
      <c r="E3822">
        <v>0.90050915298972001</v>
      </c>
      <c r="F3822">
        <v>0.73238214840831195</v>
      </c>
      <c r="G3822">
        <v>0.58241057280181696</v>
      </c>
      <c r="H3822">
        <v>0.34431974175341301</v>
      </c>
      <c r="I3822">
        <v>0.35807523878845499</v>
      </c>
      <c r="J3822">
        <v>0.26339190790377098</v>
      </c>
      <c r="K3822">
        <v>0.21752021122757001</v>
      </c>
      <c r="L3822">
        <v>831.65475984761099</v>
      </c>
      <c r="M3822">
        <v>14.8025957886565</v>
      </c>
      <c r="N3822">
        <v>58.134525628034602</v>
      </c>
      <c r="O3822">
        <v>55.1875590013316</v>
      </c>
      <c r="P3822">
        <v>-5.3932533280145002E-2</v>
      </c>
      <c r="Q3822">
        <v>0.195792896962556</v>
      </c>
      <c r="R3822">
        <v>0.98725477289889396</v>
      </c>
      <c r="S3822" t="s">
        <v>10133</v>
      </c>
      <c r="T3822" t="s">
        <v>12620</v>
      </c>
      <c r="U3822" t="s">
        <v>12620</v>
      </c>
      <c r="V3822" t="s">
        <v>12620</v>
      </c>
      <c r="W3822" t="s">
        <v>16392</v>
      </c>
      <c r="X3822">
        <v>32</v>
      </c>
      <c r="Y3822" t="s">
        <v>22517</v>
      </c>
      <c r="Z3822" t="s">
        <v>28769</v>
      </c>
      <c r="AA3822">
        <v>0.64376751691311662</v>
      </c>
      <c r="AB3822" t="str">
        <f>HYPERLINK("Melting_Curves/meltCurve_Q7LBC6_KDM3B.pdf", "Melting_Curves/meltCurve_Q7LBC6_KDM3B.pdf")</f>
        <v>Melting_Curves/meltCurve_Q7LBC6_KDM3B.pdf</v>
      </c>
    </row>
    <row r="3823" spans="1:28" x14ac:dyDescent="0.25">
      <c r="A3823" t="s">
        <v>3827</v>
      </c>
      <c r="B3823">
        <v>0.99987803227770999</v>
      </c>
      <c r="C3823">
        <v>0.87757784335620403</v>
      </c>
      <c r="D3823">
        <v>0.97461025844021498</v>
      </c>
      <c r="E3823">
        <v>0.85294738580047602</v>
      </c>
      <c r="F3823">
        <v>0.910388371907764</v>
      </c>
      <c r="G3823">
        <v>0.30142010606436098</v>
      </c>
      <c r="H3823">
        <v>0.12859109483237199</v>
      </c>
      <c r="I3823">
        <v>7.6208142504883405E-2</v>
      </c>
      <c r="J3823">
        <v>6.8084710572076601E-2</v>
      </c>
      <c r="K3823">
        <v>4.23445784077024E-2</v>
      </c>
      <c r="L3823">
        <v>2163.0901581226399</v>
      </c>
      <c r="M3823">
        <v>38.948828476385899</v>
      </c>
      <c r="N3823">
        <v>55.744526338182801</v>
      </c>
      <c r="O3823">
        <v>55.390922550059699</v>
      </c>
      <c r="P3823">
        <v>-0.16391125018560801</v>
      </c>
      <c r="Q3823">
        <v>6.7579200538779194E-2</v>
      </c>
      <c r="R3823">
        <v>0.97763159275878098</v>
      </c>
      <c r="S3823" t="s">
        <v>10134</v>
      </c>
      <c r="T3823" t="s">
        <v>12620</v>
      </c>
      <c r="U3823" t="s">
        <v>12620</v>
      </c>
      <c r="V3823" t="s">
        <v>12620</v>
      </c>
      <c r="W3823" t="s">
        <v>16393</v>
      </c>
      <c r="X3823">
        <v>4</v>
      </c>
      <c r="Y3823" t="s">
        <v>22518</v>
      </c>
      <c r="Z3823" t="s">
        <v>28770</v>
      </c>
      <c r="AA3823">
        <v>0.55422525451787341</v>
      </c>
      <c r="AB3823" t="str">
        <f>HYPERLINK("Melting_Curves/meltCurve_Q7LBR1_CHMP1B.pdf", "Melting_Curves/meltCurve_Q7LBR1_CHMP1B.pdf")</f>
        <v>Melting_Curves/meltCurve_Q7LBR1_CHMP1B.pdf</v>
      </c>
    </row>
    <row r="3824" spans="1:28" x14ac:dyDescent="0.25">
      <c r="A3824" t="s">
        <v>3828</v>
      </c>
      <c r="B3824">
        <v>0.99987803227770999</v>
      </c>
      <c r="C3824">
        <v>1.2623482313115</v>
      </c>
      <c r="D3824">
        <v>1.3385396604562201</v>
      </c>
      <c r="E3824">
        <v>1.37686603769987</v>
      </c>
      <c r="F3824">
        <v>1.39348277014038</v>
      </c>
      <c r="G3824">
        <v>1.42356707608185</v>
      </c>
      <c r="H3824">
        <v>1.5602234362518199</v>
      </c>
      <c r="I3824">
        <v>1.25157750994572</v>
      </c>
      <c r="J3824">
        <v>0.91052154384348105</v>
      </c>
      <c r="K3824">
        <v>0.51979777297854801</v>
      </c>
      <c r="L3824">
        <v>15000</v>
      </c>
      <c r="M3824">
        <v>222.406083143443</v>
      </c>
      <c r="O3824">
        <v>67.438745748284603</v>
      </c>
      <c r="P3824">
        <v>-0.39603251061233702</v>
      </c>
      <c r="Q3824">
        <v>0.51965458610766602</v>
      </c>
      <c r="R3824">
        <v>-0.204810390698515</v>
      </c>
      <c r="S3824" t="s">
        <v>10135</v>
      </c>
      <c r="T3824" t="s">
        <v>12620</v>
      </c>
      <c r="U3824" t="s">
        <v>12620</v>
      </c>
      <c r="V3824" t="s">
        <v>12620</v>
      </c>
      <c r="W3824" t="s">
        <v>16394</v>
      </c>
      <c r="X3824">
        <v>13</v>
      </c>
      <c r="Y3824" t="s">
        <v>22519</v>
      </c>
      <c r="Z3824" t="s">
        <v>28771</v>
      </c>
      <c r="AA3824">
        <v>0.95914802036914759</v>
      </c>
      <c r="AB3824" t="str">
        <f>HYPERLINK("Melting_Curves/meltCurve_Q7LG56_RRM2B.pdf", "Melting_Curves/meltCurve_Q7LG56_RRM2B.pdf")</f>
        <v>Melting_Curves/meltCurve_Q7LG56_RRM2B.pdf</v>
      </c>
    </row>
    <row r="3825" spans="1:28" x14ac:dyDescent="0.25">
      <c r="A3825" t="s">
        <v>3829</v>
      </c>
      <c r="B3825">
        <v>0.99987803227770999</v>
      </c>
      <c r="C3825">
        <v>0.98348170040280702</v>
      </c>
      <c r="D3825">
        <v>0.93829205825595396</v>
      </c>
      <c r="E3825">
        <v>0.82892273487130497</v>
      </c>
      <c r="F3825">
        <v>0.59275258868338998</v>
      </c>
      <c r="G3825">
        <v>0.42771460864689698</v>
      </c>
      <c r="H3825">
        <v>0.35843442858284502</v>
      </c>
      <c r="I3825">
        <v>0.35881701854285403</v>
      </c>
      <c r="J3825">
        <v>0.28382704538595299</v>
      </c>
      <c r="K3825">
        <v>0.217953984232754</v>
      </c>
      <c r="L3825">
        <v>856.322863139378</v>
      </c>
      <c r="M3825">
        <v>16.169316394096199</v>
      </c>
      <c r="N3825">
        <v>55.473350595730402</v>
      </c>
      <c r="O3825">
        <v>52.169582039498302</v>
      </c>
      <c r="P3825">
        <v>-5.73670999689182E-2</v>
      </c>
      <c r="Q3825">
        <v>0.259686409926562</v>
      </c>
      <c r="R3825">
        <v>0.98935034620306395</v>
      </c>
      <c r="S3825" t="s">
        <v>10136</v>
      </c>
      <c r="T3825" t="s">
        <v>12620</v>
      </c>
      <c r="U3825" t="s">
        <v>12620</v>
      </c>
      <c r="V3825" t="s">
        <v>12620</v>
      </c>
      <c r="W3825" t="s">
        <v>16395</v>
      </c>
      <c r="X3825">
        <v>28</v>
      </c>
      <c r="Y3825" t="s">
        <v>22520</v>
      </c>
      <c r="Z3825" t="s">
        <v>28772</v>
      </c>
      <c r="AA3825">
        <v>0.5938157746881777</v>
      </c>
      <c r="AB3825" t="str">
        <f>HYPERLINK("Melting_Curves/meltCurve_Q7RTP6_MICAL3.pdf", "Melting_Curves/meltCurve_Q7RTP6_MICAL3.pdf")</f>
        <v>Melting_Curves/meltCurve_Q7RTP6_MICAL3.pdf</v>
      </c>
    </row>
    <row r="3826" spans="1:28" x14ac:dyDescent="0.25">
      <c r="A3826" t="s">
        <v>3830</v>
      </c>
      <c r="B3826">
        <v>0.99987803227770999</v>
      </c>
      <c r="C3826">
        <v>0.97738730692892495</v>
      </c>
      <c r="D3826">
        <v>0.91069737317888</v>
      </c>
      <c r="E3826">
        <v>1.6491052858912401</v>
      </c>
      <c r="F3826">
        <v>2.0342798437358902</v>
      </c>
      <c r="G3826">
        <v>1.38424965520202</v>
      </c>
      <c r="H3826">
        <v>1.32341439276688</v>
      </c>
      <c r="I3826">
        <v>1.1442863945330199</v>
      </c>
      <c r="J3826">
        <v>1.1822676234784799</v>
      </c>
      <c r="K3826">
        <v>0.92066233868486502</v>
      </c>
      <c r="L3826">
        <v>11954.412231739399</v>
      </c>
      <c r="M3826">
        <v>250</v>
      </c>
      <c r="O3826">
        <v>47.814589364734303</v>
      </c>
      <c r="P3826">
        <v>0.49265128097243399</v>
      </c>
      <c r="Q3826">
        <v>1.3768946952058501</v>
      </c>
      <c r="R3826">
        <v>0.303384003385889</v>
      </c>
      <c r="S3826" t="s">
        <v>10137</v>
      </c>
      <c r="T3826" t="s">
        <v>12620</v>
      </c>
      <c r="U3826" t="s">
        <v>12620</v>
      </c>
      <c r="V3826" t="s">
        <v>12620</v>
      </c>
      <c r="W3826" t="s">
        <v>16396</v>
      </c>
      <c r="X3826">
        <v>11</v>
      </c>
      <c r="Y3826" t="s">
        <v>22521</v>
      </c>
      <c r="Z3826" t="s">
        <v>28773</v>
      </c>
      <c r="AA3826">
        <v>1.2786487195082981</v>
      </c>
      <c r="AB3826" t="str">
        <f>HYPERLINK("Melting_Curves/meltCurve_Q7RTV0_PHF5A.pdf", "Melting_Curves/meltCurve_Q7RTV0_PHF5A.pdf")</f>
        <v>Melting_Curves/meltCurve_Q7RTV0_PHF5A.pdf</v>
      </c>
    </row>
    <row r="3827" spans="1:28" x14ac:dyDescent="0.25">
      <c r="A3827" t="s">
        <v>3831</v>
      </c>
      <c r="B3827">
        <v>0.99987803227770999</v>
      </c>
      <c r="C3827">
        <v>0.95900274440502797</v>
      </c>
      <c r="D3827">
        <v>0.71136399658029903</v>
      </c>
      <c r="E3827">
        <v>0.343374806243048</v>
      </c>
      <c r="F3827">
        <v>0.16342509677415101</v>
      </c>
      <c r="G3827">
        <v>9.7490269576578706E-2</v>
      </c>
      <c r="H3827">
        <v>5.4132424830750002E-2</v>
      </c>
      <c r="I3827">
        <v>6.6452584561387695E-2</v>
      </c>
      <c r="J3827">
        <v>4.2344208501336598E-2</v>
      </c>
      <c r="K3827">
        <v>3.5238897040069099E-2</v>
      </c>
      <c r="L3827">
        <v>1011.3349171055301</v>
      </c>
      <c r="M3827">
        <v>21.0566183773579</v>
      </c>
      <c r="N3827">
        <v>48.263249095472098</v>
      </c>
      <c r="O3827">
        <v>47.6024170113878</v>
      </c>
      <c r="P3827">
        <v>-0.10522336862164899</v>
      </c>
      <c r="Q3827">
        <v>4.8516988462501902E-2</v>
      </c>
      <c r="R3827">
        <v>0.99839999128770196</v>
      </c>
      <c r="S3827" t="s">
        <v>10138</v>
      </c>
      <c r="T3827" t="s">
        <v>12620</v>
      </c>
      <c r="U3827" t="s">
        <v>12620</v>
      </c>
      <c r="V3827" t="s">
        <v>12620</v>
      </c>
      <c r="W3827" t="s">
        <v>16397</v>
      </c>
      <c r="X3827">
        <v>4</v>
      </c>
      <c r="Y3827" t="s">
        <v>22522</v>
      </c>
      <c r="Z3827" t="s">
        <v>28774</v>
      </c>
      <c r="AA3827">
        <v>0.31529060450997709</v>
      </c>
      <c r="AB3827" t="str">
        <f>HYPERLINK("Melting_Curves/meltCurve_Q7Z2E3_3_APTX.pdf", "Melting_Curves/meltCurve_Q7Z2E3_3_APTX.pdf")</f>
        <v>Melting_Curves/meltCurve_Q7Z2E3_3_APTX.pdf</v>
      </c>
    </row>
    <row r="3828" spans="1:28" x14ac:dyDescent="0.25">
      <c r="A3828" t="s">
        <v>3832</v>
      </c>
      <c r="B3828">
        <v>0.99987803227770999</v>
      </c>
      <c r="C3828">
        <v>0.86051985940432196</v>
      </c>
      <c r="D3828">
        <v>1.00625917352577</v>
      </c>
      <c r="E3828">
        <v>0.85012295947101202</v>
      </c>
      <c r="F3828">
        <v>1.0273971481283899</v>
      </c>
      <c r="G3828">
        <v>0.87942467615976505</v>
      </c>
      <c r="H3828">
        <v>0.97631003289860696</v>
      </c>
      <c r="I3828">
        <v>0.86891832143411596</v>
      </c>
      <c r="J3828">
        <v>0.95629354432166802</v>
      </c>
      <c r="K3828">
        <v>0.78429365067174095</v>
      </c>
      <c r="L3828">
        <v>144.99309249627001</v>
      </c>
      <c r="M3828">
        <v>0.14776470599330099</v>
      </c>
      <c r="O3828">
        <v>59.267954426759502</v>
      </c>
      <c r="P3828">
        <v>-3.4223559850884498E-3</v>
      </c>
      <c r="Q3828">
        <v>0</v>
      </c>
      <c r="R3828">
        <v>0.14361710339664599</v>
      </c>
      <c r="S3828" t="s">
        <v>10139</v>
      </c>
      <c r="T3828" t="s">
        <v>12620</v>
      </c>
      <c r="U3828" t="s">
        <v>12620</v>
      </c>
      <c r="V3828" t="s">
        <v>12620</v>
      </c>
      <c r="W3828" t="s">
        <v>16398</v>
      </c>
      <c r="X3828">
        <v>21</v>
      </c>
      <c r="Y3828" t="s">
        <v>22523</v>
      </c>
      <c r="Z3828" t="s">
        <v>28775</v>
      </c>
      <c r="AA3828">
        <v>0.92270412557769044</v>
      </c>
      <c r="AB3828" t="str">
        <f>HYPERLINK("Melting_Curves/meltCurve_Q7Z2K8_GPRIN1.pdf", "Melting_Curves/meltCurve_Q7Z2K8_GPRIN1.pdf")</f>
        <v>Melting_Curves/meltCurve_Q7Z2K8_GPRIN1.pdf</v>
      </c>
    </row>
    <row r="3829" spans="1:28" x14ac:dyDescent="0.25">
      <c r="A3829" t="s">
        <v>3833</v>
      </c>
      <c r="B3829">
        <v>0.99987803227770999</v>
      </c>
      <c r="C3829">
        <v>1.0917013308389201</v>
      </c>
      <c r="D3829">
        <v>0.78336394446660595</v>
      </c>
      <c r="E3829">
        <v>0.67523483933803696</v>
      </c>
      <c r="F3829">
        <v>0.30228707651945202</v>
      </c>
      <c r="G3829">
        <v>0.16791076634913299</v>
      </c>
      <c r="H3829">
        <v>0.102774429224781</v>
      </c>
      <c r="I3829">
        <v>9.0945420270914901E-2</v>
      </c>
      <c r="J3829">
        <v>5.7364409400966501E-2</v>
      </c>
      <c r="K3829">
        <v>3.9279833130715099E-2</v>
      </c>
      <c r="L3829">
        <v>970.20207956447496</v>
      </c>
      <c r="M3829">
        <v>19.071955918269001</v>
      </c>
      <c r="N3829">
        <v>51.168960392507998</v>
      </c>
      <c r="O3829">
        <v>50.321246930527202</v>
      </c>
      <c r="P3829">
        <v>-8.9768673033960703E-2</v>
      </c>
      <c r="Q3829">
        <v>5.26208872156122E-2</v>
      </c>
      <c r="R3829">
        <v>0.97816268023867403</v>
      </c>
      <c r="S3829" t="s">
        <v>10140</v>
      </c>
      <c r="T3829" t="s">
        <v>12620</v>
      </c>
      <c r="U3829" t="s">
        <v>12620</v>
      </c>
      <c r="V3829" t="s">
        <v>12620</v>
      </c>
      <c r="W3829" t="s">
        <v>16399</v>
      </c>
      <c r="X3829">
        <v>3</v>
      </c>
      <c r="Y3829" t="s">
        <v>22524</v>
      </c>
      <c r="Z3829" t="s">
        <v>28776</v>
      </c>
      <c r="AA3829">
        <v>0.410283692653863</v>
      </c>
      <c r="AB3829" t="str">
        <f>HYPERLINK("Melting_Curves/meltCurve_Q7Z2T5_TRMT1L.pdf", "Melting_Curves/meltCurve_Q7Z2T5_TRMT1L.pdf")</f>
        <v>Melting_Curves/meltCurve_Q7Z2T5_TRMT1L.pdf</v>
      </c>
    </row>
    <row r="3830" spans="1:28" x14ac:dyDescent="0.25">
      <c r="A3830" t="s">
        <v>3834</v>
      </c>
      <c r="B3830">
        <v>0.99987803227770999</v>
      </c>
      <c r="C3830">
        <v>0.84333246198883705</v>
      </c>
      <c r="D3830">
        <v>0.72062076801614605</v>
      </c>
      <c r="E3830">
        <v>0.41724543254442298</v>
      </c>
      <c r="F3830">
        <v>0.35619070318419699</v>
      </c>
      <c r="G3830">
        <v>0.241030375165214</v>
      </c>
      <c r="H3830">
        <v>0.228165716411665</v>
      </c>
      <c r="I3830">
        <v>0.214602425547467</v>
      </c>
      <c r="J3830">
        <v>0.221001590673256</v>
      </c>
      <c r="K3830">
        <v>0.198719806167234</v>
      </c>
      <c r="L3830">
        <v>767.91091084989705</v>
      </c>
      <c r="M3830">
        <v>16.199328899011601</v>
      </c>
      <c r="N3830">
        <v>48.9953237285795</v>
      </c>
      <c r="O3830">
        <v>46.699161954624898</v>
      </c>
      <c r="P3830">
        <v>-6.8986286298856503E-2</v>
      </c>
      <c r="Q3830">
        <v>0.204569658848793</v>
      </c>
      <c r="R3830">
        <v>0.99375071141948101</v>
      </c>
      <c r="S3830" t="s">
        <v>10141</v>
      </c>
      <c r="T3830" t="s">
        <v>12620</v>
      </c>
      <c r="U3830" t="s">
        <v>12620</v>
      </c>
      <c r="V3830" t="s">
        <v>12620</v>
      </c>
      <c r="W3830" t="s">
        <v>16400</v>
      </c>
      <c r="X3830">
        <v>24</v>
      </c>
      <c r="Y3830" t="s">
        <v>22525</v>
      </c>
      <c r="Z3830" t="s">
        <v>28777</v>
      </c>
      <c r="AA3830">
        <v>0.41889186351973262</v>
      </c>
      <c r="AB3830" t="str">
        <f>HYPERLINK("Melting_Curves/meltCurve_Q7Z2W4_ZC3HAV1.pdf", "Melting_Curves/meltCurve_Q7Z2W4_ZC3HAV1.pdf")</f>
        <v>Melting_Curves/meltCurve_Q7Z2W4_ZC3HAV1.pdf</v>
      </c>
    </row>
    <row r="3831" spans="1:28" x14ac:dyDescent="0.25">
      <c r="A3831" t="s">
        <v>3835</v>
      </c>
      <c r="B3831">
        <v>0.99987803227770999</v>
      </c>
      <c r="C3831">
        <v>1.7837505580531401</v>
      </c>
      <c r="D3831">
        <v>1.0304200508697601</v>
      </c>
      <c r="E3831">
        <v>2.99647709226823</v>
      </c>
      <c r="F3831">
        <v>1.1203088430794901</v>
      </c>
      <c r="G3831">
        <v>0.78095458222198999</v>
      </c>
      <c r="H3831">
        <v>0.46375845037531999</v>
      </c>
      <c r="I3831">
        <v>0.41271857795440797</v>
      </c>
      <c r="J3831">
        <v>0.350701276230176</v>
      </c>
      <c r="K3831">
        <v>0.18108259297913101</v>
      </c>
      <c r="L3831">
        <v>2170.8106936900199</v>
      </c>
      <c r="M3831">
        <v>36.845939658123797</v>
      </c>
      <c r="N3831">
        <v>60.401078047849801</v>
      </c>
      <c r="O3831">
        <v>58.7431378095228</v>
      </c>
      <c r="P3831">
        <v>-0.110091134830632</v>
      </c>
      <c r="Q3831">
        <v>0.29793297385543699</v>
      </c>
      <c r="R3831">
        <v>0.272152544428376</v>
      </c>
      <c r="S3831" t="s">
        <v>10142</v>
      </c>
      <c r="T3831" t="s">
        <v>12620</v>
      </c>
      <c r="U3831" t="s">
        <v>12620</v>
      </c>
      <c r="V3831" t="s">
        <v>12620</v>
      </c>
      <c r="W3831" t="s">
        <v>16401</v>
      </c>
      <c r="X3831">
        <v>1</v>
      </c>
      <c r="Y3831" t="s">
        <v>22526</v>
      </c>
      <c r="Z3831" t="s">
        <v>28778</v>
      </c>
      <c r="AA3831">
        <v>0.74381720420459885</v>
      </c>
      <c r="AB3831" t="str">
        <f>HYPERLINK("Melting_Curves/meltCurve_Q7Z2Y8_GVINP1.pdf", "Melting_Curves/meltCurve_Q7Z2Y8_GVINP1.pdf")</f>
        <v>Melting_Curves/meltCurve_Q7Z2Y8_GVINP1.pdf</v>
      </c>
    </row>
    <row r="3832" spans="1:28" x14ac:dyDescent="0.25">
      <c r="A3832" t="s">
        <v>3836</v>
      </c>
      <c r="B3832">
        <v>0.99987803227770999</v>
      </c>
      <c r="C3832">
        <v>0.90258613370762697</v>
      </c>
      <c r="D3832">
        <v>1.08579332425748</v>
      </c>
      <c r="E3832">
        <v>0.90554094952881503</v>
      </c>
      <c r="F3832">
        <v>0.99748063389639197</v>
      </c>
      <c r="G3832">
        <v>0.84977560712389799</v>
      </c>
      <c r="H3832">
        <v>0.89113337784093305</v>
      </c>
      <c r="I3832">
        <v>0.76694415791320902</v>
      </c>
      <c r="J3832">
        <v>0.82760529233854496</v>
      </c>
      <c r="K3832">
        <v>0.72260749866566898</v>
      </c>
      <c r="L3832">
        <v>469.03340464022398</v>
      </c>
      <c r="M3832">
        <v>6.9262829776988903</v>
      </c>
      <c r="O3832">
        <v>62.748912665391799</v>
      </c>
      <c r="P3832">
        <v>-1.27913038948981E-2</v>
      </c>
      <c r="Q3832">
        <v>0.53735850069401603</v>
      </c>
      <c r="R3832">
        <v>0.689895390614505</v>
      </c>
      <c r="S3832" t="s">
        <v>10143</v>
      </c>
      <c r="T3832" t="s">
        <v>12620</v>
      </c>
      <c r="U3832" t="s">
        <v>12620</v>
      </c>
      <c r="V3832" t="s">
        <v>12620</v>
      </c>
      <c r="W3832" t="s">
        <v>16402</v>
      </c>
      <c r="X3832">
        <v>3</v>
      </c>
      <c r="Y3832" t="s">
        <v>22527</v>
      </c>
      <c r="Z3832" t="s">
        <v>28779</v>
      </c>
      <c r="AA3832">
        <v>0.90218179227197459</v>
      </c>
      <c r="AB3832" t="str">
        <f>HYPERLINK("Melting_Curves/meltCurve_Q7Z2Z1_2_TICRR.pdf", "Melting_Curves/meltCurve_Q7Z2Z1_2_TICRR.pdf")</f>
        <v>Melting_Curves/meltCurve_Q7Z2Z1_2_TICRR.pdf</v>
      </c>
    </row>
    <row r="3833" spans="1:28" x14ac:dyDescent="0.25">
      <c r="A3833" t="s">
        <v>3837</v>
      </c>
      <c r="B3833">
        <v>0.99987803227770999</v>
      </c>
      <c r="C3833">
        <v>1.08117507469301</v>
      </c>
      <c r="D3833">
        <v>0.92600926373191195</v>
      </c>
      <c r="E3833">
        <v>0.68121938860014797</v>
      </c>
      <c r="F3833">
        <v>0.25263642711064899</v>
      </c>
      <c r="G3833">
        <v>0.17679169711957099</v>
      </c>
      <c r="H3833">
        <v>0.114999809033276</v>
      </c>
      <c r="I3833">
        <v>9.0652270566159293E-2</v>
      </c>
      <c r="J3833">
        <v>5.8308214416489902E-2</v>
      </c>
      <c r="K3833">
        <v>3.9592863843026203E-2</v>
      </c>
      <c r="L3833">
        <v>1558.1007162086801</v>
      </c>
      <c r="M3833">
        <v>30.639014896214601</v>
      </c>
      <c r="N3833">
        <v>51.157779975409298</v>
      </c>
      <c r="O3833">
        <v>50.638328211574901</v>
      </c>
      <c r="P3833">
        <v>-0.13866439926257099</v>
      </c>
      <c r="Q3833">
        <v>8.3300680794262894E-2</v>
      </c>
      <c r="R3833">
        <v>0.98945329051175002</v>
      </c>
      <c r="S3833" t="s">
        <v>10144</v>
      </c>
      <c r="T3833" t="s">
        <v>12620</v>
      </c>
      <c r="U3833" t="s">
        <v>12620</v>
      </c>
      <c r="V3833" t="s">
        <v>12620</v>
      </c>
      <c r="W3833" t="s">
        <v>16403</v>
      </c>
      <c r="X3833">
        <v>22</v>
      </c>
      <c r="Y3833" t="s">
        <v>22528</v>
      </c>
      <c r="Z3833" t="s">
        <v>28780</v>
      </c>
      <c r="AA3833">
        <v>0.42045849132539292</v>
      </c>
      <c r="AB3833" t="str">
        <f>HYPERLINK("Melting_Curves/meltCurve_Q7Z2Z2_EFTUD1.pdf", "Melting_Curves/meltCurve_Q7Z2Z2_EFTUD1.pdf")</f>
        <v>Melting_Curves/meltCurve_Q7Z2Z2_EFTUD1.pdf</v>
      </c>
    </row>
    <row r="3834" spans="1:28" x14ac:dyDescent="0.25">
      <c r="A3834" t="s">
        <v>3838</v>
      </c>
      <c r="B3834">
        <v>0.99987803227770999</v>
      </c>
      <c r="C3834">
        <v>0.82097519690213505</v>
      </c>
      <c r="D3834">
        <v>1.02777972356909</v>
      </c>
      <c r="E3834">
        <v>0.88153478768383298</v>
      </c>
      <c r="F3834">
        <v>0.81949627607495201</v>
      </c>
      <c r="G3834">
        <v>0.606178703463083</v>
      </c>
      <c r="H3834">
        <v>0.55697539114153205</v>
      </c>
      <c r="I3834">
        <v>0.57055221732975003</v>
      </c>
      <c r="J3834">
        <v>0.49385208041932899</v>
      </c>
      <c r="K3834">
        <v>0.39396140265149898</v>
      </c>
      <c r="L3834">
        <v>540.59511284202699</v>
      </c>
      <c r="M3834">
        <v>9.4238163775816108</v>
      </c>
      <c r="N3834">
        <v>64.782019349351401</v>
      </c>
      <c r="O3834">
        <v>54.959618057247901</v>
      </c>
      <c r="P3834">
        <v>-2.8737145950393402E-2</v>
      </c>
      <c r="Q3834">
        <v>0.33002942798746698</v>
      </c>
      <c r="R3834">
        <v>0.902754336615186</v>
      </c>
      <c r="S3834" t="s">
        <v>10145</v>
      </c>
      <c r="T3834" t="s">
        <v>12620</v>
      </c>
      <c r="U3834" t="s">
        <v>12620</v>
      </c>
      <c r="V3834" t="s">
        <v>12620</v>
      </c>
      <c r="W3834" t="s">
        <v>16404</v>
      </c>
      <c r="X3834">
        <v>6</v>
      </c>
      <c r="Y3834" t="s">
        <v>22529</v>
      </c>
      <c r="Z3834" t="s">
        <v>28781</v>
      </c>
      <c r="AA3834">
        <v>0.72637334578182799</v>
      </c>
      <c r="AB3834" t="str">
        <f>HYPERLINK("Melting_Curves/meltCurve_Q7Z309_FAM122B.pdf", "Melting_Curves/meltCurve_Q7Z309_FAM122B.pdf")</f>
        <v>Melting_Curves/meltCurve_Q7Z309_FAM122B.pdf</v>
      </c>
    </row>
    <row r="3835" spans="1:28" x14ac:dyDescent="0.25">
      <c r="A3835" t="s">
        <v>3839</v>
      </c>
      <c r="B3835">
        <v>0.99987803227770999</v>
      </c>
      <c r="C3835">
        <v>0.84732410744716502</v>
      </c>
      <c r="D3835">
        <v>0.87859337587205</v>
      </c>
      <c r="E3835">
        <v>0.73683249476412405</v>
      </c>
      <c r="F3835">
        <v>0.88520760436836998</v>
      </c>
      <c r="G3835">
        <v>0.71974528107505797</v>
      </c>
      <c r="H3835">
        <v>0.70873824211968295</v>
      </c>
      <c r="I3835">
        <v>0.69879940560114795</v>
      </c>
      <c r="J3835">
        <v>0.49639066260581</v>
      </c>
      <c r="K3835">
        <v>0.50853756458064003</v>
      </c>
      <c r="L3835">
        <v>256.084446761263</v>
      </c>
      <c r="M3835">
        <v>3.5142880823284401</v>
      </c>
      <c r="O3835">
        <v>57.215382907025997</v>
      </c>
      <c r="P3835">
        <v>-1.5651830775030899E-2</v>
      </c>
      <c r="Q3835">
        <v>0</v>
      </c>
      <c r="R3835">
        <v>0.81997850930334204</v>
      </c>
      <c r="S3835" t="s">
        <v>10146</v>
      </c>
      <c r="T3835" t="s">
        <v>12620</v>
      </c>
      <c r="U3835" t="s">
        <v>12620</v>
      </c>
      <c r="V3835" t="s">
        <v>12620</v>
      </c>
      <c r="W3835" t="s">
        <v>16405</v>
      </c>
      <c r="X3835">
        <v>14</v>
      </c>
      <c r="Y3835" t="s">
        <v>22530</v>
      </c>
      <c r="Z3835" t="s">
        <v>28782</v>
      </c>
      <c r="AA3835">
        <v>0.75294211415045398</v>
      </c>
      <c r="AB3835" t="str">
        <f>HYPERLINK("Melting_Curves/meltCurve_Q7Z333_3_SETX.pdf", "Melting_Curves/meltCurve_Q7Z333_3_SETX.pdf")</f>
        <v>Melting_Curves/meltCurve_Q7Z333_3_SETX.pdf</v>
      </c>
    </row>
    <row r="3836" spans="1:28" x14ac:dyDescent="0.25">
      <c r="A3836" t="s">
        <v>3840</v>
      </c>
      <c r="B3836">
        <v>0.99987803227770999</v>
      </c>
      <c r="C3836">
        <v>1.0866177166597499</v>
      </c>
      <c r="D3836">
        <v>0.87030244115120903</v>
      </c>
      <c r="E3836">
        <v>0.81242593447778599</v>
      </c>
      <c r="F3836">
        <v>0.25523343585298103</v>
      </c>
      <c r="G3836">
        <v>0.147069936818221</v>
      </c>
      <c r="H3836">
        <v>7.4753714863849199E-2</v>
      </c>
      <c r="I3836">
        <v>6.0824594638736199E-2</v>
      </c>
      <c r="J3836">
        <v>5.0389213606441698E-2</v>
      </c>
      <c r="K3836">
        <v>3.9042762977819799E-2</v>
      </c>
      <c r="L3836">
        <v>2250.3670553975298</v>
      </c>
      <c r="M3836">
        <v>43.734367912695603</v>
      </c>
      <c r="N3836">
        <v>51.631315085848101</v>
      </c>
      <c r="O3836">
        <v>51.3481127778347</v>
      </c>
      <c r="P3836">
        <v>-0.19818801756646001</v>
      </c>
      <c r="Q3836">
        <v>6.9238564429559807E-2</v>
      </c>
      <c r="R3836">
        <v>0.983483040164151</v>
      </c>
      <c r="S3836" t="s">
        <v>10147</v>
      </c>
      <c r="T3836" t="s">
        <v>12620</v>
      </c>
      <c r="U3836" t="s">
        <v>12620</v>
      </c>
      <c r="V3836" t="s">
        <v>12620</v>
      </c>
      <c r="W3836" t="s">
        <v>16406</v>
      </c>
      <c r="X3836">
        <v>2</v>
      </c>
      <c r="Y3836" t="s">
        <v>22531</v>
      </c>
      <c r="Z3836" t="s">
        <v>28783</v>
      </c>
      <c r="AA3836">
        <v>0.42741050605635161</v>
      </c>
      <c r="AB3836" t="str">
        <f>HYPERLINK("Melting_Curves/meltCurve_Q7Z350_DKFZp686L0695.pdf", "Melting_Curves/meltCurve_Q7Z350_DKFZp686L0695.pdf")</f>
        <v>Melting_Curves/meltCurve_Q7Z350_DKFZp686L0695.pdf</v>
      </c>
    </row>
    <row r="3837" spans="1:28" x14ac:dyDescent="0.25">
      <c r="A3837" t="s">
        <v>3841</v>
      </c>
      <c r="B3837">
        <v>0.99987803227770999</v>
      </c>
      <c r="C3837">
        <v>0.89520914937894802</v>
      </c>
      <c r="D3837">
        <v>0.75436838823809305</v>
      </c>
      <c r="E3837">
        <v>0.75993874905564296</v>
      </c>
      <c r="F3837">
        <v>0.28960424864284201</v>
      </c>
      <c r="G3837">
        <v>0.190766316421105</v>
      </c>
      <c r="H3837">
        <v>0.15042624593265899</v>
      </c>
      <c r="I3837">
        <v>0.11635449435972101</v>
      </c>
      <c r="J3837">
        <v>9.5729107177752695E-2</v>
      </c>
      <c r="K3837">
        <v>7.6255527535996695E-2</v>
      </c>
      <c r="L3837">
        <v>761.63704486802999</v>
      </c>
      <c r="M3837">
        <v>14.963478699912599</v>
      </c>
      <c r="N3837">
        <v>51.347694031387199</v>
      </c>
      <c r="O3837">
        <v>50.0166029502805</v>
      </c>
      <c r="P3837">
        <v>-7.0223117893368603E-2</v>
      </c>
      <c r="Q3837">
        <v>6.1190606374647197E-2</v>
      </c>
      <c r="R3837">
        <v>0.95936320468050695</v>
      </c>
      <c r="S3837" t="s">
        <v>10148</v>
      </c>
      <c r="T3837" t="s">
        <v>12620</v>
      </c>
      <c r="U3837" t="s">
        <v>12620</v>
      </c>
      <c r="V3837" t="s">
        <v>12620</v>
      </c>
      <c r="W3837" t="s">
        <v>16407</v>
      </c>
      <c r="X3837">
        <v>7</v>
      </c>
      <c r="Y3837" t="s">
        <v>22532</v>
      </c>
      <c r="Z3837" t="s">
        <v>28784</v>
      </c>
      <c r="AA3837">
        <v>0.42413114063141932</v>
      </c>
      <c r="AB3837" t="str">
        <f>HYPERLINK("Melting_Curves/meltCurve_Q7Z392_TRAPPC11.pdf", "Melting_Curves/meltCurve_Q7Z392_TRAPPC11.pdf")</f>
        <v>Melting_Curves/meltCurve_Q7Z392_TRAPPC11.pdf</v>
      </c>
    </row>
    <row r="3838" spans="1:28" x14ac:dyDescent="0.25">
      <c r="A3838" t="s">
        <v>3842</v>
      </c>
      <c r="B3838">
        <v>0.99987803227770999</v>
      </c>
      <c r="C3838">
        <v>0.99955797785344702</v>
      </c>
      <c r="D3838">
        <v>0.83608636999970598</v>
      </c>
      <c r="E3838">
        <v>0.85636772048145104</v>
      </c>
      <c r="F3838">
        <v>0.69311718720269999</v>
      </c>
      <c r="G3838">
        <v>0.62191055726683597</v>
      </c>
      <c r="H3838">
        <v>0.46892716741497498</v>
      </c>
      <c r="I3838">
        <v>0.36542704673368998</v>
      </c>
      <c r="J3838">
        <v>0.34406431767909201</v>
      </c>
      <c r="K3838">
        <v>0.31384607731733999</v>
      </c>
      <c r="L3838">
        <v>498.14323280615298</v>
      </c>
      <c r="M3838">
        <v>8.6871329920236793</v>
      </c>
      <c r="N3838">
        <v>59.887124950333998</v>
      </c>
      <c r="O3838">
        <v>54.547138818412499</v>
      </c>
      <c r="P3838">
        <v>-3.3698501333177998E-2</v>
      </c>
      <c r="Q3838">
        <v>0.154320989091493</v>
      </c>
      <c r="R3838">
        <v>0.98029458308137896</v>
      </c>
      <c r="S3838" t="s">
        <v>10149</v>
      </c>
      <c r="T3838" t="s">
        <v>12620</v>
      </c>
      <c r="U3838" t="s">
        <v>12620</v>
      </c>
      <c r="V3838" t="s">
        <v>12620</v>
      </c>
      <c r="W3838" t="s">
        <v>16408</v>
      </c>
      <c r="X3838">
        <v>3</v>
      </c>
      <c r="Y3838" t="s">
        <v>22533</v>
      </c>
      <c r="Z3838" t="s">
        <v>28785</v>
      </c>
      <c r="AA3838">
        <v>0.65270512925682544</v>
      </c>
      <c r="AB3838" t="str">
        <f>HYPERLINK("Melting_Curves/meltCurve_Q7Z3B3_KANSL1.pdf", "Melting_Curves/meltCurve_Q7Z3B3_KANSL1.pdf")</f>
        <v>Melting_Curves/meltCurve_Q7Z3B3_KANSL1.pdf</v>
      </c>
    </row>
    <row r="3839" spans="1:28" x14ac:dyDescent="0.25">
      <c r="A3839" t="s">
        <v>3843</v>
      </c>
      <c r="B3839">
        <v>0.99987803227770999</v>
      </c>
      <c r="C3839">
        <v>0.82138520915653901</v>
      </c>
      <c r="D3839">
        <v>0.86352813424480801</v>
      </c>
      <c r="E3839">
        <v>0.88369665989292501</v>
      </c>
      <c r="F3839">
        <v>0.96322049317318403</v>
      </c>
      <c r="G3839">
        <v>0.73956914890490799</v>
      </c>
      <c r="H3839">
        <v>0.68616761936089399</v>
      </c>
      <c r="I3839">
        <v>0.67300739922647801</v>
      </c>
      <c r="J3839">
        <v>0.58387970766206998</v>
      </c>
      <c r="K3839">
        <v>0.47883208087474899</v>
      </c>
      <c r="L3839">
        <v>330.50806981217102</v>
      </c>
      <c r="M3839">
        <v>4.6099245635295096</v>
      </c>
      <c r="O3839">
        <v>61.3263814314505</v>
      </c>
      <c r="P3839">
        <v>-1.8944221243870199E-2</v>
      </c>
      <c r="Q3839">
        <v>0</v>
      </c>
      <c r="R3839">
        <v>0.82431551227039102</v>
      </c>
      <c r="S3839" t="s">
        <v>10150</v>
      </c>
      <c r="T3839" t="s">
        <v>12620</v>
      </c>
      <c r="U3839" t="s">
        <v>12620</v>
      </c>
      <c r="V3839" t="s">
        <v>12620</v>
      </c>
      <c r="W3839" t="s">
        <v>16409</v>
      </c>
      <c r="X3839">
        <v>2</v>
      </c>
      <c r="Y3839" t="s">
        <v>22534</v>
      </c>
      <c r="Z3839" t="s">
        <v>28786</v>
      </c>
      <c r="AA3839">
        <v>0.78421950923676964</v>
      </c>
      <c r="AB3839" t="str">
        <f>HYPERLINK("Melting_Curves/meltCurve_Q7Z3C6_2_ATG9A.pdf", "Melting_Curves/meltCurve_Q7Z3C6_2_ATG9A.pdf")</f>
        <v>Melting_Curves/meltCurve_Q7Z3C6_2_ATG9A.pdf</v>
      </c>
    </row>
    <row r="3840" spans="1:28" x14ac:dyDescent="0.25">
      <c r="A3840" t="s">
        <v>3844</v>
      </c>
      <c r="B3840">
        <v>0.99987803227770999</v>
      </c>
      <c r="C3840">
        <v>1.15210345218393</v>
      </c>
      <c r="D3840">
        <v>1.19340667786323</v>
      </c>
      <c r="E3840">
        <v>1.3990172536048999</v>
      </c>
      <c r="F3840">
        <v>1.2070096041659799</v>
      </c>
      <c r="G3840">
        <v>1.13352177508075</v>
      </c>
      <c r="H3840">
        <v>1.1392311991833299</v>
      </c>
      <c r="I3840">
        <v>1.0424299814772799</v>
      </c>
      <c r="J3840">
        <v>0.65441341013140697</v>
      </c>
      <c r="K3840">
        <v>0.47304163290363999</v>
      </c>
      <c r="L3840">
        <v>15000</v>
      </c>
      <c r="M3840">
        <v>224.52508056905799</v>
      </c>
      <c r="N3840">
        <v>67.6878134608083</v>
      </c>
      <c r="O3840">
        <v>66.802380903373106</v>
      </c>
      <c r="P3840">
        <v>-0.442800668512079</v>
      </c>
      <c r="Q3840">
        <v>0.47301853704322899</v>
      </c>
      <c r="R3840">
        <v>0.55851758523651296</v>
      </c>
      <c r="S3840" t="s">
        <v>10151</v>
      </c>
      <c r="T3840" t="s">
        <v>12620</v>
      </c>
      <c r="U3840" t="s">
        <v>12620</v>
      </c>
      <c r="V3840" t="s">
        <v>12620</v>
      </c>
      <c r="W3840" t="s">
        <v>16410</v>
      </c>
      <c r="X3840">
        <v>1</v>
      </c>
      <c r="Y3840" t="s">
        <v>22535</v>
      </c>
      <c r="Z3840" t="s">
        <v>28787</v>
      </c>
      <c r="AA3840">
        <v>0.94399997195150853</v>
      </c>
      <c r="AB3840" t="str">
        <f>HYPERLINK("Melting_Curves/meltCurve_Q7Z3D4_LYSMD3.pdf", "Melting_Curves/meltCurve_Q7Z3D4_LYSMD3.pdf")</f>
        <v>Melting_Curves/meltCurve_Q7Z3D4_LYSMD3.pdf</v>
      </c>
    </row>
    <row r="3841" spans="1:28" x14ac:dyDescent="0.25">
      <c r="A3841" t="s">
        <v>3845</v>
      </c>
      <c r="B3841">
        <v>0.99987803227770999</v>
      </c>
      <c r="C3841">
        <v>0.97485124168409998</v>
      </c>
      <c r="D3841">
        <v>0.974718835223638</v>
      </c>
      <c r="E3841">
        <v>0.99943889968689303</v>
      </c>
      <c r="F3841">
        <v>1.00286447681793</v>
      </c>
      <c r="G3841">
        <v>0.79325108054748095</v>
      </c>
      <c r="H3841">
        <v>0.68865284272835703</v>
      </c>
      <c r="I3841">
        <v>0.60657027230539395</v>
      </c>
      <c r="J3841">
        <v>0.54172545339341505</v>
      </c>
      <c r="K3841">
        <v>0.41241862203452501</v>
      </c>
      <c r="L3841">
        <v>845.55138605024899</v>
      </c>
      <c r="M3841">
        <v>13.6309822384573</v>
      </c>
      <c r="N3841">
        <v>67.189304209213006</v>
      </c>
      <c r="O3841">
        <v>60.742164169579297</v>
      </c>
      <c r="P3841">
        <v>-3.7908239974970302E-2</v>
      </c>
      <c r="Q3841">
        <v>0.32439471691050098</v>
      </c>
      <c r="R3841">
        <v>0.97613966622045101</v>
      </c>
      <c r="S3841" t="s">
        <v>10152</v>
      </c>
      <c r="T3841" t="s">
        <v>12620</v>
      </c>
      <c r="U3841" t="s">
        <v>12620</v>
      </c>
      <c r="V3841" t="s">
        <v>12620</v>
      </c>
      <c r="W3841" t="s">
        <v>16411</v>
      </c>
      <c r="X3841">
        <v>13</v>
      </c>
      <c r="Y3841" t="s">
        <v>22536</v>
      </c>
      <c r="Z3841" t="s">
        <v>28788</v>
      </c>
      <c r="AA3841">
        <v>0.81634646232425589</v>
      </c>
      <c r="AB3841" t="str">
        <f>HYPERLINK("Melting_Curves/meltCurve_Q7Z3E2_C10orf118.pdf", "Melting_Curves/meltCurve_Q7Z3E2_C10orf118.pdf")</f>
        <v>Melting_Curves/meltCurve_Q7Z3E2_C10orf118.pdf</v>
      </c>
    </row>
    <row r="3842" spans="1:28" x14ac:dyDescent="0.25">
      <c r="A3842" t="s">
        <v>3846</v>
      </c>
      <c r="B3842">
        <v>0.99987803227770999</v>
      </c>
      <c r="C3842">
        <v>1.2129086427819999</v>
      </c>
      <c r="D3842">
        <v>0.68775533376267695</v>
      </c>
      <c r="E3842">
        <v>0.35263550207862099</v>
      </c>
      <c r="F3842">
        <v>0.208761492467647</v>
      </c>
      <c r="G3842">
        <v>0.12672908209920999</v>
      </c>
      <c r="H3842">
        <v>0.119228545368377</v>
      </c>
      <c r="I3842">
        <v>0.10207671176109299</v>
      </c>
      <c r="J3842">
        <v>8.4399096509677404E-2</v>
      </c>
      <c r="K3842">
        <v>6.3439173462838297E-2</v>
      </c>
      <c r="L3842">
        <v>1274.7440443703799</v>
      </c>
      <c r="M3842">
        <v>26.5829115253735</v>
      </c>
      <c r="N3842">
        <v>48.376847534624403</v>
      </c>
      <c r="O3842">
        <v>47.684611386913602</v>
      </c>
      <c r="P3842">
        <v>-0.124907111427703</v>
      </c>
      <c r="Q3842">
        <v>0.10377254349963499</v>
      </c>
      <c r="R3842">
        <v>0.95257051176262098</v>
      </c>
      <c r="S3842" t="s">
        <v>10153</v>
      </c>
      <c r="T3842" t="s">
        <v>12620</v>
      </c>
      <c r="U3842" t="s">
        <v>12620</v>
      </c>
      <c r="V3842" t="s">
        <v>12620</v>
      </c>
      <c r="W3842" t="s">
        <v>16412</v>
      </c>
      <c r="X3842">
        <v>7</v>
      </c>
      <c r="Y3842" t="s">
        <v>22537</v>
      </c>
      <c r="Z3842" t="s">
        <v>28789</v>
      </c>
      <c r="AA3842">
        <v>0.3483323895518538</v>
      </c>
      <c r="AB3842" t="str">
        <f>HYPERLINK("Melting_Curves/meltCurve_Q7Z3E5_ARMC9.pdf", "Melting_Curves/meltCurve_Q7Z3E5_ARMC9.pdf")</f>
        <v>Melting_Curves/meltCurve_Q7Z3E5_ARMC9.pdf</v>
      </c>
    </row>
    <row r="3843" spans="1:28" x14ac:dyDescent="0.25">
      <c r="A3843" t="s">
        <v>3847</v>
      </c>
      <c r="B3843">
        <v>0.99987803227770999</v>
      </c>
      <c r="C3843">
        <v>0.86222362832191002</v>
      </c>
      <c r="D3843">
        <v>0.95369035736108698</v>
      </c>
      <c r="E3843">
        <v>0.82547659235696003</v>
      </c>
      <c r="F3843">
        <v>0.82374851738630395</v>
      </c>
      <c r="G3843">
        <v>0.491091569819681</v>
      </c>
      <c r="H3843">
        <v>0.37054880125671402</v>
      </c>
      <c r="I3843">
        <v>0.30564091271933203</v>
      </c>
      <c r="J3843">
        <v>0.28544939122625401</v>
      </c>
      <c r="K3843">
        <v>0.205571125439999</v>
      </c>
      <c r="L3843">
        <v>709.88068954903804</v>
      </c>
      <c r="M3843">
        <v>12.6167995044437</v>
      </c>
      <c r="N3843">
        <v>57.950705891214703</v>
      </c>
      <c r="O3843">
        <v>54.907384691330201</v>
      </c>
      <c r="P3843">
        <v>-4.8630753322896597E-2</v>
      </c>
      <c r="Q3843">
        <v>0.15361813899207299</v>
      </c>
      <c r="R3843">
        <v>0.96746092414525697</v>
      </c>
      <c r="S3843" t="s">
        <v>10154</v>
      </c>
      <c r="T3843" t="s">
        <v>12620</v>
      </c>
      <c r="U3843" t="s">
        <v>12620</v>
      </c>
      <c r="V3843" t="s">
        <v>12620</v>
      </c>
      <c r="W3843" t="s">
        <v>16413</v>
      </c>
      <c r="X3843">
        <v>2</v>
      </c>
      <c r="Y3843" t="s">
        <v>22538</v>
      </c>
      <c r="Z3843" t="s">
        <v>28790</v>
      </c>
      <c r="AA3843">
        <v>0.62870330262366425</v>
      </c>
      <c r="AB3843" t="str">
        <f>HYPERLINK("Melting_Curves/meltCurve_Q7Z3G6_PRICKLE2.pdf", "Melting_Curves/meltCurve_Q7Z3G6_PRICKLE2.pdf")</f>
        <v>Melting_Curves/meltCurve_Q7Z3G6_PRICKLE2.pdf</v>
      </c>
    </row>
    <row r="3844" spans="1:28" x14ac:dyDescent="0.25">
      <c r="A3844" t="s">
        <v>3848</v>
      </c>
      <c r="B3844">
        <v>0.99987803227770999</v>
      </c>
      <c r="C3844">
        <v>0.810102655377124</v>
      </c>
      <c r="D3844">
        <v>0.78697342566892803</v>
      </c>
      <c r="E3844">
        <v>1.18479740434731</v>
      </c>
      <c r="F3844">
        <v>0.39589335965096101</v>
      </c>
      <c r="G3844">
        <v>0.20141896007996199</v>
      </c>
      <c r="H3844">
        <v>0.115511950834052</v>
      </c>
      <c r="I3844">
        <v>0.100417850999052</v>
      </c>
      <c r="J3844">
        <v>8.2680347424053405E-2</v>
      </c>
      <c r="K3844">
        <v>5.3954353541826601E-2</v>
      </c>
      <c r="L3844">
        <v>13210.2012904495</v>
      </c>
      <c r="M3844">
        <v>250</v>
      </c>
      <c r="N3844">
        <v>52.893806407731098</v>
      </c>
      <c r="O3844">
        <v>52.837425211823799</v>
      </c>
      <c r="P3844">
        <v>-1.05181529856031</v>
      </c>
      <c r="Q3844">
        <v>0.11079663167161601</v>
      </c>
      <c r="R3844">
        <v>0.92341377996489304</v>
      </c>
      <c r="S3844" t="s">
        <v>10155</v>
      </c>
      <c r="T3844" t="s">
        <v>12620</v>
      </c>
      <c r="U3844" t="s">
        <v>12620</v>
      </c>
      <c r="V3844" t="s">
        <v>12620</v>
      </c>
      <c r="W3844" t="s">
        <v>16414</v>
      </c>
      <c r="X3844">
        <v>8</v>
      </c>
      <c r="Y3844" t="s">
        <v>22539</v>
      </c>
      <c r="Z3844" t="s">
        <v>28791</v>
      </c>
      <c r="AA3844">
        <v>0.49148199849048763</v>
      </c>
      <c r="AB3844" t="str">
        <f>HYPERLINK("Melting_Curves/meltCurve_Q7Z3J2_C16orf62.pdf", "Melting_Curves/meltCurve_Q7Z3J2_C16orf62.pdf")</f>
        <v>Melting_Curves/meltCurve_Q7Z3J2_C16orf62.pdf</v>
      </c>
    </row>
    <row r="3845" spans="1:28" x14ac:dyDescent="0.25">
      <c r="A3845" t="s">
        <v>3849</v>
      </c>
      <c r="B3845">
        <v>0.99987803227770999</v>
      </c>
      <c r="C3845">
        <v>0.96380522150921699</v>
      </c>
      <c r="D3845">
        <v>0.68426140783497902</v>
      </c>
      <c r="E3845">
        <v>0.642632047640738</v>
      </c>
      <c r="F3845">
        <v>0.42704269234791298</v>
      </c>
      <c r="G3845">
        <v>0.347478216403803</v>
      </c>
      <c r="H3845">
        <v>0.25378753314504898</v>
      </c>
      <c r="I3845">
        <v>0.14443477775109301</v>
      </c>
      <c r="J3845">
        <v>0.22623722412809799</v>
      </c>
      <c r="K3845">
        <v>0.14834232721923599</v>
      </c>
      <c r="L3845">
        <v>570.71137255203701</v>
      </c>
      <c r="M3845">
        <v>11.2866072751331</v>
      </c>
      <c r="N3845">
        <v>51.935425529622101</v>
      </c>
      <c r="O3845">
        <v>49.055982788777598</v>
      </c>
      <c r="P3845">
        <v>-5.01285444284666E-2</v>
      </c>
      <c r="Q3845">
        <v>0.12875363243876101</v>
      </c>
      <c r="R3845">
        <v>0.97145226157920095</v>
      </c>
      <c r="S3845" t="s">
        <v>10156</v>
      </c>
      <c r="T3845" t="s">
        <v>12620</v>
      </c>
      <c r="U3845" t="s">
        <v>12620</v>
      </c>
      <c r="V3845" t="s">
        <v>12620</v>
      </c>
      <c r="W3845" t="s">
        <v>16415</v>
      </c>
      <c r="X3845">
        <v>2</v>
      </c>
      <c r="Y3845" t="s">
        <v>22540</v>
      </c>
      <c r="Z3845" t="s">
        <v>28792</v>
      </c>
      <c r="AA3845">
        <v>0.46748141884478001</v>
      </c>
      <c r="AB3845" t="str">
        <f>HYPERLINK("Melting_Curves/meltCurve_Q7Z3K6_4_MIER3.pdf", "Melting_Curves/meltCurve_Q7Z3K6_4_MIER3.pdf")</f>
        <v>Melting_Curves/meltCurve_Q7Z3K6_4_MIER3.pdf</v>
      </c>
    </row>
    <row r="3846" spans="1:28" x14ac:dyDescent="0.25">
      <c r="A3846" t="s">
        <v>3850</v>
      </c>
      <c r="B3846">
        <v>0.99987803227770999</v>
      </c>
      <c r="C3846">
        <v>1.0286658606215999</v>
      </c>
      <c r="D3846">
        <v>1.02385171364814</v>
      </c>
      <c r="E3846">
        <v>1.0512329481395499</v>
      </c>
      <c r="F3846">
        <v>0.90809622692434999</v>
      </c>
      <c r="G3846">
        <v>0.53724618069772401</v>
      </c>
      <c r="H3846">
        <v>0.41567785764929399</v>
      </c>
      <c r="I3846">
        <v>0.36660762651255402</v>
      </c>
      <c r="J3846">
        <v>0.366575344211785</v>
      </c>
      <c r="K3846">
        <v>0.28574117941004601</v>
      </c>
      <c r="L3846">
        <v>1996.0246905307299</v>
      </c>
      <c r="M3846">
        <v>35.822009810808602</v>
      </c>
      <c r="N3846">
        <v>57.6279343384914</v>
      </c>
      <c r="O3846">
        <v>55.547829297443499</v>
      </c>
      <c r="P3846">
        <v>-0.10524254835567499</v>
      </c>
      <c r="Q3846">
        <v>0.34721961931996698</v>
      </c>
      <c r="R3846">
        <v>0.98832761519937196</v>
      </c>
      <c r="S3846" t="s">
        <v>10157</v>
      </c>
      <c r="T3846" t="s">
        <v>12620</v>
      </c>
      <c r="U3846" t="s">
        <v>12620</v>
      </c>
      <c r="V3846" t="s">
        <v>12620</v>
      </c>
      <c r="W3846" t="s">
        <v>16416</v>
      </c>
      <c r="X3846">
        <v>28</v>
      </c>
      <c r="Y3846" t="s">
        <v>22541</v>
      </c>
      <c r="Z3846" t="s">
        <v>28793</v>
      </c>
      <c r="AA3846">
        <v>0.69239421914333898</v>
      </c>
      <c r="AB3846" t="str">
        <f>HYPERLINK("Melting_Curves/meltCurve_Q7Z3T8_ZFYVE16.pdf", "Melting_Curves/meltCurve_Q7Z3T8_ZFYVE16.pdf")</f>
        <v>Melting_Curves/meltCurve_Q7Z3T8_ZFYVE16.pdf</v>
      </c>
    </row>
    <row r="3847" spans="1:28" x14ac:dyDescent="0.25">
      <c r="A3847" t="s">
        <v>3851</v>
      </c>
      <c r="B3847">
        <v>0.99987803227770999</v>
      </c>
      <c r="C3847">
        <v>0.86112726081188695</v>
      </c>
      <c r="D3847">
        <v>0.74262468202183696</v>
      </c>
      <c r="E3847">
        <v>0.74786586751003703</v>
      </c>
      <c r="F3847">
        <v>0.28670142179624297</v>
      </c>
      <c r="G3847">
        <v>0.174787339427869</v>
      </c>
      <c r="H3847">
        <v>0.119140244712024</v>
      </c>
      <c r="I3847">
        <v>8.2927525610719394E-2</v>
      </c>
      <c r="J3847">
        <v>6.2902915849111396E-2</v>
      </c>
      <c r="K3847">
        <v>3.7880457645220897E-2</v>
      </c>
      <c r="L3847">
        <v>681.63806254525605</v>
      </c>
      <c r="M3847">
        <v>13.342852645624699</v>
      </c>
      <c r="N3847">
        <v>51.158057753657303</v>
      </c>
      <c r="O3847">
        <v>49.979804632080501</v>
      </c>
      <c r="P3847">
        <v>-6.6133755980443798E-2</v>
      </c>
      <c r="Q3847">
        <v>9.2603084052299504E-3</v>
      </c>
      <c r="R3847">
        <v>0.96025793030030604</v>
      </c>
      <c r="S3847" t="s">
        <v>10158</v>
      </c>
      <c r="T3847" t="s">
        <v>12620</v>
      </c>
      <c r="U3847" t="s">
        <v>12620</v>
      </c>
      <c r="V3847" t="s">
        <v>12620</v>
      </c>
      <c r="W3847" t="s">
        <v>16417</v>
      </c>
      <c r="X3847">
        <v>3</v>
      </c>
      <c r="Y3847" t="s">
        <v>22542</v>
      </c>
      <c r="Z3847" t="s">
        <v>28794</v>
      </c>
      <c r="AA3847">
        <v>0.40287327627735359</v>
      </c>
      <c r="AB3847" t="str">
        <f>HYPERLINK("Melting_Curves/meltCurve_Q7Z3V4_UBE3B.pdf", "Melting_Curves/meltCurve_Q7Z3V4_UBE3B.pdf")</f>
        <v>Melting_Curves/meltCurve_Q7Z3V4_UBE3B.pdf</v>
      </c>
    </row>
    <row r="3848" spans="1:28" x14ac:dyDescent="0.25">
      <c r="A3848" t="s">
        <v>3852</v>
      </c>
      <c r="B3848">
        <v>0.99987803227770999</v>
      </c>
      <c r="C3848">
        <v>1.2114910768724301</v>
      </c>
      <c r="D3848">
        <v>0.98205054624553201</v>
      </c>
      <c r="E3848">
        <v>0.89165077071263099</v>
      </c>
      <c r="F3848">
        <v>0.37928943361040102</v>
      </c>
      <c r="G3848">
        <v>0.220579654182711</v>
      </c>
      <c r="H3848">
        <v>0.16639045611563799</v>
      </c>
      <c r="I3848">
        <v>0.13995227219820799</v>
      </c>
      <c r="J3848">
        <v>0.115075933668339</v>
      </c>
      <c r="K3848">
        <v>7.9356793716217594E-2</v>
      </c>
      <c r="L3848">
        <v>2382.6644303773501</v>
      </c>
      <c r="M3848">
        <v>45.836047838991703</v>
      </c>
      <c r="N3848">
        <v>52.355608743800403</v>
      </c>
      <c r="O3848">
        <v>51.883670831610097</v>
      </c>
      <c r="P3848">
        <v>-0.19007528055996201</v>
      </c>
      <c r="Q3848">
        <v>0.13938554259927</v>
      </c>
      <c r="R3848">
        <v>0.96964231047948002</v>
      </c>
      <c r="S3848" t="s">
        <v>10159</v>
      </c>
      <c r="T3848" t="s">
        <v>12620</v>
      </c>
      <c r="U3848" t="s">
        <v>12620</v>
      </c>
      <c r="V3848" t="s">
        <v>12620</v>
      </c>
      <c r="W3848" t="s">
        <v>16418</v>
      </c>
      <c r="X3848">
        <v>50</v>
      </c>
      <c r="Y3848" t="s">
        <v>22543</v>
      </c>
      <c r="Z3848" t="s">
        <v>28795</v>
      </c>
      <c r="AA3848">
        <v>0.48547458930711118</v>
      </c>
      <c r="AB3848" t="str">
        <f>HYPERLINK("Melting_Curves/meltCurve_Q7Z406_6_MYH14.pdf", "Melting_Curves/meltCurve_Q7Z406_6_MYH14.pdf")</f>
        <v>Melting_Curves/meltCurve_Q7Z406_6_MYH14.pdf</v>
      </c>
    </row>
    <row r="3849" spans="1:28" x14ac:dyDescent="0.25">
      <c r="A3849" t="s">
        <v>3853</v>
      </c>
      <c r="B3849">
        <v>0.99987803227770999</v>
      </c>
      <c r="C3849">
        <v>0.92705916026718704</v>
      </c>
      <c r="D3849">
        <v>1.0251874468040401</v>
      </c>
      <c r="E3849">
        <v>0.97993779477663601</v>
      </c>
      <c r="F3849">
        <v>1.1355915740801199</v>
      </c>
      <c r="G3849">
        <v>1.0647052167698601</v>
      </c>
      <c r="H3849">
        <v>1.08601753813964</v>
      </c>
      <c r="I3849">
        <v>1.07092897683349</v>
      </c>
      <c r="J3849">
        <v>1.0048213851926699</v>
      </c>
      <c r="K3849">
        <v>0.85533473902171597</v>
      </c>
      <c r="L3849">
        <v>15000</v>
      </c>
      <c r="M3849">
        <v>212.508640278467</v>
      </c>
      <c r="Q3849">
        <v>0</v>
      </c>
      <c r="R3849">
        <v>0.31117084720051202</v>
      </c>
      <c r="S3849" t="s">
        <v>10160</v>
      </c>
      <c r="T3849" t="s">
        <v>12620</v>
      </c>
      <c r="U3849" t="s">
        <v>12620</v>
      </c>
      <c r="V3849" t="s">
        <v>12620</v>
      </c>
      <c r="W3849" t="s">
        <v>16419</v>
      </c>
      <c r="X3849">
        <v>24</v>
      </c>
      <c r="Y3849" t="s">
        <v>22544</v>
      </c>
      <c r="Z3849" t="s">
        <v>28796</v>
      </c>
      <c r="AA3849">
        <v>0.9983147625899742</v>
      </c>
      <c r="AB3849" t="str">
        <f>HYPERLINK("Melting_Curves/meltCurve_Q7Z417_NUFIP2.pdf", "Melting_Curves/meltCurve_Q7Z417_NUFIP2.pdf")</f>
        <v>Melting_Curves/meltCurve_Q7Z417_NUFIP2.pdf</v>
      </c>
    </row>
    <row r="3850" spans="1:28" x14ac:dyDescent="0.25">
      <c r="A3850" t="s">
        <v>3854</v>
      </c>
      <c r="B3850">
        <v>0.99987803227770999</v>
      </c>
      <c r="C3850">
        <v>0.88158758569445195</v>
      </c>
      <c r="D3850">
        <v>1.06099214309698</v>
      </c>
      <c r="E3850">
        <v>0.92154087764913994</v>
      </c>
      <c r="F3850">
        <v>1.16981770123884</v>
      </c>
      <c r="G3850">
        <v>1.00459141713074</v>
      </c>
      <c r="H3850">
        <v>1.1979013564988901</v>
      </c>
      <c r="I3850">
        <v>1.06007990523704</v>
      </c>
      <c r="J3850">
        <v>1.20895895532546</v>
      </c>
      <c r="K3850">
        <v>1.05683497506123</v>
      </c>
      <c r="L3850">
        <v>12875.285641534099</v>
      </c>
      <c r="M3850">
        <v>250</v>
      </c>
      <c r="O3850">
        <v>51.497846836098503</v>
      </c>
      <c r="P3850">
        <v>0.14122647685412201</v>
      </c>
      <c r="Q3850">
        <v>1.1163657514480101</v>
      </c>
      <c r="R3850">
        <v>0.44773417098184098</v>
      </c>
      <c r="S3850" t="s">
        <v>10161</v>
      </c>
      <c r="T3850" t="s">
        <v>12620</v>
      </c>
      <c r="U3850" t="s">
        <v>12620</v>
      </c>
      <c r="V3850" t="s">
        <v>12620</v>
      </c>
      <c r="W3850" t="s">
        <v>16420</v>
      </c>
      <c r="X3850">
        <v>8</v>
      </c>
      <c r="Y3850" t="s">
        <v>22545</v>
      </c>
      <c r="Z3850" t="s">
        <v>28797</v>
      </c>
      <c r="AA3850">
        <v>1.071743930639776</v>
      </c>
      <c r="AB3850" t="str">
        <f>HYPERLINK("Melting_Curves/meltCurve_Q7Z422_2_SZRD1.pdf", "Melting_Curves/meltCurve_Q7Z422_2_SZRD1.pdf")</f>
        <v>Melting_Curves/meltCurve_Q7Z422_2_SZRD1.pdf</v>
      </c>
    </row>
    <row r="3851" spans="1:28" x14ac:dyDescent="0.25">
      <c r="A3851" t="s">
        <v>3855</v>
      </c>
      <c r="B3851">
        <v>0.99987803227770999</v>
      </c>
      <c r="C3851">
        <v>0.80114965537208604</v>
      </c>
      <c r="D3851">
        <v>0.95807058206637896</v>
      </c>
      <c r="E3851">
        <v>0.78539324689858103</v>
      </c>
      <c r="F3851">
        <v>1.02438061181902</v>
      </c>
      <c r="G3851">
        <v>0.74428849093140104</v>
      </c>
      <c r="H3851">
        <v>0.78800822528174996</v>
      </c>
      <c r="I3851">
        <v>0.56573582868390204</v>
      </c>
      <c r="J3851">
        <v>0.63634820523662206</v>
      </c>
      <c r="K3851">
        <v>0.48907230892471898</v>
      </c>
      <c r="L3851">
        <v>352.10496307847501</v>
      </c>
      <c r="M3851">
        <v>4.8970104750039098</v>
      </c>
      <c r="O3851">
        <v>62.445215512823097</v>
      </c>
      <c r="P3851">
        <v>-1.9734218094857502E-2</v>
      </c>
      <c r="Q3851">
        <v>0</v>
      </c>
      <c r="R3851">
        <v>0.697993690805913</v>
      </c>
      <c r="S3851" t="s">
        <v>10162</v>
      </c>
      <c r="T3851" t="s">
        <v>12620</v>
      </c>
      <c r="U3851" t="s">
        <v>12620</v>
      </c>
      <c r="V3851" t="s">
        <v>12620</v>
      </c>
      <c r="W3851" t="s">
        <v>16421</v>
      </c>
      <c r="X3851">
        <v>7</v>
      </c>
      <c r="Y3851" t="s">
        <v>22546</v>
      </c>
      <c r="Z3851" t="s">
        <v>28798</v>
      </c>
      <c r="AA3851">
        <v>0.79628106421194889</v>
      </c>
      <c r="AB3851" t="str">
        <f>HYPERLINK("Melting_Curves/meltCurve_Q7Z434_MAVS.pdf", "Melting_Curves/meltCurve_Q7Z434_MAVS.pdf")</f>
        <v>Melting_Curves/meltCurve_Q7Z434_MAVS.pdf</v>
      </c>
    </row>
    <row r="3852" spans="1:28" x14ac:dyDescent="0.25">
      <c r="A3852" t="s">
        <v>3856</v>
      </c>
      <c r="B3852">
        <v>0.99987803227770999</v>
      </c>
      <c r="C3852">
        <v>0.96168270828437297</v>
      </c>
      <c r="D3852">
        <v>0.91758889478194805</v>
      </c>
      <c r="E3852">
        <v>0.71154136684154201</v>
      </c>
      <c r="F3852">
        <v>0.57165584350479404</v>
      </c>
      <c r="G3852">
        <v>0.34749267275721302</v>
      </c>
      <c r="H3852">
        <v>0.20953900126150901</v>
      </c>
      <c r="I3852">
        <v>0.158082356681884</v>
      </c>
      <c r="J3852">
        <v>0.15339407298056301</v>
      </c>
      <c r="K3852">
        <v>0.121166265740145</v>
      </c>
      <c r="L3852">
        <v>741.07860741298805</v>
      </c>
      <c r="M3852">
        <v>13.945435400040299</v>
      </c>
      <c r="N3852">
        <v>53.915227667610601</v>
      </c>
      <c r="O3852">
        <v>52.084332374387799</v>
      </c>
      <c r="P3852">
        <v>-6.0873277918846301E-2</v>
      </c>
      <c r="Q3852">
        <v>9.0708036235110104E-2</v>
      </c>
      <c r="R3852">
        <v>0.99875414872610102</v>
      </c>
      <c r="S3852" t="s">
        <v>10163</v>
      </c>
      <c r="T3852" t="s">
        <v>12620</v>
      </c>
      <c r="U3852" t="s">
        <v>12620</v>
      </c>
      <c r="V3852" t="s">
        <v>12620</v>
      </c>
      <c r="W3852" t="s">
        <v>16422</v>
      </c>
      <c r="X3852">
        <v>34</v>
      </c>
      <c r="Y3852" t="s">
        <v>22547</v>
      </c>
      <c r="Z3852" t="s">
        <v>28799</v>
      </c>
      <c r="AA3852">
        <v>0.510440053277888</v>
      </c>
      <c r="AB3852" t="str">
        <f>HYPERLINK("Melting_Curves/meltCurve_Q7Z460_CLASP1.pdf", "Melting_Curves/meltCurve_Q7Z460_CLASP1.pdf")</f>
        <v>Melting_Curves/meltCurve_Q7Z460_CLASP1.pdf</v>
      </c>
    </row>
    <row r="3853" spans="1:28" x14ac:dyDescent="0.25">
      <c r="A3853" t="s">
        <v>3857</v>
      </c>
      <c r="B3853">
        <v>0.99987803227770999</v>
      </c>
      <c r="C3853">
        <v>1.0609394720554599</v>
      </c>
      <c r="D3853">
        <v>0.96532707779929405</v>
      </c>
      <c r="E3853">
        <v>0.90740787024782299</v>
      </c>
      <c r="F3853">
        <v>0.54153506611447799</v>
      </c>
      <c r="G3853">
        <v>0.26808032439620999</v>
      </c>
      <c r="H3853">
        <v>0.228739942004727</v>
      </c>
      <c r="I3853">
        <v>0.196849502266365</v>
      </c>
      <c r="J3853">
        <v>0.215315093932339</v>
      </c>
      <c r="K3853">
        <v>0.162270930932888</v>
      </c>
      <c r="L3853">
        <v>1849.5500516101699</v>
      </c>
      <c r="M3853">
        <v>35.137856592309397</v>
      </c>
      <c r="N3853">
        <v>53.420079844246601</v>
      </c>
      <c r="O3853">
        <v>52.467348262595202</v>
      </c>
      <c r="P3853">
        <v>-0.13372769580882199</v>
      </c>
      <c r="Q3853">
        <v>0.201281592735715</v>
      </c>
      <c r="R3853">
        <v>0.99441044651194199</v>
      </c>
      <c r="S3853" t="s">
        <v>10164</v>
      </c>
      <c r="T3853" t="s">
        <v>12620</v>
      </c>
      <c r="U3853" t="s">
        <v>12620</v>
      </c>
      <c r="V3853" t="s">
        <v>12620</v>
      </c>
      <c r="W3853" t="s">
        <v>16423</v>
      </c>
      <c r="X3853">
        <v>20</v>
      </c>
      <c r="Y3853" t="s">
        <v>22548</v>
      </c>
      <c r="Z3853" t="s">
        <v>28800</v>
      </c>
      <c r="AA3853">
        <v>0.5414922384712948</v>
      </c>
      <c r="AB3853" t="str">
        <f>HYPERLINK("Melting_Curves/meltCurve_Q7Z478_DHX29.pdf", "Melting_Curves/meltCurve_Q7Z478_DHX29.pdf")</f>
        <v>Melting_Curves/meltCurve_Q7Z478_DHX29.pdf</v>
      </c>
    </row>
    <row r="3854" spans="1:28" x14ac:dyDescent="0.25">
      <c r="A3854" t="s">
        <v>3858</v>
      </c>
      <c r="B3854">
        <v>0.99987803227770999</v>
      </c>
      <c r="C3854">
        <v>1.01947743575539</v>
      </c>
      <c r="D3854">
        <v>1.01807272236567</v>
      </c>
      <c r="E3854">
        <v>1.09498439390456</v>
      </c>
      <c r="F3854">
        <v>1.00667269378907</v>
      </c>
      <c r="G3854">
        <v>0.76624242073480198</v>
      </c>
      <c r="H3854">
        <v>0.46058140371808198</v>
      </c>
      <c r="I3854">
        <v>0.36313296454949301</v>
      </c>
      <c r="J3854">
        <v>0.27188466411861301</v>
      </c>
      <c r="K3854">
        <v>0.17803493488617</v>
      </c>
      <c r="L3854">
        <v>1447.9384368138301</v>
      </c>
      <c r="M3854">
        <v>24.369089184426699</v>
      </c>
      <c r="N3854">
        <v>60.7053992511443</v>
      </c>
      <c r="O3854">
        <v>59.021212412040299</v>
      </c>
      <c r="P3854">
        <v>-8.2381817009186203E-2</v>
      </c>
      <c r="Q3854">
        <v>0.20190632053864199</v>
      </c>
      <c r="R3854">
        <v>0.98410312126768595</v>
      </c>
      <c r="S3854" t="s">
        <v>10165</v>
      </c>
      <c r="T3854" t="s">
        <v>12620</v>
      </c>
      <c r="U3854" t="s">
        <v>12620</v>
      </c>
      <c r="V3854" t="s">
        <v>12620</v>
      </c>
      <c r="W3854" t="s">
        <v>16424</v>
      </c>
      <c r="X3854">
        <v>2</v>
      </c>
      <c r="Y3854" t="s">
        <v>22549</v>
      </c>
      <c r="Z3854" t="s">
        <v>28801</v>
      </c>
      <c r="AA3854">
        <v>0.72494171332386836</v>
      </c>
      <c r="AB3854" t="str">
        <f>HYPERLINK("Melting_Curves/meltCurve_Q7Z4G1_COMMD6.pdf", "Melting_Curves/meltCurve_Q7Z4G1_COMMD6.pdf")</f>
        <v>Melting_Curves/meltCurve_Q7Z4G1_COMMD6.pdf</v>
      </c>
    </row>
    <row r="3855" spans="1:28" x14ac:dyDescent="0.25">
      <c r="A3855" t="s">
        <v>3859</v>
      </c>
      <c r="B3855">
        <v>0.99987803227770999</v>
      </c>
      <c r="C3855">
        <v>1.19690487762607</v>
      </c>
      <c r="D3855">
        <v>0.946803856914605</v>
      </c>
      <c r="E3855">
        <v>1.11142225934179</v>
      </c>
      <c r="F3855">
        <v>0.76752699010784298</v>
      </c>
      <c r="G3855">
        <v>0.29234619791243299</v>
      </c>
      <c r="H3855">
        <v>0.12543090262405299</v>
      </c>
      <c r="I3855">
        <v>9.8120282184930199E-2</v>
      </c>
      <c r="J3855">
        <v>5.8146308300621202E-2</v>
      </c>
      <c r="K3855">
        <v>4.6120337197944401E-2</v>
      </c>
      <c r="L3855">
        <v>1934.47389632608</v>
      </c>
      <c r="M3855">
        <v>35.171848805571898</v>
      </c>
      <c r="N3855">
        <v>55.250056850200401</v>
      </c>
      <c r="O3855">
        <v>54.823741102002998</v>
      </c>
      <c r="P3855">
        <v>-0.14861274979354</v>
      </c>
      <c r="Q3855">
        <v>7.3409106461217302E-2</v>
      </c>
      <c r="R3855">
        <v>0.96925481350786502</v>
      </c>
      <c r="S3855" t="s">
        <v>10166</v>
      </c>
      <c r="T3855" t="s">
        <v>12620</v>
      </c>
      <c r="U3855" t="s">
        <v>12620</v>
      </c>
      <c r="V3855" t="s">
        <v>12620</v>
      </c>
      <c r="W3855" t="s">
        <v>16425</v>
      </c>
      <c r="X3855">
        <v>5</v>
      </c>
      <c r="Y3855" t="s">
        <v>22550</v>
      </c>
      <c r="Z3855" t="s">
        <v>28802</v>
      </c>
      <c r="AA3855">
        <v>0.54124854313981952</v>
      </c>
      <c r="AB3855" t="str">
        <f>HYPERLINK("Melting_Curves/meltCurve_Q7Z4G4_2_TRMT11.pdf", "Melting_Curves/meltCurve_Q7Z4G4_2_TRMT11.pdf")</f>
        <v>Melting_Curves/meltCurve_Q7Z4G4_2_TRMT11.pdf</v>
      </c>
    </row>
    <row r="3856" spans="1:28" x14ac:dyDescent="0.25">
      <c r="A3856" t="s">
        <v>3860</v>
      </c>
      <c r="B3856">
        <v>0.99987803227770999</v>
      </c>
      <c r="C3856">
        <v>0.89224455589866103</v>
      </c>
      <c r="D3856">
        <v>1.03009553075464</v>
      </c>
      <c r="E3856">
        <v>0.871981276619891</v>
      </c>
      <c r="F3856">
        <v>0.99860607934481205</v>
      </c>
      <c r="G3856">
        <v>0.75811809361195404</v>
      </c>
      <c r="H3856">
        <v>0.54779442915703103</v>
      </c>
      <c r="I3856">
        <v>0.34709433657722699</v>
      </c>
      <c r="J3856">
        <v>0.206364272408886</v>
      </c>
      <c r="K3856">
        <v>0.14517945709469199</v>
      </c>
      <c r="L3856">
        <v>990.94862430511796</v>
      </c>
      <c r="M3856">
        <v>16.1439919806962</v>
      </c>
      <c r="N3856">
        <v>61.514128591652998</v>
      </c>
      <c r="O3856">
        <v>60.4632281239086</v>
      </c>
      <c r="P3856">
        <v>-6.5617598985956094E-2</v>
      </c>
      <c r="Q3856">
        <v>1.7058054897398901E-2</v>
      </c>
      <c r="R3856">
        <v>0.972325935010804</v>
      </c>
      <c r="S3856" t="s">
        <v>10167</v>
      </c>
      <c r="T3856" t="s">
        <v>12620</v>
      </c>
      <c r="U3856" t="s">
        <v>12620</v>
      </c>
      <c r="V3856" t="s">
        <v>12620</v>
      </c>
      <c r="W3856" t="s">
        <v>16426</v>
      </c>
      <c r="X3856">
        <v>7</v>
      </c>
      <c r="Y3856" t="s">
        <v>22551</v>
      </c>
      <c r="Z3856" t="s">
        <v>28803</v>
      </c>
      <c r="AA3856">
        <v>0.71977893409171645</v>
      </c>
      <c r="AB3856" t="str">
        <f>HYPERLINK("Melting_Curves/meltCurve_Q7Z4H3_HDDC2.pdf", "Melting_Curves/meltCurve_Q7Z4H3_HDDC2.pdf")</f>
        <v>Melting_Curves/meltCurve_Q7Z4H3_HDDC2.pdf</v>
      </c>
    </row>
    <row r="3857" spans="1:28" x14ac:dyDescent="0.25">
      <c r="A3857" t="s">
        <v>3861</v>
      </c>
      <c r="B3857">
        <v>0.99987803227770999</v>
      </c>
      <c r="C3857">
        <v>0.95903876812245903</v>
      </c>
      <c r="D3857">
        <v>0.85414605746660299</v>
      </c>
      <c r="E3857">
        <v>0.68076811078177102</v>
      </c>
      <c r="F3857">
        <v>0.68098406088785302</v>
      </c>
      <c r="G3857">
        <v>0.56708182751321601</v>
      </c>
      <c r="H3857">
        <v>0.54327479693995195</v>
      </c>
      <c r="I3857">
        <v>0.54744653176895797</v>
      </c>
      <c r="J3857">
        <v>0.48550760200517001</v>
      </c>
      <c r="K3857">
        <v>0.40598439409773202</v>
      </c>
      <c r="L3857">
        <v>539.34812627879899</v>
      </c>
      <c r="M3857">
        <v>10.661249754923301</v>
      </c>
      <c r="N3857">
        <v>63.462549537436601</v>
      </c>
      <c r="O3857">
        <v>48.907072378197299</v>
      </c>
      <c r="P3857">
        <v>-3.0394716029409099E-2</v>
      </c>
      <c r="Q3857">
        <v>0.44248520440271799</v>
      </c>
      <c r="R3857">
        <v>0.964358451478875</v>
      </c>
      <c r="S3857" t="s">
        <v>10168</v>
      </c>
      <c r="T3857" t="s">
        <v>12620</v>
      </c>
      <c r="U3857" t="s">
        <v>12620</v>
      </c>
      <c r="V3857" t="s">
        <v>12620</v>
      </c>
      <c r="W3857" t="s">
        <v>16427</v>
      </c>
      <c r="X3857">
        <v>23</v>
      </c>
      <c r="Y3857" t="s">
        <v>22552</v>
      </c>
      <c r="Z3857" t="s">
        <v>28804</v>
      </c>
      <c r="AA3857">
        <v>0.66133695313630336</v>
      </c>
      <c r="AB3857" t="str">
        <f>HYPERLINK("Melting_Curves/meltCurve_Q7Z4H7_HAUS6.pdf", "Melting_Curves/meltCurve_Q7Z4H7_HAUS6.pdf")</f>
        <v>Melting_Curves/meltCurve_Q7Z4H7_HAUS6.pdf</v>
      </c>
    </row>
    <row r="3858" spans="1:28" x14ac:dyDescent="0.25">
      <c r="A3858" t="s">
        <v>3862</v>
      </c>
      <c r="B3858">
        <v>0.99987803227770999</v>
      </c>
      <c r="C3858">
        <v>0.68959113662455096</v>
      </c>
      <c r="D3858">
        <v>0.81510606122380103</v>
      </c>
      <c r="E3858">
        <v>0.87721455918442903</v>
      </c>
      <c r="F3858">
        <v>0.34890786343334401</v>
      </c>
      <c r="G3858">
        <v>0.16250331051054701</v>
      </c>
      <c r="H3858">
        <v>0.113998537465241</v>
      </c>
      <c r="I3858">
        <v>0.11197178438267499</v>
      </c>
      <c r="J3858">
        <v>7.3058586159275102E-2</v>
      </c>
      <c r="K3858">
        <v>5.4049597455972098E-2</v>
      </c>
      <c r="S3858" t="s">
        <v>10169</v>
      </c>
      <c r="T3858" t="s">
        <v>12620</v>
      </c>
      <c r="U3858" t="s">
        <v>12621</v>
      </c>
      <c r="V3858" t="s">
        <v>12620</v>
      </c>
      <c r="W3858" t="s">
        <v>16428</v>
      </c>
      <c r="X3858">
        <v>11</v>
      </c>
      <c r="Y3858" t="s">
        <v>22553</v>
      </c>
      <c r="Z3858" t="s">
        <v>28805</v>
      </c>
      <c r="AB3858" t="str">
        <f>HYPERLINK("Melting_Curves/meltCurve_Q7Z4H8_KDELC2.pdf", "Melting_Curves/meltCurve_Q7Z4H8_KDELC2.pdf")</f>
        <v>Melting_Curves/meltCurve_Q7Z4H8_KDELC2.pdf</v>
      </c>
    </row>
    <row r="3859" spans="1:28" x14ac:dyDescent="0.25">
      <c r="A3859" t="s">
        <v>3863</v>
      </c>
      <c r="B3859">
        <v>0.99987803227770999</v>
      </c>
      <c r="C3859">
        <v>1.0632731234780799</v>
      </c>
      <c r="D3859">
        <v>1.15791276171552</v>
      </c>
      <c r="E3859">
        <v>0.89696048598938505</v>
      </c>
      <c r="F3859">
        <v>1.0363195906437299</v>
      </c>
      <c r="G3859">
        <v>0.59570234408956702</v>
      </c>
      <c r="H3859">
        <v>0.35890205929427499</v>
      </c>
      <c r="I3859">
        <v>0.25509425050103501</v>
      </c>
      <c r="J3859">
        <v>0.18227041377339401</v>
      </c>
      <c r="K3859">
        <v>0.15728663124009501</v>
      </c>
      <c r="L3859">
        <v>1612.6172048517501</v>
      </c>
      <c r="M3859">
        <v>28.004285007707601</v>
      </c>
      <c r="N3859">
        <v>58.519052309657098</v>
      </c>
      <c r="O3859">
        <v>57.293421839217601</v>
      </c>
      <c r="P3859">
        <v>-0.100168499390501</v>
      </c>
      <c r="Q3859">
        <v>0.18027588021733501</v>
      </c>
      <c r="R3859">
        <v>0.96296776650682203</v>
      </c>
      <c r="S3859" t="s">
        <v>10170</v>
      </c>
      <c r="T3859" t="s">
        <v>12620</v>
      </c>
      <c r="U3859" t="s">
        <v>12620</v>
      </c>
      <c r="V3859" t="s">
        <v>12620</v>
      </c>
      <c r="W3859" t="s">
        <v>16429</v>
      </c>
      <c r="X3859">
        <v>10</v>
      </c>
      <c r="Y3859" t="s">
        <v>22554</v>
      </c>
      <c r="Z3859" t="s">
        <v>28806</v>
      </c>
      <c r="AA3859">
        <v>0.66684916506377945</v>
      </c>
      <c r="AB3859" t="str">
        <f>HYPERLINK("Melting_Curves/meltCurve_Q7Z4I7_3_LIMS2.pdf", "Melting_Curves/meltCurve_Q7Z4I7_3_LIMS2.pdf")</f>
        <v>Melting_Curves/meltCurve_Q7Z4I7_3_LIMS2.pdf</v>
      </c>
    </row>
    <row r="3860" spans="1:28" x14ac:dyDescent="0.25">
      <c r="A3860" t="s">
        <v>3864</v>
      </c>
      <c r="B3860">
        <v>0.99987803227770999</v>
      </c>
      <c r="C3860">
        <v>1.1608475295429099</v>
      </c>
      <c r="D3860">
        <v>0.93372144911878896</v>
      </c>
      <c r="E3860">
        <v>0.84096967050180005</v>
      </c>
      <c r="F3860">
        <v>0.241601897571599</v>
      </c>
      <c r="G3860">
        <v>0.183803526129481</v>
      </c>
      <c r="H3860">
        <v>0.11438781299765401</v>
      </c>
      <c r="I3860">
        <v>9.50336948512608E-2</v>
      </c>
      <c r="J3860">
        <v>8.1678085349451507E-2</v>
      </c>
      <c r="K3860">
        <v>6.1002071930311298E-2</v>
      </c>
      <c r="L3860">
        <v>2786.1110467541998</v>
      </c>
      <c r="M3860">
        <v>54.225189521173697</v>
      </c>
      <c r="N3860">
        <v>51.605204812954703</v>
      </c>
      <c r="O3860">
        <v>51.310647927444897</v>
      </c>
      <c r="P3860">
        <v>-0.23640491912654599</v>
      </c>
      <c r="Q3860">
        <v>0.105206888911451</v>
      </c>
      <c r="R3860">
        <v>0.97903957630157401</v>
      </c>
      <c r="S3860" t="s">
        <v>10171</v>
      </c>
      <c r="T3860" t="s">
        <v>12620</v>
      </c>
      <c r="U3860" t="s">
        <v>12620</v>
      </c>
      <c r="V3860" t="s">
        <v>12620</v>
      </c>
      <c r="W3860" t="s">
        <v>16430</v>
      </c>
      <c r="X3860">
        <v>14</v>
      </c>
      <c r="Y3860" t="s">
        <v>22555</v>
      </c>
      <c r="Z3860" t="s">
        <v>28807</v>
      </c>
      <c r="AA3860">
        <v>0.44636595468547691</v>
      </c>
      <c r="AB3860" t="str">
        <f>HYPERLINK("Melting_Curves/meltCurve_Q7Z4Q2_HEATR3.pdf", "Melting_Curves/meltCurve_Q7Z4Q2_HEATR3.pdf")</f>
        <v>Melting_Curves/meltCurve_Q7Z4Q2_HEATR3.pdf</v>
      </c>
    </row>
    <row r="3861" spans="1:28" x14ac:dyDescent="0.25">
      <c r="A3861" t="s">
        <v>3865</v>
      </c>
      <c r="B3861">
        <v>0.99987803227770999</v>
      </c>
      <c r="C3861">
        <v>0.97443944083141598</v>
      </c>
      <c r="D3861">
        <v>0.67037567177034496</v>
      </c>
      <c r="E3861">
        <v>0.56288454199013804</v>
      </c>
      <c r="F3861">
        <v>0.44943929763954499</v>
      </c>
      <c r="G3861">
        <v>0.35309212760387299</v>
      </c>
      <c r="H3861">
        <v>0.26262442698960298</v>
      </c>
      <c r="I3861">
        <v>0.176026460285096</v>
      </c>
      <c r="J3861">
        <v>0.113309746127217</v>
      </c>
      <c r="K3861">
        <v>8.4561745237628896E-2</v>
      </c>
      <c r="L3861">
        <v>489.07612150630501</v>
      </c>
      <c r="M3861">
        <v>9.4951107052479795</v>
      </c>
      <c r="N3861">
        <v>51.966599820267398</v>
      </c>
      <c r="O3861">
        <v>49.378731048407701</v>
      </c>
      <c r="P3861">
        <v>-4.6169118153898597E-2</v>
      </c>
      <c r="Q3861">
        <v>4.0170400179469601E-2</v>
      </c>
      <c r="R3861">
        <v>0.97213719498010598</v>
      </c>
      <c r="S3861" t="s">
        <v>10172</v>
      </c>
      <c r="T3861" t="s">
        <v>12620</v>
      </c>
      <c r="U3861" t="s">
        <v>12620</v>
      </c>
      <c r="V3861" t="s">
        <v>12620</v>
      </c>
      <c r="W3861" t="s">
        <v>16431</v>
      </c>
      <c r="X3861">
        <v>16</v>
      </c>
      <c r="Y3861" t="s">
        <v>19495</v>
      </c>
      <c r="Z3861" t="s">
        <v>28808</v>
      </c>
      <c r="AA3861">
        <v>0.44883767192084328</v>
      </c>
      <c r="AB3861" t="str">
        <f>HYPERLINK("Melting_Curves/meltCurve_Q7Z4S6_5_KIF21A.pdf", "Melting_Curves/meltCurve_Q7Z4S6_5_KIF21A.pdf")</f>
        <v>Melting_Curves/meltCurve_Q7Z4S6_5_KIF21A.pdf</v>
      </c>
    </row>
    <row r="3862" spans="1:28" x14ac:dyDescent="0.25">
      <c r="A3862" t="s">
        <v>3866</v>
      </c>
      <c r="B3862">
        <v>0.99987803227770999</v>
      </c>
      <c r="C3862">
        <v>1.03745841545799</v>
      </c>
      <c r="D3862">
        <v>1.07808635954259</v>
      </c>
      <c r="E3862">
        <v>1.0964510677838299</v>
      </c>
      <c r="F3862">
        <v>1.0991015828308699</v>
      </c>
      <c r="G3862">
        <v>1.0733509516786499</v>
      </c>
      <c r="H3862">
        <v>1.18002512090517</v>
      </c>
      <c r="I3862">
        <v>1.18499689633579</v>
      </c>
      <c r="J3862">
        <v>1.2021518221569401</v>
      </c>
      <c r="K3862">
        <v>0.88536848753127295</v>
      </c>
      <c r="L3862">
        <v>1168.53816198452</v>
      </c>
      <c r="M3862">
        <v>26.535168207895801</v>
      </c>
      <c r="O3862">
        <v>43.7895100017776</v>
      </c>
      <c r="P3862">
        <v>1.57453580242304E-2</v>
      </c>
      <c r="Q3862">
        <v>1.1039336450272801</v>
      </c>
      <c r="R3862">
        <v>0.14303195987329101</v>
      </c>
      <c r="S3862" t="s">
        <v>10173</v>
      </c>
      <c r="T3862" t="s">
        <v>12620</v>
      </c>
      <c r="U3862" t="s">
        <v>12620</v>
      </c>
      <c r="V3862" t="s">
        <v>12620</v>
      </c>
      <c r="W3862" t="s">
        <v>16432</v>
      </c>
      <c r="X3862">
        <v>17</v>
      </c>
      <c r="Y3862" t="s">
        <v>22556</v>
      </c>
      <c r="Z3862" t="s">
        <v>28809</v>
      </c>
      <c r="AA3862">
        <v>1.0889246871257481</v>
      </c>
      <c r="AB3862" t="str">
        <f>HYPERLINK("Melting_Curves/meltCurve_Q7Z4V5_HDGFRP2.pdf", "Melting_Curves/meltCurve_Q7Z4V5_HDGFRP2.pdf")</f>
        <v>Melting_Curves/meltCurve_Q7Z4V5_HDGFRP2.pdf</v>
      </c>
    </row>
    <row r="3863" spans="1:28" x14ac:dyDescent="0.25">
      <c r="A3863" t="s">
        <v>3867</v>
      </c>
      <c r="B3863">
        <v>0.99987803227770999</v>
      </c>
      <c r="C3863">
        <v>1.0215042698807899</v>
      </c>
      <c r="D3863">
        <v>1.14505280293634</v>
      </c>
      <c r="E3863">
        <v>0.93764179556459304</v>
      </c>
      <c r="F3863">
        <v>0.71910042536958296</v>
      </c>
      <c r="G3863">
        <v>0.25969181452898799</v>
      </c>
      <c r="H3863">
        <v>0.22080438421356899</v>
      </c>
      <c r="I3863">
        <v>0.22053850454767099</v>
      </c>
      <c r="J3863">
        <v>0.21593232351637501</v>
      </c>
      <c r="K3863">
        <v>0.16466376777268699</v>
      </c>
      <c r="L3863">
        <v>2203.96732292864</v>
      </c>
      <c r="M3863">
        <v>41.014823695229197</v>
      </c>
      <c r="N3863">
        <v>54.420049866991299</v>
      </c>
      <c r="O3863">
        <v>53.608608109269198</v>
      </c>
      <c r="P3863">
        <v>-0.15274024555207399</v>
      </c>
      <c r="Q3863">
        <v>0.20144230964364301</v>
      </c>
      <c r="R3863">
        <v>0.98355874319707304</v>
      </c>
      <c r="S3863" t="s">
        <v>10174</v>
      </c>
      <c r="T3863" t="s">
        <v>12620</v>
      </c>
      <c r="U3863" t="s">
        <v>12620</v>
      </c>
      <c r="V3863" t="s">
        <v>12620</v>
      </c>
      <c r="W3863" t="s">
        <v>16433</v>
      </c>
      <c r="X3863">
        <v>8</v>
      </c>
      <c r="Y3863" t="s">
        <v>22557</v>
      </c>
      <c r="Z3863" t="s">
        <v>28810</v>
      </c>
      <c r="AA3863">
        <v>0.56988802949280282</v>
      </c>
      <c r="AB3863" t="str">
        <f>HYPERLINK("Melting_Curves/meltCurve_Q7Z4W1_DCXR.pdf", "Melting_Curves/meltCurve_Q7Z4W1_DCXR.pdf")</f>
        <v>Melting_Curves/meltCurve_Q7Z4W1_DCXR.pdf</v>
      </c>
    </row>
    <row r="3864" spans="1:28" x14ac:dyDescent="0.25">
      <c r="A3864" t="s">
        <v>3868</v>
      </c>
      <c r="B3864">
        <v>0.99987803227770999</v>
      </c>
      <c r="C3864">
        <v>0.88060575886488501</v>
      </c>
      <c r="D3864">
        <v>1.0323470259329399</v>
      </c>
      <c r="E3864">
        <v>0.79604977717126302</v>
      </c>
      <c r="F3864">
        <v>0.92134959137514605</v>
      </c>
      <c r="G3864">
        <v>0.73391924413941101</v>
      </c>
      <c r="H3864">
        <v>0.80273626843613599</v>
      </c>
      <c r="I3864">
        <v>0.71220886295873498</v>
      </c>
      <c r="J3864">
        <v>0.79501049885388497</v>
      </c>
      <c r="K3864">
        <v>0.69027658624451105</v>
      </c>
      <c r="L3864">
        <v>451.94726932181698</v>
      </c>
      <c r="M3864">
        <v>8.5615009350498301</v>
      </c>
      <c r="O3864">
        <v>50.144939490224502</v>
      </c>
      <c r="P3864">
        <v>-1.32012711723399E-2</v>
      </c>
      <c r="Q3864">
        <v>0.69099025673832903</v>
      </c>
      <c r="R3864">
        <v>0.66474713398782503</v>
      </c>
      <c r="S3864" t="s">
        <v>10175</v>
      </c>
      <c r="T3864" t="s">
        <v>12620</v>
      </c>
      <c r="U3864" t="s">
        <v>12620</v>
      </c>
      <c r="V3864" t="s">
        <v>12620</v>
      </c>
      <c r="W3864" t="s">
        <v>16434</v>
      </c>
      <c r="X3864">
        <v>9</v>
      </c>
      <c r="Y3864" t="s">
        <v>22558</v>
      </c>
      <c r="Z3864" t="s">
        <v>28811</v>
      </c>
      <c r="AA3864">
        <v>0.83507928087011074</v>
      </c>
      <c r="AB3864" t="str">
        <f>HYPERLINK("Melting_Curves/meltCurve_Q7Z589_EMSY.pdf", "Melting_Curves/meltCurve_Q7Z589_EMSY.pdf")</f>
        <v>Melting_Curves/meltCurve_Q7Z589_EMSY.pdf</v>
      </c>
    </row>
    <row r="3865" spans="1:28" x14ac:dyDescent="0.25">
      <c r="A3865" t="s">
        <v>3869</v>
      </c>
      <c r="B3865">
        <v>0.99987803227770999</v>
      </c>
      <c r="C3865">
        <v>0.92587044647678596</v>
      </c>
      <c r="D3865">
        <v>0.92842801586210999</v>
      </c>
      <c r="E3865">
        <v>0.92577571089734001</v>
      </c>
      <c r="F3865">
        <v>1.0092166467214601</v>
      </c>
      <c r="G3865">
        <v>0.87255296494592804</v>
      </c>
      <c r="H3865">
        <v>0.87153300434673797</v>
      </c>
      <c r="I3865">
        <v>0.82956155176090995</v>
      </c>
      <c r="J3865">
        <v>0.79893916764583195</v>
      </c>
      <c r="K3865">
        <v>0.63678946995143204</v>
      </c>
      <c r="L3865">
        <v>467.196717077622</v>
      </c>
      <c r="M3865">
        <v>5.8701413409378</v>
      </c>
      <c r="Q3865">
        <v>0</v>
      </c>
      <c r="R3865">
        <v>0.80336866245244398</v>
      </c>
      <c r="S3865" t="s">
        <v>10176</v>
      </c>
      <c r="T3865" t="s">
        <v>12620</v>
      </c>
      <c r="U3865" t="s">
        <v>12620</v>
      </c>
      <c r="V3865" t="s">
        <v>12620</v>
      </c>
      <c r="W3865" t="s">
        <v>16435</v>
      </c>
      <c r="X3865">
        <v>11</v>
      </c>
      <c r="Y3865" t="s">
        <v>22559</v>
      </c>
      <c r="Z3865" t="s">
        <v>28812</v>
      </c>
      <c r="AA3865">
        <v>0.90067881690048934</v>
      </c>
      <c r="AB3865" t="str">
        <f>HYPERLINK("Melting_Curves/meltCurve_Q7Z5K2_WAPAL.pdf", "Melting_Curves/meltCurve_Q7Z5K2_WAPAL.pdf")</f>
        <v>Melting_Curves/meltCurve_Q7Z5K2_WAPAL.pdf</v>
      </c>
    </row>
    <row r="3866" spans="1:28" x14ac:dyDescent="0.25">
      <c r="A3866" t="s">
        <v>3870</v>
      </c>
      <c r="B3866">
        <v>0.99987803227770999</v>
      </c>
      <c r="C3866">
        <v>0.922737165070875</v>
      </c>
      <c r="D3866">
        <v>1.1682520218037999</v>
      </c>
      <c r="E3866">
        <v>0.865696696437118</v>
      </c>
      <c r="F3866">
        <v>0.88710641821564995</v>
      </c>
      <c r="G3866">
        <v>0.60263471807338198</v>
      </c>
      <c r="H3866">
        <v>0.62351049340706599</v>
      </c>
      <c r="I3866">
        <v>0.55251684877635099</v>
      </c>
      <c r="J3866">
        <v>0.51981814679332405</v>
      </c>
      <c r="K3866">
        <v>0.46281756464108997</v>
      </c>
      <c r="L3866">
        <v>1123.39827160043</v>
      </c>
      <c r="M3866">
        <v>20.4805273564223</v>
      </c>
      <c r="O3866">
        <v>54.337100564041599</v>
      </c>
      <c r="P3866">
        <v>-4.6585561315367903E-2</v>
      </c>
      <c r="Q3866">
        <v>0.50562809743802395</v>
      </c>
      <c r="R3866">
        <v>0.891203134844609</v>
      </c>
      <c r="S3866" t="s">
        <v>10177</v>
      </c>
      <c r="T3866" t="s">
        <v>12620</v>
      </c>
      <c r="U3866" t="s">
        <v>12620</v>
      </c>
      <c r="V3866" t="s">
        <v>12620</v>
      </c>
      <c r="W3866" t="s">
        <v>16436</v>
      </c>
      <c r="X3866">
        <v>9</v>
      </c>
      <c r="Y3866" t="s">
        <v>22560</v>
      </c>
      <c r="Z3866" t="s">
        <v>28813</v>
      </c>
      <c r="AA3866">
        <v>0.75674666538172952</v>
      </c>
      <c r="AB3866" t="str">
        <f>HYPERLINK("Melting_Curves/meltCurve_Q7Z5L2_2_R3HCC1L.pdf", "Melting_Curves/meltCurve_Q7Z5L2_2_R3HCC1L.pdf")</f>
        <v>Melting_Curves/meltCurve_Q7Z5L2_2_R3HCC1L.pdf</v>
      </c>
    </row>
    <row r="3867" spans="1:28" x14ac:dyDescent="0.25">
      <c r="A3867" t="s">
        <v>3871</v>
      </c>
      <c r="B3867">
        <v>0.99987803227770999</v>
      </c>
      <c r="C3867">
        <v>0.87434104380334698</v>
      </c>
      <c r="D3867">
        <v>0.97818558733512595</v>
      </c>
      <c r="E3867">
        <v>0.81084241550779301</v>
      </c>
      <c r="F3867">
        <v>0.90893057243726805</v>
      </c>
      <c r="G3867">
        <v>0.76150703897402805</v>
      </c>
      <c r="H3867">
        <v>0.66521519341578905</v>
      </c>
      <c r="I3867">
        <v>0.65978609356468298</v>
      </c>
      <c r="J3867">
        <v>0.56005495117413695</v>
      </c>
      <c r="K3867">
        <v>0.43931036820133901</v>
      </c>
      <c r="L3867">
        <v>374.50120466053397</v>
      </c>
      <c r="M3867">
        <v>5.3975990780077403</v>
      </c>
      <c r="N3867">
        <v>69.382925105503105</v>
      </c>
      <c r="O3867">
        <v>61.5874962475609</v>
      </c>
      <c r="P3867">
        <v>-2.2013343810970601E-2</v>
      </c>
      <c r="Q3867">
        <v>0</v>
      </c>
      <c r="R3867">
        <v>0.914585756252138</v>
      </c>
      <c r="S3867" t="s">
        <v>10178</v>
      </c>
      <c r="T3867" t="s">
        <v>12620</v>
      </c>
      <c r="U3867" t="s">
        <v>12620</v>
      </c>
      <c r="V3867" t="s">
        <v>12620</v>
      </c>
      <c r="W3867" t="s">
        <v>16437</v>
      </c>
      <c r="X3867">
        <v>19</v>
      </c>
      <c r="Y3867" t="s">
        <v>22561</v>
      </c>
      <c r="Z3867" t="s">
        <v>28814</v>
      </c>
      <c r="AA3867">
        <v>0.77891400698792568</v>
      </c>
      <c r="AB3867" t="str">
        <f>HYPERLINK("Melting_Curves/meltCurve_Q7Z5L9_IRF2BP2.pdf", "Melting_Curves/meltCurve_Q7Z5L9_IRF2BP2.pdf")</f>
        <v>Melting_Curves/meltCurve_Q7Z5L9_IRF2BP2.pdf</v>
      </c>
    </row>
    <row r="3868" spans="1:28" x14ac:dyDescent="0.25">
      <c r="A3868" t="s">
        <v>3872</v>
      </c>
      <c r="B3868">
        <v>0.99987803227770999</v>
      </c>
      <c r="C3868">
        <v>1.04628471833326</v>
      </c>
      <c r="D3868">
        <v>1.11604980791292</v>
      </c>
      <c r="E3868">
        <v>1.0189703479140499</v>
      </c>
      <c r="F3868">
        <v>0.77919373201089104</v>
      </c>
      <c r="G3868">
        <v>0.622233188137154</v>
      </c>
      <c r="H3868">
        <v>0.43328840099112298</v>
      </c>
      <c r="I3868">
        <v>0.51277938248166099</v>
      </c>
      <c r="J3868">
        <v>0.25424481260295501</v>
      </c>
      <c r="K3868">
        <v>0.28219868087055699</v>
      </c>
      <c r="L3868">
        <v>976.81276002329002</v>
      </c>
      <c r="M3868">
        <v>17.146216763524102</v>
      </c>
      <c r="N3868">
        <v>59.799992025218799</v>
      </c>
      <c r="O3868">
        <v>56.211570948228001</v>
      </c>
      <c r="P3868">
        <v>-5.5067581920815199E-2</v>
      </c>
      <c r="Q3868">
        <v>0.27791613383350999</v>
      </c>
      <c r="R3868">
        <v>0.94305311164425398</v>
      </c>
      <c r="S3868" t="s">
        <v>10179</v>
      </c>
      <c r="T3868" t="s">
        <v>12620</v>
      </c>
      <c r="U3868" t="s">
        <v>12620</v>
      </c>
      <c r="V3868" t="s">
        <v>12620</v>
      </c>
      <c r="W3868" t="s">
        <v>16438</v>
      </c>
      <c r="X3868">
        <v>3</v>
      </c>
      <c r="Y3868" t="s">
        <v>22562</v>
      </c>
      <c r="Z3868" t="s">
        <v>28815</v>
      </c>
      <c r="AA3868">
        <v>0.69676095310844899</v>
      </c>
      <c r="AB3868" t="str">
        <f>HYPERLINK("Melting_Curves/meltCurve_Q7Z5Q1_5_CPEB2.pdf", "Melting_Curves/meltCurve_Q7Z5Q1_5_CPEB2.pdf")</f>
        <v>Melting_Curves/meltCurve_Q7Z5Q1_5_CPEB2.pdf</v>
      </c>
    </row>
    <row r="3869" spans="1:28" x14ac:dyDescent="0.25">
      <c r="A3869" t="s">
        <v>3873</v>
      </c>
      <c r="B3869">
        <v>0.99987803227770999</v>
      </c>
      <c r="C3869">
        <v>0.89369526330976601</v>
      </c>
      <c r="D3869">
        <v>0.94677395985579305</v>
      </c>
      <c r="E3869">
        <v>0.81262686216461799</v>
      </c>
      <c r="F3869">
        <v>0.60983405052584205</v>
      </c>
      <c r="G3869">
        <v>0.35087485513960898</v>
      </c>
      <c r="H3869">
        <v>0.215835143793802</v>
      </c>
      <c r="I3869">
        <v>0.21552916764906799</v>
      </c>
      <c r="J3869">
        <v>0.11706192067014599</v>
      </c>
      <c r="K3869">
        <v>8.1637776490015496E-2</v>
      </c>
      <c r="L3869">
        <v>781.02988727948298</v>
      </c>
      <c r="M3869">
        <v>14.406257092713</v>
      </c>
      <c r="N3869">
        <v>54.777359086779398</v>
      </c>
      <c r="O3869">
        <v>53.202107569041701</v>
      </c>
      <c r="P3869">
        <v>-6.3047110446342994E-2</v>
      </c>
      <c r="Q3869">
        <v>6.8781904219280196E-2</v>
      </c>
      <c r="R3869">
        <v>0.98972704824844904</v>
      </c>
      <c r="S3869" t="s">
        <v>10180</v>
      </c>
      <c r="T3869" t="s">
        <v>12620</v>
      </c>
      <c r="U3869" t="s">
        <v>12620</v>
      </c>
      <c r="V3869" t="s">
        <v>12620</v>
      </c>
      <c r="W3869" t="s">
        <v>16439</v>
      </c>
      <c r="X3869">
        <v>2</v>
      </c>
      <c r="Y3869" t="s">
        <v>22563</v>
      </c>
      <c r="Z3869" t="s">
        <v>28816</v>
      </c>
      <c r="AA3869">
        <v>0.52980999965889664</v>
      </c>
      <c r="AB3869" t="str">
        <f>HYPERLINK("Melting_Curves/meltCurve_Q7Z5R6_APBB1IP.pdf", "Melting_Curves/meltCurve_Q7Z5R6_APBB1IP.pdf")</f>
        <v>Melting_Curves/meltCurve_Q7Z5R6_APBB1IP.pdf</v>
      </c>
    </row>
    <row r="3870" spans="1:28" x14ac:dyDescent="0.25">
      <c r="A3870" t="s">
        <v>3874</v>
      </c>
      <c r="B3870">
        <v>0.99987803227770999</v>
      </c>
      <c r="C3870">
        <v>0.84291367376904502</v>
      </c>
      <c r="D3870">
        <v>0.83439770338666897</v>
      </c>
      <c r="E3870">
        <v>0.39310661716448603</v>
      </c>
      <c r="F3870">
        <v>0.21563369245917399</v>
      </c>
      <c r="G3870">
        <v>0.119008575959616</v>
      </c>
      <c r="H3870">
        <v>9.6130286882246493E-2</v>
      </c>
      <c r="I3870">
        <v>7.1555071437405304E-2</v>
      </c>
      <c r="J3870">
        <v>7.5543820739116099E-2</v>
      </c>
      <c r="K3870">
        <v>5.26450170444418E-2</v>
      </c>
      <c r="L3870">
        <v>956.93213469645298</v>
      </c>
      <c r="M3870">
        <v>19.6553516856588</v>
      </c>
      <c r="N3870">
        <v>49.0294512916999</v>
      </c>
      <c r="O3870">
        <v>48.190028738630303</v>
      </c>
      <c r="P3870">
        <v>-9.5405794619167997E-2</v>
      </c>
      <c r="Q3870">
        <v>6.4387634631646207E-2</v>
      </c>
      <c r="R3870">
        <v>0.98918845633374897</v>
      </c>
      <c r="S3870" t="s">
        <v>10181</v>
      </c>
      <c r="T3870" t="s">
        <v>12620</v>
      </c>
      <c r="U3870" t="s">
        <v>12620</v>
      </c>
      <c r="V3870" t="s">
        <v>12620</v>
      </c>
      <c r="W3870" t="s">
        <v>16440</v>
      </c>
      <c r="X3870">
        <v>2</v>
      </c>
      <c r="Y3870" t="s">
        <v>22564</v>
      </c>
      <c r="Z3870" t="s">
        <v>28817</v>
      </c>
      <c r="AA3870">
        <v>0.34889423121177809</v>
      </c>
      <c r="AB3870" t="str">
        <f>HYPERLINK("Melting_Curves/meltCurve_Q7Z624_CAMKMT.pdf", "Melting_Curves/meltCurve_Q7Z624_CAMKMT.pdf")</f>
        <v>Melting_Curves/meltCurve_Q7Z624_CAMKMT.pdf</v>
      </c>
    </row>
    <row r="3871" spans="1:28" x14ac:dyDescent="0.25">
      <c r="A3871" t="s">
        <v>3875</v>
      </c>
      <c r="B3871">
        <v>0.99987803227770999</v>
      </c>
      <c r="C3871">
        <v>1.1330060462909799</v>
      </c>
      <c r="D3871">
        <v>1.0035527349089</v>
      </c>
      <c r="E3871">
        <v>1.1614013825196801</v>
      </c>
      <c r="F3871">
        <v>1.1723263894632201</v>
      </c>
      <c r="G3871">
        <v>0.68803205945439305</v>
      </c>
      <c r="H3871">
        <v>0.92374017151495202</v>
      </c>
      <c r="I3871">
        <v>0.91847223859504701</v>
      </c>
      <c r="J3871">
        <v>1.16286668419685</v>
      </c>
      <c r="K3871">
        <v>0.91507447395813801</v>
      </c>
      <c r="S3871" t="s">
        <v>10182</v>
      </c>
      <c r="T3871" t="s">
        <v>12620</v>
      </c>
      <c r="U3871" t="s">
        <v>12621</v>
      </c>
      <c r="V3871" t="s">
        <v>12620</v>
      </c>
      <c r="W3871" t="s">
        <v>16441</v>
      </c>
      <c r="X3871">
        <v>20</v>
      </c>
      <c r="Y3871" t="s">
        <v>22565</v>
      </c>
      <c r="Z3871" t="s">
        <v>28818</v>
      </c>
      <c r="AB3871" t="str">
        <f>HYPERLINK("Melting_Curves/meltCurve_Q7Z6B0_2_CCDC91.pdf", "Melting_Curves/meltCurve_Q7Z6B0_2_CCDC91.pdf")</f>
        <v>Melting_Curves/meltCurve_Q7Z6B0_2_CCDC91.pdf</v>
      </c>
    </row>
    <row r="3872" spans="1:28" x14ac:dyDescent="0.25">
      <c r="A3872" t="s">
        <v>3876</v>
      </c>
      <c r="B3872">
        <v>0.99987803227770999</v>
      </c>
      <c r="C3872">
        <v>1.0199067604579</v>
      </c>
      <c r="D3872">
        <v>0.94969238961204505</v>
      </c>
      <c r="E3872">
        <v>1.0091808547342001</v>
      </c>
      <c r="F3872">
        <v>0.76782815495085299</v>
      </c>
      <c r="G3872">
        <v>0.38023140539130901</v>
      </c>
      <c r="H3872">
        <v>0.32106576236173701</v>
      </c>
      <c r="I3872">
        <v>0.29577560649447199</v>
      </c>
      <c r="J3872">
        <v>0.27974029602517098</v>
      </c>
      <c r="K3872">
        <v>0.22140777757584401</v>
      </c>
      <c r="L3872">
        <v>1979.3919544754001</v>
      </c>
      <c r="M3872">
        <v>36.519497254459203</v>
      </c>
      <c r="N3872">
        <v>55.4145930830678</v>
      </c>
      <c r="O3872">
        <v>54.039214682064099</v>
      </c>
      <c r="P3872">
        <v>-0.12243898049971</v>
      </c>
      <c r="Q3872">
        <v>0.27529274585645602</v>
      </c>
      <c r="R3872">
        <v>0.99185828058523196</v>
      </c>
      <c r="S3872" t="s">
        <v>10183</v>
      </c>
      <c r="T3872" t="s">
        <v>12620</v>
      </c>
      <c r="U3872" t="s">
        <v>12620</v>
      </c>
      <c r="V3872" t="s">
        <v>12620</v>
      </c>
      <c r="W3872" t="s">
        <v>16442</v>
      </c>
      <c r="X3872">
        <v>25</v>
      </c>
      <c r="Y3872" t="s">
        <v>22566</v>
      </c>
      <c r="Z3872" t="s">
        <v>28819</v>
      </c>
      <c r="AA3872">
        <v>0.62159127856519447</v>
      </c>
      <c r="AB3872" t="str">
        <f>HYPERLINK("Melting_Curves/meltCurve_Q7Z6B7_SRGAP1.pdf", "Melting_Curves/meltCurve_Q7Z6B7_SRGAP1.pdf")</f>
        <v>Melting_Curves/meltCurve_Q7Z6B7_SRGAP1.pdf</v>
      </c>
    </row>
    <row r="3873" spans="1:28" x14ac:dyDescent="0.25">
      <c r="A3873" t="s">
        <v>3877</v>
      </c>
      <c r="B3873">
        <v>0.99987803227770999</v>
      </c>
      <c r="C3873">
        <v>0.86763198356600801</v>
      </c>
      <c r="D3873">
        <v>1.02476663722776</v>
      </c>
      <c r="E3873">
        <v>0.90175162807818199</v>
      </c>
      <c r="F3873">
        <v>1.05509626591533</v>
      </c>
      <c r="G3873">
        <v>0.88701429409793697</v>
      </c>
      <c r="H3873">
        <v>0.83873414377971001</v>
      </c>
      <c r="I3873">
        <v>0.72885070869984003</v>
      </c>
      <c r="J3873">
        <v>0.66151517416564098</v>
      </c>
      <c r="K3873">
        <v>0.47449428571150498</v>
      </c>
      <c r="L3873">
        <v>771.10536354041096</v>
      </c>
      <c r="M3873">
        <v>11.0126211423326</v>
      </c>
      <c r="O3873">
        <v>67.830134335911893</v>
      </c>
      <c r="P3873">
        <v>-4.06025922969089E-2</v>
      </c>
      <c r="Q3873">
        <v>0</v>
      </c>
      <c r="R3873">
        <v>0.87507803395128403</v>
      </c>
      <c r="S3873" t="s">
        <v>10184</v>
      </c>
      <c r="T3873" t="s">
        <v>12620</v>
      </c>
      <c r="U3873" t="s">
        <v>12620</v>
      </c>
      <c r="V3873" t="s">
        <v>12620</v>
      </c>
      <c r="W3873" t="s">
        <v>16443</v>
      </c>
      <c r="X3873">
        <v>18</v>
      </c>
      <c r="Y3873" t="s">
        <v>22567</v>
      </c>
      <c r="Z3873" t="s">
        <v>28820</v>
      </c>
      <c r="AA3873">
        <v>0.87815404550319642</v>
      </c>
      <c r="AB3873" t="str">
        <f>HYPERLINK("Melting_Curves/meltCurve_Q7Z6E9_2_RBBP6.pdf", "Melting_Curves/meltCurve_Q7Z6E9_2_RBBP6.pdf")</f>
        <v>Melting_Curves/meltCurve_Q7Z6E9_2_RBBP6.pdf</v>
      </c>
    </row>
    <row r="3874" spans="1:28" x14ac:dyDescent="0.25">
      <c r="A3874" t="s">
        <v>3878</v>
      </c>
      <c r="B3874">
        <v>0.99987803227770999</v>
      </c>
      <c r="C3874">
        <v>0.97027178013994297</v>
      </c>
      <c r="D3874">
        <v>0.80869555251701797</v>
      </c>
      <c r="E3874">
        <v>0.65475134626377796</v>
      </c>
      <c r="F3874">
        <v>0.66671341209502699</v>
      </c>
      <c r="G3874">
        <v>0.52900100477202905</v>
      </c>
      <c r="H3874">
        <v>0.54819058221441097</v>
      </c>
      <c r="I3874">
        <v>0.47292757492952597</v>
      </c>
      <c r="J3874">
        <v>0.46778202072544001</v>
      </c>
      <c r="K3874">
        <v>0.404721548980367</v>
      </c>
      <c r="L3874">
        <v>566.26815747010301</v>
      </c>
      <c r="M3874">
        <v>11.376720655926601</v>
      </c>
      <c r="N3874">
        <v>60.371915959744598</v>
      </c>
      <c r="O3874">
        <v>48.310836260891399</v>
      </c>
      <c r="P3874">
        <v>-3.344166099168E-2</v>
      </c>
      <c r="Q3874">
        <v>0.43213302580073798</v>
      </c>
      <c r="R3874">
        <v>0.96299698253694399</v>
      </c>
      <c r="S3874" t="s">
        <v>10185</v>
      </c>
      <c r="T3874" t="s">
        <v>12620</v>
      </c>
      <c r="U3874" t="s">
        <v>12620</v>
      </c>
      <c r="V3874" t="s">
        <v>12620</v>
      </c>
      <c r="W3874" t="s">
        <v>16444</v>
      </c>
      <c r="X3874">
        <v>3</v>
      </c>
      <c r="Y3874" t="s">
        <v>22568</v>
      </c>
      <c r="Z3874" t="s">
        <v>28821</v>
      </c>
      <c r="AA3874">
        <v>0.63879884062684533</v>
      </c>
      <c r="AB3874" t="str">
        <f>HYPERLINK("Melting_Curves/meltCurve_Q7Z6I8_C5orf24.pdf", "Melting_Curves/meltCurve_Q7Z6I8_C5orf24.pdf")</f>
        <v>Melting_Curves/meltCurve_Q7Z6I8_C5orf24.pdf</v>
      </c>
    </row>
    <row r="3875" spans="1:28" x14ac:dyDescent="0.25">
      <c r="A3875" t="s">
        <v>3879</v>
      </c>
      <c r="B3875">
        <v>0.99987803227770999</v>
      </c>
      <c r="C3875">
        <v>0.92799965710495702</v>
      </c>
      <c r="D3875">
        <v>1.04325370847807</v>
      </c>
      <c r="E3875">
        <v>0.81819229776498703</v>
      </c>
      <c r="F3875">
        <v>0.74412077996608095</v>
      </c>
      <c r="G3875">
        <v>0.57278254034841103</v>
      </c>
      <c r="H3875">
        <v>0.429790399773606</v>
      </c>
      <c r="I3875">
        <v>0.44536895300763601</v>
      </c>
      <c r="J3875">
        <v>0.335785232394268</v>
      </c>
      <c r="K3875">
        <v>0.26262707746011899</v>
      </c>
      <c r="L3875">
        <v>650.89998758728098</v>
      </c>
      <c r="M3875">
        <v>11.569794017039399</v>
      </c>
      <c r="N3875">
        <v>59.3655267070625</v>
      </c>
      <c r="O3875">
        <v>54.656648606717901</v>
      </c>
      <c r="P3875">
        <v>-4.0913251577495001E-2</v>
      </c>
      <c r="Q3875">
        <v>0.22710449868326299</v>
      </c>
      <c r="R3875">
        <v>0.97329299412951897</v>
      </c>
      <c r="S3875" t="s">
        <v>10186</v>
      </c>
      <c r="T3875" t="s">
        <v>12620</v>
      </c>
      <c r="U3875" t="s">
        <v>12620</v>
      </c>
      <c r="V3875" t="s">
        <v>12620</v>
      </c>
      <c r="W3875" t="s">
        <v>16445</v>
      </c>
      <c r="X3875">
        <v>18</v>
      </c>
      <c r="Y3875" t="s">
        <v>22569</v>
      </c>
      <c r="Z3875" t="s">
        <v>28822</v>
      </c>
      <c r="AA3875">
        <v>0.66119975926201613</v>
      </c>
      <c r="AB3875" t="str">
        <f>HYPERLINK("Melting_Curves/meltCurve_Q7Z6J0_SH3RF1.pdf", "Melting_Curves/meltCurve_Q7Z6J0_SH3RF1.pdf")</f>
        <v>Melting_Curves/meltCurve_Q7Z6J0_SH3RF1.pdf</v>
      </c>
    </row>
    <row r="3876" spans="1:28" x14ac:dyDescent="0.25">
      <c r="A3876" t="s">
        <v>3880</v>
      </c>
      <c r="B3876">
        <v>0.99987803227770999</v>
      </c>
      <c r="C3876">
        <v>0.95409671121421702</v>
      </c>
      <c r="D3876">
        <v>0.94576542246505302</v>
      </c>
      <c r="E3876">
        <v>0.89572592111746796</v>
      </c>
      <c r="F3876">
        <v>0.83609302766479698</v>
      </c>
      <c r="G3876">
        <v>0.51945890658333105</v>
      </c>
      <c r="H3876">
        <v>0.26877070687197002</v>
      </c>
      <c r="I3876">
        <v>0.17727269897307699</v>
      </c>
      <c r="J3876">
        <v>0.118033927953892</v>
      </c>
      <c r="K3876">
        <v>9.7087956457077906E-2</v>
      </c>
      <c r="L3876">
        <v>1014.843693437</v>
      </c>
      <c r="M3876">
        <v>17.824811860286299</v>
      </c>
      <c r="N3876">
        <v>57.338524130043297</v>
      </c>
      <c r="O3876">
        <v>56.232236570824099</v>
      </c>
      <c r="P3876">
        <v>-7.4571587310988799E-2</v>
      </c>
      <c r="Q3876">
        <v>5.9039243256468699E-2</v>
      </c>
      <c r="R3876">
        <v>0.99561010906466496</v>
      </c>
      <c r="S3876" t="s">
        <v>10187</v>
      </c>
      <c r="T3876" t="s">
        <v>12620</v>
      </c>
      <c r="U3876" t="s">
        <v>12620</v>
      </c>
      <c r="V3876" t="s">
        <v>12620</v>
      </c>
      <c r="W3876" t="s">
        <v>16446</v>
      </c>
      <c r="X3876">
        <v>4</v>
      </c>
      <c r="Y3876" t="s">
        <v>22570</v>
      </c>
      <c r="Z3876" t="s">
        <v>28823</v>
      </c>
      <c r="AA3876">
        <v>0.6032995472909799</v>
      </c>
      <c r="AB3876" t="str">
        <f>HYPERLINK("Melting_Curves/meltCurve_Q7Z6J8_UBE3D.pdf", "Melting_Curves/meltCurve_Q7Z6J8_UBE3D.pdf")</f>
        <v>Melting_Curves/meltCurve_Q7Z6J8_UBE3D.pdf</v>
      </c>
    </row>
    <row r="3877" spans="1:28" x14ac:dyDescent="0.25">
      <c r="A3877" t="s">
        <v>3881</v>
      </c>
      <c r="B3877">
        <v>0.99987803227770999</v>
      </c>
      <c r="C3877">
        <v>1.0094067136082201</v>
      </c>
      <c r="D3877">
        <v>0.89687715112322397</v>
      </c>
      <c r="E3877">
        <v>0.48185191517186099</v>
      </c>
      <c r="F3877">
        <v>0.240208924461739</v>
      </c>
      <c r="G3877">
        <v>0.148272500261868</v>
      </c>
      <c r="H3877">
        <v>0.120180094434804</v>
      </c>
      <c r="I3877">
        <v>0.102971136457202</v>
      </c>
      <c r="J3877">
        <v>8.9100368484205605E-2</v>
      </c>
      <c r="K3877">
        <v>0.13645378791562801</v>
      </c>
      <c r="L3877">
        <v>1345.3326742024301</v>
      </c>
      <c r="M3877">
        <v>27.2234591093703</v>
      </c>
      <c r="N3877">
        <v>49.890139686342302</v>
      </c>
      <c r="O3877">
        <v>49.153791381136003</v>
      </c>
      <c r="P3877">
        <v>-0.122742938355252</v>
      </c>
      <c r="Q3877">
        <v>0.113525898107581</v>
      </c>
      <c r="R3877">
        <v>0.99854691243747495</v>
      </c>
      <c r="S3877" t="s">
        <v>10188</v>
      </c>
      <c r="T3877" t="s">
        <v>12620</v>
      </c>
      <c r="U3877" t="s">
        <v>12620</v>
      </c>
      <c r="V3877" t="s">
        <v>12620</v>
      </c>
      <c r="W3877" t="s">
        <v>16447</v>
      </c>
      <c r="X3877">
        <v>6</v>
      </c>
      <c r="Y3877" t="s">
        <v>22571</v>
      </c>
      <c r="Z3877" t="s">
        <v>28824</v>
      </c>
      <c r="AA3877">
        <v>0.39844654209070107</v>
      </c>
      <c r="AB3877" t="str">
        <f>HYPERLINK("Melting_Curves/meltCurve_Q7Z6J9_TSEN54.pdf", "Melting_Curves/meltCurve_Q7Z6J9_TSEN54.pdf")</f>
        <v>Melting_Curves/meltCurve_Q7Z6J9_TSEN54.pdf</v>
      </c>
    </row>
    <row r="3878" spans="1:28" x14ac:dyDescent="0.25">
      <c r="A3878" t="s">
        <v>3882</v>
      </c>
      <c r="B3878">
        <v>0.99987803227770999</v>
      </c>
      <c r="C3878">
        <v>1.04416073351786</v>
      </c>
      <c r="D3878">
        <v>1.0152521346800201</v>
      </c>
      <c r="E3878">
        <v>0.98868957872035701</v>
      </c>
      <c r="F3878">
        <v>0.89149904728284701</v>
      </c>
      <c r="G3878">
        <v>0.72495311859065004</v>
      </c>
      <c r="H3878">
        <v>0.32942272275379098</v>
      </c>
      <c r="I3878">
        <v>0.245439280890693</v>
      </c>
      <c r="J3878">
        <v>0.14772143012498101</v>
      </c>
      <c r="K3878">
        <v>0.117016336691878</v>
      </c>
      <c r="L3878">
        <v>1337.3286031663499</v>
      </c>
      <c r="M3878">
        <v>22.799158454712799</v>
      </c>
      <c r="N3878">
        <v>59.239389518312201</v>
      </c>
      <c r="O3878">
        <v>58.211262269400898</v>
      </c>
      <c r="P3878">
        <v>-8.80856076552302E-2</v>
      </c>
      <c r="Q3878">
        <v>0.100409901762326</v>
      </c>
      <c r="R3878">
        <v>0.99523628949346898</v>
      </c>
      <c r="S3878" t="s">
        <v>10189</v>
      </c>
      <c r="T3878" t="s">
        <v>12620</v>
      </c>
      <c r="U3878" t="s">
        <v>12620</v>
      </c>
      <c r="V3878" t="s">
        <v>12620</v>
      </c>
      <c r="W3878" t="s">
        <v>16448</v>
      </c>
      <c r="X3878">
        <v>10</v>
      </c>
      <c r="Y3878" t="s">
        <v>22572</v>
      </c>
      <c r="Z3878" t="s">
        <v>28825</v>
      </c>
      <c r="AA3878">
        <v>0.66827185083643381</v>
      </c>
      <c r="AB3878" t="str">
        <f>HYPERLINK("Melting_Curves/meltCurve_Q7Z6K3_PTAR1.pdf", "Melting_Curves/meltCurve_Q7Z6K3_PTAR1.pdf")</f>
        <v>Melting_Curves/meltCurve_Q7Z6K3_PTAR1.pdf</v>
      </c>
    </row>
    <row r="3879" spans="1:28" x14ac:dyDescent="0.25">
      <c r="A3879" t="s">
        <v>3883</v>
      </c>
      <c r="B3879">
        <v>0.99987803227770999</v>
      </c>
      <c r="C3879">
        <v>0.75355563963382299</v>
      </c>
      <c r="D3879">
        <v>0.936552856993629</v>
      </c>
      <c r="E3879">
        <v>0.77428566705205903</v>
      </c>
      <c r="F3879">
        <v>0.798555765825535</v>
      </c>
      <c r="G3879">
        <v>0.60457475282810502</v>
      </c>
      <c r="H3879">
        <v>0.78547684134460305</v>
      </c>
      <c r="I3879">
        <v>0.62224591927711703</v>
      </c>
      <c r="J3879">
        <v>0.77441206763848602</v>
      </c>
      <c r="K3879">
        <v>0.65637839629492001</v>
      </c>
      <c r="L3879">
        <v>407.06849110087302</v>
      </c>
      <c r="M3879">
        <v>8.7653598329613303</v>
      </c>
      <c r="O3879">
        <v>44.213632951769597</v>
      </c>
      <c r="P3879">
        <v>-1.6453897289008999E-2</v>
      </c>
      <c r="Q3879">
        <v>0.66828361098919498</v>
      </c>
      <c r="R3879">
        <v>0.52368988261662297</v>
      </c>
      <c r="S3879" t="s">
        <v>10190</v>
      </c>
      <c r="T3879" t="s">
        <v>12620</v>
      </c>
      <c r="U3879" t="s">
        <v>12620</v>
      </c>
      <c r="V3879" t="s">
        <v>12620</v>
      </c>
      <c r="W3879" t="s">
        <v>16449</v>
      </c>
      <c r="X3879">
        <v>1</v>
      </c>
      <c r="Y3879" t="s">
        <v>22573</v>
      </c>
      <c r="Z3879" t="s">
        <v>28826</v>
      </c>
      <c r="AA3879">
        <v>0.76396674156726718</v>
      </c>
      <c r="AB3879" t="str">
        <f>HYPERLINK("Melting_Curves/meltCurve_Q7Z6L1_TECPR1.pdf", "Melting_Curves/meltCurve_Q7Z6L1_TECPR1.pdf")</f>
        <v>Melting_Curves/meltCurve_Q7Z6L1_TECPR1.pdf</v>
      </c>
    </row>
    <row r="3880" spans="1:28" x14ac:dyDescent="0.25">
      <c r="A3880" t="s">
        <v>3884</v>
      </c>
      <c r="B3880">
        <v>0.99987803227770999</v>
      </c>
      <c r="C3880">
        <v>0.93342928192778696</v>
      </c>
      <c r="D3880">
        <v>1.02672270809038</v>
      </c>
      <c r="E3880">
        <v>0.89749955798883596</v>
      </c>
      <c r="F3880">
        <v>1.0455946234700799</v>
      </c>
      <c r="G3880">
        <v>0.89027063479895197</v>
      </c>
      <c r="H3880">
        <v>0.62968345694818395</v>
      </c>
      <c r="I3880">
        <v>0.33023278539614498</v>
      </c>
      <c r="J3880">
        <v>0.166906780953748</v>
      </c>
      <c r="K3880">
        <v>0.108860642195569</v>
      </c>
      <c r="L3880">
        <v>1641.8213093586501</v>
      </c>
      <c r="M3880">
        <v>26.541290489094798</v>
      </c>
      <c r="N3880">
        <v>62.1745280213065</v>
      </c>
      <c r="O3880">
        <v>61.5111736325603</v>
      </c>
      <c r="P3880">
        <v>-0.101078820296938</v>
      </c>
      <c r="Q3880">
        <v>6.2982897454115103E-2</v>
      </c>
      <c r="R3880">
        <v>0.98429575654754697</v>
      </c>
      <c r="S3880" t="s">
        <v>10191</v>
      </c>
      <c r="T3880" t="s">
        <v>12620</v>
      </c>
      <c r="U3880" t="s">
        <v>12620</v>
      </c>
      <c r="V3880" t="s">
        <v>12620</v>
      </c>
      <c r="W3880" t="s">
        <v>16450</v>
      </c>
      <c r="X3880">
        <v>10</v>
      </c>
      <c r="Y3880" t="s">
        <v>22574</v>
      </c>
      <c r="Z3880" t="s">
        <v>28827</v>
      </c>
      <c r="AA3880">
        <v>0.75036142241125314</v>
      </c>
      <c r="AB3880" t="str">
        <f>HYPERLINK("Melting_Curves/meltCurve_Q7Z6M1_RABEPK.pdf", "Melting_Curves/meltCurve_Q7Z6M1_RABEPK.pdf")</f>
        <v>Melting_Curves/meltCurve_Q7Z6M1_RABEPK.pdf</v>
      </c>
    </row>
    <row r="3881" spans="1:28" x14ac:dyDescent="0.25">
      <c r="A3881" t="s">
        <v>3885</v>
      </c>
      <c r="B3881">
        <v>0.99987803227770999</v>
      </c>
      <c r="C3881">
        <v>1.1948478075914299</v>
      </c>
      <c r="D3881">
        <v>0.81547618278997203</v>
      </c>
      <c r="E3881">
        <v>1.12700569217304</v>
      </c>
      <c r="F3881">
        <v>0.54671881576584802</v>
      </c>
      <c r="G3881">
        <v>0.45280512818220198</v>
      </c>
      <c r="H3881">
        <v>0.21899927487903001</v>
      </c>
      <c r="I3881">
        <v>0.14904592365580899</v>
      </c>
      <c r="J3881">
        <v>0.149483840016534</v>
      </c>
      <c r="K3881">
        <v>8.7938665924140194E-2</v>
      </c>
      <c r="L3881">
        <v>1172.90586866378</v>
      </c>
      <c r="M3881">
        <v>21.4121460078177</v>
      </c>
      <c r="N3881">
        <v>55.469448939854502</v>
      </c>
      <c r="O3881">
        <v>54.306523565415901</v>
      </c>
      <c r="P3881">
        <v>-8.7021372704009906E-2</v>
      </c>
      <c r="Q3881">
        <v>0.117190621847978</v>
      </c>
      <c r="R3881">
        <v>0.90826343859623504</v>
      </c>
      <c r="S3881" t="s">
        <v>10192</v>
      </c>
      <c r="T3881" t="s">
        <v>12620</v>
      </c>
      <c r="U3881" t="s">
        <v>12620</v>
      </c>
      <c r="V3881" t="s">
        <v>12620</v>
      </c>
      <c r="W3881" t="s">
        <v>16451</v>
      </c>
      <c r="X3881">
        <v>123</v>
      </c>
      <c r="Y3881" t="s">
        <v>22575</v>
      </c>
      <c r="Z3881" t="s">
        <v>28828</v>
      </c>
      <c r="AA3881">
        <v>0.56267169788572347</v>
      </c>
      <c r="AB3881" t="str">
        <f>HYPERLINK("Melting_Curves/meltCurve_Q7Z6Z7_2_HUWE1.pdf", "Melting_Curves/meltCurve_Q7Z6Z7_2_HUWE1.pdf")</f>
        <v>Melting_Curves/meltCurve_Q7Z6Z7_2_HUWE1.pdf</v>
      </c>
    </row>
    <row r="3882" spans="1:28" x14ac:dyDescent="0.25">
      <c r="A3882" t="s">
        <v>3886</v>
      </c>
      <c r="B3882">
        <v>0.99987803227770999</v>
      </c>
      <c r="C3882">
        <v>1.07491673157488</v>
      </c>
      <c r="D3882">
        <v>1.0292372108541901</v>
      </c>
      <c r="E3882">
        <v>0.94251195846923896</v>
      </c>
      <c r="F3882">
        <v>0.83681347233063297</v>
      </c>
      <c r="G3882">
        <v>0.75258472374966001</v>
      </c>
      <c r="H3882">
        <v>0.81987631831424301</v>
      </c>
      <c r="I3882">
        <v>0.84116394030102204</v>
      </c>
      <c r="J3882">
        <v>0.70294893702171601</v>
      </c>
      <c r="K3882">
        <v>0.51179842060932601</v>
      </c>
      <c r="L3882">
        <v>427.83032148022102</v>
      </c>
      <c r="M3882">
        <v>5.7089447039600403</v>
      </c>
      <c r="O3882">
        <v>67.269575496626601</v>
      </c>
      <c r="P3882">
        <v>-2.12986364756481E-2</v>
      </c>
      <c r="Q3882">
        <v>0</v>
      </c>
      <c r="R3882">
        <v>0.80156925112649202</v>
      </c>
      <c r="S3882" t="s">
        <v>10193</v>
      </c>
      <c r="T3882" t="s">
        <v>12620</v>
      </c>
      <c r="U3882" t="s">
        <v>12620</v>
      </c>
      <c r="V3882" t="s">
        <v>12620</v>
      </c>
      <c r="W3882" t="s">
        <v>16452</v>
      </c>
      <c r="X3882">
        <v>1</v>
      </c>
      <c r="Y3882" t="s">
        <v>22576</v>
      </c>
      <c r="Z3882" t="s">
        <v>28829</v>
      </c>
      <c r="AA3882">
        <v>0.85441524064710284</v>
      </c>
      <c r="AB3882" t="str">
        <f>HYPERLINK("Melting_Curves/meltCurve_Q7Z7A1_2_CNTRL.pdf", "Melting_Curves/meltCurve_Q7Z7A1_2_CNTRL.pdf")</f>
        <v>Melting_Curves/meltCurve_Q7Z7A1_2_CNTRL.pdf</v>
      </c>
    </row>
    <row r="3883" spans="1:28" x14ac:dyDescent="0.25">
      <c r="A3883" t="s">
        <v>3887</v>
      </c>
      <c r="B3883">
        <v>0.99987803227770999</v>
      </c>
      <c r="C3883">
        <v>1.0921233838550499</v>
      </c>
      <c r="D3883">
        <v>0.88047684016609395</v>
      </c>
      <c r="E3883">
        <v>0.69752552234193999</v>
      </c>
      <c r="F3883">
        <v>0.42601107042295699</v>
      </c>
      <c r="G3883">
        <v>0.28415099898721802</v>
      </c>
      <c r="H3883">
        <v>0.258277470315048</v>
      </c>
      <c r="I3883">
        <v>0.237054362454066</v>
      </c>
      <c r="J3883">
        <v>0.24596695758520001</v>
      </c>
      <c r="K3883">
        <v>0.20506193717349699</v>
      </c>
      <c r="L3883">
        <v>1158.9774008874199</v>
      </c>
      <c r="M3883">
        <v>22.849250341282001</v>
      </c>
      <c r="N3883">
        <v>52.1143233241404</v>
      </c>
      <c r="O3883">
        <v>50.339064182784902</v>
      </c>
      <c r="P3883">
        <v>-8.7565348772701002E-2</v>
      </c>
      <c r="Q3883">
        <v>0.22835596663420499</v>
      </c>
      <c r="R3883">
        <v>0.98632811098927098</v>
      </c>
      <c r="S3883" t="s">
        <v>10194</v>
      </c>
      <c r="T3883" t="s">
        <v>12620</v>
      </c>
      <c r="U3883" t="s">
        <v>12620</v>
      </c>
      <c r="V3883" t="s">
        <v>12620</v>
      </c>
      <c r="W3883" t="s">
        <v>16453</v>
      </c>
      <c r="X3883">
        <v>5</v>
      </c>
      <c r="Y3883" t="s">
        <v>22577</v>
      </c>
      <c r="Z3883" t="s">
        <v>28830</v>
      </c>
      <c r="AA3883">
        <v>0.51245638643077229</v>
      </c>
      <c r="AB3883" t="str">
        <f>HYPERLINK("Melting_Curves/meltCurve_Q7Z7A3_CTU1.pdf", "Melting_Curves/meltCurve_Q7Z7A3_CTU1.pdf")</f>
        <v>Melting_Curves/meltCurve_Q7Z7A3_CTU1.pdf</v>
      </c>
    </row>
    <row r="3884" spans="1:28" x14ac:dyDescent="0.25">
      <c r="A3884" t="s">
        <v>3888</v>
      </c>
      <c r="B3884">
        <v>0.99987803227770999</v>
      </c>
      <c r="C3884">
        <v>0.91172862161019796</v>
      </c>
      <c r="D3884">
        <v>1.3678719468765901</v>
      </c>
      <c r="E3884">
        <v>0.97005721730397199</v>
      </c>
      <c r="F3884">
        <v>0.86661364953699704</v>
      </c>
      <c r="G3884">
        <v>0.60762785183789603</v>
      </c>
      <c r="H3884">
        <v>0.56383288488466399</v>
      </c>
      <c r="I3884">
        <v>0.48323143980322503</v>
      </c>
      <c r="J3884">
        <v>0.42388624753264798</v>
      </c>
      <c r="K3884">
        <v>0.34312022141853299</v>
      </c>
      <c r="L3884">
        <v>1203.20591512904</v>
      </c>
      <c r="M3884">
        <v>21.385636301118002</v>
      </c>
      <c r="N3884">
        <v>60.911191852585198</v>
      </c>
      <c r="O3884">
        <v>55.777316057902098</v>
      </c>
      <c r="P3884">
        <v>-5.7297376450625097E-2</v>
      </c>
      <c r="Q3884">
        <v>0.40225036685557902</v>
      </c>
      <c r="R3884">
        <v>0.82788283960369102</v>
      </c>
      <c r="S3884" t="s">
        <v>10195</v>
      </c>
      <c r="T3884" t="s">
        <v>12620</v>
      </c>
      <c r="U3884" t="s">
        <v>12620</v>
      </c>
      <c r="V3884" t="s">
        <v>12620</v>
      </c>
      <c r="W3884" t="s">
        <v>16454</v>
      </c>
      <c r="X3884">
        <v>14</v>
      </c>
      <c r="Y3884" t="s">
        <v>22578</v>
      </c>
      <c r="Z3884" t="s">
        <v>28831</v>
      </c>
      <c r="AA3884">
        <v>0.7332222269306965</v>
      </c>
      <c r="AB3884" t="str">
        <f>HYPERLINK("Melting_Curves/meltCurve_Q7Z7B0_FILIP1.pdf", "Melting_Curves/meltCurve_Q7Z7B0_FILIP1.pdf")</f>
        <v>Melting_Curves/meltCurve_Q7Z7B0_FILIP1.pdf</v>
      </c>
    </row>
    <row r="3885" spans="1:28" x14ac:dyDescent="0.25">
      <c r="A3885" t="s">
        <v>3889</v>
      </c>
      <c r="B3885">
        <v>0.99987803227770999</v>
      </c>
      <c r="C3885">
        <v>0.99468801481978597</v>
      </c>
      <c r="D3885">
        <v>1.4937299183924899</v>
      </c>
      <c r="E3885">
        <v>0.92432232305810502</v>
      </c>
      <c r="F3885">
        <v>0.68299858476009101</v>
      </c>
      <c r="G3885">
        <v>0.42705142385483003</v>
      </c>
      <c r="H3885">
        <v>0.26480297880301901</v>
      </c>
      <c r="I3885">
        <v>0.237626170590645</v>
      </c>
      <c r="J3885">
        <v>0.19349362317315499</v>
      </c>
      <c r="K3885">
        <v>0.17239116123199499</v>
      </c>
      <c r="L3885">
        <v>1425.97153225902</v>
      </c>
      <c r="M3885">
        <v>26.209310534771099</v>
      </c>
      <c r="N3885">
        <v>55.515870371973399</v>
      </c>
      <c r="O3885">
        <v>54.093288157006597</v>
      </c>
      <c r="P3885">
        <v>-9.6448429428353993E-2</v>
      </c>
      <c r="Q3885">
        <v>0.203770825915466</v>
      </c>
      <c r="R3885">
        <v>0.86006371149892002</v>
      </c>
      <c r="S3885" t="s">
        <v>10196</v>
      </c>
      <c r="T3885" t="s">
        <v>12620</v>
      </c>
      <c r="U3885" t="s">
        <v>12620</v>
      </c>
      <c r="V3885" t="s">
        <v>12620</v>
      </c>
      <c r="W3885" t="s">
        <v>16455</v>
      </c>
      <c r="X3885">
        <v>2</v>
      </c>
      <c r="Y3885" t="s">
        <v>22579</v>
      </c>
      <c r="Z3885" t="s">
        <v>28832</v>
      </c>
      <c r="AA3885">
        <v>0.59291594742321152</v>
      </c>
      <c r="AB3885" t="str">
        <f>HYPERLINK("Melting_Curves/meltCurve_Q7Z7C8_TAF8.pdf", "Melting_Curves/meltCurve_Q7Z7C8_TAF8.pdf")</f>
        <v>Melting_Curves/meltCurve_Q7Z7C8_TAF8.pdf</v>
      </c>
    </row>
    <row r="3886" spans="1:28" x14ac:dyDescent="0.25">
      <c r="A3886" t="s">
        <v>3890</v>
      </c>
      <c r="B3886">
        <v>0.99987803227770999</v>
      </c>
      <c r="C3886">
        <v>0.85491922210873394</v>
      </c>
      <c r="D3886">
        <v>0.97717025001624003</v>
      </c>
      <c r="E3886">
        <v>0.848694202621736</v>
      </c>
      <c r="F3886">
        <v>0.76966514027094501</v>
      </c>
      <c r="G3886">
        <v>0.27537030633597898</v>
      </c>
      <c r="H3886">
        <v>0.13005167247071101</v>
      </c>
      <c r="I3886">
        <v>9.8504056153233696E-2</v>
      </c>
      <c r="J3886">
        <v>7.5307424535572001E-2</v>
      </c>
      <c r="K3886">
        <v>4.8545802873789803E-2</v>
      </c>
      <c r="L3886">
        <v>1372.6495652211399</v>
      </c>
      <c r="M3886">
        <v>25.0782318758142</v>
      </c>
      <c r="N3886">
        <v>55.004879762647803</v>
      </c>
      <c r="O3886">
        <v>54.390240562552897</v>
      </c>
      <c r="P3886">
        <v>-0.108591690094734</v>
      </c>
      <c r="Q3886">
        <v>5.79481977620201E-2</v>
      </c>
      <c r="R3886">
        <v>0.97958079716758795</v>
      </c>
      <c r="S3886" t="s">
        <v>10197</v>
      </c>
      <c r="T3886" t="s">
        <v>12620</v>
      </c>
      <c r="U3886" t="s">
        <v>12620</v>
      </c>
      <c r="V3886" t="s">
        <v>12620</v>
      </c>
      <c r="W3886" t="s">
        <v>16456</v>
      </c>
      <c r="X3886">
        <v>9</v>
      </c>
      <c r="Y3886" t="s">
        <v>22580</v>
      </c>
      <c r="Z3886" t="s">
        <v>28833</v>
      </c>
      <c r="AA3886">
        <v>0.5293167519846107</v>
      </c>
      <c r="AB3886" t="str">
        <f>HYPERLINK("Melting_Curves/meltCurve_Q7Z7E8_UBE2Q1.pdf", "Melting_Curves/meltCurve_Q7Z7E8_UBE2Q1.pdf")</f>
        <v>Melting_Curves/meltCurve_Q7Z7E8_UBE2Q1.pdf</v>
      </c>
    </row>
    <row r="3887" spans="1:28" x14ac:dyDescent="0.25">
      <c r="A3887" t="s">
        <v>3891</v>
      </c>
      <c r="B3887">
        <v>0.99987803227770999</v>
      </c>
      <c r="C3887">
        <v>1.0103672714319101</v>
      </c>
      <c r="D3887">
        <v>1.0436045816175801</v>
      </c>
      <c r="E3887">
        <v>0.90744301344198197</v>
      </c>
      <c r="F3887">
        <v>0.83136569301490904</v>
      </c>
      <c r="G3887">
        <v>0.569628377228938</v>
      </c>
      <c r="H3887">
        <v>0.46110183174790698</v>
      </c>
      <c r="I3887">
        <v>0.45005764841221901</v>
      </c>
      <c r="J3887">
        <v>0.35011895425484402</v>
      </c>
      <c r="K3887">
        <v>0.259984512773692</v>
      </c>
      <c r="L3887">
        <v>872.29134368134203</v>
      </c>
      <c r="M3887">
        <v>15.418632971013199</v>
      </c>
      <c r="N3887">
        <v>59.736428171090502</v>
      </c>
      <c r="O3887">
        <v>55.647816772927897</v>
      </c>
      <c r="P3887">
        <v>-4.99496237009283E-2</v>
      </c>
      <c r="Q3887">
        <v>0.27896704795023303</v>
      </c>
      <c r="R3887">
        <v>0.98170516765947202</v>
      </c>
      <c r="S3887" t="s">
        <v>10198</v>
      </c>
      <c r="T3887" t="s">
        <v>12620</v>
      </c>
      <c r="U3887" t="s">
        <v>12620</v>
      </c>
      <c r="V3887" t="s">
        <v>12620</v>
      </c>
      <c r="W3887" t="s">
        <v>16457</v>
      </c>
      <c r="X3887">
        <v>4</v>
      </c>
      <c r="Y3887" t="s">
        <v>22581</v>
      </c>
      <c r="Z3887" t="s">
        <v>28834</v>
      </c>
      <c r="AA3887">
        <v>0.68910567341320972</v>
      </c>
      <c r="AB3887" t="str">
        <f>HYPERLINK("Melting_Curves/meltCurve_Q7Z7F0_KIAA0907.pdf", "Melting_Curves/meltCurve_Q7Z7F0_KIAA0907.pdf")</f>
        <v>Melting_Curves/meltCurve_Q7Z7F0_KIAA0907.pdf</v>
      </c>
    </row>
    <row r="3888" spans="1:28" x14ac:dyDescent="0.25">
      <c r="A3888" t="s">
        <v>3892</v>
      </c>
      <c r="B3888">
        <v>0.99987803227770999</v>
      </c>
      <c r="C3888">
        <v>0.79057860010187597</v>
      </c>
      <c r="D3888">
        <v>0.86899610699644303</v>
      </c>
      <c r="E3888">
        <v>0.769923597163097</v>
      </c>
      <c r="F3888">
        <v>0.82213401546069098</v>
      </c>
      <c r="G3888">
        <v>0.66913938951231899</v>
      </c>
      <c r="H3888">
        <v>0.66535179204869999</v>
      </c>
      <c r="I3888">
        <v>0.64946101276934198</v>
      </c>
      <c r="J3888">
        <v>0.59693094574987005</v>
      </c>
      <c r="K3888">
        <v>0.46745150212210002</v>
      </c>
      <c r="L3888">
        <v>223.11933824414101</v>
      </c>
      <c r="M3888">
        <v>3.05211941391256</v>
      </c>
      <c r="O3888">
        <v>54.232972417992102</v>
      </c>
      <c r="P3888">
        <v>-1.4482991782334399E-2</v>
      </c>
      <c r="Q3888">
        <v>0</v>
      </c>
      <c r="R3888">
        <v>0.85505309373497795</v>
      </c>
      <c r="S3888" t="s">
        <v>10199</v>
      </c>
      <c r="T3888" t="s">
        <v>12620</v>
      </c>
      <c r="U3888" t="s">
        <v>12620</v>
      </c>
      <c r="V3888" t="s">
        <v>12620</v>
      </c>
      <c r="W3888" t="s">
        <v>16458</v>
      </c>
      <c r="X3888">
        <v>4</v>
      </c>
      <c r="Y3888" t="s">
        <v>22582</v>
      </c>
      <c r="Z3888" t="s">
        <v>28835</v>
      </c>
      <c r="AA3888">
        <v>0.73194209205549599</v>
      </c>
      <c r="AB3888" t="str">
        <f>HYPERLINK("Melting_Curves/meltCurve_Q7Z7G8_2_VPS13B.pdf", "Melting_Curves/meltCurve_Q7Z7G8_2_VPS13B.pdf")</f>
        <v>Melting_Curves/meltCurve_Q7Z7G8_2_VPS13B.pdf</v>
      </c>
    </row>
    <row r="3889" spans="1:28" x14ac:dyDescent="0.25">
      <c r="A3889" t="s">
        <v>3893</v>
      </c>
      <c r="B3889">
        <v>0.99987803227770999</v>
      </c>
      <c r="C3889">
        <v>0.84498940828972702</v>
      </c>
      <c r="D3889">
        <v>0.92836601582066303</v>
      </c>
      <c r="E3889">
        <v>0.83033222092946801</v>
      </c>
      <c r="F3889">
        <v>1.1077045445776299</v>
      </c>
      <c r="G3889">
        <v>1.25039100561975</v>
      </c>
      <c r="H3889">
        <v>1.13806465685295</v>
      </c>
      <c r="I3889">
        <v>1.28702416161366</v>
      </c>
      <c r="J3889">
        <v>1.0452624663407799</v>
      </c>
      <c r="K3889">
        <v>0.84649266092753594</v>
      </c>
      <c r="L3889">
        <v>13094.9179209535</v>
      </c>
      <c r="M3889">
        <v>250</v>
      </c>
      <c r="O3889">
        <v>52.376309020370797</v>
      </c>
      <c r="P3889">
        <v>0.13538032061913899</v>
      </c>
      <c r="Q3889">
        <v>1.11345156727256</v>
      </c>
      <c r="R3889">
        <v>0.27110380442836202</v>
      </c>
      <c r="S3889" t="s">
        <v>10200</v>
      </c>
      <c r="T3889" t="s">
        <v>12620</v>
      </c>
      <c r="U3889" t="s">
        <v>12620</v>
      </c>
      <c r="V3889" t="s">
        <v>12620</v>
      </c>
      <c r="W3889" t="s">
        <v>16459</v>
      </c>
      <c r="X3889">
        <v>3</v>
      </c>
      <c r="Y3889" t="s">
        <v>22583</v>
      </c>
      <c r="Z3889" t="s">
        <v>28836</v>
      </c>
      <c r="AA3889">
        <v>1.0666246996845929</v>
      </c>
      <c r="AB3889" t="str">
        <f>HYPERLINK("Melting_Curves/meltCurve_Q7Z7J9_CAMK2N1.pdf", "Melting_Curves/meltCurve_Q7Z7J9_CAMK2N1.pdf")</f>
        <v>Melting_Curves/meltCurve_Q7Z7J9_CAMK2N1.pdf</v>
      </c>
    </row>
    <row r="3890" spans="1:28" x14ac:dyDescent="0.25">
      <c r="A3890" t="s">
        <v>3894</v>
      </c>
      <c r="B3890">
        <v>0.99987803227770999</v>
      </c>
      <c r="C3890">
        <v>0.76723547186961505</v>
      </c>
      <c r="D3890">
        <v>0.98054505192945096</v>
      </c>
      <c r="E3890">
        <v>0.81692271054385501</v>
      </c>
      <c r="F3890">
        <v>1.0029622093805299</v>
      </c>
      <c r="G3890">
        <v>0.76851721002361895</v>
      </c>
      <c r="H3890">
        <v>0.79073370524208197</v>
      </c>
      <c r="I3890">
        <v>0.76144606712771501</v>
      </c>
      <c r="J3890">
        <v>0.79342251889500404</v>
      </c>
      <c r="K3890">
        <v>0.66078626142450003</v>
      </c>
      <c r="L3890">
        <v>186.76668506811299</v>
      </c>
      <c r="M3890">
        <v>1.74181858540242</v>
      </c>
      <c r="O3890">
        <v>58.274001458056397</v>
      </c>
      <c r="P3890">
        <v>-8.3953187842644803E-3</v>
      </c>
      <c r="Q3890">
        <v>0</v>
      </c>
      <c r="R3890">
        <v>0.44953829529199502</v>
      </c>
      <c r="S3890" t="s">
        <v>10201</v>
      </c>
      <c r="T3890" t="s">
        <v>12620</v>
      </c>
      <c r="U3890" t="s">
        <v>12620</v>
      </c>
      <c r="V3890" t="s">
        <v>12620</v>
      </c>
      <c r="W3890" t="s">
        <v>16460</v>
      </c>
      <c r="X3890">
        <v>2</v>
      </c>
      <c r="Y3890" t="s">
        <v>22584</v>
      </c>
      <c r="Z3890" t="s">
        <v>28837</v>
      </c>
      <c r="AA3890">
        <v>0.83738302325710379</v>
      </c>
      <c r="AB3890" t="str">
        <f>HYPERLINK("Melting_Curves/meltCurve_Q7Z7K0_CMC1.pdf", "Melting_Curves/meltCurve_Q7Z7K0_CMC1.pdf")</f>
        <v>Melting_Curves/meltCurve_Q7Z7K0_CMC1.pdf</v>
      </c>
    </row>
    <row r="3891" spans="1:28" x14ac:dyDescent="0.25">
      <c r="A3891" t="s">
        <v>3895</v>
      </c>
      <c r="B3891">
        <v>0.99987803227770999</v>
      </c>
      <c r="C3891">
        <v>0.97622955478951401</v>
      </c>
      <c r="D3891">
        <v>0.77573262196088599</v>
      </c>
      <c r="E3891">
        <v>0.48767401964380602</v>
      </c>
      <c r="F3891">
        <v>0.217177998172049</v>
      </c>
      <c r="G3891">
        <v>0.13652840053561799</v>
      </c>
      <c r="H3891">
        <v>8.4255671294824697E-2</v>
      </c>
      <c r="I3891">
        <v>8.4078174820157003E-2</v>
      </c>
      <c r="J3891">
        <v>6.8647901040280804E-2</v>
      </c>
      <c r="K3891">
        <v>4.3228929889636697E-2</v>
      </c>
      <c r="L3891">
        <v>949.53676059166196</v>
      </c>
      <c r="M3891">
        <v>19.298938616155301</v>
      </c>
      <c r="N3891">
        <v>49.5289304601963</v>
      </c>
      <c r="O3891">
        <v>48.682358892718803</v>
      </c>
      <c r="P3891">
        <v>-9.3174477477653506E-2</v>
      </c>
      <c r="Q3891">
        <v>5.9889579874091499E-2</v>
      </c>
      <c r="R3891">
        <v>0.99678227806020003</v>
      </c>
      <c r="S3891" t="s">
        <v>10202</v>
      </c>
      <c r="T3891" t="s">
        <v>12620</v>
      </c>
      <c r="U3891" t="s">
        <v>12620</v>
      </c>
      <c r="V3891" t="s">
        <v>12620</v>
      </c>
      <c r="W3891" t="s">
        <v>16461</v>
      </c>
      <c r="X3891">
        <v>3</v>
      </c>
      <c r="Y3891" t="s">
        <v>22585</v>
      </c>
      <c r="Z3891" t="s">
        <v>28838</v>
      </c>
      <c r="AA3891">
        <v>0.36236080585506081</v>
      </c>
      <c r="AB3891" t="str">
        <f>HYPERLINK("Melting_Curves/meltCurve_Q7Z7L1_SLFN11.pdf", "Melting_Curves/meltCurve_Q7Z7L1_SLFN11.pdf")</f>
        <v>Melting_Curves/meltCurve_Q7Z7L1_SLFN11.pdf</v>
      </c>
    </row>
    <row r="3892" spans="1:28" x14ac:dyDescent="0.25">
      <c r="A3892" t="s">
        <v>3896</v>
      </c>
      <c r="B3892">
        <v>0.99987803227770999</v>
      </c>
      <c r="C3892">
        <v>1.2336662548487101</v>
      </c>
      <c r="D3892">
        <v>0.88237560555345995</v>
      </c>
      <c r="E3892">
        <v>1.12726806295697</v>
      </c>
      <c r="F3892">
        <v>0.54985438887347504</v>
      </c>
      <c r="G3892">
        <v>0.210669533040306</v>
      </c>
      <c r="H3892">
        <v>8.8163169031639704E-2</v>
      </c>
      <c r="I3892">
        <v>8.4937553850550004E-2</v>
      </c>
      <c r="J3892">
        <v>6.8209040781110106E-2</v>
      </c>
      <c r="K3892">
        <v>4.5474585102379998E-2</v>
      </c>
      <c r="L3892">
        <v>13250.025704131</v>
      </c>
      <c r="M3892">
        <v>250</v>
      </c>
      <c r="N3892">
        <v>53.047166390114697</v>
      </c>
      <c r="O3892">
        <v>52.996711145760003</v>
      </c>
      <c r="P3892">
        <v>-1.0619871730944199</v>
      </c>
      <c r="Q3892">
        <v>9.9490761540516295E-2</v>
      </c>
      <c r="R3892">
        <v>0.95270746990753197</v>
      </c>
      <c r="S3892" t="s">
        <v>10203</v>
      </c>
      <c r="T3892" t="s">
        <v>12620</v>
      </c>
      <c r="U3892" t="s">
        <v>12620</v>
      </c>
      <c r="V3892" t="s">
        <v>12620</v>
      </c>
      <c r="W3892" t="s">
        <v>16462</v>
      </c>
      <c r="X3892">
        <v>5</v>
      </c>
      <c r="Y3892" t="s">
        <v>22586</v>
      </c>
      <c r="Z3892" t="s">
        <v>28839</v>
      </c>
      <c r="AA3892">
        <v>0.48979827806712523</v>
      </c>
      <c r="AB3892" t="str">
        <f>HYPERLINK("Melting_Curves/meltCurve_Q7Z7L7_ZER1.pdf", "Melting_Curves/meltCurve_Q7Z7L7_ZER1.pdf")</f>
        <v>Melting_Curves/meltCurve_Q7Z7L7_ZER1.pdf</v>
      </c>
    </row>
    <row r="3893" spans="1:28" x14ac:dyDescent="0.25">
      <c r="A3893" t="s">
        <v>3897</v>
      </c>
      <c r="B3893">
        <v>0.99987803227770999</v>
      </c>
      <c r="C3893">
        <v>1.0070208189580501</v>
      </c>
      <c r="D3893">
        <v>1.1607035305275799</v>
      </c>
      <c r="E3893">
        <v>0.95588107682074996</v>
      </c>
      <c r="F3893">
        <v>1.1111322747016099</v>
      </c>
      <c r="G3893">
        <v>0.93762667978871195</v>
      </c>
      <c r="H3893">
        <v>1.0067219027688299</v>
      </c>
      <c r="I3893">
        <v>0.92097048639611201</v>
      </c>
      <c r="J3893">
        <v>0.912403521551573</v>
      </c>
      <c r="K3893">
        <v>0.75411715729662998</v>
      </c>
      <c r="L3893">
        <v>1416.10061490677</v>
      </c>
      <c r="M3893">
        <v>19.0718261049701</v>
      </c>
      <c r="Q3893">
        <v>0</v>
      </c>
      <c r="R3893">
        <v>0.59199761549809105</v>
      </c>
      <c r="S3893" t="s">
        <v>10204</v>
      </c>
      <c r="T3893" t="s">
        <v>12620</v>
      </c>
      <c r="U3893" t="s">
        <v>12620</v>
      </c>
      <c r="V3893" t="s">
        <v>12620</v>
      </c>
      <c r="W3893" t="s">
        <v>16463</v>
      </c>
      <c r="X3893">
        <v>3</v>
      </c>
      <c r="Y3893" t="s">
        <v>22587</v>
      </c>
      <c r="Z3893" t="s">
        <v>28840</v>
      </c>
      <c r="AA3893">
        <v>0.97140301339181812</v>
      </c>
      <c r="AB3893" t="str">
        <f>HYPERLINK("Melting_Curves/meltCurve_Q7Z7L9_ZSCAN2.pdf", "Melting_Curves/meltCurve_Q7Z7L9_ZSCAN2.pdf")</f>
        <v>Melting_Curves/meltCurve_Q7Z7L9_ZSCAN2.pdf</v>
      </c>
    </row>
    <row r="3894" spans="1:28" x14ac:dyDescent="0.25">
      <c r="A3894" t="s">
        <v>3898</v>
      </c>
      <c r="B3894">
        <v>0.99987803227770999</v>
      </c>
      <c r="C3894">
        <v>0.84680128022492895</v>
      </c>
      <c r="D3894">
        <v>1.1843068547011499</v>
      </c>
      <c r="E3894">
        <v>0.99574586001848098</v>
      </c>
      <c r="F3894">
        <v>1.3830176285420599</v>
      </c>
      <c r="G3894">
        <v>1.22736367819959</v>
      </c>
      <c r="H3894">
        <v>1.27872255096389</v>
      </c>
      <c r="I3894">
        <v>1.52833503231393</v>
      </c>
      <c r="J3894">
        <v>1.0379318077973501</v>
      </c>
      <c r="K3894">
        <v>0.96830501661199697</v>
      </c>
      <c r="L3894">
        <v>1243.5914054386401</v>
      </c>
      <c r="M3894">
        <v>25.661672294365701</v>
      </c>
      <c r="O3894">
        <v>48.169647477401902</v>
      </c>
      <c r="P3894">
        <v>2.9903603459254701E-2</v>
      </c>
      <c r="Q3894">
        <v>1.22452596506216</v>
      </c>
      <c r="R3894">
        <v>0.26084408261393799</v>
      </c>
      <c r="S3894" t="s">
        <v>10205</v>
      </c>
      <c r="T3894" t="s">
        <v>12620</v>
      </c>
      <c r="U3894" t="s">
        <v>12620</v>
      </c>
      <c r="V3894" t="s">
        <v>12620</v>
      </c>
      <c r="W3894" t="s">
        <v>16464</v>
      </c>
      <c r="X3894">
        <v>1</v>
      </c>
      <c r="Y3894" t="s">
        <v>22588</v>
      </c>
      <c r="Z3894" t="s">
        <v>28841</v>
      </c>
      <c r="AA3894">
        <v>1.1593226582236169</v>
      </c>
      <c r="AB3894" t="str">
        <f>HYPERLINK("Melting_Curves/meltCurve_Q86SJ2_AMIGO2.pdf", "Melting_Curves/meltCurve_Q86SJ2_AMIGO2.pdf")</f>
        <v>Melting_Curves/meltCurve_Q86SJ2_AMIGO2.pdf</v>
      </c>
    </row>
    <row r="3895" spans="1:28" x14ac:dyDescent="0.25">
      <c r="A3895" t="s">
        <v>3899</v>
      </c>
      <c r="B3895">
        <v>0.99987803227770999</v>
      </c>
      <c r="C3895">
        <v>0.94429327029629195</v>
      </c>
      <c r="D3895">
        <v>0.96283425534611899</v>
      </c>
      <c r="E3895">
        <v>0.84899945868582705</v>
      </c>
      <c r="F3895">
        <v>0.86459798731314097</v>
      </c>
      <c r="G3895">
        <v>0.75694103457889195</v>
      </c>
      <c r="H3895">
        <v>0.80628869286988802</v>
      </c>
      <c r="I3895">
        <v>0.80109286691850201</v>
      </c>
      <c r="J3895">
        <v>0.79610445931194995</v>
      </c>
      <c r="K3895">
        <v>0.65119195147089803</v>
      </c>
      <c r="L3895">
        <v>370.78125021519401</v>
      </c>
      <c r="M3895">
        <v>6.7385133756387301</v>
      </c>
      <c r="O3895">
        <v>50.786669235220003</v>
      </c>
      <c r="P3895">
        <v>-1.11988616343663E-2</v>
      </c>
      <c r="Q3895">
        <v>0.66310455403498902</v>
      </c>
      <c r="R3895">
        <v>0.81796624924905703</v>
      </c>
      <c r="S3895" t="s">
        <v>10206</v>
      </c>
      <c r="T3895" t="s">
        <v>12620</v>
      </c>
      <c r="U3895" t="s">
        <v>12620</v>
      </c>
      <c r="V3895" t="s">
        <v>12620</v>
      </c>
      <c r="W3895" t="s">
        <v>16465</v>
      </c>
      <c r="X3895">
        <v>28</v>
      </c>
      <c r="Y3895" t="s">
        <v>22589</v>
      </c>
      <c r="Z3895" t="s">
        <v>28842</v>
      </c>
      <c r="AA3895">
        <v>0.84080237957958603</v>
      </c>
      <c r="AB3895" t="str">
        <f>HYPERLINK("Melting_Curves/meltCurve_Q86SQ0_PHLDB2.pdf", "Melting_Curves/meltCurve_Q86SQ0_PHLDB2.pdf")</f>
        <v>Melting_Curves/meltCurve_Q86SQ0_PHLDB2.pdf</v>
      </c>
    </row>
    <row r="3896" spans="1:28" x14ac:dyDescent="0.25">
      <c r="A3896" t="s">
        <v>3900</v>
      </c>
      <c r="B3896">
        <v>0.99987803227770999</v>
      </c>
      <c r="C3896">
        <v>0.87987890686647197</v>
      </c>
      <c r="D3896">
        <v>1.0117139166120599</v>
      </c>
      <c r="E3896">
        <v>0.82870024224025796</v>
      </c>
      <c r="F3896">
        <v>0.88888192289353496</v>
      </c>
      <c r="G3896">
        <v>0.75404165367960096</v>
      </c>
      <c r="H3896">
        <v>0.84234355275281203</v>
      </c>
      <c r="I3896">
        <v>0.78846091147849195</v>
      </c>
      <c r="J3896">
        <v>0.75957893586368497</v>
      </c>
      <c r="K3896">
        <v>0.60667150206530995</v>
      </c>
      <c r="L3896">
        <v>245.64903471084</v>
      </c>
      <c r="M3896">
        <v>2.7516360692911102</v>
      </c>
      <c r="O3896">
        <v>63.168961303434102</v>
      </c>
      <c r="P3896">
        <v>-1.13194623482185E-2</v>
      </c>
      <c r="Q3896">
        <v>0</v>
      </c>
      <c r="R3896">
        <v>0.72297152021886102</v>
      </c>
      <c r="S3896" t="s">
        <v>10207</v>
      </c>
      <c r="T3896" t="s">
        <v>12620</v>
      </c>
      <c r="U3896" t="s">
        <v>12620</v>
      </c>
      <c r="V3896" t="s">
        <v>12620</v>
      </c>
      <c r="W3896" t="s">
        <v>16466</v>
      </c>
      <c r="X3896">
        <v>28</v>
      </c>
      <c r="Y3896" t="s">
        <v>22589</v>
      </c>
      <c r="Z3896" t="s">
        <v>28843</v>
      </c>
      <c r="AA3896">
        <v>0.83960070399336939</v>
      </c>
      <c r="AB3896" t="str">
        <f>HYPERLINK("Melting_Curves/meltCurve_Q86SQ0_2_PHLDB2.pdf", "Melting_Curves/meltCurve_Q86SQ0_2_PHLDB2.pdf")</f>
        <v>Melting_Curves/meltCurve_Q86SQ0_2_PHLDB2.pdf</v>
      </c>
    </row>
    <row r="3897" spans="1:28" x14ac:dyDescent="0.25">
      <c r="A3897" t="s">
        <v>3901</v>
      </c>
      <c r="B3897">
        <v>0.99987803227770999</v>
      </c>
      <c r="C3897">
        <v>1.15165857128868</v>
      </c>
      <c r="D3897">
        <v>0.99234493870595597</v>
      </c>
      <c r="E3897">
        <v>1.1480531642890901</v>
      </c>
      <c r="F3897">
        <v>1.02054646066629</v>
      </c>
      <c r="G3897">
        <v>1.1264718019502999</v>
      </c>
      <c r="H3897">
        <v>1.2322766874690201</v>
      </c>
      <c r="I3897">
        <v>1.34055203013977</v>
      </c>
      <c r="J3897">
        <v>0.97003057185699204</v>
      </c>
      <c r="K3897">
        <v>0.71625177095574499</v>
      </c>
      <c r="L3897">
        <v>15000</v>
      </c>
      <c r="M3897">
        <v>221.74322643653801</v>
      </c>
      <c r="O3897">
        <v>67.64030805838</v>
      </c>
      <c r="P3897">
        <v>-0.23268517667858399</v>
      </c>
      <c r="Q3897">
        <v>0.71608789134358597</v>
      </c>
      <c r="R3897">
        <v>0.123789822229233</v>
      </c>
      <c r="S3897" t="s">
        <v>10208</v>
      </c>
      <c r="T3897" t="s">
        <v>12620</v>
      </c>
      <c r="U3897" t="s">
        <v>12620</v>
      </c>
      <c r="V3897" t="s">
        <v>12620</v>
      </c>
      <c r="W3897" t="s">
        <v>16467</v>
      </c>
      <c r="X3897">
        <v>9</v>
      </c>
      <c r="Y3897" t="s">
        <v>22590</v>
      </c>
      <c r="Z3897" t="s">
        <v>28844</v>
      </c>
      <c r="AA3897">
        <v>0.97776160296957437</v>
      </c>
      <c r="AB3897" t="str">
        <f>HYPERLINK("Melting_Curves/meltCurve_Q86SQ4_GPR126.pdf", "Melting_Curves/meltCurve_Q86SQ4_GPR126.pdf")</f>
        <v>Melting_Curves/meltCurve_Q86SQ4_GPR126.pdf</v>
      </c>
    </row>
    <row r="3898" spans="1:28" x14ac:dyDescent="0.25">
      <c r="A3898" t="s">
        <v>3902</v>
      </c>
      <c r="B3898">
        <v>0.99987803227770999</v>
      </c>
      <c r="C3898">
        <v>0.93700974400461701</v>
      </c>
      <c r="D3898">
        <v>1.0728148727956699</v>
      </c>
      <c r="E3898">
        <v>0.93882950021253297</v>
      </c>
      <c r="F3898">
        <v>1.0638067939638001</v>
      </c>
      <c r="G3898">
        <v>0.870149323098376</v>
      </c>
      <c r="H3898">
        <v>0.98900125531866001</v>
      </c>
      <c r="I3898">
        <v>0.81120776160770003</v>
      </c>
      <c r="J3898">
        <v>1.02194383913715</v>
      </c>
      <c r="K3898">
        <v>0.87119094762543103</v>
      </c>
      <c r="L3898">
        <v>13745.024827821</v>
      </c>
      <c r="M3898">
        <v>250</v>
      </c>
      <c r="O3898">
        <v>54.976581247596798</v>
      </c>
      <c r="P3898">
        <v>-9.9248538395437805E-2</v>
      </c>
      <c r="Q3898">
        <v>0.91269847521866698</v>
      </c>
      <c r="R3898">
        <v>0.29239779900724799</v>
      </c>
      <c r="S3898" t="s">
        <v>10209</v>
      </c>
      <c r="T3898" t="s">
        <v>12620</v>
      </c>
      <c r="U3898" t="s">
        <v>12620</v>
      </c>
      <c r="V3898" t="s">
        <v>12620</v>
      </c>
      <c r="W3898" t="s">
        <v>16468</v>
      </c>
      <c r="X3898">
        <v>7</v>
      </c>
      <c r="Y3898" t="s">
        <v>22591</v>
      </c>
      <c r="Z3898" t="s">
        <v>28845</v>
      </c>
      <c r="AA3898">
        <v>0.95629974924960648</v>
      </c>
      <c r="AB3898" t="str">
        <f>HYPERLINK("Melting_Curves/meltCurve_Q86SQ7_SDCCAG8.pdf", "Melting_Curves/meltCurve_Q86SQ7_SDCCAG8.pdf")</f>
        <v>Melting_Curves/meltCurve_Q86SQ7_SDCCAG8.pdf</v>
      </c>
    </row>
    <row r="3899" spans="1:28" x14ac:dyDescent="0.25">
      <c r="A3899" t="s">
        <v>3903</v>
      </c>
      <c r="B3899">
        <v>0.99987803227770999</v>
      </c>
      <c r="C3899">
        <v>0.87376247726154199</v>
      </c>
      <c r="D3899">
        <v>0.96082099986797898</v>
      </c>
      <c r="E3899">
        <v>0.88224577168173202</v>
      </c>
      <c r="F3899">
        <v>1.0042620547404999</v>
      </c>
      <c r="G3899">
        <v>0.84525206320247004</v>
      </c>
      <c r="H3899">
        <v>0.73332910909011595</v>
      </c>
      <c r="I3899">
        <v>0.71337055841348695</v>
      </c>
      <c r="J3899">
        <v>0.230508417672139</v>
      </c>
      <c r="K3899">
        <v>0.47317273951542699</v>
      </c>
      <c r="L3899">
        <v>1050.2947780248701</v>
      </c>
      <c r="M3899">
        <v>16.662685635573801</v>
      </c>
      <c r="N3899">
        <v>65.731100781116695</v>
      </c>
      <c r="O3899">
        <v>62.145857229044303</v>
      </c>
      <c r="P3899">
        <v>-5.0429815268287999E-2</v>
      </c>
      <c r="Q3899">
        <v>0.24770962302395899</v>
      </c>
      <c r="R3899">
        <v>0.80061997809237395</v>
      </c>
      <c r="S3899" t="s">
        <v>10210</v>
      </c>
      <c r="T3899" t="s">
        <v>12620</v>
      </c>
      <c r="U3899" t="s">
        <v>12620</v>
      </c>
      <c r="V3899" t="s">
        <v>12620</v>
      </c>
      <c r="W3899" t="s">
        <v>16469</v>
      </c>
      <c r="X3899">
        <v>4</v>
      </c>
      <c r="Y3899" t="s">
        <v>22592</v>
      </c>
      <c r="Z3899" t="s">
        <v>28846</v>
      </c>
      <c r="AA3899">
        <v>0.82102253262983682</v>
      </c>
      <c r="AB3899" t="str">
        <f>HYPERLINK("Melting_Curves/meltCurve_Q86SX6_GLRX5.pdf", "Melting_Curves/meltCurve_Q86SX6_GLRX5.pdf")</f>
        <v>Melting_Curves/meltCurve_Q86SX6_GLRX5.pdf</v>
      </c>
    </row>
    <row r="3900" spans="1:28" x14ac:dyDescent="0.25">
      <c r="A3900" t="s">
        <v>3904</v>
      </c>
      <c r="B3900">
        <v>0.99987803227770999</v>
      </c>
      <c r="C3900">
        <v>0.99246649434221801</v>
      </c>
      <c r="D3900">
        <v>1.0189662095751899</v>
      </c>
      <c r="E3900">
        <v>1.1103711437805099</v>
      </c>
      <c r="F3900">
        <v>1.2133676781541001</v>
      </c>
      <c r="G3900">
        <v>0.47848472698393402</v>
      </c>
      <c r="H3900">
        <v>0.13745817083334799</v>
      </c>
      <c r="I3900">
        <v>8.2326255301767001E-2</v>
      </c>
      <c r="J3900">
        <v>5.2437301275693203E-2</v>
      </c>
      <c r="K3900">
        <v>3.6096670872320602E-2</v>
      </c>
      <c r="L3900">
        <v>11115.092841385</v>
      </c>
      <c r="M3900">
        <v>195.263393688485</v>
      </c>
      <c r="N3900">
        <v>56.972456653962702</v>
      </c>
      <c r="O3900">
        <v>56.917616498115201</v>
      </c>
      <c r="P3900">
        <v>-0.79155065124922197</v>
      </c>
      <c r="Q3900">
        <v>7.7078905863614405E-2</v>
      </c>
      <c r="R3900">
        <v>0.97138071558356598</v>
      </c>
      <c r="S3900" t="s">
        <v>10211</v>
      </c>
      <c r="T3900" t="s">
        <v>12620</v>
      </c>
      <c r="U3900" t="s">
        <v>12620</v>
      </c>
      <c r="V3900" t="s">
        <v>12620</v>
      </c>
      <c r="W3900" t="s">
        <v>16470</v>
      </c>
      <c r="X3900">
        <v>4</v>
      </c>
      <c r="Y3900" t="s">
        <v>22593</v>
      </c>
      <c r="Z3900" t="s">
        <v>28847</v>
      </c>
      <c r="AA3900">
        <v>0.59786792102291741</v>
      </c>
      <c r="AB3900" t="str">
        <f>HYPERLINK("Melting_Curves/meltCurve_Q86SZ2_TRAPPC6B.pdf", "Melting_Curves/meltCurve_Q86SZ2_TRAPPC6B.pdf")</f>
        <v>Melting_Curves/meltCurve_Q86SZ2_TRAPPC6B.pdf</v>
      </c>
    </row>
    <row r="3901" spans="1:28" x14ac:dyDescent="0.25">
      <c r="A3901" t="s">
        <v>3905</v>
      </c>
      <c r="B3901">
        <v>0.99987803227770999</v>
      </c>
      <c r="C3901">
        <v>0.68805191808367805</v>
      </c>
      <c r="D3901">
        <v>1.01663449566166</v>
      </c>
      <c r="E3901">
        <v>1.02039940924354</v>
      </c>
      <c r="F3901">
        <v>1.04036017150432</v>
      </c>
      <c r="G3901">
        <v>0.49432327854342301</v>
      </c>
      <c r="H3901">
        <v>0.43843324396743999</v>
      </c>
      <c r="I3901">
        <v>0.33538447716900599</v>
      </c>
      <c r="J3901">
        <v>0.245641966967309</v>
      </c>
      <c r="K3901">
        <v>0.1920467923128</v>
      </c>
      <c r="L3901">
        <v>5131.7555533119203</v>
      </c>
      <c r="M3901">
        <v>90.990349702885297</v>
      </c>
      <c r="N3901">
        <v>56.980414295906499</v>
      </c>
      <c r="O3901">
        <v>56.3716733434932</v>
      </c>
      <c r="P3901">
        <v>-0.28148266317346399</v>
      </c>
      <c r="Q3901">
        <v>0.30244702308399002</v>
      </c>
      <c r="R3901">
        <v>0.87640084602244905</v>
      </c>
      <c r="S3901" t="s">
        <v>10212</v>
      </c>
      <c r="T3901" t="s">
        <v>12620</v>
      </c>
      <c r="U3901" t="s">
        <v>12620</v>
      </c>
      <c r="V3901" t="s">
        <v>12620</v>
      </c>
      <c r="W3901" t="s">
        <v>16471</v>
      </c>
      <c r="X3901">
        <v>6</v>
      </c>
      <c r="Y3901" t="s">
        <v>22594</v>
      </c>
      <c r="Z3901" t="s">
        <v>28848</v>
      </c>
      <c r="AA3901">
        <v>0.68427235074191528</v>
      </c>
      <c r="AB3901" t="str">
        <f>HYPERLINK("Melting_Curves/meltCurve_Q86T24_ZBTB33.pdf", "Melting_Curves/meltCurve_Q86T24_ZBTB33.pdf")</f>
        <v>Melting_Curves/meltCurve_Q86T24_ZBTB33.pdf</v>
      </c>
    </row>
    <row r="3902" spans="1:28" x14ac:dyDescent="0.25">
      <c r="A3902" t="s">
        <v>3906</v>
      </c>
      <c r="B3902">
        <v>0.99987803227770999</v>
      </c>
      <c r="C3902">
        <v>0.84759168351981795</v>
      </c>
      <c r="D3902">
        <v>1.0383544687272801</v>
      </c>
      <c r="E3902">
        <v>0.81730875945607095</v>
      </c>
      <c r="F3902">
        <v>0.45352459860764999</v>
      </c>
      <c r="G3902">
        <v>0.15615105290275599</v>
      </c>
      <c r="H3902">
        <v>0.12665449152241701</v>
      </c>
      <c r="I3902">
        <v>0.13531900293706001</v>
      </c>
      <c r="J3902">
        <v>8.4094044916599497E-2</v>
      </c>
      <c r="K3902">
        <v>5.6352201172750402E-2</v>
      </c>
      <c r="L3902">
        <v>1617.7994972245299</v>
      </c>
      <c r="M3902">
        <v>30.950338760782198</v>
      </c>
      <c r="N3902">
        <v>52.632453855243</v>
      </c>
      <c r="O3902">
        <v>52.054057726521101</v>
      </c>
      <c r="P3902">
        <v>-0.13440760015771899</v>
      </c>
      <c r="Q3902">
        <v>9.5787524975216698E-2</v>
      </c>
      <c r="R3902">
        <v>0.98081564794713505</v>
      </c>
      <c r="S3902" t="s">
        <v>10213</v>
      </c>
      <c r="T3902" t="s">
        <v>12620</v>
      </c>
      <c r="U3902" t="s">
        <v>12620</v>
      </c>
      <c r="V3902" t="s">
        <v>12620</v>
      </c>
      <c r="W3902" t="s">
        <v>16472</v>
      </c>
      <c r="X3902">
        <v>6</v>
      </c>
      <c r="Y3902" t="s">
        <v>22595</v>
      </c>
      <c r="Z3902" t="s">
        <v>28849</v>
      </c>
      <c r="AA3902">
        <v>0.47108910896788658</v>
      </c>
      <c r="AB3902" t="str">
        <f>HYPERLINK("Melting_Curves/meltCurve_Q86TA1_MOB3B.pdf", "Melting_Curves/meltCurve_Q86TA1_MOB3B.pdf")</f>
        <v>Melting_Curves/meltCurve_Q86TA1_MOB3B.pdf</v>
      </c>
    </row>
    <row r="3903" spans="1:28" x14ac:dyDescent="0.25">
      <c r="A3903" t="s">
        <v>3907</v>
      </c>
      <c r="B3903">
        <v>0.99987803227770999</v>
      </c>
      <c r="C3903">
        <v>0.86869737882477305</v>
      </c>
      <c r="D3903">
        <v>0.98891041352343301</v>
      </c>
      <c r="E3903">
        <v>0.89344832204702596</v>
      </c>
      <c r="F3903">
        <v>1.0067354106169899</v>
      </c>
      <c r="G3903">
        <v>0.86955277333958203</v>
      </c>
      <c r="H3903">
        <v>0.94480349143102205</v>
      </c>
      <c r="I3903">
        <v>0.85813997405409903</v>
      </c>
      <c r="J3903">
        <v>0.89850108015934305</v>
      </c>
      <c r="K3903">
        <v>0.76793807920405699</v>
      </c>
      <c r="L3903">
        <v>209.783799794456</v>
      </c>
      <c r="M3903">
        <v>1.39393325170562</v>
      </c>
      <c r="O3903">
        <v>69.884283483711201</v>
      </c>
      <c r="P3903">
        <v>-5.9719176843444103E-3</v>
      </c>
      <c r="Q3903">
        <v>0</v>
      </c>
      <c r="R3903">
        <v>0.38282793024379802</v>
      </c>
      <c r="S3903" t="s">
        <v>10214</v>
      </c>
      <c r="T3903" t="s">
        <v>12620</v>
      </c>
      <c r="U3903" t="s">
        <v>12620</v>
      </c>
      <c r="V3903" t="s">
        <v>12620</v>
      </c>
      <c r="W3903" t="s">
        <v>16473</v>
      </c>
      <c r="X3903">
        <v>7</v>
      </c>
      <c r="Y3903" t="s">
        <v>22596</v>
      </c>
      <c r="Z3903" t="s">
        <v>28850</v>
      </c>
      <c r="AA3903">
        <v>0.91415804133068435</v>
      </c>
      <c r="AB3903" t="str">
        <f>HYPERLINK("Melting_Curves/meltCurve_Q86TB3_ALPK2.pdf", "Melting_Curves/meltCurve_Q86TB3_ALPK2.pdf")</f>
        <v>Melting_Curves/meltCurve_Q86TB3_ALPK2.pdf</v>
      </c>
    </row>
    <row r="3904" spans="1:28" x14ac:dyDescent="0.25">
      <c r="A3904" t="s">
        <v>3908</v>
      </c>
      <c r="B3904">
        <v>0.99987803227770999</v>
      </c>
      <c r="C3904">
        <v>0.99812517484908903</v>
      </c>
      <c r="D3904">
        <v>0.83426217306155603</v>
      </c>
      <c r="E3904">
        <v>0.72964606483266403</v>
      </c>
      <c r="F3904">
        <v>0.46639608610250199</v>
      </c>
      <c r="G3904">
        <v>0.346903506943679</v>
      </c>
      <c r="H3904">
        <v>0.32487326449079601</v>
      </c>
      <c r="I3904">
        <v>0.32029707447112099</v>
      </c>
      <c r="J3904">
        <v>0.237067178405139</v>
      </c>
      <c r="K3904">
        <v>0.21530810855714</v>
      </c>
      <c r="L3904">
        <v>804.15023526311404</v>
      </c>
      <c r="M3904">
        <v>15.7836605617633</v>
      </c>
      <c r="N3904">
        <v>53.163693769440101</v>
      </c>
      <c r="O3904">
        <v>50.151471073657298</v>
      </c>
      <c r="P3904">
        <v>-5.9724002143000297E-2</v>
      </c>
      <c r="Q3904">
        <v>0.24098753974762099</v>
      </c>
      <c r="R3904">
        <v>0.98448866367512899</v>
      </c>
      <c r="S3904" t="s">
        <v>10215</v>
      </c>
      <c r="T3904" t="s">
        <v>12620</v>
      </c>
      <c r="U3904" t="s">
        <v>12620</v>
      </c>
      <c r="V3904" t="s">
        <v>12620</v>
      </c>
      <c r="W3904" t="s">
        <v>16474</v>
      </c>
      <c r="X3904">
        <v>14</v>
      </c>
      <c r="Y3904" t="s">
        <v>22597</v>
      </c>
      <c r="Z3904" t="s">
        <v>28851</v>
      </c>
      <c r="AA3904">
        <v>0.53410633280471698</v>
      </c>
      <c r="AB3904" t="str">
        <f>HYPERLINK("Melting_Curves/meltCurve_Q86TB9_4_PATL1.pdf", "Melting_Curves/meltCurve_Q86TB9_4_PATL1.pdf")</f>
        <v>Melting_Curves/meltCurve_Q86TB9_4_PATL1.pdf</v>
      </c>
    </row>
    <row r="3905" spans="1:28" x14ac:dyDescent="0.25">
      <c r="A3905" t="s">
        <v>3909</v>
      </c>
      <c r="B3905">
        <v>0.99987803227770999</v>
      </c>
      <c r="C3905">
        <v>0.619879986412192</v>
      </c>
      <c r="D3905">
        <v>0.36565730860798901</v>
      </c>
      <c r="E3905">
        <v>0.25096997419101902</v>
      </c>
      <c r="F3905">
        <v>0.21566243308011299</v>
      </c>
      <c r="G3905">
        <v>0.13225371445170001</v>
      </c>
      <c r="H3905">
        <v>0.159202512023563</v>
      </c>
      <c r="I3905">
        <v>0.13934515519881599</v>
      </c>
      <c r="J3905">
        <v>0.15197696093177501</v>
      </c>
      <c r="K3905">
        <v>0.11785670167431</v>
      </c>
      <c r="L3905">
        <v>1029.73688920529</v>
      </c>
      <c r="M3905">
        <v>23.554005984643101</v>
      </c>
      <c r="N3905">
        <v>44.428867882268896</v>
      </c>
      <c r="O3905">
        <v>43.406653229420499</v>
      </c>
      <c r="P3905">
        <v>-0.11436579889279699</v>
      </c>
      <c r="Q3905">
        <v>0.15697533442480399</v>
      </c>
      <c r="R3905">
        <v>0.976206535941325</v>
      </c>
      <c r="S3905" t="s">
        <v>10216</v>
      </c>
      <c r="T3905" t="s">
        <v>12620</v>
      </c>
      <c r="U3905" t="s">
        <v>12620</v>
      </c>
      <c r="V3905" t="s">
        <v>12620</v>
      </c>
      <c r="W3905" t="s">
        <v>16475</v>
      </c>
      <c r="X3905">
        <v>2</v>
      </c>
      <c r="Y3905" t="s">
        <v>22598</v>
      </c>
      <c r="Z3905" t="s">
        <v>28852</v>
      </c>
      <c r="AA3905">
        <v>0.27321558360998521</v>
      </c>
      <c r="AB3905" t="str">
        <f>HYPERLINK("Melting_Curves/meltCurve_Q86TG7_2_PEG10.pdf", "Melting_Curves/meltCurve_Q86TG7_2_PEG10.pdf")</f>
        <v>Melting_Curves/meltCurve_Q86TG7_2_PEG10.pdf</v>
      </c>
    </row>
    <row r="3906" spans="1:28" x14ac:dyDescent="0.25">
      <c r="A3906" t="s">
        <v>3910</v>
      </c>
      <c r="B3906">
        <v>0.99987803227770999</v>
      </c>
      <c r="C3906">
        <v>0.99660864247616798</v>
      </c>
      <c r="D3906">
        <v>1.1404136089874199</v>
      </c>
      <c r="E3906">
        <v>0.98468604650162495</v>
      </c>
      <c r="F3906">
        <v>1.0245315380762801</v>
      </c>
      <c r="G3906">
        <v>0.90143986522597397</v>
      </c>
      <c r="H3906">
        <v>1.0199705184854699</v>
      </c>
      <c r="I3906">
        <v>0.91629084970612795</v>
      </c>
      <c r="J3906">
        <v>1.0584907154303</v>
      </c>
      <c r="K3906">
        <v>0.89966607709367796</v>
      </c>
      <c r="L3906">
        <v>15000</v>
      </c>
      <c r="M3906">
        <v>212.09213996519799</v>
      </c>
      <c r="Q3906">
        <v>0</v>
      </c>
      <c r="R3906">
        <v>0.191389085038736</v>
      </c>
      <c r="S3906" t="s">
        <v>10217</v>
      </c>
      <c r="T3906" t="s">
        <v>12620</v>
      </c>
      <c r="U3906" t="s">
        <v>12620</v>
      </c>
      <c r="V3906" t="s">
        <v>12620</v>
      </c>
      <c r="W3906" t="s">
        <v>16476</v>
      </c>
      <c r="X3906">
        <v>3</v>
      </c>
      <c r="Y3906" t="s">
        <v>22599</v>
      </c>
      <c r="Z3906" t="s">
        <v>28853</v>
      </c>
      <c r="AA3906">
        <v>0.99885963838920533</v>
      </c>
      <c r="AB3906" t="str">
        <f>HYPERLINK("Melting_Curves/meltCurve_Q86TI0_2_TBC1D1.pdf", "Melting_Curves/meltCurve_Q86TI0_2_TBC1D1.pdf")</f>
        <v>Melting_Curves/meltCurve_Q86TI0_2_TBC1D1.pdf</v>
      </c>
    </row>
    <row r="3907" spans="1:28" x14ac:dyDescent="0.25">
      <c r="A3907" t="s">
        <v>3911</v>
      </c>
      <c r="B3907">
        <v>0.99987803227770999</v>
      </c>
      <c r="C3907">
        <v>1.0537387092625199</v>
      </c>
      <c r="D3907">
        <v>0.87970707537523296</v>
      </c>
      <c r="E3907">
        <v>0.95941812953192596</v>
      </c>
      <c r="F3907">
        <v>0.28526607202247301</v>
      </c>
      <c r="G3907">
        <v>0.15936873373744301</v>
      </c>
      <c r="H3907">
        <v>0.101960365639003</v>
      </c>
      <c r="I3907">
        <v>8.9259975211879894E-2</v>
      </c>
      <c r="J3907">
        <v>6.5477722949077499E-2</v>
      </c>
      <c r="K3907">
        <v>4.4809416226983402E-2</v>
      </c>
      <c r="L3907">
        <v>3770.7077239893902</v>
      </c>
      <c r="M3907">
        <v>72.440264360098894</v>
      </c>
      <c r="N3907">
        <v>52.198415547648899</v>
      </c>
      <c r="O3907">
        <v>52.013022984669398</v>
      </c>
      <c r="P3907">
        <v>-0.31629616170483799</v>
      </c>
      <c r="Q3907">
        <v>9.1581651281294599E-2</v>
      </c>
      <c r="R3907">
        <v>0.98614959181972905</v>
      </c>
      <c r="S3907" t="s">
        <v>10218</v>
      </c>
      <c r="T3907" t="s">
        <v>12620</v>
      </c>
      <c r="U3907" t="s">
        <v>12620</v>
      </c>
      <c r="V3907" t="s">
        <v>12620</v>
      </c>
      <c r="W3907" t="s">
        <v>16477</v>
      </c>
      <c r="X3907">
        <v>13</v>
      </c>
      <c r="Y3907" t="s">
        <v>22600</v>
      </c>
      <c r="Z3907" t="s">
        <v>28854</v>
      </c>
      <c r="AA3907">
        <v>0.45753403802131432</v>
      </c>
      <c r="AB3907" t="str">
        <f>HYPERLINK("Melting_Curves/meltCurve_Q86TI2_2_DPP9.pdf", "Melting_Curves/meltCurve_Q86TI2_2_DPP9.pdf")</f>
        <v>Melting_Curves/meltCurve_Q86TI2_2_DPP9.pdf</v>
      </c>
    </row>
    <row r="3908" spans="1:28" x14ac:dyDescent="0.25">
      <c r="A3908" t="s">
        <v>3912</v>
      </c>
      <c r="B3908">
        <v>0.99987803227770999</v>
      </c>
      <c r="C3908">
        <v>0.98622487190038399</v>
      </c>
      <c r="D3908">
        <v>1.0116186311350901</v>
      </c>
      <c r="E3908">
        <v>0.86653044646019906</v>
      </c>
      <c r="F3908">
        <v>0.66330121271984099</v>
      </c>
      <c r="G3908">
        <v>0.29496093822930503</v>
      </c>
      <c r="H3908">
        <v>0.26216628986825602</v>
      </c>
      <c r="I3908">
        <v>0.24436347446371801</v>
      </c>
      <c r="J3908">
        <v>0.31019662630013001</v>
      </c>
      <c r="K3908">
        <v>0.14276214626212899</v>
      </c>
      <c r="L3908">
        <v>1529.40634510314</v>
      </c>
      <c r="M3908">
        <v>28.731929677770498</v>
      </c>
      <c r="N3908">
        <v>54.378987459731398</v>
      </c>
      <c r="O3908">
        <v>52.974341178694999</v>
      </c>
      <c r="P3908">
        <v>-0.104746538612201</v>
      </c>
      <c r="Q3908">
        <v>0.22750250421191701</v>
      </c>
      <c r="R3908">
        <v>0.98527117725063895</v>
      </c>
      <c r="S3908" t="s">
        <v>10219</v>
      </c>
      <c r="T3908" t="s">
        <v>12620</v>
      </c>
      <c r="U3908" t="s">
        <v>12620</v>
      </c>
      <c r="V3908" t="s">
        <v>12620</v>
      </c>
      <c r="W3908" t="s">
        <v>16478</v>
      </c>
      <c r="X3908">
        <v>2</v>
      </c>
      <c r="Y3908" t="s">
        <v>22601</v>
      </c>
      <c r="Z3908" t="s">
        <v>28855</v>
      </c>
      <c r="AA3908">
        <v>0.57364493355723833</v>
      </c>
      <c r="AB3908" t="str">
        <f>HYPERLINK("Melting_Curves/meltCurve_Q86TN4_TRPT1.pdf", "Melting_Curves/meltCurve_Q86TN4_TRPT1.pdf")</f>
        <v>Melting_Curves/meltCurve_Q86TN4_TRPT1.pdf</v>
      </c>
    </row>
    <row r="3909" spans="1:28" x14ac:dyDescent="0.25">
      <c r="A3909" t="s">
        <v>3913</v>
      </c>
      <c r="B3909">
        <v>0.99987803227770999</v>
      </c>
      <c r="C3909">
        <v>0.94549549704194802</v>
      </c>
      <c r="D3909">
        <v>0.95185286345708298</v>
      </c>
      <c r="E3909">
        <v>0.57819752677720704</v>
      </c>
      <c r="F3909">
        <v>0.30348575512597498</v>
      </c>
      <c r="G3909">
        <v>0.19442303097939301</v>
      </c>
      <c r="H3909">
        <v>0.123107438110119</v>
      </c>
      <c r="I3909">
        <v>9.59599448499492E-2</v>
      </c>
      <c r="J3909">
        <v>7.5167119554609793E-2</v>
      </c>
      <c r="K3909">
        <v>4.3410925728732203E-2</v>
      </c>
      <c r="L3909">
        <v>1126.1092578074099</v>
      </c>
      <c r="M3909">
        <v>22.2978737863418</v>
      </c>
      <c r="N3909">
        <v>50.915541263667699</v>
      </c>
      <c r="O3909">
        <v>50.102051053511097</v>
      </c>
      <c r="P3909">
        <v>-0.102069095844909</v>
      </c>
      <c r="Q3909">
        <v>8.2645675590816203E-2</v>
      </c>
      <c r="R3909">
        <v>0.99430914309700102</v>
      </c>
      <c r="S3909" t="s">
        <v>10220</v>
      </c>
      <c r="T3909" t="s">
        <v>12620</v>
      </c>
      <c r="U3909" t="s">
        <v>12620</v>
      </c>
      <c r="V3909" t="s">
        <v>12620</v>
      </c>
      <c r="W3909" t="s">
        <v>16479</v>
      </c>
      <c r="X3909">
        <v>9</v>
      </c>
      <c r="Y3909" t="s">
        <v>22602</v>
      </c>
      <c r="Z3909" t="s">
        <v>28856</v>
      </c>
      <c r="AA3909">
        <v>0.41414152794696357</v>
      </c>
      <c r="AB3909" t="str">
        <f>HYPERLINK("Melting_Curves/meltCurve_Q86TP1_PRUNE.pdf", "Melting_Curves/meltCurve_Q86TP1_PRUNE.pdf")</f>
        <v>Melting_Curves/meltCurve_Q86TP1_PRUNE.pdf</v>
      </c>
    </row>
    <row r="3910" spans="1:28" x14ac:dyDescent="0.25">
      <c r="A3910" t="s">
        <v>3914</v>
      </c>
      <c r="B3910">
        <v>0.99987803227770999</v>
      </c>
      <c r="C3910">
        <v>0.70600131053819903</v>
      </c>
      <c r="D3910">
        <v>0.88075730835218202</v>
      </c>
      <c r="E3910">
        <v>0.62075674912555701</v>
      </c>
      <c r="F3910">
        <v>0.19131483403912999</v>
      </c>
      <c r="G3910">
        <v>0.12200407409378899</v>
      </c>
      <c r="H3910">
        <v>6.3882655434315996E-2</v>
      </c>
      <c r="I3910">
        <v>6.2720552359404505E-2</v>
      </c>
      <c r="J3910">
        <v>4.73356953209308E-2</v>
      </c>
      <c r="K3910">
        <v>3.1610065540539502E-2</v>
      </c>
      <c r="L3910">
        <v>824.22487745380499</v>
      </c>
      <c r="M3910">
        <v>16.451079379421</v>
      </c>
      <c r="N3910">
        <v>50.202676000170698</v>
      </c>
      <c r="O3910">
        <v>49.378811105862297</v>
      </c>
      <c r="P3910">
        <v>-8.19389480118147E-2</v>
      </c>
      <c r="Q3910">
        <v>1.6292304387448799E-2</v>
      </c>
      <c r="R3910">
        <v>0.93728039107989103</v>
      </c>
      <c r="S3910" t="s">
        <v>10221</v>
      </c>
      <c r="T3910" t="s">
        <v>12620</v>
      </c>
      <c r="U3910" t="s">
        <v>12620</v>
      </c>
      <c r="V3910" t="s">
        <v>12620</v>
      </c>
      <c r="W3910" t="s">
        <v>16480</v>
      </c>
      <c r="X3910">
        <v>14</v>
      </c>
      <c r="Y3910" t="s">
        <v>22603</v>
      </c>
      <c r="Z3910" t="s">
        <v>28857</v>
      </c>
      <c r="AA3910">
        <v>0.36733312628102482</v>
      </c>
      <c r="AB3910" t="str">
        <f>HYPERLINK("Melting_Curves/meltCurve_Q86TU7_SETD3.pdf", "Melting_Curves/meltCurve_Q86TU7_SETD3.pdf")</f>
        <v>Melting_Curves/meltCurve_Q86TU7_SETD3.pdf</v>
      </c>
    </row>
    <row r="3911" spans="1:28" x14ac:dyDescent="0.25">
      <c r="A3911" t="s">
        <v>3915</v>
      </c>
      <c r="B3911">
        <v>0.99987803227770999</v>
      </c>
      <c r="C3911">
        <v>0.87360856630739703</v>
      </c>
      <c r="D3911">
        <v>0.93652475043304195</v>
      </c>
      <c r="E3911">
        <v>0.66299432410012604</v>
      </c>
      <c r="F3911">
        <v>0.46278325136356502</v>
      </c>
      <c r="G3911">
        <v>0.33408282664130101</v>
      </c>
      <c r="H3911">
        <v>0.275950386576158</v>
      </c>
      <c r="I3911">
        <v>0.23334314015808</v>
      </c>
      <c r="J3911">
        <v>0.24477810841391401</v>
      </c>
      <c r="K3911">
        <v>0.171894282314558</v>
      </c>
      <c r="L3911">
        <v>802.18245783838495</v>
      </c>
      <c r="M3911">
        <v>15.720230641892</v>
      </c>
      <c r="N3911">
        <v>52.741426524620898</v>
      </c>
      <c r="O3911">
        <v>50.224326231001903</v>
      </c>
      <c r="P3911">
        <v>-6.2612781042911694E-2</v>
      </c>
      <c r="Q3911">
        <v>0.199904760758536</v>
      </c>
      <c r="R3911">
        <v>0.98449693273680805</v>
      </c>
      <c r="S3911" t="s">
        <v>10222</v>
      </c>
      <c r="T3911" t="s">
        <v>12620</v>
      </c>
      <c r="U3911" t="s">
        <v>12620</v>
      </c>
      <c r="V3911" t="s">
        <v>12620</v>
      </c>
      <c r="W3911" t="s">
        <v>16481</v>
      </c>
      <c r="X3911">
        <v>8</v>
      </c>
      <c r="Y3911" t="s">
        <v>22604</v>
      </c>
      <c r="Z3911" t="s">
        <v>28858</v>
      </c>
      <c r="AA3911">
        <v>0.51111448181659691</v>
      </c>
      <c r="AB3911" t="str">
        <f>HYPERLINK("Melting_Curves/meltCurve_Q86TV2_LGMN.pdf", "Melting_Curves/meltCurve_Q86TV2_LGMN.pdf")</f>
        <v>Melting_Curves/meltCurve_Q86TV2_LGMN.pdf</v>
      </c>
    </row>
    <row r="3912" spans="1:28" x14ac:dyDescent="0.25">
      <c r="A3912" t="s">
        <v>3916</v>
      </c>
      <c r="B3912">
        <v>0.99987803227770999</v>
      </c>
      <c r="C3912">
        <v>0.985189279187207</v>
      </c>
      <c r="D3912">
        <v>1.02571500381942</v>
      </c>
      <c r="E3912">
        <v>0.85099413224434095</v>
      </c>
      <c r="F3912">
        <v>0.59859743774552698</v>
      </c>
      <c r="G3912">
        <v>0.211542179342735</v>
      </c>
      <c r="H3912">
        <v>0.168483197880024</v>
      </c>
      <c r="I3912">
        <v>0.15664520839695101</v>
      </c>
      <c r="J3912">
        <v>0.10595483853493599</v>
      </c>
      <c r="K3912">
        <v>6.2360348501256602E-2</v>
      </c>
      <c r="L3912">
        <v>1431.94467298065</v>
      </c>
      <c r="M3912">
        <v>26.883985676128098</v>
      </c>
      <c r="N3912">
        <v>53.7488007546321</v>
      </c>
      <c r="O3912">
        <v>52.971761403507003</v>
      </c>
      <c r="P3912">
        <v>-0.11321646892327</v>
      </c>
      <c r="Q3912">
        <v>0.10768958772867</v>
      </c>
      <c r="R3912">
        <v>0.99503356151299904</v>
      </c>
      <c r="S3912" t="s">
        <v>10223</v>
      </c>
      <c r="T3912" t="s">
        <v>12620</v>
      </c>
      <c r="U3912" t="s">
        <v>12620</v>
      </c>
      <c r="V3912" t="s">
        <v>12620</v>
      </c>
      <c r="W3912" t="s">
        <v>16482</v>
      </c>
      <c r="X3912">
        <v>18</v>
      </c>
      <c r="Y3912" t="s">
        <v>22605</v>
      </c>
      <c r="Z3912" t="s">
        <v>28859</v>
      </c>
      <c r="AA3912">
        <v>0.50938195012308729</v>
      </c>
      <c r="AB3912" t="str">
        <f>HYPERLINK("Melting_Curves/meltCurve_Q86TX2_ACOT1.pdf", "Melting_Curves/meltCurve_Q86TX2_ACOT1.pdf")</f>
        <v>Melting_Curves/meltCurve_Q86TX2_ACOT1.pdf</v>
      </c>
    </row>
    <row r="3913" spans="1:28" x14ac:dyDescent="0.25">
      <c r="A3913" t="s">
        <v>3917</v>
      </c>
      <c r="B3913">
        <v>0.99987803227770999</v>
      </c>
      <c r="C3913">
        <v>0.95121506097419894</v>
      </c>
      <c r="D3913">
        <v>0.97944952363835702</v>
      </c>
      <c r="E3913">
        <v>0.78535856672771198</v>
      </c>
      <c r="F3913">
        <v>0.78297484874599399</v>
      </c>
      <c r="G3913">
        <v>0.48184259678315999</v>
      </c>
      <c r="H3913">
        <v>0.279153020927976</v>
      </c>
      <c r="I3913">
        <v>0.16704944981409101</v>
      </c>
      <c r="J3913">
        <v>0.260871644789548</v>
      </c>
      <c r="K3913">
        <v>0.19901893431186099</v>
      </c>
      <c r="L3913">
        <v>894.68065047244397</v>
      </c>
      <c r="M3913">
        <v>16.210247357453301</v>
      </c>
      <c r="N3913">
        <v>56.504986612406597</v>
      </c>
      <c r="O3913">
        <v>54.372845219648397</v>
      </c>
      <c r="P3913">
        <v>-6.2843199233238403E-2</v>
      </c>
      <c r="Q3913">
        <v>0.15690146225332399</v>
      </c>
      <c r="R3913">
        <v>0.978767228547196</v>
      </c>
      <c r="S3913" t="s">
        <v>10224</v>
      </c>
      <c r="T3913" t="s">
        <v>12620</v>
      </c>
      <c r="U3913" t="s">
        <v>12620</v>
      </c>
      <c r="V3913" t="s">
        <v>12620</v>
      </c>
      <c r="W3913" t="s">
        <v>16483</v>
      </c>
      <c r="X3913">
        <v>2</v>
      </c>
      <c r="Y3913" t="s">
        <v>22606</v>
      </c>
      <c r="Z3913" t="s">
        <v>28860</v>
      </c>
      <c r="AA3913">
        <v>0.59858394162726047</v>
      </c>
      <c r="AB3913" t="str">
        <f>HYPERLINK("Melting_Curves/meltCurve_Q86TZ8_TINF2.pdf", "Melting_Curves/meltCurve_Q86TZ8_TINF2.pdf")</f>
        <v>Melting_Curves/meltCurve_Q86TZ8_TINF2.pdf</v>
      </c>
    </row>
    <row r="3914" spans="1:28" x14ac:dyDescent="0.25">
      <c r="A3914" t="s">
        <v>3918</v>
      </c>
      <c r="B3914">
        <v>0.99987803227770999</v>
      </c>
      <c r="C3914">
        <v>0.82951173559202696</v>
      </c>
      <c r="D3914">
        <v>1.0557790258639701</v>
      </c>
      <c r="E3914">
        <v>0.87580656515006905</v>
      </c>
      <c r="F3914">
        <v>0.99505123063909395</v>
      </c>
      <c r="G3914">
        <v>0.84977324807539201</v>
      </c>
      <c r="H3914">
        <v>0.718068447371082</v>
      </c>
      <c r="I3914">
        <v>0.70552426181594996</v>
      </c>
      <c r="J3914">
        <v>0.614073842133945</v>
      </c>
      <c r="K3914">
        <v>0.51336207984396898</v>
      </c>
      <c r="L3914">
        <v>495.03983619796099</v>
      </c>
      <c r="M3914">
        <v>6.9687368076179297</v>
      </c>
      <c r="O3914">
        <v>65.880597695257805</v>
      </c>
      <c r="P3914">
        <v>-2.64944035686661E-2</v>
      </c>
      <c r="Q3914">
        <v>0</v>
      </c>
      <c r="R3914">
        <v>0.836790378271415</v>
      </c>
      <c r="S3914" t="s">
        <v>10225</v>
      </c>
      <c r="T3914" t="s">
        <v>12620</v>
      </c>
      <c r="U3914" t="s">
        <v>12620</v>
      </c>
      <c r="V3914" t="s">
        <v>12620</v>
      </c>
      <c r="W3914" t="s">
        <v>16484</v>
      </c>
      <c r="X3914">
        <v>7</v>
      </c>
      <c r="Y3914" t="s">
        <v>22607</v>
      </c>
      <c r="Z3914" t="s">
        <v>28861</v>
      </c>
      <c r="AA3914">
        <v>0.83764750479228134</v>
      </c>
      <c r="AB3914" t="str">
        <f>HYPERLINK("Melting_Curves/meltCurve_Q86U28_ISCA2.pdf", "Melting_Curves/meltCurve_Q86U28_ISCA2.pdf")</f>
        <v>Melting_Curves/meltCurve_Q86U28_ISCA2.pdf</v>
      </c>
    </row>
    <row r="3915" spans="1:28" x14ac:dyDescent="0.25">
      <c r="A3915" t="s">
        <v>3919</v>
      </c>
      <c r="B3915">
        <v>0.99987803227770999</v>
      </c>
      <c r="C3915">
        <v>0.960777070022232</v>
      </c>
      <c r="D3915">
        <v>0.94645475030807502</v>
      </c>
      <c r="E3915">
        <v>0.85806180478986405</v>
      </c>
      <c r="F3915">
        <v>0.58663188245036801</v>
      </c>
      <c r="G3915">
        <v>0.296398931464113</v>
      </c>
      <c r="H3915">
        <v>0.25081708069560998</v>
      </c>
      <c r="I3915">
        <v>0.233009509044874</v>
      </c>
      <c r="J3915">
        <v>0.18574671569683299</v>
      </c>
      <c r="K3915">
        <v>0.14303821137825901</v>
      </c>
      <c r="L3915">
        <v>1228.3761250637899</v>
      </c>
      <c r="M3915">
        <v>23.176786135213</v>
      </c>
      <c r="N3915">
        <v>54.063990349097999</v>
      </c>
      <c r="O3915">
        <v>52.610458397488799</v>
      </c>
      <c r="P3915">
        <v>-8.9970680295656302E-2</v>
      </c>
      <c r="Q3915">
        <v>0.183094479491382</v>
      </c>
      <c r="R3915">
        <v>0.99396803852010995</v>
      </c>
      <c r="S3915" t="s">
        <v>10226</v>
      </c>
      <c r="T3915" t="s">
        <v>12620</v>
      </c>
      <c r="U3915" t="s">
        <v>12620</v>
      </c>
      <c r="V3915" t="s">
        <v>12620</v>
      </c>
      <c r="W3915" t="s">
        <v>16485</v>
      </c>
      <c r="X3915">
        <v>12</v>
      </c>
      <c r="Y3915" t="s">
        <v>22608</v>
      </c>
      <c r="Z3915" t="s">
        <v>28862</v>
      </c>
      <c r="AA3915">
        <v>0.54574931874081689</v>
      </c>
      <c r="AB3915" t="str">
        <f>HYPERLINK("Melting_Curves/meltCurve_Q86U44_METTL3.pdf", "Melting_Curves/meltCurve_Q86U44_METTL3.pdf")</f>
        <v>Melting_Curves/meltCurve_Q86U44_METTL3.pdf</v>
      </c>
    </row>
    <row r="3916" spans="1:28" x14ac:dyDescent="0.25">
      <c r="A3916" t="s">
        <v>3920</v>
      </c>
      <c r="B3916">
        <v>0.99987803227770999</v>
      </c>
      <c r="C3916">
        <v>0.81122991545807799</v>
      </c>
      <c r="D3916">
        <v>0.88764589016524997</v>
      </c>
      <c r="E3916">
        <v>0.72682443838298905</v>
      </c>
      <c r="F3916">
        <v>0.870133208430798</v>
      </c>
      <c r="G3916">
        <v>0.58327354915721397</v>
      </c>
      <c r="H3916">
        <v>0.60423128603364695</v>
      </c>
      <c r="I3916">
        <v>0.47618739122409498</v>
      </c>
      <c r="J3916">
        <v>0.57217106938934303</v>
      </c>
      <c r="K3916">
        <v>0.43102068442354402</v>
      </c>
      <c r="L3916">
        <v>281.06840867688197</v>
      </c>
      <c r="M3916">
        <v>4.4248457181634304</v>
      </c>
      <c r="N3916">
        <v>66.633143668421098</v>
      </c>
      <c r="O3916">
        <v>53.736290359457499</v>
      </c>
      <c r="P3916">
        <v>-1.8836495548423E-2</v>
      </c>
      <c r="Q3916">
        <v>9.3367595902806799E-2</v>
      </c>
      <c r="R3916">
        <v>0.840842320088242</v>
      </c>
      <c r="S3916" t="s">
        <v>10227</v>
      </c>
      <c r="T3916" t="s">
        <v>12620</v>
      </c>
      <c r="U3916" t="s">
        <v>12620</v>
      </c>
      <c r="V3916" t="s">
        <v>12620</v>
      </c>
      <c r="W3916" t="s">
        <v>16486</v>
      </c>
      <c r="X3916">
        <v>1</v>
      </c>
      <c r="Y3916" t="s">
        <v>22609</v>
      </c>
      <c r="Z3916" t="s">
        <v>28863</v>
      </c>
      <c r="AA3916">
        <v>0.69763488009402974</v>
      </c>
      <c r="AB3916" t="str">
        <f>HYPERLINK("Melting_Curves/meltCurve_Q86U70_3_LDB1.pdf", "Melting_Curves/meltCurve_Q86U70_3_LDB1.pdf")</f>
        <v>Melting_Curves/meltCurve_Q86U70_3_LDB1.pdf</v>
      </c>
    </row>
    <row r="3917" spans="1:28" x14ac:dyDescent="0.25">
      <c r="A3917" t="s">
        <v>3921</v>
      </c>
      <c r="B3917">
        <v>0.99987803227770999</v>
      </c>
      <c r="C3917">
        <v>0.81813722300817204</v>
      </c>
      <c r="D3917">
        <v>0.93595924003394404</v>
      </c>
      <c r="E3917">
        <v>0.61837805484051001</v>
      </c>
      <c r="F3917">
        <v>0.43851041225556198</v>
      </c>
      <c r="G3917">
        <v>0.117990128245548</v>
      </c>
      <c r="H3917">
        <v>9.0965138086988306E-2</v>
      </c>
      <c r="I3917">
        <v>0.11294788176588599</v>
      </c>
      <c r="J3917">
        <v>4.93146830790318E-2</v>
      </c>
      <c r="K3917">
        <v>3.9444707462484303E-2</v>
      </c>
      <c r="L3917">
        <v>870.85913912890203</v>
      </c>
      <c r="M3917">
        <v>16.9408710610297</v>
      </c>
      <c r="N3917">
        <v>51.613475464814002</v>
      </c>
      <c r="O3917">
        <v>50.705552648622302</v>
      </c>
      <c r="P3917">
        <v>-8.0778998933913895E-2</v>
      </c>
      <c r="Q3917">
        <v>3.2945513720568802E-2</v>
      </c>
      <c r="R3917">
        <v>0.97527834524197099</v>
      </c>
      <c r="S3917" t="s">
        <v>10228</v>
      </c>
      <c r="T3917" t="s">
        <v>12620</v>
      </c>
      <c r="U3917" t="s">
        <v>12620</v>
      </c>
      <c r="V3917" t="s">
        <v>12620</v>
      </c>
      <c r="W3917" t="s">
        <v>16487</v>
      </c>
      <c r="X3917">
        <v>8</v>
      </c>
      <c r="Y3917" t="s">
        <v>22610</v>
      </c>
      <c r="Z3917" t="s">
        <v>28864</v>
      </c>
      <c r="AA3917">
        <v>0.41863409854165218</v>
      </c>
      <c r="AB3917" t="str">
        <f>HYPERLINK("Melting_Curves/meltCurve_Q86U90_YRDC.pdf", "Melting_Curves/meltCurve_Q86U90_YRDC.pdf")</f>
        <v>Melting_Curves/meltCurve_Q86U90_YRDC.pdf</v>
      </c>
    </row>
    <row r="3918" spans="1:28" x14ac:dyDescent="0.25">
      <c r="A3918" t="s">
        <v>3922</v>
      </c>
      <c r="B3918">
        <v>0.99987803227770999</v>
      </c>
      <c r="C3918">
        <v>1.22043679449227</v>
      </c>
      <c r="D3918">
        <v>0.97759605409038697</v>
      </c>
      <c r="E3918">
        <v>0.71087160783593195</v>
      </c>
      <c r="F3918">
        <v>0.26661909273536</v>
      </c>
      <c r="G3918">
        <v>0.188997641413681</v>
      </c>
      <c r="H3918">
        <v>0.122644855390228</v>
      </c>
      <c r="I3918">
        <v>0.100422798165602</v>
      </c>
      <c r="J3918">
        <v>8.0375330595542402E-2</v>
      </c>
      <c r="K3918">
        <v>5.3143529679804603E-2</v>
      </c>
      <c r="L3918">
        <v>1852.3110479627001</v>
      </c>
      <c r="M3918">
        <v>36.326092176788002</v>
      </c>
      <c r="N3918">
        <v>51.3138661802912</v>
      </c>
      <c r="O3918">
        <v>50.837409503303498</v>
      </c>
      <c r="P3918">
        <v>-0.16039881461383601</v>
      </c>
      <c r="Q3918">
        <v>0.10210706090047</v>
      </c>
      <c r="R3918">
        <v>0.96931979607545105</v>
      </c>
      <c r="S3918" t="s">
        <v>10229</v>
      </c>
      <c r="T3918" t="s">
        <v>12620</v>
      </c>
      <c r="U3918" t="s">
        <v>12620</v>
      </c>
      <c r="V3918" t="s">
        <v>12620</v>
      </c>
      <c r="W3918" t="s">
        <v>16488</v>
      </c>
      <c r="X3918">
        <v>14</v>
      </c>
      <c r="Y3918" t="s">
        <v>22611</v>
      </c>
      <c r="Z3918" t="s">
        <v>28865</v>
      </c>
      <c r="AA3918">
        <v>0.43491347720563328</v>
      </c>
      <c r="AB3918" t="str">
        <f>HYPERLINK("Melting_Curves/meltCurve_Q86UA1_PRPF39.pdf", "Melting_Curves/meltCurve_Q86UA1_PRPF39.pdf")</f>
        <v>Melting_Curves/meltCurve_Q86UA1_PRPF39.pdf</v>
      </c>
    </row>
    <row r="3919" spans="1:28" x14ac:dyDescent="0.25">
      <c r="A3919" t="s">
        <v>3923</v>
      </c>
      <c r="B3919">
        <v>0.99987803227770999</v>
      </c>
      <c r="C3919">
        <v>0.97061965075383605</v>
      </c>
      <c r="D3919">
        <v>0.97670339472783896</v>
      </c>
      <c r="E3919">
        <v>1.02499209456084</v>
      </c>
      <c r="F3919">
        <v>1.1485572760679501</v>
      </c>
      <c r="G3919">
        <v>0.99284361673464205</v>
      </c>
      <c r="H3919">
        <v>0.72073086121406105</v>
      </c>
      <c r="I3919">
        <v>0.54374200121560001</v>
      </c>
      <c r="J3919">
        <v>0.31859728623983502</v>
      </c>
      <c r="K3919">
        <v>0.200745822190046</v>
      </c>
      <c r="L3919">
        <v>1631.4335317821501</v>
      </c>
      <c r="M3919">
        <v>25.742391708098999</v>
      </c>
      <c r="N3919">
        <v>64.208619845537896</v>
      </c>
      <c r="O3919">
        <v>62.996641514430102</v>
      </c>
      <c r="P3919">
        <v>-8.7652791333199601E-2</v>
      </c>
      <c r="Q3919">
        <v>0.14199672923569101</v>
      </c>
      <c r="R3919">
        <v>0.96857756957838004</v>
      </c>
      <c r="S3919" t="s">
        <v>10230</v>
      </c>
      <c r="T3919" t="s">
        <v>12620</v>
      </c>
      <c r="U3919" t="s">
        <v>12620</v>
      </c>
      <c r="V3919" t="s">
        <v>12620</v>
      </c>
      <c r="W3919" t="s">
        <v>16489</v>
      </c>
      <c r="X3919">
        <v>2</v>
      </c>
      <c r="Y3919" t="s">
        <v>22612</v>
      </c>
      <c r="Z3919" t="s">
        <v>28866</v>
      </c>
      <c r="AA3919">
        <v>0.81179386814439092</v>
      </c>
      <c r="AB3919" t="str">
        <f>HYPERLINK("Melting_Curves/meltCurve_Q86UA6_3_RPAIN.pdf", "Melting_Curves/meltCurve_Q86UA6_3_RPAIN.pdf")</f>
        <v>Melting_Curves/meltCurve_Q86UA6_3_RPAIN.pdf</v>
      </c>
    </row>
    <row r="3920" spans="1:28" x14ac:dyDescent="0.25">
      <c r="A3920" t="s">
        <v>3924</v>
      </c>
      <c r="B3920">
        <v>0.99987803227770999</v>
      </c>
      <c r="C3920">
        <v>0.90589591337519804</v>
      </c>
      <c r="D3920">
        <v>0.89554403176326003</v>
      </c>
      <c r="E3920">
        <v>0.77198945239731298</v>
      </c>
      <c r="F3920">
        <v>0.732456904279567</v>
      </c>
      <c r="G3920">
        <v>0.55148512515960701</v>
      </c>
      <c r="H3920">
        <v>0.41142439075424703</v>
      </c>
      <c r="I3920">
        <v>0.38411422108915699</v>
      </c>
      <c r="J3920">
        <v>0.29877316126026598</v>
      </c>
      <c r="K3920">
        <v>0.22999691470108899</v>
      </c>
      <c r="L3920">
        <v>434.05493392672003</v>
      </c>
      <c r="M3920">
        <v>7.3603111015390397</v>
      </c>
      <c r="N3920">
        <v>58.972363234772999</v>
      </c>
      <c r="O3920">
        <v>55.087915174665298</v>
      </c>
      <c r="P3920">
        <v>-3.3454054940117398E-2</v>
      </c>
      <c r="Q3920">
        <v>0</v>
      </c>
      <c r="R3920">
        <v>0.99232285665055897</v>
      </c>
      <c r="S3920" t="s">
        <v>10231</v>
      </c>
      <c r="T3920" t="s">
        <v>12620</v>
      </c>
      <c r="U3920" t="s">
        <v>12620</v>
      </c>
      <c r="V3920" t="s">
        <v>12620</v>
      </c>
      <c r="W3920" t="s">
        <v>16490</v>
      </c>
      <c r="X3920">
        <v>5</v>
      </c>
      <c r="Y3920" t="s">
        <v>22613</v>
      </c>
      <c r="Z3920" t="s">
        <v>28867</v>
      </c>
      <c r="AA3920">
        <v>0.62318779904533883</v>
      </c>
      <c r="AB3920" t="str">
        <f>HYPERLINK("Melting_Curves/meltCurve_Q86UD0_SAPCD2.pdf", "Melting_Curves/meltCurve_Q86UD0_SAPCD2.pdf")</f>
        <v>Melting_Curves/meltCurve_Q86UD0_SAPCD2.pdf</v>
      </c>
    </row>
    <row r="3921" spans="1:28" x14ac:dyDescent="0.25">
      <c r="A3921" t="s">
        <v>3925</v>
      </c>
      <c r="B3921">
        <v>0.99987803227770999</v>
      </c>
      <c r="C3921">
        <v>1.14027338154878</v>
      </c>
      <c r="D3921">
        <v>0.234194961578714</v>
      </c>
      <c r="E3921">
        <v>0.67759422298690297</v>
      </c>
      <c r="F3921">
        <v>0.444123728374616</v>
      </c>
      <c r="G3921">
        <v>0.22206351323763801</v>
      </c>
      <c r="H3921">
        <v>0.19082407031596499</v>
      </c>
      <c r="I3921">
        <v>0.174968858367505</v>
      </c>
      <c r="J3921">
        <v>0.160055931619807</v>
      </c>
      <c r="K3921">
        <v>0.12780839773905101</v>
      </c>
      <c r="L3921">
        <v>542.10993436822105</v>
      </c>
      <c r="M3921">
        <v>11.1487997870653</v>
      </c>
      <c r="N3921">
        <v>49.839819594735197</v>
      </c>
      <c r="O3921">
        <v>47.139221310599901</v>
      </c>
      <c r="P3921">
        <v>-5.2108778262894499E-2</v>
      </c>
      <c r="Q3921">
        <v>0.11897964121198799</v>
      </c>
      <c r="R3921">
        <v>0.72089218890936702</v>
      </c>
      <c r="S3921" t="s">
        <v>10232</v>
      </c>
      <c r="T3921" t="s">
        <v>12620</v>
      </c>
      <c r="U3921" t="s">
        <v>12620</v>
      </c>
      <c r="V3921" t="s">
        <v>12620</v>
      </c>
      <c r="W3921" t="s">
        <v>16491</v>
      </c>
      <c r="X3921">
        <v>11</v>
      </c>
      <c r="Y3921" t="s">
        <v>22614</v>
      </c>
      <c r="Z3921" t="s">
        <v>28868</v>
      </c>
      <c r="AA3921">
        <v>0.40972642536860487</v>
      </c>
      <c r="AB3921" t="str">
        <f>HYPERLINK("Melting_Curves/meltCurve_Q86UE8_2_TLK2.pdf", "Melting_Curves/meltCurve_Q86UE8_2_TLK2.pdf")</f>
        <v>Melting_Curves/meltCurve_Q86UE8_2_TLK2.pdf</v>
      </c>
    </row>
    <row r="3922" spans="1:28" x14ac:dyDescent="0.25">
      <c r="A3922" t="s">
        <v>3926</v>
      </c>
      <c r="B3922">
        <v>0.99987803227770999</v>
      </c>
      <c r="C3922">
        <v>0.980514032166942</v>
      </c>
      <c r="D3922">
        <v>1.0320917274578101</v>
      </c>
      <c r="E3922">
        <v>0.90389917650373697</v>
      </c>
      <c r="F3922">
        <v>0.66035706203807498</v>
      </c>
      <c r="G3922">
        <v>0.73025726448672901</v>
      </c>
      <c r="H3922">
        <v>0.51820803758327105</v>
      </c>
      <c r="I3922">
        <v>0.54718419611232705</v>
      </c>
      <c r="J3922">
        <v>0.42413676818036899</v>
      </c>
      <c r="K3922">
        <v>0.30966131672207797</v>
      </c>
      <c r="L3922">
        <v>497.73313665272201</v>
      </c>
      <c r="M3922">
        <v>8.2029828494900094</v>
      </c>
      <c r="N3922">
        <v>63.091416570219302</v>
      </c>
      <c r="O3922">
        <v>57.3911230049452</v>
      </c>
      <c r="P3922">
        <v>-3.09512085946415E-2</v>
      </c>
      <c r="Q3922">
        <v>0.134706324433055</v>
      </c>
      <c r="R3922">
        <v>0.93464627001677403</v>
      </c>
      <c r="S3922" t="s">
        <v>10233</v>
      </c>
      <c r="T3922" t="s">
        <v>12620</v>
      </c>
      <c r="U3922" t="s">
        <v>12620</v>
      </c>
      <c r="V3922" t="s">
        <v>12620</v>
      </c>
      <c r="W3922" t="s">
        <v>16492</v>
      </c>
      <c r="X3922">
        <v>1</v>
      </c>
      <c r="Y3922" t="s">
        <v>22615</v>
      </c>
      <c r="Z3922" t="s">
        <v>28869</v>
      </c>
      <c r="AA3922">
        <v>0.713360488494031</v>
      </c>
      <c r="AB3922" t="str">
        <f>HYPERLINK("Melting_Curves/meltCurve_Q86UK5_2_EVC2.pdf", "Melting_Curves/meltCurve_Q86UK5_2_EVC2.pdf")</f>
        <v>Melting_Curves/meltCurve_Q86UK5_2_EVC2.pdf</v>
      </c>
    </row>
    <row r="3923" spans="1:28" x14ac:dyDescent="0.25">
      <c r="A3923" t="s">
        <v>3927</v>
      </c>
      <c r="B3923">
        <v>0.99987803227770999</v>
      </c>
      <c r="C3923">
        <v>0.92009412144336999</v>
      </c>
      <c r="D3923">
        <v>0.95442038446956201</v>
      </c>
      <c r="E3923">
        <v>0.68683727329614697</v>
      </c>
      <c r="F3923">
        <v>0.45486492731679601</v>
      </c>
      <c r="G3923">
        <v>0.27280389782839998</v>
      </c>
      <c r="H3923">
        <v>0.228959035832523</v>
      </c>
      <c r="I3923">
        <v>0.21010458510020699</v>
      </c>
      <c r="J3923">
        <v>0.17855181782544</v>
      </c>
      <c r="K3923">
        <v>0.130700127383716</v>
      </c>
      <c r="L3923">
        <v>974.81623497603596</v>
      </c>
      <c r="M3923">
        <v>18.976219504417902</v>
      </c>
      <c r="N3923">
        <v>52.486657548867498</v>
      </c>
      <c r="O3923">
        <v>50.810127698456597</v>
      </c>
      <c r="P3923">
        <v>-7.7869030057839794E-2</v>
      </c>
      <c r="Q3923">
        <v>0.16603474784943201</v>
      </c>
      <c r="R3923">
        <v>0.99288535207264395</v>
      </c>
      <c r="S3923" t="s">
        <v>10234</v>
      </c>
      <c r="T3923" t="s">
        <v>12620</v>
      </c>
      <c r="U3923" t="s">
        <v>12620</v>
      </c>
      <c r="V3923" t="s">
        <v>12620</v>
      </c>
      <c r="W3923" t="s">
        <v>16493</v>
      </c>
      <c r="X3923">
        <v>16</v>
      </c>
      <c r="Y3923" t="s">
        <v>22616</v>
      </c>
      <c r="Z3923" t="s">
        <v>28870</v>
      </c>
      <c r="AA3923">
        <v>0.49484887596201388</v>
      </c>
      <c r="AB3923" t="str">
        <f>HYPERLINK("Melting_Curves/meltCurve_Q86UK7_3_ZNF598.pdf", "Melting_Curves/meltCurve_Q86UK7_3_ZNF598.pdf")</f>
        <v>Melting_Curves/meltCurve_Q86UK7_3_ZNF598.pdf</v>
      </c>
    </row>
    <row r="3924" spans="1:28" x14ac:dyDescent="0.25">
      <c r="A3924" t="s">
        <v>3928</v>
      </c>
      <c r="B3924">
        <v>0.99987803227770999</v>
      </c>
      <c r="C3924">
        <v>1.0753406499128</v>
      </c>
      <c r="D3924">
        <v>1.1149421088854301</v>
      </c>
      <c r="E3924">
        <v>1.15553355223791</v>
      </c>
      <c r="F3924">
        <v>1.05432118012894</v>
      </c>
      <c r="G3924">
        <v>0.99564553892667895</v>
      </c>
      <c r="H3924">
        <v>1.12833621967551</v>
      </c>
      <c r="I3924">
        <v>1.0262887728511301</v>
      </c>
      <c r="J3924">
        <v>1.09826517042878</v>
      </c>
      <c r="K3924">
        <v>0.80353074623159904</v>
      </c>
      <c r="L3924">
        <v>15000</v>
      </c>
      <c r="M3924">
        <v>212.87713914810001</v>
      </c>
      <c r="Q3924">
        <v>0</v>
      </c>
      <c r="R3924">
        <v>0.19948891975987099</v>
      </c>
      <c r="S3924" t="s">
        <v>10235</v>
      </c>
      <c r="T3924" t="s">
        <v>12620</v>
      </c>
      <c r="U3924" t="s">
        <v>12620</v>
      </c>
      <c r="V3924" t="s">
        <v>12620</v>
      </c>
      <c r="W3924" t="s">
        <v>16494</v>
      </c>
      <c r="X3924">
        <v>56</v>
      </c>
      <c r="Y3924" t="s">
        <v>22617</v>
      </c>
      <c r="Z3924" t="s">
        <v>28871</v>
      </c>
      <c r="AA3924">
        <v>0.99764144923153319</v>
      </c>
      <c r="AB3924" t="str">
        <f>HYPERLINK("Melting_Curves/meltCurve_Q86UP2_KTN1.pdf", "Melting_Curves/meltCurve_Q86UP2_KTN1.pdf")</f>
        <v>Melting_Curves/meltCurve_Q86UP2_KTN1.pdf</v>
      </c>
    </row>
    <row r="3925" spans="1:28" x14ac:dyDescent="0.25">
      <c r="A3925" t="s">
        <v>3929</v>
      </c>
      <c r="B3925">
        <v>0.99987803227770999</v>
      </c>
      <c r="C3925">
        <v>1.08689342948631</v>
      </c>
      <c r="D3925">
        <v>0.95972165873001003</v>
      </c>
      <c r="E3925">
        <v>0.61395801367876901</v>
      </c>
      <c r="F3925">
        <v>0.33593908571632902</v>
      </c>
      <c r="G3925">
        <v>0.27689383891740099</v>
      </c>
      <c r="H3925">
        <v>0.20828684371668199</v>
      </c>
      <c r="I3925">
        <v>0.20448818301031199</v>
      </c>
      <c r="J3925">
        <v>0.165581453462397</v>
      </c>
      <c r="K3925">
        <v>0.12268224304828999</v>
      </c>
      <c r="L3925">
        <v>1399.1063725260999</v>
      </c>
      <c r="M3925">
        <v>27.820047773996901</v>
      </c>
      <c r="N3925">
        <v>51.1427871152883</v>
      </c>
      <c r="O3925">
        <v>50.033607736708497</v>
      </c>
      <c r="P3925">
        <v>-0.113241433305104</v>
      </c>
      <c r="Q3925">
        <v>0.185360624120431</v>
      </c>
      <c r="R3925">
        <v>0.98637702092067803</v>
      </c>
      <c r="S3925" t="s">
        <v>10236</v>
      </c>
      <c r="T3925" t="s">
        <v>12620</v>
      </c>
      <c r="U3925" t="s">
        <v>12620</v>
      </c>
      <c r="V3925" t="s">
        <v>12620</v>
      </c>
      <c r="W3925" t="s">
        <v>16495</v>
      </c>
      <c r="X3925">
        <v>17</v>
      </c>
      <c r="Y3925" t="s">
        <v>22618</v>
      </c>
      <c r="Z3925" t="s">
        <v>28872</v>
      </c>
      <c r="AA3925">
        <v>0.47071107499230341</v>
      </c>
      <c r="AB3925" t="str">
        <f>HYPERLINK("Melting_Curves/meltCurve_Q86US8_SMG6.pdf", "Melting_Curves/meltCurve_Q86US8_SMG6.pdf")</f>
        <v>Melting_Curves/meltCurve_Q86US8_SMG6.pdf</v>
      </c>
    </row>
    <row r="3926" spans="1:28" x14ac:dyDescent="0.25">
      <c r="A3926" t="s">
        <v>3930</v>
      </c>
      <c r="B3926">
        <v>0.99987803227770999</v>
      </c>
      <c r="C3926">
        <v>0.94946840239168095</v>
      </c>
      <c r="D3926">
        <v>1.02359655510573</v>
      </c>
      <c r="E3926">
        <v>0.97222765446830495</v>
      </c>
      <c r="F3926">
        <v>1.11953006366285</v>
      </c>
      <c r="G3926">
        <v>1.0128357788481499</v>
      </c>
      <c r="H3926">
        <v>1.1132639914467699</v>
      </c>
      <c r="I3926">
        <v>1.01301844871139</v>
      </c>
      <c r="J3926">
        <v>1.07564219663092</v>
      </c>
      <c r="K3926">
        <v>0.885422905421268</v>
      </c>
      <c r="L3926">
        <v>15000</v>
      </c>
      <c r="M3926">
        <v>212.24083205455099</v>
      </c>
      <c r="Q3926">
        <v>0</v>
      </c>
      <c r="R3926">
        <v>0.219284842236942</v>
      </c>
      <c r="S3926" t="s">
        <v>10237</v>
      </c>
      <c r="T3926" t="s">
        <v>12620</v>
      </c>
      <c r="U3926" t="s">
        <v>12620</v>
      </c>
      <c r="V3926" t="s">
        <v>12620</v>
      </c>
      <c r="W3926" t="s">
        <v>16496</v>
      </c>
      <c r="X3926">
        <v>23</v>
      </c>
      <c r="Y3926" t="s">
        <v>22619</v>
      </c>
      <c r="Z3926" t="s">
        <v>28873</v>
      </c>
      <c r="AA3926">
        <v>0.9986875830286055</v>
      </c>
      <c r="AB3926" t="str">
        <f>HYPERLINK("Melting_Curves/meltCurve_Q86UU0_4_BCL9L.pdf", "Melting_Curves/meltCurve_Q86UU0_4_BCL9L.pdf")</f>
        <v>Melting_Curves/meltCurve_Q86UU0_4_BCL9L.pdf</v>
      </c>
    </row>
    <row r="3927" spans="1:28" x14ac:dyDescent="0.25">
      <c r="A3927" t="s">
        <v>3931</v>
      </c>
      <c r="B3927">
        <v>0.99987803227770999</v>
      </c>
      <c r="C3927">
        <v>0.92435450101961003</v>
      </c>
      <c r="D3927">
        <v>0.98359482592089598</v>
      </c>
      <c r="E3927">
        <v>0.82870911356344401</v>
      </c>
      <c r="F3927">
        <v>0.75562835272592999</v>
      </c>
      <c r="G3927">
        <v>0.47224490724562401</v>
      </c>
      <c r="H3927">
        <v>0.46124336567264101</v>
      </c>
      <c r="I3927">
        <v>0.427217686692132</v>
      </c>
      <c r="J3927">
        <v>0.43428099840724199</v>
      </c>
      <c r="K3927">
        <v>0.34416204869447498</v>
      </c>
      <c r="L3927">
        <v>943.52043092770896</v>
      </c>
      <c r="M3927">
        <v>17.694042201307401</v>
      </c>
      <c r="N3927">
        <v>58.006873205421797</v>
      </c>
      <c r="O3927">
        <v>52.657059860732602</v>
      </c>
      <c r="P3927">
        <v>-5.2073803714255303E-2</v>
      </c>
      <c r="Q3927">
        <v>0.38015096864696502</v>
      </c>
      <c r="R3927">
        <v>0.97462136478942496</v>
      </c>
      <c r="S3927" t="s">
        <v>10238</v>
      </c>
      <c r="T3927" t="s">
        <v>12620</v>
      </c>
      <c r="U3927" t="s">
        <v>12620</v>
      </c>
      <c r="V3927" t="s">
        <v>12620</v>
      </c>
      <c r="W3927" t="s">
        <v>16497</v>
      </c>
      <c r="X3927">
        <v>26</v>
      </c>
      <c r="Y3927" t="s">
        <v>22620</v>
      </c>
      <c r="Z3927" t="s">
        <v>28874</v>
      </c>
      <c r="AA3927">
        <v>0.66580579430028564</v>
      </c>
      <c r="AB3927" t="str">
        <f>HYPERLINK("Melting_Curves/meltCurve_Q86UU1_2_PHLDB1.pdf", "Melting_Curves/meltCurve_Q86UU1_2_PHLDB1.pdf")</f>
        <v>Melting_Curves/meltCurve_Q86UU1_2_PHLDB1.pdf</v>
      </c>
    </row>
    <row r="3928" spans="1:28" x14ac:dyDescent="0.25">
      <c r="A3928" t="s">
        <v>3932</v>
      </c>
      <c r="B3928">
        <v>0.99987803227770999</v>
      </c>
      <c r="C3928">
        <v>1.05930687588348</v>
      </c>
      <c r="D3928">
        <v>0.87786530283219399</v>
      </c>
      <c r="E3928">
        <v>0.53551810371137698</v>
      </c>
      <c r="F3928">
        <v>0.328933964257422</v>
      </c>
      <c r="G3928">
        <v>0.22938274776401901</v>
      </c>
      <c r="H3928">
        <v>0.205438020647977</v>
      </c>
      <c r="I3928">
        <v>0.17402586763112299</v>
      </c>
      <c r="J3928">
        <v>0.177806445456721</v>
      </c>
      <c r="K3928">
        <v>0.118179010878704</v>
      </c>
      <c r="L3928">
        <v>1165.6527466684799</v>
      </c>
      <c r="M3928">
        <v>23.489919530046301</v>
      </c>
      <c r="N3928">
        <v>50.514778213107803</v>
      </c>
      <c r="O3928">
        <v>49.2680812476573</v>
      </c>
      <c r="P3928">
        <v>-9.8975402163887199E-2</v>
      </c>
      <c r="Q3928">
        <v>0.169644804453328</v>
      </c>
      <c r="R3928">
        <v>0.99149615534986202</v>
      </c>
      <c r="S3928" t="s">
        <v>10239</v>
      </c>
      <c r="T3928" t="s">
        <v>12620</v>
      </c>
      <c r="U3928" t="s">
        <v>12620</v>
      </c>
      <c r="V3928" t="s">
        <v>12620</v>
      </c>
      <c r="W3928" t="s">
        <v>16498</v>
      </c>
      <c r="X3928">
        <v>10</v>
      </c>
      <c r="Y3928" t="s">
        <v>22621</v>
      </c>
      <c r="Z3928" t="s">
        <v>28875</v>
      </c>
      <c r="AA3928">
        <v>0.44439869802122722</v>
      </c>
      <c r="AB3928" t="str">
        <f>HYPERLINK("Melting_Curves/meltCurve_Q86UV5_USP48.pdf", "Melting_Curves/meltCurve_Q86UV5_USP48.pdf")</f>
        <v>Melting_Curves/meltCurve_Q86UV5_USP48.pdf</v>
      </c>
    </row>
    <row r="3929" spans="1:28" x14ac:dyDescent="0.25">
      <c r="A3929" t="s">
        <v>3933</v>
      </c>
      <c r="B3929">
        <v>0.99987803227770999</v>
      </c>
      <c r="C3929">
        <v>0.82141504776903196</v>
      </c>
      <c r="D3929">
        <v>0.78811211509000501</v>
      </c>
      <c r="E3929">
        <v>0.42600952508214601</v>
      </c>
      <c r="F3929">
        <v>0.25710413429222001</v>
      </c>
      <c r="G3929">
        <v>0.211677271889194</v>
      </c>
      <c r="H3929">
        <v>0.156438344395497</v>
      </c>
      <c r="I3929">
        <v>0.12233318337698</v>
      </c>
      <c r="J3929">
        <v>0.10806856538606099</v>
      </c>
      <c r="K3929">
        <v>9.4116283729025502E-2</v>
      </c>
      <c r="L3929">
        <v>762.88811846308704</v>
      </c>
      <c r="M3929">
        <v>15.7514851288069</v>
      </c>
      <c r="N3929">
        <v>49.157016831999499</v>
      </c>
      <c r="O3929">
        <v>47.6722963961424</v>
      </c>
      <c r="P3929">
        <v>-7.4055162856913895E-2</v>
      </c>
      <c r="Q3929">
        <v>0.103554942673527</v>
      </c>
      <c r="R3929">
        <v>0.98776099279812701</v>
      </c>
      <c r="S3929" t="s">
        <v>10240</v>
      </c>
      <c r="T3929" t="s">
        <v>12620</v>
      </c>
      <c r="U3929" t="s">
        <v>12620</v>
      </c>
      <c r="V3929" t="s">
        <v>12620</v>
      </c>
      <c r="W3929" t="s">
        <v>16499</v>
      </c>
      <c r="X3929">
        <v>12</v>
      </c>
      <c r="Y3929" t="s">
        <v>22622</v>
      </c>
      <c r="Z3929" t="s">
        <v>28876</v>
      </c>
      <c r="AA3929">
        <v>0.37610247681176773</v>
      </c>
      <c r="AB3929" t="str">
        <f>HYPERLINK("Melting_Curves/meltCurve_Q86UX6_STK32C.pdf", "Melting_Curves/meltCurve_Q86UX6_STK32C.pdf")</f>
        <v>Melting_Curves/meltCurve_Q86UX6_STK32C.pdf</v>
      </c>
    </row>
    <row r="3930" spans="1:28" x14ac:dyDescent="0.25">
      <c r="A3930" t="s">
        <v>3934</v>
      </c>
      <c r="B3930">
        <v>0.99987803227770999</v>
      </c>
      <c r="C3930">
        <v>0.91127476238624205</v>
      </c>
      <c r="D3930">
        <v>0.99687743114244598</v>
      </c>
      <c r="E3930">
        <v>0.94081638657467803</v>
      </c>
      <c r="F3930">
        <v>1.04481588491578</v>
      </c>
      <c r="G3930">
        <v>0.90802422944635497</v>
      </c>
      <c r="H3930">
        <v>0.82712077816887997</v>
      </c>
      <c r="I3930">
        <v>0.60287583509336595</v>
      </c>
      <c r="J3930">
        <v>0.44097916516187502</v>
      </c>
      <c r="K3930">
        <v>0.283848171386753</v>
      </c>
      <c r="L3930">
        <v>1217.0273271020101</v>
      </c>
      <c r="M3930">
        <v>18.670950285012101</v>
      </c>
      <c r="N3930">
        <v>65.872302427711901</v>
      </c>
      <c r="O3930">
        <v>64.448977559122596</v>
      </c>
      <c r="P3930">
        <v>-6.6000708535632294E-2</v>
      </c>
      <c r="Q3930">
        <v>8.8745261419524796E-2</v>
      </c>
      <c r="R3930">
        <v>0.97325221692612296</v>
      </c>
      <c r="S3930" t="s">
        <v>10241</v>
      </c>
      <c r="T3930" t="s">
        <v>12620</v>
      </c>
      <c r="U3930" t="s">
        <v>12620</v>
      </c>
      <c r="V3930" t="s">
        <v>12620</v>
      </c>
      <c r="W3930" t="s">
        <v>16500</v>
      </c>
      <c r="X3930">
        <v>18</v>
      </c>
      <c r="Y3930" t="s">
        <v>22623</v>
      </c>
      <c r="Z3930" t="s">
        <v>28877</v>
      </c>
      <c r="AA3930">
        <v>0.83878855890135262</v>
      </c>
      <c r="AB3930" t="str">
        <f>HYPERLINK("Melting_Curves/meltCurve_Q86UY0_TXNDC5.pdf", "Melting_Curves/meltCurve_Q86UY0_TXNDC5.pdf")</f>
        <v>Melting_Curves/meltCurve_Q86UY0_TXNDC5.pdf</v>
      </c>
    </row>
    <row r="3931" spans="1:28" x14ac:dyDescent="0.25">
      <c r="A3931" t="s">
        <v>3935</v>
      </c>
      <c r="B3931">
        <v>0.99987803227770999</v>
      </c>
      <c r="C3931">
        <v>1.0767406603515399</v>
      </c>
      <c r="D3931">
        <v>1.0024441806597699</v>
      </c>
      <c r="E3931">
        <v>1.1309414467474399</v>
      </c>
      <c r="F3931">
        <v>1.0402232251461001</v>
      </c>
      <c r="G3931">
        <v>0.58575504895374098</v>
      </c>
      <c r="H3931">
        <v>0.21222324689146899</v>
      </c>
      <c r="I3931">
        <v>0.142547203168402</v>
      </c>
      <c r="J3931">
        <v>0.117935533715063</v>
      </c>
      <c r="K3931">
        <v>8.0008953641869995E-2</v>
      </c>
      <c r="L3931">
        <v>2565.5094427592999</v>
      </c>
      <c r="M3931">
        <v>44.8163845863698</v>
      </c>
      <c r="N3931">
        <v>57.600120768353797</v>
      </c>
      <c r="O3931">
        <v>57.131268697097099</v>
      </c>
      <c r="P3931">
        <v>-0.172432533643119</v>
      </c>
      <c r="Q3931">
        <v>0.120743264359431</v>
      </c>
      <c r="R3931">
        <v>0.98335065168133595</v>
      </c>
      <c r="S3931" t="s">
        <v>10242</v>
      </c>
      <c r="T3931" t="s">
        <v>12620</v>
      </c>
      <c r="U3931" t="s">
        <v>12620</v>
      </c>
      <c r="V3931" t="s">
        <v>12620</v>
      </c>
      <c r="W3931" t="s">
        <v>16501</v>
      </c>
      <c r="X3931">
        <v>5</v>
      </c>
      <c r="Y3931" t="s">
        <v>22624</v>
      </c>
      <c r="Z3931" t="s">
        <v>28878</v>
      </c>
      <c r="AA3931">
        <v>0.6289168893368603</v>
      </c>
      <c r="AB3931" t="str">
        <f>HYPERLINK("Melting_Curves/meltCurve_Q86UY8_2_NT5DC3.pdf", "Melting_Curves/meltCurve_Q86UY8_2_NT5DC3.pdf")</f>
        <v>Melting_Curves/meltCurve_Q86UY8_2_NT5DC3.pdf</v>
      </c>
    </row>
    <row r="3932" spans="1:28" x14ac:dyDescent="0.25">
      <c r="A3932" t="s">
        <v>3936</v>
      </c>
      <c r="B3932">
        <v>0.99987803227770999</v>
      </c>
      <c r="C3932">
        <v>0.75380660670878696</v>
      </c>
      <c r="D3932">
        <v>0.283958392579649</v>
      </c>
      <c r="E3932">
        <v>0.24255348893710399</v>
      </c>
      <c r="F3932">
        <v>0.16680257104759399</v>
      </c>
      <c r="G3932">
        <v>0.10761243974427</v>
      </c>
      <c r="H3932">
        <v>0.10207610045757599</v>
      </c>
      <c r="I3932">
        <v>8.4870786717945207E-2</v>
      </c>
      <c r="J3932">
        <v>7.3150105376715097E-2</v>
      </c>
      <c r="K3932">
        <v>4.7777896151335798E-2</v>
      </c>
      <c r="L3932">
        <v>1357.4854542495</v>
      </c>
      <c r="M3932">
        <v>30.713204166589598</v>
      </c>
      <c r="N3932">
        <v>44.558757250522</v>
      </c>
      <c r="O3932">
        <v>44.012649450384501</v>
      </c>
      <c r="P3932">
        <v>-0.15528977176845299</v>
      </c>
      <c r="Q3932">
        <v>0.109871611362447</v>
      </c>
      <c r="R3932">
        <v>0.97644481075915202</v>
      </c>
      <c r="S3932" t="s">
        <v>10243</v>
      </c>
      <c r="T3932" t="s">
        <v>12620</v>
      </c>
      <c r="U3932" t="s">
        <v>12620</v>
      </c>
      <c r="V3932" t="s">
        <v>12620</v>
      </c>
      <c r="W3932" t="s">
        <v>16502</v>
      </c>
      <c r="X3932">
        <v>11</v>
      </c>
      <c r="Y3932" t="s">
        <v>22625</v>
      </c>
      <c r="Z3932" t="s">
        <v>28879</v>
      </c>
      <c r="AA3932">
        <v>0.24038441238580929</v>
      </c>
      <c r="AB3932" t="str">
        <f>HYPERLINK("Melting_Curves/meltCurve_Q86V21_AACS.pdf", "Melting_Curves/meltCurve_Q86V21_AACS.pdf")</f>
        <v>Melting_Curves/meltCurve_Q86V21_AACS.pdf</v>
      </c>
    </row>
    <row r="3933" spans="1:28" x14ac:dyDescent="0.25">
      <c r="A3933" t="s">
        <v>3937</v>
      </c>
      <c r="B3933">
        <v>0.99987803227770999</v>
      </c>
      <c r="C3933">
        <v>0.83901215762665304</v>
      </c>
      <c r="D3933">
        <v>0.93080743203042404</v>
      </c>
      <c r="E3933">
        <v>0.88227151254386205</v>
      </c>
      <c r="F3933">
        <v>1.0928839049650001</v>
      </c>
      <c r="G3933">
        <v>0.86275082592626995</v>
      </c>
      <c r="H3933">
        <v>0.88229440260812997</v>
      </c>
      <c r="I3933">
        <v>0.805292646311493</v>
      </c>
      <c r="J3933">
        <v>0.82083283846432098</v>
      </c>
      <c r="K3933">
        <v>0.68632237932901197</v>
      </c>
      <c r="L3933">
        <v>355.41987968938503</v>
      </c>
      <c r="M3933">
        <v>4.0555904281140602</v>
      </c>
      <c r="Q3933">
        <v>0</v>
      </c>
      <c r="R3933">
        <v>0.453942929542</v>
      </c>
      <c r="S3933" t="s">
        <v>10244</v>
      </c>
      <c r="T3933" t="s">
        <v>12620</v>
      </c>
      <c r="U3933" t="s">
        <v>12620</v>
      </c>
      <c r="V3933" t="s">
        <v>12620</v>
      </c>
      <c r="W3933" t="s">
        <v>16503</v>
      </c>
      <c r="X3933">
        <v>56</v>
      </c>
      <c r="Y3933" t="s">
        <v>22626</v>
      </c>
      <c r="Z3933" t="s">
        <v>28880</v>
      </c>
      <c r="AA3933">
        <v>0.89841578310350156</v>
      </c>
      <c r="AB3933" t="str">
        <f>HYPERLINK("Melting_Curves/meltCurve_Q86V48_LUZP1.pdf", "Melting_Curves/meltCurve_Q86V48_LUZP1.pdf")</f>
        <v>Melting_Curves/meltCurve_Q86V48_LUZP1.pdf</v>
      </c>
    </row>
    <row r="3934" spans="1:28" x14ac:dyDescent="0.25">
      <c r="A3934" t="s">
        <v>3938</v>
      </c>
      <c r="B3934">
        <v>0.99987803227770999</v>
      </c>
      <c r="C3934">
        <v>1.2277178292353099</v>
      </c>
      <c r="D3934">
        <v>1.0612274767648799</v>
      </c>
      <c r="E3934">
        <v>1.29829668967428</v>
      </c>
      <c r="F3934">
        <v>0.945368260660158</v>
      </c>
      <c r="G3934">
        <v>0.78033890896136204</v>
      </c>
      <c r="H3934">
        <v>0.27181709179253999</v>
      </c>
      <c r="I3934">
        <v>0.19084877358668201</v>
      </c>
      <c r="J3934">
        <v>0.107257086769426</v>
      </c>
      <c r="K3934">
        <v>8.7063285055517498E-2</v>
      </c>
      <c r="L3934">
        <v>2138.6005875623</v>
      </c>
      <c r="M3934">
        <v>36.427006971005802</v>
      </c>
      <c r="N3934">
        <v>59.095387367753403</v>
      </c>
      <c r="O3934">
        <v>58.533118632451099</v>
      </c>
      <c r="P3934">
        <v>-0.139104407009777</v>
      </c>
      <c r="Q3934">
        <v>0.10591730968327</v>
      </c>
      <c r="R3934">
        <v>0.92854408212639805</v>
      </c>
      <c r="S3934" t="s">
        <v>10245</v>
      </c>
      <c r="T3934" t="s">
        <v>12620</v>
      </c>
      <c r="U3934" t="s">
        <v>12620</v>
      </c>
      <c r="V3934" t="s">
        <v>12620</v>
      </c>
      <c r="W3934" t="s">
        <v>16504</v>
      </c>
      <c r="X3934">
        <v>2</v>
      </c>
      <c r="Y3934" t="s">
        <v>22627</v>
      </c>
      <c r="Z3934" t="s">
        <v>28881</v>
      </c>
      <c r="AA3934">
        <v>0.66768210659639338</v>
      </c>
      <c r="AB3934" t="str">
        <f>HYPERLINK("Melting_Curves/meltCurve_Q86V87_FAM160B2.pdf", "Melting_Curves/meltCurve_Q86V87_FAM160B2.pdf")</f>
        <v>Melting_Curves/meltCurve_Q86V87_FAM160B2.pdf</v>
      </c>
    </row>
    <row r="3935" spans="1:28" x14ac:dyDescent="0.25">
      <c r="A3935" t="s">
        <v>3939</v>
      </c>
      <c r="B3935">
        <v>0.99987803227770999</v>
      </c>
      <c r="C3935">
        <v>0.85407564363468602</v>
      </c>
      <c r="D3935">
        <v>1.1289250747572701</v>
      </c>
      <c r="E3935">
        <v>0.90239697495534099</v>
      </c>
      <c r="F3935">
        <v>1.19784147605917</v>
      </c>
      <c r="G3935">
        <v>0.93840202008829199</v>
      </c>
      <c r="H3935">
        <v>1.15304849826976</v>
      </c>
      <c r="I3935">
        <v>1.02173830183795</v>
      </c>
      <c r="J3935">
        <v>0.98670753137882405</v>
      </c>
      <c r="K3935">
        <v>0.90910787734891596</v>
      </c>
      <c r="L3935">
        <v>15000</v>
      </c>
      <c r="M3935">
        <v>222.11569301669499</v>
      </c>
      <c r="O3935">
        <v>67.526899129323098</v>
      </c>
      <c r="P3935">
        <v>-7.4772419280703495E-2</v>
      </c>
      <c r="Q3935">
        <v>0.909071717802725</v>
      </c>
      <c r="R3935">
        <v>6.2278062340905403E-2</v>
      </c>
      <c r="S3935" t="s">
        <v>10246</v>
      </c>
      <c r="T3935" t="s">
        <v>12620</v>
      </c>
      <c r="U3935" t="s">
        <v>12620</v>
      </c>
      <c r="V3935" t="s">
        <v>12620</v>
      </c>
      <c r="W3935" t="s">
        <v>16505</v>
      </c>
      <c r="X3935">
        <v>2</v>
      </c>
      <c r="Y3935" t="s">
        <v>22628</v>
      </c>
      <c r="Z3935" t="s">
        <v>28882</v>
      </c>
      <c r="AA3935">
        <v>0.9925340219364911</v>
      </c>
      <c r="AB3935" t="str">
        <f>HYPERLINK("Melting_Curves/meltCurve_Q86VG3_C11orf74.pdf", "Melting_Curves/meltCurve_Q86VG3_C11orf74.pdf")</f>
        <v>Melting_Curves/meltCurve_Q86VG3_C11orf74.pdf</v>
      </c>
    </row>
    <row r="3936" spans="1:28" x14ac:dyDescent="0.25">
      <c r="A3936" t="s">
        <v>3940</v>
      </c>
      <c r="B3936">
        <v>0.99987803227770999</v>
      </c>
      <c r="C3936">
        <v>0.77099061567077498</v>
      </c>
      <c r="D3936">
        <v>0.88768164395889904</v>
      </c>
      <c r="E3936">
        <v>0.75785444991258</v>
      </c>
      <c r="F3936">
        <v>1.0338319106918601</v>
      </c>
      <c r="G3936">
        <v>0.66521094816944004</v>
      </c>
      <c r="H3936">
        <v>0.65794854841994499</v>
      </c>
      <c r="I3936">
        <v>0.65106466593826995</v>
      </c>
      <c r="J3936">
        <v>0.74514882293651397</v>
      </c>
      <c r="K3936">
        <v>0.593881689980579</v>
      </c>
      <c r="L3936">
        <v>188.39768045366199</v>
      </c>
      <c r="M3936">
        <v>2.17325910056636</v>
      </c>
      <c r="O3936">
        <v>54.113082570973802</v>
      </c>
      <c r="P3936">
        <v>-1.07767098086319E-2</v>
      </c>
      <c r="Q3936">
        <v>0</v>
      </c>
      <c r="R3936">
        <v>0.48894350369490602</v>
      </c>
      <c r="S3936" t="s">
        <v>10247</v>
      </c>
      <c r="T3936" t="s">
        <v>12620</v>
      </c>
      <c r="U3936" t="s">
        <v>12620</v>
      </c>
      <c r="V3936" t="s">
        <v>12620</v>
      </c>
      <c r="W3936" t="s">
        <v>16506</v>
      </c>
      <c r="X3936">
        <v>2</v>
      </c>
      <c r="Y3936" t="s">
        <v>22629</v>
      </c>
      <c r="Z3936" t="s">
        <v>28883</v>
      </c>
      <c r="AA3936">
        <v>0.77774141840110989</v>
      </c>
      <c r="AB3936" t="str">
        <f>HYPERLINK("Melting_Curves/meltCurve_Q86VK4_3_ZNF410.pdf", "Melting_Curves/meltCurve_Q86VK4_3_ZNF410.pdf")</f>
        <v>Melting_Curves/meltCurve_Q86VK4_3_ZNF410.pdf</v>
      </c>
    </row>
    <row r="3937" spans="1:28" x14ac:dyDescent="0.25">
      <c r="A3937" t="s">
        <v>3941</v>
      </c>
      <c r="B3937">
        <v>0.99987803227770999</v>
      </c>
      <c r="C3937">
        <v>0.90622652870796006</v>
      </c>
      <c r="D3937">
        <v>0.94807876366521204</v>
      </c>
      <c r="E3937">
        <v>1.0341563768047499</v>
      </c>
      <c r="F3937">
        <v>1.14938451647594</v>
      </c>
      <c r="G3937">
        <v>0.92277464167423595</v>
      </c>
      <c r="H3937">
        <v>0.98597144269840298</v>
      </c>
      <c r="I3937">
        <v>0.81852080411865102</v>
      </c>
      <c r="J3937">
        <v>1.0080698386817499</v>
      </c>
      <c r="K3937">
        <v>0.84418874618202999</v>
      </c>
      <c r="L3937">
        <v>1849.1881449483101</v>
      </c>
      <c r="M3937">
        <v>30.858358012908301</v>
      </c>
      <c r="O3937">
        <v>59.6750599309214</v>
      </c>
      <c r="P3937">
        <v>-1.35295566091783E-2</v>
      </c>
      <c r="Q3937">
        <v>0.89534473756383803</v>
      </c>
      <c r="R3937">
        <v>0.23085903013938999</v>
      </c>
      <c r="S3937" t="s">
        <v>10248</v>
      </c>
      <c r="T3937" t="s">
        <v>12620</v>
      </c>
      <c r="U3937" t="s">
        <v>12620</v>
      </c>
      <c r="V3937" t="s">
        <v>12620</v>
      </c>
      <c r="W3937" t="s">
        <v>16507</v>
      </c>
      <c r="X3937">
        <v>13</v>
      </c>
      <c r="Y3937" t="s">
        <v>22630</v>
      </c>
      <c r="Z3937" t="s">
        <v>28884</v>
      </c>
      <c r="AA3937">
        <v>0.96546889336775477</v>
      </c>
      <c r="AB3937" t="str">
        <f>HYPERLINK("Melting_Curves/meltCurve_Q86VM9_ZC3H18.pdf", "Melting_Curves/meltCurve_Q86VM9_ZC3H18.pdf")</f>
        <v>Melting_Curves/meltCurve_Q86VM9_ZC3H18.pdf</v>
      </c>
    </row>
    <row r="3938" spans="1:28" x14ac:dyDescent="0.25">
      <c r="A3938" t="s">
        <v>3942</v>
      </c>
      <c r="B3938">
        <v>0.99987803227770999</v>
      </c>
      <c r="C3938">
        <v>0.78301229029680197</v>
      </c>
      <c r="D3938">
        <v>0.809839713697178</v>
      </c>
      <c r="E3938">
        <v>0.86641963772442998</v>
      </c>
      <c r="F3938">
        <v>0.48259166586955299</v>
      </c>
      <c r="G3938">
        <v>0.23984945128273599</v>
      </c>
      <c r="H3938">
        <v>0.18790157939272301</v>
      </c>
      <c r="I3938">
        <v>0.14950700637122399</v>
      </c>
      <c r="J3938">
        <v>0.14787565605233399</v>
      </c>
      <c r="K3938">
        <v>0.11652065690218801</v>
      </c>
      <c r="L3938">
        <v>730.260432242006</v>
      </c>
      <c r="M3938">
        <v>13.8726419993948</v>
      </c>
      <c r="N3938">
        <v>53.264421425013303</v>
      </c>
      <c r="O3938">
        <v>51.582691449815798</v>
      </c>
      <c r="P3938">
        <v>-6.22001793844126E-2</v>
      </c>
      <c r="Q3938">
        <v>7.5010678325895197E-2</v>
      </c>
      <c r="R3938">
        <v>0.93380728371600497</v>
      </c>
      <c r="S3938" t="s">
        <v>10249</v>
      </c>
      <c r="T3938" t="s">
        <v>12620</v>
      </c>
      <c r="U3938" t="s">
        <v>12620</v>
      </c>
      <c r="V3938" t="s">
        <v>12620</v>
      </c>
      <c r="W3938" t="s">
        <v>16508</v>
      </c>
      <c r="X3938">
        <v>13</v>
      </c>
      <c r="Y3938" t="s">
        <v>22631</v>
      </c>
      <c r="Z3938" t="s">
        <v>28885</v>
      </c>
      <c r="AA3938">
        <v>0.48727632167286361</v>
      </c>
      <c r="AB3938" t="str">
        <f>HYPERLINK("Melting_Curves/meltCurve_Q86VN1_VPS36.pdf", "Melting_Curves/meltCurve_Q86VN1_VPS36.pdf")</f>
        <v>Melting_Curves/meltCurve_Q86VN1_VPS36.pdf</v>
      </c>
    </row>
    <row r="3939" spans="1:28" x14ac:dyDescent="0.25">
      <c r="A3939" t="s">
        <v>3943</v>
      </c>
      <c r="B3939">
        <v>0.99987803227770999</v>
      </c>
      <c r="C3939">
        <v>1.02695038135699</v>
      </c>
      <c r="D3939">
        <v>0.96186515073033896</v>
      </c>
      <c r="E3939">
        <v>0.87853070831044</v>
      </c>
      <c r="F3939">
        <v>0.72263412278636496</v>
      </c>
      <c r="G3939">
        <v>0.422772301732245</v>
      </c>
      <c r="H3939">
        <v>0.304184429525655</v>
      </c>
      <c r="I3939">
        <v>0.25929090945258298</v>
      </c>
      <c r="J3939">
        <v>0.218274041608671</v>
      </c>
      <c r="K3939">
        <v>0.160711426704893</v>
      </c>
      <c r="L3939">
        <v>994.34150956538303</v>
      </c>
      <c r="M3939">
        <v>18.153719627499701</v>
      </c>
      <c r="N3939">
        <v>56.1391517888325</v>
      </c>
      <c r="O3939">
        <v>54.121762282353302</v>
      </c>
      <c r="P3939">
        <v>-6.8890315755292295E-2</v>
      </c>
      <c r="Q3939">
        <v>0.178507223691172</v>
      </c>
      <c r="R3939">
        <v>0.99636624096856996</v>
      </c>
      <c r="S3939" t="s">
        <v>10250</v>
      </c>
      <c r="T3939" t="s">
        <v>12620</v>
      </c>
      <c r="U3939" t="s">
        <v>12620</v>
      </c>
      <c r="V3939" t="s">
        <v>12620</v>
      </c>
      <c r="W3939" t="s">
        <v>16509</v>
      </c>
      <c r="X3939">
        <v>6</v>
      </c>
      <c r="Y3939" t="s">
        <v>22632</v>
      </c>
      <c r="Z3939" t="s">
        <v>28886</v>
      </c>
      <c r="AA3939">
        <v>0.59571963058076638</v>
      </c>
      <c r="AB3939" t="str">
        <f>HYPERLINK("Melting_Curves/meltCurve_Q86VP1_2_TAX1BP1.pdf", "Melting_Curves/meltCurve_Q86VP1_2_TAX1BP1.pdf")</f>
        <v>Melting_Curves/meltCurve_Q86VP1_2_TAX1BP1.pdf</v>
      </c>
    </row>
    <row r="3940" spans="1:28" x14ac:dyDescent="0.25">
      <c r="A3940" t="s">
        <v>3944</v>
      </c>
      <c r="B3940">
        <v>0.99987803227770999</v>
      </c>
      <c r="C3940">
        <v>1.18971100678679</v>
      </c>
      <c r="D3940">
        <v>0.98436270736692999</v>
      </c>
      <c r="E3940">
        <v>1.32439176682872</v>
      </c>
      <c r="F3940">
        <v>1.06827622860141</v>
      </c>
      <c r="G3940">
        <v>1.3134325338281601</v>
      </c>
      <c r="H3940">
        <v>0.76343757949067703</v>
      </c>
      <c r="I3940">
        <v>0.18871476839975199</v>
      </c>
      <c r="J3940">
        <v>0.108192792114887</v>
      </c>
      <c r="K3940">
        <v>8.1303812846591106E-2</v>
      </c>
      <c r="L3940">
        <v>4438.1008452977403</v>
      </c>
      <c r="M3940">
        <v>71.671387086697393</v>
      </c>
      <c r="N3940">
        <v>62.109948826844203</v>
      </c>
      <c r="O3940">
        <v>61.8747537469023</v>
      </c>
      <c r="P3940">
        <v>-0.26147553255006201</v>
      </c>
      <c r="Q3940">
        <v>9.7060545714297605E-2</v>
      </c>
      <c r="R3940">
        <v>0.88849408277284903</v>
      </c>
      <c r="S3940" t="s">
        <v>10251</v>
      </c>
      <c r="T3940" t="s">
        <v>12620</v>
      </c>
      <c r="U3940" t="s">
        <v>12620</v>
      </c>
      <c r="V3940" t="s">
        <v>12620</v>
      </c>
      <c r="W3940" t="s">
        <v>16510</v>
      </c>
      <c r="X3940">
        <v>63</v>
      </c>
      <c r="Y3940" t="s">
        <v>22633</v>
      </c>
      <c r="Z3940" t="s">
        <v>28887</v>
      </c>
      <c r="AA3940">
        <v>0.75808397469750111</v>
      </c>
      <c r="AB3940" t="str">
        <f>HYPERLINK("Melting_Curves/meltCurve_Q86VP6_CAND1.pdf", "Melting_Curves/meltCurve_Q86VP6_CAND1.pdf")</f>
        <v>Melting_Curves/meltCurve_Q86VP6_CAND1.pdf</v>
      </c>
    </row>
    <row r="3941" spans="1:28" x14ac:dyDescent="0.25">
      <c r="A3941" t="s">
        <v>3945</v>
      </c>
      <c r="B3941">
        <v>0.99987803227770999</v>
      </c>
      <c r="C3941">
        <v>1.21278250355516</v>
      </c>
      <c r="D3941">
        <v>1.0431249637987701</v>
      </c>
      <c r="E3941">
        <v>1.0124011833220401</v>
      </c>
      <c r="F3941">
        <v>0.974637236468615</v>
      </c>
      <c r="G3941">
        <v>0.84304929145484797</v>
      </c>
      <c r="H3941">
        <v>0.781779994796161</v>
      </c>
      <c r="I3941">
        <v>0.68325006675673305</v>
      </c>
      <c r="J3941">
        <v>0.48493342521122101</v>
      </c>
      <c r="K3941">
        <v>0.42065489138895001</v>
      </c>
      <c r="L3941">
        <v>847.21754511396205</v>
      </c>
      <c r="M3941">
        <v>12.8667360801808</v>
      </c>
      <c r="N3941">
        <v>67.504949317923504</v>
      </c>
      <c r="O3941">
        <v>64.315876227669406</v>
      </c>
      <c r="P3941">
        <v>-4.3241173485264198E-2</v>
      </c>
      <c r="Q3941">
        <v>0.13557483103215101</v>
      </c>
      <c r="R3941">
        <v>0.90690423611245996</v>
      </c>
      <c r="S3941" t="s">
        <v>10252</v>
      </c>
      <c r="T3941" t="s">
        <v>12620</v>
      </c>
      <c r="U3941" t="s">
        <v>12620</v>
      </c>
      <c r="V3941" t="s">
        <v>12620</v>
      </c>
      <c r="W3941" t="s">
        <v>16511</v>
      </c>
      <c r="X3941">
        <v>1</v>
      </c>
      <c r="Y3941" t="s">
        <v>22634</v>
      </c>
      <c r="Z3941" t="s">
        <v>28888</v>
      </c>
      <c r="AA3941">
        <v>0.84174162374130812</v>
      </c>
      <c r="AB3941" t="str">
        <f>HYPERLINK("Melting_Curves/meltCurve_Q86VQ1_GLCCI1.pdf", "Melting_Curves/meltCurve_Q86VQ1_GLCCI1.pdf")</f>
        <v>Melting_Curves/meltCurve_Q86VQ1_GLCCI1.pdf</v>
      </c>
    </row>
    <row r="3942" spans="1:28" x14ac:dyDescent="0.25">
      <c r="A3942" t="s">
        <v>3946</v>
      </c>
      <c r="B3942">
        <v>0.99987803227770999</v>
      </c>
      <c r="C3942">
        <v>1.1196359988151701</v>
      </c>
      <c r="D3942">
        <v>0.95646034805885205</v>
      </c>
      <c r="E3942">
        <v>1.079237605831</v>
      </c>
      <c r="F3942">
        <v>0.91406355317872001</v>
      </c>
      <c r="G3942">
        <v>0.85698105661781099</v>
      </c>
      <c r="H3942">
        <v>0.84948032325848599</v>
      </c>
      <c r="I3942">
        <v>0.76548269232048505</v>
      </c>
      <c r="J3942">
        <v>0.55908136682801002</v>
      </c>
      <c r="K3942">
        <v>0.26440333248262998</v>
      </c>
      <c r="L3942">
        <v>1264.10024934796</v>
      </c>
      <c r="M3942">
        <v>18.798675742813899</v>
      </c>
      <c r="N3942">
        <v>67.244112075088694</v>
      </c>
      <c r="O3942">
        <v>66.497034428083396</v>
      </c>
      <c r="P3942">
        <v>-7.0677804136513298E-2</v>
      </c>
      <c r="Q3942">
        <v>0</v>
      </c>
      <c r="R3942">
        <v>0.91811332650384103</v>
      </c>
      <c r="S3942" t="s">
        <v>10253</v>
      </c>
      <c r="T3942" t="s">
        <v>12620</v>
      </c>
      <c r="U3942" t="s">
        <v>12620</v>
      </c>
      <c r="V3942" t="s">
        <v>12620</v>
      </c>
      <c r="W3942" t="s">
        <v>16512</v>
      </c>
      <c r="X3942">
        <v>3</v>
      </c>
      <c r="Y3942" t="s">
        <v>22635</v>
      </c>
      <c r="Z3942" t="s">
        <v>28889</v>
      </c>
      <c r="AA3942">
        <v>0.87193161769481009</v>
      </c>
      <c r="AB3942" t="str">
        <f>HYPERLINK("Melting_Curves/meltCurve_Q86VQ6_TXNRD3.pdf", "Melting_Curves/meltCurve_Q86VQ6_TXNRD3.pdf")</f>
        <v>Melting_Curves/meltCurve_Q86VQ6_TXNRD3.pdf</v>
      </c>
    </row>
    <row r="3943" spans="1:28" x14ac:dyDescent="0.25">
      <c r="A3943" t="s">
        <v>3947</v>
      </c>
      <c r="B3943">
        <v>0.99987803227770999</v>
      </c>
      <c r="C3943">
        <v>1.04940161932135</v>
      </c>
      <c r="D3943">
        <v>1.0013071260670601</v>
      </c>
      <c r="E3943">
        <v>1.1286480667243799</v>
      </c>
      <c r="F3943">
        <v>0.94256906430896703</v>
      </c>
      <c r="G3943">
        <v>0.70227105737603901</v>
      </c>
      <c r="H3943">
        <v>0.49177919896559302</v>
      </c>
      <c r="I3943">
        <v>0.54452535375310696</v>
      </c>
      <c r="J3943">
        <v>0.38097010319989399</v>
      </c>
      <c r="K3943">
        <v>0.31008000375882899</v>
      </c>
      <c r="L3943">
        <v>1337.90910414071</v>
      </c>
      <c r="M3943">
        <v>23.108359041727201</v>
      </c>
      <c r="N3943">
        <v>61.383735383078601</v>
      </c>
      <c r="O3943">
        <v>57.468839806195703</v>
      </c>
      <c r="P3943">
        <v>-6.3791586802616401E-2</v>
      </c>
      <c r="Q3943">
        <v>0.36543116117227697</v>
      </c>
      <c r="R3943">
        <v>0.94799129546951899</v>
      </c>
      <c r="S3943" t="s">
        <v>10254</v>
      </c>
      <c r="T3943" t="s">
        <v>12620</v>
      </c>
      <c r="U3943" t="s">
        <v>12620</v>
      </c>
      <c r="V3943" t="s">
        <v>12620</v>
      </c>
      <c r="W3943" t="s">
        <v>16513</v>
      </c>
      <c r="X3943">
        <v>2</v>
      </c>
      <c r="Y3943" t="s">
        <v>22636</v>
      </c>
      <c r="Z3943" t="s">
        <v>28890</v>
      </c>
      <c r="AA3943">
        <v>0.75016047285089604</v>
      </c>
      <c r="AB3943" t="str">
        <f>HYPERLINK("Melting_Curves/meltCurve_Q86VR2_FAM134C.pdf", "Melting_Curves/meltCurve_Q86VR2_FAM134C.pdf")</f>
        <v>Melting_Curves/meltCurve_Q86VR2_FAM134C.pdf</v>
      </c>
    </row>
    <row r="3944" spans="1:28" x14ac:dyDescent="0.25">
      <c r="A3944" t="s">
        <v>3948</v>
      </c>
      <c r="B3944">
        <v>0.99987803227770999</v>
      </c>
      <c r="C3944">
        <v>1.1547100927245599</v>
      </c>
      <c r="D3944">
        <v>0.98267092324922101</v>
      </c>
      <c r="E3944">
        <v>1.1386409576229199</v>
      </c>
      <c r="F3944">
        <v>0.95016644195040401</v>
      </c>
      <c r="G3944">
        <v>0.87508037386542703</v>
      </c>
      <c r="H3944">
        <v>0.58892490637914696</v>
      </c>
      <c r="I3944">
        <v>0.38924567046237502</v>
      </c>
      <c r="J3944">
        <v>0.27203525388848498</v>
      </c>
      <c r="K3944">
        <v>0.19971764892517199</v>
      </c>
      <c r="L3944">
        <v>1440.82609026873</v>
      </c>
      <c r="M3944">
        <v>23.5643438254118</v>
      </c>
      <c r="N3944">
        <v>62.232619444676402</v>
      </c>
      <c r="O3944">
        <v>60.709101504822698</v>
      </c>
      <c r="P3944">
        <v>-8.0653111057305396E-2</v>
      </c>
      <c r="Q3944">
        <v>0.16886397812784301</v>
      </c>
      <c r="R3944">
        <v>0.96106280586756099</v>
      </c>
      <c r="S3944" t="s">
        <v>10255</v>
      </c>
      <c r="T3944" t="s">
        <v>12620</v>
      </c>
      <c r="U3944" t="s">
        <v>12620</v>
      </c>
      <c r="V3944" t="s">
        <v>12620</v>
      </c>
      <c r="W3944" t="s">
        <v>16514</v>
      </c>
      <c r="X3944">
        <v>36</v>
      </c>
      <c r="Y3944" t="s">
        <v>22637</v>
      </c>
      <c r="Z3944" t="s">
        <v>28891</v>
      </c>
      <c r="AA3944">
        <v>0.75975309251107315</v>
      </c>
      <c r="AB3944" t="str">
        <f>HYPERLINK("Melting_Curves/meltCurve_Q86VS8_HOOK3.pdf", "Melting_Curves/meltCurve_Q86VS8_HOOK3.pdf")</f>
        <v>Melting_Curves/meltCurve_Q86VS8_HOOK3.pdf</v>
      </c>
    </row>
    <row r="3945" spans="1:28" x14ac:dyDescent="0.25">
      <c r="A3945" t="s">
        <v>3949</v>
      </c>
      <c r="B3945">
        <v>0.99987803227770999</v>
      </c>
      <c r="C3945">
        <v>1.9293731841886601</v>
      </c>
      <c r="D3945">
        <v>1.6739955499858901</v>
      </c>
      <c r="E3945">
        <v>1.74419638058116</v>
      </c>
      <c r="F3945">
        <v>0.91360984040359705</v>
      </c>
      <c r="G3945">
        <v>0.26656936723077002</v>
      </c>
      <c r="H3945">
        <v>0.14978024561928999</v>
      </c>
      <c r="I3945">
        <v>0.15409098391349099</v>
      </c>
      <c r="J3945">
        <v>0.16738534540581701</v>
      </c>
      <c r="K3945">
        <v>0.15943245989810101</v>
      </c>
      <c r="L3945">
        <v>3512.4171424777201</v>
      </c>
      <c r="M3945">
        <v>63.635742587366899</v>
      </c>
      <c r="N3945">
        <v>55.529191659447399</v>
      </c>
      <c r="O3945">
        <v>55.141224666532203</v>
      </c>
      <c r="P3945">
        <v>-0.24268980122421699</v>
      </c>
      <c r="Q3945">
        <v>0.15882425732243</v>
      </c>
      <c r="R3945">
        <v>0.61866999294746905</v>
      </c>
      <c r="S3945" t="s">
        <v>10256</v>
      </c>
      <c r="T3945" t="s">
        <v>12620</v>
      </c>
      <c r="U3945" t="s">
        <v>12620</v>
      </c>
      <c r="V3945" t="s">
        <v>12620</v>
      </c>
      <c r="W3945" t="s">
        <v>16515</v>
      </c>
      <c r="X3945">
        <v>1</v>
      </c>
      <c r="Y3945" t="s">
        <v>22638</v>
      </c>
      <c r="Z3945" t="s">
        <v>28892</v>
      </c>
      <c r="AA3945">
        <v>0.5861600105988185</v>
      </c>
      <c r="AB3945" t="str">
        <f>HYPERLINK("Melting_Curves/meltCurve_Q86VV8_3_RTTN.pdf", "Melting_Curves/meltCurve_Q86VV8_3_RTTN.pdf")</f>
        <v>Melting_Curves/meltCurve_Q86VV8_3_RTTN.pdf</v>
      </c>
    </row>
    <row r="3946" spans="1:28" x14ac:dyDescent="0.25">
      <c r="A3946" t="s">
        <v>3950</v>
      </c>
      <c r="B3946">
        <v>0.99987803227770999</v>
      </c>
      <c r="C3946">
        <v>1.1259031112401501</v>
      </c>
      <c r="D3946">
        <v>1.9572813366431401</v>
      </c>
      <c r="E3946">
        <v>0.89998418941068503</v>
      </c>
      <c r="F3946">
        <v>0.50756949763123105</v>
      </c>
      <c r="G3946">
        <v>0.437960062709283</v>
      </c>
      <c r="H3946">
        <v>0.35609071803138798</v>
      </c>
      <c r="I3946">
        <v>0.280896026535426</v>
      </c>
      <c r="J3946">
        <v>0.15461171391727199</v>
      </c>
      <c r="K3946">
        <v>0.109795649836857</v>
      </c>
      <c r="L3946">
        <v>2211.9341273219202</v>
      </c>
      <c r="M3946">
        <v>42.250606488619702</v>
      </c>
      <c r="N3946">
        <v>53.270745359115999</v>
      </c>
      <c r="O3946">
        <v>52.235851457420303</v>
      </c>
      <c r="P3946">
        <v>-0.14992095089138099</v>
      </c>
      <c r="Q3946">
        <v>0.25859198116390097</v>
      </c>
      <c r="R3946">
        <v>0.65774302564359499</v>
      </c>
      <c r="S3946" t="s">
        <v>10257</v>
      </c>
      <c r="T3946" t="s">
        <v>12620</v>
      </c>
      <c r="U3946" t="s">
        <v>12620</v>
      </c>
      <c r="V3946" t="s">
        <v>12620</v>
      </c>
      <c r="W3946" t="s">
        <v>16516</v>
      </c>
      <c r="X3946">
        <v>2</v>
      </c>
      <c r="Y3946" t="s">
        <v>22639</v>
      </c>
      <c r="Z3946" t="s">
        <v>28893</v>
      </c>
      <c r="AA3946">
        <v>0.56627403301676371</v>
      </c>
      <c r="AB3946" t="str">
        <f>HYPERLINK("Melting_Curves/meltCurve_Q86VW0_SESTD1.pdf", "Melting_Curves/meltCurve_Q86VW0_SESTD1.pdf")</f>
        <v>Melting_Curves/meltCurve_Q86VW0_SESTD1.pdf</v>
      </c>
    </row>
    <row r="3947" spans="1:28" x14ac:dyDescent="0.25">
      <c r="A3947" t="s">
        <v>3951</v>
      </c>
      <c r="B3947">
        <v>0.99987803227770999</v>
      </c>
      <c r="C3947">
        <v>0.91281440903677502</v>
      </c>
      <c r="D3947">
        <v>0.93773838997415404</v>
      </c>
      <c r="E3947">
        <v>1.2120715894971399</v>
      </c>
      <c r="F3947">
        <v>1.55527457952004</v>
      </c>
      <c r="G3947">
        <v>0.88625265932547204</v>
      </c>
      <c r="H3947">
        <v>0.27161611389592699</v>
      </c>
      <c r="I3947">
        <v>0.237323256151485</v>
      </c>
      <c r="J3947">
        <v>0.15899312277657199</v>
      </c>
      <c r="K3947">
        <v>0.112589383410639</v>
      </c>
      <c r="L3947">
        <v>3398.1767092309301</v>
      </c>
      <c r="M3947">
        <v>57.627673064618598</v>
      </c>
      <c r="N3947">
        <v>59.382544082567698</v>
      </c>
      <c r="O3947">
        <v>58.896917590415498</v>
      </c>
      <c r="P3947">
        <v>-0.20408645041877299</v>
      </c>
      <c r="Q3947">
        <v>0.16567475896376899</v>
      </c>
      <c r="R3947">
        <v>0.83393684762396902</v>
      </c>
      <c r="S3947" t="s">
        <v>10258</v>
      </c>
      <c r="T3947" t="s">
        <v>12620</v>
      </c>
      <c r="U3947" t="s">
        <v>12620</v>
      </c>
      <c r="V3947" t="s">
        <v>12620</v>
      </c>
      <c r="W3947" t="s">
        <v>16517</v>
      </c>
      <c r="X3947">
        <v>4</v>
      </c>
      <c r="Y3947" t="s">
        <v>22640</v>
      </c>
      <c r="Z3947" t="s">
        <v>28894</v>
      </c>
      <c r="AA3947">
        <v>0.6948117091065007</v>
      </c>
      <c r="AB3947" t="str">
        <f>HYPERLINK("Melting_Curves/meltCurve_Q86VX2_2_COMMD7.pdf", "Melting_Curves/meltCurve_Q86VX2_2_COMMD7.pdf")</f>
        <v>Melting_Curves/meltCurve_Q86VX2_2_COMMD7.pdf</v>
      </c>
    </row>
    <row r="3948" spans="1:28" x14ac:dyDescent="0.25">
      <c r="A3948" t="s">
        <v>3952</v>
      </c>
      <c r="B3948">
        <v>0.99987803227770999</v>
      </c>
      <c r="C3948">
        <v>0.90887497836981102</v>
      </c>
      <c r="D3948">
        <v>0.94521484622980001</v>
      </c>
      <c r="E3948">
        <v>0.59591894692182701</v>
      </c>
      <c r="F3948">
        <v>0.459643977962016</v>
      </c>
      <c r="G3948">
        <v>0.23577216163959899</v>
      </c>
      <c r="H3948">
        <v>0.19664173301943899</v>
      </c>
      <c r="I3948">
        <v>0.17232564160504801</v>
      </c>
      <c r="J3948">
        <v>0.155427851104181</v>
      </c>
      <c r="K3948">
        <v>0.123187758361383</v>
      </c>
      <c r="L3948">
        <v>884.93344625398595</v>
      </c>
      <c r="M3948">
        <v>17.367595847582699</v>
      </c>
      <c r="N3948">
        <v>51.907408971951902</v>
      </c>
      <c r="O3948">
        <v>50.292010835850199</v>
      </c>
      <c r="P3948">
        <v>-7.4539095409522999E-2</v>
      </c>
      <c r="Q3948">
        <v>0.136666366643478</v>
      </c>
      <c r="R3948">
        <v>0.99029465985714105</v>
      </c>
      <c r="S3948" t="s">
        <v>10259</v>
      </c>
      <c r="T3948" t="s">
        <v>12620</v>
      </c>
      <c r="U3948" t="s">
        <v>12620</v>
      </c>
      <c r="V3948" t="s">
        <v>12620</v>
      </c>
      <c r="W3948" t="s">
        <v>16518</v>
      </c>
      <c r="X3948">
        <v>4</v>
      </c>
      <c r="Y3948" t="s">
        <v>22641</v>
      </c>
      <c r="Z3948" t="s">
        <v>28895</v>
      </c>
      <c r="AA3948">
        <v>0.46739304968413847</v>
      </c>
      <c r="AB3948" t="str">
        <f>HYPERLINK("Melting_Curves/meltCurve_Q86VY4_TSPYL5.pdf", "Melting_Curves/meltCurve_Q86VY4_TSPYL5.pdf")</f>
        <v>Melting_Curves/meltCurve_Q86VY4_TSPYL5.pdf</v>
      </c>
    </row>
    <row r="3949" spans="1:28" x14ac:dyDescent="0.25">
      <c r="A3949" t="s">
        <v>3953</v>
      </c>
      <c r="B3949">
        <v>0.99987803227770999</v>
      </c>
      <c r="C3949">
        <v>0.93396761392007399</v>
      </c>
      <c r="D3949">
        <v>1.0599698719941399</v>
      </c>
      <c r="E3949">
        <v>0.64610251416396602</v>
      </c>
      <c r="F3949">
        <v>0.322549010457443</v>
      </c>
      <c r="G3949">
        <v>0.14463281066169301</v>
      </c>
      <c r="H3949">
        <v>0.105681591561086</v>
      </c>
      <c r="I3949">
        <v>9.0524062362447505E-2</v>
      </c>
      <c r="J3949">
        <v>6.6789136032804106E-2</v>
      </c>
      <c r="K3949">
        <v>4.5103918534388603E-2</v>
      </c>
      <c r="L3949">
        <v>1500.9092955723199</v>
      </c>
      <c r="M3949">
        <v>29.4138160682554</v>
      </c>
      <c r="N3949">
        <v>51.333435075133004</v>
      </c>
      <c r="O3949">
        <v>50.793241771115902</v>
      </c>
      <c r="P3949">
        <v>-0.13312917795252399</v>
      </c>
      <c r="Q3949">
        <v>8.0430121033184102E-2</v>
      </c>
      <c r="R3949">
        <v>0.98982356907259095</v>
      </c>
      <c r="S3949" t="s">
        <v>10260</v>
      </c>
      <c r="T3949" t="s">
        <v>12620</v>
      </c>
      <c r="U3949" t="s">
        <v>12620</v>
      </c>
      <c r="V3949" t="s">
        <v>12620</v>
      </c>
      <c r="W3949" t="s">
        <v>16519</v>
      </c>
      <c r="X3949">
        <v>2</v>
      </c>
      <c r="Y3949" t="s">
        <v>22642</v>
      </c>
      <c r="Z3949" t="s">
        <v>28896</v>
      </c>
      <c r="AA3949">
        <v>0.4244616296894016</v>
      </c>
      <c r="AB3949" t="str">
        <f>HYPERLINK("Melting_Curves/meltCurve_Q86W34_AMZ2.pdf", "Melting_Curves/meltCurve_Q86W34_AMZ2.pdf")</f>
        <v>Melting_Curves/meltCurve_Q86W34_AMZ2.pdf</v>
      </c>
    </row>
    <row r="3950" spans="1:28" x14ac:dyDescent="0.25">
      <c r="A3950" t="s">
        <v>3954</v>
      </c>
      <c r="B3950">
        <v>0.99987803227770999</v>
      </c>
      <c r="C3950">
        <v>1.0135449274174799</v>
      </c>
      <c r="D3950">
        <v>0.84140172237455402</v>
      </c>
      <c r="E3950">
        <v>1.1412742856674001</v>
      </c>
      <c r="F3950">
        <v>0.68549530434463601</v>
      </c>
      <c r="G3950">
        <v>0.28009070316325801</v>
      </c>
      <c r="H3950">
        <v>0.18750005624409299</v>
      </c>
      <c r="I3950">
        <v>0.17027188348903399</v>
      </c>
      <c r="J3950">
        <v>0.140809687435171</v>
      </c>
      <c r="K3950">
        <v>7.4775549682206094E-2</v>
      </c>
      <c r="L3950">
        <v>2250.4991039353399</v>
      </c>
      <c r="M3950">
        <v>41.685804922430499</v>
      </c>
      <c r="N3950">
        <v>54.4505356352498</v>
      </c>
      <c r="O3950">
        <v>53.863381592997598</v>
      </c>
      <c r="P3950">
        <v>-0.164589449362848</v>
      </c>
      <c r="Q3950">
        <v>0.14931914198648599</v>
      </c>
      <c r="R3950">
        <v>0.95928423513488903</v>
      </c>
      <c r="S3950" t="s">
        <v>10261</v>
      </c>
      <c r="T3950" t="s">
        <v>12620</v>
      </c>
      <c r="U3950" t="s">
        <v>12620</v>
      </c>
      <c r="V3950" t="s">
        <v>12620</v>
      </c>
      <c r="W3950" t="s">
        <v>16520</v>
      </c>
      <c r="X3950">
        <v>6</v>
      </c>
      <c r="Y3950" t="s">
        <v>22643</v>
      </c>
      <c r="Z3950" t="s">
        <v>28897</v>
      </c>
      <c r="AA3950">
        <v>0.54885703513612283</v>
      </c>
      <c r="AB3950" t="str">
        <f>HYPERLINK("Melting_Curves/meltCurve_Q86W42_THOC6.pdf", "Melting_Curves/meltCurve_Q86W42_THOC6.pdf")</f>
        <v>Melting_Curves/meltCurve_Q86W42_THOC6.pdf</v>
      </c>
    </row>
    <row r="3951" spans="1:28" x14ac:dyDescent="0.25">
      <c r="A3951" t="s">
        <v>3955</v>
      </c>
      <c r="B3951">
        <v>0.99987803227770999</v>
      </c>
      <c r="C3951">
        <v>1.15264966725412</v>
      </c>
      <c r="D3951">
        <v>1.0022821427905799</v>
      </c>
      <c r="E3951">
        <v>1.02938210891213</v>
      </c>
      <c r="F3951">
        <v>0.53669853088703301</v>
      </c>
      <c r="G3951">
        <v>0.221586407383075</v>
      </c>
      <c r="H3951">
        <v>0.110215118927007</v>
      </c>
      <c r="I3951">
        <v>8.8130925847919706E-2</v>
      </c>
      <c r="J3951">
        <v>7.0488848371508706E-2</v>
      </c>
      <c r="K3951">
        <v>5.1284080727870801E-2</v>
      </c>
      <c r="L3951">
        <v>2490.7069496427698</v>
      </c>
      <c r="M3951">
        <v>46.923469930769699</v>
      </c>
      <c r="N3951">
        <v>53.329148017158502</v>
      </c>
      <c r="O3951">
        <v>52.984056693188698</v>
      </c>
      <c r="P3951">
        <v>-0.199626637153067</v>
      </c>
      <c r="Q3951">
        <v>9.8360167661065701E-2</v>
      </c>
      <c r="R3951">
        <v>0.979313258673291</v>
      </c>
      <c r="S3951" t="s">
        <v>10262</v>
      </c>
      <c r="T3951" t="s">
        <v>12620</v>
      </c>
      <c r="U3951" t="s">
        <v>12620</v>
      </c>
      <c r="V3951" t="s">
        <v>12620</v>
      </c>
      <c r="W3951" t="s">
        <v>16521</v>
      </c>
      <c r="X3951">
        <v>19</v>
      </c>
      <c r="Y3951" t="s">
        <v>22644</v>
      </c>
      <c r="Z3951" t="s">
        <v>28898</v>
      </c>
      <c r="AA3951">
        <v>0.49387909155612869</v>
      </c>
      <c r="AB3951" t="str">
        <f>HYPERLINK("Melting_Curves/meltCurve_Q86W50_METTL16.pdf", "Melting_Curves/meltCurve_Q86W50_METTL16.pdf")</f>
        <v>Melting_Curves/meltCurve_Q86W50_METTL16.pdf</v>
      </c>
    </row>
    <row r="3952" spans="1:28" x14ac:dyDescent="0.25">
      <c r="A3952" t="s">
        <v>3956</v>
      </c>
      <c r="B3952">
        <v>0.99987803227770999</v>
      </c>
      <c r="C3952">
        <v>0.96209018756309606</v>
      </c>
      <c r="D3952">
        <v>0.91819040563510101</v>
      </c>
      <c r="E3952">
        <v>0.57658597144987001</v>
      </c>
      <c r="F3952">
        <v>0.55540220152123898</v>
      </c>
      <c r="G3952">
        <v>0.41721364511837999</v>
      </c>
      <c r="H3952">
        <v>0.40631211893198499</v>
      </c>
      <c r="I3952">
        <v>0.42318423621093199</v>
      </c>
      <c r="J3952">
        <v>0.41307118087310102</v>
      </c>
      <c r="K3952">
        <v>0.31972549674890499</v>
      </c>
      <c r="L3952">
        <v>1021.74844483762</v>
      </c>
      <c r="M3952">
        <v>20.8211528714838</v>
      </c>
      <c r="N3952">
        <v>52.914938810631</v>
      </c>
      <c r="O3952">
        <v>48.626678583433701</v>
      </c>
      <c r="P3952">
        <v>-6.5326314652847897E-2</v>
      </c>
      <c r="Q3952">
        <v>0.38975265401316</v>
      </c>
      <c r="R3952">
        <v>0.975287272850626</v>
      </c>
      <c r="S3952" t="s">
        <v>10263</v>
      </c>
      <c r="T3952" t="s">
        <v>12620</v>
      </c>
      <c r="U3952" t="s">
        <v>12620</v>
      </c>
      <c r="V3952" t="s">
        <v>12620</v>
      </c>
      <c r="W3952" t="s">
        <v>16522</v>
      </c>
      <c r="X3952">
        <v>16</v>
      </c>
      <c r="Y3952" t="s">
        <v>22645</v>
      </c>
      <c r="Z3952" t="s">
        <v>28899</v>
      </c>
      <c r="AA3952">
        <v>0.58217583685108021</v>
      </c>
      <c r="AB3952" t="str">
        <f>HYPERLINK("Melting_Curves/meltCurve_Q86W56_PARG.pdf", "Melting_Curves/meltCurve_Q86W56_PARG.pdf")</f>
        <v>Melting_Curves/meltCurve_Q86W56_PARG.pdf</v>
      </c>
    </row>
    <row r="3953" spans="1:28" x14ac:dyDescent="0.25">
      <c r="A3953" t="s">
        <v>3957</v>
      </c>
      <c r="B3953">
        <v>0.99987803227770999</v>
      </c>
      <c r="C3953">
        <v>0.97763302669470098</v>
      </c>
      <c r="D3953">
        <v>0.97672413297685901</v>
      </c>
      <c r="E3953">
        <v>0.76003870442071797</v>
      </c>
      <c r="F3953">
        <v>0.71817292036955005</v>
      </c>
      <c r="G3953">
        <v>0.41562395641583499</v>
      </c>
      <c r="H3953">
        <v>0.481255807277291</v>
      </c>
      <c r="I3953">
        <v>0.431985928299225</v>
      </c>
      <c r="J3953">
        <v>0.67218040617929797</v>
      </c>
      <c r="K3953">
        <v>0.50320735491868196</v>
      </c>
      <c r="L3953">
        <v>1275.3492410788299</v>
      </c>
      <c r="M3953">
        <v>25.1086546411379</v>
      </c>
      <c r="O3953">
        <v>50.474314468998699</v>
      </c>
      <c r="P3953">
        <v>-6.1748231634544001E-2</v>
      </c>
      <c r="Q3953">
        <v>0.50349259675567004</v>
      </c>
      <c r="R3953">
        <v>0.881355099471958</v>
      </c>
      <c r="S3953" t="s">
        <v>10264</v>
      </c>
      <c r="T3953" t="s">
        <v>12620</v>
      </c>
      <c r="U3953" t="s">
        <v>12620</v>
      </c>
      <c r="V3953" t="s">
        <v>12620</v>
      </c>
      <c r="W3953" t="s">
        <v>16523</v>
      </c>
      <c r="X3953">
        <v>25</v>
      </c>
      <c r="Y3953" t="s">
        <v>22646</v>
      </c>
      <c r="Z3953" t="s">
        <v>28900</v>
      </c>
      <c r="AA3953">
        <v>0.68656003872820481</v>
      </c>
      <c r="AB3953" t="str">
        <f>HYPERLINK("Melting_Curves/meltCurve_Q86W92_2_PPFIBP1.pdf", "Melting_Curves/meltCurve_Q86W92_2_PPFIBP1.pdf")</f>
        <v>Melting_Curves/meltCurve_Q86W92_2_PPFIBP1.pdf</v>
      </c>
    </row>
    <row r="3954" spans="1:28" x14ac:dyDescent="0.25">
      <c r="A3954" t="s">
        <v>3958</v>
      </c>
      <c r="B3954">
        <v>0.99987803227770999</v>
      </c>
      <c r="C3954">
        <v>0.95108601348017296</v>
      </c>
      <c r="D3954">
        <v>0.90806361207491804</v>
      </c>
      <c r="E3954">
        <v>0.75793872797601602</v>
      </c>
      <c r="F3954">
        <v>0.74528067965436795</v>
      </c>
      <c r="G3954">
        <v>0.60532848476740497</v>
      </c>
      <c r="H3954">
        <v>0.57406416596594101</v>
      </c>
      <c r="I3954">
        <v>0.54797468773932001</v>
      </c>
      <c r="J3954">
        <v>0.51397721793471296</v>
      </c>
      <c r="K3954">
        <v>0.41658047848588098</v>
      </c>
      <c r="L3954">
        <v>463.66863344015502</v>
      </c>
      <c r="M3954">
        <v>8.5329984201506193</v>
      </c>
      <c r="N3954">
        <v>65.615837103864806</v>
      </c>
      <c r="O3954">
        <v>51.600573366029401</v>
      </c>
      <c r="P3954">
        <v>-2.54623804200497E-2</v>
      </c>
      <c r="Q3954">
        <v>0.38464409433132901</v>
      </c>
      <c r="R3954">
        <v>0.97747277687317402</v>
      </c>
      <c r="S3954" t="s">
        <v>10265</v>
      </c>
      <c r="T3954" t="s">
        <v>12620</v>
      </c>
      <c r="U3954" t="s">
        <v>12620</v>
      </c>
      <c r="V3954" t="s">
        <v>12620</v>
      </c>
      <c r="W3954" t="s">
        <v>16524</v>
      </c>
      <c r="X3954">
        <v>25</v>
      </c>
      <c r="Y3954" t="s">
        <v>22646</v>
      </c>
      <c r="Z3954" t="s">
        <v>28901</v>
      </c>
      <c r="AA3954">
        <v>0.69788025718875601</v>
      </c>
      <c r="AB3954" t="str">
        <f>HYPERLINK("Melting_Curves/meltCurve_Q86W92_4_PPFIBP1.pdf", "Melting_Curves/meltCurve_Q86W92_4_PPFIBP1.pdf")</f>
        <v>Melting_Curves/meltCurve_Q86W92_4_PPFIBP1.pdf</v>
      </c>
    </row>
    <row r="3955" spans="1:28" x14ac:dyDescent="0.25">
      <c r="A3955" t="s">
        <v>3959</v>
      </c>
      <c r="B3955">
        <v>0.99987803227770999</v>
      </c>
      <c r="C3955">
        <v>0.82947856318111701</v>
      </c>
      <c r="D3955">
        <v>0.97976547325498398</v>
      </c>
      <c r="E3955">
        <v>0.76607990270057602</v>
      </c>
      <c r="F3955">
        <v>0.48394775580618499</v>
      </c>
      <c r="G3955">
        <v>0.15621619811055601</v>
      </c>
      <c r="H3955">
        <v>0.111410900154714</v>
      </c>
      <c r="I3955">
        <v>8.1428075184611703E-2</v>
      </c>
      <c r="J3955">
        <v>6.8825599423468595E-2</v>
      </c>
      <c r="K3955">
        <v>5.1941648831438397E-2</v>
      </c>
      <c r="L3955">
        <v>1204.7415681371499</v>
      </c>
      <c r="M3955">
        <v>22.983238127534602</v>
      </c>
      <c r="N3955">
        <v>52.703879329226702</v>
      </c>
      <c r="O3955">
        <v>52.026271592760096</v>
      </c>
      <c r="P3955">
        <v>-0.103975899738747</v>
      </c>
      <c r="Q3955">
        <v>5.8552703889269801E-2</v>
      </c>
      <c r="R3955">
        <v>0.98023495125215698</v>
      </c>
      <c r="S3955" t="s">
        <v>10266</v>
      </c>
      <c r="T3955" t="s">
        <v>12620</v>
      </c>
      <c r="U3955" t="s">
        <v>12620</v>
      </c>
      <c r="V3955" t="s">
        <v>12620</v>
      </c>
      <c r="W3955" t="s">
        <v>16525</v>
      </c>
      <c r="X3955">
        <v>9</v>
      </c>
      <c r="Y3955" t="s">
        <v>22647</v>
      </c>
      <c r="Z3955" t="s">
        <v>28902</v>
      </c>
      <c r="AA3955">
        <v>0.45836627108137767</v>
      </c>
      <c r="AB3955" t="str">
        <f>HYPERLINK("Melting_Curves/meltCurve_Q86WA6_2_BPHL.pdf", "Melting_Curves/meltCurve_Q86WA6_2_BPHL.pdf")</f>
        <v>Melting_Curves/meltCurve_Q86WA6_2_BPHL.pdf</v>
      </c>
    </row>
    <row r="3956" spans="1:28" x14ac:dyDescent="0.25">
      <c r="A3956" t="s">
        <v>3960</v>
      </c>
      <c r="B3956">
        <v>0.99987803227770999</v>
      </c>
      <c r="C3956">
        <v>1.2137848284563899</v>
      </c>
      <c r="D3956">
        <v>0.81631536451841202</v>
      </c>
      <c r="E3956">
        <v>0.76004937212707202</v>
      </c>
      <c r="F3956">
        <v>0.46280325838189901</v>
      </c>
      <c r="G3956">
        <v>0.39573348810595899</v>
      </c>
      <c r="H3956">
        <v>0.14051936304486501</v>
      </c>
      <c r="I3956">
        <v>0.15808022146950601</v>
      </c>
      <c r="J3956">
        <v>4.8273132310204699E-2</v>
      </c>
      <c r="K3956">
        <v>5.10723136546265E-2</v>
      </c>
      <c r="L3956">
        <v>752.56499398034998</v>
      </c>
      <c r="M3956">
        <v>14.0843358610522</v>
      </c>
      <c r="N3956">
        <v>53.651439045785402</v>
      </c>
      <c r="O3956">
        <v>52.390195847759699</v>
      </c>
      <c r="P3956">
        <v>-6.5342612536992598E-2</v>
      </c>
      <c r="Q3956">
        <v>2.7893386184670299E-2</v>
      </c>
      <c r="R3956">
        <v>0.94591745443935604</v>
      </c>
      <c r="S3956" t="s">
        <v>10267</v>
      </c>
      <c r="T3956" t="s">
        <v>12620</v>
      </c>
      <c r="U3956" t="s">
        <v>12620</v>
      </c>
      <c r="V3956" t="s">
        <v>12620</v>
      </c>
      <c r="W3956" t="s">
        <v>16526</v>
      </c>
      <c r="X3956">
        <v>2</v>
      </c>
      <c r="Y3956" t="s">
        <v>22648</v>
      </c>
      <c r="Z3956" t="s">
        <v>28903</v>
      </c>
      <c r="AA3956">
        <v>0.48541698550344481</v>
      </c>
      <c r="AB3956" t="str">
        <f>HYPERLINK("Melting_Curves/meltCurve_Q86WH2_RASSF3.pdf", "Melting_Curves/meltCurve_Q86WH2_RASSF3.pdf")</f>
        <v>Melting_Curves/meltCurve_Q86WH2_RASSF3.pdf</v>
      </c>
    </row>
    <row r="3957" spans="1:28" x14ac:dyDescent="0.25">
      <c r="A3957" t="s">
        <v>3961</v>
      </c>
      <c r="B3957">
        <v>0.99987803227770999</v>
      </c>
      <c r="C3957">
        <v>0.85828712468886503</v>
      </c>
      <c r="D3957">
        <v>0.30471069211389201</v>
      </c>
      <c r="E3957">
        <v>0.38059018518589299</v>
      </c>
      <c r="F3957">
        <v>0.27869803005031102</v>
      </c>
      <c r="G3957">
        <v>0.11705504204683501</v>
      </c>
      <c r="H3957">
        <v>6.78456109317572E-2</v>
      </c>
      <c r="I3957">
        <v>5.1924827384623999E-2</v>
      </c>
      <c r="J3957">
        <v>3.7321059634055201E-2</v>
      </c>
      <c r="K3957">
        <v>2.74569041423674E-2</v>
      </c>
      <c r="L3957">
        <v>669.10225008439704</v>
      </c>
      <c r="M3957">
        <v>14.5343896455249</v>
      </c>
      <c r="N3957">
        <v>46.410060828880603</v>
      </c>
      <c r="O3957">
        <v>45.190663377521297</v>
      </c>
      <c r="P3957">
        <v>-7.5968164595323504E-2</v>
      </c>
      <c r="Q3957">
        <v>5.5300177423349299E-2</v>
      </c>
      <c r="R3957">
        <v>0.91573312199753099</v>
      </c>
      <c r="S3957" t="s">
        <v>10268</v>
      </c>
      <c r="T3957" t="s">
        <v>12620</v>
      </c>
      <c r="U3957" t="s">
        <v>12620</v>
      </c>
      <c r="V3957" t="s">
        <v>12620</v>
      </c>
      <c r="W3957" t="s">
        <v>16527</v>
      </c>
      <c r="X3957">
        <v>12</v>
      </c>
      <c r="Y3957" t="s">
        <v>22649</v>
      </c>
      <c r="Z3957" t="s">
        <v>28904</v>
      </c>
      <c r="AA3957">
        <v>0.27474806096422327</v>
      </c>
      <c r="AB3957" t="str">
        <f>HYPERLINK("Melting_Curves/meltCurve_Q86WJ1_2_CHD1L.pdf", "Melting_Curves/meltCurve_Q86WJ1_2_CHD1L.pdf")</f>
        <v>Melting_Curves/meltCurve_Q86WJ1_2_CHD1L.pdf</v>
      </c>
    </row>
    <row r="3958" spans="1:28" x14ac:dyDescent="0.25">
      <c r="A3958" t="s">
        <v>3962</v>
      </c>
      <c r="B3958">
        <v>0.99987803227770999</v>
      </c>
      <c r="C3958">
        <v>0.87297090667574495</v>
      </c>
      <c r="D3958">
        <v>0.92420420021959104</v>
      </c>
      <c r="E3958">
        <v>0.83192520557065996</v>
      </c>
      <c r="F3958">
        <v>0.95573711478309198</v>
      </c>
      <c r="G3958">
        <v>0.73763831494741405</v>
      </c>
      <c r="H3958">
        <v>0.78083454816447995</v>
      </c>
      <c r="I3958">
        <v>0.745017849758705</v>
      </c>
      <c r="J3958">
        <v>0.70000852059136498</v>
      </c>
      <c r="K3958">
        <v>0.66465739308142502</v>
      </c>
      <c r="L3958">
        <v>220.33851482140199</v>
      </c>
      <c r="M3958">
        <v>2.4317666340479702</v>
      </c>
      <c r="O3958">
        <v>60.220555579464502</v>
      </c>
      <c r="P3958">
        <v>-1.0650939387793301E-2</v>
      </c>
      <c r="Q3958">
        <v>0</v>
      </c>
      <c r="R3958">
        <v>0.78582541257423899</v>
      </c>
      <c r="S3958" t="s">
        <v>10269</v>
      </c>
      <c r="T3958" t="s">
        <v>12620</v>
      </c>
      <c r="U3958" t="s">
        <v>12620</v>
      </c>
      <c r="V3958" t="s">
        <v>12620</v>
      </c>
      <c r="W3958" t="s">
        <v>16528</v>
      </c>
      <c r="X3958">
        <v>6</v>
      </c>
      <c r="Y3958" t="s">
        <v>22650</v>
      </c>
      <c r="Z3958" t="s">
        <v>28905</v>
      </c>
      <c r="AA3958">
        <v>0.82368367376154628</v>
      </c>
      <c r="AB3958" t="str">
        <f>HYPERLINK("Melting_Curves/meltCurve_Q86WP2_GPBP1.pdf", "Melting_Curves/meltCurve_Q86WP2_GPBP1.pdf")</f>
        <v>Melting_Curves/meltCurve_Q86WP2_GPBP1.pdf</v>
      </c>
    </row>
    <row r="3959" spans="1:28" x14ac:dyDescent="0.25">
      <c r="A3959" t="s">
        <v>3963</v>
      </c>
      <c r="B3959">
        <v>0.99987803227770999</v>
      </c>
      <c r="C3959">
        <v>0.88744570797345601</v>
      </c>
      <c r="D3959">
        <v>0.91479803905358703</v>
      </c>
      <c r="E3959">
        <v>0.72509677217541002</v>
      </c>
      <c r="F3959">
        <v>0.40569341596635899</v>
      </c>
      <c r="G3959">
        <v>0.247075403225854</v>
      </c>
      <c r="H3959">
        <v>0.18353909398534701</v>
      </c>
      <c r="I3959">
        <v>0.15542150888516201</v>
      </c>
      <c r="J3959">
        <v>0.10498962097636</v>
      </c>
      <c r="K3959">
        <v>7.8452258999476901E-2</v>
      </c>
      <c r="L3959">
        <v>891.40697269298505</v>
      </c>
      <c r="M3959">
        <v>17.241619828269101</v>
      </c>
      <c r="N3959">
        <v>52.352427805369402</v>
      </c>
      <c r="O3959">
        <v>51.020424334333804</v>
      </c>
      <c r="P3959">
        <v>-7.6330764374006502E-2</v>
      </c>
      <c r="Q3959">
        <v>9.6558125298300906E-2</v>
      </c>
      <c r="R3959">
        <v>0.98818058735004999</v>
      </c>
      <c r="S3959" t="s">
        <v>10270</v>
      </c>
      <c r="T3959" t="s">
        <v>12620</v>
      </c>
      <c r="U3959" t="s">
        <v>12620</v>
      </c>
      <c r="V3959" t="s">
        <v>12620</v>
      </c>
      <c r="W3959" t="s">
        <v>16529</v>
      </c>
      <c r="X3959">
        <v>5</v>
      </c>
      <c r="Y3959" t="s">
        <v>22651</v>
      </c>
      <c r="Z3959" t="s">
        <v>28906</v>
      </c>
      <c r="AA3959">
        <v>0.46517893887645889</v>
      </c>
      <c r="AB3959" t="str">
        <f>HYPERLINK("Melting_Curves/meltCurve_Q86WQ0_NR2C2AP.pdf", "Melting_Curves/meltCurve_Q86WQ0_NR2C2AP.pdf")</f>
        <v>Melting_Curves/meltCurve_Q86WQ0_NR2C2AP.pdf</v>
      </c>
    </row>
    <row r="3960" spans="1:28" x14ac:dyDescent="0.25">
      <c r="A3960" t="s">
        <v>3964</v>
      </c>
      <c r="B3960">
        <v>0.99987803227770999</v>
      </c>
      <c r="C3960">
        <v>0.67418368302821496</v>
      </c>
      <c r="D3960">
        <v>0.86385802031026004</v>
      </c>
      <c r="E3960">
        <v>0.75237010052065501</v>
      </c>
      <c r="F3960">
        <v>0.42750626240684902</v>
      </c>
      <c r="G3960">
        <v>0.15953588268753299</v>
      </c>
      <c r="H3960">
        <v>0.103054895898606</v>
      </c>
      <c r="I3960">
        <v>8.2181282403348793E-2</v>
      </c>
      <c r="J3960">
        <v>8.6287034613536498E-2</v>
      </c>
      <c r="K3960">
        <v>5.7554441741178401E-2</v>
      </c>
      <c r="L3960">
        <v>653.37863023832006</v>
      </c>
      <c r="M3960">
        <v>12.581508161297799</v>
      </c>
      <c r="N3960">
        <v>51.931654778794503</v>
      </c>
      <c r="O3960">
        <v>50.672099247685097</v>
      </c>
      <c r="P3960">
        <v>-6.20856085304776E-2</v>
      </c>
      <c r="Q3960">
        <v>0</v>
      </c>
      <c r="R3960">
        <v>0.92182048765331503</v>
      </c>
      <c r="S3960" t="s">
        <v>10271</v>
      </c>
      <c r="T3960" t="s">
        <v>12620</v>
      </c>
      <c r="U3960" t="s">
        <v>12620</v>
      </c>
      <c r="V3960" t="s">
        <v>12620</v>
      </c>
      <c r="W3960" t="s">
        <v>16530</v>
      </c>
      <c r="X3960">
        <v>11</v>
      </c>
      <c r="Y3960" t="s">
        <v>22652</v>
      </c>
      <c r="Z3960" t="s">
        <v>28907</v>
      </c>
      <c r="AA3960">
        <v>0.42660322170705089</v>
      </c>
      <c r="AB3960" t="str">
        <f>HYPERLINK("Melting_Curves/meltCurve_Q86WR0_CCDC25.pdf", "Melting_Curves/meltCurve_Q86WR0_CCDC25.pdf")</f>
        <v>Melting_Curves/meltCurve_Q86WR0_CCDC25.pdf</v>
      </c>
    </row>
    <row r="3961" spans="1:28" x14ac:dyDescent="0.25">
      <c r="A3961" t="s">
        <v>3965</v>
      </c>
      <c r="B3961">
        <v>0.99987803227770999</v>
      </c>
      <c r="C3961">
        <v>0.96883448351107204</v>
      </c>
      <c r="D3961">
        <v>1.0244745529002499</v>
      </c>
      <c r="E3961">
        <v>0.87513509386209398</v>
      </c>
      <c r="F3961">
        <v>0.91848574619247103</v>
      </c>
      <c r="G3961">
        <v>0.78116138875298202</v>
      </c>
      <c r="H3961">
        <v>0.82363123649160597</v>
      </c>
      <c r="I3961">
        <v>0.87075640186870096</v>
      </c>
      <c r="J3961">
        <v>0.77088831306783101</v>
      </c>
      <c r="K3961">
        <v>0.66528758315581404</v>
      </c>
      <c r="L3961">
        <v>291.15845575317502</v>
      </c>
      <c r="M3961">
        <v>3.2501094497348899</v>
      </c>
      <c r="O3961">
        <v>68.235557825796803</v>
      </c>
      <c r="P3961">
        <v>-1.21986454126828E-2</v>
      </c>
      <c r="Q3961">
        <v>0</v>
      </c>
      <c r="R3961">
        <v>0.78092966728709901</v>
      </c>
      <c r="S3961" t="s">
        <v>10272</v>
      </c>
      <c r="T3961" t="s">
        <v>12620</v>
      </c>
      <c r="U3961" t="s">
        <v>12620</v>
      </c>
      <c r="V3961" t="s">
        <v>12620</v>
      </c>
      <c r="W3961" t="s">
        <v>16531</v>
      </c>
      <c r="X3961">
        <v>13</v>
      </c>
      <c r="Y3961" t="s">
        <v>22653</v>
      </c>
      <c r="Z3961" t="s">
        <v>28908</v>
      </c>
      <c r="AA3961">
        <v>0.87225277533932832</v>
      </c>
      <c r="AB3961" t="str">
        <f>HYPERLINK("Melting_Curves/meltCurve_Q86WR7_PROSER2.pdf", "Melting_Curves/meltCurve_Q86WR7_PROSER2.pdf")</f>
        <v>Melting_Curves/meltCurve_Q86WR7_PROSER2.pdf</v>
      </c>
    </row>
    <row r="3962" spans="1:28" x14ac:dyDescent="0.25">
      <c r="A3962" t="s">
        <v>3966</v>
      </c>
      <c r="B3962">
        <v>0.99987803227770999</v>
      </c>
      <c r="C3962">
        <v>0.94350416965860295</v>
      </c>
      <c r="D3962">
        <v>0.86083900706094296</v>
      </c>
      <c r="E3962">
        <v>0.83142120923727203</v>
      </c>
      <c r="F3962">
        <v>0.57670309413463205</v>
      </c>
      <c r="G3962">
        <v>0.38319569894272099</v>
      </c>
      <c r="H3962">
        <v>0.32228784424350398</v>
      </c>
      <c r="I3962">
        <v>0.302999902554353</v>
      </c>
      <c r="J3962">
        <v>0.224091172917599</v>
      </c>
      <c r="K3962">
        <v>0.217047687634705</v>
      </c>
      <c r="L3962">
        <v>736.05688777146202</v>
      </c>
      <c r="M3962">
        <v>13.883744176172399</v>
      </c>
      <c r="N3962">
        <v>55.016056901439804</v>
      </c>
      <c r="O3962">
        <v>51.952180147603102</v>
      </c>
      <c r="P3962">
        <v>-5.3576590930419499E-2</v>
      </c>
      <c r="Q3962">
        <v>0.19818740890487299</v>
      </c>
      <c r="R3962">
        <v>0.98574283204716595</v>
      </c>
      <c r="S3962" t="s">
        <v>10273</v>
      </c>
      <c r="T3962" t="s">
        <v>12620</v>
      </c>
      <c r="U3962" t="s">
        <v>12620</v>
      </c>
      <c r="V3962" t="s">
        <v>12620</v>
      </c>
      <c r="W3962" t="s">
        <v>16532</v>
      </c>
      <c r="X3962">
        <v>1</v>
      </c>
      <c r="Y3962" t="s">
        <v>22654</v>
      </c>
      <c r="Z3962" t="s">
        <v>28909</v>
      </c>
      <c r="AA3962">
        <v>0.56518858563584007</v>
      </c>
      <c r="AB3962" t="str">
        <f>HYPERLINK("Melting_Curves/meltCurve_Q86WT1_TTC30A.pdf", "Melting_Curves/meltCurve_Q86WT1_TTC30A.pdf")</f>
        <v>Melting_Curves/meltCurve_Q86WT1_TTC30A.pdf</v>
      </c>
    </row>
    <row r="3963" spans="1:28" x14ac:dyDescent="0.25">
      <c r="A3963" t="s">
        <v>3967</v>
      </c>
      <c r="B3963">
        <v>0.99987803227770999</v>
      </c>
      <c r="C3963">
        <v>1.0219583117800599</v>
      </c>
      <c r="D3963">
        <v>0.98063092921966899</v>
      </c>
      <c r="E3963">
        <v>0.955392061562088</v>
      </c>
      <c r="F3963">
        <v>0.88760336007343099</v>
      </c>
      <c r="G3963">
        <v>0.59831060579676498</v>
      </c>
      <c r="H3963">
        <v>0.514480324755347</v>
      </c>
      <c r="I3963">
        <v>0.43955791041171099</v>
      </c>
      <c r="J3963">
        <v>0.39976873803790403</v>
      </c>
      <c r="K3963">
        <v>0.33058601726252201</v>
      </c>
      <c r="L3963">
        <v>1072.08318422042</v>
      </c>
      <c r="M3963">
        <v>18.982701178340399</v>
      </c>
      <c r="N3963">
        <v>60.412331091460999</v>
      </c>
      <c r="O3963">
        <v>55.8612844215289</v>
      </c>
      <c r="P3963">
        <v>-5.4813622651505099E-2</v>
      </c>
      <c r="Q3963">
        <v>0.35481534532041997</v>
      </c>
      <c r="R3963">
        <v>0.98913752417623402</v>
      </c>
      <c r="S3963" t="s">
        <v>10274</v>
      </c>
      <c r="T3963" t="s">
        <v>12620</v>
      </c>
      <c r="U3963" t="s">
        <v>12620</v>
      </c>
      <c r="V3963" t="s">
        <v>12620</v>
      </c>
      <c r="W3963" t="s">
        <v>16533</v>
      </c>
      <c r="X3963">
        <v>14</v>
      </c>
      <c r="Y3963" t="s">
        <v>22655</v>
      </c>
      <c r="Z3963" t="s">
        <v>28910</v>
      </c>
      <c r="AA3963">
        <v>0.71784424100729005</v>
      </c>
      <c r="AB3963" t="str">
        <f>HYPERLINK("Melting_Curves/meltCurve_Q86X02_CDR2L.pdf", "Melting_Curves/meltCurve_Q86X02_CDR2L.pdf")</f>
        <v>Melting_Curves/meltCurve_Q86X02_CDR2L.pdf</v>
      </c>
    </row>
    <row r="3964" spans="1:28" x14ac:dyDescent="0.25">
      <c r="A3964" t="s">
        <v>3968</v>
      </c>
      <c r="B3964">
        <v>0.99987803227770999</v>
      </c>
      <c r="C3964">
        <v>0.86266784188656698</v>
      </c>
      <c r="D3964">
        <v>0.83984642529391196</v>
      </c>
      <c r="E3964">
        <v>0.71295469965476899</v>
      </c>
      <c r="F3964">
        <v>0.432248928432997</v>
      </c>
      <c r="G3964">
        <v>0.21417042724583199</v>
      </c>
      <c r="H3964">
        <v>0.28316810418791399</v>
      </c>
      <c r="I3964">
        <v>0.30059611791025498</v>
      </c>
      <c r="J3964">
        <v>0.268576792136759</v>
      </c>
      <c r="K3964">
        <v>0.17925457881327</v>
      </c>
      <c r="L3964">
        <v>824.16064750780504</v>
      </c>
      <c r="M3964">
        <v>16.380190098029399</v>
      </c>
      <c r="N3964">
        <v>52.126506619924797</v>
      </c>
      <c r="O3964">
        <v>49.582498766148099</v>
      </c>
      <c r="P3964">
        <v>-6.4667196395563703E-2</v>
      </c>
      <c r="Q3964">
        <v>0.21707086501801601</v>
      </c>
      <c r="R3964">
        <v>0.95936623614178695</v>
      </c>
      <c r="S3964" t="s">
        <v>10275</v>
      </c>
      <c r="T3964" t="s">
        <v>12620</v>
      </c>
      <c r="U3964" t="s">
        <v>12620</v>
      </c>
      <c r="V3964" t="s">
        <v>12620</v>
      </c>
      <c r="W3964" t="s">
        <v>16534</v>
      </c>
      <c r="X3964">
        <v>2</v>
      </c>
      <c r="Y3964" t="s">
        <v>22656</v>
      </c>
      <c r="Z3964" t="s">
        <v>28911</v>
      </c>
      <c r="AA3964">
        <v>0.50207003606403999</v>
      </c>
      <c r="AB3964" t="str">
        <f>HYPERLINK("Melting_Curves/meltCurve_Q86X10_RALGAPB.pdf", "Melting_Curves/meltCurve_Q86X10_RALGAPB.pdf")</f>
        <v>Melting_Curves/meltCurve_Q86X10_RALGAPB.pdf</v>
      </c>
    </row>
    <row r="3965" spans="1:28" x14ac:dyDescent="0.25">
      <c r="A3965" t="s">
        <v>3969</v>
      </c>
      <c r="B3965">
        <v>0.99987803227770999</v>
      </c>
      <c r="C3965">
        <v>1.0917861855344599</v>
      </c>
      <c r="D3965">
        <v>1.0416644347820201</v>
      </c>
      <c r="E3965">
        <v>0.89855151200382199</v>
      </c>
      <c r="F3965">
        <v>0.49541630855462399</v>
      </c>
      <c r="G3965">
        <v>0.197925544987473</v>
      </c>
      <c r="H3965">
        <v>0.11755345783492201</v>
      </c>
      <c r="I3965">
        <v>9.4174709065033002E-2</v>
      </c>
      <c r="J3965">
        <v>7.1844203882330801E-2</v>
      </c>
      <c r="K3965">
        <v>5.5482296023411801E-2</v>
      </c>
      <c r="L3965">
        <v>1737.4433021592999</v>
      </c>
      <c r="M3965">
        <v>32.889477957047902</v>
      </c>
      <c r="N3965">
        <v>53.135011415263399</v>
      </c>
      <c r="O3965">
        <v>52.632593624244301</v>
      </c>
      <c r="P3965">
        <v>-0.142653552756839</v>
      </c>
      <c r="Q3965">
        <v>8.6858152565810406E-2</v>
      </c>
      <c r="R3965">
        <v>0.99192505776025497</v>
      </c>
      <c r="S3965" t="s">
        <v>10276</v>
      </c>
      <c r="T3965" t="s">
        <v>12620</v>
      </c>
      <c r="U3965" t="s">
        <v>12620</v>
      </c>
      <c r="V3965" t="s">
        <v>12620</v>
      </c>
      <c r="W3965" t="s">
        <v>16535</v>
      </c>
      <c r="X3965">
        <v>8</v>
      </c>
      <c r="Y3965" t="s">
        <v>22657</v>
      </c>
      <c r="Z3965" t="s">
        <v>28912</v>
      </c>
      <c r="AA3965">
        <v>0.48220471716608893</v>
      </c>
      <c r="AB3965" t="str">
        <f>HYPERLINK("Melting_Curves/meltCurve_Q86X27_RALGPS2.pdf", "Melting_Curves/meltCurve_Q86X27_RALGPS2.pdf")</f>
        <v>Melting_Curves/meltCurve_Q86X27_RALGPS2.pdf</v>
      </c>
    </row>
    <row r="3966" spans="1:28" x14ac:dyDescent="0.25">
      <c r="A3966" t="s">
        <v>3970</v>
      </c>
      <c r="B3966">
        <v>0.99987803227770999</v>
      </c>
      <c r="C3966">
        <v>1.1116519519742001</v>
      </c>
      <c r="D3966">
        <v>1.03432934834084</v>
      </c>
      <c r="E3966">
        <v>0.57095255822979396</v>
      </c>
      <c r="F3966">
        <v>0.41971457064555601</v>
      </c>
      <c r="G3966">
        <v>0.23210813831609101</v>
      </c>
      <c r="H3966">
        <v>0.20000733406831001</v>
      </c>
      <c r="I3966">
        <v>0.19636783814841899</v>
      </c>
      <c r="J3966">
        <v>0.11423438783828201</v>
      </c>
      <c r="K3966">
        <v>3.2129549812616502E-2</v>
      </c>
      <c r="L3966">
        <v>1182.68702226348</v>
      </c>
      <c r="M3966">
        <v>23.245189929568902</v>
      </c>
      <c r="N3966">
        <v>51.583253646051702</v>
      </c>
      <c r="O3966">
        <v>50.506721816040098</v>
      </c>
      <c r="P3966">
        <v>-9.94138312319231E-2</v>
      </c>
      <c r="Q3966">
        <v>0.13599729100289301</v>
      </c>
      <c r="R3966">
        <v>0.96644747587520097</v>
      </c>
      <c r="S3966" t="s">
        <v>10277</v>
      </c>
      <c r="T3966" t="s">
        <v>12620</v>
      </c>
      <c r="U3966" t="s">
        <v>12620</v>
      </c>
      <c r="V3966" t="s">
        <v>12620</v>
      </c>
      <c r="W3966" t="s">
        <v>16536</v>
      </c>
      <c r="X3966">
        <v>2</v>
      </c>
      <c r="Y3966" t="s">
        <v>22658</v>
      </c>
      <c r="Z3966" t="s">
        <v>28913</v>
      </c>
      <c r="AA3966">
        <v>0.45829861719119058</v>
      </c>
      <c r="AB3966" t="str">
        <f>HYPERLINK("Melting_Curves/meltCurve_Q86X40_3_LRRC28.pdf", "Melting_Curves/meltCurve_Q86X40_3_LRRC28.pdf")</f>
        <v>Melting_Curves/meltCurve_Q86X40_3_LRRC28.pdf</v>
      </c>
    </row>
    <row r="3967" spans="1:28" x14ac:dyDescent="0.25">
      <c r="A3967" t="s">
        <v>3971</v>
      </c>
      <c r="B3967">
        <v>0.99987803227770999</v>
      </c>
      <c r="C3967">
        <v>1.0158362292362799</v>
      </c>
      <c r="D3967">
        <v>1.0111637065275501</v>
      </c>
      <c r="E3967">
        <v>0.89077795049642505</v>
      </c>
      <c r="F3967">
        <v>0.81152841224547501</v>
      </c>
      <c r="G3967">
        <v>0.56891504489309297</v>
      </c>
      <c r="H3967">
        <v>0.48544684097832402</v>
      </c>
      <c r="I3967">
        <v>0.42441649892329902</v>
      </c>
      <c r="J3967">
        <v>0.45453213487002198</v>
      </c>
      <c r="K3967">
        <v>0.41419535166279398</v>
      </c>
      <c r="L3967">
        <v>1136.45754251332</v>
      </c>
      <c r="M3967">
        <v>20.878648142062499</v>
      </c>
      <c r="N3967">
        <v>59.630813012143697</v>
      </c>
      <c r="O3967">
        <v>53.939616740974103</v>
      </c>
      <c r="P3967">
        <v>-5.6222060472032799E-2</v>
      </c>
      <c r="Q3967">
        <v>0.41902127283504897</v>
      </c>
      <c r="R3967">
        <v>0.99408753358993796</v>
      </c>
      <c r="S3967" t="s">
        <v>10278</v>
      </c>
      <c r="T3967" t="s">
        <v>12620</v>
      </c>
      <c r="U3967" t="s">
        <v>12620</v>
      </c>
      <c r="V3967" t="s">
        <v>12620</v>
      </c>
      <c r="W3967" t="s">
        <v>16537</v>
      </c>
      <c r="X3967">
        <v>3</v>
      </c>
      <c r="Y3967" t="s">
        <v>22659</v>
      </c>
      <c r="Z3967" t="s">
        <v>28914</v>
      </c>
      <c r="AA3967">
        <v>0.70582115855568872</v>
      </c>
      <c r="AB3967" t="str">
        <f>HYPERLINK("Melting_Curves/meltCurve_Q86X53_ERICH1.pdf", "Melting_Curves/meltCurve_Q86X53_ERICH1.pdf")</f>
        <v>Melting_Curves/meltCurve_Q86X53_ERICH1.pdf</v>
      </c>
    </row>
    <row r="3968" spans="1:28" x14ac:dyDescent="0.25">
      <c r="A3968" t="s">
        <v>3972</v>
      </c>
      <c r="B3968">
        <v>0.99987803227770999</v>
      </c>
      <c r="C3968">
        <v>1.1931164920630599</v>
      </c>
      <c r="D3968">
        <v>0.98371010408082205</v>
      </c>
      <c r="E3968">
        <v>1.2777620728975401</v>
      </c>
      <c r="F3968">
        <v>0.81442105029318201</v>
      </c>
      <c r="G3968">
        <v>0.51411476256212796</v>
      </c>
      <c r="H3968">
        <v>0.13305302639506</v>
      </c>
      <c r="I3968">
        <v>0.101703328233128</v>
      </c>
      <c r="J3968">
        <v>5.9731463027849999E-2</v>
      </c>
      <c r="K3968">
        <v>4.44767686282364E-2</v>
      </c>
      <c r="L3968">
        <v>1776.1260651197399</v>
      </c>
      <c r="M3968">
        <v>31.297735108731601</v>
      </c>
      <c r="N3968">
        <v>56.954143543670597</v>
      </c>
      <c r="O3968">
        <v>56.519177310990898</v>
      </c>
      <c r="P3968">
        <v>-0.13107149973405299</v>
      </c>
      <c r="Q3968">
        <v>5.3220638923656999E-2</v>
      </c>
      <c r="R3968">
        <v>0.94086923252856003</v>
      </c>
      <c r="S3968" t="s">
        <v>10279</v>
      </c>
      <c r="T3968" t="s">
        <v>12620</v>
      </c>
      <c r="U3968" t="s">
        <v>12620</v>
      </c>
      <c r="V3968" t="s">
        <v>12620</v>
      </c>
      <c r="W3968" t="s">
        <v>16538</v>
      </c>
      <c r="X3968">
        <v>14</v>
      </c>
      <c r="Y3968" t="s">
        <v>22660</v>
      </c>
      <c r="Z3968" t="s">
        <v>28915</v>
      </c>
      <c r="AA3968">
        <v>0.58766803718901706</v>
      </c>
      <c r="AB3968" t="str">
        <f>HYPERLINK("Melting_Curves/meltCurve_Q86X55_1_CARM1.pdf", "Melting_Curves/meltCurve_Q86X55_1_CARM1.pdf")</f>
        <v>Melting_Curves/meltCurve_Q86X55_1_CARM1.pdf</v>
      </c>
    </row>
    <row r="3969" spans="1:28" x14ac:dyDescent="0.25">
      <c r="A3969" t="s">
        <v>3973</v>
      </c>
      <c r="B3969">
        <v>0.99987803227770999</v>
      </c>
      <c r="C3969">
        <v>1.1535791784158</v>
      </c>
      <c r="D3969">
        <v>0.991083472925533</v>
      </c>
      <c r="E3969">
        <v>1.0915370326034299</v>
      </c>
      <c r="F3969">
        <v>0.89787557128711804</v>
      </c>
      <c r="G3969">
        <v>0.70520949969966296</v>
      </c>
      <c r="H3969">
        <v>0.85836003870354904</v>
      </c>
      <c r="I3969">
        <v>0.71662725807685601</v>
      </c>
      <c r="J3969">
        <v>0.49080755364412498</v>
      </c>
      <c r="K3969">
        <v>0.16565415794952201</v>
      </c>
      <c r="L3969">
        <v>1152.84925533006</v>
      </c>
      <c r="M3969">
        <v>17.4318513038736</v>
      </c>
      <c r="N3969">
        <v>66.1346569414915</v>
      </c>
      <c r="O3969">
        <v>65.282707952011094</v>
      </c>
      <c r="P3969">
        <v>-6.6758979745727295E-2</v>
      </c>
      <c r="Q3969">
        <v>0</v>
      </c>
      <c r="R3969">
        <v>0.85351195250976797</v>
      </c>
      <c r="S3969" t="s">
        <v>10280</v>
      </c>
      <c r="T3969" t="s">
        <v>12620</v>
      </c>
      <c r="U3969" t="s">
        <v>12620</v>
      </c>
      <c r="V3969" t="s">
        <v>12620</v>
      </c>
      <c r="W3969" t="s">
        <v>16539</v>
      </c>
      <c r="X3969">
        <v>12</v>
      </c>
      <c r="Y3969" t="s">
        <v>22661</v>
      </c>
      <c r="Z3969" t="s">
        <v>28916</v>
      </c>
      <c r="AA3969">
        <v>0.84281228950025144</v>
      </c>
      <c r="AB3969" t="str">
        <f>HYPERLINK("Melting_Curves/meltCurve_Q86X76_2_NIT1.pdf", "Melting_Curves/meltCurve_Q86X76_2_NIT1.pdf")</f>
        <v>Melting_Curves/meltCurve_Q86X76_2_NIT1.pdf</v>
      </c>
    </row>
    <row r="3970" spans="1:28" x14ac:dyDescent="0.25">
      <c r="A3970" t="s">
        <v>3974</v>
      </c>
      <c r="B3970">
        <v>0.99987803227770999</v>
      </c>
      <c r="C3970">
        <v>0.91667236024950505</v>
      </c>
      <c r="D3970">
        <v>0.85561324455685295</v>
      </c>
      <c r="E3970">
        <v>0.87582530757569099</v>
      </c>
      <c r="F3970">
        <v>0.51026214401533199</v>
      </c>
      <c r="G3970">
        <v>0.142374399853196</v>
      </c>
      <c r="H3970">
        <v>8.4590289718602094E-2</v>
      </c>
      <c r="I3970">
        <v>7.2648904967559699E-2</v>
      </c>
      <c r="J3970">
        <v>6.0545329478355503E-2</v>
      </c>
      <c r="K3970">
        <v>4.6860592311927803E-2</v>
      </c>
      <c r="L3970">
        <v>1536.25604645918</v>
      </c>
      <c r="M3970">
        <v>29.055592112908599</v>
      </c>
      <c r="N3970">
        <v>53.089492787288599</v>
      </c>
      <c r="O3970">
        <v>52.624435523986897</v>
      </c>
      <c r="P3970">
        <v>-0.130321880004131</v>
      </c>
      <c r="Q3970">
        <v>5.5869918643414701E-2</v>
      </c>
      <c r="R3970">
        <v>0.98360904078247702</v>
      </c>
      <c r="S3970" t="s">
        <v>10281</v>
      </c>
      <c r="T3970" t="s">
        <v>12620</v>
      </c>
      <c r="U3970" t="s">
        <v>12620</v>
      </c>
      <c r="V3970" t="s">
        <v>12620</v>
      </c>
      <c r="W3970" t="s">
        <v>16540</v>
      </c>
      <c r="X3970">
        <v>3</v>
      </c>
      <c r="Y3970" t="s">
        <v>22662</v>
      </c>
      <c r="Z3970" t="s">
        <v>28917</v>
      </c>
      <c r="AA3970">
        <v>0.467502416382514</v>
      </c>
      <c r="AB3970" t="str">
        <f>HYPERLINK("Melting_Curves/meltCurve_Q86X83_COMMD2.pdf", "Melting_Curves/meltCurve_Q86X83_COMMD2.pdf")</f>
        <v>Melting_Curves/meltCurve_Q86X83_COMMD2.pdf</v>
      </c>
    </row>
    <row r="3971" spans="1:28" x14ac:dyDescent="0.25">
      <c r="A3971" t="s">
        <v>3975</v>
      </c>
      <c r="B3971">
        <v>0.99987803227770999</v>
      </c>
      <c r="C3971">
        <v>0.86563767617655296</v>
      </c>
      <c r="D3971">
        <v>1.05154779382803</v>
      </c>
      <c r="E3971">
        <v>0.79811242307178298</v>
      </c>
      <c r="F3971">
        <v>0.82738244353383605</v>
      </c>
      <c r="G3971">
        <v>0.73975973814382001</v>
      </c>
      <c r="H3971">
        <v>0.574564583583273</v>
      </c>
      <c r="I3971">
        <v>0.63509080162043396</v>
      </c>
      <c r="J3971">
        <v>0.466811541104169</v>
      </c>
      <c r="K3971">
        <v>0.36704398880890898</v>
      </c>
      <c r="L3971">
        <v>408.08766198950201</v>
      </c>
      <c r="M3971">
        <v>6.1978301446596999</v>
      </c>
      <c r="N3971">
        <v>65.843634368928605</v>
      </c>
      <c r="O3971">
        <v>59.980930154575397</v>
      </c>
      <c r="P3971">
        <v>-2.5906986797542501E-2</v>
      </c>
      <c r="Q3971">
        <v>0</v>
      </c>
      <c r="R3971">
        <v>0.90438090301567597</v>
      </c>
      <c r="S3971" t="s">
        <v>10282</v>
      </c>
      <c r="T3971" t="s">
        <v>12620</v>
      </c>
      <c r="U3971" t="s">
        <v>12620</v>
      </c>
      <c r="V3971" t="s">
        <v>12620</v>
      </c>
      <c r="W3971" t="s">
        <v>16541</v>
      </c>
      <c r="X3971">
        <v>1</v>
      </c>
      <c r="Y3971" t="s">
        <v>22663</v>
      </c>
      <c r="Z3971" t="s">
        <v>28918</v>
      </c>
      <c r="AA3971">
        <v>0.74407155742932818</v>
      </c>
      <c r="AB3971" t="str">
        <f>HYPERLINK("Melting_Curves/meltCurve_Q86X95_2_CIR1.pdf", "Melting_Curves/meltCurve_Q86X95_2_CIR1.pdf")</f>
        <v>Melting_Curves/meltCurve_Q86X95_2_CIR1.pdf</v>
      </c>
    </row>
    <row r="3972" spans="1:28" x14ac:dyDescent="0.25">
      <c r="A3972" t="s">
        <v>3976</v>
      </c>
      <c r="B3972">
        <v>0.99987803227770999</v>
      </c>
      <c r="C3972">
        <v>1.1145464307134401</v>
      </c>
      <c r="D3972">
        <v>0.87024075624050501</v>
      </c>
      <c r="E3972">
        <v>0.68465835990152302</v>
      </c>
      <c r="F3972">
        <v>0.284432263858237</v>
      </c>
      <c r="G3972">
        <v>0.19305198255950501</v>
      </c>
      <c r="H3972">
        <v>0.12462105663872899</v>
      </c>
      <c r="I3972">
        <v>0.108977675281032</v>
      </c>
      <c r="J3972">
        <v>9.1316526735920805E-2</v>
      </c>
      <c r="K3972">
        <v>6.1695119248931701E-2</v>
      </c>
      <c r="L3972">
        <v>1292.4474408461999</v>
      </c>
      <c r="M3972">
        <v>25.421212492464001</v>
      </c>
      <c r="N3972">
        <v>51.270292382423797</v>
      </c>
      <c r="O3972">
        <v>50.529838736617201</v>
      </c>
      <c r="P3972">
        <v>-0.11372523774113399</v>
      </c>
      <c r="Q3972">
        <v>9.5803479741310496E-2</v>
      </c>
      <c r="R3972">
        <v>0.982410278851096</v>
      </c>
      <c r="S3972" t="s">
        <v>10283</v>
      </c>
      <c r="T3972" t="s">
        <v>12620</v>
      </c>
      <c r="U3972" t="s">
        <v>12620</v>
      </c>
      <c r="V3972" t="s">
        <v>12620</v>
      </c>
      <c r="W3972" t="s">
        <v>16542</v>
      </c>
      <c r="X3972">
        <v>12</v>
      </c>
      <c r="Y3972" t="s">
        <v>22664</v>
      </c>
      <c r="Z3972" t="s">
        <v>28919</v>
      </c>
      <c r="AA3972">
        <v>0.43044840060821832</v>
      </c>
      <c r="AB3972" t="str">
        <f>HYPERLINK("Melting_Curves/meltCurve_Q86XA9_HEATR5A.pdf", "Melting_Curves/meltCurve_Q86XA9_HEATR5A.pdf")</f>
        <v>Melting_Curves/meltCurve_Q86XA9_HEATR5A.pdf</v>
      </c>
    </row>
    <row r="3973" spans="1:28" x14ac:dyDescent="0.25">
      <c r="A3973" t="s">
        <v>3977</v>
      </c>
      <c r="B3973">
        <v>0.99987803227770999</v>
      </c>
      <c r="C3973">
        <v>0.92660053262708197</v>
      </c>
      <c r="D3973">
        <v>0.84577556123391395</v>
      </c>
      <c r="E3973">
        <v>0.76265339625958195</v>
      </c>
      <c r="F3973">
        <v>0.51493679631811795</v>
      </c>
      <c r="G3973">
        <v>0.31208902374978997</v>
      </c>
      <c r="H3973">
        <v>0.38630068519730598</v>
      </c>
      <c r="I3973">
        <v>0.42636631184546903</v>
      </c>
      <c r="J3973">
        <v>0.81540195698920404</v>
      </c>
      <c r="K3973">
        <v>0.44900236273331801</v>
      </c>
      <c r="L3973">
        <v>1139.8090217761101</v>
      </c>
      <c r="M3973">
        <v>23.320229024284998</v>
      </c>
      <c r="N3973">
        <v>56.286341704278698</v>
      </c>
      <c r="O3973">
        <v>48.521270902982401</v>
      </c>
      <c r="P3973">
        <v>-6.2867211972788897E-2</v>
      </c>
      <c r="Q3973">
        <v>0.47679036304181299</v>
      </c>
      <c r="R3973">
        <v>0.69137870808587498</v>
      </c>
      <c r="S3973" t="s">
        <v>10284</v>
      </c>
      <c r="T3973" t="s">
        <v>12620</v>
      </c>
      <c r="U3973" t="s">
        <v>12620</v>
      </c>
      <c r="V3973" t="s">
        <v>12620</v>
      </c>
      <c r="W3973" t="s">
        <v>16543</v>
      </c>
      <c r="X3973">
        <v>4</v>
      </c>
      <c r="Y3973" t="s">
        <v>22665</v>
      </c>
      <c r="Z3973" t="s">
        <v>28920</v>
      </c>
      <c r="AA3973">
        <v>0.63694720499346869</v>
      </c>
      <c r="AB3973" t="str">
        <f>HYPERLINK("Melting_Curves/meltCurve_Q86XI2_NCAPG2.pdf", "Melting_Curves/meltCurve_Q86XI2_NCAPG2.pdf")</f>
        <v>Melting_Curves/meltCurve_Q86XI2_NCAPG2.pdf</v>
      </c>
    </row>
    <row r="3974" spans="1:28" x14ac:dyDescent="0.25">
      <c r="A3974" t="s">
        <v>3978</v>
      </c>
      <c r="B3974">
        <v>0.99987803227770999</v>
      </c>
      <c r="C3974">
        <v>0.72795085742298205</v>
      </c>
      <c r="D3974">
        <v>0.94325999160497898</v>
      </c>
      <c r="E3974">
        <v>0.62754995373332301</v>
      </c>
      <c r="F3974">
        <v>0.42245810820958102</v>
      </c>
      <c r="G3974">
        <v>0.31847303742334698</v>
      </c>
      <c r="H3974">
        <v>0.271369319262657</v>
      </c>
      <c r="I3974">
        <v>0.240418551725289</v>
      </c>
      <c r="J3974">
        <v>0.12984292123198801</v>
      </c>
      <c r="K3974">
        <v>8.0449503185071006E-2</v>
      </c>
      <c r="L3974">
        <v>498.18068936271499</v>
      </c>
      <c r="M3974">
        <v>9.5233953662862092</v>
      </c>
      <c r="N3974">
        <v>52.7476877937235</v>
      </c>
      <c r="O3974">
        <v>50.160547560255701</v>
      </c>
      <c r="P3974">
        <v>-4.5693028828331199E-2</v>
      </c>
      <c r="Q3974">
        <v>3.78874331085313E-2</v>
      </c>
      <c r="R3974">
        <v>0.93555702497587401</v>
      </c>
      <c r="S3974" t="s">
        <v>10285</v>
      </c>
      <c r="T3974" t="s">
        <v>12620</v>
      </c>
      <c r="U3974" t="s">
        <v>12620</v>
      </c>
      <c r="V3974" t="s">
        <v>12620</v>
      </c>
      <c r="W3974" t="s">
        <v>16544</v>
      </c>
      <c r="X3974">
        <v>2</v>
      </c>
      <c r="Y3974" t="s">
        <v>22666</v>
      </c>
      <c r="Z3974" t="s">
        <v>28921</v>
      </c>
      <c r="AA3974">
        <v>0.46991461738037388</v>
      </c>
      <c r="AB3974" t="str">
        <f>HYPERLINK("Melting_Curves/meltCurve_Q86XK3_3_SFR1.pdf", "Melting_Curves/meltCurve_Q86XK3_3_SFR1.pdf")</f>
        <v>Melting_Curves/meltCurve_Q86XK3_3_SFR1.pdf</v>
      </c>
    </row>
    <row r="3975" spans="1:28" x14ac:dyDescent="0.25">
      <c r="A3975" t="s">
        <v>3979</v>
      </c>
      <c r="B3975">
        <v>0.99987803227770999</v>
      </c>
      <c r="C3975">
        <v>0.83198907109275899</v>
      </c>
      <c r="D3975">
        <v>0.79232798496243995</v>
      </c>
      <c r="E3975">
        <v>0.788269753070034</v>
      </c>
      <c r="F3975">
        <v>0.84135067033100197</v>
      </c>
      <c r="G3975">
        <v>0.69093914925330902</v>
      </c>
      <c r="H3975">
        <v>0.42660280938312001</v>
      </c>
      <c r="I3975">
        <v>0.54038920516593703</v>
      </c>
      <c r="J3975">
        <v>0.38538983205984401</v>
      </c>
      <c r="K3975">
        <v>0.32532998226214399</v>
      </c>
      <c r="L3975">
        <v>342.01506794579302</v>
      </c>
      <c r="M3975">
        <v>5.4717426752538803</v>
      </c>
      <c r="N3975">
        <v>62.505693229132099</v>
      </c>
      <c r="O3975">
        <v>55.639289551253697</v>
      </c>
      <c r="P3975">
        <v>-2.46960528357991E-2</v>
      </c>
      <c r="Q3975">
        <v>0</v>
      </c>
      <c r="R3975">
        <v>0.887489158584295</v>
      </c>
      <c r="S3975" t="s">
        <v>10286</v>
      </c>
      <c r="T3975" t="s">
        <v>12620</v>
      </c>
      <c r="U3975" t="s">
        <v>12620</v>
      </c>
      <c r="V3975" t="s">
        <v>12620</v>
      </c>
      <c r="W3975" t="s">
        <v>16545</v>
      </c>
      <c r="X3975">
        <v>2</v>
      </c>
      <c r="Y3975" t="s">
        <v>22667</v>
      </c>
      <c r="Z3975" t="s">
        <v>28922</v>
      </c>
      <c r="AA3975">
        <v>0.67226403940309576</v>
      </c>
      <c r="AB3975" t="str">
        <f>HYPERLINK("Melting_Curves/meltCurve_Q86XN8_MEX3D.pdf", "Melting_Curves/meltCurve_Q86XN8_MEX3D.pdf")</f>
        <v>Melting_Curves/meltCurve_Q86XN8_MEX3D.pdf</v>
      </c>
    </row>
    <row r="3976" spans="1:28" x14ac:dyDescent="0.25">
      <c r="A3976" t="s">
        <v>3980</v>
      </c>
      <c r="B3976">
        <v>0.99987803227770999</v>
      </c>
      <c r="C3976">
        <v>0.89089810870822095</v>
      </c>
      <c r="D3976">
        <v>0.94093948392218296</v>
      </c>
      <c r="E3976">
        <v>0.51539748885201797</v>
      </c>
      <c r="F3976">
        <v>0.28320389640452298</v>
      </c>
      <c r="G3976">
        <v>0.210389547896426</v>
      </c>
      <c r="H3976">
        <v>0.187100232366814</v>
      </c>
      <c r="I3976">
        <v>0.17091019702456101</v>
      </c>
      <c r="J3976">
        <v>0.15879741918218299</v>
      </c>
      <c r="K3976">
        <v>0.13420410318222101</v>
      </c>
      <c r="L3976">
        <v>1333.29072523644</v>
      </c>
      <c r="M3976">
        <v>26.936628941396101</v>
      </c>
      <c r="N3976">
        <v>50.243109669050803</v>
      </c>
      <c r="O3976">
        <v>49.226924402148597</v>
      </c>
      <c r="P3976">
        <v>-0.114256848717902</v>
      </c>
      <c r="Q3976">
        <v>0.164786818452583</v>
      </c>
      <c r="R3976">
        <v>0.98923617904754102</v>
      </c>
      <c r="S3976" t="s">
        <v>10287</v>
      </c>
      <c r="T3976" t="s">
        <v>12620</v>
      </c>
      <c r="U3976" t="s">
        <v>12620</v>
      </c>
      <c r="V3976" t="s">
        <v>12620</v>
      </c>
      <c r="W3976" t="s">
        <v>16546</v>
      </c>
      <c r="X3976">
        <v>29</v>
      </c>
      <c r="Y3976" t="s">
        <v>22668</v>
      </c>
      <c r="Z3976" t="s">
        <v>28923</v>
      </c>
      <c r="AA3976">
        <v>0.43557831343672021</v>
      </c>
      <c r="AB3976" t="str">
        <f>HYPERLINK("Melting_Curves/meltCurve_Q86XP3_DDX42.pdf", "Melting_Curves/meltCurve_Q86XP3_DDX42.pdf")</f>
        <v>Melting_Curves/meltCurve_Q86XP3_DDX42.pdf</v>
      </c>
    </row>
    <row r="3977" spans="1:28" x14ac:dyDescent="0.25">
      <c r="A3977" t="s">
        <v>3981</v>
      </c>
      <c r="B3977">
        <v>0.99987803227770999</v>
      </c>
      <c r="C3977">
        <v>0.79124185023182003</v>
      </c>
      <c r="D3977">
        <v>0.95879887992607504</v>
      </c>
      <c r="E3977">
        <v>0.82641837541144103</v>
      </c>
      <c r="F3977">
        <v>1.11229308635363</v>
      </c>
      <c r="G3977">
        <v>1.00302447679425</v>
      </c>
      <c r="H3977">
        <v>1.0061448429585</v>
      </c>
      <c r="I3977">
        <v>0.97591676141470796</v>
      </c>
      <c r="J3977">
        <v>0.99399889793858498</v>
      </c>
      <c r="K3977">
        <v>0.84147555879345204</v>
      </c>
      <c r="L3977">
        <v>1.0000000000000001E-5</v>
      </c>
      <c r="M3977">
        <v>1.0000000000000001E-5</v>
      </c>
      <c r="Q3977">
        <v>0.90183863482693005</v>
      </c>
      <c r="R3977">
        <v>-2.6392472651792799E-9</v>
      </c>
      <c r="S3977" t="s">
        <v>10288</v>
      </c>
      <c r="T3977" t="s">
        <v>12620</v>
      </c>
      <c r="U3977" t="s">
        <v>12620</v>
      </c>
      <c r="V3977" t="s">
        <v>12620</v>
      </c>
      <c r="W3977" t="s">
        <v>16547</v>
      </c>
      <c r="X3977">
        <v>6</v>
      </c>
      <c r="Y3977" t="s">
        <v>22669</v>
      </c>
      <c r="Z3977" t="s">
        <v>28924</v>
      </c>
      <c r="AA3977">
        <v>0.95091907658777286</v>
      </c>
      <c r="AB3977" t="str">
        <f>HYPERLINK("Melting_Curves/meltCurve_Q86XZ4_SPATS2.pdf", "Melting_Curves/meltCurve_Q86XZ4_SPATS2.pdf")</f>
        <v>Melting_Curves/meltCurve_Q86XZ4_SPATS2.pdf</v>
      </c>
    </row>
    <row r="3978" spans="1:28" x14ac:dyDescent="0.25">
      <c r="A3978" t="s">
        <v>3982</v>
      </c>
      <c r="B3978">
        <v>0.99987803227770999</v>
      </c>
      <c r="C3978">
        <v>0.92989564617798104</v>
      </c>
      <c r="D3978">
        <v>0.86185632820131297</v>
      </c>
      <c r="E3978">
        <v>0.56553460153252699</v>
      </c>
      <c r="F3978">
        <v>0.37049462282457701</v>
      </c>
      <c r="G3978">
        <v>0.253497186975712</v>
      </c>
      <c r="H3978">
        <v>0.18553653359127101</v>
      </c>
      <c r="I3978">
        <v>0.21038995865512</v>
      </c>
      <c r="J3978">
        <v>8.9046958584211397E-2</v>
      </c>
      <c r="K3978">
        <v>3.7622487032872701E-2</v>
      </c>
      <c r="L3978">
        <v>738.20335470819498</v>
      </c>
      <c r="M3978">
        <v>14.5965764725124</v>
      </c>
      <c r="N3978">
        <v>51.274647319965297</v>
      </c>
      <c r="O3978">
        <v>49.652936671765403</v>
      </c>
      <c r="P3978">
        <v>-6.6853593330380504E-2</v>
      </c>
      <c r="Q3978">
        <v>9.0443121561169695E-2</v>
      </c>
      <c r="R3978">
        <v>0.98714794728659006</v>
      </c>
      <c r="S3978" t="s">
        <v>10289</v>
      </c>
      <c r="T3978" t="s">
        <v>12620</v>
      </c>
      <c r="U3978" t="s">
        <v>12620</v>
      </c>
      <c r="V3978" t="s">
        <v>12620</v>
      </c>
      <c r="W3978" t="s">
        <v>16548</v>
      </c>
      <c r="X3978">
        <v>2</v>
      </c>
      <c r="Y3978" t="s">
        <v>22670</v>
      </c>
      <c r="Z3978" t="s">
        <v>28925</v>
      </c>
      <c r="AA3978">
        <v>0.43332794201764868</v>
      </c>
      <c r="AB3978" t="str">
        <f>HYPERLINK("Melting_Curves/meltCurve_Q86Y07_4_VRK2.pdf", "Melting_Curves/meltCurve_Q86Y07_4_VRK2.pdf")</f>
        <v>Melting_Curves/meltCurve_Q86Y07_4_VRK2.pdf</v>
      </c>
    </row>
    <row r="3979" spans="1:28" x14ac:dyDescent="0.25">
      <c r="A3979" t="s">
        <v>3983</v>
      </c>
      <c r="B3979">
        <v>0.99987803227770999</v>
      </c>
      <c r="C3979">
        <v>0.87168257083469203</v>
      </c>
      <c r="D3979">
        <v>0.94691561582393402</v>
      </c>
      <c r="E3979">
        <v>0.61571442246479202</v>
      </c>
      <c r="F3979">
        <v>0.231142408326726</v>
      </c>
      <c r="G3979">
        <v>0.11008267870309101</v>
      </c>
      <c r="H3979">
        <v>6.4141648261497097E-2</v>
      </c>
      <c r="I3979">
        <v>4.16348900730064E-2</v>
      </c>
      <c r="J3979">
        <v>4.4859834585161601E-2</v>
      </c>
      <c r="K3979">
        <v>3.1444616810395502E-2</v>
      </c>
      <c r="L3979">
        <v>1391.6258109646701</v>
      </c>
      <c r="M3979">
        <v>27.507738631707198</v>
      </c>
      <c r="N3979">
        <v>50.762315840540303</v>
      </c>
      <c r="O3979">
        <v>50.325255524133802</v>
      </c>
      <c r="P3979">
        <v>-0.13057137207475</v>
      </c>
      <c r="Q3979">
        <v>4.4490742484634499E-2</v>
      </c>
      <c r="R3979">
        <v>0.98921393684368097</v>
      </c>
      <c r="S3979" t="s">
        <v>10290</v>
      </c>
      <c r="T3979" t="s">
        <v>12620</v>
      </c>
      <c r="U3979" t="s">
        <v>12620</v>
      </c>
      <c r="V3979" t="s">
        <v>12620</v>
      </c>
      <c r="W3979" t="s">
        <v>16549</v>
      </c>
      <c r="X3979">
        <v>4</v>
      </c>
      <c r="Y3979" t="s">
        <v>22671</v>
      </c>
      <c r="Z3979" t="s">
        <v>28926</v>
      </c>
      <c r="AA3979">
        <v>0.38889830326718428</v>
      </c>
      <c r="AB3979" t="str">
        <f>HYPERLINK("Melting_Curves/meltCurve_Q86Y37_CACUL1.pdf", "Melting_Curves/meltCurve_Q86Y37_CACUL1.pdf")</f>
        <v>Melting_Curves/meltCurve_Q86Y37_CACUL1.pdf</v>
      </c>
    </row>
    <row r="3980" spans="1:28" x14ac:dyDescent="0.25">
      <c r="A3980" t="s">
        <v>3984</v>
      </c>
      <c r="B3980">
        <v>0.99987803227770999</v>
      </c>
      <c r="C3980">
        <v>0.84707257291079596</v>
      </c>
      <c r="D3980">
        <v>0.45802658398828699</v>
      </c>
      <c r="E3980">
        <v>0.28148229349804599</v>
      </c>
      <c r="F3980">
        <v>0.15997295570800599</v>
      </c>
      <c r="G3980">
        <v>9.3661299327790798E-2</v>
      </c>
      <c r="H3980">
        <v>7.7670555887584494E-2</v>
      </c>
      <c r="I3980">
        <v>6.6899388948320301E-2</v>
      </c>
      <c r="J3980">
        <v>5.0422959048160097E-2</v>
      </c>
      <c r="K3980">
        <v>3.63423528331197E-2</v>
      </c>
      <c r="L3980">
        <v>877.36278854975001</v>
      </c>
      <c r="M3980">
        <v>19.0855405526341</v>
      </c>
      <c r="N3980">
        <v>46.309146956080902</v>
      </c>
      <c r="O3980">
        <v>45.474273673782101</v>
      </c>
      <c r="P3980">
        <v>-9.8085781440545597E-2</v>
      </c>
      <c r="Q3980">
        <v>6.5218133021081204E-2</v>
      </c>
      <c r="R3980">
        <v>0.98771559851100299</v>
      </c>
      <c r="S3980" t="s">
        <v>10291</v>
      </c>
      <c r="T3980" t="s">
        <v>12620</v>
      </c>
      <c r="U3980" t="s">
        <v>12620</v>
      </c>
      <c r="V3980" t="s">
        <v>12620</v>
      </c>
      <c r="W3980" t="s">
        <v>16550</v>
      </c>
      <c r="X3980">
        <v>23</v>
      </c>
      <c r="Y3980" t="s">
        <v>22672</v>
      </c>
      <c r="Z3980" t="s">
        <v>28927</v>
      </c>
      <c r="AA3980">
        <v>0.26735524046010389</v>
      </c>
      <c r="AB3980" t="str">
        <f>HYPERLINK("Melting_Curves/meltCurve_Q86Y56_HEATR2.pdf", "Melting_Curves/meltCurve_Q86Y56_HEATR2.pdf")</f>
        <v>Melting_Curves/meltCurve_Q86Y56_HEATR2.pdf</v>
      </c>
    </row>
    <row r="3981" spans="1:28" x14ac:dyDescent="0.25">
      <c r="A3981" t="s">
        <v>3985</v>
      </c>
      <c r="B3981">
        <v>0.99987803227770999</v>
      </c>
      <c r="C3981">
        <v>1.0981156190721399</v>
      </c>
      <c r="D3981">
        <v>0.85801861842018601</v>
      </c>
      <c r="E3981">
        <v>0.74976887710184503</v>
      </c>
      <c r="F3981">
        <v>0.73861605411292397</v>
      </c>
      <c r="G3981">
        <v>0.38080227835234698</v>
      </c>
      <c r="H3981">
        <v>0.31828811678670699</v>
      </c>
      <c r="I3981">
        <v>0.29070516601681701</v>
      </c>
      <c r="J3981">
        <v>3.12320092905655E-2</v>
      </c>
      <c r="K3981">
        <v>9.2140658122937993E-2</v>
      </c>
      <c r="L3981">
        <v>641.52777242389402</v>
      </c>
      <c r="M3981">
        <v>11.4389154469254</v>
      </c>
      <c r="N3981">
        <v>56.082924020239297</v>
      </c>
      <c r="O3981">
        <v>54.451009367403202</v>
      </c>
      <c r="P3981">
        <v>-5.2534536516840001E-2</v>
      </c>
      <c r="Q3981">
        <v>0</v>
      </c>
      <c r="R3981">
        <v>0.95727835046573695</v>
      </c>
      <c r="S3981" t="s">
        <v>10292</v>
      </c>
      <c r="T3981" t="s">
        <v>12620</v>
      </c>
      <c r="U3981" t="s">
        <v>12620</v>
      </c>
      <c r="V3981" t="s">
        <v>12620</v>
      </c>
      <c r="W3981" t="s">
        <v>16551</v>
      </c>
      <c r="X3981">
        <v>1</v>
      </c>
      <c r="Y3981" t="s">
        <v>22673</v>
      </c>
      <c r="Z3981" t="s">
        <v>28928</v>
      </c>
      <c r="AA3981">
        <v>0.55650428500179339</v>
      </c>
      <c r="AB3981" t="str">
        <f>HYPERLINK("Melting_Curves/meltCurve_Q86Y79_PTRH1.pdf", "Melting_Curves/meltCurve_Q86Y79_PTRH1.pdf")</f>
        <v>Melting_Curves/meltCurve_Q86Y79_PTRH1.pdf</v>
      </c>
    </row>
    <row r="3982" spans="1:28" x14ac:dyDescent="0.25">
      <c r="A3982" t="s">
        <v>3986</v>
      </c>
      <c r="B3982">
        <v>0.99987803227770999</v>
      </c>
      <c r="C3982">
        <v>0.94635904519417102</v>
      </c>
      <c r="D3982">
        <v>1.03241462003544</v>
      </c>
      <c r="E3982">
        <v>0.99791088607773104</v>
      </c>
      <c r="F3982">
        <v>1.16176003433479</v>
      </c>
      <c r="G3982">
        <v>1.07347400243703</v>
      </c>
      <c r="H3982">
        <v>0.95455858345366995</v>
      </c>
      <c r="I3982">
        <v>1.00928669154425</v>
      </c>
      <c r="J3982">
        <v>0.73116449337312595</v>
      </c>
      <c r="K3982">
        <v>0.60895981784360698</v>
      </c>
      <c r="L3982">
        <v>15000</v>
      </c>
      <c r="M3982">
        <v>224.66885875471101</v>
      </c>
      <c r="O3982">
        <v>66.759634794200906</v>
      </c>
      <c r="P3982">
        <v>-0.32900699722680599</v>
      </c>
      <c r="Q3982">
        <v>0.60894646796230201</v>
      </c>
      <c r="R3982">
        <v>0.84272709103780596</v>
      </c>
      <c r="S3982" t="s">
        <v>10293</v>
      </c>
      <c r="T3982" t="s">
        <v>12620</v>
      </c>
      <c r="U3982" t="s">
        <v>12620</v>
      </c>
      <c r="V3982" t="s">
        <v>12620</v>
      </c>
      <c r="W3982" t="s">
        <v>16552</v>
      </c>
      <c r="X3982">
        <v>2</v>
      </c>
      <c r="Y3982" t="s">
        <v>22674</v>
      </c>
      <c r="Z3982" t="s">
        <v>28929</v>
      </c>
      <c r="AA3982">
        <v>0.95788705033310639</v>
      </c>
      <c r="AB3982" t="str">
        <f>HYPERLINK("Melting_Curves/meltCurve_Q86Y82_STX12.pdf", "Melting_Curves/meltCurve_Q86Y82_STX12.pdf")</f>
        <v>Melting_Curves/meltCurve_Q86Y82_STX12.pdf</v>
      </c>
    </row>
    <row r="3983" spans="1:28" x14ac:dyDescent="0.25">
      <c r="A3983" t="s">
        <v>3987</v>
      </c>
      <c r="B3983">
        <v>0.99987803227770999</v>
      </c>
      <c r="C3983">
        <v>0.94467066179944603</v>
      </c>
      <c r="D3983">
        <v>0.96658262729950795</v>
      </c>
      <c r="E3983">
        <v>0.80262164673385705</v>
      </c>
      <c r="F3983">
        <v>0.81079260064668501</v>
      </c>
      <c r="G3983">
        <v>0.70090418686544198</v>
      </c>
      <c r="H3983">
        <v>0.53998653142464204</v>
      </c>
      <c r="I3983">
        <v>0.49567327362546398</v>
      </c>
      <c r="J3983">
        <v>0.53115271724901802</v>
      </c>
      <c r="K3983">
        <v>0.43767607217744098</v>
      </c>
      <c r="L3983">
        <v>527.99029658185805</v>
      </c>
      <c r="M3983">
        <v>9.3191253465063202</v>
      </c>
      <c r="N3983">
        <v>65.565755573263004</v>
      </c>
      <c r="O3983">
        <v>54.231262904937303</v>
      </c>
      <c r="P3983">
        <v>-2.7552307750758901E-2</v>
      </c>
      <c r="Q3983">
        <v>0.359061842747527</v>
      </c>
      <c r="R3983">
        <v>0.97177814414538</v>
      </c>
      <c r="S3983" t="s">
        <v>10294</v>
      </c>
      <c r="T3983" t="s">
        <v>12620</v>
      </c>
      <c r="U3983" t="s">
        <v>12620</v>
      </c>
      <c r="V3983" t="s">
        <v>12620</v>
      </c>
      <c r="W3983" t="s">
        <v>16553</v>
      </c>
      <c r="X3983">
        <v>4</v>
      </c>
      <c r="Y3983" t="s">
        <v>22675</v>
      </c>
      <c r="Z3983" t="s">
        <v>28930</v>
      </c>
      <c r="AA3983">
        <v>0.72584852504345931</v>
      </c>
      <c r="AB3983" t="str">
        <f>HYPERLINK("Melting_Curves/meltCurve_Q86Y91_2_KIF18B.pdf", "Melting_Curves/meltCurve_Q86Y91_2_KIF18B.pdf")</f>
        <v>Melting_Curves/meltCurve_Q86Y91_2_KIF18B.pdf</v>
      </c>
    </row>
    <row r="3984" spans="1:28" x14ac:dyDescent="0.25">
      <c r="A3984" t="s">
        <v>3988</v>
      </c>
      <c r="B3984">
        <v>0.99987803227770999</v>
      </c>
      <c r="C3984">
        <v>1.05788121456013</v>
      </c>
      <c r="D3984">
        <v>1.0271026406916099</v>
      </c>
      <c r="E3984">
        <v>0.99829394652249304</v>
      </c>
      <c r="F3984">
        <v>0.844994904524624</v>
      </c>
      <c r="G3984">
        <v>0.55632579261406601</v>
      </c>
      <c r="H3984">
        <v>0.368266521989212</v>
      </c>
      <c r="I3984">
        <v>0.19672780523230099</v>
      </c>
      <c r="J3984">
        <v>0.13482893916279201</v>
      </c>
      <c r="K3984">
        <v>0.118201609706483</v>
      </c>
      <c r="L3984">
        <v>1094.1684474352801</v>
      </c>
      <c r="M3984">
        <v>18.992116729059902</v>
      </c>
      <c r="N3984">
        <v>58.200677429132497</v>
      </c>
      <c r="O3984">
        <v>56.984392400368399</v>
      </c>
      <c r="P3984">
        <v>-7.6040223201828905E-2</v>
      </c>
      <c r="Q3984">
        <v>8.7424967679564494E-2</v>
      </c>
      <c r="R3984">
        <v>0.99276182900712295</v>
      </c>
      <c r="S3984" t="s">
        <v>10295</v>
      </c>
      <c r="T3984" t="s">
        <v>12620</v>
      </c>
      <c r="U3984" t="s">
        <v>12620</v>
      </c>
      <c r="V3984" t="s">
        <v>12620</v>
      </c>
      <c r="W3984" t="s">
        <v>16554</v>
      </c>
      <c r="X3984">
        <v>2</v>
      </c>
      <c r="Y3984" t="s">
        <v>22676</v>
      </c>
      <c r="Z3984" t="s">
        <v>28931</v>
      </c>
      <c r="AA3984">
        <v>0.63442165342680368</v>
      </c>
      <c r="AB3984" t="str">
        <f>HYPERLINK("Melting_Curves/meltCurve_Q86YH6_PDSS2.pdf", "Melting_Curves/meltCurve_Q86YH6_PDSS2.pdf")</f>
        <v>Melting_Curves/meltCurve_Q86YH6_PDSS2.pdf</v>
      </c>
    </row>
    <row r="3985" spans="1:28" x14ac:dyDescent="0.25">
      <c r="A3985" t="s">
        <v>3989</v>
      </c>
      <c r="B3985">
        <v>0.99987803227770999</v>
      </c>
      <c r="C3985">
        <v>0.85008060042258304</v>
      </c>
      <c r="D3985">
        <v>1.0279411527040401</v>
      </c>
      <c r="E3985">
        <v>0.92286112636982098</v>
      </c>
      <c r="F3985">
        <v>1.1670496589175301</v>
      </c>
      <c r="G3985">
        <v>1.0298394598495899</v>
      </c>
      <c r="H3985">
        <v>0.93601668444437802</v>
      </c>
      <c r="I3985">
        <v>0.77692691598548802</v>
      </c>
      <c r="J3985">
        <v>0.69971360656458303</v>
      </c>
      <c r="K3985">
        <v>0.572930328220987</v>
      </c>
      <c r="L3985">
        <v>1887.15389113175</v>
      </c>
      <c r="M3985">
        <v>29.2086207935792</v>
      </c>
      <c r="O3985">
        <v>64.308907405533105</v>
      </c>
      <c r="P3985">
        <v>-5.1465499042088199E-2</v>
      </c>
      <c r="Q3985">
        <v>0.54675492295481998</v>
      </c>
      <c r="R3985">
        <v>0.78241125327730299</v>
      </c>
      <c r="S3985" t="s">
        <v>10296</v>
      </c>
      <c r="T3985" t="s">
        <v>12620</v>
      </c>
      <c r="U3985" t="s">
        <v>12620</v>
      </c>
      <c r="V3985" t="s">
        <v>12620</v>
      </c>
      <c r="W3985" t="s">
        <v>16555</v>
      </c>
      <c r="X3985">
        <v>3</v>
      </c>
      <c r="Y3985" t="s">
        <v>22677</v>
      </c>
      <c r="Z3985" t="s">
        <v>28932</v>
      </c>
      <c r="AA3985">
        <v>0.91811381184260477</v>
      </c>
      <c r="AB3985" t="str">
        <f>HYPERLINK("Melting_Curves/meltCurve_Q86YL5_TDRP.pdf", "Melting_Curves/meltCurve_Q86YL5_TDRP.pdf")</f>
        <v>Melting_Curves/meltCurve_Q86YL5_TDRP.pdf</v>
      </c>
    </row>
    <row r="3986" spans="1:28" x14ac:dyDescent="0.25">
      <c r="A3986" t="s">
        <v>3990</v>
      </c>
      <c r="B3986">
        <v>0.99987803227770999</v>
      </c>
      <c r="C3986">
        <v>0.98247809558766996</v>
      </c>
      <c r="D3986">
        <v>0.95067739747454205</v>
      </c>
      <c r="E3986">
        <v>0.91310263482646703</v>
      </c>
      <c r="F3986">
        <v>0.87182027106163096</v>
      </c>
      <c r="G3986">
        <v>0.74444435281940302</v>
      </c>
      <c r="H3986">
        <v>0.59284486094778499</v>
      </c>
      <c r="I3986">
        <v>0.41030999332481499</v>
      </c>
      <c r="J3986">
        <v>0.30523872368542998</v>
      </c>
      <c r="K3986">
        <v>0.15988072543534901</v>
      </c>
      <c r="L3986">
        <v>742.78345952553298</v>
      </c>
      <c r="M3986">
        <v>11.9602252115562</v>
      </c>
      <c r="N3986">
        <v>62.1044710080022</v>
      </c>
      <c r="O3986">
        <v>60.444677950611798</v>
      </c>
      <c r="P3986">
        <v>-4.9479731319457203E-2</v>
      </c>
      <c r="Q3986">
        <v>0</v>
      </c>
      <c r="R3986">
        <v>0.99235198601062002</v>
      </c>
      <c r="S3986" t="s">
        <v>10297</v>
      </c>
      <c r="T3986" t="s">
        <v>12620</v>
      </c>
      <c r="U3986" t="s">
        <v>12620</v>
      </c>
      <c r="V3986" t="s">
        <v>12620</v>
      </c>
      <c r="W3986" t="s">
        <v>16556</v>
      </c>
      <c r="X3986">
        <v>8</v>
      </c>
      <c r="Y3986" t="s">
        <v>22678</v>
      </c>
      <c r="Z3986" t="s">
        <v>28933</v>
      </c>
      <c r="AA3986">
        <v>0.72448675097852566</v>
      </c>
      <c r="AB3986" t="str">
        <f>HYPERLINK("Melting_Curves/meltCurve_Q86YM7_HOMER1.pdf", "Melting_Curves/meltCurve_Q86YM7_HOMER1.pdf")</f>
        <v>Melting_Curves/meltCurve_Q86YM7_HOMER1.pdf</v>
      </c>
    </row>
    <row r="3987" spans="1:28" x14ac:dyDescent="0.25">
      <c r="A3987" t="s">
        <v>3991</v>
      </c>
      <c r="B3987">
        <v>0.99987803227770999</v>
      </c>
      <c r="C3987">
        <v>0.88474939525527696</v>
      </c>
      <c r="D3987">
        <v>0.77671935232975298</v>
      </c>
      <c r="E3987">
        <v>0.700859031349919</v>
      </c>
      <c r="F3987">
        <v>0.77327885632327797</v>
      </c>
      <c r="G3987">
        <v>0.64807674360346201</v>
      </c>
      <c r="H3987">
        <v>0.67621242172719498</v>
      </c>
      <c r="I3987">
        <v>0.60961730973355099</v>
      </c>
      <c r="J3987">
        <v>0.68034483855775096</v>
      </c>
      <c r="K3987">
        <v>0.55890652711217403</v>
      </c>
      <c r="L3987">
        <v>521.85180885008299</v>
      </c>
      <c r="M3987">
        <v>11.2624725511901</v>
      </c>
      <c r="O3987">
        <v>44.946720612323404</v>
      </c>
      <c r="P3987">
        <v>-2.38249177642085E-2</v>
      </c>
      <c r="Q3987">
        <v>0.61979161993374099</v>
      </c>
      <c r="R3987">
        <v>0.86477515640468505</v>
      </c>
      <c r="S3987" t="s">
        <v>10298</v>
      </c>
      <c r="T3987" t="s">
        <v>12620</v>
      </c>
      <c r="U3987" t="s">
        <v>12620</v>
      </c>
      <c r="V3987" t="s">
        <v>12620</v>
      </c>
      <c r="W3987" t="s">
        <v>16557</v>
      </c>
      <c r="X3987">
        <v>13</v>
      </c>
      <c r="Y3987" t="s">
        <v>22679</v>
      </c>
      <c r="Z3987" t="s">
        <v>28934</v>
      </c>
      <c r="AA3987">
        <v>0.71895574827074005</v>
      </c>
      <c r="AB3987" t="str">
        <f>HYPERLINK("Melting_Curves/meltCurve_Q86YP4_2_GATAD2A.pdf", "Melting_Curves/meltCurve_Q86YP4_2_GATAD2A.pdf")</f>
        <v>Melting_Curves/meltCurve_Q86YP4_2_GATAD2A.pdf</v>
      </c>
    </row>
    <row r="3988" spans="1:28" x14ac:dyDescent="0.25">
      <c r="A3988" t="s">
        <v>3992</v>
      </c>
      <c r="B3988">
        <v>0.99987803227770999</v>
      </c>
      <c r="C3988">
        <v>1.0001212255879399</v>
      </c>
      <c r="D3988">
        <v>0.66671878717171795</v>
      </c>
      <c r="E3988">
        <v>0.51363239433375496</v>
      </c>
      <c r="F3988">
        <v>0.50223624742858197</v>
      </c>
      <c r="G3988">
        <v>0.39509191295934398</v>
      </c>
      <c r="H3988">
        <v>0.37265406589669398</v>
      </c>
      <c r="I3988">
        <v>0.374881589370475</v>
      </c>
      <c r="J3988">
        <v>0.34352740647146002</v>
      </c>
      <c r="K3988">
        <v>0.29227506801365499</v>
      </c>
      <c r="L3988">
        <v>857.59946146699394</v>
      </c>
      <c r="M3988">
        <v>18.209529582093602</v>
      </c>
      <c r="N3988">
        <v>50.5253518859531</v>
      </c>
      <c r="O3988">
        <v>46.539223314931903</v>
      </c>
      <c r="P3988">
        <v>-6.3123977624905001E-2</v>
      </c>
      <c r="Q3988">
        <v>0.35471097149660602</v>
      </c>
      <c r="R3988">
        <v>0.95834572043328603</v>
      </c>
      <c r="S3988" t="s">
        <v>10299</v>
      </c>
      <c r="T3988" t="s">
        <v>12620</v>
      </c>
      <c r="U3988" t="s">
        <v>12620</v>
      </c>
      <c r="V3988" t="s">
        <v>12620</v>
      </c>
      <c r="W3988" t="s">
        <v>16558</v>
      </c>
      <c r="X3988">
        <v>3</v>
      </c>
      <c r="Y3988" t="s">
        <v>22680</v>
      </c>
      <c r="Z3988" t="s">
        <v>28935</v>
      </c>
      <c r="AA3988">
        <v>0.51890373933026723</v>
      </c>
      <c r="AB3988" t="str">
        <f>HYPERLINK("Melting_Curves/meltCurve_Q86YR5_4_GPSM1.pdf", "Melting_Curves/meltCurve_Q86YR5_4_GPSM1.pdf")</f>
        <v>Melting_Curves/meltCurve_Q86YR5_4_GPSM1.pdf</v>
      </c>
    </row>
    <row r="3989" spans="1:28" x14ac:dyDescent="0.25">
      <c r="A3989" t="s">
        <v>3993</v>
      </c>
      <c r="B3989">
        <v>0.99987803227770999</v>
      </c>
      <c r="C3989">
        <v>1.0642467427689699</v>
      </c>
      <c r="D3989">
        <v>0.82384704491050198</v>
      </c>
      <c r="E3989">
        <v>0.80630955680938299</v>
      </c>
      <c r="F3989">
        <v>0.44628438172725399</v>
      </c>
      <c r="G3989">
        <v>0.29801846471799898</v>
      </c>
      <c r="H3989">
        <v>0.15091875825793899</v>
      </c>
      <c r="I3989">
        <v>0.114427700325391</v>
      </c>
      <c r="J3989">
        <v>9.76729034482125E-2</v>
      </c>
      <c r="K3989">
        <v>5.72580882479247E-2</v>
      </c>
      <c r="L3989">
        <v>860.365810059669</v>
      </c>
      <c r="M3989">
        <v>16.319191260713598</v>
      </c>
      <c r="N3989">
        <v>53.131060228400202</v>
      </c>
      <c r="O3989">
        <v>51.948517099862201</v>
      </c>
      <c r="P3989">
        <v>-7.3894916892406806E-2</v>
      </c>
      <c r="Q3989">
        <v>5.91561487983326E-2</v>
      </c>
      <c r="R3989">
        <v>0.980240117644535</v>
      </c>
      <c r="S3989" t="s">
        <v>10300</v>
      </c>
      <c r="T3989" t="s">
        <v>12620</v>
      </c>
      <c r="U3989" t="s">
        <v>12620</v>
      </c>
      <c r="V3989" t="s">
        <v>12620</v>
      </c>
      <c r="W3989" t="s">
        <v>16559</v>
      </c>
      <c r="X3989">
        <v>10</v>
      </c>
      <c r="Y3989" t="s">
        <v>22681</v>
      </c>
      <c r="Z3989" t="s">
        <v>28936</v>
      </c>
      <c r="AA3989">
        <v>0.47618585227933258</v>
      </c>
      <c r="AB3989" t="str">
        <f>HYPERLINK("Melting_Curves/meltCurve_Q86YS7_C2CD5.pdf", "Melting_Curves/meltCurve_Q86YS7_C2CD5.pdf")</f>
        <v>Melting_Curves/meltCurve_Q86YS7_C2CD5.pdf</v>
      </c>
    </row>
    <row r="3990" spans="1:28" x14ac:dyDescent="0.25">
      <c r="A3990" t="s">
        <v>3994</v>
      </c>
      <c r="B3990">
        <v>0.99987803227770999</v>
      </c>
      <c r="C3990">
        <v>0.89218679732686501</v>
      </c>
      <c r="D3990">
        <v>0.97046779670053596</v>
      </c>
      <c r="E3990">
        <v>0.810929685936565</v>
      </c>
      <c r="F3990">
        <v>0.92898258109955201</v>
      </c>
      <c r="G3990">
        <v>0.809844360500938</v>
      </c>
      <c r="H3990">
        <v>0.83424925941773997</v>
      </c>
      <c r="I3990">
        <v>0.75480658171756199</v>
      </c>
      <c r="J3990">
        <v>0.78441886972611197</v>
      </c>
      <c r="K3990">
        <v>0.62843126654470105</v>
      </c>
      <c r="L3990">
        <v>239.07563074103001</v>
      </c>
      <c r="M3990">
        <v>2.5915505440619899</v>
      </c>
      <c r="O3990">
        <v>63.3761020431349</v>
      </c>
      <c r="P3990">
        <v>-1.06979542398927E-2</v>
      </c>
      <c r="Q3990">
        <v>0</v>
      </c>
      <c r="R3990">
        <v>0.75075441603397297</v>
      </c>
      <c r="S3990" t="s">
        <v>10301</v>
      </c>
      <c r="T3990" t="s">
        <v>12620</v>
      </c>
      <c r="U3990" t="s">
        <v>12620</v>
      </c>
      <c r="V3990" t="s">
        <v>12620</v>
      </c>
      <c r="W3990" t="s">
        <v>16560</v>
      </c>
      <c r="X3990">
        <v>25</v>
      </c>
      <c r="Y3990" t="s">
        <v>22682</v>
      </c>
      <c r="Z3990" t="s">
        <v>28937</v>
      </c>
      <c r="AA3990">
        <v>0.84542005742441362</v>
      </c>
      <c r="AB3990" t="str">
        <f>HYPERLINK("Melting_Curves/meltCurve_Q86YV5_SGK223.pdf", "Melting_Curves/meltCurve_Q86YV5_SGK223.pdf")</f>
        <v>Melting_Curves/meltCurve_Q86YV5_SGK223.pdf</v>
      </c>
    </row>
    <row r="3991" spans="1:28" x14ac:dyDescent="0.25">
      <c r="A3991" t="s">
        <v>3995</v>
      </c>
      <c r="B3991">
        <v>0.99987803227770999</v>
      </c>
      <c r="C3991">
        <v>1.1540936276143301</v>
      </c>
      <c r="D3991">
        <v>0.69681665965162798</v>
      </c>
      <c r="E3991">
        <v>0.64365373685395399</v>
      </c>
      <c r="F3991">
        <v>0.40930493925979899</v>
      </c>
      <c r="G3991">
        <v>0.26895564297459501</v>
      </c>
      <c r="H3991">
        <v>0.16463241092973399</v>
      </c>
      <c r="I3991">
        <v>0.13011047086206701</v>
      </c>
      <c r="J3991">
        <v>8.9022079266190601E-2</v>
      </c>
      <c r="K3991">
        <v>7.9805727121370199E-2</v>
      </c>
      <c r="L3991">
        <v>730.73320802212095</v>
      </c>
      <c r="M3991">
        <v>14.2875435618597</v>
      </c>
      <c r="N3991">
        <v>51.714397788759698</v>
      </c>
      <c r="O3991">
        <v>50.174160474631798</v>
      </c>
      <c r="P3991">
        <v>-6.6014689754825898E-2</v>
      </c>
      <c r="Q3991">
        <v>7.2807580926471993E-2</v>
      </c>
      <c r="R3991">
        <v>0.95055287655368403</v>
      </c>
      <c r="S3991" t="s">
        <v>10302</v>
      </c>
      <c r="T3991" t="s">
        <v>12620</v>
      </c>
      <c r="U3991" t="s">
        <v>12620</v>
      </c>
      <c r="V3991" t="s">
        <v>12620</v>
      </c>
      <c r="W3991" t="s">
        <v>16561</v>
      </c>
      <c r="X3991">
        <v>5</v>
      </c>
      <c r="Y3991" t="s">
        <v>22683</v>
      </c>
      <c r="Z3991" t="s">
        <v>28938</v>
      </c>
      <c r="AA3991">
        <v>0.44031829554757479</v>
      </c>
      <c r="AB3991" t="str">
        <f>HYPERLINK("Melting_Curves/meltCurve_Q86YV9_HPS6.pdf", "Melting_Curves/meltCurve_Q86YV9_HPS6.pdf")</f>
        <v>Melting_Curves/meltCurve_Q86YV9_HPS6.pdf</v>
      </c>
    </row>
    <row r="3992" spans="1:28" x14ac:dyDescent="0.25">
      <c r="A3992" t="s">
        <v>3996</v>
      </c>
      <c r="B3992">
        <v>0.99987803227770999</v>
      </c>
      <c r="C3992">
        <v>0.72555892171722702</v>
      </c>
      <c r="D3992">
        <v>2.1217644614054501</v>
      </c>
      <c r="E3992">
        <v>0.80157663731306505</v>
      </c>
      <c r="F3992">
        <v>0.82176568056126298</v>
      </c>
      <c r="G3992">
        <v>1.19759342640841</v>
      </c>
      <c r="H3992">
        <v>0.52872950797504004</v>
      </c>
      <c r="I3992">
        <v>3.57096822282818</v>
      </c>
      <c r="J3992">
        <v>0.47280944564087202</v>
      </c>
      <c r="K3992">
        <v>0.24705186559433601</v>
      </c>
      <c r="L3992">
        <v>15000</v>
      </c>
      <c r="M3992">
        <v>224.721953100425</v>
      </c>
      <c r="N3992">
        <v>66.951696276422297</v>
      </c>
      <c r="O3992">
        <v>66.743866362132906</v>
      </c>
      <c r="P3992">
        <v>-0.63412193826187901</v>
      </c>
      <c r="Q3992">
        <v>0.246646812763959</v>
      </c>
      <c r="R3992">
        <v>7.0037260060678994E-2</v>
      </c>
      <c r="S3992" t="s">
        <v>10303</v>
      </c>
      <c r="T3992" t="s">
        <v>12620</v>
      </c>
      <c r="U3992" t="s">
        <v>12620</v>
      </c>
      <c r="V3992" t="s">
        <v>12620</v>
      </c>
      <c r="W3992" t="s">
        <v>16562</v>
      </c>
      <c r="X3992">
        <v>3</v>
      </c>
      <c r="Y3992" t="s">
        <v>22684</v>
      </c>
      <c r="Z3992" t="s">
        <v>28939</v>
      </c>
      <c r="AA3992">
        <v>0.91847444887109964</v>
      </c>
      <c r="AB3992" t="str">
        <f>HYPERLINK("Melting_Curves/meltCurve_Q86YZ3_HRNR.pdf", "Melting_Curves/meltCurve_Q86YZ3_HRNR.pdf")</f>
        <v>Melting_Curves/meltCurve_Q86YZ3_HRNR.pdf</v>
      </c>
    </row>
    <row r="3993" spans="1:28" x14ac:dyDescent="0.25">
      <c r="A3993" t="s">
        <v>3997</v>
      </c>
      <c r="B3993">
        <v>0.99987803227770999</v>
      </c>
      <c r="C3993">
        <v>0.91688288645803595</v>
      </c>
      <c r="D3993">
        <v>0.87575677370204896</v>
      </c>
      <c r="E3993">
        <v>0.65340385318165894</v>
      </c>
      <c r="F3993">
        <v>0.61758256229444197</v>
      </c>
      <c r="G3993">
        <v>0.48708924093367001</v>
      </c>
      <c r="H3993">
        <v>0.42504666018688297</v>
      </c>
      <c r="I3993">
        <v>0.40398172779775599</v>
      </c>
      <c r="J3993">
        <v>0.36902705927671697</v>
      </c>
      <c r="K3993">
        <v>0.29343999624801098</v>
      </c>
      <c r="L3993">
        <v>535.17966289738501</v>
      </c>
      <c r="M3993">
        <v>10.359083877864</v>
      </c>
      <c r="N3993">
        <v>56.479014898637203</v>
      </c>
      <c r="O3993">
        <v>49.848787440840198</v>
      </c>
      <c r="P3993">
        <v>-3.6730261932215E-2</v>
      </c>
      <c r="Q3993">
        <v>0.29330379738694301</v>
      </c>
      <c r="R3993">
        <v>0.98565919157788695</v>
      </c>
      <c r="S3993" t="s">
        <v>10304</v>
      </c>
      <c r="T3993" t="s">
        <v>12620</v>
      </c>
      <c r="U3993" t="s">
        <v>12620</v>
      </c>
      <c r="V3993" t="s">
        <v>12620</v>
      </c>
      <c r="W3993" t="s">
        <v>16563</v>
      </c>
      <c r="X3993">
        <v>23</v>
      </c>
      <c r="Y3993" t="s">
        <v>22685</v>
      </c>
      <c r="Z3993" t="s">
        <v>28940</v>
      </c>
      <c r="AA3993">
        <v>0.59463366327851774</v>
      </c>
      <c r="AB3993" t="str">
        <f>HYPERLINK("Melting_Curves/meltCurve_Q8IU81_IRF2BP1.pdf", "Melting_Curves/meltCurve_Q8IU81_IRF2BP1.pdf")</f>
        <v>Melting_Curves/meltCurve_Q8IU81_IRF2BP1.pdf</v>
      </c>
    </row>
    <row r="3994" spans="1:28" x14ac:dyDescent="0.25">
      <c r="A3994" t="s">
        <v>3998</v>
      </c>
      <c r="B3994">
        <v>0.99987803227770999</v>
      </c>
      <c r="C3994">
        <v>1.0246790605415199</v>
      </c>
      <c r="D3994">
        <v>0.93809083577829</v>
      </c>
      <c r="E3994">
        <v>0.81027197403141504</v>
      </c>
      <c r="F3994">
        <v>0.57740226750744506</v>
      </c>
      <c r="G3994">
        <v>0.41007682972285397</v>
      </c>
      <c r="H3994">
        <v>0.25993107117845499</v>
      </c>
      <c r="I3994">
        <v>0.197968003740805</v>
      </c>
      <c r="J3994">
        <v>0.12850924840309699</v>
      </c>
      <c r="K3994">
        <v>6.9321715306534901E-2</v>
      </c>
      <c r="L3994">
        <v>725.969052981799</v>
      </c>
      <c r="M3994">
        <v>13.2683563874277</v>
      </c>
      <c r="N3994">
        <v>55.160602619293897</v>
      </c>
      <c r="O3994">
        <v>53.516271486795603</v>
      </c>
      <c r="P3994">
        <v>-5.8837843665939603E-2</v>
      </c>
      <c r="Q3994">
        <v>5.0894243671185502E-2</v>
      </c>
      <c r="R3994">
        <v>0.99431588159947804</v>
      </c>
      <c r="S3994" t="s">
        <v>10305</v>
      </c>
      <c r="T3994" t="s">
        <v>12620</v>
      </c>
      <c r="U3994" t="s">
        <v>12620</v>
      </c>
      <c r="V3994" t="s">
        <v>12620</v>
      </c>
      <c r="W3994" t="s">
        <v>16564</v>
      </c>
      <c r="X3994">
        <v>10</v>
      </c>
      <c r="Y3994" t="s">
        <v>22686</v>
      </c>
      <c r="Z3994" t="s">
        <v>28941</v>
      </c>
      <c r="AA3994">
        <v>0.53755813472774261</v>
      </c>
      <c r="AB3994" t="str">
        <f>HYPERLINK("Melting_Curves/meltCurve_Q8IU85_2_CAMK1D.pdf", "Melting_Curves/meltCurve_Q8IU85_2_CAMK1D.pdf")</f>
        <v>Melting_Curves/meltCurve_Q8IU85_2_CAMK1D.pdf</v>
      </c>
    </row>
    <row r="3995" spans="1:28" x14ac:dyDescent="0.25">
      <c r="A3995" t="s">
        <v>3999</v>
      </c>
      <c r="B3995">
        <v>0.99987803227770999</v>
      </c>
      <c r="C3995">
        <v>1.1309351071773399</v>
      </c>
      <c r="D3995">
        <v>0.90564937251287603</v>
      </c>
      <c r="E3995">
        <v>0.85224404289109301</v>
      </c>
      <c r="F3995">
        <v>0.34645551385336998</v>
      </c>
      <c r="G3995">
        <v>0.17270081560386</v>
      </c>
      <c r="H3995">
        <v>0.10707531678868699</v>
      </c>
      <c r="I3995">
        <v>9.1685937716143806E-2</v>
      </c>
      <c r="J3995">
        <v>6.4529660542532105E-2</v>
      </c>
      <c r="K3995">
        <v>5.09349001600451E-2</v>
      </c>
      <c r="L3995">
        <v>2027.22941734813</v>
      </c>
      <c r="M3995">
        <v>39.070001167479397</v>
      </c>
      <c r="N3995">
        <v>52.148251637056603</v>
      </c>
      <c r="O3995">
        <v>51.751733398333499</v>
      </c>
      <c r="P3995">
        <v>-0.17196864590957101</v>
      </c>
      <c r="Q3995">
        <v>8.8850269103482205E-2</v>
      </c>
      <c r="R3995">
        <v>0.98223256194852504</v>
      </c>
      <c r="S3995" t="s">
        <v>10306</v>
      </c>
      <c r="T3995" t="s">
        <v>12620</v>
      </c>
      <c r="U3995" t="s">
        <v>12620</v>
      </c>
      <c r="V3995" t="s">
        <v>12620</v>
      </c>
      <c r="W3995" t="s">
        <v>16565</v>
      </c>
      <c r="X3995">
        <v>14</v>
      </c>
      <c r="Y3995" t="s">
        <v>22687</v>
      </c>
      <c r="Z3995" t="s">
        <v>28942</v>
      </c>
      <c r="AA3995">
        <v>0.45330627587945188</v>
      </c>
      <c r="AB3995" t="str">
        <f>HYPERLINK("Melting_Curves/meltCurve_Q8IUC4_RHPN2.pdf", "Melting_Curves/meltCurve_Q8IUC4_RHPN2.pdf")</f>
        <v>Melting_Curves/meltCurve_Q8IUC4_RHPN2.pdf</v>
      </c>
    </row>
    <row r="3996" spans="1:28" x14ac:dyDescent="0.25">
      <c r="A3996" t="s">
        <v>4000</v>
      </c>
      <c r="B3996">
        <v>0.99987803227770999</v>
      </c>
      <c r="C3996">
        <v>1.17219263429444</v>
      </c>
      <c r="D3996">
        <v>1.0051907737206001</v>
      </c>
      <c r="E3996">
        <v>1.0831398926914</v>
      </c>
      <c r="F3996">
        <v>0.801290552879519</v>
      </c>
      <c r="G3996">
        <v>0.67319189342566399</v>
      </c>
      <c r="H3996">
        <v>0.53936236583696295</v>
      </c>
      <c r="I3996">
        <v>0.46192991585826298</v>
      </c>
      <c r="J3996">
        <v>0.41483449374430598</v>
      </c>
      <c r="K3996">
        <v>0.31407929209746899</v>
      </c>
      <c r="L3996">
        <v>983.89964354162601</v>
      </c>
      <c r="M3996">
        <v>17.093314753537999</v>
      </c>
      <c r="N3996">
        <v>61.528468972700999</v>
      </c>
      <c r="O3996">
        <v>56.790003988193</v>
      </c>
      <c r="P3996">
        <v>-5.0121524581180799E-2</v>
      </c>
      <c r="Q3996">
        <v>0.33395494631931</v>
      </c>
      <c r="R3996">
        <v>0.93244260353665998</v>
      </c>
      <c r="S3996" t="s">
        <v>10307</v>
      </c>
      <c r="T3996" t="s">
        <v>12620</v>
      </c>
      <c r="U3996" t="s">
        <v>12620</v>
      </c>
      <c r="V3996" t="s">
        <v>12620</v>
      </c>
      <c r="W3996" t="s">
        <v>16566</v>
      </c>
      <c r="X3996">
        <v>39</v>
      </c>
      <c r="Y3996" t="s">
        <v>22688</v>
      </c>
      <c r="Z3996" t="s">
        <v>28943</v>
      </c>
      <c r="AA3996">
        <v>0.73284496035064284</v>
      </c>
      <c r="AB3996" t="str">
        <f>HYPERLINK("Melting_Curves/meltCurve_Q8IUD2_ERC1.pdf", "Melting_Curves/meltCurve_Q8IUD2_ERC1.pdf")</f>
        <v>Melting_Curves/meltCurve_Q8IUD2_ERC1.pdf</v>
      </c>
    </row>
    <row r="3997" spans="1:28" x14ac:dyDescent="0.25">
      <c r="A3997" t="s">
        <v>4001</v>
      </c>
      <c r="B3997">
        <v>0.99987803227770999</v>
      </c>
      <c r="C3997">
        <v>0.86125006851649299</v>
      </c>
      <c r="D3997">
        <v>0.71906242562647305</v>
      </c>
      <c r="E3997">
        <v>0.37011549464454702</v>
      </c>
      <c r="F3997">
        <v>0.15355897020947901</v>
      </c>
      <c r="G3997">
        <v>0.13569445252229201</v>
      </c>
      <c r="H3997">
        <v>7.5389141189969797E-2</v>
      </c>
      <c r="I3997">
        <v>8.8280973154240702E-2</v>
      </c>
      <c r="J3997">
        <v>4.3124063377781803E-2</v>
      </c>
      <c r="K3997">
        <v>5.17172713098452E-2</v>
      </c>
      <c r="L3997">
        <v>875.85347815602495</v>
      </c>
      <c r="M3997">
        <v>18.276269243249001</v>
      </c>
      <c r="N3997">
        <v>48.239773464755999</v>
      </c>
      <c r="O3997">
        <v>47.360297434625998</v>
      </c>
      <c r="P3997">
        <v>-9.1023340952765805E-2</v>
      </c>
      <c r="Q3997">
        <v>5.6548762935868399E-2</v>
      </c>
      <c r="R3997">
        <v>0.99487535803253602</v>
      </c>
      <c r="S3997" t="s">
        <v>10308</v>
      </c>
      <c r="T3997" t="s">
        <v>12620</v>
      </c>
      <c r="U3997" t="s">
        <v>12620</v>
      </c>
      <c r="V3997" t="s">
        <v>12620</v>
      </c>
      <c r="W3997" t="s">
        <v>16567</v>
      </c>
      <c r="X3997">
        <v>2</v>
      </c>
      <c r="Y3997" t="s">
        <v>22689</v>
      </c>
      <c r="Z3997" t="s">
        <v>28944</v>
      </c>
      <c r="AA3997">
        <v>0.32196520387259758</v>
      </c>
      <c r="AB3997" t="str">
        <f>HYPERLINK("Melting_Curves/meltCurve_Q8IUD6_RNF135.pdf", "Melting_Curves/meltCurve_Q8IUD6_RNF135.pdf")</f>
        <v>Melting_Curves/meltCurve_Q8IUD6_RNF135.pdf</v>
      </c>
    </row>
    <row r="3998" spans="1:28" x14ac:dyDescent="0.25">
      <c r="A3998" t="s">
        <v>4002</v>
      </c>
      <c r="B3998">
        <v>0.99987803227770999</v>
      </c>
      <c r="C3998">
        <v>1.1578083833946</v>
      </c>
      <c r="D3998">
        <v>0.96538460102610002</v>
      </c>
      <c r="E3998">
        <v>0.67943888954424803</v>
      </c>
      <c r="F3998">
        <v>0.35675099078195899</v>
      </c>
      <c r="G3998">
        <v>0.213371291320336</v>
      </c>
      <c r="H3998">
        <v>0.15666672938384599</v>
      </c>
      <c r="I3998">
        <v>0.115590796715202</v>
      </c>
      <c r="J3998">
        <v>0.11462329568667</v>
      </c>
      <c r="K3998">
        <v>6.2908911538052295E-2</v>
      </c>
      <c r="L3998">
        <v>1334.79620736112</v>
      </c>
      <c r="M3998">
        <v>26.089938507794201</v>
      </c>
      <c r="N3998">
        <v>51.676217187809598</v>
      </c>
      <c r="O3998">
        <v>50.863605348653302</v>
      </c>
      <c r="P3998">
        <v>-0.11355909120025701</v>
      </c>
      <c r="Q3998">
        <v>0.114454145811069</v>
      </c>
      <c r="R3998">
        <v>0.98016946296336904</v>
      </c>
      <c r="S3998" t="s">
        <v>10309</v>
      </c>
      <c r="T3998" t="s">
        <v>12620</v>
      </c>
      <c r="U3998" t="s">
        <v>12620</v>
      </c>
      <c r="V3998" t="s">
        <v>12620</v>
      </c>
      <c r="W3998" t="s">
        <v>16568</v>
      </c>
      <c r="X3998">
        <v>6</v>
      </c>
      <c r="Y3998" t="s">
        <v>22690</v>
      </c>
      <c r="Z3998" t="s">
        <v>28945</v>
      </c>
      <c r="AA3998">
        <v>0.45128553623380813</v>
      </c>
      <c r="AB3998" t="str">
        <f>HYPERLINK("Melting_Curves/meltCurve_Q8IUF8_4_MINA.pdf", "Melting_Curves/meltCurve_Q8IUF8_4_MINA.pdf")</f>
        <v>Melting_Curves/meltCurve_Q8IUF8_4_MINA.pdf</v>
      </c>
    </row>
    <row r="3999" spans="1:28" x14ac:dyDescent="0.25">
      <c r="A3999" t="s">
        <v>4003</v>
      </c>
      <c r="B3999">
        <v>0.99987803227770999</v>
      </c>
      <c r="C3999">
        <v>0.96527185792855097</v>
      </c>
      <c r="D3999">
        <v>1.02012389419218</v>
      </c>
      <c r="E3999">
        <v>0.74912584065019505</v>
      </c>
      <c r="F3999">
        <v>0.298121484980436</v>
      </c>
      <c r="G3999">
        <v>0.17869272454754301</v>
      </c>
      <c r="H3999">
        <v>0.121004055612445</v>
      </c>
      <c r="I3999">
        <v>0.100982235956706</v>
      </c>
      <c r="J3999">
        <v>8.5716738484452701E-2</v>
      </c>
      <c r="K3999">
        <v>6.3804482421145794E-2</v>
      </c>
      <c r="L3999">
        <v>1885.45701304064</v>
      </c>
      <c r="M3999">
        <v>36.775478617775804</v>
      </c>
      <c r="N3999">
        <v>51.593290404512899</v>
      </c>
      <c r="O3999">
        <v>51.118515344159903</v>
      </c>
      <c r="P3999">
        <v>-0.161316873741328</v>
      </c>
      <c r="Q3999">
        <v>0.103070249627191</v>
      </c>
      <c r="R3999">
        <v>0.99533047326813695</v>
      </c>
      <c r="S3999" t="s">
        <v>10310</v>
      </c>
      <c r="T3999" t="s">
        <v>12620</v>
      </c>
      <c r="U3999" t="s">
        <v>12620</v>
      </c>
      <c r="V3999" t="s">
        <v>12620</v>
      </c>
      <c r="W3999" t="s">
        <v>16569</v>
      </c>
      <c r="X3999">
        <v>13</v>
      </c>
      <c r="Y3999" t="s">
        <v>22691</v>
      </c>
      <c r="Z3999" t="s">
        <v>28946</v>
      </c>
      <c r="AA3999">
        <v>0.44376315383872239</v>
      </c>
      <c r="AB3999" t="str">
        <f>HYPERLINK("Melting_Curves/meltCurve_Q8IUI8_CRLF3.pdf", "Melting_Curves/meltCurve_Q8IUI8_CRLF3.pdf")</f>
        <v>Melting_Curves/meltCurve_Q8IUI8_CRLF3.pdf</v>
      </c>
    </row>
    <row r="4000" spans="1:28" x14ac:dyDescent="0.25">
      <c r="A4000" t="s">
        <v>4004</v>
      </c>
      <c r="B4000">
        <v>0.99987803227770999</v>
      </c>
      <c r="C4000">
        <v>0.82940149594979995</v>
      </c>
      <c r="D4000">
        <v>0.87850226450276203</v>
      </c>
      <c r="E4000">
        <v>1.0003639575645999</v>
      </c>
      <c r="F4000">
        <v>1.0199119319279799</v>
      </c>
      <c r="G4000">
        <v>0.78484157572846303</v>
      </c>
      <c r="H4000">
        <v>0.69212733418598205</v>
      </c>
      <c r="I4000">
        <v>0.30251446427701301</v>
      </c>
      <c r="J4000">
        <v>0.18393220400891999</v>
      </c>
      <c r="K4000">
        <v>0.144567308311147</v>
      </c>
      <c r="L4000">
        <v>1339.94503638783</v>
      </c>
      <c r="M4000">
        <v>21.638645532162801</v>
      </c>
      <c r="N4000">
        <v>62.194048030098998</v>
      </c>
      <c r="O4000">
        <v>61.402111130046301</v>
      </c>
      <c r="P4000">
        <v>-8.4149830472795006E-2</v>
      </c>
      <c r="Q4000">
        <v>4.4884011617501197E-2</v>
      </c>
      <c r="R4000">
        <v>0.93793839972139004</v>
      </c>
      <c r="S4000" t="s">
        <v>10311</v>
      </c>
      <c r="T4000" t="s">
        <v>12620</v>
      </c>
      <c r="U4000" t="s">
        <v>12620</v>
      </c>
      <c r="V4000" t="s">
        <v>12620</v>
      </c>
      <c r="W4000" t="s">
        <v>16570</v>
      </c>
      <c r="X4000">
        <v>3</v>
      </c>
      <c r="Y4000" t="s">
        <v>22692</v>
      </c>
      <c r="Z4000" t="s">
        <v>28947</v>
      </c>
      <c r="AA4000">
        <v>0.74676753461350209</v>
      </c>
      <c r="AB4000" t="str">
        <f>HYPERLINK("Melting_Curves/meltCurve_Q8IUQ4_SIAH1.pdf", "Melting_Curves/meltCurve_Q8IUQ4_SIAH1.pdf")</f>
        <v>Melting_Curves/meltCurve_Q8IUQ4_SIAH1.pdf</v>
      </c>
    </row>
    <row r="4001" spans="1:28" x14ac:dyDescent="0.25">
      <c r="A4001" t="s">
        <v>4005</v>
      </c>
      <c r="B4001">
        <v>0.99987803227770999</v>
      </c>
      <c r="C4001">
        <v>0.92361886423955197</v>
      </c>
      <c r="D4001">
        <v>0.75407240677242304</v>
      </c>
      <c r="E4001">
        <v>0.67733082871242101</v>
      </c>
      <c r="F4001">
        <v>0.33135673103431901</v>
      </c>
      <c r="G4001">
        <v>0.17488556001615899</v>
      </c>
      <c r="H4001">
        <v>0.13258269755508201</v>
      </c>
      <c r="I4001">
        <v>0.10726124158841401</v>
      </c>
      <c r="J4001">
        <v>7.4046153348656302E-2</v>
      </c>
      <c r="K4001">
        <v>4.7569485677841999E-2</v>
      </c>
      <c r="L4001">
        <v>716.72718611632399</v>
      </c>
      <c r="M4001">
        <v>14.0989846384686</v>
      </c>
      <c r="N4001">
        <v>51.109649671218698</v>
      </c>
      <c r="O4001">
        <v>49.845469695601402</v>
      </c>
      <c r="P4001">
        <v>-6.8145831081687896E-2</v>
      </c>
      <c r="Q4001">
        <v>3.6434521727175803E-2</v>
      </c>
      <c r="R4001">
        <v>0.98419082606298802</v>
      </c>
      <c r="S4001" t="s">
        <v>10312</v>
      </c>
      <c r="T4001" t="s">
        <v>12620</v>
      </c>
      <c r="U4001" t="s">
        <v>12620</v>
      </c>
      <c r="V4001" t="s">
        <v>12620</v>
      </c>
      <c r="W4001" t="s">
        <v>16571</v>
      </c>
      <c r="X4001">
        <v>3</v>
      </c>
      <c r="Y4001" t="s">
        <v>22693</v>
      </c>
      <c r="Z4001" t="s">
        <v>28948</v>
      </c>
      <c r="AA4001">
        <v>0.40923388068871858</v>
      </c>
      <c r="AB4001" t="str">
        <f>HYPERLINK("Melting_Curves/meltCurve_Q8IUR0_TRAPPC5.pdf", "Melting_Curves/meltCurve_Q8IUR0_TRAPPC5.pdf")</f>
        <v>Melting_Curves/meltCurve_Q8IUR0_TRAPPC5.pdf</v>
      </c>
    </row>
    <row r="4002" spans="1:28" x14ac:dyDescent="0.25">
      <c r="A4002" t="s">
        <v>4006</v>
      </c>
      <c r="B4002">
        <v>0.99987803227770999</v>
      </c>
      <c r="C4002">
        <v>0.96362826705481397</v>
      </c>
      <c r="D4002">
        <v>0.89443533544162901</v>
      </c>
      <c r="E4002">
        <v>1.4237994404552401</v>
      </c>
      <c r="F4002">
        <v>1.0905414460199101</v>
      </c>
      <c r="G4002">
        <v>0.68008021095647198</v>
      </c>
      <c r="H4002">
        <v>0.25578223345694401</v>
      </c>
      <c r="I4002">
        <v>0.199935124385374</v>
      </c>
      <c r="J4002">
        <v>0.13975641534071501</v>
      </c>
      <c r="K4002">
        <v>0.103494723983205</v>
      </c>
      <c r="L4002">
        <v>2539.18529497381</v>
      </c>
      <c r="M4002">
        <v>43.924850403999301</v>
      </c>
      <c r="N4002">
        <v>58.279087241536899</v>
      </c>
      <c r="O4002">
        <v>57.688073300078798</v>
      </c>
      <c r="P4002">
        <v>-0.16188446030272599</v>
      </c>
      <c r="Q4002">
        <v>0.149566927641582</v>
      </c>
      <c r="R4002">
        <v>0.89460652746166502</v>
      </c>
      <c r="S4002" t="s">
        <v>10313</v>
      </c>
      <c r="T4002" t="s">
        <v>12620</v>
      </c>
      <c r="U4002" t="s">
        <v>12620</v>
      </c>
      <c r="V4002" t="s">
        <v>12620</v>
      </c>
      <c r="W4002" t="s">
        <v>16572</v>
      </c>
      <c r="X4002">
        <v>6</v>
      </c>
      <c r="Y4002" t="s">
        <v>22694</v>
      </c>
      <c r="Z4002" t="s">
        <v>28949</v>
      </c>
      <c r="AA4002">
        <v>0.65715648924961523</v>
      </c>
      <c r="AB4002" t="str">
        <f>HYPERLINK("Melting_Curves/meltCurve_Q8IUR7_7_ARMC8.pdf", "Melting_Curves/meltCurve_Q8IUR7_7_ARMC8.pdf")</f>
        <v>Melting_Curves/meltCurve_Q8IUR7_7_ARMC8.pdf</v>
      </c>
    </row>
    <row r="4003" spans="1:28" x14ac:dyDescent="0.25">
      <c r="A4003" t="s">
        <v>4007</v>
      </c>
      <c r="B4003">
        <v>0.99987803227770999</v>
      </c>
      <c r="C4003">
        <v>0.89645895610572501</v>
      </c>
      <c r="D4003">
        <v>0.96296890410468405</v>
      </c>
      <c r="E4003">
        <v>0.68089826147546295</v>
      </c>
      <c r="F4003">
        <v>0.39971622820219799</v>
      </c>
      <c r="G4003">
        <v>0.244790540191824</v>
      </c>
      <c r="H4003">
        <v>0.155850111921505</v>
      </c>
      <c r="I4003">
        <v>0.14668409010960201</v>
      </c>
      <c r="J4003">
        <v>0.14869945867787901</v>
      </c>
      <c r="K4003">
        <v>0.101938206281995</v>
      </c>
      <c r="L4003">
        <v>1065.65054566308</v>
      </c>
      <c r="M4003">
        <v>20.785468006353501</v>
      </c>
      <c r="N4003">
        <v>52.001636304081202</v>
      </c>
      <c r="O4003">
        <v>50.801536666117997</v>
      </c>
      <c r="P4003">
        <v>-8.9307057492874195E-2</v>
      </c>
      <c r="Q4003">
        <v>0.12692668251634701</v>
      </c>
      <c r="R4003">
        <v>0.99099325046979603</v>
      </c>
      <c r="S4003" t="s">
        <v>10314</v>
      </c>
      <c r="T4003" t="s">
        <v>12620</v>
      </c>
      <c r="U4003" t="s">
        <v>12620</v>
      </c>
      <c r="V4003" t="s">
        <v>12620</v>
      </c>
      <c r="W4003" t="s">
        <v>16573</v>
      </c>
      <c r="X4003">
        <v>2</v>
      </c>
      <c r="Y4003" t="s">
        <v>22695</v>
      </c>
      <c r="Z4003" t="s">
        <v>28950</v>
      </c>
      <c r="AA4003">
        <v>0.46615557882950498</v>
      </c>
      <c r="AB4003" t="str">
        <f>HYPERLINK("Melting_Curves/meltCurve_Q8IUW1_ANKRD10.pdf", "Melting_Curves/meltCurve_Q8IUW1_ANKRD10.pdf")</f>
        <v>Melting_Curves/meltCurve_Q8IUW1_ANKRD10.pdf</v>
      </c>
    </row>
    <row r="4004" spans="1:28" x14ac:dyDescent="0.25">
      <c r="A4004" t="s">
        <v>4008</v>
      </c>
      <c r="B4004">
        <v>0.99987803227770999</v>
      </c>
      <c r="C4004">
        <v>1.06280904056045</v>
      </c>
      <c r="D4004">
        <v>0.98754605669532602</v>
      </c>
      <c r="E4004">
        <v>0.80864540393012796</v>
      </c>
      <c r="F4004">
        <v>0.46741623496250101</v>
      </c>
      <c r="G4004">
        <v>0.271334785110809</v>
      </c>
      <c r="H4004">
        <v>0.15017026186442101</v>
      </c>
      <c r="I4004">
        <v>0.105103767030582</v>
      </c>
      <c r="J4004">
        <v>7.9786585883023398E-2</v>
      </c>
      <c r="K4004">
        <v>5.6569568018992898E-2</v>
      </c>
      <c r="L4004">
        <v>1154.76563113877</v>
      </c>
      <c r="M4004">
        <v>21.9045370809811</v>
      </c>
      <c r="N4004">
        <v>53.155865888362896</v>
      </c>
      <c r="O4004">
        <v>52.284620253317897</v>
      </c>
      <c r="P4004">
        <v>-9.6095299536466297E-2</v>
      </c>
      <c r="Q4004">
        <v>8.2529410368673103E-2</v>
      </c>
      <c r="R4004">
        <v>0.99299662910908304</v>
      </c>
      <c r="S4004" t="s">
        <v>10315</v>
      </c>
      <c r="T4004" t="s">
        <v>12620</v>
      </c>
      <c r="U4004" t="s">
        <v>12620</v>
      </c>
      <c r="V4004" t="s">
        <v>12620</v>
      </c>
      <c r="W4004" t="s">
        <v>16574</v>
      </c>
      <c r="X4004">
        <v>7</v>
      </c>
      <c r="Y4004" t="s">
        <v>22696</v>
      </c>
      <c r="Z4004" t="s">
        <v>28951</v>
      </c>
      <c r="AA4004">
        <v>0.48224497446220799</v>
      </c>
      <c r="AB4004" t="str">
        <f>HYPERLINK("Melting_Curves/meltCurve_Q8IV08_PLD3.pdf", "Melting_Curves/meltCurve_Q8IV08_PLD3.pdf")</f>
        <v>Melting_Curves/meltCurve_Q8IV08_PLD3.pdf</v>
      </c>
    </row>
    <row r="4005" spans="1:28" x14ac:dyDescent="0.25">
      <c r="A4005" t="s">
        <v>4009</v>
      </c>
      <c r="B4005">
        <v>0.99987803227770999</v>
      </c>
      <c r="C4005">
        <v>1.01720052817142</v>
      </c>
      <c r="D4005">
        <v>0.99757462697132404</v>
      </c>
      <c r="E4005">
        <v>0.90538476631806497</v>
      </c>
      <c r="F4005">
        <v>0.85960017159054303</v>
      </c>
      <c r="G4005">
        <v>0.61550859769800104</v>
      </c>
      <c r="H4005">
        <v>0.37694711945306097</v>
      </c>
      <c r="I4005">
        <v>0.293095821364457</v>
      </c>
      <c r="J4005">
        <v>0.14178636799650099</v>
      </c>
      <c r="K4005">
        <v>5.4365947447696697E-2</v>
      </c>
      <c r="L4005">
        <v>859.82431936049102</v>
      </c>
      <c r="M4005">
        <v>14.5576373094851</v>
      </c>
      <c r="N4005">
        <v>59.063452733202801</v>
      </c>
      <c r="O4005">
        <v>57.982493794277701</v>
      </c>
      <c r="P4005">
        <v>-6.2774507330881996E-2</v>
      </c>
      <c r="Q4005">
        <v>0</v>
      </c>
      <c r="R4005">
        <v>0.99545415835963602</v>
      </c>
      <c r="S4005" t="s">
        <v>10316</v>
      </c>
      <c r="T4005" t="s">
        <v>12620</v>
      </c>
      <c r="U4005" t="s">
        <v>12620</v>
      </c>
      <c r="V4005" t="s">
        <v>12620</v>
      </c>
      <c r="W4005" t="s">
        <v>16575</v>
      </c>
      <c r="X4005">
        <v>2</v>
      </c>
      <c r="Y4005" t="s">
        <v>22697</v>
      </c>
      <c r="Z4005" t="s">
        <v>28952</v>
      </c>
      <c r="AA4005">
        <v>0.64553787038885202</v>
      </c>
      <c r="AB4005" t="str">
        <f>HYPERLINK("Melting_Curves/meltCurve_Q8IV20_LACC1.pdf", "Melting_Curves/meltCurve_Q8IV20_LACC1.pdf")</f>
        <v>Melting_Curves/meltCurve_Q8IV20_LACC1.pdf</v>
      </c>
    </row>
    <row r="4006" spans="1:28" x14ac:dyDescent="0.25">
      <c r="A4006" t="s">
        <v>4010</v>
      </c>
      <c r="B4006">
        <v>0.99987803227770999</v>
      </c>
      <c r="C4006">
        <v>0.93877923687316001</v>
      </c>
      <c r="D4006">
        <v>0.92982438170954296</v>
      </c>
      <c r="E4006">
        <v>0.88075653135657495</v>
      </c>
      <c r="F4006">
        <v>0.59781547298108595</v>
      </c>
      <c r="G4006">
        <v>0.19320276916999299</v>
      </c>
      <c r="H4006">
        <v>0.137539825510791</v>
      </c>
      <c r="I4006">
        <v>0.119856122950071</v>
      </c>
      <c r="J4006">
        <v>0.117783037771709</v>
      </c>
      <c r="K4006">
        <v>8.1499348923673401E-2</v>
      </c>
      <c r="L4006">
        <v>1562.8168405988499</v>
      </c>
      <c r="M4006">
        <v>29.339250136055401</v>
      </c>
      <c r="N4006">
        <v>53.686618345663497</v>
      </c>
      <c r="O4006">
        <v>53.021476309186198</v>
      </c>
      <c r="P4006">
        <v>-0.12416634312527899</v>
      </c>
      <c r="Q4006">
        <v>0.10243977862022099</v>
      </c>
      <c r="R4006">
        <v>0.99377402219278699</v>
      </c>
      <c r="S4006" t="s">
        <v>10317</v>
      </c>
      <c r="T4006" t="s">
        <v>12620</v>
      </c>
      <c r="U4006" t="s">
        <v>12620</v>
      </c>
      <c r="V4006" t="s">
        <v>12620</v>
      </c>
      <c r="W4006" t="s">
        <v>16576</v>
      </c>
      <c r="X4006">
        <v>4</v>
      </c>
      <c r="Y4006" t="s">
        <v>22698</v>
      </c>
      <c r="Z4006" t="s">
        <v>28953</v>
      </c>
      <c r="AA4006">
        <v>0.50547492126638693</v>
      </c>
      <c r="AB4006" t="str">
        <f>HYPERLINK("Melting_Curves/meltCurve_Q8IV36_3_HID1.pdf", "Melting_Curves/meltCurve_Q8IV36_3_HID1.pdf")</f>
        <v>Melting_Curves/meltCurve_Q8IV36_3_HID1.pdf</v>
      </c>
    </row>
    <row r="4007" spans="1:28" x14ac:dyDescent="0.25">
      <c r="A4007" t="s">
        <v>4011</v>
      </c>
      <c r="B4007">
        <v>0.99987803227770999</v>
      </c>
      <c r="C4007">
        <v>0.96384021205149295</v>
      </c>
      <c r="D4007">
        <v>1.04126890621421</v>
      </c>
      <c r="E4007">
        <v>0.75605821166604703</v>
      </c>
      <c r="F4007">
        <v>0.230733551636642</v>
      </c>
      <c r="G4007">
        <v>0.110829726312121</v>
      </c>
      <c r="H4007">
        <v>6.0306170518712801E-2</v>
      </c>
      <c r="I4007">
        <v>4.4124662006760199E-2</v>
      </c>
      <c r="J4007">
        <v>4.4395024856441201E-2</v>
      </c>
      <c r="K4007">
        <v>3.1644124608105201E-2</v>
      </c>
      <c r="L4007">
        <v>2215.4776114543001</v>
      </c>
      <c r="M4007">
        <v>43.247458900754403</v>
      </c>
      <c r="N4007">
        <v>51.3660538037348</v>
      </c>
      <c r="O4007">
        <v>51.118755766091198</v>
      </c>
      <c r="P4007">
        <v>-0.199894722190612</v>
      </c>
      <c r="Q4007">
        <v>5.4894383269377497E-2</v>
      </c>
      <c r="R4007">
        <v>0.996503001143486</v>
      </c>
      <c r="S4007" t="s">
        <v>10318</v>
      </c>
      <c r="T4007" t="s">
        <v>12620</v>
      </c>
      <c r="U4007" t="s">
        <v>12620</v>
      </c>
      <c r="V4007" t="s">
        <v>12620</v>
      </c>
      <c r="W4007" t="s">
        <v>16577</v>
      </c>
      <c r="X4007">
        <v>7</v>
      </c>
      <c r="Y4007" t="s">
        <v>22699</v>
      </c>
      <c r="Z4007" t="s">
        <v>28954</v>
      </c>
      <c r="AA4007">
        <v>0.4114730606551012</v>
      </c>
      <c r="AB4007" t="str">
        <f>HYPERLINK("Melting_Curves/meltCurve_Q8IV38_ANKMY2.pdf", "Melting_Curves/meltCurve_Q8IV38_ANKMY2.pdf")</f>
        <v>Melting_Curves/meltCurve_Q8IV38_ANKMY2.pdf</v>
      </c>
    </row>
    <row r="4008" spans="1:28" x14ac:dyDescent="0.25">
      <c r="A4008" t="s">
        <v>4012</v>
      </c>
      <c r="B4008">
        <v>0.99987803227770999</v>
      </c>
      <c r="C4008">
        <v>0.80022515954732798</v>
      </c>
      <c r="D4008">
        <v>0.48429354350319398</v>
      </c>
      <c r="E4008">
        <v>0.43460244485175997</v>
      </c>
      <c r="F4008">
        <v>0.32426692193382001</v>
      </c>
      <c r="G4008">
        <v>0.19971638976537801</v>
      </c>
      <c r="H4008">
        <v>0.176082735927823</v>
      </c>
      <c r="I4008">
        <v>0.16086180482481499</v>
      </c>
      <c r="J4008">
        <v>0.14950325936721501</v>
      </c>
      <c r="K4008">
        <v>0.11024412405370899</v>
      </c>
      <c r="L4008">
        <v>612.80840259249203</v>
      </c>
      <c r="M4008">
        <v>13.185903037408799</v>
      </c>
      <c r="N4008">
        <v>47.624296081915901</v>
      </c>
      <c r="O4008">
        <v>45.444588051936897</v>
      </c>
      <c r="P4008">
        <v>-6.2659943496564494E-2</v>
      </c>
      <c r="Q4008">
        <v>0.136326310545381</v>
      </c>
      <c r="R4008">
        <v>0.96637437906794998</v>
      </c>
      <c r="S4008" t="s">
        <v>10319</v>
      </c>
      <c r="T4008" t="s">
        <v>12620</v>
      </c>
      <c r="U4008" t="s">
        <v>12620</v>
      </c>
      <c r="V4008" t="s">
        <v>12620</v>
      </c>
      <c r="W4008" t="s">
        <v>16578</v>
      </c>
      <c r="X4008">
        <v>2</v>
      </c>
      <c r="Y4008" t="s">
        <v>22700</v>
      </c>
      <c r="Z4008" t="s">
        <v>28955</v>
      </c>
      <c r="AA4008">
        <v>0.35428370240048629</v>
      </c>
      <c r="AB4008" t="str">
        <f>HYPERLINK("Melting_Curves/meltCurve_Q8IV48_ERI1.pdf", "Melting_Curves/meltCurve_Q8IV48_ERI1.pdf")</f>
        <v>Melting_Curves/meltCurve_Q8IV48_ERI1.pdf</v>
      </c>
    </row>
    <row r="4009" spans="1:28" x14ac:dyDescent="0.25">
      <c r="A4009" t="s">
        <v>4013</v>
      </c>
      <c r="B4009">
        <v>0.99987803227770999</v>
      </c>
      <c r="C4009">
        <v>0.89503630964792202</v>
      </c>
      <c r="D4009">
        <v>1.0213742641400401</v>
      </c>
      <c r="E4009">
        <v>0.86427929869157605</v>
      </c>
      <c r="F4009">
        <v>0.93913889739574596</v>
      </c>
      <c r="G4009">
        <v>0.68729041616035302</v>
      </c>
      <c r="H4009">
        <v>0.74618060366528405</v>
      </c>
      <c r="I4009">
        <v>0.78671079585437398</v>
      </c>
      <c r="J4009">
        <v>0.67623058612957399</v>
      </c>
      <c r="K4009">
        <v>0.58242428734187301</v>
      </c>
      <c r="L4009">
        <v>310.908270092782</v>
      </c>
      <c r="M4009">
        <v>4.1190519302750301</v>
      </c>
      <c r="O4009">
        <v>62.5347954518978</v>
      </c>
      <c r="P4009">
        <v>-1.51541996403649E-2</v>
      </c>
      <c r="Q4009">
        <v>9.0362849097748998E-2</v>
      </c>
      <c r="R4009">
        <v>0.78694069192090299</v>
      </c>
      <c r="S4009" t="s">
        <v>10320</v>
      </c>
      <c r="T4009" t="s">
        <v>12620</v>
      </c>
      <c r="U4009" t="s">
        <v>12620</v>
      </c>
      <c r="V4009" t="s">
        <v>12620</v>
      </c>
      <c r="W4009" t="s">
        <v>16579</v>
      </c>
      <c r="X4009">
        <v>6</v>
      </c>
      <c r="Y4009" t="s">
        <v>22701</v>
      </c>
      <c r="Z4009" t="s">
        <v>28956</v>
      </c>
      <c r="AA4009">
        <v>0.82424738692239397</v>
      </c>
      <c r="AB4009" t="str">
        <f>HYPERLINK("Melting_Curves/meltCurve_Q8IV50_LYSMD2.pdf", "Melting_Curves/meltCurve_Q8IV50_LYSMD2.pdf")</f>
        <v>Melting_Curves/meltCurve_Q8IV50_LYSMD2.pdf</v>
      </c>
    </row>
    <row r="4010" spans="1:28" x14ac:dyDescent="0.25">
      <c r="A4010" t="s">
        <v>4014</v>
      </c>
      <c r="B4010">
        <v>0.99987803227770999</v>
      </c>
      <c r="C4010">
        <v>0.990622135220664</v>
      </c>
      <c r="D4010">
        <v>1.0167608885239401</v>
      </c>
      <c r="E4010">
        <v>0.725347332973582</v>
      </c>
      <c r="F4010">
        <v>0.43470628355218699</v>
      </c>
      <c r="G4010">
        <v>0.245349193743962</v>
      </c>
      <c r="H4010">
        <v>0.14416747447186401</v>
      </c>
      <c r="I4010">
        <v>0.16773653447157499</v>
      </c>
      <c r="J4010">
        <v>9.3091418673885207E-2</v>
      </c>
      <c r="K4010">
        <v>6.3142365688153804E-2</v>
      </c>
      <c r="L4010">
        <v>1177.6686473928401</v>
      </c>
      <c r="M4010">
        <v>22.681073056739301</v>
      </c>
      <c r="N4010">
        <v>52.490119848520401</v>
      </c>
      <c r="O4010">
        <v>51.524402451723297</v>
      </c>
      <c r="P4010">
        <v>-9.8092520020998594E-2</v>
      </c>
      <c r="Q4010">
        <v>0.108673998696135</v>
      </c>
      <c r="R4010">
        <v>0.99291388172875095</v>
      </c>
      <c r="S4010" t="s">
        <v>10321</v>
      </c>
      <c r="T4010" t="s">
        <v>12620</v>
      </c>
      <c r="U4010" t="s">
        <v>12620</v>
      </c>
      <c r="V4010" t="s">
        <v>12620</v>
      </c>
      <c r="W4010" t="s">
        <v>16580</v>
      </c>
      <c r="X4010">
        <v>4</v>
      </c>
      <c r="Y4010" t="s">
        <v>22702</v>
      </c>
      <c r="Z4010" t="s">
        <v>28957</v>
      </c>
      <c r="AA4010">
        <v>0.47270343489333011</v>
      </c>
      <c r="AB4010" t="str">
        <f>HYPERLINK("Melting_Curves/meltCurve_Q8IV63_3_VRK3.pdf", "Melting_Curves/meltCurve_Q8IV63_3_VRK3.pdf")</f>
        <v>Melting_Curves/meltCurve_Q8IV63_3_VRK3.pdf</v>
      </c>
    </row>
    <row r="4011" spans="1:28" x14ac:dyDescent="0.25">
      <c r="A4011" t="s">
        <v>4015</v>
      </c>
      <c r="B4011">
        <v>0.99987803227770999</v>
      </c>
      <c r="C4011">
        <v>7.5156902768273595E-2</v>
      </c>
      <c r="D4011">
        <v>0.62836170247348699</v>
      </c>
      <c r="E4011">
        <v>0.25489632661540801</v>
      </c>
      <c r="F4011">
        <v>0.18238892195168799</v>
      </c>
      <c r="G4011">
        <v>9.4307886482410896E-2</v>
      </c>
      <c r="H4011">
        <v>9.5544465625974503E-2</v>
      </c>
      <c r="I4011">
        <v>9.5637920085885203E-2</v>
      </c>
      <c r="J4011">
        <v>6.9726785605672303E-2</v>
      </c>
      <c r="K4011">
        <v>4.5365712014735299E-2</v>
      </c>
      <c r="L4011">
        <v>488.81153834102201</v>
      </c>
      <c r="M4011">
        <v>11.344784462661799</v>
      </c>
      <c r="N4011">
        <v>43.6276027850395</v>
      </c>
      <c r="O4011">
        <v>41.813243420472098</v>
      </c>
      <c r="P4011">
        <v>-6.3400533659048297E-2</v>
      </c>
      <c r="Q4011">
        <v>6.5583063675726597E-2</v>
      </c>
      <c r="R4011">
        <v>0.58906480513732595</v>
      </c>
      <c r="S4011" t="s">
        <v>10322</v>
      </c>
      <c r="T4011" t="s">
        <v>12620</v>
      </c>
      <c r="U4011" t="s">
        <v>12620</v>
      </c>
      <c r="V4011" t="s">
        <v>12620</v>
      </c>
      <c r="W4011" t="s">
        <v>16581</v>
      </c>
      <c r="X4011">
        <v>2</v>
      </c>
      <c r="Y4011" t="s">
        <v>22703</v>
      </c>
      <c r="Z4011" t="s">
        <v>28958</v>
      </c>
      <c r="AA4011">
        <v>0.22544522599894359</v>
      </c>
      <c r="AB4011" t="str">
        <f>HYPERLINK("Melting_Curves/meltCurve_Q8IVB5_LIX1L.pdf", "Melting_Curves/meltCurve_Q8IVB5_LIX1L.pdf")</f>
        <v>Melting_Curves/meltCurve_Q8IVB5_LIX1L.pdf</v>
      </c>
    </row>
    <row r="4012" spans="1:28" x14ac:dyDescent="0.25">
      <c r="A4012" t="s">
        <v>4016</v>
      </c>
      <c r="B4012">
        <v>0.99987803227770999</v>
      </c>
      <c r="C4012">
        <v>0.956613180400256</v>
      </c>
      <c r="D4012">
        <v>1.03837857888496</v>
      </c>
      <c r="E4012">
        <v>0.859897829894539</v>
      </c>
      <c r="F4012">
        <v>0.60415633125249302</v>
      </c>
      <c r="G4012">
        <v>0.28578733735015499</v>
      </c>
      <c r="H4012">
        <v>0.158210211418637</v>
      </c>
      <c r="I4012">
        <v>0.13769817061199699</v>
      </c>
      <c r="J4012">
        <v>8.7383550992685605E-2</v>
      </c>
      <c r="K4012">
        <v>6.24483566593282E-2</v>
      </c>
      <c r="L4012">
        <v>1207.22979376281</v>
      </c>
      <c r="M4012">
        <v>22.455328007960301</v>
      </c>
      <c r="N4012">
        <v>54.213989624649201</v>
      </c>
      <c r="O4012">
        <v>53.340477885049403</v>
      </c>
      <c r="P4012">
        <v>-9.6251903741599198E-2</v>
      </c>
      <c r="Q4012">
        <v>8.5470172199682198E-2</v>
      </c>
      <c r="R4012">
        <v>0.99545259844278899</v>
      </c>
      <c r="S4012" t="s">
        <v>10323</v>
      </c>
      <c r="T4012" t="s">
        <v>12620</v>
      </c>
      <c r="U4012" t="s">
        <v>12620</v>
      </c>
      <c r="V4012" t="s">
        <v>12620</v>
      </c>
      <c r="W4012" t="s">
        <v>16582</v>
      </c>
      <c r="X4012">
        <v>14</v>
      </c>
      <c r="Y4012" t="s">
        <v>22704</v>
      </c>
      <c r="Z4012" t="s">
        <v>28959</v>
      </c>
      <c r="AA4012">
        <v>0.51522911809612315</v>
      </c>
      <c r="AB4012" t="str">
        <f>HYPERLINK("Melting_Curves/meltCurve_Q8IVD9_NUDCD3.pdf", "Melting_Curves/meltCurve_Q8IVD9_NUDCD3.pdf")</f>
        <v>Melting_Curves/meltCurve_Q8IVD9_NUDCD3.pdf</v>
      </c>
    </row>
    <row r="4013" spans="1:28" x14ac:dyDescent="0.25">
      <c r="A4013" t="s">
        <v>4017</v>
      </c>
      <c r="B4013">
        <v>0.99987803227770999</v>
      </c>
      <c r="C4013">
        <v>1.0658839127878801</v>
      </c>
      <c r="D4013">
        <v>1.0112872336032701</v>
      </c>
      <c r="E4013">
        <v>1.06400607224581</v>
      </c>
      <c r="F4013">
        <v>1.0154388007709501</v>
      </c>
      <c r="G4013">
        <v>1.1133481307902899</v>
      </c>
      <c r="H4013">
        <v>1.2043115059082601</v>
      </c>
      <c r="I4013">
        <v>1.2113299662397801</v>
      </c>
      <c r="J4013">
        <v>1.1230734613478801</v>
      </c>
      <c r="K4013">
        <v>0.81707022628749304</v>
      </c>
      <c r="L4013">
        <v>658.29278150652999</v>
      </c>
      <c r="M4013">
        <v>14.2608399213265</v>
      </c>
      <c r="O4013">
        <v>45.281653666155101</v>
      </c>
      <c r="P4013">
        <v>6.6263717113990896E-3</v>
      </c>
      <c r="Q4013">
        <v>1.0841510151818099</v>
      </c>
      <c r="R4013">
        <v>5.0321510189547197E-2</v>
      </c>
      <c r="S4013" t="s">
        <v>10324</v>
      </c>
      <c r="T4013" t="s">
        <v>12620</v>
      </c>
      <c r="U4013" t="s">
        <v>12620</v>
      </c>
      <c r="V4013" t="s">
        <v>12620</v>
      </c>
      <c r="W4013" t="s">
        <v>16583</v>
      </c>
      <c r="X4013">
        <v>189</v>
      </c>
      <c r="Y4013" t="s">
        <v>22705</v>
      </c>
      <c r="Z4013" t="s">
        <v>28960</v>
      </c>
      <c r="AA4013">
        <v>1.064175604106794</v>
      </c>
      <c r="AB4013" t="str">
        <f>HYPERLINK("Melting_Curves/meltCurve_Q8IVF2_3_AHNAK2.pdf", "Melting_Curves/meltCurve_Q8IVF2_3_AHNAK2.pdf")</f>
        <v>Melting_Curves/meltCurve_Q8IVF2_3_AHNAK2.pdf</v>
      </c>
    </row>
    <row r="4014" spans="1:28" x14ac:dyDescent="0.25">
      <c r="A4014" t="s">
        <v>4018</v>
      </c>
      <c r="B4014">
        <v>0.99987803227770999</v>
      </c>
      <c r="C4014">
        <v>0.74484012375720698</v>
      </c>
      <c r="D4014">
        <v>0.464110778323095</v>
      </c>
      <c r="E4014">
        <v>0.75008257273760204</v>
      </c>
      <c r="F4014">
        <v>0.45511195027777801</v>
      </c>
      <c r="G4014">
        <v>0.37234629892378202</v>
      </c>
      <c r="H4014">
        <v>0.55884457145851096</v>
      </c>
      <c r="I4014">
        <v>0.31769905862825798</v>
      </c>
      <c r="J4014">
        <v>0.107004764983606</v>
      </c>
      <c r="K4014">
        <v>1.6284367959646599E-2</v>
      </c>
      <c r="L4014">
        <v>311.36278941919898</v>
      </c>
      <c r="M4014">
        <v>5.8978662831979403</v>
      </c>
      <c r="N4014">
        <v>52.792446200370399</v>
      </c>
      <c r="O4014">
        <v>47.6770429585792</v>
      </c>
      <c r="P4014">
        <v>-3.1032596992830001E-2</v>
      </c>
      <c r="Q4014">
        <v>0</v>
      </c>
      <c r="R4014">
        <v>0.73410716925980002</v>
      </c>
      <c r="S4014" t="s">
        <v>10325</v>
      </c>
      <c r="T4014" t="s">
        <v>12620</v>
      </c>
      <c r="U4014" t="s">
        <v>12620</v>
      </c>
      <c r="V4014" t="s">
        <v>12620</v>
      </c>
      <c r="W4014" t="s">
        <v>16584</v>
      </c>
      <c r="X4014">
        <v>1</v>
      </c>
      <c r="Y4014" t="s">
        <v>22706</v>
      </c>
      <c r="Z4014" t="s">
        <v>28961</v>
      </c>
      <c r="AA4014">
        <v>0.47668640302789128</v>
      </c>
      <c r="AB4014" t="str">
        <f>HYPERLINK("Melting_Curves/meltCurve_Q8IVF6_ANKRD18A.pdf", "Melting_Curves/meltCurve_Q8IVF6_ANKRD18A.pdf")</f>
        <v>Melting_Curves/meltCurve_Q8IVF6_ANKRD18A.pdf</v>
      </c>
    </row>
    <row r="4015" spans="1:28" x14ac:dyDescent="0.25">
      <c r="A4015" t="s">
        <v>4019</v>
      </c>
      <c r="B4015">
        <v>0.99987803227770999</v>
      </c>
      <c r="C4015">
        <v>0.82792185197586998</v>
      </c>
      <c r="D4015">
        <v>1.18265437585513</v>
      </c>
      <c r="E4015">
        <v>0.83800354818550304</v>
      </c>
      <c r="F4015">
        <v>0.63453805478481196</v>
      </c>
      <c r="G4015">
        <v>0.51730220001823601</v>
      </c>
      <c r="H4015">
        <v>0.35075548149875202</v>
      </c>
      <c r="I4015">
        <v>0.49143191902086703</v>
      </c>
      <c r="J4015">
        <v>0.38573572245445098</v>
      </c>
      <c r="K4015">
        <v>0.327492078709538</v>
      </c>
      <c r="L4015">
        <v>1377.8018025761901</v>
      </c>
      <c r="M4015">
        <v>26.2907225714888</v>
      </c>
      <c r="N4015">
        <v>55.681598005142597</v>
      </c>
      <c r="O4015">
        <v>52.106004754850503</v>
      </c>
      <c r="P4015">
        <v>-7.6505481082513704E-2</v>
      </c>
      <c r="Q4015">
        <v>0.39349692615939202</v>
      </c>
      <c r="R4015">
        <v>0.88554576822895603</v>
      </c>
      <c r="S4015" t="s">
        <v>10326</v>
      </c>
      <c r="T4015" t="s">
        <v>12620</v>
      </c>
      <c r="U4015" t="s">
        <v>12620</v>
      </c>
      <c r="V4015" t="s">
        <v>12620</v>
      </c>
      <c r="W4015" t="s">
        <v>16585</v>
      </c>
      <c r="X4015">
        <v>1</v>
      </c>
      <c r="Y4015" t="s">
        <v>22707</v>
      </c>
      <c r="Z4015" t="s">
        <v>28962</v>
      </c>
      <c r="AA4015">
        <v>0.64936019807581269</v>
      </c>
      <c r="AB4015" t="str">
        <f>HYPERLINK("Melting_Curves/meltCurve_Q8IVH2_3_FOXP4.pdf", "Melting_Curves/meltCurve_Q8IVH2_3_FOXP4.pdf")</f>
        <v>Melting_Curves/meltCurve_Q8IVH2_3_FOXP4.pdf</v>
      </c>
    </row>
    <row r="4016" spans="1:28" x14ac:dyDescent="0.25">
      <c r="A4016" t="s">
        <v>4020</v>
      </c>
      <c r="B4016">
        <v>0.99987803227770999</v>
      </c>
      <c r="C4016">
        <v>0.99909774570862897</v>
      </c>
      <c r="D4016">
        <v>0.86604085682078102</v>
      </c>
      <c r="E4016">
        <v>0.67652467210286404</v>
      </c>
      <c r="F4016">
        <v>0.50481924596986205</v>
      </c>
      <c r="G4016">
        <v>0.34065348091636299</v>
      </c>
      <c r="H4016">
        <v>0.20129424153643999</v>
      </c>
      <c r="I4016">
        <v>0.18206724889779899</v>
      </c>
      <c r="J4016">
        <v>8.4413384539404501E-2</v>
      </c>
      <c r="K4016">
        <v>6.9569036957893293E-2</v>
      </c>
      <c r="L4016">
        <v>649.68555471960099</v>
      </c>
      <c r="M4016">
        <v>12.250444927304001</v>
      </c>
      <c r="N4016">
        <v>53.379306706972898</v>
      </c>
      <c r="O4016">
        <v>51.679837007101703</v>
      </c>
      <c r="P4016">
        <v>-5.7014219650268802E-2</v>
      </c>
      <c r="Q4016">
        <v>3.8131237594603101E-2</v>
      </c>
      <c r="R4016">
        <v>0.99535179748278002</v>
      </c>
      <c r="S4016" t="s">
        <v>10327</v>
      </c>
      <c r="T4016" t="s">
        <v>12620</v>
      </c>
      <c r="U4016" t="s">
        <v>12620</v>
      </c>
      <c r="V4016" t="s">
        <v>12620</v>
      </c>
      <c r="W4016" t="s">
        <v>16586</v>
      </c>
      <c r="X4016">
        <v>5</v>
      </c>
      <c r="Y4016" t="s">
        <v>22708</v>
      </c>
      <c r="Z4016" t="s">
        <v>28963</v>
      </c>
      <c r="AA4016">
        <v>0.48270587523090208</v>
      </c>
      <c r="AB4016" t="str">
        <f>HYPERLINK("Melting_Curves/meltCurve_Q8IVH8_3_MAP4K3.pdf", "Melting_Curves/meltCurve_Q8IVH8_3_MAP4K3.pdf")</f>
        <v>Melting_Curves/meltCurve_Q8IVH8_3_MAP4K3.pdf</v>
      </c>
    </row>
    <row r="4017" spans="1:28" x14ac:dyDescent="0.25">
      <c r="A4017" t="s">
        <v>4021</v>
      </c>
      <c r="B4017">
        <v>0.99987803227770999</v>
      </c>
      <c r="C4017">
        <v>0.81242905335261395</v>
      </c>
      <c r="D4017">
        <v>0.90802778111868099</v>
      </c>
      <c r="E4017">
        <v>0.74135522205007698</v>
      </c>
      <c r="F4017">
        <v>0.91666898600824698</v>
      </c>
      <c r="G4017">
        <v>0.69768825067156204</v>
      </c>
      <c r="H4017">
        <v>0.74693169187616104</v>
      </c>
      <c r="I4017">
        <v>0.68881670228691105</v>
      </c>
      <c r="J4017">
        <v>0.70777645171334702</v>
      </c>
      <c r="K4017">
        <v>0.622063288442675</v>
      </c>
      <c r="L4017">
        <v>198.136769470638</v>
      </c>
      <c r="M4017">
        <v>2.7832547087610502</v>
      </c>
      <c r="O4017">
        <v>50.647596438735803</v>
      </c>
      <c r="P4017">
        <v>-1.0230254532604999E-2</v>
      </c>
      <c r="Q4017">
        <v>0.28275188251539701</v>
      </c>
      <c r="R4017">
        <v>0.67624586888956095</v>
      </c>
      <c r="S4017" t="s">
        <v>10328</v>
      </c>
      <c r="T4017" t="s">
        <v>12620</v>
      </c>
      <c r="U4017" t="s">
        <v>12620</v>
      </c>
      <c r="V4017" t="s">
        <v>12620</v>
      </c>
      <c r="W4017" t="s">
        <v>16587</v>
      </c>
      <c r="X4017">
        <v>11</v>
      </c>
      <c r="Y4017" t="s">
        <v>22709</v>
      </c>
      <c r="Z4017" t="s">
        <v>28964</v>
      </c>
      <c r="AA4017">
        <v>0.78370320433677276</v>
      </c>
      <c r="AB4017" t="str">
        <f>HYPERLINK("Melting_Curves/meltCurve_Q8IVL1_4_NAV2.pdf", "Melting_Curves/meltCurve_Q8IVL1_4_NAV2.pdf")</f>
        <v>Melting_Curves/meltCurve_Q8IVL1_4_NAV2.pdf</v>
      </c>
    </row>
    <row r="4018" spans="1:28" x14ac:dyDescent="0.25">
      <c r="A4018" t="s">
        <v>4022</v>
      </c>
      <c r="B4018">
        <v>0.99987803227770999</v>
      </c>
      <c r="C4018">
        <v>0.97469316173495901</v>
      </c>
      <c r="D4018">
        <v>0.67350298514901097</v>
      </c>
      <c r="E4018">
        <v>0.65213393832717204</v>
      </c>
      <c r="F4018">
        <v>0.414501258778117</v>
      </c>
      <c r="G4018">
        <v>0.24499836013558801</v>
      </c>
      <c r="H4018">
        <v>0.188692194555385</v>
      </c>
      <c r="I4018">
        <v>0.176188690013869</v>
      </c>
      <c r="J4018">
        <v>0.10805213162888699</v>
      </c>
      <c r="K4018">
        <v>7.8491540091622194E-2</v>
      </c>
      <c r="L4018">
        <v>588.19186209802297</v>
      </c>
      <c r="M4018">
        <v>11.5402018944145</v>
      </c>
      <c r="N4018">
        <v>51.523959134101297</v>
      </c>
      <c r="O4018">
        <v>49.510548912062703</v>
      </c>
      <c r="P4018">
        <v>-5.4880993849172797E-2</v>
      </c>
      <c r="Q4018">
        <v>5.8447707028131998E-2</v>
      </c>
      <c r="R4018">
        <v>0.97508171687703005</v>
      </c>
      <c r="S4018" t="s">
        <v>10329</v>
      </c>
      <c r="T4018" t="s">
        <v>12620</v>
      </c>
      <c r="U4018" t="s">
        <v>12620</v>
      </c>
      <c r="V4018" t="s">
        <v>12620</v>
      </c>
      <c r="W4018" t="s">
        <v>16588</v>
      </c>
      <c r="X4018">
        <v>6</v>
      </c>
      <c r="Y4018" t="s">
        <v>22710</v>
      </c>
      <c r="Z4018" t="s">
        <v>28965</v>
      </c>
      <c r="AA4018">
        <v>0.43522331024406002</v>
      </c>
      <c r="AB4018" t="str">
        <f>HYPERLINK("Melting_Curves/meltCurve_Q8IVL5_LEPREL1.pdf", "Melting_Curves/meltCurve_Q8IVL5_LEPREL1.pdf")</f>
        <v>Melting_Curves/meltCurve_Q8IVL5_LEPREL1.pdf</v>
      </c>
    </row>
    <row r="4019" spans="1:28" x14ac:dyDescent="0.25">
      <c r="A4019" t="s">
        <v>4023</v>
      </c>
      <c r="B4019">
        <v>0.99987803227770999</v>
      </c>
      <c r="C4019">
        <v>0.85025595650982599</v>
      </c>
      <c r="D4019">
        <v>0.97528135104667601</v>
      </c>
      <c r="E4019">
        <v>0.84384598152818202</v>
      </c>
      <c r="F4019">
        <v>0.957472363447891</v>
      </c>
      <c r="G4019">
        <v>0.78139104804677695</v>
      </c>
      <c r="H4019">
        <v>0.85812625525195396</v>
      </c>
      <c r="I4019">
        <v>0.77042450369765803</v>
      </c>
      <c r="J4019">
        <v>0.82938171420638096</v>
      </c>
      <c r="K4019">
        <v>0.686286838731472</v>
      </c>
      <c r="L4019">
        <v>196.39615961561901</v>
      </c>
      <c r="M4019">
        <v>1.74834213844</v>
      </c>
      <c r="O4019">
        <v>61.202412300971602</v>
      </c>
      <c r="P4019">
        <v>-8.0162357074394404E-3</v>
      </c>
      <c r="Q4019">
        <v>0</v>
      </c>
      <c r="R4019">
        <v>0.588135657433982</v>
      </c>
      <c r="S4019" t="s">
        <v>10330</v>
      </c>
      <c r="T4019" t="s">
        <v>12620</v>
      </c>
      <c r="U4019" t="s">
        <v>12620</v>
      </c>
      <c r="V4019" t="s">
        <v>12620</v>
      </c>
      <c r="W4019" t="s">
        <v>16589</v>
      </c>
      <c r="X4019">
        <v>17</v>
      </c>
      <c r="Y4019" t="s">
        <v>22711</v>
      </c>
      <c r="Z4019" t="s">
        <v>28966</v>
      </c>
      <c r="AA4019">
        <v>0.85761079072879443</v>
      </c>
      <c r="AB4019" t="str">
        <f>HYPERLINK("Melting_Curves/meltCurve_Q8IVM0_CCDC50.pdf", "Melting_Curves/meltCurve_Q8IVM0_CCDC50.pdf")</f>
        <v>Melting_Curves/meltCurve_Q8IVM0_CCDC50.pdf</v>
      </c>
    </row>
    <row r="4020" spans="1:28" x14ac:dyDescent="0.25">
      <c r="A4020" t="s">
        <v>4024</v>
      </c>
      <c r="B4020">
        <v>0.99987803227770999</v>
      </c>
      <c r="C4020">
        <v>1.0798762517529501</v>
      </c>
      <c r="D4020">
        <v>1.0511529556200301</v>
      </c>
      <c r="E4020">
        <v>1.06743509605762</v>
      </c>
      <c r="F4020">
        <v>0.821317160108329</v>
      </c>
      <c r="G4020">
        <v>0.43480255321349098</v>
      </c>
      <c r="H4020">
        <v>0.19702560804771899</v>
      </c>
      <c r="I4020">
        <v>0.102569699920466</v>
      </c>
      <c r="J4020">
        <v>4.7100430933991203E-2</v>
      </c>
      <c r="K4020">
        <v>2.92109869773437E-2</v>
      </c>
      <c r="L4020">
        <v>1472.5458414161501</v>
      </c>
      <c r="M4020">
        <v>26.133547749474701</v>
      </c>
      <c r="N4020">
        <v>56.558009895626697</v>
      </c>
      <c r="O4020">
        <v>56.020114505996702</v>
      </c>
      <c r="P4020">
        <v>-0.111208702530286</v>
      </c>
      <c r="Q4020">
        <v>4.6458550829319503E-2</v>
      </c>
      <c r="R4020">
        <v>0.98821207047414195</v>
      </c>
      <c r="S4020" t="s">
        <v>10331</v>
      </c>
      <c r="T4020" t="s">
        <v>12620</v>
      </c>
      <c r="U4020" t="s">
        <v>12620</v>
      </c>
      <c r="V4020" t="s">
        <v>12620</v>
      </c>
      <c r="W4020" t="s">
        <v>16590</v>
      </c>
      <c r="X4020">
        <v>4</v>
      </c>
      <c r="Y4020" t="s">
        <v>22712</v>
      </c>
      <c r="Z4020" t="s">
        <v>28967</v>
      </c>
      <c r="AA4020">
        <v>0.57413605314388405</v>
      </c>
      <c r="AB4020" t="str">
        <f>HYPERLINK("Melting_Curves/meltCurve_Q8IVS2_MCAT.pdf", "Melting_Curves/meltCurve_Q8IVS2_MCAT.pdf")</f>
        <v>Melting_Curves/meltCurve_Q8IVS2_MCAT.pdf</v>
      </c>
    </row>
    <row r="4021" spans="1:28" x14ac:dyDescent="0.25">
      <c r="A4021" t="s">
        <v>4025</v>
      </c>
      <c r="B4021">
        <v>0.99987803227770999</v>
      </c>
      <c r="C4021">
        <v>0.81877166858639905</v>
      </c>
      <c r="D4021">
        <v>0.983893023295351</v>
      </c>
      <c r="E4021">
        <v>0.85302611025937103</v>
      </c>
      <c r="F4021">
        <v>0.98444990124089804</v>
      </c>
      <c r="G4021">
        <v>0.72259754366870599</v>
      </c>
      <c r="H4021">
        <v>0.78658316171777598</v>
      </c>
      <c r="I4021">
        <v>0.81110312612609203</v>
      </c>
      <c r="J4021">
        <v>0.79332028499978302</v>
      </c>
      <c r="K4021">
        <v>0.68359828414327695</v>
      </c>
      <c r="L4021">
        <v>193.68909479853801</v>
      </c>
      <c r="M4021">
        <v>1.7982726882603399</v>
      </c>
      <c r="O4021">
        <v>59.7864943248182</v>
      </c>
      <c r="P4021">
        <v>-8.3839591542581703E-3</v>
      </c>
      <c r="Q4021">
        <v>0</v>
      </c>
      <c r="R4021">
        <v>0.52197473646611603</v>
      </c>
      <c r="S4021" t="s">
        <v>10332</v>
      </c>
      <c r="T4021" t="s">
        <v>12620</v>
      </c>
      <c r="U4021" t="s">
        <v>12620</v>
      </c>
      <c r="V4021" t="s">
        <v>12620</v>
      </c>
      <c r="W4021" t="s">
        <v>16591</v>
      </c>
      <c r="X4021">
        <v>24</v>
      </c>
      <c r="Y4021" t="s">
        <v>22713</v>
      </c>
      <c r="Z4021" t="s">
        <v>28968</v>
      </c>
      <c r="AA4021">
        <v>0.84575209083733305</v>
      </c>
      <c r="AB4021" t="str">
        <f>HYPERLINK("Melting_Curves/meltCurve_Q8IVT2_C19orf21.pdf", "Melting_Curves/meltCurve_Q8IVT2_C19orf21.pdf")</f>
        <v>Melting_Curves/meltCurve_Q8IVT2_C19orf21.pdf</v>
      </c>
    </row>
    <row r="4022" spans="1:28" x14ac:dyDescent="0.25">
      <c r="A4022" t="s">
        <v>4026</v>
      </c>
      <c r="B4022">
        <v>0.99987803227770999</v>
      </c>
      <c r="C4022">
        <v>1.3079843577274399</v>
      </c>
      <c r="D4022">
        <v>1.0555839941434</v>
      </c>
      <c r="E4022">
        <v>1.4082910197618499</v>
      </c>
      <c r="F4022">
        <v>1.10166980302092</v>
      </c>
      <c r="G4022">
        <v>1.3000266205822399</v>
      </c>
      <c r="H4022">
        <v>0.30970096663804297</v>
      </c>
      <c r="I4022">
        <v>0.148027483764823</v>
      </c>
      <c r="J4022">
        <v>8.02471221261703E-2</v>
      </c>
      <c r="K4022">
        <v>4.9674351275873802E-2</v>
      </c>
      <c r="L4022">
        <v>11538.0387617382</v>
      </c>
      <c r="M4022">
        <v>190.30494170635501</v>
      </c>
      <c r="N4022">
        <v>60.694554764014903</v>
      </c>
      <c r="O4022">
        <v>60.622523178796001</v>
      </c>
      <c r="P4022">
        <v>-0.71209905208381996</v>
      </c>
      <c r="Q4022">
        <v>9.2630246887655296E-2</v>
      </c>
      <c r="R4022">
        <v>0.86854585286290897</v>
      </c>
      <c r="S4022" t="s">
        <v>10333</v>
      </c>
      <c r="T4022" t="s">
        <v>12620</v>
      </c>
      <c r="U4022" t="s">
        <v>12620</v>
      </c>
      <c r="V4022" t="s">
        <v>12620</v>
      </c>
      <c r="W4022" t="s">
        <v>16592</v>
      </c>
      <c r="X4022">
        <v>1</v>
      </c>
      <c r="Y4022" t="s">
        <v>22714</v>
      </c>
      <c r="Z4022" t="s">
        <v>28969</v>
      </c>
      <c r="AA4022">
        <v>0.71674100756342263</v>
      </c>
      <c r="AB4022" t="str">
        <f>HYPERLINK("Melting_Curves/meltCurve_Q8IVV2_LOXHD1.pdf", "Melting_Curves/meltCurve_Q8IVV2_LOXHD1.pdf")</f>
        <v>Melting_Curves/meltCurve_Q8IVV2_LOXHD1.pdf</v>
      </c>
    </row>
    <row r="4023" spans="1:28" x14ac:dyDescent="0.25">
      <c r="A4023" t="s">
        <v>4027</v>
      </c>
      <c r="B4023">
        <v>0.99987803227770999</v>
      </c>
      <c r="C4023">
        <v>0.87748719414876397</v>
      </c>
      <c r="D4023">
        <v>0.79113580083138502</v>
      </c>
      <c r="E4023">
        <v>0.651778951012705</v>
      </c>
      <c r="F4023">
        <v>0.46539743726119098</v>
      </c>
      <c r="G4023">
        <v>0.22316623800060501</v>
      </c>
      <c r="H4023">
        <v>0.20484923637661701</v>
      </c>
      <c r="I4023">
        <v>0.13640853163997699</v>
      </c>
      <c r="J4023">
        <v>0.171206122787288</v>
      </c>
      <c r="K4023">
        <v>0.13270060145682999</v>
      </c>
      <c r="L4023">
        <v>641.68411186697097</v>
      </c>
      <c r="M4023">
        <v>12.5752860630634</v>
      </c>
      <c r="N4023">
        <v>51.895969082013501</v>
      </c>
      <c r="O4023">
        <v>49.788586543153102</v>
      </c>
      <c r="P4023">
        <v>-5.7162700160844897E-2</v>
      </c>
      <c r="Q4023">
        <v>9.4898284630165294E-2</v>
      </c>
      <c r="R4023">
        <v>0.98839543042670497</v>
      </c>
      <c r="S4023" t="s">
        <v>10334</v>
      </c>
      <c r="T4023" t="s">
        <v>12620</v>
      </c>
      <c r="U4023" t="s">
        <v>12620</v>
      </c>
      <c r="V4023" t="s">
        <v>12620</v>
      </c>
      <c r="W4023" t="s">
        <v>16593</v>
      </c>
      <c r="X4023">
        <v>2</v>
      </c>
      <c r="Y4023" t="s">
        <v>22715</v>
      </c>
      <c r="Z4023" t="s">
        <v>28970</v>
      </c>
      <c r="AA4023">
        <v>0.45512895749010629</v>
      </c>
      <c r="AB4023" t="str">
        <f>HYPERLINK("Melting_Curves/meltCurve_Q8IW19_APLF.pdf", "Melting_Curves/meltCurve_Q8IW19_APLF.pdf")</f>
        <v>Melting_Curves/meltCurve_Q8IW19_APLF.pdf</v>
      </c>
    </row>
    <row r="4024" spans="1:28" x14ac:dyDescent="0.25">
      <c r="A4024" t="s">
        <v>4028</v>
      </c>
      <c r="B4024">
        <v>0.99987803227770999</v>
      </c>
      <c r="C4024">
        <v>1.1951223108883</v>
      </c>
      <c r="D4024">
        <v>1.0260917430193099</v>
      </c>
      <c r="E4024">
        <v>0.76868234144067504</v>
      </c>
      <c r="F4024">
        <v>0.187692599964629</v>
      </c>
      <c r="G4024">
        <v>9.9554994872805405E-2</v>
      </c>
      <c r="H4024">
        <v>6.3730094587921698E-2</v>
      </c>
      <c r="I4024">
        <v>5.6300120189286797E-2</v>
      </c>
      <c r="J4024">
        <v>5.0284431178303203E-2</v>
      </c>
      <c r="K4024">
        <v>3.2270455620106199E-2</v>
      </c>
      <c r="L4024">
        <v>2607.1804006253601</v>
      </c>
      <c r="M4024">
        <v>51.019910916486097</v>
      </c>
      <c r="N4024">
        <v>51.227509475107396</v>
      </c>
      <c r="O4024">
        <v>51.022908747835103</v>
      </c>
      <c r="P4024">
        <v>-0.23521457971113699</v>
      </c>
      <c r="Q4024">
        <v>5.9087137311894203E-2</v>
      </c>
      <c r="R4024">
        <v>0.98064269361969303</v>
      </c>
      <c r="S4024" t="s">
        <v>10335</v>
      </c>
      <c r="T4024" t="s">
        <v>12620</v>
      </c>
      <c r="U4024" t="s">
        <v>12620</v>
      </c>
      <c r="V4024" t="s">
        <v>12620</v>
      </c>
      <c r="W4024" t="s">
        <v>16594</v>
      </c>
      <c r="X4024">
        <v>1</v>
      </c>
      <c r="Y4024" t="s">
        <v>22716</v>
      </c>
      <c r="Z4024" t="s">
        <v>28971</v>
      </c>
      <c r="AA4024">
        <v>0.40930005145672432</v>
      </c>
      <c r="AB4024" t="str">
        <f>HYPERLINK("Melting_Curves/meltCurve_Q8IW41_2_MAPKAPK5.pdf", "Melting_Curves/meltCurve_Q8IW41_2_MAPKAPK5.pdf")</f>
        <v>Melting_Curves/meltCurve_Q8IW41_2_MAPKAPK5.pdf</v>
      </c>
    </row>
    <row r="4025" spans="1:28" x14ac:dyDescent="0.25">
      <c r="A4025" t="s">
        <v>4029</v>
      </c>
      <c r="B4025">
        <v>0.99987803227770999</v>
      </c>
      <c r="C4025">
        <v>1.0510719670558999</v>
      </c>
      <c r="D4025">
        <v>0.92786382962105696</v>
      </c>
      <c r="E4025">
        <v>0.94322482688240705</v>
      </c>
      <c r="F4025">
        <v>0.83844513730259695</v>
      </c>
      <c r="G4025">
        <v>0.79904308576343097</v>
      </c>
      <c r="H4025">
        <v>0.88095111037146501</v>
      </c>
      <c r="I4025">
        <v>0.84523274651981495</v>
      </c>
      <c r="J4025">
        <v>0.70413078559772402</v>
      </c>
      <c r="K4025">
        <v>0.50504337386909404</v>
      </c>
      <c r="L4025">
        <v>451.51741743570199</v>
      </c>
      <c r="M4025">
        <v>6.0100313265529302</v>
      </c>
      <c r="O4025">
        <v>68.076811006228496</v>
      </c>
      <c r="P4025">
        <v>-2.2141825787517801E-2</v>
      </c>
      <c r="Q4025">
        <v>0</v>
      </c>
      <c r="R4025">
        <v>0.78244356079529598</v>
      </c>
      <c r="S4025" t="s">
        <v>10336</v>
      </c>
      <c r="T4025" t="s">
        <v>12620</v>
      </c>
      <c r="U4025" t="s">
        <v>12620</v>
      </c>
      <c r="V4025" t="s">
        <v>12620</v>
      </c>
      <c r="W4025" t="s">
        <v>16595</v>
      </c>
      <c r="X4025">
        <v>7</v>
      </c>
      <c r="Y4025" t="s">
        <v>22717</v>
      </c>
      <c r="Z4025" t="s">
        <v>28972</v>
      </c>
      <c r="AA4025">
        <v>0.86408506254520823</v>
      </c>
      <c r="AB4025" t="str">
        <f>HYPERLINK("Melting_Curves/meltCurve_Q8IW45_CARKD.pdf", "Melting_Curves/meltCurve_Q8IW45_CARKD.pdf")</f>
        <v>Melting_Curves/meltCurve_Q8IW45_CARKD.pdf</v>
      </c>
    </row>
    <row r="4026" spans="1:28" x14ac:dyDescent="0.25">
      <c r="A4026" t="s">
        <v>4030</v>
      </c>
      <c r="B4026">
        <v>0.99987803227770999</v>
      </c>
      <c r="C4026">
        <v>0.75441391727610596</v>
      </c>
      <c r="D4026">
        <v>0.98991861862868102</v>
      </c>
      <c r="E4026">
        <v>0.83831367275039304</v>
      </c>
      <c r="F4026">
        <v>1.08515627029137</v>
      </c>
      <c r="G4026">
        <v>1.06414145660695</v>
      </c>
      <c r="H4026">
        <v>0.96157374951340502</v>
      </c>
      <c r="I4026">
        <v>0.82014734483440099</v>
      </c>
      <c r="J4026">
        <v>0.97410114336021703</v>
      </c>
      <c r="K4026">
        <v>0.79766149776220796</v>
      </c>
      <c r="L4026">
        <v>819.02066224990403</v>
      </c>
      <c r="M4026">
        <v>10.186144824547499</v>
      </c>
      <c r="Q4026">
        <v>0</v>
      </c>
      <c r="R4026">
        <v>9.3751471912967305E-3</v>
      </c>
      <c r="S4026" t="s">
        <v>10337</v>
      </c>
      <c r="T4026" t="s">
        <v>12620</v>
      </c>
      <c r="U4026" t="s">
        <v>12620</v>
      </c>
      <c r="V4026" t="s">
        <v>12620</v>
      </c>
      <c r="W4026" t="s">
        <v>16596</v>
      </c>
      <c r="X4026">
        <v>2</v>
      </c>
      <c r="Y4026" t="s">
        <v>22718</v>
      </c>
      <c r="Z4026" t="s">
        <v>28973</v>
      </c>
      <c r="AA4026">
        <v>0.96605784068610867</v>
      </c>
      <c r="AB4026" t="str">
        <f>HYPERLINK("Melting_Curves/meltCurve_Q8IW50_7_FAM219A.pdf", "Melting_Curves/meltCurve_Q8IW50_7_FAM219A.pdf")</f>
        <v>Melting_Curves/meltCurve_Q8IW50_7_FAM219A.pdf</v>
      </c>
    </row>
    <row r="4027" spans="1:28" x14ac:dyDescent="0.25">
      <c r="A4027" t="s">
        <v>4031</v>
      </c>
      <c r="B4027">
        <v>0.99987803227770999</v>
      </c>
      <c r="C4027">
        <v>0.93868553319786696</v>
      </c>
      <c r="D4027">
        <v>0.97042108133876903</v>
      </c>
      <c r="E4027">
        <v>0.98109950453077099</v>
      </c>
      <c r="F4027">
        <v>1.0629701603835899</v>
      </c>
      <c r="G4027">
        <v>0.938025311968542</v>
      </c>
      <c r="H4027">
        <v>0.49841362466821898</v>
      </c>
      <c r="I4027">
        <v>0.25777283624249397</v>
      </c>
      <c r="J4027">
        <v>0.161501868514696</v>
      </c>
      <c r="K4027">
        <v>7.5370371382576601E-2</v>
      </c>
      <c r="L4027">
        <v>2111.4892468043099</v>
      </c>
      <c r="M4027">
        <v>34.7474430028713</v>
      </c>
      <c r="N4027">
        <v>61.167116375283598</v>
      </c>
      <c r="O4027">
        <v>60.566539652415898</v>
      </c>
      <c r="P4027">
        <v>-0.128838037420649</v>
      </c>
      <c r="Q4027">
        <v>0.101718563005742</v>
      </c>
      <c r="R4027">
        <v>0.99069175949435895</v>
      </c>
      <c r="S4027" t="s">
        <v>10338</v>
      </c>
      <c r="T4027" t="s">
        <v>12620</v>
      </c>
      <c r="U4027" t="s">
        <v>12620</v>
      </c>
      <c r="V4027" t="s">
        <v>12620</v>
      </c>
      <c r="W4027" t="s">
        <v>16597</v>
      </c>
      <c r="X4027">
        <v>3</v>
      </c>
      <c r="Y4027" t="s">
        <v>22719</v>
      </c>
      <c r="Z4027" t="s">
        <v>28974</v>
      </c>
      <c r="AA4027">
        <v>0.72778856581304263</v>
      </c>
      <c r="AB4027" t="str">
        <f>HYPERLINK("Melting_Curves/meltCurve_Q8IWB7_WDFY1.pdf", "Melting_Curves/meltCurve_Q8IWB7_WDFY1.pdf")</f>
        <v>Melting_Curves/meltCurve_Q8IWB7_WDFY1.pdf</v>
      </c>
    </row>
    <row r="4028" spans="1:28" x14ac:dyDescent="0.25">
      <c r="A4028" t="s">
        <v>4032</v>
      </c>
      <c r="B4028">
        <v>0.99987803227770999</v>
      </c>
      <c r="C4028">
        <v>0.68270621013694799</v>
      </c>
      <c r="D4028">
        <v>0.99899249494331999</v>
      </c>
      <c r="E4028">
        <v>0.790740804063636</v>
      </c>
      <c r="F4028">
        <v>0.87554321810235503</v>
      </c>
      <c r="G4028">
        <v>0.64668279396131501</v>
      </c>
      <c r="H4028">
        <v>0.73425442120565498</v>
      </c>
      <c r="I4028">
        <v>0.61876534674743899</v>
      </c>
      <c r="J4028">
        <v>0.604855234540848</v>
      </c>
      <c r="K4028">
        <v>0.57773581292504905</v>
      </c>
      <c r="L4028">
        <v>209.21085310267699</v>
      </c>
      <c r="M4028">
        <v>2.6728247226475199</v>
      </c>
      <c r="O4028">
        <v>54.608427367864898</v>
      </c>
      <c r="P4028">
        <v>-1.2759140277235599E-2</v>
      </c>
      <c r="Q4028">
        <v>0</v>
      </c>
      <c r="R4028">
        <v>0.59894550622464704</v>
      </c>
      <c r="S4028" t="s">
        <v>10339</v>
      </c>
      <c r="T4028" t="s">
        <v>12620</v>
      </c>
      <c r="U4028" t="s">
        <v>12620</v>
      </c>
      <c r="V4028" t="s">
        <v>12620</v>
      </c>
      <c r="W4028" t="s">
        <v>16598</v>
      </c>
      <c r="X4028">
        <v>1</v>
      </c>
      <c r="Y4028" t="s">
        <v>22720</v>
      </c>
      <c r="Z4028" t="s">
        <v>28975</v>
      </c>
      <c r="AA4028">
        <v>0.75560050478512053</v>
      </c>
      <c r="AB4028" t="str">
        <f>HYPERLINK("Melting_Curves/meltCurve_Q8IWB9_TEX2.pdf", "Melting_Curves/meltCurve_Q8IWB9_TEX2.pdf")</f>
        <v>Melting_Curves/meltCurve_Q8IWB9_TEX2.pdf</v>
      </c>
    </row>
    <row r="4029" spans="1:28" x14ac:dyDescent="0.25">
      <c r="A4029" t="s">
        <v>4033</v>
      </c>
      <c r="B4029">
        <v>0.99987803227770999</v>
      </c>
      <c r="C4029">
        <v>0.89338873552564602</v>
      </c>
      <c r="D4029">
        <v>0.99140395724058905</v>
      </c>
      <c r="E4029">
        <v>0.84754729678301799</v>
      </c>
      <c r="F4029">
        <v>0.97555777136539701</v>
      </c>
      <c r="G4029">
        <v>0.80668260766817501</v>
      </c>
      <c r="H4029">
        <v>0.79072742414766894</v>
      </c>
      <c r="I4029">
        <v>0.760588908078491</v>
      </c>
      <c r="J4029">
        <v>0.73614735249863095</v>
      </c>
      <c r="K4029">
        <v>0.63376525073409196</v>
      </c>
      <c r="L4029">
        <v>300.45969895217701</v>
      </c>
      <c r="M4029">
        <v>3.6016830749359001</v>
      </c>
      <c r="O4029">
        <v>66.093027870394394</v>
      </c>
      <c r="P4029">
        <v>-1.38672647967879E-2</v>
      </c>
      <c r="Q4029">
        <v>0</v>
      </c>
      <c r="R4029">
        <v>0.82299438869823105</v>
      </c>
      <c r="S4029" t="s">
        <v>10340</v>
      </c>
      <c r="T4029" t="s">
        <v>12620</v>
      </c>
      <c r="U4029" t="s">
        <v>12620</v>
      </c>
      <c r="V4029" t="s">
        <v>12620</v>
      </c>
      <c r="W4029" t="s">
        <v>16599</v>
      </c>
      <c r="X4029">
        <v>11</v>
      </c>
      <c r="Y4029" t="s">
        <v>22721</v>
      </c>
      <c r="Z4029" t="s">
        <v>28976</v>
      </c>
      <c r="AA4029">
        <v>0.85072646211437342</v>
      </c>
      <c r="AB4029" t="str">
        <f>HYPERLINK("Melting_Curves/meltCurve_Q8IWC1_2_MAP7D3.pdf", "Melting_Curves/meltCurve_Q8IWC1_2_MAP7D3.pdf")</f>
        <v>Melting_Curves/meltCurve_Q8IWC1_2_MAP7D3.pdf</v>
      </c>
    </row>
    <row r="4030" spans="1:28" x14ac:dyDescent="0.25">
      <c r="A4030" t="s">
        <v>4034</v>
      </c>
      <c r="B4030">
        <v>0.99987803227770999</v>
      </c>
      <c r="C4030">
        <v>1.00691942369481</v>
      </c>
      <c r="D4030">
        <v>0.91569220926667105</v>
      </c>
      <c r="E4030">
        <v>0.98672564420623798</v>
      </c>
      <c r="F4030">
        <v>0.86910063945972904</v>
      </c>
      <c r="G4030">
        <v>0.67821529392992896</v>
      </c>
      <c r="H4030">
        <v>0.92209631023274896</v>
      </c>
      <c r="I4030">
        <v>0.92787424212991998</v>
      </c>
      <c r="J4030">
        <v>1.1501040620413201</v>
      </c>
      <c r="K4030">
        <v>1.01394079367361</v>
      </c>
      <c r="L4030">
        <v>11080.225007835101</v>
      </c>
      <c r="M4030">
        <v>250</v>
      </c>
      <c r="O4030">
        <v>44.318063798596199</v>
      </c>
      <c r="P4030">
        <v>-9.4532288434591202E-2</v>
      </c>
      <c r="Q4030">
        <v>0.93296819225708805</v>
      </c>
      <c r="R4030">
        <v>5.9062900627709497E-2</v>
      </c>
      <c r="S4030" t="s">
        <v>10341</v>
      </c>
      <c r="T4030" t="s">
        <v>12620</v>
      </c>
      <c r="U4030" t="s">
        <v>12620</v>
      </c>
      <c r="V4030" t="s">
        <v>12620</v>
      </c>
      <c r="W4030" t="s">
        <v>16600</v>
      </c>
      <c r="X4030">
        <v>4</v>
      </c>
      <c r="Y4030" t="s">
        <v>22722</v>
      </c>
      <c r="Z4030" t="s">
        <v>28977</v>
      </c>
      <c r="AA4030">
        <v>0.94262799749722714</v>
      </c>
      <c r="AB4030" t="str">
        <f>HYPERLINK("Melting_Curves/meltCurve_Q8IWD4_CCDC117.pdf", "Melting_Curves/meltCurve_Q8IWD4_CCDC117.pdf")</f>
        <v>Melting_Curves/meltCurve_Q8IWD4_CCDC117.pdf</v>
      </c>
    </row>
    <row r="4031" spans="1:28" x14ac:dyDescent="0.25">
      <c r="A4031" t="s">
        <v>4035</v>
      </c>
      <c r="B4031">
        <v>0.99987803227770999</v>
      </c>
      <c r="C4031">
        <v>0.896358016664482</v>
      </c>
      <c r="D4031">
        <v>1.0632103028055699</v>
      </c>
      <c r="E4031">
        <v>0.90672177153889399</v>
      </c>
      <c r="F4031">
        <v>1.0311687939695</v>
      </c>
      <c r="G4031">
        <v>0.66298374840535301</v>
      </c>
      <c r="H4031">
        <v>0.27365696917698601</v>
      </c>
      <c r="I4031">
        <v>0.199290899674122</v>
      </c>
      <c r="J4031">
        <v>0.154097973186169</v>
      </c>
      <c r="K4031">
        <v>0.117355294440337</v>
      </c>
      <c r="L4031">
        <v>2004.88945687659</v>
      </c>
      <c r="M4031">
        <v>34.661370067103903</v>
      </c>
      <c r="N4031">
        <v>58.4167982618971</v>
      </c>
      <c r="O4031">
        <v>57.650673517578802</v>
      </c>
      <c r="P4031">
        <v>-0.12859694571175201</v>
      </c>
      <c r="Q4031">
        <v>0.144445513478866</v>
      </c>
      <c r="R4031">
        <v>0.97985585795249297</v>
      </c>
      <c r="S4031" t="s">
        <v>10342</v>
      </c>
      <c r="T4031" t="s">
        <v>12620</v>
      </c>
      <c r="U4031" t="s">
        <v>12620</v>
      </c>
      <c r="V4031" t="s">
        <v>12620</v>
      </c>
      <c r="W4031" t="s">
        <v>16601</v>
      </c>
      <c r="X4031">
        <v>10</v>
      </c>
      <c r="Y4031" t="s">
        <v>22723</v>
      </c>
      <c r="Z4031" t="s">
        <v>28978</v>
      </c>
      <c r="AA4031">
        <v>0.65766568905238676</v>
      </c>
      <c r="AB4031" t="str">
        <f>HYPERLINK("Melting_Curves/meltCurve_Q8IWE2_FAM114A1.pdf", "Melting_Curves/meltCurve_Q8IWE2_FAM114A1.pdf")</f>
        <v>Melting_Curves/meltCurve_Q8IWE2_FAM114A1.pdf</v>
      </c>
    </row>
    <row r="4032" spans="1:28" x14ac:dyDescent="0.25">
      <c r="A4032" t="s">
        <v>4036</v>
      </c>
      <c r="B4032">
        <v>0.99987803227770999</v>
      </c>
      <c r="C4032">
        <v>0.82273265131936302</v>
      </c>
      <c r="D4032">
        <v>0.90596320251875195</v>
      </c>
      <c r="E4032">
        <v>0.76659102800474999</v>
      </c>
      <c r="F4032">
        <v>0.88166975027871597</v>
      </c>
      <c r="G4032">
        <v>0.65096547540817096</v>
      </c>
      <c r="H4032">
        <v>0.76611008443476503</v>
      </c>
      <c r="I4032">
        <v>0.70371492577140504</v>
      </c>
      <c r="J4032">
        <v>0.78792321901962603</v>
      </c>
      <c r="K4032">
        <v>0.66882061900177503</v>
      </c>
      <c r="L4032">
        <v>398.04963870469999</v>
      </c>
      <c r="M4032">
        <v>8.4532611914465292</v>
      </c>
      <c r="O4032">
        <v>44.674603816537797</v>
      </c>
      <c r="P4032">
        <v>-1.4442232726954E-2</v>
      </c>
      <c r="Q4032">
        <v>0.694977722763779</v>
      </c>
      <c r="R4032">
        <v>0.608120817097348</v>
      </c>
      <c r="S4032" t="s">
        <v>10343</v>
      </c>
      <c r="T4032" t="s">
        <v>12620</v>
      </c>
      <c r="U4032" t="s">
        <v>12620</v>
      </c>
      <c r="V4032" t="s">
        <v>12620</v>
      </c>
      <c r="W4032" t="s">
        <v>16602</v>
      </c>
      <c r="X4032">
        <v>13</v>
      </c>
      <c r="Y4032" t="s">
        <v>22724</v>
      </c>
      <c r="Z4032" t="s">
        <v>28979</v>
      </c>
      <c r="AA4032">
        <v>0.78941280696759075</v>
      </c>
      <c r="AB4032" t="str">
        <f>HYPERLINK("Melting_Curves/meltCurve_Q8IWI9_MGA.pdf", "Melting_Curves/meltCurve_Q8IWI9_MGA.pdf")</f>
        <v>Melting_Curves/meltCurve_Q8IWI9_MGA.pdf</v>
      </c>
    </row>
    <row r="4033" spans="1:28" x14ac:dyDescent="0.25">
      <c r="A4033" t="s">
        <v>4037</v>
      </c>
      <c r="B4033">
        <v>0.99987803227770999</v>
      </c>
      <c r="C4033">
        <v>1.1510528251326799</v>
      </c>
      <c r="D4033">
        <v>0.92632926603788901</v>
      </c>
      <c r="E4033">
        <v>0.93072919556519196</v>
      </c>
      <c r="F4033">
        <v>0.64022246089160795</v>
      </c>
      <c r="G4033">
        <v>0.58795866843950495</v>
      </c>
      <c r="H4033">
        <v>0.537597539853791</v>
      </c>
      <c r="I4033">
        <v>0.45837039009385799</v>
      </c>
      <c r="J4033">
        <v>0.487531819474191</v>
      </c>
      <c r="K4033">
        <v>0.350023074573797</v>
      </c>
      <c r="L4033">
        <v>973.95592972312704</v>
      </c>
      <c r="M4033">
        <v>18.324401602652401</v>
      </c>
      <c r="N4033">
        <v>59.702154457500697</v>
      </c>
      <c r="O4033">
        <v>52.529897967257</v>
      </c>
      <c r="P4033">
        <v>-4.9444723087292398E-2</v>
      </c>
      <c r="Q4033">
        <v>0.43306048316818302</v>
      </c>
      <c r="R4033">
        <v>0.92204243803749297</v>
      </c>
      <c r="S4033" t="s">
        <v>10344</v>
      </c>
      <c r="T4033" t="s">
        <v>12620</v>
      </c>
      <c r="U4033" t="s">
        <v>12620</v>
      </c>
      <c r="V4033" t="s">
        <v>12620</v>
      </c>
      <c r="W4033" t="s">
        <v>16603</v>
      </c>
      <c r="X4033">
        <v>55</v>
      </c>
      <c r="Y4033" t="s">
        <v>22725</v>
      </c>
      <c r="Z4033" t="s">
        <v>28980</v>
      </c>
      <c r="AA4033">
        <v>0.69057918195782053</v>
      </c>
      <c r="AB4033" t="str">
        <f>HYPERLINK("Melting_Curves/meltCurve_Q8IWJ2_GCC2.pdf", "Melting_Curves/meltCurve_Q8IWJ2_GCC2.pdf")</f>
        <v>Melting_Curves/meltCurve_Q8IWJ2_GCC2.pdf</v>
      </c>
    </row>
    <row r="4034" spans="1:28" x14ac:dyDescent="0.25">
      <c r="A4034" t="s">
        <v>4038</v>
      </c>
      <c r="B4034">
        <v>0.99987803227770999</v>
      </c>
      <c r="C4034">
        <v>0.870653841793949</v>
      </c>
      <c r="D4034">
        <v>0.98828112343052099</v>
      </c>
      <c r="E4034">
        <v>0.729462721586003</v>
      </c>
      <c r="F4034">
        <v>0.83031511898459998</v>
      </c>
      <c r="G4034">
        <v>0.60289565430274095</v>
      </c>
      <c r="H4034">
        <v>0.43512590533983803</v>
      </c>
      <c r="I4034">
        <v>0.35765440999898301</v>
      </c>
      <c r="J4034">
        <v>0.22756649059835099</v>
      </c>
      <c r="K4034">
        <v>0.185742769371398</v>
      </c>
      <c r="L4034">
        <v>537.54808784942304</v>
      </c>
      <c r="M4034">
        <v>9.0663587471742897</v>
      </c>
      <c r="N4034">
        <v>59.290404491433598</v>
      </c>
      <c r="O4034">
        <v>56.619306348702203</v>
      </c>
      <c r="P4034">
        <v>-4.0060373891210102E-2</v>
      </c>
      <c r="Q4034">
        <v>0</v>
      </c>
      <c r="R4034">
        <v>0.95849576102391298</v>
      </c>
      <c r="S4034" t="s">
        <v>10345</v>
      </c>
      <c r="T4034" t="s">
        <v>12620</v>
      </c>
      <c r="U4034" t="s">
        <v>12620</v>
      </c>
      <c r="V4034" t="s">
        <v>12620</v>
      </c>
      <c r="W4034" t="s">
        <v>16604</v>
      </c>
      <c r="X4034">
        <v>7</v>
      </c>
      <c r="Y4034" t="s">
        <v>22726</v>
      </c>
      <c r="Z4034" t="s">
        <v>28981</v>
      </c>
      <c r="AA4034">
        <v>0.64057326748623333</v>
      </c>
      <c r="AB4034" t="str">
        <f>HYPERLINK("Melting_Curves/meltCurve_Q8IWL3_HSCB.pdf", "Melting_Curves/meltCurve_Q8IWL3_HSCB.pdf")</f>
        <v>Melting_Curves/meltCurve_Q8IWL3_HSCB.pdf</v>
      </c>
    </row>
    <row r="4035" spans="1:28" x14ac:dyDescent="0.25">
      <c r="A4035" t="s">
        <v>4039</v>
      </c>
      <c r="B4035">
        <v>0.99987803227770999</v>
      </c>
      <c r="C4035">
        <v>0.89924999122163696</v>
      </c>
      <c r="D4035">
        <v>1.1547028110403399</v>
      </c>
      <c r="E4035">
        <v>0.99094190030627305</v>
      </c>
      <c r="F4035">
        <v>1.125548376732</v>
      </c>
      <c r="G4035">
        <v>1.3178879231612799</v>
      </c>
      <c r="H4035">
        <v>0.742057480502332</v>
      </c>
      <c r="I4035">
        <v>1.35256580027087</v>
      </c>
      <c r="J4035">
        <v>1.18479462412509</v>
      </c>
      <c r="K4035">
        <v>0.97861069150398605</v>
      </c>
      <c r="L4035">
        <v>11116.502438256501</v>
      </c>
      <c r="M4035">
        <v>250</v>
      </c>
      <c r="O4035">
        <v>44.463154553324401</v>
      </c>
      <c r="P4035">
        <v>0.148852563995794</v>
      </c>
      <c r="Q4035">
        <v>1.10589529592245</v>
      </c>
      <c r="R4035">
        <v>0.106029104800589</v>
      </c>
      <c r="S4035" t="s">
        <v>10346</v>
      </c>
      <c r="T4035" t="s">
        <v>12620</v>
      </c>
      <c r="U4035" t="s">
        <v>12620</v>
      </c>
      <c r="V4035" t="s">
        <v>12620</v>
      </c>
      <c r="W4035" t="s">
        <v>16605</v>
      </c>
      <c r="X4035">
        <v>2</v>
      </c>
      <c r="Y4035" t="s">
        <v>22727</v>
      </c>
      <c r="Z4035" t="s">
        <v>28982</v>
      </c>
      <c r="AA4035">
        <v>1.090122718008512</v>
      </c>
      <c r="AB4035" t="str">
        <f>HYPERLINK("Melting_Curves/meltCurve_Q8IWP9_CCDC28A.pdf", "Melting_Curves/meltCurve_Q8IWP9_CCDC28A.pdf")</f>
        <v>Melting_Curves/meltCurve_Q8IWP9_CCDC28A.pdf</v>
      </c>
    </row>
    <row r="4036" spans="1:28" x14ac:dyDescent="0.25">
      <c r="A4036" t="s">
        <v>4040</v>
      </c>
      <c r="B4036">
        <v>0.99987803227770999</v>
      </c>
      <c r="C4036">
        <v>0.87605100868019603</v>
      </c>
      <c r="D4036">
        <v>0.97089252057019804</v>
      </c>
      <c r="E4036">
        <v>0.65232458759838996</v>
      </c>
      <c r="F4036">
        <v>0.33984474134467602</v>
      </c>
      <c r="G4036">
        <v>0.21717691120261301</v>
      </c>
      <c r="H4036">
        <v>0.107365423340191</v>
      </c>
      <c r="I4036">
        <v>8.2356729292459893E-2</v>
      </c>
      <c r="J4036">
        <v>5.9535855145516299E-2</v>
      </c>
      <c r="K4036">
        <v>4.0814709488280497E-2</v>
      </c>
      <c r="L4036">
        <v>1021.18752917879</v>
      </c>
      <c r="M4036">
        <v>19.9209346598156</v>
      </c>
      <c r="N4036">
        <v>51.593193445559898</v>
      </c>
      <c r="O4036">
        <v>50.753844938817203</v>
      </c>
      <c r="P4036">
        <v>-9.2239392573606693E-2</v>
      </c>
      <c r="Q4036">
        <v>6.0014139088026497E-2</v>
      </c>
      <c r="R4036">
        <v>0.98668931782647695</v>
      </c>
      <c r="S4036" t="s">
        <v>10347</v>
      </c>
      <c r="T4036" t="s">
        <v>12620</v>
      </c>
      <c r="U4036" t="s">
        <v>12620</v>
      </c>
      <c r="V4036" t="s">
        <v>12620</v>
      </c>
      <c r="W4036" t="s">
        <v>16606</v>
      </c>
      <c r="X4036">
        <v>2</v>
      </c>
      <c r="Y4036" t="s">
        <v>22728</v>
      </c>
      <c r="Z4036" t="s">
        <v>28983</v>
      </c>
      <c r="AA4036">
        <v>0.42602144980447448</v>
      </c>
      <c r="AB4036" t="str">
        <f>HYPERLINK("Melting_Curves/meltCurve_Q8IWQ3_3_BRSK2.pdf", "Melting_Curves/meltCurve_Q8IWQ3_3_BRSK2.pdf")</f>
        <v>Melting_Curves/meltCurve_Q8IWQ3_3_BRSK2.pdf</v>
      </c>
    </row>
    <row r="4037" spans="1:28" x14ac:dyDescent="0.25">
      <c r="A4037" t="s">
        <v>4041</v>
      </c>
      <c r="B4037">
        <v>0.99987803227770999</v>
      </c>
      <c r="C4037">
        <v>1.5902583970786199</v>
      </c>
      <c r="D4037">
        <v>0.80628075787840903</v>
      </c>
      <c r="E4037">
        <v>1.2783565905343399</v>
      </c>
      <c r="F4037">
        <v>3.4953992284344899</v>
      </c>
      <c r="G4037">
        <v>1.0450871778597399</v>
      </c>
      <c r="H4037">
        <v>7.3682101038818502</v>
      </c>
      <c r="I4037">
        <v>13.9643100652561</v>
      </c>
      <c r="J4037">
        <v>0.85365458034095898</v>
      </c>
      <c r="K4037">
        <v>0.23404105095458599</v>
      </c>
      <c r="L4037">
        <v>1061.7382752174999</v>
      </c>
      <c r="M4037">
        <v>25.220776219086002</v>
      </c>
      <c r="O4037">
        <v>41.835765487964899</v>
      </c>
      <c r="P4037">
        <v>7.5357464042101599E-2</v>
      </c>
      <c r="Q4037">
        <v>1.5</v>
      </c>
      <c r="R4037">
        <v>-0.16229533354939499</v>
      </c>
      <c r="S4037" t="s">
        <v>10348</v>
      </c>
      <c r="T4037" t="s">
        <v>12620</v>
      </c>
      <c r="U4037" t="s">
        <v>12620</v>
      </c>
      <c r="V4037" t="s">
        <v>12620</v>
      </c>
      <c r="W4037" t="s">
        <v>16607</v>
      </c>
      <c r="X4037">
        <v>3</v>
      </c>
      <c r="Y4037" t="s">
        <v>22729</v>
      </c>
      <c r="Z4037" t="s">
        <v>28984</v>
      </c>
      <c r="AA4037">
        <v>1.4558229090398911</v>
      </c>
      <c r="AB4037" t="str">
        <f>HYPERLINK("Melting_Curves/meltCurve_Q8IWR0_ZC3H7A.pdf", "Melting_Curves/meltCurve_Q8IWR0_ZC3H7A.pdf")</f>
        <v>Melting_Curves/meltCurve_Q8IWR0_ZC3H7A.pdf</v>
      </c>
    </row>
    <row r="4038" spans="1:28" x14ac:dyDescent="0.25">
      <c r="A4038" t="s">
        <v>4042</v>
      </c>
      <c r="B4038">
        <v>0.99987803227770999</v>
      </c>
      <c r="C4038">
        <v>0.97908146742537705</v>
      </c>
      <c r="D4038">
        <v>0.94982326555625696</v>
      </c>
      <c r="E4038">
        <v>0.81649846465910003</v>
      </c>
      <c r="F4038">
        <v>0.67306144841228699</v>
      </c>
      <c r="G4038">
        <v>0.340270776520469</v>
      </c>
      <c r="H4038">
        <v>0.263470829892403</v>
      </c>
      <c r="I4038">
        <v>0.28239028816579198</v>
      </c>
      <c r="J4038">
        <v>0.162535277513843</v>
      </c>
      <c r="K4038">
        <v>0.110584903539296</v>
      </c>
      <c r="L4038">
        <v>886.93289364590305</v>
      </c>
      <c r="M4038">
        <v>16.4009261222383</v>
      </c>
      <c r="N4038">
        <v>55.163444325738602</v>
      </c>
      <c r="O4038">
        <v>53.293430899022503</v>
      </c>
      <c r="P4038">
        <v>-6.6332974757272498E-2</v>
      </c>
      <c r="Q4038">
        <v>0.13788762101398599</v>
      </c>
      <c r="R4038">
        <v>0.98838357879386296</v>
      </c>
      <c r="S4038" t="s">
        <v>10349</v>
      </c>
      <c r="T4038" t="s">
        <v>12620</v>
      </c>
      <c r="U4038" t="s">
        <v>12620</v>
      </c>
      <c r="V4038" t="s">
        <v>12620</v>
      </c>
      <c r="W4038" t="s">
        <v>16608</v>
      </c>
      <c r="X4038">
        <v>1</v>
      </c>
      <c r="Y4038" t="s">
        <v>22730</v>
      </c>
      <c r="Z4038" t="s">
        <v>28985</v>
      </c>
      <c r="AA4038">
        <v>0.55815232007299509</v>
      </c>
      <c r="AB4038" t="str">
        <f>HYPERLINK("Melting_Curves/meltCurve_Q8IWT0_ZBTB8OS.pdf", "Melting_Curves/meltCurve_Q8IWT0_ZBTB8OS.pdf")</f>
        <v>Melting_Curves/meltCurve_Q8IWT0_ZBTB8OS.pdf</v>
      </c>
    </row>
    <row r="4039" spans="1:28" x14ac:dyDescent="0.25">
      <c r="A4039" t="s">
        <v>4043</v>
      </c>
      <c r="B4039">
        <v>0.99987803227770999</v>
      </c>
      <c r="C4039">
        <v>0.87593071491046504</v>
      </c>
      <c r="D4039">
        <v>0.84688796129455401</v>
      </c>
      <c r="E4039">
        <v>0.75548794178531797</v>
      </c>
      <c r="F4039">
        <v>0.80086538491952197</v>
      </c>
      <c r="G4039">
        <v>0.724209143862941</v>
      </c>
      <c r="H4039">
        <v>0.79908799483750403</v>
      </c>
      <c r="I4039">
        <v>0.65471651087087601</v>
      </c>
      <c r="J4039">
        <v>0.73165207003062604</v>
      </c>
      <c r="K4039">
        <v>0.46949493235571499</v>
      </c>
      <c r="L4039">
        <v>204.92089096129499</v>
      </c>
      <c r="M4039">
        <v>2.5305993794166</v>
      </c>
      <c r="O4039">
        <v>54.957553842665803</v>
      </c>
      <c r="P4039">
        <v>-1.2081858756100201E-2</v>
      </c>
      <c r="Q4039">
        <v>0</v>
      </c>
      <c r="R4039">
        <v>0.72271053177395095</v>
      </c>
      <c r="S4039" t="s">
        <v>10350</v>
      </c>
      <c r="T4039" t="s">
        <v>12620</v>
      </c>
      <c r="U4039" t="s">
        <v>12620</v>
      </c>
      <c r="V4039" t="s">
        <v>12620</v>
      </c>
      <c r="W4039" t="s">
        <v>16609</v>
      </c>
      <c r="X4039">
        <v>1</v>
      </c>
      <c r="Y4039" t="s">
        <v>22731</v>
      </c>
      <c r="Z4039" t="s">
        <v>28986</v>
      </c>
      <c r="AA4039">
        <v>0.76695403762769732</v>
      </c>
      <c r="AB4039" t="str">
        <f>HYPERLINK("Melting_Curves/meltCurve_Q8IWU2_LMTK2.pdf", "Melting_Curves/meltCurve_Q8IWU2_LMTK2.pdf")</f>
        <v>Melting_Curves/meltCurve_Q8IWU2_LMTK2.pdf</v>
      </c>
    </row>
    <row r="4040" spans="1:28" x14ac:dyDescent="0.25">
      <c r="A4040" t="s">
        <v>4044</v>
      </c>
      <c r="B4040">
        <v>0.99987803227770999</v>
      </c>
      <c r="C4040">
        <v>1.14989803277217</v>
      </c>
      <c r="D4040">
        <v>0.89664673239011905</v>
      </c>
      <c r="E4040">
        <v>0.66248814718875004</v>
      </c>
      <c r="F4040">
        <v>0.37925072508607099</v>
      </c>
      <c r="G4040">
        <v>0.20486626521469001</v>
      </c>
      <c r="H4040">
        <v>0.13344171371643601</v>
      </c>
      <c r="I4040">
        <v>0.12399944156550199</v>
      </c>
      <c r="J4040">
        <v>8.5863994745251498E-2</v>
      </c>
      <c r="K4040">
        <v>6.33065714454146E-2</v>
      </c>
      <c r="L4040">
        <v>1108.2342077445701</v>
      </c>
      <c r="M4040">
        <v>21.6339529230221</v>
      </c>
      <c r="N4040">
        <v>51.716027538347099</v>
      </c>
      <c r="O4040">
        <v>50.794937151528003</v>
      </c>
      <c r="P4040">
        <v>-9.6622965538083694E-2</v>
      </c>
      <c r="Q4040">
        <v>9.2566941189324306E-2</v>
      </c>
      <c r="R4040">
        <v>0.981117153021282</v>
      </c>
      <c r="S4040" t="s">
        <v>10351</v>
      </c>
      <c r="T4040" t="s">
        <v>12620</v>
      </c>
      <c r="U4040" t="s">
        <v>12620</v>
      </c>
      <c r="V4040" t="s">
        <v>12620</v>
      </c>
      <c r="W4040" t="s">
        <v>16610</v>
      </c>
      <c r="X4040">
        <v>9</v>
      </c>
      <c r="Y4040" t="s">
        <v>22732</v>
      </c>
      <c r="Z4040" t="s">
        <v>28987</v>
      </c>
      <c r="AA4040">
        <v>0.44301117367141279</v>
      </c>
      <c r="AB4040" t="str">
        <f>HYPERLINK("Melting_Curves/meltCurve_Q8IWV7_UBR1.pdf", "Melting_Curves/meltCurve_Q8IWV7_UBR1.pdf")</f>
        <v>Melting_Curves/meltCurve_Q8IWV7_UBR1.pdf</v>
      </c>
    </row>
    <row r="4041" spans="1:28" x14ac:dyDescent="0.25">
      <c r="A4041" t="s">
        <v>4045</v>
      </c>
      <c r="B4041">
        <v>0.99987803227770999</v>
      </c>
      <c r="C4041">
        <v>1.06264011823922</v>
      </c>
      <c r="D4041">
        <v>0.78870426394221105</v>
      </c>
      <c r="E4041">
        <v>0.69488828073947295</v>
      </c>
      <c r="F4041">
        <v>0.255161831436932</v>
      </c>
      <c r="G4041">
        <v>0.18525059424571</v>
      </c>
      <c r="H4041">
        <v>8.3647008629088901E-2</v>
      </c>
      <c r="I4041">
        <v>6.5993516991454504E-2</v>
      </c>
      <c r="J4041">
        <v>4.83663706006481E-2</v>
      </c>
      <c r="K4041">
        <v>3.2844777341631798E-2</v>
      </c>
      <c r="L4041">
        <v>1000.4894634157901</v>
      </c>
      <c r="M4041">
        <v>19.670550539060599</v>
      </c>
      <c r="N4041">
        <v>51.09550825969</v>
      </c>
      <c r="O4041">
        <v>50.345389620449403</v>
      </c>
      <c r="P4041">
        <v>-9.3487619824033696E-2</v>
      </c>
      <c r="Q4041">
        <v>4.2933490352602501E-2</v>
      </c>
      <c r="R4041">
        <v>0.97677127091566596</v>
      </c>
      <c r="S4041" t="s">
        <v>10352</v>
      </c>
      <c r="T4041" t="s">
        <v>12620</v>
      </c>
      <c r="U4041" t="s">
        <v>12620</v>
      </c>
      <c r="V4041" t="s">
        <v>12620</v>
      </c>
      <c r="W4041" t="s">
        <v>16611</v>
      </c>
      <c r="X4041">
        <v>9</v>
      </c>
      <c r="Y4041" t="s">
        <v>22733</v>
      </c>
      <c r="Z4041" t="s">
        <v>28988</v>
      </c>
      <c r="AA4041">
        <v>0.40317611202470621</v>
      </c>
      <c r="AB4041" t="str">
        <f>HYPERLINK("Melting_Curves/meltCurve_Q8IWV8_4_UBR2.pdf", "Melting_Curves/meltCurve_Q8IWV8_4_UBR2.pdf")</f>
        <v>Melting_Curves/meltCurve_Q8IWV8_4_UBR2.pdf</v>
      </c>
    </row>
    <row r="4042" spans="1:28" x14ac:dyDescent="0.25">
      <c r="A4042" t="s">
        <v>4046</v>
      </c>
      <c r="B4042">
        <v>0.99987803227770999</v>
      </c>
      <c r="C4042">
        <v>0.97026064990191896</v>
      </c>
      <c r="D4042">
        <v>1.02015801662998</v>
      </c>
      <c r="E4042">
        <v>0.97776394808001799</v>
      </c>
      <c r="F4042">
        <v>0.87164752251197597</v>
      </c>
      <c r="G4042">
        <v>0.463013175601317</v>
      </c>
      <c r="H4042">
        <v>0.34153256296346901</v>
      </c>
      <c r="I4042">
        <v>0.27362655757440502</v>
      </c>
      <c r="J4042">
        <v>0.21582596808051899</v>
      </c>
      <c r="K4042">
        <v>0.14909666268012101</v>
      </c>
      <c r="L4042">
        <v>1438.55746262863</v>
      </c>
      <c r="M4042">
        <v>25.721460359901201</v>
      </c>
      <c r="N4042">
        <v>57.103243892148903</v>
      </c>
      <c r="O4042">
        <v>55.593513531719701</v>
      </c>
      <c r="P4042">
        <v>-9.1901962823123198E-2</v>
      </c>
      <c r="Q4042">
        <v>0.205473974149046</v>
      </c>
      <c r="R4042">
        <v>0.98999394077556402</v>
      </c>
      <c r="S4042" t="s">
        <v>10353</v>
      </c>
      <c r="T4042" t="s">
        <v>12620</v>
      </c>
      <c r="U4042" t="s">
        <v>12620</v>
      </c>
      <c r="V4042" t="s">
        <v>12620</v>
      </c>
      <c r="W4042" t="s">
        <v>16612</v>
      </c>
      <c r="X4042">
        <v>15</v>
      </c>
      <c r="Y4042" t="s">
        <v>22734</v>
      </c>
      <c r="Z4042" t="s">
        <v>28989</v>
      </c>
      <c r="AA4042">
        <v>0.63428052420554271</v>
      </c>
      <c r="AB4042" t="str">
        <f>HYPERLINK("Melting_Curves/meltCurve_Q8IWW6_2_ARHGAP12.pdf", "Melting_Curves/meltCurve_Q8IWW6_2_ARHGAP12.pdf")</f>
        <v>Melting_Curves/meltCurve_Q8IWW6_2_ARHGAP12.pdf</v>
      </c>
    </row>
    <row r="4043" spans="1:28" x14ac:dyDescent="0.25">
      <c r="A4043" t="s">
        <v>4047</v>
      </c>
      <c r="B4043">
        <v>0.99987803227770999</v>
      </c>
      <c r="C4043">
        <v>0.96153835128715903</v>
      </c>
      <c r="D4043">
        <v>1.0077846859797099</v>
      </c>
      <c r="E4043">
        <v>0.98486964490635098</v>
      </c>
      <c r="F4043">
        <v>0.92437924797790605</v>
      </c>
      <c r="G4043">
        <v>0.63924608309770403</v>
      </c>
      <c r="H4043">
        <v>0.59076075599391797</v>
      </c>
      <c r="I4043">
        <v>0.51763624597675195</v>
      </c>
      <c r="J4043">
        <v>0.58579173228328196</v>
      </c>
      <c r="K4043">
        <v>0.48454439269977001</v>
      </c>
      <c r="L4043">
        <v>2010.46535934543</v>
      </c>
      <c r="M4043">
        <v>36.411010551720501</v>
      </c>
      <c r="O4043">
        <v>55.050117417159797</v>
      </c>
      <c r="P4043">
        <v>-7.6377675401437001E-2</v>
      </c>
      <c r="Q4043">
        <v>0.53809728550096803</v>
      </c>
      <c r="R4043">
        <v>0.98005008461219201</v>
      </c>
      <c r="S4043" t="s">
        <v>10354</v>
      </c>
      <c r="T4043" t="s">
        <v>12620</v>
      </c>
      <c r="U4043" t="s">
        <v>12620</v>
      </c>
      <c r="V4043" t="s">
        <v>12620</v>
      </c>
      <c r="W4043" t="s">
        <v>16613</v>
      </c>
      <c r="X4043">
        <v>12</v>
      </c>
      <c r="Y4043" t="s">
        <v>22735</v>
      </c>
      <c r="Z4043" t="s">
        <v>28990</v>
      </c>
      <c r="AA4043">
        <v>0.77448589843008675</v>
      </c>
      <c r="AB4043" t="str">
        <f>HYPERLINK("Melting_Curves/meltCurve_Q8IWX8_CHERP.pdf", "Melting_Curves/meltCurve_Q8IWX8_CHERP.pdf")</f>
        <v>Melting_Curves/meltCurve_Q8IWX8_CHERP.pdf</v>
      </c>
    </row>
    <row r="4044" spans="1:28" x14ac:dyDescent="0.25">
      <c r="A4044" t="s">
        <v>4048</v>
      </c>
      <c r="B4044">
        <v>0.99987803227770999</v>
      </c>
      <c r="C4044">
        <v>1.04397328801703</v>
      </c>
      <c r="D4044">
        <v>0.76929726591690395</v>
      </c>
      <c r="E4044">
        <v>0.56574327888956399</v>
      </c>
      <c r="F4044">
        <v>0.40934957468084798</v>
      </c>
      <c r="G4044">
        <v>0.24291224575662501</v>
      </c>
      <c r="H4044">
        <v>0.25705655163575097</v>
      </c>
      <c r="I4044">
        <v>0.21081157575896101</v>
      </c>
      <c r="J4044">
        <v>0.19091240256686501</v>
      </c>
      <c r="K4044">
        <v>0.15926608423513999</v>
      </c>
      <c r="L4044">
        <v>842.70223233642901</v>
      </c>
      <c r="M4044">
        <v>16.995649240406198</v>
      </c>
      <c r="N4044">
        <v>50.971454104103998</v>
      </c>
      <c r="O4044">
        <v>48.9122029953988</v>
      </c>
      <c r="P4044">
        <v>-7.0780498699915206E-2</v>
      </c>
      <c r="Q4044">
        <v>0.185246268334532</v>
      </c>
      <c r="R4044">
        <v>0.98393835647737904</v>
      </c>
      <c r="S4044" t="s">
        <v>10355</v>
      </c>
      <c r="T4044" t="s">
        <v>12620</v>
      </c>
      <c r="U4044" t="s">
        <v>12620</v>
      </c>
      <c r="V4044" t="s">
        <v>12620</v>
      </c>
      <c r="W4044" t="s">
        <v>16614</v>
      </c>
      <c r="X4044">
        <v>5</v>
      </c>
      <c r="Y4044" t="s">
        <v>22736</v>
      </c>
      <c r="Z4044" t="s">
        <v>28991</v>
      </c>
      <c r="AA4044">
        <v>0.46112312894783541</v>
      </c>
      <c r="AB4044" t="str">
        <f>HYPERLINK("Melting_Curves/meltCurve_Q8IWY9_1_CDAN1.pdf", "Melting_Curves/meltCurve_Q8IWY9_1_CDAN1.pdf")</f>
        <v>Melting_Curves/meltCurve_Q8IWY9_1_CDAN1.pdf</v>
      </c>
    </row>
    <row r="4045" spans="1:28" x14ac:dyDescent="0.25">
      <c r="A4045" t="s">
        <v>4049</v>
      </c>
      <c r="B4045">
        <v>0.99987803227770999</v>
      </c>
      <c r="C4045">
        <v>1.0443324638049301</v>
      </c>
      <c r="D4045">
        <v>0.81623707257493205</v>
      </c>
      <c r="E4045">
        <v>0.662570308488584</v>
      </c>
      <c r="F4045">
        <v>0.43706695890260699</v>
      </c>
      <c r="G4045">
        <v>0.31558222230087402</v>
      </c>
      <c r="H4045">
        <v>0.21655350322523001</v>
      </c>
      <c r="I4045">
        <v>0.20096241879138599</v>
      </c>
      <c r="J4045">
        <v>0.16772740603512101</v>
      </c>
      <c r="K4045">
        <v>0.13522221294156</v>
      </c>
      <c r="L4045">
        <v>780.40972408509799</v>
      </c>
      <c r="M4045">
        <v>15.2667300369451</v>
      </c>
      <c r="N4045">
        <v>52.309599310002</v>
      </c>
      <c r="O4045">
        <v>50.265330628308497</v>
      </c>
      <c r="P4045">
        <v>-6.47874878680295E-2</v>
      </c>
      <c r="Q4045">
        <v>0.146835643060819</v>
      </c>
      <c r="R4045">
        <v>0.98860540967271404</v>
      </c>
      <c r="S4045" t="s">
        <v>10356</v>
      </c>
      <c r="T4045" t="s">
        <v>12620</v>
      </c>
      <c r="U4045" t="s">
        <v>12620</v>
      </c>
      <c r="V4045" t="s">
        <v>12620</v>
      </c>
      <c r="W4045" t="s">
        <v>16615</v>
      </c>
      <c r="X4045">
        <v>30</v>
      </c>
      <c r="Y4045" t="s">
        <v>19145</v>
      </c>
      <c r="Z4045" t="s">
        <v>28992</v>
      </c>
      <c r="AA4045">
        <v>0.48210412109485451</v>
      </c>
      <c r="AB4045" t="str">
        <f>HYPERLINK("Melting_Curves/meltCurve_Q8IWZ3_6_ANKHD1.pdf", "Melting_Curves/meltCurve_Q8IWZ3_6_ANKHD1.pdf")</f>
        <v>Melting_Curves/meltCurve_Q8IWZ3_6_ANKHD1.pdf</v>
      </c>
    </row>
    <row r="4046" spans="1:28" x14ac:dyDescent="0.25">
      <c r="A4046" t="s">
        <v>4050</v>
      </c>
      <c r="B4046">
        <v>0.99987803227770999</v>
      </c>
      <c r="C4046">
        <v>0.91348068032676899</v>
      </c>
      <c r="D4046">
        <v>1.00064744237675</v>
      </c>
      <c r="E4046">
        <v>0.95443884905825804</v>
      </c>
      <c r="F4046">
        <v>0.97573496087540301</v>
      </c>
      <c r="G4046">
        <v>0.66244005798268601</v>
      </c>
      <c r="H4046">
        <v>0.51849454363640901</v>
      </c>
      <c r="I4046">
        <v>0.40007468348061598</v>
      </c>
      <c r="J4046">
        <v>0.32933257567298502</v>
      </c>
      <c r="K4046">
        <v>0.25590509895700497</v>
      </c>
      <c r="L4046">
        <v>1047.9081837920801</v>
      </c>
      <c r="M4046">
        <v>17.833850541281301</v>
      </c>
      <c r="N4046">
        <v>60.998568267554496</v>
      </c>
      <c r="O4046">
        <v>58.035626540676297</v>
      </c>
      <c r="P4046">
        <v>-5.8374421219671999E-2</v>
      </c>
      <c r="Q4046">
        <v>0.24018147551974001</v>
      </c>
      <c r="R4046">
        <v>0.97866903234374303</v>
      </c>
      <c r="S4046" t="s">
        <v>10357</v>
      </c>
      <c r="T4046" t="s">
        <v>12620</v>
      </c>
      <c r="U4046" t="s">
        <v>12620</v>
      </c>
      <c r="V4046" t="s">
        <v>12620</v>
      </c>
      <c r="W4046" t="s">
        <v>16616</v>
      </c>
      <c r="X4046">
        <v>17</v>
      </c>
      <c r="Y4046" t="s">
        <v>22737</v>
      </c>
      <c r="Z4046" t="s">
        <v>28993</v>
      </c>
      <c r="AA4046">
        <v>0.72374389733024769</v>
      </c>
      <c r="AB4046" t="str">
        <f>HYPERLINK("Melting_Curves/meltCurve_Q8IWZ8_SUGP1.pdf", "Melting_Curves/meltCurve_Q8IWZ8_SUGP1.pdf")</f>
        <v>Melting_Curves/meltCurve_Q8IWZ8_SUGP1.pdf</v>
      </c>
    </row>
    <row r="4047" spans="1:28" x14ac:dyDescent="0.25">
      <c r="A4047" t="s">
        <v>4051</v>
      </c>
      <c r="B4047">
        <v>0.99987803227770999</v>
      </c>
      <c r="C4047">
        <v>0.89330345938741196</v>
      </c>
      <c r="D4047">
        <v>0.944965640087157</v>
      </c>
      <c r="E4047">
        <v>0.71933361488385195</v>
      </c>
      <c r="F4047">
        <v>0.47099875539566799</v>
      </c>
      <c r="G4047">
        <v>0.44022731686419198</v>
      </c>
      <c r="H4047">
        <v>0.34419482470346702</v>
      </c>
      <c r="I4047">
        <v>0.37155863488964203</v>
      </c>
      <c r="J4047">
        <v>0.27247594638017297</v>
      </c>
      <c r="K4047">
        <v>0.210059403831583</v>
      </c>
      <c r="L4047">
        <v>738.04580450090702</v>
      </c>
      <c r="M4047">
        <v>14.3741959915096</v>
      </c>
      <c r="N4047">
        <v>54.111250625726903</v>
      </c>
      <c r="O4047">
        <v>50.382122549170099</v>
      </c>
      <c r="P4047">
        <v>-5.2773577986451999E-2</v>
      </c>
      <c r="Q4047">
        <v>0.26019476639044198</v>
      </c>
      <c r="R4047">
        <v>0.96735837607969499</v>
      </c>
      <c r="S4047" t="s">
        <v>10358</v>
      </c>
      <c r="T4047" t="s">
        <v>12620</v>
      </c>
      <c r="U4047" t="s">
        <v>12620</v>
      </c>
      <c r="V4047" t="s">
        <v>12620</v>
      </c>
      <c r="W4047" t="s">
        <v>16617</v>
      </c>
      <c r="X4047">
        <v>7</v>
      </c>
      <c r="Y4047" t="s">
        <v>22738</v>
      </c>
      <c r="Z4047" t="s">
        <v>28994</v>
      </c>
      <c r="AA4047">
        <v>0.55806064892437801</v>
      </c>
      <c r="AB4047" t="str">
        <f>HYPERLINK("Melting_Curves/meltCurve_Q8IX01_4_SUGP2.pdf", "Melting_Curves/meltCurve_Q8IX01_4_SUGP2.pdf")</f>
        <v>Melting_Curves/meltCurve_Q8IX01_4_SUGP2.pdf</v>
      </c>
    </row>
    <row r="4048" spans="1:28" x14ac:dyDescent="0.25">
      <c r="A4048" t="s">
        <v>4052</v>
      </c>
      <c r="B4048">
        <v>0.99987803227770999</v>
      </c>
      <c r="C4048">
        <v>1.0040057739510599</v>
      </c>
      <c r="D4048">
        <v>0.79929547571682802</v>
      </c>
      <c r="E4048">
        <v>0.52665337138940405</v>
      </c>
      <c r="F4048">
        <v>0.34741980703862002</v>
      </c>
      <c r="G4048">
        <v>0.23233409885647399</v>
      </c>
      <c r="H4048">
        <v>0.191900477511249</v>
      </c>
      <c r="I4048">
        <v>0.16124435013347199</v>
      </c>
      <c r="J4048">
        <v>0.13211826016664699</v>
      </c>
      <c r="K4048">
        <v>9.8830591677225896E-2</v>
      </c>
      <c r="L4048">
        <v>855.55257110190996</v>
      </c>
      <c r="M4048">
        <v>17.247186116922801</v>
      </c>
      <c r="N4048">
        <v>50.499399701544696</v>
      </c>
      <c r="O4048">
        <v>48.952874526449698</v>
      </c>
      <c r="P4048">
        <v>-7.6496551832185899E-2</v>
      </c>
      <c r="Q4048">
        <v>0.13156672257223501</v>
      </c>
      <c r="R4048">
        <v>0.99404659846784005</v>
      </c>
      <c r="S4048" t="s">
        <v>10359</v>
      </c>
      <c r="T4048" t="s">
        <v>12620</v>
      </c>
      <c r="U4048" t="s">
        <v>12620</v>
      </c>
      <c r="V4048" t="s">
        <v>12620</v>
      </c>
      <c r="W4048" t="s">
        <v>16618</v>
      </c>
      <c r="X4048">
        <v>12</v>
      </c>
      <c r="Y4048" t="s">
        <v>22739</v>
      </c>
      <c r="Z4048" t="s">
        <v>28995</v>
      </c>
      <c r="AA4048">
        <v>0.42578734439302651</v>
      </c>
      <c r="AB4048" t="str">
        <f>HYPERLINK("Melting_Curves/meltCurve_Q8IX03_2_WWC1.pdf", "Melting_Curves/meltCurve_Q8IX03_2_WWC1.pdf")</f>
        <v>Melting_Curves/meltCurve_Q8IX03_2_WWC1.pdf</v>
      </c>
    </row>
    <row r="4049" spans="1:28" x14ac:dyDescent="0.25">
      <c r="A4049" t="s">
        <v>4053</v>
      </c>
      <c r="B4049">
        <v>0.99987803227770999</v>
      </c>
      <c r="C4049">
        <v>0.36385140847081099</v>
      </c>
      <c r="D4049">
        <v>0.929969363239183</v>
      </c>
      <c r="E4049">
        <v>0.92661719943973397</v>
      </c>
      <c r="F4049">
        <v>0.58461327336329705</v>
      </c>
      <c r="G4049">
        <v>0.14719666366242001</v>
      </c>
      <c r="H4049">
        <v>0.11557739840766799</v>
      </c>
      <c r="I4049">
        <v>6.8090560049433105E-2</v>
      </c>
      <c r="J4049">
        <v>4.59943108449717E-2</v>
      </c>
      <c r="K4049">
        <v>3.3953476056082899E-2</v>
      </c>
      <c r="L4049">
        <v>1768.3167337254699</v>
      </c>
      <c r="M4049">
        <v>33.121551571000701</v>
      </c>
      <c r="N4049">
        <v>53.587466866642302</v>
      </c>
      <c r="O4049">
        <v>53.195192033575402</v>
      </c>
      <c r="P4049">
        <v>-0.14666334424270999</v>
      </c>
      <c r="Q4049">
        <v>5.7803347279381703E-2</v>
      </c>
      <c r="R4049">
        <v>0.71859780067914802</v>
      </c>
      <c r="S4049" t="s">
        <v>10360</v>
      </c>
      <c r="T4049" t="s">
        <v>12620</v>
      </c>
      <c r="U4049" t="s">
        <v>12620</v>
      </c>
      <c r="V4049" t="s">
        <v>12620</v>
      </c>
      <c r="W4049" t="s">
        <v>16619</v>
      </c>
      <c r="X4049">
        <v>6</v>
      </c>
      <c r="Y4049" t="s">
        <v>22740</v>
      </c>
      <c r="Z4049" t="s">
        <v>28996</v>
      </c>
      <c r="AA4049">
        <v>0.48335383997257941</v>
      </c>
      <c r="AB4049" t="str">
        <f>HYPERLINK("Melting_Curves/meltCurve_Q8IX04_6_UEVLD.pdf", "Melting_Curves/meltCurve_Q8IX04_6_UEVLD.pdf")</f>
        <v>Melting_Curves/meltCurve_Q8IX04_6_UEVLD.pdf</v>
      </c>
    </row>
    <row r="4050" spans="1:28" x14ac:dyDescent="0.25">
      <c r="A4050" t="s">
        <v>4054</v>
      </c>
      <c r="B4050">
        <v>0.99987803227770999</v>
      </c>
      <c r="C4050">
        <v>0.731382415105442</v>
      </c>
      <c r="D4050">
        <v>1.0794957191771299</v>
      </c>
      <c r="E4050">
        <v>0.82457766987918302</v>
      </c>
      <c r="F4050">
        <v>0.91574235447154695</v>
      </c>
      <c r="G4050">
        <v>0.69921059856763501</v>
      </c>
      <c r="H4050">
        <v>0.72459936655261803</v>
      </c>
      <c r="I4050">
        <v>0.646847123345481</v>
      </c>
      <c r="J4050">
        <v>0.64444190207047902</v>
      </c>
      <c r="K4050">
        <v>0.532714948816987</v>
      </c>
      <c r="L4050">
        <v>290.68922378444802</v>
      </c>
      <c r="M4050">
        <v>3.8979729714209999</v>
      </c>
      <c r="O4050">
        <v>60.714078655129398</v>
      </c>
      <c r="P4050">
        <v>-1.6274598098940898E-2</v>
      </c>
      <c r="Q4050">
        <v>0</v>
      </c>
      <c r="R4050">
        <v>0.66174529630446899</v>
      </c>
      <c r="S4050" t="s">
        <v>10361</v>
      </c>
      <c r="T4050" t="s">
        <v>12620</v>
      </c>
      <c r="U4050" t="s">
        <v>12620</v>
      </c>
      <c r="V4050" t="s">
        <v>12620</v>
      </c>
      <c r="W4050" t="s">
        <v>16620</v>
      </c>
      <c r="X4050">
        <v>2</v>
      </c>
      <c r="Y4050" t="s">
        <v>22741</v>
      </c>
      <c r="Z4050" t="s">
        <v>28997</v>
      </c>
      <c r="AA4050">
        <v>0.78818076420622907</v>
      </c>
      <c r="AB4050" t="str">
        <f>HYPERLINK("Melting_Curves/meltCurve_Q8IX07_ZFPM1.pdf", "Melting_Curves/meltCurve_Q8IX07_ZFPM1.pdf")</f>
        <v>Melting_Curves/meltCurve_Q8IX07_ZFPM1.pdf</v>
      </c>
    </row>
    <row r="4051" spans="1:28" x14ac:dyDescent="0.25">
      <c r="A4051" t="s">
        <v>4055</v>
      </c>
      <c r="B4051">
        <v>0.99987803227770999</v>
      </c>
      <c r="C4051">
        <v>1.0277308976737001</v>
      </c>
      <c r="D4051">
        <v>1.0734226188371101</v>
      </c>
      <c r="E4051">
        <v>1.1648866839421601</v>
      </c>
      <c r="F4051">
        <v>0.92279065018219797</v>
      </c>
      <c r="G4051">
        <v>0.76914135535587702</v>
      </c>
      <c r="H4051">
        <v>0.68103407250112902</v>
      </c>
      <c r="I4051">
        <v>0.64962405274338098</v>
      </c>
      <c r="J4051">
        <v>0.52963721651565498</v>
      </c>
      <c r="K4051">
        <v>0.45830311482652702</v>
      </c>
      <c r="L4051">
        <v>1017.42631609911</v>
      </c>
      <c r="M4051">
        <v>17.008948356860099</v>
      </c>
      <c r="N4051">
        <v>69.340934217776194</v>
      </c>
      <c r="O4051">
        <v>59.008637011564097</v>
      </c>
      <c r="P4051">
        <v>-3.951724148276E-2</v>
      </c>
      <c r="Q4051">
        <v>0.45164984976573103</v>
      </c>
      <c r="R4051">
        <v>0.90579859235763704</v>
      </c>
      <c r="S4051" t="s">
        <v>10362</v>
      </c>
      <c r="T4051" t="s">
        <v>12620</v>
      </c>
      <c r="U4051" t="s">
        <v>12620</v>
      </c>
      <c r="V4051" t="s">
        <v>12620</v>
      </c>
      <c r="W4051" t="s">
        <v>16621</v>
      </c>
      <c r="X4051">
        <v>11</v>
      </c>
      <c r="Y4051" t="s">
        <v>22742</v>
      </c>
      <c r="Z4051" t="s">
        <v>28998</v>
      </c>
      <c r="AA4051">
        <v>0.81856844969026843</v>
      </c>
      <c r="AB4051" t="str">
        <f>HYPERLINK("Melting_Curves/meltCurve_Q8IX12_2_CCAR1.pdf", "Melting_Curves/meltCurve_Q8IX12_2_CCAR1.pdf")</f>
        <v>Melting_Curves/meltCurve_Q8IX12_2_CCAR1.pdf</v>
      </c>
    </row>
    <row r="4052" spans="1:28" x14ac:dyDescent="0.25">
      <c r="A4052" t="s">
        <v>4056</v>
      </c>
      <c r="B4052">
        <v>0.99987803227770999</v>
      </c>
      <c r="C4052">
        <v>1.09507805826017</v>
      </c>
      <c r="D4052">
        <v>0.85602965671069098</v>
      </c>
      <c r="E4052">
        <v>0.64436260316527705</v>
      </c>
      <c r="F4052">
        <v>0.38882701715481499</v>
      </c>
      <c r="G4052">
        <v>0.210708138393158</v>
      </c>
      <c r="H4052">
        <v>0.15778628232379799</v>
      </c>
      <c r="I4052">
        <v>0.14855277520429999</v>
      </c>
      <c r="J4052">
        <v>0.12402855142629</v>
      </c>
      <c r="K4052">
        <v>9.1605821563066098E-2</v>
      </c>
      <c r="L4052">
        <v>1007.90554495403</v>
      </c>
      <c r="M4052">
        <v>19.801703059432601</v>
      </c>
      <c r="N4052">
        <v>51.583657282153503</v>
      </c>
      <c r="O4052">
        <v>50.389359394747203</v>
      </c>
      <c r="P4052">
        <v>-8.6907015946399394E-2</v>
      </c>
      <c r="Q4052">
        <v>0.115421471989824</v>
      </c>
      <c r="R4052">
        <v>0.98759274083873205</v>
      </c>
      <c r="S4052" t="s">
        <v>10363</v>
      </c>
      <c r="T4052" t="s">
        <v>12620</v>
      </c>
      <c r="U4052" t="s">
        <v>12620</v>
      </c>
      <c r="V4052" t="s">
        <v>12620</v>
      </c>
      <c r="W4052" t="s">
        <v>16622</v>
      </c>
      <c r="X4052">
        <v>5</v>
      </c>
      <c r="Y4052" t="s">
        <v>22743</v>
      </c>
      <c r="Z4052" t="s">
        <v>28999</v>
      </c>
      <c r="AA4052">
        <v>0.449330837000119</v>
      </c>
      <c r="AB4052" t="str">
        <f>HYPERLINK("Melting_Curves/meltCurve_Q8IX18_3_DHX40.pdf", "Melting_Curves/meltCurve_Q8IX18_3_DHX40.pdf")</f>
        <v>Melting_Curves/meltCurve_Q8IX18_3_DHX40.pdf</v>
      </c>
    </row>
    <row r="4053" spans="1:28" x14ac:dyDescent="0.25">
      <c r="A4053" t="s">
        <v>4057</v>
      </c>
      <c r="B4053">
        <v>0.99987803227770999</v>
      </c>
      <c r="C4053">
        <v>0.83359913320370405</v>
      </c>
      <c r="D4053">
        <v>0.79933064364170603</v>
      </c>
      <c r="E4053">
        <v>0.68160304671604199</v>
      </c>
      <c r="F4053">
        <v>0.67359861276314703</v>
      </c>
      <c r="G4053">
        <v>0.59111200108735296</v>
      </c>
      <c r="H4053">
        <v>0.64690915998764997</v>
      </c>
      <c r="I4053">
        <v>0.67510495411803995</v>
      </c>
      <c r="J4053">
        <v>0.59213311849938099</v>
      </c>
      <c r="K4053">
        <v>0.56021285702312595</v>
      </c>
      <c r="L4053">
        <v>654.85211419555503</v>
      </c>
      <c r="M4053">
        <v>14.447604763967</v>
      </c>
      <c r="O4053">
        <v>44.484166528642099</v>
      </c>
      <c r="P4053">
        <v>-3.1817583658031702E-2</v>
      </c>
      <c r="Q4053">
        <v>0.60818056322853598</v>
      </c>
      <c r="R4053">
        <v>0.91329802074558397</v>
      </c>
      <c r="S4053" t="s">
        <v>10364</v>
      </c>
      <c r="T4053" t="s">
        <v>12620</v>
      </c>
      <c r="U4053" t="s">
        <v>12620</v>
      </c>
      <c r="V4053" t="s">
        <v>12620</v>
      </c>
      <c r="W4053" t="s">
        <v>16623</v>
      </c>
      <c r="X4053">
        <v>6</v>
      </c>
      <c r="Y4053" t="s">
        <v>22744</v>
      </c>
      <c r="Z4053" t="s">
        <v>29000</v>
      </c>
      <c r="AA4053">
        <v>0.69090106863621203</v>
      </c>
      <c r="AB4053" t="str">
        <f>HYPERLINK("Melting_Curves/meltCurve_Q8IX90_SKA3.pdf", "Melting_Curves/meltCurve_Q8IX90_SKA3.pdf")</f>
        <v>Melting_Curves/meltCurve_Q8IX90_SKA3.pdf</v>
      </c>
    </row>
    <row r="4054" spans="1:28" x14ac:dyDescent="0.25">
      <c r="A4054" t="s">
        <v>4058</v>
      </c>
      <c r="B4054">
        <v>0.99987803227770999</v>
      </c>
      <c r="C4054">
        <v>0.94179876106058202</v>
      </c>
      <c r="D4054">
        <v>0.82134319787049503</v>
      </c>
      <c r="E4054">
        <v>0.88330114315555897</v>
      </c>
      <c r="F4054">
        <v>0.52764546808476098</v>
      </c>
      <c r="G4054">
        <v>0.26369056573063898</v>
      </c>
      <c r="H4054">
        <v>0.12711686504267999</v>
      </c>
      <c r="I4054">
        <v>0.103919829243851</v>
      </c>
      <c r="J4054">
        <v>0.10916889861748801</v>
      </c>
      <c r="K4054">
        <v>8.5229301970605201E-2</v>
      </c>
      <c r="L4054">
        <v>1081.97960809389</v>
      </c>
      <c r="M4054">
        <v>20.343112506328101</v>
      </c>
      <c r="N4054">
        <v>53.630342017117101</v>
      </c>
      <c r="O4054">
        <v>52.680587432410199</v>
      </c>
      <c r="P4054">
        <v>-8.9063713255352506E-2</v>
      </c>
      <c r="Q4054">
        <v>7.7469401315003003E-2</v>
      </c>
      <c r="R4054">
        <v>0.97764858021047396</v>
      </c>
      <c r="S4054" t="s">
        <v>10365</v>
      </c>
      <c r="T4054" t="s">
        <v>12620</v>
      </c>
      <c r="U4054" t="s">
        <v>12620</v>
      </c>
      <c r="V4054" t="s">
        <v>12620</v>
      </c>
      <c r="W4054" t="s">
        <v>16624</v>
      </c>
      <c r="X4054">
        <v>5</v>
      </c>
      <c r="Y4054" t="s">
        <v>22745</v>
      </c>
      <c r="Z4054" t="s">
        <v>29001</v>
      </c>
      <c r="AA4054">
        <v>0.49527490121928541</v>
      </c>
      <c r="AB4054" t="str">
        <f>HYPERLINK("Melting_Curves/meltCurve_Q8IXB1_DNAJC10.pdf", "Melting_Curves/meltCurve_Q8IXB1_DNAJC10.pdf")</f>
        <v>Melting_Curves/meltCurve_Q8IXB1_DNAJC10.pdf</v>
      </c>
    </row>
    <row r="4055" spans="1:28" x14ac:dyDescent="0.25">
      <c r="A4055" t="s">
        <v>4059</v>
      </c>
      <c r="B4055">
        <v>0.99987803227770999</v>
      </c>
      <c r="C4055">
        <v>1.05799580693472</v>
      </c>
      <c r="D4055">
        <v>0.76938356247245099</v>
      </c>
      <c r="E4055">
        <v>0.37356499601318299</v>
      </c>
      <c r="F4055">
        <v>0.150810661433643</v>
      </c>
      <c r="G4055">
        <v>9.2030918436561596E-2</v>
      </c>
      <c r="H4055">
        <v>5.1391033275390297E-2</v>
      </c>
      <c r="I4055">
        <v>5.2711029295248402E-2</v>
      </c>
      <c r="J4055">
        <v>3.2442008772015397E-2</v>
      </c>
      <c r="K4055">
        <v>1.8779532504678498E-2</v>
      </c>
      <c r="L4055">
        <v>1181.4447649709</v>
      </c>
      <c r="M4055">
        <v>24.309925514207201</v>
      </c>
      <c r="N4055">
        <v>48.774518298887401</v>
      </c>
      <c r="O4055">
        <v>48.273969875109103</v>
      </c>
      <c r="P4055">
        <v>-0.12063255960605</v>
      </c>
      <c r="Q4055">
        <v>4.1818869799774797E-2</v>
      </c>
      <c r="R4055">
        <v>0.99261827555132898</v>
      </c>
      <c r="S4055" t="s">
        <v>10366</v>
      </c>
      <c r="T4055" t="s">
        <v>12620</v>
      </c>
      <c r="U4055" t="s">
        <v>12620</v>
      </c>
      <c r="V4055" t="s">
        <v>12620</v>
      </c>
      <c r="W4055" t="s">
        <v>16625</v>
      </c>
      <c r="X4055">
        <v>7</v>
      </c>
      <c r="Y4055" t="s">
        <v>22746</v>
      </c>
      <c r="Z4055" t="s">
        <v>29002</v>
      </c>
      <c r="AA4055">
        <v>0.32545693120149688</v>
      </c>
      <c r="AB4055" t="str">
        <f>HYPERLINK("Melting_Curves/meltCurve_Q8IXH7_4_NELFCD.pdf", "Melting_Curves/meltCurve_Q8IXH7_4_NELFCD.pdf")</f>
        <v>Melting_Curves/meltCurve_Q8IXH7_4_NELFCD.pdf</v>
      </c>
    </row>
    <row r="4056" spans="1:28" x14ac:dyDescent="0.25">
      <c r="A4056" t="s">
        <v>4060</v>
      </c>
      <c r="B4056">
        <v>0.99987803227770999</v>
      </c>
      <c r="C4056">
        <v>0.87170802970591299</v>
      </c>
      <c r="D4056">
        <v>0.96632257507992703</v>
      </c>
      <c r="E4056">
        <v>0.79918413341924199</v>
      </c>
      <c r="F4056">
        <v>0.39342554362319698</v>
      </c>
      <c r="G4056">
        <v>0.22487622270041599</v>
      </c>
      <c r="H4056">
        <v>0.153946045325981</v>
      </c>
      <c r="I4056">
        <v>0.135348834679515</v>
      </c>
      <c r="J4056">
        <v>9.0907112483136807E-2</v>
      </c>
      <c r="K4056">
        <v>7.8984108630768005E-2</v>
      </c>
      <c r="L4056">
        <v>1409.62257092511</v>
      </c>
      <c r="M4056">
        <v>27.168659589715801</v>
      </c>
      <c r="N4056">
        <v>52.382019075023301</v>
      </c>
      <c r="O4056">
        <v>51.605492370147097</v>
      </c>
      <c r="P4056">
        <v>-0.116641288428419</v>
      </c>
      <c r="Q4056">
        <v>0.113791708305546</v>
      </c>
      <c r="R4056">
        <v>0.98333510316693495</v>
      </c>
      <c r="S4056" t="s">
        <v>10367</v>
      </c>
      <c r="T4056" t="s">
        <v>12620</v>
      </c>
      <c r="U4056" t="s">
        <v>12620</v>
      </c>
      <c r="V4056" t="s">
        <v>12620</v>
      </c>
      <c r="W4056" t="s">
        <v>16626</v>
      </c>
      <c r="X4056">
        <v>4</v>
      </c>
      <c r="Y4056" t="s">
        <v>22747</v>
      </c>
      <c r="Z4056" t="s">
        <v>29003</v>
      </c>
      <c r="AA4056">
        <v>0.47172587178166231</v>
      </c>
      <c r="AB4056" t="str">
        <f>HYPERLINK("Melting_Curves/meltCurve_Q8IXJ6_2_SIRT2.pdf", "Melting_Curves/meltCurve_Q8IXJ6_2_SIRT2.pdf")</f>
        <v>Melting_Curves/meltCurve_Q8IXJ6_2_SIRT2.pdf</v>
      </c>
    </row>
    <row r="4057" spans="1:28" x14ac:dyDescent="0.25">
      <c r="A4057" t="s">
        <v>4061</v>
      </c>
      <c r="B4057">
        <v>0.99987803227770999</v>
      </c>
      <c r="C4057">
        <v>0.99741148084530096</v>
      </c>
      <c r="D4057">
        <v>0.99372243525161796</v>
      </c>
      <c r="E4057">
        <v>0.83698967924040701</v>
      </c>
      <c r="F4057">
        <v>0.66414801433886195</v>
      </c>
      <c r="G4057">
        <v>0.52923125716159902</v>
      </c>
      <c r="H4057">
        <v>0.42213686420959601</v>
      </c>
      <c r="I4057">
        <v>0.35838593402996499</v>
      </c>
      <c r="J4057">
        <v>0.34875258009814702</v>
      </c>
      <c r="K4057">
        <v>0.29024524599875701</v>
      </c>
      <c r="L4057">
        <v>814.53949198501596</v>
      </c>
      <c r="M4057">
        <v>15.094281893194299</v>
      </c>
      <c r="N4057">
        <v>57.419541740346702</v>
      </c>
      <c r="O4057">
        <v>53.042864332111101</v>
      </c>
      <c r="P4057">
        <v>-4.9915136574149199E-2</v>
      </c>
      <c r="Q4057">
        <v>0.29844139349101301</v>
      </c>
      <c r="R4057">
        <v>0.99398706997297204</v>
      </c>
      <c r="S4057" t="s">
        <v>10368</v>
      </c>
      <c r="T4057" t="s">
        <v>12620</v>
      </c>
      <c r="U4057" t="s">
        <v>12620</v>
      </c>
      <c r="V4057" t="s">
        <v>12620</v>
      </c>
      <c r="W4057" t="s">
        <v>16627</v>
      </c>
      <c r="X4057">
        <v>4</v>
      </c>
      <c r="Y4057" t="s">
        <v>22748</v>
      </c>
      <c r="Z4057" t="s">
        <v>29004</v>
      </c>
      <c r="AA4057">
        <v>0.63929063779316531</v>
      </c>
      <c r="AB4057" t="str">
        <f>HYPERLINK("Melting_Curves/meltCurve_Q8IXK0_2_PHC2.pdf", "Melting_Curves/meltCurve_Q8IXK0_2_PHC2.pdf")</f>
        <v>Melting_Curves/meltCurve_Q8IXK0_2_PHC2.pdf</v>
      </c>
    </row>
    <row r="4058" spans="1:28" x14ac:dyDescent="0.25">
      <c r="A4058" t="s">
        <v>4062</v>
      </c>
      <c r="B4058">
        <v>0.99987803227770999</v>
      </c>
      <c r="C4058">
        <v>0.92749531670875296</v>
      </c>
      <c r="D4058">
        <v>0.96845173292113196</v>
      </c>
      <c r="E4058">
        <v>0.82126195182777395</v>
      </c>
      <c r="F4058">
        <v>1.05183935659468</v>
      </c>
      <c r="G4058">
        <v>0.86066369294164102</v>
      </c>
      <c r="H4058">
        <v>0.891106220732093</v>
      </c>
      <c r="I4058">
        <v>0.71018756307397302</v>
      </c>
      <c r="J4058">
        <v>0.76545535711907198</v>
      </c>
      <c r="K4058">
        <v>0.50166684040767895</v>
      </c>
      <c r="L4058">
        <v>643.03255524366898</v>
      </c>
      <c r="M4058">
        <v>8.9069072830325506</v>
      </c>
      <c r="O4058">
        <v>68.833774671513396</v>
      </c>
      <c r="P4058">
        <v>-3.2373770189609803E-2</v>
      </c>
      <c r="Q4058">
        <v>0</v>
      </c>
      <c r="R4058">
        <v>0.73553054442739096</v>
      </c>
      <c r="S4058" t="s">
        <v>10369</v>
      </c>
      <c r="T4058" t="s">
        <v>12620</v>
      </c>
      <c r="U4058" t="s">
        <v>12620</v>
      </c>
      <c r="V4058" t="s">
        <v>12620</v>
      </c>
      <c r="W4058" t="s">
        <v>16628</v>
      </c>
      <c r="X4058">
        <v>4</v>
      </c>
      <c r="Y4058" t="s">
        <v>22749</v>
      </c>
      <c r="Z4058" t="s">
        <v>29005</v>
      </c>
      <c r="AA4058">
        <v>0.8839580058032438</v>
      </c>
      <c r="AB4058" t="str">
        <f>HYPERLINK("Melting_Curves/meltCurve_Q8IXM2_2_BAP18.pdf", "Melting_Curves/meltCurve_Q8IXM2_2_BAP18.pdf")</f>
        <v>Melting_Curves/meltCurve_Q8IXM2_2_BAP18.pdf</v>
      </c>
    </row>
    <row r="4059" spans="1:28" x14ac:dyDescent="0.25">
      <c r="A4059" t="s">
        <v>4063</v>
      </c>
      <c r="B4059">
        <v>0.99987803227770999</v>
      </c>
      <c r="C4059">
        <v>0.88154584232856403</v>
      </c>
      <c r="D4059">
        <v>1.1248009598750399</v>
      </c>
      <c r="E4059">
        <v>1.2533731442968801</v>
      </c>
      <c r="F4059">
        <v>0.78570282859597695</v>
      </c>
      <c r="G4059">
        <v>0.50770444231854805</v>
      </c>
      <c r="H4059">
        <v>0.33362038728917498</v>
      </c>
      <c r="I4059">
        <v>0.28548028096980999</v>
      </c>
      <c r="J4059">
        <v>0.18496501962283701</v>
      </c>
      <c r="K4059">
        <v>0.146947673063754</v>
      </c>
      <c r="L4059">
        <v>1556.3570452194101</v>
      </c>
      <c r="M4059">
        <v>27.720153297850601</v>
      </c>
      <c r="N4059">
        <v>57.227109009155399</v>
      </c>
      <c r="O4059">
        <v>55.855544451347498</v>
      </c>
      <c r="P4059">
        <v>-9.8770151812807294E-2</v>
      </c>
      <c r="Q4059">
        <v>0.203927387799621</v>
      </c>
      <c r="R4059">
        <v>0.91677452332098297</v>
      </c>
      <c r="S4059" t="s">
        <v>10370</v>
      </c>
      <c r="T4059" t="s">
        <v>12620</v>
      </c>
      <c r="U4059" t="s">
        <v>12620</v>
      </c>
      <c r="V4059" t="s">
        <v>12620</v>
      </c>
      <c r="W4059" t="s">
        <v>16629</v>
      </c>
      <c r="X4059">
        <v>1</v>
      </c>
      <c r="Y4059" t="s">
        <v>22750</v>
      </c>
      <c r="Z4059" t="s">
        <v>29006</v>
      </c>
      <c r="AA4059">
        <v>0.63847294777476782</v>
      </c>
      <c r="AB4059" t="str">
        <f>HYPERLINK("Melting_Curves/meltCurve_Q8IXM3_MRPL41.pdf", "Melting_Curves/meltCurve_Q8IXM3_MRPL41.pdf")</f>
        <v>Melting_Curves/meltCurve_Q8IXM3_MRPL41.pdf</v>
      </c>
    </row>
    <row r="4060" spans="1:28" x14ac:dyDescent="0.25">
      <c r="A4060" t="s">
        <v>4064</v>
      </c>
      <c r="B4060">
        <v>0.99987803227770999</v>
      </c>
      <c r="C4060">
        <v>1.43504302804379</v>
      </c>
      <c r="D4060">
        <v>1.37540892333693</v>
      </c>
      <c r="E4060">
        <v>1.1525977691420199</v>
      </c>
      <c r="F4060">
        <v>0.64622402586449501</v>
      </c>
      <c r="G4060">
        <v>0.54752526659372902</v>
      </c>
      <c r="H4060">
        <v>0.13053926401473701</v>
      </c>
      <c r="I4060">
        <v>0.14261261222338101</v>
      </c>
      <c r="J4060">
        <v>9.1132082407058806E-2</v>
      </c>
      <c r="K4060">
        <v>0</v>
      </c>
      <c r="L4060">
        <v>1300.55405389617</v>
      </c>
      <c r="M4060">
        <v>23.024121518940099</v>
      </c>
      <c r="N4060">
        <v>56.674797487144701</v>
      </c>
      <c r="O4060">
        <v>56.065645917780799</v>
      </c>
      <c r="P4060">
        <v>-9.8889111375967897E-2</v>
      </c>
      <c r="Q4060">
        <v>3.6805195373785099E-2</v>
      </c>
      <c r="R4060">
        <v>0.84912105019446305</v>
      </c>
      <c r="S4060" t="s">
        <v>10371</v>
      </c>
      <c r="T4060" t="s">
        <v>12620</v>
      </c>
      <c r="U4060" t="s">
        <v>12620</v>
      </c>
      <c r="V4060" t="s">
        <v>12620</v>
      </c>
      <c r="W4060" t="s">
        <v>16630</v>
      </c>
      <c r="X4060">
        <v>1</v>
      </c>
      <c r="Y4060" t="s">
        <v>22751</v>
      </c>
      <c r="Z4060" t="s">
        <v>29007</v>
      </c>
      <c r="AA4060">
        <v>0.57610615509218654</v>
      </c>
      <c r="AB4060" t="str">
        <f>HYPERLINK("Melting_Curves/meltCurve_Q8IXN7_RIMKLA.pdf", "Melting_Curves/meltCurve_Q8IXN7_RIMKLA.pdf")</f>
        <v>Melting_Curves/meltCurve_Q8IXN7_RIMKLA.pdf</v>
      </c>
    </row>
    <row r="4061" spans="1:28" x14ac:dyDescent="0.25">
      <c r="A4061" t="s">
        <v>4065</v>
      </c>
      <c r="B4061">
        <v>0.99987803227770999</v>
      </c>
      <c r="C4061">
        <v>0.88663086361561505</v>
      </c>
      <c r="D4061">
        <v>1.2984090613972299</v>
      </c>
      <c r="E4061">
        <v>0.86489706689757295</v>
      </c>
      <c r="F4061">
        <v>0.97908908896139801</v>
      </c>
      <c r="G4061">
        <v>0.72286406678607196</v>
      </c>
      <c r="H4061">
        <v>0.79075792556426305</v>
      </c>
      <c r="I4061">
        <v>0.73509327733412</v>
      </c>
      <c r="J4061">
        <v>0.79363828377922996</v>
      </c>
      <c r="K4061">
        <v>0.62754437534857099</v>
      </c>
      <c r="L4061">
        <v>13380.455800722701</v>
      </c>
      <c r="M4061">
        <v>250</v>
      </c>
      <c r="O4061">
        <v>53.518398148954397</v>
      </c>
      <c r="P4061">
        <v>-0.31066469067122998</v>
      </c>
      <c r="Q4061">
        <v>0.73397957455226803</v>
      </c>
      <c r="R4061">
        <v>0.57201251795234698</v>
      </c>
      <c r="S4061" t="s">
        <v>10372</v>
      </c>
      <c r="T4061" t="s">
        <v>12620</v>
      </c>
      <c r="U4061" t="s">
        <v>12620</v>
      </c>
      <c r="V4061" t="s">
        <v>12620</v>
      </c>
      <c r="W4061" t="s">
        <v>16631</v>
      </c>
      <c r="X4061">
        <v>3</v>
      </c>
      <c r="Y4061" t="s">
        <v>22752</v>
      </c>
      <c r="Z4061" t="s">
        <v>29008</v>
      </c>
      <c r="AA4061">
        <v>0.85390726721738019</v>
      </c>
      <c r="AB4061" t="str">
        <f>HYPERLINK("Melting_Curves/meltCurve_Q8IXQ3_C9orf40.pdf", "Melting_Curves/meltCurve_Q8IXQ3_C9orf40.pdf")</f>
        <v>Melting_Curves/meltCurve_Q8IXQ3_C9orf40.pdf</v>
      </c>
    </row>
    <row r="4062" spans="1:28" x14ac:dyDescent="0.25">
      <c r="A4062" t="s">
        <v>4066</v>
      </c>
      <c r="B4062">
        <v>0.99987803227770999</v>
      </c>
      <c r="C4062">
        <v>0.93181647889684105</v>
      </c>
      <c r="D4062">
        <v>1.04633273466438</v>
      </c>
      <c r="E4062">
        <v>0.90439652110278901</v>
      </c>
      <c r="F4062">
        <v>1.0261370165144801</v>
      </c>
      <c r="G4062">
        <v>0.86704933774094595</v>
      </c>
      <c r="H4062">
        <v>0.98493336511582297</v>
      </c>
      <c r="I4062">
        <v>0.91223715245338599</v>
      </c>
      <c r="J4062">
        <v>1.0566918651180599</v>
      </c>
      <c r="K4062">
        <v>0.87775308262238605</v>
      </c>
      <c r="L4062">
        <v>429.27290957976902</v>
      </c>
      <c r="M4062">
        <v>9.0876766920945506</v>
      </c>
      <c r="O4062">
        <v>45.117978070656299</v>
      </c>
      <c r="P4062">
        <v>-2.9096138255605198E-3</v>
      </c>
      <c r="Q4062">
        <v>0.94225847108729799</v>
      </c>
      <c r="R4062">
        <v>5.01845655372282E-2</v>
      </c>
      <c r="S4062" t="s">
        <v>10373</v>
      </c>
      <c r="T4062" t="s">
        <v>12620</v>
      </c>
      <c r="U4062" t="s">
        <v>12620</v>
      </c>
      <c r="V4062" t="s">
        <v>12620</v>
      </c>
      <c r="W4062" t="s">
        <v>16632</v>
      </c>
      <c r="X4062">
        <v>15</v>
      </c>
      <c r="Y4062" t="s">
        <v>22753</v>
      </c>
      <c r="Z4062" t="s">
        <v>29009</v>
      </c>
      <c r="AA4062">
        <v>0.95995486539284036</v>
      </c>
      <c r="AB4062" t="str">
        <f>HYPERLINK("Melting_Curves/meltCurve_Q8IXQ4_KIAA1704.pdf", "Melting_Curves/meltCurve_Q8IXQ4_KIAA1704.pdf")</f>
        <v>Melting_Curves/meltCurve_Q8IXQ4_KIAA1704.pdf</v>
      </c>
    </row>
    <row r="4063" spans="1:28" x14ac:dyDescent="0.25">
      <c r="A4063" t="s">
        <v>4067</v>
      </c>
      <c r="B4063">
        <v>0.99987803227770999</v>
      </c>
      <c r="C4063">
        <v>0.98646622633932701</v>
      </c>
      <c r="D4063">
        <v>0.98531560596455003</v>
      </c>
      <c r="E4063">
        <v>0.749582766269412</v>
      </c>
      <c r="F4063">
        <v>0.404932284506962</v>
      </c>
      <c r="G4063">
        <v>0.191377827400905</v>
      </c>
      <c r="H4063">
        <v>0.117866032496779</v>
      </c>
      <c r="I4063">
        <v>8.4414715259348405E-2</v>
      </c>
      <c r="J4063">
        <v>7.7594145989086705E-2</v>
      </c>
      <c r="K4063">
        <v>5.1842748068523001E-2</v>
      </c>
      <c r="L4063">
        <v>1288.8450962529801</v>
      </c>
      <c r="M4063">
        <v>24.823226144029199</v>
      </c>
      <c r="N4063">
        <v>52.272164155465802</v>
      </c>
      <c r="O4063">
        <v>51.587485347493001</v>
      </c>
      <c r="P4063">
        <v>-0.111058173390186</v>
      </c>
      <c r="Q4063">
        <v>7.68108197817782E-2</v>
      </c>
      <c r="R4063">
        <v>0.998373319796939</v>
      </c>
      <c r="S4063" t="s">
        <v>10374</v>
      </c>
      <c r="T4063" t="s">
        <v>12620</v>
      </c>
      <c r="U4063" t="s">
        <v>12620</v>
      </c>
      <c r="V4063" t="s">
        <v>12620</v>
      </c>
      <c r="W4063" t="s">
        <v>16633</v>
      </c>
      <c r="X4063">
        <v>2</v>
      </c>
      <c r="Y4063" t="s">
        <v>22754</v>
      </c>
      <c r="Z4063" t="s">
        <v>29010</v>
      </c>
      <c r="AA4063">
        <v>0.45219059452131932</v>
      </c>
      <c r="AB4063" t="str">
        <f>HYPERLINK("Melting_Curves/meltCurve_Q8IXW5_2_RPAP2.pdf", "Melting_Curves/meltCurve_Q8IXW5_2_RPAP2.pdf")</f>
        <v>Melting_Curves/meltCurve_Q8IXW5_2_RPAP2.pdf</v>
      </c>
    </row>
    <row r="4064" spans="1:28" x14ac:dyDescent="0.25">
      <c r="A4064" t="s">
        <v>4068</v>
      </c>
      <c r="B4064">
        <v>0.99987803227770999</v>
      </c>
      <c r="C4064">
        <v>0.68662537093238496</v>
      </c>
      <c r="D4064">
        <v>1.2216736771743899</v>
      </c>
      <c r="E4064">
        <v>0.68585113203542003</v>
      </c>
      <c r="F4064">
        <v>0.77717934257816801</v>
      </c>
      <c r="G4064">
        <v>0.59450555502925895</v>
      </c>
      <c r="H4064">
        <v>0.58633805415520202</v>
      </c>
      <c r="I4064">
        <v>0.80070407654959197</v>
      </c>
      <c r="J4064">
        <v>0.320610096631056</v>
      </c>
      <c r="K4064">
        <v>0.34592194712087199</v>
      </c>
      <c r="L4064">
        <v>347.13114690522701</v>
      </c>
      <c r="M4064">
        <v>5.3446286688285802</v>
      </c>
      <c r="N4064">
        <v>64.949537695952401</v>
      </c>
      <c r="O4064">
        <v>57.533008070509901</v>
      </c>
      <c r="P4064">
        <v>-2.3337254673239501E-2</v>
      </c>
      <c r="Q4064">
        <v>0</v>
      </c>
      <c r="R4064">
        <v>0.555899792084523</v>
      </c>
      <c r="S4064" t="s">
        <v>10375</v>
      </c>
      <c r="T4064" t="s">
        <v>12620</v>
      </c>
      <c r="U4064" t="s">
        <v>12620</v>
      </c>
      <c r="V4064" t="s">
        <v>12620</v>
      </c>
      <c r="W4064" t="s">
        <v>16634</v>
      </c>
      <c r="X4064">
        <v>2</v>
      </c>
      <c r="Y4064" t="s">
        <v>22755</v>
      </c>
      <c r="Z4064" t="s">
        <v>29011</v>
      </c>
      <c r="AA4064">
        <v>0.71123591433827515</v>
      </c>
      <c r="AB4064" t="str">
        <f>HYPERLINK("Melting_Curves/meltCurve_Q8IXZ2_ZC3H3.pdf", "Melting_Curves/meltCurve_Q8IXZ2_ZC3H3.pdf")</f>
        <v>Melting_Curves/meltCurve_Q8IXZ2_ZC3H3.pdf</v>
      </c>
    </row>
    <row r="4065" spans="1:28" x14ac:dyDescent="0.25">
      <c r="A4065" t="s">
        <v>4069</v>
      </c>
      <c r="B4065">
        <v>0.99987803227770999</v>
      </c>
      <c r="C4065">
        <v>0.99109886353872201</v>
      </c>
      <c r="D4065">
        <v>0.91182385127467203</v>
      </c>
      <c r="E4065">
        <v>0.90968063085079698</v>
      </c>
      <c r="F4065">
        <v>0.64583871154916195</v>
      </c>
      <c r="G4065">
        <v>0.38203962777615103</v>
      </c>
      <c r="H4065">
        <v>0.45143193091547901</v>
      </c>
      <c r="I4065">
        <v>0.58863471390271305</v>
      </c>
      <c r="J4065">
        <v>0.31135130653245902</v>
      </c>
      <c r="K4065">
        <v>0.26972751095845099</v>
      </c>
      <c r="L4065">
        <v>1867.9960520941599</v>
      </c>
      <c r="M4065">
        <v>35.644480975588998</v>
      </c>
      <c r="N4065">
        <v>54.796779380733</v>
      </c>
      <c r="O4065">
        <v>52.242201675519198</v>
      </c>
      <c r="P4065">
        <v>-0.103299348779453</v>
      </c>
      <c r="Q4065">
        <v>0.39440089565306402</v>
      </c>
      <c r="R4065">
        <v>0.90401642011176497</v>
      </c>
      <c r="S4065" t="s">
        <v>10376</v>
      </c>
      <c r="T4065" t="s">
        <v>12620</v>
      </c>
      <c r="U4065" t="s">
        <v>12620</v>
      </c>
      <c r="V4065" t="s">
        <v>12620</v>
      </c>
      <c r="W4065" t="s">
        <v>16635</v>
      </c>
      <c r="X4065">
        <v>3</v>
      </c>
      <c r="Y4065" t="s">
        <v>22756</v>
      </c>
      <c r="Z4065" t="s">
        <v>29012</v>
      </c>
      <c r="AA4065">
        <v>0.64760550309549592</v>
      </c>
      <c r="AB4065" t="str">
        <f>HYPERLINK("Melting_Curves/meltCurve_Q8IY18_SMC5.pdf", "Melting_Curves/meltCurve_Q8IY18_SMC5.pdf")</f>
        <v>Melting_Curves/meltCurve_Q8IY18_SMC5.pdf</v>
      </c>
    </row>
    <row r="4066" spans="1:28" x14ac:dyDescent="0.25">
      <c r="A4066" t="s">
        <v>4070</v>
      </c>
      <c r="B4066">
        <v>0.99987803227770999</v>
      </c>
      <c r="C4066">
        <v>0.83487690059597797</v>
      </c>
      <c r="D4066">
        <v>0.486143408964191</v>
      </c>
      <c r="E4066">
        <v>0.397232155364804</v>
      </c>
      <c r="F4066">
        <v>0.348871905802216</v>
      </c>
      <c r="G4066">
        <v>0.23410232928910099</v>
      </c>
      <c r="H4066">
        <v>0.24765037689736399</v>
      </c>
      <c r="I4066">
        <v>0.31258474217985199</v>
      </c>
      <c r="J4066">
        <v>0.117960119855315</v>
      </c>
      <c r="K4066">
        <v>8.5305842433655299E-2</v>
      </c>
      <c r="L4066">
        <v>712.90457663709003</v>
      </c>
      <c r="M4066">
        <v>15.5334469443795</v>
      </c>
      <c r="N4066">
        <v>47.386849538886601</v>
      </c>
      <c r="O4066">
        <v>45.154376814859397</v>
      </c>
      <c r="P4066">
        <v>-6.9374628814739103E-2</v>
      </c>
      <c r="Q4066">
        <v>0.193407483897824</v>
      </c>
      <c r="R4066">
        <v>0.93044180658780296</v>
      </c>
      <c r="S4066" t="s">
        <v>10377</v>
      </c>
      <c r="T4066" t="s">
        <v>12620</v>
      </c>
      <c r="U4066" t="s">
        <v>12620</v>
      </c>
      <c r="V4066" t="s">
        <v>12620</v>
      </c>
      <c r="W4066" t="s">
        <v>16636</v>
      </c>
      <c r="X4066">
        <v>8</v>
      </c>
      <c r="Y4066" t="s">
        <v>22757</v>
      </c>
      <c r="Z4066" t="s">
        <v>29013</v>
      </c>
      <c r="AA4066">
        <v>0.37396562051700288</v>
      </c>
      <c r="AB4066" t="str">
        <f>HYPERLINK("Melting_Curves/meltCurve_Q8IY22_CMIP.pdf", "Melting_Curves/meltCurve_Q8IY22_CMIP.pdf")</f>
        <v>Melting_Curves/meltCurve_Q8IY22_CMIP.pdf</v>
      </c>
    </row>
    <row r="4067" spans="1:28" x14ac:dyDescent="0.25">
      <c r="A4067" t="s">
        <v>4071</v>
      </c>
      <c r="B4067">
        <v>0.99987803227770999</v>
      </c>
      <c r="C4067">
        <v>0.98527710091535603</v>
      </c>
      <c r="D4067">
        <v>1.09220039392305</v>
      </c>
      <c r="E4067">
        <v>1.06714920085152</v>
      </c>
      <c r="F4067">
        <v>1.07965503113131</v>
      </c>
      <c r="G4067">
        <v>0.84924350902386103</v>
      </c>
      <c r="H4067">
        <v>0.698951528470247</v>
      </c>
      <c r="I4067">
        <v>0.62950314106871696</v>
      </c>
      <c r="J4067">
        <v>0.58843329754627605</v>
      </c>
      <c r="K4067">
        <v>0.47208525442507798</v>
      </c>
      <c r="L4067">
        <v>1387.8043005618799</v>
      </c>
      <c r="M4067">
        <v>23.064776072575199</v>
      </c>
      <c r="O4067">
        <v>59.723043619331001</v>
      </c>
      <c r="P4067">
        <v>-4.7996314075212598E-2</v>
      </c>
      <c r="Q4067">
        <v>0.50289009439725096</v>
      </c>
      <c r="R4067">
        <v>0.935563535202944</v>
      </c>
      <c r="S4067" t="s">
        <v>10378</v>
      </c>
      <c r="T4067" t="s">
        <v>12620</v>
      </c>
      <c r="U4067" t="s">
        <v>12620</v>
      </c>
      <c r="V4067" t="s">
        <v>12620</v>
      </c>
      <c r="W4067" t="s">
        <v>16637</v>
      </c>
      <c r="X4067">
        <v>3</v>
      </c>
      <c r="Y4067" t="s">
        <v>22758</v>
      </c>
      <c r="Z4067" t="s">
        <v>29014</v>
      </c>
      <c r="AA4067">
        <v>0.84092456508207458</v>
      </c>
      <c r="AB4067" t="str">
        <f>HYPERLINK("Melting_Curves/meltCurve_Q8IY31_IFT20.pdf", "Melting_Curves/meltCurve_Q8IY31_IFT20.pdf")</f>
        <v>Melting_Curves/meltCurve_Q8IY31_IFT20.pdf</v>
      </c>
    </row>
    <row r="4068" spans="1:28" x14ac:dyDescent="0.25">
      <c r="A4068" t="s">
        <v>4072</v>
      </c>
      <c r="B4068">
        <v>0.99987803227770999</v>
      </c>
      <c r="C4068">
        <v>0.73463621756744202</v>
      </c>
      <c r="D4068">
        <v>0.96110376295576805</v>
      </c>
      <c r="E4068">
        <v>0.64701921277525598</v>
      </c>
      <c r="F4068">
        <v>0.88044083735193002</v>
      </c>
      <c r="G4068">
        <v>0.69180338575456102</v>
      </c>
      <c r="H4068">
        <v>0.78808157605646101</v>
      </c>
      <c r="I4068">
        <v>0.79447351891613505</v>
      </c>
      <c r="J4068">
        <v>0.71204137762401798</v>
      </c>
      <c r="K4068">
        <v>0.59564666028152002</v>
      </c>
      <c r="L4068">
        <v>134.05967112848799</v>
      </c>
      <c r="M4068">
        <v>1.1903198228010301</v>
      </c>
      <c r="O4068">
        <v>46.353591846711701</v>
      </c>
      <c r="P4068">
        <v>-8.1387233924954203E-3</v>
      </c>
      <c r="Q4068">
        <v>0</v>
      </c>
      <c r="R4068">
        <v>0.36368209390709999</v>
      </c>
      <c r="S4068" t="s">
        <v>10379</v>
      </c>
      <c r="T4068" t="s">
        <v>12620</v>
      </c>
      <c r="U4068" t="s">
        <v>12620</v>
      </c>
      <c r="V4068" t="s">
        <v>12620</v>
      </c>
      <c r="W4068" t="s">
        <v>16638</v>
      </c>
      <c r="X4068">
        <v>3</v>
      </c>
      <c r="Y4068" t="s">
        <v>22759</v>
      </c>
      <c r="Z4068" t="s">
        <v>29015</v>
      </c>
      <c r="AA4068">
        <v>0.77984307019362931</v>
      </c>
      <c r="AB4068" t="str">
        <f>HYPERLINK("Melting_Curves/meltCurve_Q8IY33_MICALL2.pdf", "Melting_Curves/meltCurve_Q8IY33_MICALL2.pdf")</f>
        <v>Melting_Curves/meltCurve_Q8IY33_MICALL2.pdf</v>
      </c>
    </row>
    <row r="4069" spans="1:28" x14ac:dyDescent="0.25">
      <c r="A4069" t="s">
        <v>4073</v>
      </c>
      <c r="B4069">
        <v>0.99987803227770999</v>
      </c>
      <c r="C4069">
        <v>0.76283901445051405</v>
      </c>
      <c r="D4069">
        <v>0.74570094631343498</v>
      </c>
      <c r="E4069">
        <v>0.63949203410297795</v>
      </c>
      <c r="F4069">
        <v>0.67953715311868201</v>
      </c>
      <c r="G4069">
        <v>0.417276905991528</v>
      </c>
      <c r="H4069">
        <v>0.32045412562952602</v>
      </c>
      <c r="I4069">
        <v>0.299576757784558</v>
      </c>
      <c r="J4069">
        <v>0.30062129732906401</v>
      </c>
      <c r="K4069">
        <v>0.245395988012169</v>
      </c>
      <c r="L4069">
        <v>344.38330078334002</v>
      </c>
      <c r="M4069">
        <v>6.3416042449415198</v>
      </c>
      <c r="N4069">
        <v>55.284757461682801</v>
      </c>
      <c r="O4069">
        <v>49.657261045595298</v>
      </c>
      <c r="P4069">
        <v>-3.0310867059866801E-2</v>
      </c>
      <c r="Q4069">
        <v>5.3130340709364302E-2</v>
      </c>
      <c r="R4069">
        <v>0.94140271763847305</v>
      </c>
      <c r="S4069" t="s">
        <v>10380</v>
      </c>
      <c r="T4069" t="s">
        <v>12620</v>
      </c>
      <c r="U4069" t="s">
        <v>12620</v>
      </c>
      <c r="V4069" t="s">
        <v>12620</v>
      </c>
      <c r="W4069" t="s">
        <v>16639</v>
      </c>
      <c r="X4069">
        <v>4</v>
      </c>
      <c r="Y4069" t="s">
        <v>22760</v>
      </c>
      <c r="Z4069" t="s">
        <v>29016</v>
      </c>
      <c r="AA4069">
        <v>0.53644294905066203</v>
      </c>
      <c r="AB4069" t="str">
        <f>HYPERLINK("Melting_Curves/meltCurve_Q8IY37_DHX37.pdf", "Melting_Curves/meltCurve_Q8IY37_DHX37.pdf")</f>
        <v>Melting_Curves/meltCurve_Q8IY37_DHX37.pdf</v>
      </c>
    </row>
    <row r="4070" spans="1:28" x14ac:dyDescent="0.25">
      <c r="A4070" t="s">
        <v>4074</v>
      </c>
      <c r="B4070">
        <v>0.99987803227770999</v>
      </c>
      <c r="C4070">
        <v>1.2045783851095699</v>
      </c>
      <c r="D4070">
        <v>0.94352435300831095</v>
      </c>
      <c r="E4070">
        <v>1.14056722764063</v>
      </c>
      <c r="F4070">
        <v>0.80972044901860696</v>
      </c>
      <c r="G4070">
        <v>0.43826565986191002</v>
      </c>
      <c r="H4070">
        <v>0.17901599360104301</v>
      </c>
      <c r="I4070">
        <v>0.12953274571173401</v>
      </c>
      <c r="J4070">
        <v>9.1314068132084494E-2</v>
      </c>
      <c r="K4070">
        <v>5.12520897375583E-2</v>
      </c>
      <c r="L4070">
        <v>1637.97263132342</v>
      </c>
      <c r="M4070">
        <v>29.199693432155701</v>
      </c>
      <c r="N4070">
        <v>56.446449862044602</v>
      </c>
      <c r="O4070">
        <v>55.8344142654053</v>
      </c>
      <c r="P4070">
        <v>-0.11989149664688201</v>
      </c>
      <c r="Q4070">
        <v>8.3000931117832993E-2</v>
      </c>
      <c r="R4070">
        <v>0.96088567160018501</v>
      </c>
      <c r="S4070" t="s">
        <v>10381</v>
      </c>
      <c r="T4070" t="s">
        <v>12620</v>
      </c>
      <c r="U4070" t="s">
        <v>12620</v>
      </c>
      <c r="V4070" t="s">
        <v>12620</v>
      </c>
      <c r="W4070" t="s">
        <v>16640</v>
      </c>
      <c r="X4070">
        <v>3</v>
      </c>
      <c r="Y4070" t="s">
        <v>22761</v>
      </c>
      <c r="Z4070" t="s">
        <v>29017</v>
      </c>
      <c r="AA4070">
        <v>0.58141145636504032</v>
      </c>
      <c r="AB4070" t="str">
        <f>HYPERLINK("Melting_Curves/meltCurve_Q8IY47_KBTBD2.pdf", "Melting_Curves/meltCurve_Q8IY47_KBTBD2.pdf")</f>
        <v>Melting_Curves/meltCurve_Q8IY47_KBTBD2.pdf</v>
      </c>
    </row>
    <row r="4071" spans="1:28" x14ac:dyDescent="0.25">
      <c r="A4071" t="s">
        <v>4075</v>
      </c>
      <c r="B4071">
        <v>0.99987803227770999</v>
      </c>
      <c r="C4071">
        <v>1.18882410853855</v>
      </c>
      <c r="D4071">
        <v>1.15346637803951</v>
      </c>
      <c r="E4071">
        <v>1.0612160257371199</v>
      </c>
      <c r="F4071">
        <v>0.62615915447836501</v>
      </c>
      <c r="G4071">
        <v>0.51057970412375198</v>
      </c>
      <c r="H4071">
        <v>0.41243344088603801</v>
      </c>
      <c r="I4071">
        <v>0.39175649378885002</v>
      </c>
      <c r="J4071">
        <v>0.33712152051590799</v>
      </c>
      <c r="K4071">
        <v>0.231808114647367</v>
      </c>
      <c r="L4071">
        <v>13228.551229229501</v>
      </c>
      <c r="M4071">
        <v>250</v>
      </c>
      <c r="N4071">
        <v>53.212245728804902</v>
      </c>
      <c r="O4071">
        <v>52.910838128550203</v>
      </c>
      <c r="P4071">
        <v>-0.736215404555145</v>
      </c>
      <c r="Q4071">
        <v>0.37673984202126498</v>
      </c>
      <c r="R4071">
        <v>0.91496921293211197</v>
      </c>
      <c r="S4071" t="s">
        <v>10382</v>
      </c>
      <c r="T4071" t="s">
        <v>12620</v>
      </c>
      <c r="U4071" t="s">
        <v>12620</v>
      </c>
      <c r="V4071" t="s">
        <v>12620</v>
      </c>
      <c r="W4071" t="s">
        <v>16641</v>
      </c>
      <c r="X4071">
        <v>8</v>
      </c>
      <c r="Y4071" t="s">
        <v>22762</v>
      </c>
      <c r="Z4071" t="s">
        <v>29018</v>
      </c>
      <c r="AA4071">
        <v>0.64509470009667824</v>
      </c>
      <c r="AB4071" t="str">
        <f>HYPERLINK("Melting_Curves/meltCurve_Q8IY81_FTSJ3.pdf", "Melting_Curves/meltCurve_Q8IY81_FTSJ3.pdf")</f>
        <v>Melting_Curves/meltCurve_Q8IY81_FTSJ3.pdf</v>
      </c>
    </row>
    <row r="4072" spans="1:28" x14ac:dyDescent="0.25">
      <c r="A4072" t="s">
        <v>4076</v>
      </c>
      <c r="B4072">
        <v>0.99987803227770999</v>
      </c>
      <c r="C4072">
        <v>0.92278349332762599</v>
      </c>
      <c r="D4072">
        <v>0.90095464591713004</v>
      </c>
      <c r="E4072">
        <v>0.90952135226370101</v>
      </c>
      <c r="F4072">
        <v>1.2458634836174001</v>
      </c>
      <c r="G4072">
        <v>0.88612499196439798</v>
      </c>
      <c r="H4072">
        <v>0.95414699731737496</v>
      </c>
      <c r="I4072">
        <v>0.97008270472777303</v>
      </c>
      <c r="J4072">
        <v>0.95326036091018196</v>
      </c>
      <c r="K4072">
        <v>0.69633657703542196</v>
      </c>
      <c r="L4072">
        <v>3154.6160272754701</v>
      </c>
      <c r="M4072">
        <v>44.230942694280799</v>
      </c>
      <c r="Q4072">
        <v>0</v>
      </c>
      <c r="R4072">
        <v>0.38733709912284497</v>
      </c>
      <c r="S4072" t="s">
        <v>10383</v>
      </c>
      <c r="T4072" t="s">
        <v>12620</v>
      </c>
      <c r="U4072" t="s">
        <v>12620</v>
      </c>
      <c r="V4072" t="s">
        <v>12620</v>
      </c>
      <c r="W4072" t="s">
        <v>16642</v>
      </c>
      <c r="X4072">
        <v>1</v>
      </c>
      <c r="Y4072" t="s">
        <v>22763</v>
      </c>
      <c r="Z4072" t="s">
        <v>29019</v>
      </c>
      <c r="AA4072">
        <v>0.98218864920610371</v>
      </c>
      <c r="AB4072" t="str">
        <f>HYPERLINK("Melting_Curves/meltCurve_Q8IY85_EFCAB13.pdf", "Melting_Curves/meltCurve_Q8IY85_EFCAB13.pdf")</f>
        <v>Melting_Curves/meltCurve_Q8IY85_EFCAB13.pdf</v>
      </c>
    </row>
    <row r="4073" spans="1:28" x14ac:dyDescent="0.25">
      <c r="A4073" t="s">
        <v>4077</v>
      </c>
      <c r="B4073">
        <v>0.99987803227770999</v>
      </c>
      <c r="C4073">
        <v>0.77146951652593798</v>
      </c>
      <c r="D4073">
        <v>0.97385119149334498</v>
      </c>
      <c r="E4073">
        <v>0.72507232453664106</v>
      </c>
      <c r="F4073">
        <v>0.83234337685333304</v>
      </c>
      <c r="G4073">
        <v>0.661151580908801</v>
      </c>
      <c r="H4073">
        <v>0.72940756139364304</v>
      </c>
      <c r="I4073">
        <v>0.63899865256740895</v>
      </c>
      <c r="J4073">
        <v>0.69721270628631005</v>
      </c>
      <c r="K4073">
        <v>0.62124103941112196</v>
      </c>
      <c r="L4073">
        <v>330.73178054543803</v>
      </c>
      <c r="M4073">
        <v>6.5239424887653898</v>
      </c>
      <c r="O4073">
        <v>46.563959806250097</v>
      </c>
      <c r="P4073">
        <v>-1.45590243597357E-2</v>
      </c>
      <c r="Q4073">
        <v>0.58533958585154899</v>
      </c>
      <c r="R4073">
        <v>0.66273535325705601</v>
      </c>
      <c r="S4073" t="s">
        <v>10384</v>
      </c>
      <c r="T4073" t="s">
        <v>12620</v>
      </c>
      <c r="U4073" t="s">
        <v>12620</v>
      </c>
      <c r="V4073" t="s">
        <v>12620</v>
      </c>
      <c r="W4073" t="s">
        <v>16643</v>
      </c>
      <c r="X4073">
        <v>5</v>
      </c>
      <c r="Y4073" t="s">
        <v>22764</v>
      </c>
      <c r="Z4073" t="s">
        <v>29020</v>
      </c>
      <c r="AA4073">
        <v>0.76095135615017284</v>
      </c>
      <c r="AB4073" t="str">
        <f>HYPERLINK("Melting_Curves/meltCurve_Q8IY92_SLX4.pdf", "Melting_Curves/meltCurve_Q8IY92_SLX4.pdf")</f>
        <v>Melting_Curves/meltCurve_Q8IY92_SLX4.pdf</v>
      </c>
    </row>
    <row r="4074" spans="1:28" x14ac:dyDescent="0.25">
      <c r="A4074" t="s">
        <v>4078</v>
      </c>
      <c r="B4074">
        <v>0.99987803227770999</v>
      </c>
      <c r="C4074">
        <v>0.80440446345766303</v>
      </c>
      <c r="D4074">
        <v>1.0082545327420001</v>
      </c>
      <c r="E4074">
        <v>0.79608967671250697</v>
      </c>
      <c r="F4074">
        <v>1.0175393131898001</v>
      </c>
      <c r="G4074">
        <v>0.92914541815190599</v>
      </c>
      <c r="H4074">
        <v>0.95509906038582904</v>
      </c>
      <c r="I4074">
        <v>0.86874007110326301</v>
      </c>
      <c r="J4074">
        <v>0.84250983075615005</v>
      </c>
      <c r="K4074">
        <v>0.75267332697470501</v>
      </c>
      <c r="L4074">
        <v>161.17748120167599</v>
      </c>
      <c r="M4074">
        <v>0.70740473500590095</v>
      </c>
      <c r="O4074">
        <v>60.573874325973001</v>
      </c>
      <c r="P4074">
        <v>-4.7774643022347402E-3</v>
      </c>
      <c r="Q4074">
        <v>0</v>
      </c>
      <c r="R4074">
        <v>0.175949320997625</v>
      </c>
      <c r="S4074" t="s">
        <v>10385</v>
      </c>
      <c r="T4074" t="s">
        <v>12620</v>
      </c>
      <c r="U4074" t="s">
        <v>12620</v>
      </c>
      <c r="V4074" t="s">
        <v>12620</v>
      </c>
      <c r="W4074" t="s">
        <v>16644</v>
      </c>
      <c r="X4074">
        <v>3</v>
      </c>
      <c r="Y4074" t="s">
        <v>22765</v>
      </c>
      <c r="Z4074" t="s">
        <v>29021</v>
      </c>
      <c r="AA4074">
        <v>0.90103314352915242</v>
      </c>
      <c r="AB4074" t="str">
        <f>HYPERLINK("Melting_Curves/meltCurve_Q8IYA6_CKAP2L.pdf", "Melting_Curves/meltCurve_Q8IYA6_CKAP2L.pdf")</f>
        <v>Melting_Curves/meltCurve_Q8IYA6_CKAP2L.pdf</v>
      </c>
    </row>
    <row r="4075" spans="1:28" x14ac:dyDescent="0.25">
      <c r="A4075" t="s">
        <v>4079</v>
      </c>
      <c r="B4075">
        <v>0.99987803227770999</v>
      </c>
      <c r="C4075">
        <v>1.0676717362485699</v>
      </c>
      <c r="D4075">
        <v>1.0111417539363501</v>
      </c>
      <c r="E4075">
        <v>1.0572070088622001</v>
      </c>
      <c r="F4075">
        <v>1.02396944811157</v>
      </c>
      <c r="G4075">
        <v>0.97436789269080104</v>
      </c>
      <c r="H4075">
        <v>0.80592435866102596</v>
      </c>
      <c r="I4075">
        <v>0.63957943278204799</v>
      </c>
      <c r="J4075">
        <v>0.281585607895945</v>
      </c>
      <c r="K4075">
        <v>6.6898431974451195E-2</v>
      </c>
      <c r="L4075">
        <v>1878.69675218825</v>
      </c>
      <c r="M4075">
        <v>28.969766921058699</v>
      </c>
      <c r="N4075">
        <v>64.850247829159102</v>
      </c>
      <c r="O4075">
        <v>64.543602294826599</v>
      </c>
      <c r="P4075">
        <v>-0.112210908395017</v>
      </c>
      <c r="Q4075">
        <v>0</v>
      </c>
      <c r="R4075">
        <v>0.98649104979336399</v>
      </c>
      <c r="S4075" t="s">
        <v>10386</v>
      </c>
      <c r="T4075" t="s">
        <v>12620</v>
      </c>
      <c r="U4075" t="s">
        <v>12620</v>
      </c>
      <c r="V4075" t="s">
        <v>12620</v>
      </c>
      <c r="W4075" t="s">
        <v>16645</v>
      </c>
      <c r="X4075">
        <v>7</v>
      </c>
      <c r="Y4075" t="s">
        <v>22766</v>
      </c>
      <c r="Z4075" t="s">
        <v>29022</v>
      </c>
      <c r="AA4075">
        <v>0.8263619013174176</v>
      </c>
      <c r="AB4075" t="str">
        <f>HYPERLINK("Melting_Curves/meltCurve_Q8IYB1_MB21D2.pdf", "Melting_Curves/meltCurve_Q8IYB1_MB21D2.pdf")</f>
        <v>Melting_Curves/meltCurve_Q8IYB1_MB21D2.pdf</v>
      </c>
    </row>
    <row r="4076" spans="1:28" x14ac:dyDescent="0.25">
      <c r="A4076" t="s">
        <v>4080</v>
      </c>
      <c r="B4076">
        <v>0.99987803227770999</v>
      </c>
      <c r="C4076">
        <v>0.99064628872869298</v>
      </c>
      <c r="D4076">
        <v>1.2276245856382499</v>
      </c>
      <c r="E4076">
        <v>0.99225395706081498</v>
      </c>
      <c r="F4076">
        <v>1.0865185800581301</v>
      </c>
      <c r="G4076">
        <v>0.457289459945526</v>
      </c>
      <c r="H4076">
        <v>0.203189670989875</v>
      </c>
      <c r="I4076">
        <v>0.15182756198698</v>
      </c>
      <c r="J4076">
        <v>0.12334019070404301</v>
      </c>
      <c r="K4076">
        <v>8.4028139091266094E-2</v>
      </c>
      <c r="L4076">
        <v>8879.2817400878594</v>
      </c>
      <c r="M4076">
        <v>156.315442207601</v>
      </c>
      <c r="N4076">
        <v>56.923822699901301</v>
      </c>
      <c r="O4076">
        <v>56.794318359868299</v>
      </c>
      <c r="P4076">
        <v>-0.59134018834012603</v>
      </c>
      <c r="Q4076">
        <v>0.14059006412939301</v>
      </c>
      <c r="R4076">
        <v>0.96580659796839796</v>
      </c>
      <c r="S4076" t="s">
        <v>10387</v>
      </c>
      <c r="T4076" t="s">
        <v>12620</v>
      </c>
      <c r="U4076" t="s">
        <v>12620</v>
      </c>
      <c r="V4076" t="s">
        <v>12620</v>
      </c>
      <c r="W4076" t="s">
        <v>16646</v>
      </c>
      <c r="X4076">
        <v>8</v>
      </c>
      <c r="Y4076" t="s">
        <v>22767</v>
      </c>
      <c r="Z4076" t="s">
        <v>29023</v>
      </c>
      <c r="AA4076">
        <v>0.62218232095198511</v>
      </c>
      <c r="AB4076" t="str">
        <f>HYPERLINK("Melting_Curves/meltCurve_Q8IYB5_3_SMAP1.pdf", "Melting_Curves/meltCurve_Q8IYB5_3_SMAP1.pdf")</f>
        <v>Melting_Curves/meltCurve_Q8IYB5_3_SMAP1.pdf</v>
      </c>
    </row>
    <row r="4077" spans="1:28" x14ac:dyDescent="0.25">
      <c r="A4077" t="s">
        <v>4081</v>
      </c>
      <c r="B4077">
        <v>0.99987803227770999</v>
      </c>
      <c r="C4077">
        <v>1.09636690014728</v>
      </c>
      <c r="D4077">
        <v>0.99580542997206201</v>
      </c>
      <c r="E4077">
        <v>0.78769817494170202</v>
      </c>
      <c r="F4077">
        <v>0.43930465330691798</v>
      </c>
      <c r="G4077">
        <v>0.35173751668747499</v>
      </c>
      <c r="H4077">
        <v>0.30337782450297401</v>
      </c>
      <c r="I4077">
        <v>0.28216390877290998</v>
      </c>
      <c r="J4077">
        <v>0.29409990854660301</v>
      </c>
      <c r="K4077">
        <v>0.12991977376609701</v>
      </c>
      <c r="L4077">
        <v>1604.7764795046701</v>
      </c>
      <c r="M4077">
        <v>31.2421477479541</v>
      </c>
      <c r="N4077">
        <v>52.6063064860978</v>
      </c>
      <c r="O4077">
        <v>51.156680717607301</v>
      </c>
      <c r="P4077">
        <v>-0.112881672828301</v>
      </c>
      <c r="Q4077">
        <v>0.26066290534289399</v>
      </c>
      <c r="R4077">
        <v>0.97114734020867599</v>
      </c>
      <c r="S4077" t="s">
        <v>10388</v>
      </c>
      <c r="T4077" t="s">
        <v>12620</v>
      </c>
      <c r="U4077" t="s">
        <v>12620</v>
      </c>
      <c r="V4077" t="s">
        <v>12620</v>
      </c>
      <c r="W4077" t="s">
        <v>16647</v>
      </c>
      <c r="X4077">
        <v>29</v>
      </c>
      <c r="Y4077" t="s">
        <v>22768</v>
      </c>
      <c r="Z4077" t="s">
        <v>29024</v>
      </c>
      <c r="AA4077">
        <v>0.54507919741208333</v>
      </c>
      <c r="AB4077" t="str">
        <f>HYPERLINK("Melting_Curves/meltCurve_Q8IYB7_DIS3L2.pdf", "Melting_Curves/meltCurve_Q8IYB7_DIS3L2.pdf")</f>
        <v>Melting_Curves/meltCurve_Q8IYB7_DIS3L2.pdf</v>
      </c>
    </row>
    <row r="4078" spans="1:28" x14ac:dyDescent="0.25">
      <c r="A4078" t="s">
        <v>4082</v>
      </c>
      <c r="B4078">
        <v>0.99987803227770999</v>
      </c>
      <c r="C4078">
        <v>0.98826574121994504</v>
      </c>
      <c r="D4078">
        <v>1.0508556193295799</v>
      </c>
      <c r="E4078">
        <v>0.93389531196504805</v>
      </c>
      <c r="F4078">
        <v>0.68141503209246301</v>
      </c>
      <c r="G4078">
        <v>0.24147373295174701</v>
      </c>
      <c r="H4078">
        <v>0.14277351930768001</v>
      </c>
      <c r="I4078">
        <v>0.124768979921398</v>
      </c>
      <c r="J4078">
        <v>0.100835324639081</v>
      </c>
      <c r="K4078">
        <v>7.9391612385441596E-2</v>
      </c>
      <c r="L4078">
        <v>1712.4022903913301</v>
      </c>
      <c r="M4078">
        <v>31.7097000374883</v>
      </c>
      <c r="N4078">
        <v>54.398244409792703</v>
      </c>
      <c r="O4078">
        <v>53.789061740030199</v>
      </c>
      <c r="P4078">
        <v>-0.13219865524337099</v>
      </c>
      <c r="Q4078">
        <v>0.103012083468425</v>
      </c>
      <c r="R4078">
        <v>0.99746615576362696</v>
      </c>
      <c r="S4078" t="s">
        <v>10389</v>
      </c>
      <c r="T4078" t="s">
        <v>12620</v>
      </c>
      <c r="U4078" t="s">
        <v>12620</v>
      </c>
      <c r="V4078" t="s">
        <v>12620</v>
      </c>
      <c r="W4078" t="s">
        <v>16648</v>
      </c>
      <c r="X4078">
        <v>11</v>
      </c>
      <c r="Y4078" t="s">
        <v>22769</v>
      </c>
      <c r="Z4078" t="s">
        <v>29025</v>
      </c>
      <c r="AA4078">
        <v>0.52697210314110399</v>
      </c>
      <c r="AB4078" t="str">
        <f>HYPERLINK("Melting_Curves/meltCurve_Q8IYB8_SUPV3L1.pdf", "Melting_Curves/meltCurve_Q8IYB8_SUPV3L1.pdf")</f>
        <v>Melting_Curves/meltCurve_Q8IYB8_SUPV3L1.pdf</v>
      </c>
    </row>
    <row r="4079" spans="1:28" x14ac:dyDescent="0.25">
      <c r="A4079" t="s">
        <v>4083</v>
      </c>
      <c r="B4079">
        <v>0.99987803227770999</v>
      </c>
      <c r="C4079">
        <v>0.94024170633286197</v>
      </c>
      <c r="D4079">
        <v>0.94333590698995395</v>
      </c>
      <c r="E4079">
        <v>0.73044879714446798</v>
      </c>
      <c r="F4079">
        <v>0.51830806804658403</v>
      </c>
      <c r="G4079">
        <v>0.421310771827759</v>
      </c>
      <c r="H4079">
        <v>0.32699814294788698</v>
      </c>
      <c r="I4079">
        <v>0.33899212219268798</v>
      </c>
      <c r="J4079">
        <v>0.29112827740479003</v>
      </c>
      <c r="K4079">
        <v>0.213732168957838</v>
      </c>
      <c r="L4079">
        <v>810.35146993262401</v>
      </c>
      <c r="M4079">
        <v>15.6859211174216</v>
      </c>
      <c r="N4079">
        <v>54.204402067465601</v>
      </c>
      <c r="O4079">
        <v>50.843286579765</v>
      </c>
      <c r="P4079">
        <v>-5.70425477022296E-2</v>
      </c>
      <c r="Q4079">
        <v>0.26048724956118902</v>
      </c>
      <c r="R4079">
        <v>0.98789028740963403</v>
      </c>
      <c r="S4079" t="s">
        <v>10390</v>
      </c>
      <c r="T4079" t="s">
        <v>12620</v>
      </c>
      <c r="U4079" t="s">
        <v>12620</v>
      </c>
      <c r="V4079" t="s">
        <v>12620</v>
      </c>
      <c r="W4079" t="s">
        <v>16649</v>
      </c>
      <c r="X4079">
        <v>25</v>
      </c>
      <c r="Y4079" t="s">
        <v>22770</v>
      </c>
      <c r="Z4079" t="s">
        <v>29026</v>
      </c>
      <c r="AA4079">
        <v>0.56351223452310251</v>
      </c>
      <c r="AB4079" t="str">
        <f>HYPERLINK("Melting_Curves/meltCurve_Q8IYD1_GSPT2.pdf", "Melting_Curves/meltCurve_Q8IYD1_GSPT2.pdf")</f>
        <v>Melting_Curves/meltCurve_Q8IYD1_GSPT2.pdf</v>
      </c>
    </row>
    <row r="4080" spans="1:28" x14ac:dyDescent="0.25">
      <c r="A4080" t="s">
        <v>4084</v>
      </c>
      <c r="B4080">
        <v>0.99987803227770999</v>
      </c>
      <c r="C4080">
        <v>1.3402906456281101</v>
      </c>
      <c r="D4080">
        <v>1.4082395328288599</v>
      </c>
      <c r="E4080">
        <v>1.6086357100175199</v>
      </c>
      <c r="F4080">
        <v>1.7693407875306499</v>
      </c>
      <c r="G4080">
        <v>1.1921359193371499</v>
      </c>
      <c r="H4080">
        <v>1.6976320555334601</v>
      </c>
      <c r="I4080">
        <v>1.4527225971145701</v>
      </c>
      <c r="J4080">
        <v>1.11831845053037</v>
      </c>
      <c r="K4080">
        <v>1.1674727793005999</v>
      </c>
      <c r="L4080">
        <v>4088.3406644708598</v>
      </c>
      <c r="M4080">
        <v>96.667062674593694</v>
      </c>
      <c r="O4080">
        <v>42.274925844675799</v>
      </c>
      <c r="P4080">
        <v>0.24400813987493999</v>
      </c>
      <c r="Q4080">
        <v>1.4268433310822899</v>
      </c>
      <c r="R4080">
        <v>0.269795137879631</v>
      </c>
      <c r="S4080" t="s">
        <v>10391</v>
      </c>
      <c r="T4080" t="s">
        <v>12620</v>
      </c>
      <c r="U4080" t="s">
        <v>12620</v>
      </c>
      <c r="V4080" t="s">
        <v>12620</v>
      </c>
      <c r="W4080" t="s">
        <v>16650</v>
      </c>
      <c r="X4080">
        <v>1</v>
      </c>
      <c r="Y4080" t="s">
        <v>22771</v>
      </c>
      <c r="Z4080" t="s">
        <v>29027</v>
      </c>
      <c r="AA4080">
        <v>1.3939846433277641</v>
      </c>
      <c r="AB4080" t="str">
        <f>HYPERLINK("Melting_Curves/meltCurve_Q8IYE0_2_CCDC146.pdf", "Melting_Curves/meltCurve_Q8IYE0_2_CCDC146.pdf")</f>
        <v>Melting_Curves/meltCurve_Q8IYE0_2_CCDC146.pdf</v>
      </c>
    </row>
    <row r="4081" spans="1:28" x14ac:dyDescent="0.25">
      <c r="A4081" t="s">
        <v>4085</v>
      </c>
      <c r="B4081">
        <v>0.99987803227770999</v>
      </c>
      <c r="C4081">
        <v>0.82569730714397604</v>
      </c>
      <c r="D4081">
        <v>0.89631046557285099</v>
      </c>
      <c r="E4081">
        <v>0.81284677633358804</v>
      </c>
      <c r="F4081">
        <v>1.0011437594935</v>
      </c>
      <c r="G4081">
        <v>0.87731958776847596</v>
      </c>
      <c r="H4081">
        <v>0.84209753366541196</v>
      </c>
      <c r="I4081">
        <v>0.70985174820143704</v>
      </c>
      <c r="J4081">
        <v>0.73690389092289998</v>
      </c>
      <c r="K4081">
        <v>0.63152886115117002</v>
      </c>
      <c r="L4081">
        <v>242.12772667918301</v>
      </c>
      <c r="M4081">
        <v>2.6706028914329401</v>
      </c>
      <c r="O4081">
        <v>63.227081312033299</v>
      </c>
      <c r="P4081">
        <v>-1.10117732100473E-2</v>
      </c>
      <c r="Q4081">
        <v>0</v>
      </c>
      <c r="R4081">
        <v>0.58226952633547402</v>
      </c>
      <c r="S4081" t="s">
        <v>10392</v>
      </c>
      <c r="T4081" t="s">
        <v>12620</v>
      </c>
      <c r="U4081" t="s">
        <v>12620</v>
      </c>
      <c r="V4081" t="s">
        <v>12620</v>
      </c>
      <c r="W4081" t="s">
        <v>16651</v>
      </c>
      <c r="X4081">
        <v>3</v>
      </c>
      <c r="Y4081" t="s">
        <v>22772</v>
      </c>
      <c r="Z4081" t="s">
        <v>29028</v>
      </c>
      <c r="AA4081">
        <v>0.84214429290224913</v>
      </c>
      <c r="AB4081" t="str">
        <f>HYPERLINK("Melting_Curves/meltCurve_Q8IYH5_4_ZZZ3.pdf", "Melting_Curves/meltCurve_Q8IYH5_4_ZZZ3.pdf")</f>
        <v>Melting_Curves/meltCurve_Q8IYH5_4_ZZZ3.pdf</v>
      </c>
    </row>
    <row r="4082" spans="1:28" x14ac:dyDescent="0.25">
      <c r="A4082" t="s">
        <v>4086</v>
      </c>
      <c r="B4082">
        <v>0.99987803227770999</v>
      </c>
      <c r="C4082">
        <v>0.97570101003187404</v>
      </c>
      <c r="D4082">
        <v>0.87007725344948095</v>
      </c>
      <c r="E4082">
        <v>0.71211654814427705</v>
      </c>
      <c r="F4082">
        <v>0.32865756032128102</v>
      </c>
      <c r="G4082">
        <v>0.222786130672152</v>
      </c>
      <c r="H4082">
        <v>0.13795480625224599</v>
      </c>
      <c r="I4082">
        <v>0.10851795651823599</v>
      </c>
      <c r="J4082">
        <v>8.1169166989959102E-2</v>
      </c>
      <c r="K4082">
        <v>5.8537682673936602E-2</v>
      </c>
      <c r="L4082">
        <v>1000.10374543481</v>
      </c>
      <c r="M4082">
        <v>19.5140901252175</v>
      </c>
      <c r="N4082">
        <v>51.706379503791702</v>
      </c>
      <c r="O4082">
        <v>50.721233066009503</v>
      </c>
      <c r="P4082">
        <v>-8.8582500345057297E-2</v>
      </c>
      <c r="Q4082">
        <v>7.9054667935818598E-2</v>
      </c>
      <c r="R4082">
        <v>0.99119500090707502</v>
      </c>
      <c r="S4082" t="s">
        <v>10393</v>
      </c>
      <c r="T4082" t="s">
        <v>12620</v>
      </c>
      <c r="U4082" t="s">
        <v>12620</v>
      </c>
      <c r="V4082" t="s">
        <v>12620</v>
      </c>
      <c r="W4082" t="s">
        <v>16652</v>
      </c>
      <c r="X4082">
        <v>16</v>
      </c>
      <c r="Y4082" t="s">
        <v>22773</v>
      </c>
      <c r="Z4082" t="s">
        <v>29029</v>
      </c>
      <c r="AA4082">
        <v>0.43778856311739173</v>
      </c>
      <c r="AB4082" t="str">
        <f>HYPERLINK("Melting_Curves/meltCurve_Q8IYI6_EXOC8.pdf", "Melting_Curves/meltCurve_Q8IYI6_EXOC8.pdf")</f>
        <v>Melting_Curves/meltCurve_Q8IYI6_EXOC8.pdf</v>
      </c>
    </row>
    <row r="4083" spans="1:28" x14ac:dyDescent="0.25">
      <c r="A4083" t="s">
        <v>4087</v>
      </c>
      <c r="B4083">
        <v>0.99987803227770999</v>
      </c>
      <c r="C4083">
        <v>0.90674133124553002</v>
      </c>
      <c r="D4083">
        <v>0.96885324971635001</v>
      </c>
      <c r="E4083">
        <v>0.89302113647679704</v>
      </c>
      <c r="F4083">
        <v>1.0272161418963199</v>
      </c>
      <c r="G4083">
        <v>0.92712276831412799</v>
      </c>
      <c r="H4083">
        <v>1.0492770785927801</v>
      </c>
      <c r="I4083">
        <v>0.95353644670161997</v>
      </c>
      <c r="J4083">
        <v>1.1237333420063</v>
      </c>
      <c r="K4083">
        <v>0.92782388852975495</v>
      </c>
      <c r="L4083">
        <v>14994.4306259737</v>
      </c>
      <c r="M4083">
        <v>211.65357163645101</v>
      </c>
      <c r="Q4083">
        <v>1.20684165288779E-3</v>
      </c>
      <c r="R4083">
        <v>5.1630460990191897E-3</v>
      </c>
      <c r="S4083" t="s">
        <v>10394</v>
      </c>
      <c r="T4083" t="s">
        <v>12620</v>
      </c>
      <c r="U4083" t="s">
        <v>12620</v>
      </c>
      <c r="V4083" t="s">
        <v>12620</v>
      </c>
      <c r="W4083" t="s">
        <v>16653</v>
      </c>
      <c r="X4083">
        <v>3</v>
      </c>
      <c r="Y4083" t="s">
        <v>22774</v>
      </c>
      <c r="Z4083" t="s">
        <v>29030</v>
      </c>
      <c r="AA4083">
        <v>0.99919170781186584</v>
      </c>
      <c r="AB4083" t="str">
        <f>HYPERLINK("Melting_Curves/meltCurve_Q8IYL3_C1orf174.pdf", "Melting_Curves/meltCurve_Q8IYL3_C1orf174.pdf")</f>
        <v>Melting_Curves/meltCurve_Q8IYL3_C1orf174.pdf</v>
      </c>
    </row>
    <row r="4084" spans="1:28" x14ac:dyDescent="0.25">
      <c r="A4084" t="s">
        <v>4088</v>
      </c>
      <c r="B4084">
        <v>0.99987803227770999</v>
      </c>
      <c r="C4084">
        <v>0.89461536788821105</v>
      </c>
      <c r="D4084">
        <v>0.98392863595883795</v>
      </c>
      <c r="E4084">
        <v>0.88797527496803796</v>
      </c>
      <c r="F4084">
        <v>1.14922200749604</v>
      </c>
      <c r="G4084">
        <v>0.91635649741234504</v>
      </c>
      <c r="H4084">
        <v>0.98719390583851796</v>
      </c>
      <c r="I4084">
        <v>0.978799430072407</v>
      </c>
      <c r="J4084">
        <v>0.78473663928194404</v>
      </c>
      <c r="K4084">
        <v>0.61010445911329803</v>
      </c>
      <c r="L4084">
        <v>4195.6033991703298</v>
      </c>
      <c r="M4084">
        <v>62.6961087473357</v>
      </c>
      <c r="O4084">
        <v>66.8516953900331</v>
      </c>
      <c r="P4084">
        <v>-9.7217495487063196E-2</v>
      </c>
      <c r="Q4084">
        <v>0.58535530925873103</v>
      </c>
      <c r="R4084">
        <v>0.71486321941779096</v>
      </c>
      <c r="S4084" t="s">
        <v>10395</v>
      </c>
      <c r="T4084" t="s">
        <v>12620</v>
      </c>
      <c r="U4084" t="s">
        <v>12620</v>
      </c>
      <c r="V4084" t="s">
        <v>12620</v>
      </c>
      <c r="W4084" t="s">
        <v>16654</v>
      </c>
      <c r="X4084">
        <v>3</v>
      </c>
      <c r="Y4084" t="s">
        <v>22775</v>
      </c>
      <c r="Z4084" t="s">
        <v>29031</v>
      </c>
      <c r="AA4084">
        <v>0.95717513119226438</v>
      </c>
      <c r="AB4084" t="str">
        <f>HYPERLINK("Melting_Curves/meltCurve_Q8IYN2_TCEAL8.pdf", "Melting_Curves/meltCurve_Q8IYN2_TCEAL8.pdf")</f>
        <v>Melting_Curves/meltCurve_Q8IYN2_TCEAL8.pdf</v>
      </c>
    </row>
    <row r="4085" spans="1:28" x14ac:dyDescent="0.25">
      <c r="A4085" t="s">
        <v>4089</v>
      </c>
      <c r="B4085">
        <v>0.99987803227770999</v>
      </c>
      <c r="C4085">
        <v>1.0105255580278101</v>
      </c>
      <c r="D4085">
        <v>1.02435405199394</v>
      </c>
      <c r="E4085">
        <v>0.97370478479925804</v>
      </c>
      <c r="F4085">
        <v>0.75457881765758195</v>
      </c>
      <c r="G4085">
        <v>0.40856283726508602</v>
      </c>
      <c r="H4085">
        <v>0.30645400370609199</v>
      </c>
      <c r="I4085">
        <v>0.23846943277912799</v>
      </c>
      <c r="J4085">
        <v>0.16769620178824399</v>
      </c>
      <c r="K4085">
        <v>0.106833838446735</v>
      </c>
      <c r="L4085">
        <v>1221.19442174033</v>
      </c>
      <c r="M4085">
        <v>22.078216652070701</v>
      </c>
      <c r="N4085">
        <v>56.272280643097901</v>
      </c>
      <c r="O4085">
        <v>54.864404983727198</v>
      </c>
      <c r="P4085">
        <v>-8.4817154910147796E-2</v>
      </c>
      <c r="Q4085">
        <v>0.15693547448881201</v>
      </c>
      <c r="R4085">
        <v>0.99031386113266895</v>
      </c>
      <c r="S4085" t="s">
        <v>10396</v>
      </c>
      <c r="T4085" t="s">
        <v>12620</v>
      </c>
      <c r="U4085" t="s">
        <v>12620</v>
      </c>
      <c r="V4085" t="s">
        <v>12620</v>
      </c>
      <c r="W4085" t="s">
        <v>16655</v>
      </c>
      <c r="X4085">
        <v>34</v>
      </c>
      <c r="Y4085" t="s">
        <v>21517</v>
      </c>
      <c r="Z4085" t="s">
        <v>29032</v>
      </c>
      <c r="AA4085">
        <v>0.5968121726884511</v>
      </c>
      <c r="AB4085" t="str">
        <f>HYPERLINK("Melting_Curves/meltCurve_Q8IYN9_PTK2.pdf", "Melting_Curves/meltCurve_Q8IYN9_PTK2.pdf")</f>
        <v>Melting_Curves/meltCurve_Q8IYN9_PTK2.pdf</v>
      </c>
    </row>
    <row r="4086" spans="1:28" x14ac:dyDescent="0.25">
      <c r="A4086" t="s">
        <v>4090</v>
      </c>
      <c r="B4086">
        <v>0.99987803227770999</v>
      </c>
      <c r="C4086">
        <v>1.0984037147877601</v>
      </c>
      <c r="D4086">
        <v>1.0843796358238</v>
      </c>
      <c r="E4086">
        <v>0.84148206088844402</v>
      </c>
      <c r="F4086">
        <v>0.43345767494425302</v>
      </c>
      <c r="G4086">
        <v>0.26010927099093201</v>
      </c>
      <c r="H4086">
        <v>0.16241078666332401</v>
      </c>
      <c r="I4086">
        <v>0.116535888884487</v>
      </c>
      <c r="J4086">
        <v>0.105461426124262</v>
      </c>
      <c r="K4086">
        <v>6.3673475365167501E-2</v>
      </c>
      <c r="L4086">
        <v>1594.4527917329201</v>
      </c>
      <c r="M4086">
        <v>30.486884494072498</v>
      </c>
      <c r="N4086">
        <v>52.776062986222698</v>
      </c>
      <c r="O4086">
        <v>52.0761540754119</v>
      </c>
      <c r="P4086">
        <v>-0.128751688728168</v>
      </c>
      <c r="Q4086">
        <v>0.120296888822175</v>
      </c>
      <c r="R4086">
        <v>0.98199225992100303</v>
      </c>
      <c r="S4086" t="s">
        <v>10397</v>
      </c>
      <c r="T4086" t="s">
        <v>12620</v>
      </c>
      <c r="U4086" t="s">
        <v>12620</v>
      </c>
      <c r="V4086" t="s">
        <v>12620</v>
      </c>
      <c r="W4086" t="s">
        <v>16656</v>
      </c>
      <c r="X4086">
        <v>4</v>
      </c>
      <c r="Y4086" t="s">
        <v>22776</v>
      </c>
      <c r="Z4086" t="s">
        <v>29033</v>
      </c>
      <c r="AA4086">
        <v>0.48643406870356998</v>
      </c>
      <c r="AB4086" t="str">
        <f>HYPERLINK("Melting_Curves/meltCurve_Q8IYQ7_THNSL1.pdf", "Melting_Curves/meltCurve_Q8IYQ7_THNSL1.pdf")</f>
        <v>Melting_Curves/meltCurve_Q8IYQ7_THNSL1.pdf</v>
      </c>
    </row>
    <row r="4087" spans="1:28" x14ac:dyDescent="0.25">
      <c r="A4087" t="s">
        <v>4091</v>
      </c>
      <c r="B4087">
        <v>0.99987803227770999</v>
      </c>
      <c r="C4087">
        <v>0.88515109994374497</v>
      </c>
      <c r="D4087">
        <v>0.49496543130884502</v>
      </c>
      <c r="E4087">
        <v>0.41601407227345699</v>
      </c>
      <c r="F4087">
        <v>0.29456982833631701</v>
      </c>
      <c r="G4087">
        <v>0.187647839938546</v>
      </c>
      <c r="H4087">
        <v>0.123551702415095</v>
      </c>
      <c r="I4087">
        <v>0.14166239913732401</v>
      </c>
      <c r="J4087">
        <v>9.9522324070997398E-2</v>
      </c>
      <c r="K4087">
        <v>7.3999412904720799E-2</v>
      </c>
      <c r="L4087">
        <v>664.75948907577401</v>
      </c>
      <c r="M4087">
        <v>14.1290156425075</v>
      </c>
      <c r="N4087">
        <v>47.816708737305099</v>
      </c>
      <c r="O4087">
        <v>46.136829092517402</v>
      </c>
      <c r="P4087">
        <v>-6.8802193925413604E-2</v>
      </c>
      <c r="Q4087">
        <v>0.10144912533948799</v>
      </c>
      <c r="R4087">
        <v>0.968447904741637</v>
      </c>
      <c r="S4087" t="s">
        <v>10398</v>
      </c>
      <c r="T4087" t="s">
        <v>12620</v>
      </c>
      <c r="U4087" t="s">
        <v>12620</v>
      </c>
      <c r="V4087" t="s">
        <v>12620</v>
      </c>
      <c r="W4087" t="s">
        <v>16657</v>
      </c>
      <c r="X4087">
        <v>7</v>
      </c>
      <c r="Y4087" t="s">
        <v>22777</v>
      </c>
      <c r="Z4087" t="s">
        <v>29034</v>
      </c>
      <c r="AA4087">
        <v>0.34006462884602862</v>
      </c>
      <c r="AB4087" t="str">
        <f>HYPERLINK("Melting_Curves/meltCurve_Q8IYR2_SMYD4.pdf", "Melting_Curves/meltCurve_Q8IYR2_SMYD4.pdf")</f>
        <v>Melting_Curves/meltCurve_Q8IYR2_SMYD4.pdf</v>
      </c>
    </row>
    <row r="4088" spans="1:28" x14ac:dyDescent="0.25">
      <c r="A4088" t="s">
        <v>4092</v>
      </c>
      <c r="B4088">
        <v>0.99987803227770999</v>
      </c>
      <c r="C4088">
        <v>1.48169077656556</v>
      </c>
      <c r="D4088">
        <v>1.32993263875486</v>
      </c>
      <c r="E4088">
        <v>1.3638647564795701</v>
      </c>
      <c r="F4088">
        <v>0.87475147547796295</v>
      </c>
      <c r="G4088">
        <v>0.45854538486387297</v>
      </c>
      <c r="H4088">
        <v>0.28122861412574601</v>
      </c>
      <c r="I4088">
        <v>0.27165320654283698</v>
      </c>
      <c r="J4088">
        <v>0.16474409522574199</v>
      </c>
      <c r="K4088">
        <v>6.2323245809317397E-2</v>
      </c>
      <c r="L4088">
        <v>2094.0161091380501</v>
      </c>
      <c r="M4088">
        <v>37.313955405193902</v>
      </c>
      <c r="N4088">
        <v>56.792949089515297</v>
      </c>
      <c r="O4088">
        <v>55.958391865535297</v>
      </c>
      <c r="P4088">
        <v>-0.136878170886958</v>
      </c>
      <c r="Q4088">
        <v>0.17891725268675601</v>
      </c>
      <c r="R4088">
        <v>0.81025178543667198</v>
      </c>
      <c r="S4088" t="s">
        <v>10399</v>
      </c>
      <c r="T4088" t="s">
        <v>12620</v>
      </c>
      <c r="U4088" t="s">
        <v>12620</v>
      </c>
      <c r="V4088" t="s">
        <v>12620</v>
      </c>
      <c r="W4088" t="s">
        <v>16658</v>
      </c>
      <c r="X4088">
        <v>1</v>
      </c>
      <c r="Y4088" t="s">
        <v>22778</v>
      </c>
      <c r="Z4088" t="s">
        <v>29035</v>
      </c>
      <c r="AA4088">
        <v>0.62370477113203293</v>
      </c>
      <c r="AB4088" t="str">
        <f>HYPERLINK("Melting_Curves/meltCurve_Q8IYS0_2_GRAMD1C.pdf", "Melting_Curves/meltCurve_Q8IYS0_2_GRAMD1C.pdf")</f>
        <v>Melting_Curves/meltCurve_Q8IYS0_2_GRAMD1C.pdf</v>
      </c>
    </row>
    <row r="4089" spans="1:28" x14ac:dyDescent="0.25">
      <c r="A4089" t="s">
        <v>4093</v>
      </c>
      <c r="B4089">
        <v>0.99987803227770999</v>
      </c>
      <c r="C4089">
        <v>0.95665914425545895</v>
      </c>
      <c r="D4089">
        <v>0.84768300301339194</v>
      </c>
      <c r="E4089">
        <v>0.73432223241723804</v>
      </c>
      <c r="F4089">
        <v>0.66388472675673504</v>
      </c>
      <c r="G4089">
        <v>0.33735172100683603</v>
      </c>
      <c r="H4089">
        <v>0.15437752753720199</v>
      </c>
      <c r="I4089">
        <v>0.1247300247895</v>
      </c>
      <c r="J4089">
        <v>8.6101425025302894E-2</v>
      </c>
      <c r="K4089">
        <v>7.1296775959850706E-2</v>
      </c>
      <c r="L4089">
        <v>695.12569935328702</v>
      </c>
      <c r="M4089">
        <v>12.7840547567095</v>
      </c>
      <c r="N4089">
        <v>54.374430609224497</v>
      </c>
      <c r="O4089">
        <v>53.095478316224202</v>
      </c>
      <c r="P4089">
        <v>-6.0205063384370497E-2</v>
      </c>
      <c r="Q4089">
        <v>0</v>
      </c>
      <c r="R4089">
        <v>0.98921517772934298</v>
      </c>
      <c r="S4089" t="s">
        <v>10400</v>
      </c>
      <c r="T4089" t="s">
        <v>12620</v>
      </c>
      <c r="U4089" t="s">
        <v>12620</v>
      </c>
      <c r="V4089" t="s">
        <v>12620</v>
      </c>
      <c r="W4089" t="s">
        <v>16659</v>
      </c>
      <c r="X4089">
        <v>8</v>
      </c>
      <c r="Y4089" t="s">
        <v>22779</v>
      </c>
      <c r="Z4089" t="s">
        <v>29036</v>
      </c>
      <c r="AA4089">
        <v>0.50293158850389064</v>
      </c>
      <c r="AB4089" t="str">
        <f>HYPERLINK("Melting_Curves/meltCurve_Q8IYS1_PM20D2.pdf", "Melting_Curves/meltCurve_Q8IYS1_PM20D2.pdf")</f>
        <v>Melting_Curves/meltCurve_Q8IYS1_PM20D2.pdf</v>
      </c>
    </row>
    <row r="4090" spans="1:28" x14ac:dyDescent="0.25">
      <c r="A4090" t="s">
        <v>4094</v>
      </c>
      <c r="B4090">
        <v>0.99987803227770999</v>
      </c>
      <c r="C4090">
        <v>0.99642698506925698</v>
      </c>
      <c r="D4090">
        <v>0.57086852475606298</v>
      </c>
      <c r="E4090">
        <v>0.52411020488941495</v>
      </c>
      <c r="F4090">
        <v>0.35295085026543299</v>
      </c>
      <c r="G4090">
        <v>0.278377857132727</v>
      </c>
      <c r="H4090">
        <v>0.22892721369900901</v>
      </c>
      <c r="I4090">
        <v>0.125972002513872</v>
      </c>
      <c r="J4090">
        <v>0.109426171745654</v>
      </c>
      <c r="K4090">
        <v>7.7969773469677706E-2</v>
      </c>
      <c r="L4090">
        <v>589.83276174052003</v>
      </c>
      <c r="M4090">
        <v>12.0043901373935</v>
      </c>
      <c r="N4090">
        <v>49.980633576533201</v>
      </c>
      <c r="O4090">
        <v>47.830812932052602</v>
      </c>
      <c r="P4090">
        <v>-5.69898197130006E-2</v>
      </c>
      <c r="Q4090">
        <v>9.1927776665025801E-2</v>
      </c>
      <c r="R4090">
        <v>0.95212897432972599</v>
      </c>
      <c r="S4090" t="s">
        <v>10401</v>
      </c>
      <c r="T4090" t="s">
        <v>12620</v>
      </c>
      <c r="U4090" t="s">
        <v>12620</v>
      </c>
      <c r="V4090" t="s">
        <v>12620</v>
      </c>
      <c r="W4090" t="s">
        <v>16660</v>
      </c>
      <c r="X4090">
        <v>2</v>
      </c>
      <c r="Y4090" t="s">
        <v>22780</v>
      </c>
      <c r="Z4090" t="s">
        <v>29037</v>
      </c>
      <c r="AA4090">
        <v>0.4014982171242017</v>
      </c>
      <c r="AB4090" t="str">
        <f>HYPERLINK("Melting_Curves/meltCurve_Q8IYT2_FTSJD1.pdf", "Melting_Curves/meltCurve_Q8IYT2_FTSJD1.pdf")</f>
        <v>Melting_Curves/meltCurve_Q8IYT2_FTSJD1.pdf</v>
      </c>
    </row>
    <row r="4091" spans="1:28" x14ac:dyDescent="0.25">
      <c r="A4091" t="s">
        <v>4095</v>
      </c>
      <c r="B4091">
        <v>0.99987803227770999</v>
      </c>
      <c r="C4091">
        <v>1.15603280240739</v>
      </c>
      <c r="D4091">
        <v>0.95008877079957399</v>
      </c>
      <c r="E4091">
        <v>0.44768697320127698</v>
      </c>
      <c r="F4091">
        <v>0.122245308279465</v>
      </c>
      <c r="G4091">
        <v>0.16310430695761799</v>
      </c>
      <c r="H4091">
        <v>8.1756831802068303E-2</v>
      </c>
      <c r="I4091">
        <v>6.0510494465026099E-2</v>
      </c>
      <c r="J4091">
        <v>0</v>
      </c>
      <c r="K4091">
        <v>3.5150052637152603E-2</v>
      </c>
      <c r="L4091">
        <v>1953.4230975462799</v>
      </c>
      <c r="M4091">
        <v>39.435689044497202</v>
      </c>
      <c r="N4091">
        <v>49.710386180116799</v>
      </c>
      <c r="O4091">
        <v>49.4075372922469</v>
      </c>
      <c r="P4091">
        <v>-0.186542522810278</v>
      </c>
      <c r="Q4091">
        <v>6.5152774066820796E-2</v>
      </c>
      <c r="R4091">
        <v>0.97917126262769305</v>
      </c>
      <c r="S4091" t="s">
        <v>10402</v>
      </c>
      <c r="T4091" t="s">
        <v>12620</v>
      </c>
      <c r="U4091" t="s">
        <v>12620</v>
      </c>
      <c r="V4091" t="s">
        <v>12620</v>
      </c>
      <c r="W4091" t="s">
        <v>16661</v>
      </c>
      <c r="X4091">
        <v>3</v>
      </c>
      <c r="Y4091" t="s">
        <v>22781</v>
      </c>
      <c r="Z4091" t="s">
        <v>29038</v>
      </c>
      <c r="AA4091">
        <v>0.36555574691471071</v>
      </c>
      <c r="AB4091" t="str">
        <f>HYPERLINK("Melting_Curves/meltCurve_Q8IYU8_MICU2.pdf", "Melting_Curves/meltCurve_Q8IYU8_MICU2.pdf")</f>
        <v>Melting_Curves/meltCurve_Q8IYU8_MICU2.pdf</v>
      </c>
    </row>
    <row r="4092" spans="1:28" x14ac:dyDescent="0.25">
      <c r="A4092" t="s">
        <v>4096</v>
      </c>
      <c r="B4092">
        <v>0.99987803227770999</v>
      </c>
      <c r="C4092">
        <v>0.87689112394503099</v>
      </c>
      <c r="D4092">
        <v>0.83632316571085896</v>
      </c>
      <c r="E4092">
        <v>0.88751470793099496</v>
      </c>
      <c r="F4092">
        <v>0.71792650692398396</v>
      </c>
      <c r="G4092">
        <v>0.66371827893772795</v>
      </c>
      <c r="H4092">
        <v>0.63009282460717297</v>
      </c>
      <c r="I4092">
        <v>0.53720420108677003</v>
      </c>
      <c r="J4092">
        <v>0.40799575737924498</v>
      </c>
      <c r="K4092">
        <v>0.23895550271503699</v>
      </c>
      <c r="L4092">
        <v>390.58344127713701</v>
      </c>
      <c r="M4092">
        <v>6.1952733728302603</v>
      </c>
      <c r="N4092">
        <v>63.045392473331503</v>
      </c>
      <c r="O4092">
        <v>57.4278696293526</v>
      </c>
      <c r="P4092">
        <v>-2.7047683317811998E-2</v>
      </c>
      <c r="Q4092">
        <v>0</v>
      </c>
      <c r="R4092">
        <v>0.92362909414771499</v>
      </c>
      <c r="S4092" t="s">
        <v>10403</v>
      </c>
      <c r="T4092" t="s">
        <v>12620</v>
      </c>
      <c r="U4092" t="s">
        <v>12620</v>
      </c>
      <c r="V4092" t="s">
        <v>12620</v>
      </c>
      <c r="W4092" t="s">
        <v>16662</v>
      </c>
      <c r="X4092">
        <v>1</v>
      </c>
      <c r="Y4092" t="s">
        <v>22782</v>
      </c>
      <c r="Z4092" t="s">
        <v>29039</v>
      </c>
      <c r="AA4092">
        <v>0.69461160550551271</v>
      </c>
      <c r="AB4092" t="str">
        <f>HYPERLINK("Melting_Curves/meltCurve_Q8IYW5_RNF168.pdf", "Melting_Curves/meltCurve_Q8IYW5_RNF168.pdf")</f>
        <v>Melting_Curves/meltCurve_Q8IYW5_RNF168.pdf</v>
      </c>
    </row>
    <row r="4093" spans="1:28" x14ac:dyDescent="0.25">
      <c r="A4093" t="s">
        <v>4097</v>
      </c>
      <c r="B4093">
        <v>0.99987803227770999</v>
      </c>
      <c r="C4093">
        <v>0.956223633751069</v>
      </c>
      <c r="D4093">
        <v>0.959594667653906</v>
      </c>
      <c r="E4093">
        <v>0.77495395524023603</v>
      </c>
      <c r="F4093">
        <v>0.55128971352499301</v>
      </c>
      <c r="G4093">
        <v>0.293342967902816</v>
      </c>
      <c r="H4093">
        <v>0.20191260812096701</v>
      </c>
      <c r="I4093">
        <v>0.18620782264632299</v>
      </c>
      <c r="J4093">
        <v>0.16072090586780199</v>
      </c>
      <c r="K4093">
        <v>0.122691752760709</v>
      </c>
      <c r="L4093">
        <v>1003.10158657106</v>
      </c>
      <c r="M4093">
        <v>19.023161548494901</v>
      </c>
      <c r="N4093">
        <v>53.638779704948398</v>
      </c>
      <c r="O4093">
        <v>52.158204930360398</v>
      </c>
      <c r="P4093">
        <v>-7.8628749149844704E-2</v>
      </c>
      <c r="Q4093">
        <v>0.137688716103265</v>
      </c>
      <c r="R4093">
        <v>0.99813233083705699</v>
      </c>
      <c r="S4093" t="s">
        <v>10404</v>
      </c>
      <c r="T4093" t="s">
        <v>12620</v>
      </c>
      <c r="U4093" t="s">
        <v>12620</v>
      </c>
      <c r="V4093" t="s">
        <v>12620</v>
      </c>
      <c r="W4093" t="s">
        <v>16663</v>
      </c>
      <c r="X4093">
        <v>2</v>
      </c>
      <c r="Y4093" t="s">
        <v>22783</v>
      </c>
      <c r="Z4093" t="s">
        <v>29040</v>
      </c>
      <c r="AA4093">
        <v>0.5165579430974937</v>
      </c>
      <c r="AB4093" t="str">
        <f>HYPERLINK("Melting_Curves/meltCurve_Q8IZ07_ANKRD13A.pdf", "Melting_Curves/meltCurve_Q8IZ07_ANKRD13A.pdf")</f>
        <v>Melting_Curves/meltCurve_Q8IZ07_ANKRD13A.pdf</v>
      </c>
    </row>
    <row r="4094" spans="1:28" x14ac:dyDescent="0.25">
      <c r="A4094" t="s">
        <v>4098</v>
      </c>
      <c r="B4094">
        <v>0.99987803227770999</v>
      </c>
      <c r="C4094">
        <v>0.98024947150152997</v>
      </c>
      <c r="D4094">
        <v>1.0310836973114701</v>
      </c>
      <c r="E4094">
        <v>0.992196419177236</v>
      </c>
      <c r="F4094">
        <v>1.00910998245839</v>
      </c>
      <c r="G4094">
        <v>0.98300779273859995</v>
      </c>
      <c r="H4094">
        <v>1.0526094195356499</v>
      </c>
      <c r="I4094">
        <v>0.89341282239477005</v>
      </c>
      <c r="J4094">
        <v>0.90942181890706397</v>
      </c>
      <c r="K4094">
        <v>0.68072490114651196</v>
      </c>
      <c r="L4094">
        <v>1846.2791371764299</v>
      </c>
      <c r="M4094">
        <v>25.586320549178499</v>
      </c>
      <c r="Q4094">
        <v>0</v>
      </c>
      <c r="R4094">
        <v>0.889675834622489</v>
      </c>
      <c r="S4094" t="s">
        <v>10405</v>
      </c>
      <c r="T4094" t="s">
        <v>12620</v>
      </c>
      <c r="U4094" t="s">
        <v>12620</v>
      </c>
      <c r="V4094" t="s">
        <v>12620</v>
      </c>
      <c r="W4094" t="s">
        <v>16664</v>
      </c>
      <c r="X4094">
        <v>23</v>
      </c>
      <c r="Y4094" t="s">
        <v>22784</v>
      </c>
      <c r="Z4094" t="s">
        <v>29041</v>
      </c>
      <c r="AA4094">
        <v>0.96934108886608017</v>
      </c>
      <c r="AB4094" t="str">
        <f>HYPERLINK("Melting_Curves/meltCurve_Q8IZ21_3_PHACTR4.pdf", "Melting_Curves/meltCurve_Q8IZ21_3_PHACTR4.pdf")</f>
        <v>Melting_Curves/meltCurve_Q8IZ21_3_PHACTR4.pdf</v>
      </c>
    </row>
    <row r="4095" spans="1:28" x14ac:dyDescent="0.25">
      <c r="A4095" t="s">
        <v>4099</v>
      </c>
      <c r="B4095">
        <v>0.99987803227770999</v>
      </c>
      <c r="C4095">
        <v>1.15460305586333</v>
      </c>
      <c r="D4095">
        <v>0.74826514266497102</v>
      </c>
      <c r="E4095">
        <v>0.54193694557046901</v>
      </c>
      <c r="F4095">
        <v>0.25325847269461099</v>
      </c>
      <c r="G4095">
        <v>0.210136040500921</v>
      </c>
      <c r="H4095">
        <v>0.15139715847053201</v>
      </c>
      <c r="I4095">
        <v>9.5015644317408707E-2</v>
      </c>
      <c r="J4095">
        <v>5.7825786102893399E-2</v>
      </c>
      <c r="K4095">
        <v>2.94780960379828E-2</v>
      </c>
      <c r="L4095">
        <v>958.60167030221101</v>
      </c>
      <c r="M4095">
        <v>19.279205356673401</v>
      </c>
      <c r="N4095">
        <v>50.169277502080803</v>
      </c>
      <c r="O4095">
        <v>49.196351168479403</v>
      </c>
      <c r="P4095">
        <v>-9.0239133817085398E-2</v>
      </c>
      <c r="Q4095">
        <v>7.8951663208562506E-2</v>
      </c>
      <c r="R4095">
        <v>0.96190093374048502</v>
      </c>
      <c r="S4095" t="s">
        <v>10406</v>
      </c>
      <c r="T4095" t="s">
        <v>12620</v>
      </c>
      <c r="U4095" t="s">
        <v>12620</v>
      </c>
      <c r="V4095" t="s">
        <v>12620</v>
      </c>
      <c r="W4095" t="s">
        <v>16665</v>
      </c>
      <c r="X4095">
        <v>1</v>
      </c>
      <c r="Y4095" t="s">
        <v>22785</v>
      </c>
      <c r="Z4095" t="s">
        <v>29042</v>
      </c>
      <c r="AA4095">
        <v>0.39123261008346399</v>
      </c>
      <c r="AB4095" t="str">
        <f>HYPERLINK("Melting_Curves/meltCurve_Q8IZ69_TRMT2A.pdf", "Melting_Curves/meltCurve_Q8IZ69_TRMT2A.pdf")</f>
        <v>Melting_Curves/meltCurve_Q8IZ69_TRMT2A.pdf</v>
      </c>
    </row>
    <row r="4096" spans="1:28" x14ac:dyDescent="0.25">
      <c r="A4096" t="s">
        <v>4100</v>
      </c>
      <c r="B4096">
        <v>0.99987803227770999</v>
      </c>
      <c r="C4096">
        <v>0.98513790867977502</v>
      </c>
      <c r="D4096">
        <v>1.06458775111968</v>
      </c>
      <c r="E4096">
        <v>1.00525735885026</v>
      </c>
      <c r="F4096">
        <v>1.01787478890714</v>
      </c>
      <c r="G4096">
        <v>0.82156535160675104</v>
      </c>
      <c r="H4096">
        <v>0.28887605672823202</v>
      </c>
      <c r="I4096">
        <v>0.21081849064497801</v>
      </c>
      <c r="J4096">
        <v>0.169037965570597</v>
      </c>
      <c r="K4096">
        <v>0.13279325345867399</v>
      </c>
      <c r="L4096">
        <v>2569.5293367141799</v>
      </c>
      <c r="M4096">
        <v>43.768448184659597</v>
      </c>
      <c r="N4096">
        <v>59.2290985985859</v>
      </c>
      <c r="O4096">
        <v>58.585185820884902</v>
      </c>
      <c r="P4096">
        <v>-0.15689601779661</v>
      </c>
      <c r="Q4096">
        <v>0.159963906652307</v>
      </c>
      <c r="R4096">
        <v>0.99554026416145602</v>
      </c>
      <c r="S4096" t="s">
        <v>10407</v>
      </c>
      <c r="T4096" t="s">
        <v>12620</v>
      </c>
      <c r="U4096" t="s">
        <v>12620</v>
      </c>
      <c r="V4096" t="s">
        <v>12620</v>
      </c>
      <c r="W4096" t="s">
        <v>16666</v>
      </c>
      <c r="X4096">
        <v>14</v>
      </c>
      <c r="Y4096" t="s">
        <v>22786</v>
      </c>
      <c r="Z4096" t="s">
        <v>29043</v>
      </c>
      <c r="AA4096">
        <v>0.68658731783332516</v>
      </c>
      <c r="AB4096" t="str">
        <f>HYPERLINK("Melting_Curves/meltCurve_Q8IZ73_RPUSD2.pdf", "Melting_Curves/meltCurve_Q8IZ73_RPUSD2.pdf")</f>
        <v>Melting_Curves/meltCurve_Q8IZ73_RPUSD2.pdf</v>
      </c>
    </row>
    <row r="4097" spans="1:28" x14ac:dyDescent="0.25">
      <c r="A4097" t="s">
        <v>4101</v>
      </c>
      <c r="B4097">
        <v>0.99987803227770999</v>
      </c>
      <c r="C4097">
        <v>0.85695364812845098</v>
      </c>
      <c r="D4097">
        <v>0.765578435417966</v>
      </c>
      <c r="E4097">
        <v>1.27433204167767</v>
      </c>
      <c r="F4097">
        <v>1.29484756811941</v>
      </c>
      <c r="G4097">
        <v>1.5639681357778801</v>
      </c>
      <c r="H4097">
        <v>0.96120777627241005</v>
      </c>
      <c r="I4097">
        <v>0.67782454057395403</v>
      </c>
      <c r="J4097">
        <v>0.14935707671116699</v>
      </c>
      <c r="K4097">
        <v>0.11181640625754399</v>
      </c>
      <c r="L4097">
        <v>4802.6377868662103</v>
      </c>
      <c r="M4097">
        <v>74.477822253048899</v>
      </c>
      <c r="N4097">
        <v>64.686847688432294</v>
      </c>
      <c r="O4097">
        <v>64.437688974597805</v>
      </c>
      <c r="P4097">
        <v>-0.25887811402080702</v>
      </c>
      <c r="Q4097">
        <v>0.104082060200425</v>
      </c>
      <c r="R4097">
        <v>0.72074140490288596</v>
      </c>
      <c r="S4097" t="s">
        <v>10408</v>
      </c>
      <c r="T4097" t="s">
        <v>12620</v>
      </c>
      <c r="U4097" t="s">
        <v>12620</v>
      </c>
      <c r="V4097" t="s">
        <v>12620</v>
      </c>
      <c r="W4097" t="s">
        <v>16667</v>
      </c>
      <c r="X4097">
        <v>12</v>
      </c>
      <c r="Y4097" t="s">
        <v>22787</v>
      </c>
      <c r="Z4097" t="s">
        <v>29044</v>
      </c>
      <c r="AA4097">
        <v>0.8363309117627733</v>
      </c>
      <c r="AB4097" t="str">
        <f>HYPERLINK("Melting_Curves/meltCurve_Q8IZ83_ALDH16A1.pdf", "Melting_Curves/meltCurve_Q8IZ83_ALDH16A1.pdf")</f>
        <v>Melting_Curves/meltCurve_Q8IZ83_ALDH16A1.pdf</v>
      </c>
    </row>
    <row r="4098" spans="1:28" x14ac:dyDescent="0.25">
      <c r="A4098" t="s">
        <v>4102</v>
      </c>
      <c r="B4098">
        <v>0.99987803227770999</v>
      </c>
      <c r="C4098">
        <v>1.0320625271752399</v>
      </c>
      <c r="D4098">
        <v>0.86931438666308303</v>
      </c>
      <c r="E4098">
        <v>0.87337587153483098</v>
      </c>
      <c r="F4098">
        <v>0.872990314897096</v>
      </c>
      <c r="G4098">
        <v>0.95028341308174902</v>
      </c>
      <c r="H4098">
        <v>0.75351086300717396</v>
      </c>
      <c r="I4098">
        <v>0.82503835745403598</v>
      </c>
      <c r="J4098">
        <v>0.66777474281133198</v>
      </c>
      <c r="K4098">
        <v>0.51693864714641302</v>
      </c>
      <c r="L4098">
        <v>450.13822738379099</v>
      </c>
      <c r="M4098">
        <v>6.0640996559097502</v>
      </c>
      <c r="O4098">
        <v>67.369239859461103</v>
      </c>
      <c r="P4098">
        <v>-2.25733862282281E-2</v>
      </c>
      <c r="Q4098">
        <v>0</v>
      </c>
      <c r="R4098">
        <v>0.79073485864541304</v>
      </c>
      <c r="S4098" t="s">
        <v>10409</v>
      </c>
      <c r="T4098" t="s">
        <v>12620</v>
      </c>
      <c r="U4098" t="s">
        <v>12620</v>
      </c>
      <c r="V4098" t="s">
        <v>12620</v>
      </c>
      <c r="W4098" t="s">
        <v>16668</v>
      </c>
      <c r="X4098">
        <v>2</v>
      </c>
      <c r="Y4098" t="s">
        <v>22788</v>
      </c>
      <c r="Z4098" t="s">
        <v>29045</v>
      </c>
      <c r="AA4098">
        <v>0.85595210546655376</v>
      </c>
      <c r="AB4098" t="str">
        <f>HYPERLINK("Melting_Curves/meltCurve_Q8IZD2_6_MLL5.pdf", "Melting_Curves/meltCurve_Q8IZD2_6_MLL5.pdf")</f>
        <v>Melting_Curves/meltCurve_Q8IZD2_6_MLL5.pdf</v>
      </c>
    </row>
    <row r="4099" spans="1:28" x14ac:dyDescent="0.25">
      <c r="A4099" t="s">
        <v>4103</v>
      </c>
      <c r="B4099">
        <v>0.99987803227770999</v>
      </c>
      <c r="C4099">
        <v>0.94914245955046805</v>
      </c>
      <c r="D4099">
        <v>0.95578903967763096</v>
      </c>
      <c r="E4099">
        <v>0.76876434529719095</v>
      </c>
      <c r="F4099">
        <v>0.62539257269398296</v>
      </c>
      <c r="G4099">
        <v>0.403212969522321</v>
      </c>
      <c r="H4099">
        <v>0.31873194952732797</v>
      </c>
      <c r="I4099">
        <v>0.28501777727320099</v>
      </c>
      <c r="J4099">
        <v>0.24036529897662101</v>
      </c>
      <c r="K4099">
        <v>0.19427328946763101</v>
      </c>
      <c r="L4099">
        <v>771.87599731906005</v>
      </c>
      <c r="M4099">
        <v>14.464217939091601</v>
      </c>
      <c r="N4099">
        <v>55.246835597606001</v>
      </c>
      <c r="O4099">
        <v>52.375592176532699</v>
      </c>
      <c r="P4099">
        <v>-5.5615758383681602E-2</v>
      </c>
      <c r="Q4099">
        <v>0.19454504609432599</v>
      </c>
      <c r="R4099">
        <v>0.99622526442600401</v>
      </c>
      <c r="S4099" t="s">
        <v>10410</v>
      </c>
      <c r="T4099" t="s">
        <v>12620</v>
      </c>
      <c r="U4099" t="s">
        <v>12620</v>
      </c>
      <c r="V4099" t="s">
        <v>12620</v>
      </c>
      <c r="W4099" t="s">
        <v>16669</v>
      </c>
      <c r="X4099">
        <v>6</v>
      </c>
      <c r="Y4099" t="s">
        <v>22789</v>
      </c>
      <c r="Z4099" t="s">
        <v>29046</v>
      </c>
      <c r="AA4099">
        <v>0.5712547168011981</v>
      </c>
      <c r="AB4099" t="str">
        <f>HYPERLINK("Melting_Curves/meltCurve_Q8IZD4_DCP1B.pdf", "Melting_Curves/meltCurve_Q8IZD4_DCP1B.pdf")</f>
        <v>Melting_Curves/meltCurve_Q8IZD4_DCP1B.pdf</v>
      </c>
    </row>
    <row r="4100" spans="1:28" x14ac:dyDescent="0.25">
      <c r="A4100" t="s">
        <v>4104</v>
      </c>
      <c r="B4100">
        <v>0.99987803227770999</v>
      </c>
      <c r="C4100">
        <v>0.88101915655993301</v>
      </c>
      <c r="D4100">
        <v>0.73894813852831698</v>
      </c>
      <c r="E4100">
        <v>0.48224711872304399</v>
      </c>
      <c r="F4100">
        <v>0.223973065702396</v>
      </c>
      <c r="G4100">
        <v>0.14506745597821899</v>
      </c>
      <c r="H4100">
        <v>8.8544274901786998E-2</v>
      </c>
      <c r="I4100">
        <v>7.8991822576811796E-2</v>
      </c>
      <c r="J4100">
        <v>6.4852376097575604E-2</v>
      </c>
      <c r="K4100">
        <v>3.6572762950452697E-2</v>
      </c>
      <c r="L4100">
        <v>767.13559867942195</v>
      </c>
      <c r="M4100">
        <v>15.6659288832663</v>
      </c>
      <c r="N4100">
        <v>49.253165703804299</v>
      </c>
      <c r="O4100">
        <v>48.191319868834697</v>
      </c>
      <c r="P4100">
        <v>-7.7757433187534003E-2</v>
      </c>
      <c r="Q4100">
        <v>4.3296032759217E-2</v>
      </c>
      <c r="R4100">
        <v>0.99592152833139802</v>
      </c>
      <c r="S4100" t="s">
        <v>10411</v>
      </c>
      <c r="T4100" t="s">
        <v>12620</v>
      </c>
      <c r="U4100" t="s">
        <v>12620</v>
      </c>
      <c r="V4100" t="s">
        <v>12620</v>
      </c>
      <c r="W4100" t="s">
        <v>16670</v>
      </c>
      <c r="X4100">
        <v>2</v>
      </c>
      <c r="Y4100" t="s">
        <v>22790</v>
      </c>
      <c r="Z4100" t="s">
        <v>29047</v>
      </c>
      <c r="AA4100">
        <v>0.35106639263044348</v>
      </c>
      <c r="AB4100" t="str">
        <f>HYPERLINK("Melting_Curves/meltCurve_Q8IZE3_2_SCYL3.pdf", "Melting_Curves/meltCurve_Q8IZE3_2_SCYL3.pdf")</f>
        <v>Melting_Curves/meltCurve_Q8IZE3_2_SCYL3.pdf</v>
      </c>
    </row>
    <row r="4101" spans="1:28" x14ac:dyDescent="0.25">
      <c r="A4101" t="s">
        <v>4105</v>
      </c>
      <c r="B4101">
        <v>0.99987803227770999</v>
      </c>
      <c r="C4101">
        <v>1.3273355345986599</v>
      </c>
      <c r="D4101">
        <v>1.05711319153007</v>
      </c>
      <c r="E4101">
        <v>0.68671468524133905</v>
      </c>
      <c r="F4101">
        <v>0.31638772669499499</v>
      </c>
      <c r="G4101">
        <v>0.227999127767406</v>
      </c>
      <c r="H4101">
        <v>0.15785367869804001</v>
      </c>
      <c r="I4101">
        <v>0.15507574064956001</v>
      </c>
      <c r="J4101">
        <v>7.5216327199779401E-2</v>
      </c>
      <c r="K4101">
        <v>6.9446982415268907E-2</v>
      </c>
      <c r="L4101">
        <v>1740.02742288998</v>
      </c>
      <c r="M4101">
        <v>34.128733397262202</v>
      </c>
      <c r="N4101">
        <v>51.439366862752401</v>
      </c>
      <c r="O4101">
        <v>50.81014555953</v>
      </c>
      <c r="P4101">
        <v>-0.146039599015096</v>
      </c>
      <c r="Q4101">
        <v>0.13032058595767401</v>
      </c>
      <c r="R4101">
        <v>0.93560847668271196</v>
      </c>
      <c r="S4101" t="s">
        <v>10412</v>
      </c>
      <c r="T4101" t="s">
        <v>12620</v>
      </c>
      <c r="U4101" t="s">
        <v>12620</v>
      </c>
      <c r="V4101" t="s">
        <v>12620</v>
      </c>
      <c r="W4101" t="s">
        <v>16671</v>
      </c>
      <c r="X4101">
        <v>4</v>
      </c>
      <c r="Y4101" t="s">
        <v>22791</v>
      </c>
      <c r="Z4101" t="s">
        <v>29048</v>
      </c>
      <c r="AA4101">
        <v>0.45296534470254901</v>
      </c>
      <c r="AB4101" t="str">
        <f>HYPERLINK("Melting_Curves/meltCurve_Q8IZH2_2_XRN1.pdf", "Melting_Curves/meltCurve_Q8IZH2_2_XRN1.pdf")</f>
        <v>Melting_Curves/meltCurve_Q8IZH2_2_XRN1.pdf</v>
      </c>
    </row>
    <row r="4102" spans="1:28" x14ac:dyDescent="0.25">
      <c r="A4102" t="s">
        <v>4106</v>
      </c>
      <c r="B4102">
        <v>0.99987803227770999</v>
      </c>
      <c r="C4102">
        <v>0.94323600482081904</v>
      </c>
      <c r="D4102">
        <v>1.05714250423199</v>
      </c>
      <c r="E4102">
        <v>0.85456366742852896</v>
      </c>
      <c r="F4102">
        <v>1.00223729141438</v>
      </c>
      <c r="G4102">
        <v>0.77720599052752004</v>
      </c>
      <c r="H4102">
        <v>0.83219940046432395</v>
      </c>
      <c r="I4102">
        <v>0.71744969824454696</v>
      </c>
      <c r="J4102">
        <v>0.90728386472463796</v>
      </c>
      <c r="K4102">
        <v>0.74532003672889102</v>
      </c>
      <c r="L4102">
        <v>975.22728577438204</v>
      </c>
      <c r="M4102">
        <v>18.223417961235199</v>
      </c>
      <c r="O4102">
        <v>52.883127920080597</v>
      </c>
      <c r="P4102">
        <v>-1.84688062436336E-2</v>
      </c>
      <c r="Q4102">
        <v>0.785629164806942</v>
      </c>
      <c r="R4102">
        <v>0.56810646458521297</v>
      </c>
      <c r="S4102" t="s">
        <v>10413</v>
      </c>
      <c r="T4102" t="s">
        <v>12620</v>
      </c>
      <c r="U4102" t="s">
        <v>12620</v>
      </c>
      <c r="V4102" t="s">
        <v>12620</v>
      </c>
      <c r="W4102" t="s">
        <v>16672</v>
      </c>
      <c r="X4102">
        <v>1</v>
      </c>
      <c r="Y4102" t="s">
        <v>22792</v>
      </c>
      <c r="Z4102" t="s">
        <v>29049</v>
      </c>
      <c r="AA4102">
        <v>0.88561019602030122</v>
      </c>
      <c r="AB4102" t="str">
        <f>HYPERLINK("Melting_Curves/meltCurve_Q8IZL2_MAML2.pdf", "Melting_Curves/meltCurve_Q8IZL2_MAML2.pdf")</f>
        <v>Melting_Curves/meltCurve_Q8IZL2_MAML2.pdf</v>
      </c>
    </row>
    <row r="4103" spans="1:28" x14ac:dyDescent="0.25">
      <c r="A4103" t="s">
        <v>4107</v>
      </c>
      <c r="B4103">
        <v>0.99987803227770999</v>
      </c>
      <c r="C4103">
        <v>1.1663760700027599</v>
      </c>
      <c r="D4103">
        <v>0.950032916677783</v>
      </c>
      <c r="E4103">
        <v>1.29969599665205</v>
      </c>
      <c r="F4103">
        <v>0.66557372796371095</v>
      </c>
      <c r="G4103">
        <v>0.39631858553211802</v>
      </c>
      <c r="H4103">
        <v>0.29042367407040998</v>
      </c>
      <c r="I4103">
        <v>0.17343888811398001</v>
      </c>
      <c r="J4103">
        <v>0.16180213703061899</v>
      </c>
      <c r="K4103">
        <v>0.125289428870895</v>
      </c>
      <c r="L4103">
        <v>1827.74958456066</v>
      </c>
      <c r="M4103">
        <v>33.444151499581203</v>
      </c>
      <c r="N4103">
        <v>55.412069488953897</v>
      </c>
      <c r="O4103">
        <v>54.456514073887497</v>
      </c>
      <c r="P4103">
        <v>-0.12525677385960601</v>
      </c>
      <c r="Q4103">
        <v>0.18418998207175899</v>
      </c>
      <c r="R4103">
        <v>0.90694852057205799</v>
      </c>
      <c r="S4103" t="s">
        <v>10414</v>
      </c>
      <c r="T4103" t="s">
        <v>12620</v>
      </c>
      <c r="U4103" t="s">
        <v>12620</v>
      </c>
      <c r="V4103" t="s">
        <v>12620</v>
      </c>
      <c r="W4103" t="s">
        <v>16673</v>
      </c>
      <c r="X4103">
        <v>5</v>
      </c>
      <c r="Y4103" t="s">
        <v>22793</v>
      </c>
      <c r="Z4103" t="s">
        <v>29050</v>
      </c>
      <c r="AA4103">
        <v>0.58697407756690489</v>
      </c>
      <c r="AB4103" t="str">
        <f>HYPERLINK("Melting_Curves/meltCurve_Q8IZL8_PELP1.pdf", "Melting_Curves/meltCurve_Q8IZL8_PELP1.pdf")</f>
        <v>Melting_Curves/meltCurve_Q8IZL8_PELP1.pdf</v>
      </c>
    </row>
    <row r="4104" spans="1:28" x14ac:dyDescent="0.25">
      <c r="A4104" t="s">
        <v>4108</v>
      </c>
      <c r="B4104">
        <v>0.99987803227770999</v>
      </c>
      <c r="C4104">
        <v>0.98845893598907797</v>
      </c>
      <c r="D4104">
        <v>0.96106182521939199</v>
      </c>
      <c r="E4104">
        <v>1.16156737116818</v>
      </c>
      <c r="F4104">
        <v>0.89153266770878103</v>
      </c>
      <c r="G4104">
        <v>0.59836940356900203</v>
      </c>
      <c r="H4104">
        <v>0.43439745149696402</v>
      </c>
      <c r="I4104">
        <v>0.37112047301224599</v>
      </c>
      <c r="J4104">
        <v>0.304041681737306</v>
      </c>
      <c r="K4104">
        <v>0.23631399122521701</v>
      </c>
      <c r="L4104">
        <v>1490.5203682439701</v>
      </c>
      <c r="M4104">
        <v>26.204557761323301</v>
      </c>
      <c r="N4104">
        <v>58.836807745230303</v>
      </c>
      <c r="O4104">
        <v>56.552041762607999</v>
      </c>
      <c r="P4104">
        <v>-8.2153807986318703E-2</v>
      </c>
      <c r="Q4104">
        <v>0.29082355970836199</v>
      </c>
      <c r="R4104">
        <v>0.95923494563133205</v>
      </c>
      <c r="S4104" t="s">
        <v>10415</v>
      </c>
      <c r="T4104" t="s">
        <v>12620</v>
      </c>
      <c r="U4104" t="s">
        <v>12620</v>
      </c>
      <c r="V4104" t="s">
        <v>12620</v>
      </c>
      <c r="W4104" t="s">
        <v>16674</v>
      </c>
      <c r="X4104">
        <v>11</v>
      </c>
      <c r="Y4104" t="s">
        <v>22794</v>
      </c>
      <c r="Z4104" t="s">
        <v>29051</v>
      </c>
      <c r="AA4104">
        <v>0.69580342694462827</v>
      </c>
      <c r="AB4104" t="str">
        <f>HYPERLINK("Melting_Curves/meltCurve_Q8IZP0_10_ABI1.pdf", "Melting_Curves/meltCurve_Q8IZP0_10_ABI1.pdf")</f>
        <v>Melting_Curves/meltCurve_Q8IZP0_10_ABI1.pdf</v>
      </c>
    </row>
    <row r="4105" spans="1:28" x14ac:dyDescent="0.25">
      <c r="A4105" t="s">
        <v>4109</v>
      </c>
      <c r="B4105">
        <v>0.99987803227770999</v>
      </c>
      <c r="C4105">
        <v>1.07780179067292</v>
      </c>
      <c r="D4105">
        <v>0.80918827251800896</v>
      </c>
      <c r="E4105">
        <v>0.62931027582458998</v>
      </c>
      <c r="F4105">
        <v>0.42771487540630798</v>
      </c>
      <c r="G4105">
        <v>0.19417279932933099</v>
      </c>
      <c r="H4105">
        <v>0.120214587750491</v>
      </c>
      <c r="I4105">
        <v>0.17913359321195299</v>
      </c>
      <c r="J4105">
        <v>9.1123532646737698E-2</v>
      </c>
      <c r="K4105">
        <v>7.6364077604824901E-2</v>
      </c>
      <c r="L4105">
        <v>869.05801800060601</v>
      </c>
      <c r="M4105">
        <v>17.0275440749814</v>
      </c>
      <c r="N4105">
        <v>51.624380087522901</v>
      </c>
      <c r="O4105">
        <v>50.350012753844403</v>
      </c>
      <c r="P4105">
        <v>-7.7120912347607207E-2</v>
      </c>
      <c r="Q4105">
        <v>8.7877808945326402E-2</v>
      </c>
      <c r="R4105">
        <v>0.98281224396031197</v>
      </c>
      <c r="S4105" t="s">
        <v>10416</v>
      </c>
      <c r="T4105" t="s">
        <v>12620</v>
      </c>
      <c r="U4105" t="s">
        <v>12620</v>
      </c>
      <c r="V4105" t="s">
        <v>12620</v>
      </c>
      <c r="W4105" t="s">
        <v>16675</v>
      </c>
      <c r="X4105">
        <v>1</v>
      </c>
      <c r="Y4105" t="s">
        <v>22795</v>
      </c>
      <c r="Z4105" t="s">
        <v>29052</v>
      </c>
      <c r="AA4105">
        <v>0.44044644226225199</v>
      </c>
      <c r="AB4105" t="str">
        <f>HYPERLINK("Melting_Curves/meltCurve_Q8IZQ1_2_WDFY3.pdf", "Melting_Curves/meltCurve_Q8IZQ1_2_WDFY3.pdf")</f>
        <v>Melting_Curves/meltCurve_Q8IZQ1_2_WDFY3.pdf</v>
      </c>
    </row>
    <row r="4106" spans="1:28" x14ac:dyDescent="0.25">
      <c r="A4106" t="s">
        <v>4110</v>
      </c>
      <c r="B4106">
        <v>0.99987803227770999</v>
      </c>
      <c r="C4106">
        <v>0.91180226328115899</v>
      </c>
      <c r="D4106">
        <v>0.91559526571694705</v>
      </c>
      <c r="E4106">
        <v>0.56652189365347305</v>
      </c>
      <c r="F4106">
        <v>0.40207959812098498</v>
      </c>
      <c r="G4106">
        <v>0.25018611095194299</v>
      </c>
      <c r="H4106">
        <v>0.37013058327924298</v>
      </c>
      <c r="I4106">
        <v>0.39481874782479998</v>
      </c>
      <c r="J4106">
        <v>0.16118418242382401</v>
      </c>
      <c r="K4106">
        <v>0.13921296767264801</v>
      </c>
      <c r="L4106">
        <v>1029.3433910931999</v>
      </c>
      <c r="M4106">
        <v>20.795868559709699</v>
      </c>
      <c r="N4106">
        <v>51.184532348991098</v>
      </c>
      <c r="O4106">
        <v>49.046599880708598</v>
      </c>
      <c r="P4106">
        <v>-7.9707917259807401E-2</v>
      </c>
      <c r="Q4106">
        <v>0.24806324665799601</v>
      </c>
      <c r="R4106">
        <v>0.93708533009998796</v>
      </c>
      <c r="S4106" t="s">
        <v>10417</v>
      </c>
      <c r="T4106" t="s">
        <v>12620</v>
      </c>
      <c r="U4106" t="s">
        <v>12620</v>
      </c>
      <c r="V4106" t="s">
        <v>12620</v>
      </c>
      <c r="W4106" t="s">
        <v>16676</v>
      </c>
      <c r="X4106">
        <v>22</v>
      </c>
      <c r="Y4106" t="s">
        <v>22796</v>
      </c>
      <c r="Z4106" t="s">
        <v>29053</v>
      </c>
      <c r="AA4106">
        <v>0.49582019620510992</v>
      </c>
      <c r="AB4106" t="str">
        <f>HYPERLINK("Melting_Curves/meltCurve_Q8IZW8_TNS4.pdf", "Melting_Curves/meltCurve_Q8IZW8_TNS4.pdf")</f>
        <v>Melting_Curves/meltCurve_Q8IZW8_TNS4.pdf</v>
      </c>
    </row>
    <row r="4107" spans="1:28" x14ac:dyDescent="0.25">
      <c r="A4107" t="s">
        <v>4111</v>
      </c>
      <c r="B4107">
        <v>0.99987803227770999</v>
      </c>
      <c r="C4107">
        <v>1.2042277220240101</v>
      </c>
      <c r="D4107">
        <v>1.1008951188034399</v>
      </c>
      <c r="E4107">
        <v>1.2338779450789199</v>
      </c>
      <c r="F4107">
        <v>0.92749208867035104</v>
      </c>
      <c r="G4107">
        <v>0.93156520787597996</v>
      </c>
      <c r="H4107">
        <v>0.45178563465250099</v>
      </c>
      <c r="I4107">
        <v>0.44411913410822401</v>
      </c>
      <c r="J4107">
        <v>0.32975839277112901</v>
      </c>
      <c r="K4107">
        <v>0.31882908137744198</v>
      </c>
      <c r="L4107">
        <v>3029.6659272063598</v>
      </c>
      <c r="M4107">
        <v>51.195822069233401</v>
      </c>
      <c r="N4107">
        <v>60.6383499281797</v>
      </c>
      <c r="O4107">
        <v>59.087907949871898</v>
      </c>
      <c r="P4107">
        <v>-0.139867708870522</v>
      </c>
      <c r="Q4107">
        <v>0.35428450931935401</v>
      </c>
      <c r="R4107">
        <v>0.90140807770698905</v>
      </c>
      <c r="S4107" t="s">
        <v>10418</v>
      </c>
      <c r="T4107" t="s">
        <v>12620</v>
      </c>
      <c r="U4107" t="s">
        <v>12620</v>
      </c>
      <c r="V4107" t="s">
        <v>12620</v>
      </c>
      <c r="W4107" t="s">
        <v>16677</v>
      </c>
      <c r="X4107">
        <v>4</v>
      </c>
      <c r="Y4107" t="s">
        <v>22797</v>
      </c>
      <c r="Z4107" t="s">
        <v>29054</v>
      </c>
      <c r="AA4107">
        <v>0.76866268617185496</v>
      </c>
      <c r="AB4107" t="str">
        <f>HYPERLINK("Melting_Curves/meltCurve_Q8N0T1_C8orf59.pdf", "Melting_Curves/meltCurve_Q8N0T1_C8orf59.pdf")</f>
        <v>Melting_Curves/meltCurve_Q8N0T1_C8orf59.pdf</v>
      </c>
    </row>
    <row r="4108" spans="1:28" x14ac:dyDescent="0.25">
      <c r="A4108" t="s">
        <v>4112</v>
      </c>
      <c r="B4108">
        <v>0.99987803227770999</v>
      </c>
      <c r="C4108">
        <v>1.01911301502587</v>
      </c>
      <c r="D4108">
        <v>0.86264151816625101</v>
      </c>
      <c r="E4108">
        <v>0.85424043492276103</v>
      </c>
      <c r="F4108">
        <v>0.75630207654149695</v>
      </c>
      <c r="G4108">
        <v>0.58352330812325004</v>
      </c>
      <c r="H4108">
        <v>0.28943045723852701</v>
      </c>
      <c r="I4108">
        <v>0.29108659136239701</v>
      </c>
      <c r="J4108">
        <v>0.14576695209184801</v>
      </c>
      <c r="K4108">
        <v>0.137340325603378</v>
      </c>
      <c r="L4108">
        <v>656.42849817895603</v>
      </c>
      <c r="M4108">
        <v>11.3504479426221</v>
      </c>
      <c r="N4108">
        <v>57.832819417141103</v>
      </c>
      <c r="O4108">
        <v>56.124940720648702</v>
      </c>
      <c r="P4108">
        <v>-5.0573956360992003E-2</v>
      </c>
      <c r="Q4108">
        <v>0</v>
      </c>
      <c r="R4108">
        <v>0.98350166255025595</v>
      </c>
      <c r="S4108" t="s">
        <v>10419</v>
      </c>
      <c r="T4108" t="s">
        <v>12620</v>
      </c>
      <c r="U4108" t="s">
        <v>12620</v>
      </c>
      <c r="V4108" t="s">
        <v>12620</v>
      </c>
      <c r="W4108" t="s">
        <v>16678</v>
      </c>
      <c r="X4108">
        <v>1</v>
      </c>
      <c r="Y4108" t="s">
        <v>22798</v>
      </c>
      <c r="Z4108" t="s">
        <v>29055</v>
      </c>
      <c r="AA4108">
        <v>0.60732436202438933</v>
      </c>
      <c r="AB4108" t="str">
        <f>HYPERLINK("Melting_Curves/meltCurve_Q8N0U4_3_FAM185A.pdf", "Melting_Curves/meltCurve_Q8N0U4_3_FAM185A.pdf")</f>
        <v>Melting_Curves/meltCurve_Q8N0U4_3_FAM185A.pdf</v>
      </c>
    </row>
    <row r="4109" spans="1:28" x14ac:dyDescent="0.25">
      <c r="A4109" t="s">
        <v>4113</v>
      </c>
      <c r="B4109">
        <v>0.99987803227770999</v>
      </c>
      <c r="C4109">
        <v>1.3157161051590001</v>
      </c>
      <c r="D4109">
        <v>0.89799540200644001</v>
      </c>
      <c r="E4109">
        <v>1.2318788116944299</v>
      </c>
      <c r="F4109">
        <v>1.33807182521987</v>
      </c>
      <c r="G4109">
        <v>0.80286721981736098</v>
      </c>
      <c r="H4109">
        <v>1.76812115147183</v>
      </c>
      <c r="I4109">
        <v>2.2132011252255501</v>
      </c>
      <c r="J4109">
        <v>0.14529875555128399</v>
      </c>
      <c r="K4109">
        <v>0.112219708595182</v>
      </c>
      <c r="L4109">
        <v>15000</v>
      </c>
      <c r="M4109">
        <v>226.66906436460499</v>
      </c>
      <c r="N4109">
        <v>66.243433753893996</v>
      </c>
      <c r="O4109">
        <v>66.170618355072193</v>
      </c>
      <c r="P4109">
        <v>-0.76788335638581695</v>
      </c>
      <c r="Q4109">
        <v>0.10333918302285</v>
      </c>
      <c r="R4109">
        <v>0.37849099992741497</v>
      </c>
      <c r="S4109" t="s">
        <v>10420</v>
      </c>
      <c r="T4109" t="s">
        <v>12620</v>
      </c>
      <c r="U4109" t="s">
        <v>12620</v>
      </c>
      <c r="V4109" t="s">
        <v>12620</v>
      </c>
      <c r="W4109" t="s">
        <v>16679</v>
      </c>
      <c r="X4109">
        <v>6</v>
      </c>
      <c r="Y4109" t="s">
        <v>22799</v>
      </c>
      <c r="Z4109" t="s">
        <v>29056</v>
      </c>
      <c r="AA4109">
        <v>0.88582541860782371</v>
      </c>
      <c r="AB4109" t="str">
        <f>HYPERLINK("Melting_Curves/meltCurve_Q8N0W3_FUK.pdf", "Melting_Curves/meltCurve_Q8N0W3_FUK.pdf")</f>
        <v>Melting_Curves/meltCurve_Q8N0W3_FUK.pdf</v>
      </c>
    </row>
    <row r="4110" spans="1:28" x14ac:dyDescent="0.25">
      <c r="A4110" t="s">
        <v>4114</v>
      </c>
      <c r="B4110">
        <v>0.99987803227770999</v>
      </c>
      <c r="C4110">
        <v>0.85951481620558301</v>
      </c>
      <c r="D4110">
        <v>1.0003261773127201</v>
      </c>
      <c r="E4110">
        <v>0.75980317941662101</v>
      </c>
      <c r="F4110">
        <v>0.67708370852210598</v>
      </c>
      <c r="G4110">
        <v>0.392778707240656</v>
      </c>
      <c r="H4110">
        <v>0.28974115618645202</v>
      </c>
      <c r="I4110">
        <v>0.25194976356073101</v>
      </c>
      <c r="J4110">
        <v>0.23851122374764799</v>
      </c>
      <c r="K4110">
        <v>0.18049412767937101</v>
      </c>
      <c r="L4110">
        <v>785.08703850372797</v>
      </c>
      <c r="M4110">
        <v>14.5840005065953</v>
      </c>
      <c r="N4110">
        <v>55.403347523904003</v>
      </c>
      <c r="O4110">
        <v>52.850318962930601</v>
      </c>
      <c r="P4110">
        <v>-5.7309339881916103E-2</v>
      </c>
      <c r="Q4110">
        <v>0.169370528641232</v>
      </c>
      <c r="R4110">
        <v>0.97529667412958698</v>
      </c>
      <c r="S4110" t="s">
        <v>10421</v>
      </c>
      <c r="T4110" t="s">
        <v>12620</v>
      </c>
      <c r="U4110" t="s">
        <v>12620</v>
      </c>
      <c r="V4110" t="s">
        <v>12620</v>
      </c>
      <c r="W4110" t="s">
        <v>16680</v>
      </c>
      <c r="X4110">
        <v>14</v>
      </c>
      <c r="Y4110" t="s">
        <v>22800</v>
      </c>
      <c r="Z4110" t="s">
        <v>29057</v>
      </c>
      <c r="AA4110">
        <v>0.57015621263925242</v>
      </c>
      <c r="AB4110" t="str">
        <f>HYPERLINK("Melting_Curves/meltCurve_Q8N0X7_SPG20.pdf", "Melting_Curves/meltCurve_Q8N0X7_SPG20.pdf")</f>
        <v>Melting_Curves/meltCurve_Q8N0X7_SPG20.pdf</v>
      </c>
    </row>
    <row r="4111" spans="1:28" x14ac:dyDescent="0.25">
      <c r="A4111" t="s">
        <v>4115</v>
      </c>
      <c r="B4111">
        <v>0.99987803227770999</v>
      </c>
      <c r="C4111">
        <v>0.93384034742504496</v>
      </c>
      <c r="D4111">
        <v>1.0517179485699699</v>
      </c>
      <c r="E4111">
        <v>0.82292170149194999</v>
      </c>
      <c r="F4111">
        <v>0.982075511396859</v>
      </c>
      <c r="G4111">
        <v>0.71216964349283396</v>
      </c>
      <c r="H4111">
        <v>0.90553957635874205</v>
      </c>
      <c r="I4111">
        <v>1.0430812691112401</v>
      </c>
      <c r="J4111">
        <v>0.77624810780682796</v>
      </c>
      <c r="K4111">
        <v>0.59935592099192103</v>
      </c>
      <c r="L4111">
        <v>338.9558247352</v>
      </c>
      <c r="M4111">
        <v>3.8432275886376801</v>
      </c>
      <c r="Q4111">
        <v>0</v>
      </c>
      <c r="R4111">
        <v>0.343165201170192</v>
      </c>
      <c r="S4111" t="s">
        <v>10422</v>
      </c>
      <c r="T4111" t="s">
        <v>12620</v>
      </c>
      <c r="U4111" t="s">
        <v>12620</v>
      </c>
      <c r="V4111" t="s">
        <v>12620</v>
      </c>
      <c r="W4111" t="s">
        <v>16681</v>
      </c>
      <c r="X4111">
        <v>3</v>
      </c>
      <c r="Y4111" t="s">
        <v>22801</v>
      </c>
      <c r="Z4111" t="s">
        <v>29058</v>
      </c>
      <c r="AA4111">
        <v>0.89293946642380106</v>
      </c>
      <c r="AB4111" t="str">
        <f>HYPERLINK("Melting_Curves/meltCurve_Q8N0Z3_SPICE1.pdf", "Melting_Curves/meltCurve_Q8N0Z3_SPICE1.pdf")</f>
        <v>Melting_Curves/meltCurve_Q8N0Z3_SPICE1.pdf</v>
      </c>
    </row>
    <row r="4112" spans="1:28" x14ac:dyDescent="0.25">
      <c r="A4112" t="s">
        <v>4116</v>
      </c>
      <c r="B4112">
        <v>0.99987803227770999</v>
      </c>
      <c r="C4112">
        <v>1.0605777278251001</v>
      </c>
      <c r="D4112">
        <v>1.11899325904978</v>
      </c>
      <c r="E4112">
        <v>0.69000500781277097</v>
      </c>
      <c r="F4112">
        <v>0.38318481194751902</v>
      </c>
      <c r="G4112">
        <v>0.27525249945271602</v>
      </c>
      <c r="H4112">
        <v>0.163177679563558</v>
      </c>
      <c r="I4112">
        <v>0.12329544268449801</v>
      </c>
      <c r="J4112">
        <v>8.0964046115481095E-2</v>
      </c>
      <c r="K4112">
        <v>7.1888592656713698E-2</v>
      </c>
      <c r="L4112">
        <v>1380.6206739287099</v>
      </c>
      <c r="M4112">
        <v>26.8069308672947</v>
      </c>
      <c r="N4112">
        <v>52.042700616220699</v>
      </c>
      <c r="O4112">
        <v>51.218329638709598</v>
      </c>
      <c r="P4112">
        <v>-0.114953382266126</v>
      </c>
      <c r="Q4112">
        <v>0.12147190569250101</v>
      </c>
      <c r="R4112">
        <v>0.97404724602993897</v>
      </c>
      <c r="S4112" t="s">
        <v>10423</v>
      </c>
      <c r="T4112" t="s">
        <v>12620</v>
      </c>
      <c r="U4112" t="s">
        <v>12620</v>
      </c>
      <c r="V4112" t="s">
        <v>12620</v>
      </c>
      <c r="W4112" t="s">
        <v>16682</v>
      </c>
      <c r="X4112">
        <v>4</v>
      </c>
      <c r="Y4112" t="s">
        <v>22802</v>
      </c>
      <c r="Z4112" t="s">
        <v>29059</v>
      </c>
      <c r="AA4112">
        <v>0.46527114931310382</v>
      </c>
      <c r="AB4112" t="str">
        <f>HYPERLINK("Melting_Curves/meltCurve_Q8N0Z6_TTC5.pdf", "Melting_Curves/meltCurve_Q8N0Z6_TTC5.pdf")</f>
        <v>Melting_Curves/meltCurve_Q8N0Z6_TTC5.pdf</v>
      </c>
    </row>
    <row r="4113" spans="1:28" x14ac:dyDescent="0.25">
      <c r="A4113" t="s">
        <v>4117</v>
      </c>
      <c r="B4113">
        <v>0.99987803227770999</v>
      </c>
      <c r="C4113">
        <v>1.00927383063689</v>
      </c>
      <c r="D4113">
        <v>0.98810963692633802</v>
      </c>
      <c r="E4113">
        <v>0.92002003540886701</v>
      </c>
      <c r="F4113">
        <v>0.74249932799138796</v>
      </c>
      <c r="G4113">
        <v>0.55163390631328701</v>
      </c>
      <c r="H4113">
        <v>0.59069840046599897</v>
      </c>
      <c r="I4113">
        <v>0.48981180908656402</v>
      </c>
      <c r="J4113">
        <v>0.59541554592937396</v>
      </c>
      <c r="K4113">
        <v>0.49747438218333401</v>
      </c>
      <c r="L4113">
        <v>1692.8125505678599</v>
      </c>
      <c r="M4113">
        <v>32.225490472579203</v>
      </c>
      <c r="O4113">
        <v>52.3291994342026</v>
      </c>
      <c r="P4113">
        <v>-7.1201261491191506E-2</v>
      </c>
      <c r="Q4113">
        <v>0.53752313107466498</v>
      </c>
      <c r="R4113">
        <v>0.97640742366475397</v>
      </c>
      <c r="S4113" t="s">
        <v>10424</v>
      </c>
      <c r="T4113" t="s">
        <v>12620</v>
      </c>
      <c r="U4113" t="s">
        <v>12620</v>
      </c>
      <c r="V4113" t="s">
        <v>12620</v>
      </c>
      <c r="W4113" t="s">
        <v>16683</v>
      </c>
      <c r="X4113">
        <v>9</v>
      </c>
      <c r="Y4113" t="s">
        <v>22803</v>
      </c>
      <c r="Z4113" t="s">
        <v>29060</v>
      </c>
      <c r="AA4113">
        <v>0.73327340986838874</v>
      </c>
      <c r="AB4113" t="str">
        <f>HYPERLINK("Melting_Curves/meltCurve_Q8N108_17_MIER1.pdf", "Melting_Curves/meltCurve_Q8N108_17_MIER1.pdf")</f>
        <v>Melting_Curves/meltCurve_Q8N108_17_MIER1.pdf</v>
      </c>
    </row>
    <row r="4114" spans="1:28" x14ac:dyDescent="0.25">
      <c r="A4114" t="s">
        <v>4118</v>
      </c>
      <c r="B4114">
        <v>0.99987803227770999</v>
      </c>
      <c r="C4114">
        <v>0.975726880860454</v>
      </c>
      <c r="D4114">
        <v>0.89166982678427398</v>
      </c>
      <c r="E4114">
        <v>1.1237042380331601</v>
      </c>
      <c r="F4114">
        <v>0.43848547680702699</v>
      </c>
      <c r="G4114">
        <v>0.306393147628514</v>
      </c>
      <c r="H4114">
        <v>0.22726321229753199</v>
      </c>
      <c r="I4114">
        <v>0.19055895706243101</v>
      </c>
      <c r="J4114">
        <v>0.124382732629352</v>
      </c>
      <c r="K4114">
        <v>7.8813244459254E-2</v>
      </c>
      <c r="L4114">
        <v>13207.746665974801</v>
      </c>
      <c r="M4114">
        <v>250</v>
      </c>
      <c r="N4114">
        <v>52.929154458727801</v>
      </c>
      <c r="O4114">
        <v>52.827614038551602</v>
      </c>
      <c r="P4114">
        <v>-0.963650744476511</v>
      </c>
      <c r="Q4114">
        <v>0.18548221363831899</v>
      </c>
      <c r="R4114">
        <v>0.96149811300168997</v>
      </c>
      <c r="S4114" t="s">
        <v>10425</v>
      </c>
      <c r="T4114" t="s">
        <v>12620</v>
      </c>
      <c r="U4114" t="s">
        <v>12620</v>
      </c>
      <c r="V4114" t="s">
        <v>12620</v>
      </c>
      <c r="W4114" t="s">
        <v>16684</v>
      </c>
      <c r="X4114">
        <v>12</v>
      </c>
      <c r="Y4114" t="s">
        <v>22804</v>
      </c>
      <c r="Z4114" t="s">
        <v>29061</v>
      </c>
      <c r="AA4114">
        <v>0.53392662888337616</v>
      </c>
      <c r="AB4114" t="str">
        <f>HYPERLINK("Melting_Curves/meltCurve_Q8N122_RPTOR.pdf", "Melting_Curves/meltCurve_Q8N122_RPTOR.pdf")</f>
        <v>Melting_Curves/meltCurve_Q8N122_RPTOR.pdf</v>
      </c>
    </row>
    <row r="4115" spans="1:28" x14ac:dyDescent="0.25">
      <c r="A4115" t="s">
        <v>4119</v>
      </c>
      <c r="B4115">
        <v>0.99987803227770999</v>
      </c>
      <c r="C4115">
        <v>0.91936084086231296</v>
      </c>
      <c r="D4115">
        <v>0.99698172904890503</v>
      </c>
      <c r="E4115">
        <v>0.82839681681839805</v>
      </c>
      <c r="F4115">
        <v>0.94760676496718699</v>
      </c>
      <c r="G4115">
        <v>0.85213231727785599</v>
      </c>
      <c r="H4115">
        <v>0.81134726080124098</v>
      </c>
      <c r="I4115">
        <v>0.80148639927093901</v>
      </c>
      <c r="J4115">
        <v>0.68986238608513295</v>
      </c>
      <c r="K4115">
        <v>0.58500754493933105</v>
      </c>
      <c r="L4115">
        <v>369.70992404617198</v>
      </c>
      <c r="M4115">
        <v>4.7226153997626596</v>
      </c>
      <c r="O4115">
        <v>67.381995587465696</v>
      </c>
      <c r="P4115">
        <v>-1.76521581380524E-2</v>
      </c>
      <c r="Q4115">
        <v>0</v>
      </c>
      <c r="R4115">
        <v>0.84400981730332003</v>
      </c>
      <c r="S4115" t="s">
        <v>10426</v>
      </c>
      <c r="T4115" t="s">
        <v>12620</v>
      </c>
      <c r="U4115" t="s">
        <v>12620</v>
      </c>
      <c r="V4115" t="s">
        <v>12620</v>
      </c>
      <c r="W4115" t="s">
        <v>16685</v>
      </c>
      <c r="X4115">
        <v>9</v>
      </c>
      <c r="Y4115" t="s">
        <v>22805</v>
      </c>
      <c r="Z4115" t="s">
        <v>29062</v>
      </c>
      <c r="AA4115">
        <v>0.85634036305957639</v>
      </c>
      <c r="AB4115" t="str">
        <f>HYPERLINK("Melting_Curves/meltCurve_Q8N129_CNPY4.pdf", "Melting_Curves/meltCurve_Q8N129_CNPY4.pdf")</f>
        <v>Melting_Curves/meltCurve_Q8N129_CNPY4.pdf</v>
      </c>
    </row>
    <row r="4116" spans="1:28" x14ac:dyDescent="0.25">
      <c r="A4116" t="s">
        <v>4120</v>
      </c>
      <c r="B4116">
        <v>0.99987803227770999</v>
      </c>
      <c r="C4116">
        <v>1.50590329475266</v>
      </c>
      <c r="D4116">
        <v>1.1450904951843801</v>
      </c>
      <c r="E4116">
        <v>1.1234999740907901</v>
      </c>
      <c r="F4116">
        <v>0.37932492922099598</v>
      </c>
      <c r="G4116">
        <v>0.159827790921303</v>
      </c>
      <c r="H4116">
        <v>0.188713678670408</v>
      </c>
      <c r="I4116">
        <v>0.193024123300883</v>
      </c>
      <c r="J4116">
        <v>0.181656294546962</v>
      </c>
      <c r="K4116">
        <v>0.117232083286524</v>
      </c>
      <c r="L4116">
        <v>13192.8746928775</v>
      </c>
      <c r="M4116">
        <v>250</v>
      </c>
      <c r="N4116">
        <v>52.858115950878101</v>
      </c>
      <c r="O4116">
        <v>52.7681217400755</v>
      </c>
      <c r="P4116">
        <v>-0.98533600343145999</v>
      </c>
      <c r="Q4116">
        <v>0.168090717944578</v>
      </c>
      <c r="R4116">
        <v>0.88327857096167195</v>
      </c>
      <c r="S4116" t="s">
        <v>10427</v>
      </c>
      <c r="T4116" t="s">
        <v>12620</v>
      </c>
      <c r="U4116" t="s">
        <v>12620</v>
      </c>
      <c r="V4116" t="s">
        <v>12620</v>
      </c>
      <c r="W4116" t="s">
        <v>16686</v>
      </c>
      <c r="X4116">
        <v>5</v>
      </c>
      <c r="Y4116" t="s">
        <v>22806</v>
      </c>
      <c r="Z4116" t="s">
        <v>29063</v>
      </c>
      <c r="AA4116">
        <v>0.52232537615050845</v>
      </c>
      <c r="AB4116" t="str">
        <f>HYPERLINK("Melting_Curves/meltCurve_Q8N142_ADSSL1.pdf", "Melting_Curves/meltCurve_Q8N142_ADSSL1.pdf")</f>
        <v>Melting_Curves/meltCurve_Q8N142_ADSSL1.pdf</v>
      </c>
    </row>
    <row r="4117" spans="1:28" x14ac:dyDescent="0.25">
      <c r="A4117" t="s">
        <v>4121</v>
      </c>
      <c r="B4117">
        <v>0.99987803227770999</v>
      </c>
      <c r="C4117">
        <v>0.91041119905786905</v>
      </c>
      <c r="D4117">
        <v>0.76971322790714802</v>
      </c>
      <c r="E4117">
        <v>0.80645783758852296</v>
      </c>
      <c r="F4117">
        <v>0.48949910240329197</v>
      </c>
      <c r="G4117">
        <v>0.31736369362441302</v>
      </c>
      <c r="H4117">
        <v>0.181615430443298</v>
      </c>
      <c r="I4117">
        <v>0.13304387356238601</v>
      </c>
      <c r="J4117">
        <v>0.122534442545867</v>
      </c>
      <c r="K4117">
        <v>8.2203647014595205E-2</v>
      </c>
      <c r="L4117">
        <v>607.37954125378997</v>
      </c>
      <c r="M4117">
        <v>11.3898355941558</v>
      </c>
      <c r="N4117">
        <v>53.449010993953799</v>
      </c>
      <c r="O4117">
        <v>51.761995919728903</v>
      </c>
      <c r="P4117">
        <v>-5.4317569333578702E-2</v>
      </c>
      <c r="Q4117">
        <v>1.2889465547301301E-2</v>
      </c>
      <c r="R4117">
        <v>0.97676707242669703</v>
      </c>
      <c r="S4117" t="s">
        <v>10428</v>
      </c>
      <c r="T4117" t="s">
        <v>12620</v>
      </c>
      <c r="U4117" t="s">
        <v>12620</v>
      </c>
      <c r="V4117" t="s">
        <v>12620</v>
      </c>
      <c r="W4117" t="s">
        <v>16687</v>
      </c>
      <c r="X4117">
        <v>22</v>
      </c>
      <c r="Y4117" t="s">
        <v>22807</v>
      </c>
      <c r="Z4117" t="s">
        <v>29064</v>
      </c>
      <c r="AA4117">
        <v>0.4802554520386571</v>
      </c>
      <c r="AB4117" t="str">
        <f>HYPERLINK("Melting_Curves/meltCurve_Q8N163_KIAA1967.pdf", "Melting_Curves/meltCurve_Q8N163_KIAA1967.pdf")</f>
        <v>Melting_Curves/meltCurve_Q8N163_KIAA1967.pdf</v>
      </c>
    </row>
    <row r="4118" spans="1:28" x14ac:dyDescent="0.25">
      <c r="A4118" t="s">
        <v>4122</v>
      </c>
      <c r="B4118">
        <v>0.99987803227770999</v>
      </c>
      <c r="C4118">
        <v>1.04073229623871</v>
      </c>
      <c r="D4118">
        <v>0.86336905170890299</v>
      </c>
      <c r="E4118">
        <v>0.91040858165496596</v>
      </c>
      <c r="F4118">
        <v>0.31358458800607902</v>
      </c>
      <c r="G4118">
        <v>0.223521278246431</v>
      </c>
      <c r="H4118">
        <v>0.132602139610141</v>
      </c>
      <c r="I4118">
        <v>0.124218005881796</v>
      </c>
      <c r="J4118">
        <v>7.5698686336046997E-2</v>
      </c>
      <c r="K4118">
        <v>6.8193994602701993E-2</v>
      </c>
      <c r="L4118">
        <v>2898.0784214340802</v>
      </c>
      <c r="M4118">
        <v>55.904044753109403</v>
      </c>
      <c r="N4118">
        <v>52.102097651456504</v>
      </c>
      <c r="O4118">
        <v>51.774016080715903</v>
      </c>
      <c r="P4118">
        <v>-0.23688077399085999</v>
      </c>
      <c r="Q4118">
        <v>0.122477587174056</v>
      </c>
      <c r="R4118">
        <v>0.978209717087273</v>
      </c>
      <c r="S4118" t="s">
        <v>10429</v>
      </c>
      <c r="T4118" t="s">
        <v>12620</v>
      </c>
      <c r="U4118" t="s">
        <v>12620</v>
      </c>
      <c r="V4118" t="s">
        <v>12620</v>
      </c>
      <c r="W4118" t="s">
        <v>16688</v>
      </c>
      <c r="X4118">
        <v>6</v>
      </c>
      <c r="Y4118" t="s">
        <v>22808</v>
      </c>
      <c r="Z4118" t="s">
        <v>29065</v>
      </c>
      <c r="AA4118">
        <v>0.47041643499550662</v>
      </c>
      <c r="AB4118" t="str">
        <f>HYPERLINK("Melting_Curves/meltCurve_Q8N1B4_VPS52.pdf", "Melting_Curves/meltCurve_Q8N1B4_VPS52.pdf")</f>
        <v>Melting_Curves/meltCurve_Q8N1B4_VPS52.pdf</v>
      </c>
    </row>
    <row r="4119" spans="1:28" x14ac:dyDescent="0.25">
      <c r="A4119" t="s">
        <v>4123</v>
      </c>
      <c r="B4119">
        <v>0.99987803227770999</v>
      </c>
      <c r="C4119">
        <v>0.94752539599281704</v>
      </c>
      <c r="D4119">
        <v>0.67679988326604901</v>
      </c>
      <c r="E4119">
        <v>0.66073888704602901</v>
      </c>
      <c r="F4119">
        <v>0.24653595340984899</v>
      </c>
      <c r="G4119">
        <v>0.15265837766504101</v>
      </c>
      <c r="H4119">
        <v>0.10651349913005601</v>
      </c>
      <c r="I4119">
        <v>0.100432481345004</v>
      </c>
      <c r="J4119">
        <v>7.8970952513542095E-2</v>
      </c>
      <c r="K4119">
        <v>6.0147487537556797E-2</v>
      </c>
      <c r="L4119">
        <v>731.32904869794595</v>
      </c>
      <c r="M4119">
        <v>14.6523691632108</v>
      </c>
      <c r="N4119">
        <v>50.237003742880297</v>
      </c>
      <c r="O4119">
        <v>49.009953441115499</v>
      </c>
      <c r="P4119">
        <v>-7.1369954397843494E-2</v>
      </c>
      <c r="Q4119">
        <v>4.5219027516081499E-2</v>
      </c>
      <c r="R4119">
        <v>0.96695329209000003</v>
      </c>
      <c r="S4119" t="s">
        <v>10430</v>
      </c>
      <c r="T4119" t="s">
        <v>12620</v>
      </c>
      <c r="U4119" t="s">
        <v>12620</v>
      </c>
      <c r="V4119" t="s">
        <v>12620</v>
      </c>
      <c r="W4119" t="s">
        <v>16689</v>
      </c>
      <c r="X4119">
        <v>29</v>
      </c>
      <c r="Y4119" t="s">
        <v>22809</v>
      </c>
      <c r="Z4119" t="s">
        <v>29066</v>
      </c>
      <c r="AA4119">
        <v>0.38448006566434612</v>
      </c>
      <c r="AB4119" t="str">
        <f>HYPERLINK("Melting_Curves/meltCurve_Q8N1F7_NUP93.pdf", "Melting_Curves/meltCurve_Q8N1F7_NUP93.pdf")</f>
        <v>Melting_Curves/meltCurve_Q8N1F7_NUP93.pdf</v>
      </c>
    </row>
    <row r="4120" spans="1:28" x14ac:dyDescent="0.25">
      <c r="A4120" t="s">
        <v>4124</v>
      </c>
      <c r="B4120">
        <v>0.99987803227770999</v>
      </c>
      <c r="C4120">
        <v>0.95980346085256896</v>
      </c>
      <c r="D4120">
        <v>0.76865256161585005</v>
      </c>
      <c r="E4120">
        <v>0.31951267393846</v>
      </c>
      <c r="F4120">
        <v>0.28456135500795798</v>
      </c>
      <c r="G4120">
        <v>0.177194485748602</v>
      </c>
      <c r="H4120">
        <v>0.20470363765956401</v>
      </c>
      <c r="I4120">
        <v>0.20690777641861899</v>
      </c>
      <c r="J4120">
        <v>0.21412568493020201</v>
      </c>
      <c r="K4120">
        <v>0.17445395331175201</v>
      </c>
      <c r="L4120">
        <v>1386.87659432852</v>
      </c>
      <c r="M4120">
        <v>29.289112389685599</v>
      </c>
      <c r="N4120">
        <v>48.194994189486302</v>
      </c>
      <c r="O4120">
        <v>47.132178143227399</v>
      </c>
      <c r="P4120">
        <v>-0.124196264065266</v>
      </c>
      <c r="Q4120">
        <v>0.20057686725688201</v>
      </c>
      <c r="R4120">
        <v>0.995366861608876</v>
      </c>
      <c r="S4120" t="s">
        <v>10431</v>
      </c>
      <c r="T4120" t="s">
        <v>12620</v>
      </c>
      <c r="U4120" t="s">
        <v>12620</v>
      </c>
      <c r="V4120" t="s">
        <v>12620</v>
      </c>
      <c r="W4120" t="s">
        <v>16690</v>
      </c>
      <c r="X4120">
        <v>15</v>
      </c>
      <c r="Y4120" t="s">
        <v>22810</v>
      </c>
      <c r="Z4120" t="s">
        <v>29067</v>
      </c>
      <c r="AA4120">
        <v>0.40151461722114012</v>
      </c>
      <c r="AB4120" t="str">
        <f>HYPERLINK("Melting_Curves/meltCurve_Q8N1G2_FTSJD2.pdf", "Melting_Curves/meltCurve_Q8N1G2_FTSJD2.pdf")</f>
        <v>Melting_Curves/meltCurve_Q8N1G2_FTSJD2.pdf</v>
      </c>
    </row>
    <row r="4121" spans="1:28" x14ac:dyDescent="0.25">
      <c r="A4121" t="s">
        <v>4125</v>
      </c>
      <c r="B4121">
        <v>0.99987803227770999</v>
      </c>
      <c r="C4121">
        <v>1.03319426811188</v>
      </c>
      <c r="D4121">
        <v>1.04141460182509</v>
      </c>
      <c r="E4121">
        <v>0.98848930420018399</v>
      </c>
      <c r="F4121">
        <v>0.787392818358991</v>
      </c>
      <c r="G4121">
        <v>0.26713983165791799</v>
      </c>
      <c r="H4121">
        <v>0.107689199835552</v>
      </c>
      <c r="I4121">
        <v>8.8664847636189301E-2</v>
      </c>
      <c r="J4121">
        <v>6.5167601401762906E-2</v>
      </c>
      <c r="K4121">
        <v>5.0454339371505903E-2</v>
      </c>
      <c r="L4121">
        <v>1921.65539879823</v>
      </c>
      <c r="M4121">
        <v>35.011367701672</v>
      </c>
      <c r="N4121">
        <v>55.119135108881302</v>
      </c>
      <c r="O4121">
        <v>54.708476988224902</v>
      </c>
      <c r="P4121">
        <v>-0.14900719652303401</v>
      </c>
      <c r="Q4121">
        <v>6.8653586715610199E-2</v>
      </c>
      <c r="R4121">
        <v>0.99791345638450601</v>
      </c>
      <c r="S4121" t="s">
        <v>10432</v>
      </c>
      <c r="T4121" t="s">
        <v>12620</v>
      </c>
      <c r="U4121" t="s">
        <v>12620</v>
      </c>
      <c r="V4121" t="s">
        <v>12620</v>
      </c>
      <c r="W4121" t="s">
        <v>16691</v>
      </c>
      <c r="X4121">
        <v>27</v>
      </c>
      <c r="Y4121" t="s">
        <v>22811</v>
      </c>
      <c r="Z4121" t="s">
        <v>29068</v>
      </c>
      <c r="AA4121">
        <v>0.53538821106061818</v>
      </c>
      <c r="AB4121" t="str">
        <f>HYPERLINK("Melting_Curves/meltCurve_Q8N1G4_LRRC47.pdf", "Melting_Curves/meltCurve_Q8N1G4_LRRC47.pdf")</f>
        <v>Melting_Curves/meltCurve_Q8N1G4_LRRC47.pdf</v>
      </c>
    </row>
    <row r="4122" spans="1:28" x14ac:dyDescent="0.25">
      <c r="A4122" t="s">
        <v>4126</v>
      </c>
      <c r="B4122">
        <v>0.99987803227770999</v>
      </c>
      <c r="C4122">
        <v>0.13873144774389001</v>
      </c>
      <c r="D4122">
        <v>0.69107592858565203</v>
      </c>
      <c r="E4122">
        <v>0.19755808266135999</v>
      </c>
      <c r="F4122">
        <v>0.14948606584965299</v>
      </c>
      <c r="G4122">
        <v>0.25955388539789498</v>
      </c>
      <c r="H4122">
        <v>0.23363850894662699</v>
      </c>
      <c r="I4122">
        <v>1.1209841867655299</v>
      </c>
      <c r="J4122">
        <v>0.13329941230434</v>
      </c>
      <c r="K4122">
        <v>4.4933028589926302E-2</v>
      </c>
      <c r="L4122">
        <v>10247.241188758901</v>
      </c>
      <c r="M4122">
        <v>250</v>
      </c>
      <c r="N4122">
        <v>41.166552928729402</v>
      </c>
      <c r="O4122">
        <v>40.986341733634099</v>
      </c>
      <c r="P4122">
        <v>-1.02180784466264</v>
      </c>
      <c r="Q4122">
        <v>0.32991735267387501</v>
      </c>
      <c r="R4122">
        <v>0.29253016562602302</v>
      </c>
      <c r="S4122" t="s">
        <v>10433</v>
      </c>
      <c r="T4122" t="s">
        <v>12620</v>
      </c>
      <c r="U4122" t="s">
        <v>12620</v>
      </c>
      <c r="V4122" t="s">
        <v>12620</v>
      </c>
      <c r="W4122" t="s">
        <v>16692</v>
      </c>
      <c r="X4122">
        <v>2</v>
      </c>
      <c r="Y4122" t="s">
        <v>22812</v>
      </c>
      <c r="Z4122" t="s">
        <v>29069</v>
      </c>
      <c r="AA4122">
        <v>0.35206230930394439</v>
      </c>
      <c r="AB4122" t="str">
        <f>HYPERLINK("Melting_Curves/meltCurve_Q8N1N4_KRT78.pdf", "Melting_Curves/meltCurve_Q8N1N4_KRT78.pdf")</f>
        <v>Melting_Curves/meltCurve_Q8N1N4_KRT78.pdf</v>
      </c>
    </row>
    <row r="4123" spans="1:28" x14ac:dyDescent="0.25">
      <c r="A4123" t="s">
        <v>4127</v>
      </c>
      <c r="B4123">
        <v>0.99987803227770999</v>
      </c>
      <c r="C4123">
        <v>0.89948540412629896</v>
      </c>
      <c r="D4123">
        <v>0.90813249256719597</v>
      </c>
      <c r="E4123">
        <v>0.63580524448933295</v>
      </c>
      <c r="F4123">
        <v>0.45996304484857797</v>
      </c>
      <c r="G4123">
        <v>0.35852618092152699</v>
      </c>
      <c r="H4123">
        <v>0.31284310016285599</v>
      </c>
      <c r="I4123">
        <v>0.30201680415127602</v>
      </c>
      <c r="J4123">
        <v>0.27533942782223098</v>
      </c>
      <c r="K4123">
        <v>0.22330043522318899</v>
      </c>
      <c r="L4123">
        <v>818.28419444003998</v>
      </c>
      <c r="M4123">
        <v>16.289542264918399</v>
      </c>
      <c r="N4123">
        <v>52.5558673430751</v>
      </c>
      <c r="O4123">
        <v>49.494957540339399</v>
      </c>
      <c r="P4123">
        <v>-6.1173671184282699E-2</v>
      </c>
      <c r="Q4123">
        <v>0.25656181352201701</v>
      </c>
      <c r="R4123">
        <v>0.98962100229128702</v>
      </c>
      <c r="S4123" t="s">
        <v>10434</v>
      </c>
      <c r="T4123" t="s">
        <v>12620</v>
      </c>
      <c r="U4123" t="s">
        <v>12620</v>
      </c>
      <c r="V4123" t="s">
        <v>12620</v>
      </c>
      <c r="W4123" t="s">
        <v>16693</v>
      </c>
      <c r="X4123">
        <v>11</v>
      </c>
      <c r="Y4123" t="s">
        <v>22813</v>
      </c>
      <c r="Z4123" t="s">
        <v>29070</v>
      </c>
      <c r="AA4123">
        <v>0.52536280008688496</v>
      </c>
      <c r="AB4123" t="str">
        <f>HYPERLINK("Melting_Curves/meltCurve_Q8N1W1_4_ARHGEF28.pdf", "Melting_Curves/meltCurve_Q8N1W1_4_ARHGEF28.pdf")</f>
        <v>Melting_Curves/meltCurve_Q8N1W1_4_ARHGEF28.pdf</v>
      </c>
    </row>
    <row r="4124" spans="1:28" x14ac:dyDescent="0.25">
      <c r="A4124" t="s">
        <v>4128</v>
      </c>
      <c r="B4124">
        <v>0.99987803227770999</v>
      </c>
      <c r="C4124">
        <v>1.16732148558759</v>
      </c>
      <c r="D4124">
        <v>0.95249950763726499</v>
      </c>
      <c r="E4124">
        <v>1.5504244037001</v>
      </c>
      <c r="F4124">
        <v>0.84205816919277998</v>
      </c>
      <c r="G4124">
        <v>0.60947114626330501</v>
      </c>
      <c r="H4124">
        <v>0.36556405518739998</v>
      </c>
      <c r="I4124">
        <v>0.29095788986910098</v>
      </c>
      <c r="J4124">
        <v>0.244583749245187</v>
      </c>
      <c r="K4124">
        <v>0.19367832159058601</v>
      </c>
      <c r="L4124">
        <v>1820.98321089663</v>
      </c>
      <c r="M4124">
        <v>31.9325476139853</v>
      </c>
      <c r="N4124">
        <v>58.228421505584997</v>
      </c>
      <c r="O4124">
        <v>56.803681779900401</v>
      </c>
      <c r="P4124">
        <v>-0.10660899186633201</v>
      </c>
      <c r="Q4124">
        <v>0.24143196764427999</v>
      </c>
      <c r="R4124">
        <v>0.80835134492952698</v>
      </c>
      <c r="S4124" t="s">
        <v>10435</v>
      </c>
      <c r="T4124" t="s">
        <v>12620</v>
      </c>
      <c r="U4124" t="s">
        <v>12620</v>
      </c>
      <c r="V4124" t="s">
        <v>12620</v>
      </c>
      <c r="W4124" t="s">
        <v>16694</v>
      </c>
      <c r="X4124">
        <v>9</v>
      </c>
      <c r="Y4124" t="s">
        <v>22814</v>
      </c>
      <c r="Z4124" t="s">
        <v>29071</v>
      </c>
      <c r="AA4124">
        <v>0.67646140946866218</v>
      </c>
      <c r="AB4124" t="str">
        <f>HYPERLINK("Melting_Curves/meltCurve_Q8N201_INTS1.pdf", "Melting_Curves/meltCurve_Q8N201_INTS1.pdf")</f>
        <v>Melting_Curves/meltCurve_Q8N201_INTS1.pdf</v>
      </c>
    </row>
    <row r="4125" spans="1:28" x14ac:dyDescent="0.25">
      <c r="A4125" t="s">
        <v>4129</v>
      </c>
      <c r="B4125">
        <v>0.99987803227770999</v>
      </c>
      <c r="C4125">
        <v>0.86436785365975699</v>
      </c>
      <c r="D4125">
        <v>0.97452341310464297</v>
      </c>
      <c r="E4125">
        <v>0.82268890163469999</v>
      </c>
      <c r="F4125">
        <v>0.63718224998940698</v>
      </c>
      <c r="G4125">
        <v>0.22930374617111601</v>
      </c>
      <c r="H4125">
        <v>0.16752140259227399</v>
      </c>
      <c r="I4125">
        <v>0.19526988972238701</v>
      </c>
      <c r="J4125">
        <v>0.11449932614676001</v>
      </c>
      <c r="K4125">
        <v>6.2374791481403097E-2</v>
      </c>
      <c r="L4125">
        <v>1197.45714988535</v>
      </c>
      <c r="M4125">
        <v>22.399491756517001</v>
      </c>
      <c r="N4125">
        <v>54.028034118139303</v>
      </c>
      <c r="O4125">
        <v>53.038508716203097</v>
      </c>
      <c r="P4125">
        <v>-9.4491326041395707E-2</v>
      </c>
      <c r="Q4125">
        <v>0.105055646936469</v>
      </c>
      <c r="R4125">
        <v>0.97811188127230198</v>
      </c>
      <c r="S4125" t="s">
        <v>10436</v>
      </c>
      <c r="T4125" t="s">
        <v>12620</v>
      </c>
      <c r="U4125" t="s">
        <v>12620</v>
      </c>
      <c r="V4125" t="s">
        <v>12620</v>
      </c>
      <c r="W4125" t="s">
        <v>16695</v>
      </c>
      <c r="X4125">
        <v>1</v>
      </c>
      <c r="Y4125" t="s">
        <v>22815</v>
      </c>
      <c r="Z4125" t="s">
        <v>29072</v>
      </c>
      <c r="AA4125">
        <v>0.51664563786001361</v>
      </c>
      <c r="AB4125" t="str">
        <f>HYPERLINK("Melting_Curves/meltCurve_Q8N2F6_4_ARMC10.pdf", "Melting_Curves/meltCurve_Q8N2F6_4_ARMC10.pdf")</f>
        <v>Melting_Curves/meltCurve_Q8N2F6_4_ARMC10.pdf</v>
      </c>
    </row>
    <row r="4126" spans="1:28" x14ac:dyDescent="0.25">
      <c r="A4126" t="s">
        <v>4130</v>
      </c>
      <c r="B4126">
        <v>0.99987803227770999</v>
      </c>
      <c r="C4126">
        <v>1.38873202969875</v>
      </c>
      <c r="D4126">
        <v>2.42975021820935</v>
      </c>
      <c r="E4126">
        <v>1.40088870237228</v>
      </c>
      <c r="F4126">
        <v>0.89575604451520097</v>
      </c>
      <c r="G4126">
        <v>0.84677746892577999</v>
      </c>
      <c r="H4126">
        <v>0.69126999128447097</v>
      </c>
      <c r="I4126">
        <v>0.72832036642431897</v>
      </c>
      <c r="J4126">
        <v>0.48637936771533502</v>
      </c>
      <c r="K4126">
        <v>0.1135135968934</v>
      </c>
      <c r="L4126">
        <v>1208.8255365007999</v>
      </c>
      <c r="M4126">
        <v>18.4147370186902</v>
      </c>
      <c r="N4126">
        <v>65.644477589770005</v>
      </c>
      <c r="O4126">
        <v>64.885018638653193</v>
      </c>
      <c r="P4126">
        <v>-7.0954620841276794E-2</v>
      </c>
      <c r="Q4126">
        <v>0</v>
      </c>
      <c r="R4126">
        <v>0.32817067325326899</v>
      </c>
      <c r="S4126" t="s">
        <v>10437</v>
      </c>
      <c r="T4126" t="s">
        <v>12620</v>
      </c>
      <c r="U4126" t="s">
        <v>12620</v>
      </c>
      <c r="V4126" t="s">
        <v>12620</v>
      </c>
      <c r="W4126" t="s">
        <v>16696</v>
      </c>
      <c r="X4126">
        <v>2</v>
      </c>
      <c r="Y4126" t="s">
        <v>22816</v>
      </c>
      <c r="Z4126" t="s">
        <v>29073</v>
      </c>
      <c r="AA4126">
        <v>0.83395183345312818</v>
      </c>
      <c r="AB4126" t="str">
        <f>HYPERLINK("Melting_Curves/meltCurve_Q8N2W9_PIAS4.pdf", "Melting_Curves/meltCurve_Q8N2W9_PIAS4.pdf")</f>
        <v>Melting_Curves/meltCurve_Q8N2W9_PIAS4.pdf</v>
      </c>
    </row>
    <row r="4127" spans="1:28" x14ac:dyDescent="0.25">
      <c r="A4127" t="s">
        <v>4131</v>
      </c>
      <c r="B4127">
        <v>0.99987803227770999</v>
      </c>
      <c r="C4127">
        <v>1.0905216298526399</v>
      </c>
      <c r="D4127">
        <v>1.29311374455371</v>
      </c>
      <c r="E4127">
        <v>0.93786573608582502</v>
      </c>
      <c r="F4127">
        <v>0.922913763992109</v>
      </c>
      <c r="G4127">
        <v>0.70709664543216799</v>
      </c>
      <c r="H4127">
        <v>0.89840844116628005</v>
      </c>
      <c r="I4127">
        <v>0.95135974492907005</v>
      </c>
      <c r="J4127">
        <v>1.2817275901554399</v>
      </c>
      <c r="K4127">
        <v>1.0246680917153199</v>
      </c>
      <c r="L4127">
        <v>1783.4881731258999</v>
      </c>
      <c r="M4127">
        <v>26.943898678886899</v>
      </c>
      <c r="O4127">
        <v>65.831257488774995</v>
      </c>
      <c r="P4127">
        <v>1.4671683219245699E-2</v>
      </c>
      <c r="Q4127">
        <v>1.1433861848953999</v>
      </c>
      <c r="R4127">
        <v>7.6142082103372005E-2</v>
      </c>
      <c r="S4127" t="s">
        <v>10438</v>
      </c>
      <c r="T4127" t="s">
        <v>12620</v>
      </c>
      <c r="U4127" t="s">
        <v>12620</v>
      </c>
      <c r="V4127" t="s">
        <v>12620</v>
      </c>
      <c r="W4127" t="s">
        <v>16697</v>
      </c>
      <c r="X4127">
        <v>2</v>
      </c>
      <c r="Y4127" t="s">
        <v>22817</v>
      </c>
      <c r="Z4127" t="s">
        <v>29074</v>
      </c>
      <c r="AA4127">
        <v>1.0197221173261879</v>
      </c>
      <c r="AB4127" t="str">
        <f>HYPERLINK("Melting_Curves/meltCurve_Q8N2Y8_RUSC2.pdf", "Melting_Curves/meltCurve_Q8N2Y8_RUSC2.pdf")</f>
        <v>Melting_Curves/meltCurve_Q8N2Y8_RUSC2.pdf</v>
      </c>
    </row>
    <row r="4128" spans="1:28" x14ac:dyDescent="0.25">
      <c r="A4128" t="s">
        <v>4132</v>
      </c>
      <c r="B4128">
        <v>0.99987803227770999</v>
      </c>
      <c r="C4128">
        <v>0.76629241496010403</v>
      </c>
      <c r="D4128">
        <v>0.89478751420154101</v>
      </c>
      <c r="E4128">
        <v>0.55206917332245198</v>
      </c>
      <c r="F4128">
        <v>0.31581083839190799</v>
      </c>
      <c r="G4128">
        <v>0.220477786828851</v>
      </c>
      <c r="H4128">
        <v>0.159853395876495</v>
      </c>
      <c r="I4128">
        <v>0.11720782684845001</v>
      </c>
      <c r="J4128">
        <v>9.4568864004679801E-2</v>
      </c>
      <c r="K4128">
        <v>6.7448157516480395E-2</v>
      </c>
      <c r="L4128">
        <v>688.63619374222003</v>
      </c>
      <c r="M4128">
        <v>13.7237546132825</v>
      </c>
      <c r="N4128">
        <v>50.676878603813499</v>
      </c>
      <c r="O4128">
        <v>49.148988456884801</v>
      </c>
      <c r="P4128">
        <v>-6.5408851294092907E-2</v>
      </c>
      <c r="Q4128">
        <v>6.3137495549813794E-2</v>
      </c>
      <c r="R4128">
        <v>0.96685586212264296</v>
      </c>
      <c r="S4128" t="s">
        <v>10439</v>
      </c>
      <c r="T4128" t="s">
        <v>12620</v>
      </c>
      <c r="U4128" t="s">
        <v>12620</v>
      </c>
      <c r="V4128" t="s">
        <v>12620</v>
      </c>
      <c r="W4128" t="s">
        <v>16698</v>
      </c>
      <c r="X4128">
        <v>4</v>
      </c>
      <c r="Y4128" t="s">
        <v>22818</v>
      </c>
      <c r="Z4128" t="s">
        <v>29075</v>
      </c>
      <c r="AA4128">
        <v>0.40686269865165592</v>
      </c>
      <c r="AB4128" t="str">
        <f>HYPERLINK("Melting_Curves/meltCurve_Q8N2Z9_APITD1.pdf", "Melting_Curves/meltCurve_Q8N2Z9_APITD1.pdf")</f>
        <v>Melting_Curves/meltCurve_Q8N2Z9_APITD1.pdf</v>
      </c>
    </row>
    <row r="4129" spans="1:28" x14ac:dyDescent="0.25">
      <c r="A4129" t="s">
        <v>4133</v>
      </c>
      <c r="B4129">
        <v>0.99987803227770999</v>
      </c>
      <c r="C4129">
        <v>0.96306769101746803</v>
      </c>
      <c r="D4129">
        <v>0.95782687620381401</v>
      </c>
      <c r="E4129">
        <v>0.93311857316623803</v>
      </c>
      <c r="F4129">
        <v>1.0313163954172999</v>
      </c>
      <c r="G4129">
        <v>0.92670495612255299</v>
      </c>
      <c r="H4129">
        <v>1.0643270155609801</v>
      </c>
      <c r="I4129">
        <v>0.89005983138036004</v>
      </c>
      <c r="J4129">
        <v>0.914501775786565</v>
      </c>
      <c r="K4129">
        <v>0.73640260693725501</v>
      </c>
      <c r="L4129">
        <v>1519.82102564452</v>
      </c>
      <c r="M4129">
        <v>20.650651556596198</v>
      </c>
      <c r="Q4129">
        <v>0</v>
      </c>
      <c r="R4129">
        <v>0.65560435720628796</v>
      </c>
      <c r="S4129" t="s">
        <v>10440</v>
      </c>
      <c r="T4129" t="s">
        <v>12620</v>
      </c>
      <c r="U4129" t="s">
        <v>12620</v>
      </c>
      <c r="V4129" t="s">
        <v>12620</v>
      </c>
      <c r="W4129" t="s">
        <v>16699</v>
      </c>
      <c r="X4129">
        <v>1</v>
      </c>
      <c r="Y4129" t="s">
        <v>22819</v>
      </c>
      <c r="Z4129" t="s">
        <v>29076</v>
      </c>
      <c r="AA4129">
        <v>0.97084339675729026</v>
      </c>
      <c r="AB4129" t="str">
        <f>HYPERLINK("Melting_Curves/meltCurve_Q8N300_CCDC23.pdf", "Melting_Curves/meltCurve_Q8N300_CCDC23.pdf")</f>
        <v>Melting_Curves/meltCurve_Q8N300_CCDC23.pdf</v>
      </c>
    </row>
    <row r="4130" spans="1:28" x14ac:dyDescent="0.25">
      <c r="A4130" t="s">
        <v>4134</v>
      </c>
      <c r="B4130">
        <v>0.99987803227770999</v>
      </c>
      <c r="C4130">
        <v>1.0289067585304801</v>
      </c>
      <c r="D4130">
        <v>0.95812360756981096</v>
      </c>
      <c r="E4130">
        <v>0.97540729585960095</v>
      </c>
      <c r="F4130">
        <v>0.958474132026787</v>
      </c>
      <c r="G4130">
        <v>0.74847635541048096</v>
      </c>
      <c r="H4130">
        <v>0.59055562268580297</v>
      </c>
      <c r="I4130">
        <v>0.509155432646342</v>
      </c>
      <c r="J4130">
        <v>0.48862369376792197</v>
      </c>
      <c r="K4130">
        <v>0.38953541507720002</v>
      </c>
      <c r="L4130">
        <v>1073.7364423638901</v>
      </c>
      <c r="M4130">
        <v>18.3306570962942</v>
      </c>
      <c r="N4130">
        <v>64.073124133264599</v>
      </c>
      <c r="O4130">
        <v>57.892214025167902</v>
      </c>
      <c r="P4130">
        <v>-4.7793794138373598E-2</v>
      </c>
      <c r="Q4130">
        <v>0.39625482368981702</v>
      </c>
      <c r="R4130">
        <v>0.98763845649078397</v>
      </c>
      <c r="S4130" t="s">
        <v>10441</v>
      </c>
      <c r="T4130" t="s">
        <v>12620</v>
      </c>
      <c r="U4130" t="s">
        <v>12620</v>
      </c>
      <c r="V4130" t="s">
        <v>12620</v>
      </c>
      <c r="W4130" t="s">
        <v>16700</v>
      </c>
      <c r="X4130">
        <v>5</v>
      </c>
      <c r="Y4130" t="s">
        <v>22820</v>
      </c>
      <c r="Z4130" t="s">
        <v>29077</v>
      </c>
      <c r="AA4130">
        <v>0.77691216956009002</v>
      </c>
      <c r="AB4130" t="str">
        <f>HYPERLINK("Melting_Curves/meltCurve_Q8N302_AGGF1.pdf", "Melting_Curves/meltCurve_Q8N302_AGGF1.pdf")</f>
        <v>Melting_Curves/meltCurve_Q8N302_AGGF1.pdf</v>
      </c>
    </row>
    <row r="4131" spans="1:28" x14ac:dyDescent="0.25">
      <c r="A4131" t="s">
        <v>4135</v>
      </c>
      <c r="B4131">
        <v>0.99987803227770999</v>
      </c>
      <c r="C4131">
        <v>1.06702898948469</v>
      </c>
      <c r="D4131">
        <v>0.66644619601010102</v>
      </c>
      <c r="E4131">
        <v>0.346468240703388</v>
      </c>
      <c r="F4131">
        <v>0.150925126851672</v>
      </c>
      <c r="G4131">
        <v>0.105086919972971</v>
      </c>
      <c r="H4131">
        <v>6.6201266868781306E-2</v>
      </c>
      <c r="I4131">
        <v>5.9362768486529001E-2</v>
      </c>
      <c r="J4131">
        <v>3.7802752201206297E-2</v>
      </c>
      <c r="K4131">
        <v>2.50048936218287E-2</v>
      </c>
      <c r="L4131">
        <v>1088.53611567402</v>
      </c>
      <c r="M4131">
        <v>22.707338047954199</v>
      </c>
      <c r="N4131">
        <v>48.174569704330302</v>
      </c>
      <c r="O4131">
        <v>47.570493047906901</v>
      </c>
      <c r="P4131">
        <v>-0.11303221411867199</v>
      </c>
      <c r="Q4131">
        <v>5.28361804003777E-2</v>
      </c>
      <c r="R4131">
        <v>0.98388904846289704</v>
      </c>
      <c r="S4131" t="s">
        <v>10442</v>
      </c>
      <c r="T4131" t="s">
        <v>12620</v>
      </c>
      <c r="U4131" t="s">
        <v>12620</v>
      </c>
      <c r="V4131" t="s">
        <v>12620</v>
      </c>
      <c r="W4131" t="s">
        <v>16701</v>
      </c>
      <c r="X4131">
        <v>14</v>
      </c>
      <c r="Y4131" t="s">
        <v>22821</v>
      </c>
      <c r="Z4131" t="s">
        <v>29078</v>
      </c>
      <c r="AA4131">
        <v>0.31372431860753641</v>
      </c>
      <c r="AB4131" t="str">
        <f>HYPERLINK("Melting_Curves/meltCurve_Q8N335_GPD1L.pdf", "Melting_Curves/meltCurve_Q8N335_GPD1L.pdf")</f>
        <v>Melting_Curves/meltCurve_Q8N335_GPD1L.pdf</v>
      </c>
    </row>
    <row r="4132" spans="1:28" x14ac:dyDescent="0.25">
      <c r="A4132" t="s">
        <v>4136</v>
      </c>
      <c r="B4132">
        <v>0.99987803227770999</v>
      </c>
      <c r="C4132">
        <v>0.94801217273024896</v>
      </c>
      <c r="D4132">
        <v>0.824525523945005</v>
      </c>
      <c r="E4132">
        <v>0.94214135040595304</v>
      </c>
      <c r="F4132">
        <v>0.773226715355121</v>
      </c>
      <c r="G4132">
        <v>0.34665679434180102</v>
      </c>
      <c r="H4132">
        <v>0.16888587033139801</v>
      </c>
      <c r="I4132">
        <v>0.12904872195384501</v>
      </c>
      <c r="J4132">
        <v>9.7602342444143397E-2</v>
      </c>
      <c r="K4132">
        <v>6.4949241003877903E-2</v>
      </c>
      <c r="L4132">
        <v>1344.2917104262899</v>
      </c>
      <c r="M4132">
        <v>24.366562143229999</v>
      </c>
      <c r="N4132">
        <v>55.566248801636803</v>
      </c>
      <c r="O4132">
        <v>54.801952668991298</v>
      </c>
      <c r="P4132">
        <v>-0.10228428896585599</v>
      </c>
      <c r="Q4132">
        <v>7.9837913455515802E-2</v>
      </c>
      <c r="R4132">
        <v>0.97718698520497205</v>
      </c>
      <c r="S4132" t="s">
        <v>10443</v>
      </c>
      <c r="T4132" t="s">
        <v>12620</v>
      </c>
      <c r="U4132" t="s">
        <v>12620</v>
      </c>
      <c r="V4132" t="s">
        <v>12620</v>
      </c>
      <c r="W4132" t="s">
        <v>16702</v>
      </c>
      <c r="X4132">
        <v>3</v>
      </c>
      <c r="Y4132" t="s">
        <v>22822</v>
      </c>
      <c r="Z4132" t="s">
        <v>29079</v>
      </c>
      <c r="AA4132">
        <v>0.55401076311240982</v>
      </c>
      <c r="AB4132" t="str">
        <f>HYPERLINK("Melting_Curves/meltCurve_Q8N371_KDM8.pdf", "Melting_Curves/meltCurve_Q8N371_KDM8.pdf")</f>
        <v>Melting_Curves/meltCurve_Q8N371_KDM8.pdf</v>
      </c>
    </row>
    <row r="4133" spans="1:28" x14ac:dyDescent="0.25">
      <c r="A4133" t="s">
        <v>4137</v>
      </c>
      <c r="B4133">
        <v>0.99987803227770999</v>
      </c>
      <c r="C4133">
        <v>1.0035723933185601</v>
      </c>
      <c r="D4133">
        <v>1.0071494187419101</v>
      </c>
      <c r="E4133">
        <v>0.83600907970488703</v>
      </c>
      <c r="F4133">
        <v>0.32171403594838399</v>
      </c>
      <c r="G4133">
        <v>0.211653829249599</v>
      </c>
      <c r="H4133">
        <v>0.15068459440829299</v>
      </c>
      <c r="I4133">
        <v>0.14959124374805099</v>
      </c>
      <c r="J4133">
        <v>0.11846890759616401</v>
      </c>
      <c r="K4133">
        <v>9.1210942537124196E-2</v>
      </c>
      <c r="L4133">
        <v>2355.5219490970899</v>
      </c>
      <c r="M4133">
        <v>45.702240789257203</v>
      </c>
      <c r="N4133">
        <v>51.915858322345699</v>
      </c>
      <c r="O4133">
        <v>51.442211452186598</v>
      </c>
      <c r="P4133">
        <v>-0.19086478317664801</v>
      </c>
      <c r="Q4133">
        <v>0.140654947664446</v>
      </c>
      <c r="R4133">
        <v>0.99548390765661698</v>
      </c>
      <c r="S4133" t="s">
        <v>10444</v>
      </c>
      <c r="T4133" t="s">
        <v>12620</v>
      </c>
      <c r="U4133" t="s">
        <v>12620</v>
      </c>
      <c r="V4133" t="s">
        <v>12620</v>
      </c>
      <c r="W4133" t="s">
        <v>16703</v>
      </c>
      <c r="X4133">
        <v>20</v>
      </c>
      <c r="Y4133" t="s">
        <v>22823</v>
      </c>
      <c r="Z4133" t="s">
        <v>29080</v>
      </c>
      <c r="AA4133">
        <v>0.4735748762240109</v>
      </c>
      <c r="AB4133" t="str">
        <f>HYPERLINK("Melting_Curves/meltCurve_Q8N392_ARHGAP18.pdf", "Melting_Curves/meltCurve_Q8N392_ARHGAP18.pdf")</f>
        <v>Melting_Curves/meltCurve_Q8N392_ARHGAP18.pdf</v>
      </c>
    </row>
    <row r="4134" spans="1:28" x14ac:dyDescent="0.25">
      <c r="A4134" t="s">
        <v>4138</v>
      </c>
      <c r="B4134">
        <v>0.99987803227770999</v>
      </c>
      <c r="C4134">
        <v>0.95494561839702696</v>
      </c>
      <c r="D4134">
        <v>0.89290106304538297</v>
      </c>
      <c r="E4134">
        <v>0.60177429722186804</v>
      </c>
      <c r="F4134">
        <v>0.37444785607430903</v>
      </c>
      <c r="G4134">
        <v>0.25021027668643298</v>
      </c>
      <c r="H4134">
        <v>0.14251635404679</v>
      </c>
      <c r="I4134">
        <v>0.198069773003551</v>
      </c>
      <c r="J4134">
        <v>0.12560127614508501</v>
      </c>
      <c r="K4134">
        <v>7.85491755566987E-2</v>
      </c>
      <c r="L4134">
        <v>899.17369068277401</v>
      </c>
      <c r="M4134">
        <v>17.766685074590999</v>
      </c>
      <c r="N4134">
        <v>51.396036939276399</v>
      </c>
      <c r="O4134">
        <v>49.9819897953329</v>
      </c>
      <c r="P4134">
        <v>-7.8298763146072495E-2</v>
      </c>
      <c r="Q4134">
        <v>0.11895221836808099</v>
      </c>
      <c r="R4134">
        <v>0.99391211859474604</v>
      </c>
      <c r="S4134" t="s">
        <v>10445</v>
      </c>
      <c r="T4134" t="s">
        <v>12620</v>
      </c>
      <c r="U4134" t="s">
        <v>12620</v>
      </c>
      <c r="V4134" t="s">
        <v>12620</v>
      </c>
      <c r="W4134" t="s">
        <v>16704</v>
      </c>
      <c r="X4134">
        <v>3</v>
      </c>
      <c r="Y4134" t="s">
        <v>22824</v>
      </c>
      <c r="Z4134" t="s">
        <v>29081</v>
      </c>
      <c r="AA4134">
        <v>0.44582675950551631</v>
      </c>
      <c r="AB4134" t="str">
        <f>HYPERLINK("Melting_Curves/meltCurve_Q8N3C0_ASCC3.pdf", "Melting_Curves/meltCurve_Q8N3C0_ASCC3.pdf")</f>
        <v>Melting_Curves/meltCurve_Q8N3C0_ASCC3.pdf</v>
      </c>
    </row>
    <row r="4135" spans="1:28" x14ac:dyDescent="0.25">
      <c r="A4135" t="s">
        <v>4139</v>
      </c>
      <c r="B4135">
        <v>0.99987803227770999</v>
      </c>
      <c r="C4135">
        <v>0.38004500624481902</v>
      </c>
      <c r="D4135">
        <v>0.62486054276228198</v>
      </c>
      <c r="E4135">
        <v>0.45000411690068698</v>
      </c>
      <c r="F4135">
        <v>0.72646105206662404</v>
      </c>
      <c r="G4135">
        <v>0.30886142061988803</v>
      </c>
      <c r="H4135">
        <v>0.11680650956650999</v>
      </c>
      <c r="I4135">
        <v>7.8695454280344898E-2</v>
      </c>
      <c r="J4135">
        <v>6.3664261018432297E-2</v>
      </c>
      <c r="K4135">
        <v>4.7292483813650997E-2</v>
      </c>
      <c r="L4135">
        <v>332.159275760279</v>
      </c>
      <c r="M4135">
        <v>6.7735744284389403</v>
      </c>
      <c r="N4135">
        <v>49.037517912130802</v>
      </c>
      <c r="O4135">
        <v>45.295264885149201</v>
      </c>
      <c r="P4135">
        <v>-3.7463830238576898E-2</v>
      </c>
      <c r="Q4135">
        <v>0</v>
      </c>
      <c r="R4135">
        <v>0.68013104069485097</v>
      </c>
      <c r="S4135" t="s">
        <v>10446</v>
      </c>
      <c r="T4135" t="s">
        <v>12620</v>
      </c>
      <c r="U4135" t="s">
        <v>12620</v>
      </c>
      <c r="V4135" t="s">
        <v>12620</v>
      </c>
      <c r="W4135" t="s">
        <v>16705</v>
      </c>
      <c r="X4135">
        <v>3</v>
      </c>
      <c r="Y4135" t="s">
        <v>22825</v>
      </c>
      <c r="Z4135" t="s">
        <v>29082</v>
      </c>
      <c r="AA4135">
        <v>0.38043646284814092</v>
      </c>
      <c r="AB4135" t="str">
        <f>HYPERLINK("Melting_Curves/meltCurve_Q8N3C7_CLIP4.pdf", "Melting_Curves/meltCurve_Q8N3C7_CLIP4.pdf")</f>
        <v>Melting_Curves/meltCurve_Q8N3C7_CLIP4.pdf</v>
      </c>
    </row>
    <row r="4136" spans="1:28" x14ac:dyDescent="0.25">
      <c r="A4136" t="s">
        <v>4140</v>
      </c>
      <c r="B4136">
        <v>0.99987803227770999</v>
      </c>
      <c r="C4136">
        <v>0.87382217260387096</v>
      </c>
      <c r="D4136">
        <v>0.93369836554176999</v>
      </c>
      <c r="E4136">
        <v>0.74002206742154397</v>
      </c>
      <c r="F4136">
        <v>0.69437476132101394</v>
      </c>
      <c r="G4136">
        <v>0.55626224124393797</v>
      </c>
      <c r="H4136">
        <v>0.48823042023027802</v>
      </c>
      <c r="I4136">
        <v>0.41125417865383701</v>
      </c>
      <c r="J4136">
        <v>0.403321253624358</v>
      </c>
      <c r="K4136">
        <v>0.31074901849618503</v>
      </c>
      <c r="L4136">
        <v>435.53822422216001</v>
      </c>
      <c r="M4136">
        <v>7.7779068070354898</v>
      </c>
      <c r="N4136">
        <v>59.844059551162999</v>
      </c>
      <c r="O4136">
        <v>52.656717265964602</v>
      </c>
      <c r="P4136">
        <v>-2.96995477729779E-2</v>
      </c>
      <c r="Q4136">
        <v>0.196741081376889</v>
      </c>
      <c r="R4136">
        <v>0.97878204997114604</v>
      </c>
      <c r="S4136" t="s">
        <v>10447</v>
      </c>
      <c r="T4136" t="s">
        <v>12620</v>
      </c>
      <c r="U4136" t="s">
        <v>12620</v>
      </c>
      <c r="V4136" t="s">
        <v>12620</v>
      </c>
      <c r="W4136" t="s">
        <v>16706</v>
      </c>
      <c r="X4136">
        <v>32</v>
      </c>
      <c r="Y4136" t="s">
        <v>22826</v>
      </c>
      <c r="Z4136" t="s">
        <v>29083</v>
      </c>
      <c r="AA4136">
        <v>0.64073291006644562</v>
      </c>
      <c r="AB4136" t="str">
        <f>HYPERLINK("Melting_Curves/meltCurve_Q8N3D4_EHBP1L1.pdf", "Melting_Curves/meltCurve_Q8N3D4_EHBP1L1.pdf")</f>
        <v>Melting_Curves/meltCurve_Q8N3D4_EHBP1L1.pdf</v>
      </c>
    </row>
    <row r="4137" spans="1:28" x14ac:dyDescent="0.25">
      <c r="A4137" t="s">
        <v>4141</v>
      </c>
      <c r="B4137">
        <v>0.99987803227770999</v>
      </c>
      <c r="C4137">
        <v>0.92281870485641404</v>
      </c>
      <c r="D4137">
        <v>0.96933711431036695</v>
      </c>
      <c r="E4137">
        <v>0.75201823807657697</v>
      </c>
      <c r="F4137">
        <v>0.53752374484957399</v>
      </c>
      <c r="G4137">
        <v>0.35290157022573998</v>
      </c>
      <c r="H4137">
        <v>0.33153097591307501</v>
      </c>
      <c r="I4137">
        <v>0.29894524243658699</v>
      </c>
      <c r="J4137">
        <v>0.26932232927453498</v>
      </c>
      <c r="K4137">
        <v>0.21786770729052399</v>
      </c>
      <c r="L4137">
        <v>985.574391223102</v>
      </c>
      <c r="M4137">
        <v>19.039066731209498</v>
      </c>
      <c r="N4137">
        <v>53.801527477432998</v>
      </c>
      <c r="O4137">
        <v>51.204954473110497</v>
      </c>
      <c r="P4137">
        <v>-6.9095136045066993E-2</v>
      </c>
      <c r="Q4137">
        <v>0.25671285073420202</v>
      </c>
      <c r="R4137">
        <v>0.98990981833656699</v>
      </c>
      <c r="S4137" t="s">
        <v>10448</v>
      </c>
      <c r="T4137" t="s">
        <v>12620</v>
      </c>
      <c r="U4137" t="s">
        <v>12620</v>
      </c>
      <c r="V4137" t="s">
        <v>12620</v>
      </c>
      <c r="W4137" t="s">
        <v>16707</v>
      </c>
      <c r="X4137">
        <v>16</v>
      </c>
      <c r="Y4137" t="s">
        <v>22827</v>
      </c>
      <c r="Z4137" t="s">
        <v>29084</v>
      </c>
      <c r="AA4137">
        <v>0.55947328274868868</v>
      </c>
      <c r="AB4137" t="str">
        <f>HYPERLINK("Melting_Curves/meltCurve_Q8N3F8_MICALL1.pdf", "Melting_Curves/meltCurve_Q8N3F8_MICALL1.pdf")</f>
        <v>Melting_Curves/meltCurve_Q8N3F8_MICALL1.pdf</v>
      </c>
    </row>
    <row r="4138" spans="1:28" x14ac:dyDescent="0.25">
      <c r="A4138" t="s">
        <v>4142</v>
      </c>
      <c r="B4138">
        <v>0.99987803227770999</v>
      </c>
      <c r="C4138">
        <v>1.62060120798197</v>
      </c>
      <c r="D4138">
        <v>1.26161786750345</v>
      </c>
      <c r="E4138">
        <v>2.6368491900481899</v>
      </c>
      <c r="F4138">
        <v>1.30804278538727</v>
      </c>
      <c r="G4138">
        <v>1.64824917581278</v>
      </c>
      <c r="H4138">
        <v>0.84584207023889402</v>
      </c>
      <c r="I4138">
        <v>0.30975866845973499</v>
      </c>
      <c r="J4138">
        <v>0.20454136335019099</v>
      </c>
      <c r="K4138">
        <v>0.16732291667893701</v>
      </c>
      <c r="L4138">
        <v>4401.4206752329001</v>
      </c>
      <c r="M4138">
        <v>70.580124049272897</v>
      </c>
      <c r="N4138">
        <v>62.773877378369001</v>
      </c>
      <c r="O4138">
        <v>62.310612913399602</v>
      </c>
      <c r="P4138">
        <v>-0.23056048230631601</v>
      </c>
      <c r="Q4138">
        <v>0.18581252186449801</v>
      </c>
      <c r="R4138">
        <v>0.32073888769317399</v>
      </c>
      <c r="S4138" t="s">
        <v>10449</v>
      </c>
      <c r="T4138" t="s">
        <v>12620</v>
      </c>
      <c r="U4138" t="s">
        <v>12620</v>
      </c>
      <c r="V4138" t="s">
        <v>12620</v>
      </c>
      <c r="W4138" t="s">
        <v>16708</v>
      </c>
      <c r="X4138">
        <v>5</v>
      </c>
      <c r="Y4138" t="s">
        <v>22828</v>
      </c>
      <c r="Z4138" t="s">
        <v>29085</v>
      </c>
      <c r="AA4138">
        <v>0.79377728859262697</v>
      </c>
      <c r="AB4138" t="str">
        <f>HYPERLINK("Melting_Curves/meltCurve_Q8N3J3_3_C17orf53.pdf", "Melting_Curves/meltCurve_Q8N3J3_3_C17orf53.pdf")</f>
        <v>Melting_Curves/meltCurve_Q8N3J3_3_C17orf53.pdf</v>
      </c>
    </row>
    <row r="4139" spans="1:28" x14ac:dyDescent="0.25">
      <c r="A4139" t="s">
        <v>4143</v>
      </c>
      <c r="B4139">
        <v>0.99987803227770999</v>
      </c>
      <c r="C4139">
        <v>0.861304163857878</v>
      </c>
      <c r="D4139">
        <v>0.85180773277939104</v>
      </c>
      <c r="E4139">
        <v>1.0199796521918501</v>
      </c>
      <c r="F4139">
        <v>0.43073077162496898</v>
      </c>
      <c r="G4139">
        <v>0.23340627900817801</v>
      </c>
      <c r="H4139">
        <v>0.14120460651226899</v>
      </c>
      <c r="I4139">
        <v>0.115513865999623</v>
      </c>
      <c r="J4139">
        <v>0.115662744193385</v>
      </c>
      <c r="K4139">
        <v>8.7631534416023699E-2</v>
      </c>
      <c r="L4139">
        <v>13214.625759835</v>
      </c>
      <c r="M4139">
        <v>250</v>
      </c>
      <c r="N4139">
        <v>52.9272819699842</v>
      </c>
      <c r="O4139">
        <v>52.855105056879502</v>
      </c>
      <c r="P4139">
        <v>-1.0184871812157901</v>
      </c>
      <c r="Q4139">
        <v>0.13868379769731101</v>
      </c>
      <c r="R4139">
        <v>0.96239846501650095</v>
      </c>
      <c r="S4139" t="s">
        <v>10450</v>
      </c>
      <c r="T4139" t="s">
        <v>12620</v>
      </c>
      <c r="U4139" t="s">
        <v>12620</v>
      </c>
      <c r="V4139" t="s">
        <v>12620</v>
      </c>
      <c r="W4139" t="s">
        <v>16709</v>
      </c>
      <c r="X4139">
        <v>3</v>
      </c>
      <c r="Y4139" t="s">
        <v>22829</v>
      </c>
      <c r="Z4139" t="s">
        <v>29086</v>
      </c>
      <c r="AA4139">
        <v>0.50793826526514996</v>
      </c>
      <c r="AB4139" t="str">
        <f>HYPERLINK("Melting_Curves/meltCurve_Q8N3P4_3_VPS8.pdf", "Melting_Curves/meltCurve_Q8N3P4_3_VPS8.pdf")</f>
        <v>Melting_Curves/meltCurve_Q8N3P4_3_VPS8.pdf</v>
      </c>
    </row>
    <row r="4140" spans="1:28" x14ac:dyDescent="0.25">
      <c r="A4140" t="s">
        <v>4144</v>
      </c>
      <c r="B4140">
        <v>0.99987803227770999</v>
      </c>
      <c r="C4140">
        <v>0.96569308904031503</v>
      </c>
      <c r="D4140">
        <v>0.73334200957588203</v>
      </c>
      <c r="E4140">
        <v>0.63209637208342195</v>
      </c>
      <c r="F4140">
        <v>0.54886093639871802</v>
      </c>
      <c r="G4140">
        <v>0.43856484912503602</v>
      </c>
      <c r="H4140">
        <v>0.41722814451547002</v>
      </c>
      <c r="I4140">
        <v>0.40691514676782198</v>
      </c>
      <c r="J4140">
        <v>0.35408256431614599</v>
      </c>
      <c r="K4140">
        <v>0.28328964096585901</v>
      </c>
      <c r="L4140">
        <v>581.76965201285702</v>
      </c>
      <c r="M4140">
        <v>11.7719436605226</v>
      </c>
      <c r="N4140">
        <v>54.225805276318802</v>
      </c>
      <c r="O4140">
        <v>48.058569517768497</v>
      </c>
      <c r="P4140">
        <v>-4.14162406263925E-2</v>
      </c>
      <c r="Q4140">
        <v>0.323853882118045</v>
      </c>
      <c r="R4140">
        <v>0.97104079450763703</v>
      </c>
      <c r="S4140" t="s">
        <v>10451</v>
      </c>
      <c r="T4140" t="s">
        <v>12620</v>
      </c>
      <c r="U4140" t="s">
        <v>12620</v>
      </c>
      <c r="V4140" t="s">
        <v>12620</v>
      </c>
      <c r="W4140" t="s">
        <v>16710</v>
      </c>
      <c r="X4140">
        <v>9</v>
      </c>
      <c r="Y4140" t="s">
        <v>22830</v>
      </c>
      <c r="Z4140" t="s">
        <v>29087</v>
      </c>
      <c r="AA4140">
        <v>0.56114990007575982</v>
      </c>
      <c r="AB4140" t="str">
        <f>HYPERLINK("Melting_Curves/meltCurve_Q8N3R9_MPP5.pdf", "Melting_Curves/meltCurve_Q8N3R9_MPP5.pdf")</f>
        <v>Melting_Curves/meltCurve_Q8N3R9_MPP5.pdf</v>
      </c>
    </row>
    <row r="4141" spans="1:28" x14ac:dyDescent="0.25">
      <c r="A4141" t="s">
        <v>4145</v>
      </c>
      <c r="B4141">
        <v>0.99987803227770999</v>
      </c>
      <c r="C4141">
        <v>0.82922866694128505</v>
      </c>
      <c r="D4141">
        <v>1.0093480938321799</v>
      </c>
      <c r="E4141">
        <v>0.87160410714885905</v>
      </c>
      <c r="F4141">
        <v>1.1071441658521901</v>
      </c>
      <c r="G4141">
        <v>0.99244732947790604</v>
      </c>
      <c r="H4141">
        <v>0.99598621655481201</v>
      </c>
      <c r="I4141">
        <v>1.04062025535486</v>
      </c>
      <c r="J4141">
        <v>0.91890164968777499</v>
      </c>
      <c r="K4141">
        <v>0.79649779828614298</v>
      </c>
      <c r="L4141">
        <v>15000</v>
      </c>
      <c r="M4141">
        <v>223.468695186676</v>
      </c>
      <c r="O4141">
        <v>67.118118585959195</v>
      </c>
      <c r="P4141">
        <v>-0.16940714273498</v>
      </c>
      <c r="Q4141">
        <v>0.79647638997117598</v>
      </c>
      <c r="R4141">
        <v>0.32805652345942898</v>
      </c>
      <c r="S4141" t="s">
        <v>10452</v>
      </c>
      <c r="T4141" t="s">
        <v>12620</v>
      </c>
      <c r="U4141" t="s">
        <v>12620</v>
      </c>
      <c r="V4141" t="s">
        <v>12620</v>
      </c>
      <c r="W4141" t="s">
        <v>16711</v>
      </c>
      <c r="X4141">
        <v>14</v>
      </c>
      <c r="Y4141" t="s">
        <v>22831</v>
      </c>
      <c r="Z4141" t="s">
        <v>29088</v>
      </c>
      <c r="AA4141">
        <v>0.98051522651744361</v>
      </c>
      <c r="AB4141" t="str">
        <f>HYPERLINK("Melting_Curves/meltCurve_Q8N3V7_2_SYNPO.pdf", "Melting_Curves/meltCurve_Q8N3V7_2_SYNPO.pdf")</f>
        <v>Melting_Curves/meltCurve_Q8N3V7_2_SYNPO.pdf</v>
      </c>
    </row>
    <row r="4142" spans="1:28" x14ac:dyDescent="0.25">
      <c r="A4142" t="s">
        <v>4146</v>
      </c>
      <c r="B4142">
        <v>0.99987803227770999</v>
      </c>
      <c r="C4142">
        <v>0.96291988929339101</v>
      </c>
      <c r="D4142">
        <v>0.984819184898726</v>
      </c>
      <c r="E4142">
        <v>1.0250340311775901</v>
      </c>
      <c r="F4142">
        <v>1.01847718273931</v>
      </c>
      <c r="G4142">
        <v>1.1958292876482199</v>
      </c>
      <c r="H4142">
        <v>1.23914418597679</v>
      </c>
      <c r="I4142">
        <v>1.2738622516887299</v>
      </c>
      <c r="J4142">
        <v>1.1396890604526899</v>
      </c>
      <c r="K4142">
        <v>0.80478148732232402</v>
      </c>
      <c r="L4142">
        <v>13345.5907865524</v>
      </c>
      <c r="M4142">
        <v>250</v>
      </c>
      <c r="O4142">
        <v>53.378937630154397</v>
      </c>
      <c r="P4142">
        <v>0.15298781397258501</v>
      </c>
      <c r="Q4142">
        <v>1.1306612546004</v>
      </c>
      <c r="R4142">
        <v>0.23346743110283799</v>
      </c>
      <c r="S4142" t="s">
        <v>10453</v>
      </c>
      <c r="T4142" t="s">
        <v>12620</v>
      </c>
      <c r="U4142" t="s">
        <v>12620</v>
      </c>
      <c r="V4142" t="s">
        <v>12620</v>
      </c>
      <c r="W4142" t="s">
        <v>16712</v>
      </c>
      <c r="X4142">
        <v>18</v>
      </c>
      <c r="Y4142" t="s">
        <v>22832</v>
      </c>
      <c r="Z4142" t="s">
        <v>29089</v>
      </c>
      <c r="AA4142">
        <v>1.07236380163241</v>
      </c>
      <c r="AB4142" t="str">
        <f>HYPERLINK("Melting_Curves/meltCurve_Q8N3X1_FNBP4.pdf", "Melting_Curves/meltCurve_Q8N3X1_FNBP4.pdf")</f>
        <v>Melting_Curves/meltCurve_Q8N3X1_FNBP4.pdf</v>
      </c>
    </row>
    <row r="4143" spans="1:28" x14ac:dyDescent="0.25">
      <c r="A4143" t="s">
        <v>4147</v>
      </c>
      <c r="B4143">
        <v>0.99987803227770999</v>
      </c>
      <c r="C4143">
        <v>1.1782813780433901</v>
      </c>
      <c r="D4143">
        <v>1.0149617813218199</v>
      </c>
      <c r="E4143">
        <v>1.17739261078768</v>
      </c>
      <c r="F4143">
        <v>0.81140540236146697</v>
      </c>
      <c r="G4143">
        <v>0.45990977355787199</v>
      </c>
      <c r="H4143">
        <v>0.252403815518283</v>
      </c>
      <c r="I4143">
        <v>0.19905272220020001</v>
      </c>
      <c r="J4143">
        <v>0.10761544528068499</v>
      </c>
      <c r="K4143">
        <v>5.2846061546571801E-2</v>
      </c>
      <c r="L4143">
        <v>1527.4168368222199</v>
      </c>
      <c r="M4143">
        <v>27.128788639227299</v>
      </c>
      <c r="N4143">
        <v>56.829180116550198</v>
      </c>
      <c r="O4143">
        <v>55.999173987371897</v>
      </c>
      <c r="P4143">
        <v>-0.107649902776063</v>
      </c>
      <c r="Q4143">
        <v>0.111166057124455</v>
      </c>
      <c r="R4143">
        <v>0.95402013681532805</v>
      </c>
      <c r="S4143" t="s">
        <v>10454</v>
      </c>
      <c r="T4143" t="s">
        <v>12620</v>
      </c>
      <c r="U4143" t="s">
        <v>12620</v>
      </c>
      <c r="V4143" t="s">
        <v>12620</v>
      </c>
      <c r="W4143" t="s">
        <v>16713</v>
      </c>
      <c r="X4143">
        <v>4</v>
      </c>
      <c r="Y4143" t="s">
        <v>22833</v>
      </c>
      <c r="Z4143" t="s">
        <v>29090</v>
      </c>
      <c r="AA4143">
        <v>0.60125520552274148</v>
      </c>
      <c r="AB4143" t="str">
        <f>HYPERLINK("Melting_Curves/meltCurve_Q8N465_D2HGDH.pdf", "Melting_Curves/meltCurve_Q8N465_D2HGDH.pdf")</f>
        <v>Melting_Curves/meltCurve_Q8N465_D2HGDH.pdf</v>
      </c>
    </row>
    <row r="4144" spans="1:28" x14ac:dyDescent="0.25">
      <c r="A4144" t="s">
        <v>4148</v>
      </c>
      <c r="B4144">
        <v>0.99987803227770999</v>
      </c>
      <c r="C4144">
        <v>0.83450390372179695</v>
      </c>
      <c r="D4144">
        <v>1.0501660131714301</v>
      </c>
      <c r="E4144">
        <v>0.83571921671333405</v>
      </c>
      <c r="F4144">
        <v>0.96159894774170795</v>
      </c>
      <c r="G4144">
        <v>0.77889026687220297</v>
      </c>
      <c r="H4144">
        <v>0.7529760685868</v>
      </c>
      <c r="I4144">
        <v>0.62066537059406901</v>
      </c>
      <c r="J4144">
        <v>0.61467536320878902</v>
      </c>
      <c r="K4144">
        <v>0.54808950257336497</v>
      </c>
      <c r="L4144">
        <v>379.40871812566598</v>
      </c>
      <c r="M4144">
        <v>5.2430576465987597</v>
      </c>
      <c r="O4144">
        <v>63.837392870583898</v>
      </c>
      <c r="P4144">
        <v>-2.06397056781484E-2</v>
      </c>
      <c r="Q4144">
        <v>0</v>
      </c>
      <c r="R4144">
        <v>0.823999752607813</v>
      </c>
      <c r="S4144" t="s">
        <v>10455</v>
      </c>
      <c r="T4144" t="s">
        <v>12620</v>
      </c>
      <c r="U4144" t="s">
        <v>12620</v>
      </c>
      <c r="V4144" t="s">
        <v>12620</v>
      </c>
      <c r="W4144" t="s">
        <v>16714</v>
      </c>
      <c r="X4144">
        <v>4</v>
      </c>
      <c r="Y4144" t="s">
        <v>22834</v>
      </c>
      <c r="Z4144" t="s">
        <v>29091</v>
      </c>
      <c r="AA4144">
        <v>0.81250431170580706</v>
      </c>
      <c r="AB4144" t="str">
        <f>HYPERLINK("Melting_Curves/meltCurve_Q8N488_RYBP.pdf", "Melting_Curves/meltCurve_Q8N488_RYBP.pdf")</f>
        <v>Melting_Curves/meltCurve_Q8N488_RYBP.pdf</v>
      </c>
    </row>
    <row r="4145" spans="1:28" x14ac:dyDescent="0.25">
      <c r="A4145" t="s">
        <v>4149</v>
      </c>
      <c r="B4145">
        <v>0.99987803227770999</v>
      </c>
      <c r="C4145">
        <v>0.89705289761845697</v>
      </c>
      <c r="D4145">
        <v>0.82445318639383403</v>
      </c>
      <c r="E4145">
        <v>0.59967368329773596</v>
      </c>
      <c r="F4145">
        <v>0.57332110631181699</v>
      </c>
      <c r="G4145">
        <v>0.432564837804429</v>
      </c>
      <c r="H4145">
        <v>0.45016348742307399</v>
      </c>
      <c r="I4145">
        <v>0.39193893531567697</v>
      </c>
      <c r="J4145">
        <v>0.41638951505036897</v>
      </c>
      <c r="K4145">
        <v>0.34586168414499202</v>
      </c>
      <c r="L4145">
        <v>648.28730252194805</v>
      </c>
      <c r="M4145">
        <v>13.281232759862901</v>
      </c>
      <c r="N4145">
        <v>54.479460545894902</v>
      </c>
      <c r="O4145">
        <v>47.7454681618661</v>
      </c>
      <c r="P4145">
        <v>-4.3511911937900299E-2</v>
      </c>
      <c r="Q4145">
        <v>0.37440777118044399</v>
      </c>
      <c r="R4145">
        <v>0.98291416879195304</v>
      </c>
      <c r="S4145" t="s">
        <v>10456</v>
      </c>
      <c r="T4145" t="s">
        <v>12620</v>
      </c>
      <c r="U4145" t="s">
        <v>12620</v>
      </c>
      <c r="V4145" t="s">
        <v>12620</v>
      </c>
      <c r="W4145" t="s">
        <v>16715</v>
      </c>
      <c r="X4145">
        <v>20</v>
      </c>
      <c r="Y4145" t="s">
        <v>22835</v>
      </c>
      <c r="Z4145" t="s">
        <v>29092</v>
      </c>
      <c r="AA4145">
        <v>0.57764711592462992</v>
      </c>
      <c r="AB4145" t="str">
        <f>HYPERLINK("Melting_Curves/meltCurve_Q8N4C8_MINK1.pdf", "Melting_Curves/meltCurve_Q8N4C8_MINK1.pdf")</f>
        <v>Melting_Curves/meltCurve_Q8N4C8_MINK1.pdf</v>
      </c>
    </row>
    <row r="4146" spans="1:28" x14ac:dyDescent="0.25">
      <c r="A4146" t="s">
        <v>4150</v>
      </c>
      <c r="B4146">
        <v>0.99987803227770999</v>
      </c>
      <c r="C4146">
        <v>1.0411507703143701</v>
      </c>
      <c r="D4146">
        <v>1.0184036959868199</v>
      </c>
      <c r="E4146">
        <v>1.01228018343213</v>
      </c>
      <c r="F4146">
        <v>0.61552838249437103</v>
      </c>
      <c r="G4146">
        <v>0.156848932947208</v>
      </c>
      <c r="H4146">
        <v>8.1877841551571406E-2</v>
      </c>
      <c r="I4146">
        <v>6.5013187323093496E-2</v>
      </c>
      <c r="J4146">
        <v>5.5352790458602197E-2</v>
      </c>
      <c r="K4146">
        <v>3.6311012687700102E-2</v>
      </c>
      <c r="L4146">
        <v>2321.7585647227502</v>
      </c>
      <c r="M4146">
        <v>43.366875646332602</v>
      </c>
      <c r="N4146">
        <v>53.707487392190799</v>
      </c>
      <c r="O4146">
        <v>53.424157695817698</v>
      </c>
      <c r="P4146">
        <v>-0.18992908561758801</v>
      </c>
      <c r="Q4146">
        <v>6.4098389430050196E-2</v>
      </c>
      <c r="R4146">
        <v>0.99635926465827596</v>
      </c>
      <c r="S4146" t="s">
        <v>10457</v>
      </c>
      <c r="T4146" t="s">
        <v>12620</v>
      </c>
      <c r="U4146" t="s">
        <v>12620</v>
      </c>
      <c r="V4146" t="s">
        <v>12620</v>
      </c>
      <c r="W4146" t="s">
        <v>16716</v>
      </c>
      <c r="X4146">
        <v>3</v>
      </c>
      <c r="Y4146" t="s">
        <v>22836</v>
      </c>
      <c r="Z4146" t="s">
        <v>29093</v>
      </c>
      <c r="AA4146">
        <v>0.48936809117318603</v>
      </c>
      <c r="AB4146" t="str">
        <f>HYPERLINK("Melting_Curves/meltCurve_Q8N4J0_C9orf41.pdf", "Melting_Curves/meltCurve_Q8N4J0_C9orf41.pdf")</f>
        <v>Melting_Curves/meltCurve_Q8N4J0_C9orf41.pdf</v>
      </c>
    </row>
    <row r="4147" spans="1:28" x14ac:dyDescent="0.25">
      <c r="A4147" t="s">
        <v>4151</v>
      </c>
      <c r="B4147">
        <v>0.99987803227770999</v>
      </c>
      <c r="C4147">
        <v>1.02496229802938</v>
      </c>
      <c r="D4147">
        <v>0.94162690362303103</v>
      </c>
      <c r="E4147">
        <v>0.87960771852337805</v>
      </c>
      <c r="F4147">
        <v>0.71147333132185098</v>
      </c>
      <c r="G4147">
        <v>0.37352872865794501</v>
      </c>
      <c r="H4147">
        <v>0.18577719441041399</v>
      </c>
      <c r="I4147">
        <v>0.23012848403165401</v>
      </c>
      <c r="J4147">
        <v>4.9072909777177202E-2</v>
      </c>
      <c r="K4147">
        <v>0.114845636584397</v>
      </c>
      <c r="L4147">
        <v>1053.01024645247</v>
      </c>
      <c r="M4147">
        <v>19.1812021307856</v>
      </c>
      <c r="N4147">
        <v>55.469078873719297</v>
      </c>
      <c r="O4147">
        <v>54.311774115874897</v>
      </c>
      <c r="P4147">
        <v>-8.0384550024629603E-2</v>
      </c>
      <c r="Q4147">
        <v>8.9596152691680198E-2</v>
      </c>
      <c r="R4147">
        <v>0.98939590934301302</v>
      </c>
      <c r="S4147" t="s">
        <v>10458</v>
      </c>
      <c r="T4147" t="s">
        <v>12620</v>
      </c>
      <c r="U4147" t="s">
        <v>12620</v>
      </c>
      <c r="V4147" t="s">
        <v>12620</v>
      </c>
      <c r="W4147" t="s">
        <v>16717</v>
      </c>
      <c r="X4147">
        <v>2</v>
      </c>
      <c r="Y4147" t="s">
        <v>22837</v>
      </c>
      <c r="Z4147" t="s">
        <v>29094</v>
      </c>
      <c r="AA4147">
        <v>0.55463339543812729</v>
      </c>
      <c r="AB4147" t="str">
        <f>HYPERLINK("Melting_Curves/meltCurve_Q8N4N3_KLHL36.pdf", "Melting_Curves/meltCurve_Q8N4N3_KLHL36.pdf")</f>
        <v>Melting_Curves/meltCurve_Q8N4N3_KLHL36.pdf</v>
      </c>
    </row>
    <row r="4148" spans="1:28" x14ac:dyDescent="0.25">
      <c r="A4148" t="s">
        <v>4152</v>
      </c>
      <c r="B4148">
        <v>0.99987803227770999</v>
      </c>
      <c r="C4148">
        <v>0.849647481906734</v>
      </c>
      <c r="D4148">
        <v>0.90732615531346905</v>
      </c>
      <c r="E4148">
        <v>0.71075194801511499</v>
      </c>
      <c r="F4148">
        <v>0.54410471507586999</v>
      </c>
      <c r="G4148">
        <v>0.273500075639181</v>
      </c>
      <c r="H4148">
        <v>0.155544995403226</v>
      </c>
      <c r="I4148">
        <v>0.114012739670628</v>
      </c>
      <c r="J4148">
        <v>0.110748189430303</v>
      </c>
      <c r="K4148">
        <v>8.6980470186217601E-2</v>
      </c>
      <c r="L4148">
        <v>717.56574739260395</v>
      </c>
      <c r="M4148">
        <v>13.5640327118663</v>
      </c>
      <c r="N4148">
        <v>53.2274671554798</v>
      </c>
      <c r="O4148">
        <v>51.791953760218597</v>
      </c>
      <c r="P4148">
        <v>-6.28780956720906E-2</v>
      </c>
      <c r="Q4148">
        <v>3.9786478490444303E-2</v>
      </c>
      <c r="R4148">
        <v>0.98704488167241</v>
      </c>
      <c r="S4148" t="s">
        <v>10459</v>
      </c>
      <c r="T4148" t="s">
        <v>12620</v>
      </c>
      <c r="U4148" t="s">
        <v>12620</v>
      </c>
      <c r="V4148" t="s">
        <v>12620</v>
      </c>
      <c r="W4148" t="s">
        <v>16718</v>
      </c>
      <c r="X4148">
        <v>5</v>
      </c>
      <c r="Y4148" t="s">
        <v>22838</v>
      </c>
      <c r="Z4148" t="s">
        <v>29095</v>
      </c>
      <c r="AA4148">
        <v>0.47649969908179268</v>
      </c>
      <c r="AB4148" t="str">
        <f>HYPERLINK("Melting_Curves/meltCurve_Q8N4P3_HDDC3.pdf", "Melting_Curves/meltCurve_Q8N4P3_HDDC3.pdf")</f>
        <v>Melting_Curves/meltCurve_Q8N4P3_HDDC3.pdf</v>
      </c>
    </row>
    <row r="4149" spans="1:28" x14ac:dyDescent="0.25">
      <c r="A4149" t="s">
        <v>4153</v>
      </c>
      <c r="B4149">
        <v>0.99987803227770999</v>
      </c>
      <c r="C4149">
        <v>0.903926104917124</v>
      </c>
      <c r="D4149">
        <v>0.83532006069331599</v>
      </c>
      <c r="E4149">
        <v>0.42997570126414297</v>
      </c>
      <c r="F4149">
        <v>0.23083160605536299</v>
      </c>
      <c r="G4149">
        <v>0.159207616579982</v>
      </c>
      <c r="H4149">
        <v>0.121146770233672</v>
      </c>
      <c r="I4149">
        <v>0.102874638923607</v>
      </c>
      <c r="J4149">
        <v>5.3007136756328302E-2</v>
      </c>
      <c r="K4149">
        <v>3.0941330658843701E-2</v>
      </c>
      <c r="L4149">
        <v>957.25433774854503</v>
      </c>
      <c r="M4149">
        <v>19.526419299088602</v>
      </c>
      <c r="N4149">
        <v>49.410365073762598</v>
      </c>
      <c r="O4149">
        <v>48.518060350313597</v>
      </c>
      <c r="P4149">
        <v>-9.3486235057730196E-2</v>
      </c>
      <c r="Q4149">
        <v>7.0877607538437998E-2</v>
      </c>
      <c r="R4149">
        <v>0.99347012952944203</v>
      </c>
      <c r="S4149" t="s">
        <v>10460</v>
      </c>
      <c r="T4149" t="s">
        <v>12620</v>
      </c>
      <c r="U4149" t="s">
        <v>12620</v>
      </c>
      <c r="V4149" t="s">
        <v>12620</v>
      </c>
      <c r="W4149" t="s">
        <v>16719</v>
      </c>
      <c r="X4149">
        <v>1</v>
      </c>
      <c r="Y4149" t="s">
        <v>22839</v>
      </c>
      <c r="Z4149" t="s">
        <v>29096</v>
      </c>
      <c r="AA4149">
        <v>0.36400341417911841</v>
      </c>
      <c r="AB4149" t="str">
        <f>HYPERLINK("Melting_Curves/meltCurve_Q8N4Q0_ZADH2.pdf", "Melting_Curves/meltCurve_Q8N4Q0_ZADH2.pdf")</f>
        <v>Melting_Curves/meltCurve_Q8N4Q0_ZADH2.pdf</v>
      </c>
    </row>
    <row r="4150" spans="1:28" x14ac:dyDescent="0.25">
      <c r="A4150" t="s">
        <v>4154</v>
      </c>
      <c r="B4150">
        <v>0.99987803227770999</v>
      </c>
      <c r="C4150">
        <v>1.0555301346481101</v>
      </c>
      <c r="D4150">
        <v>0.86020963151754404</v>
      </c>
      <c r="E4150">
        <v>1.0077834731828299</v>
      </c>
      <c r="F4150">
        <v>0.91434829216855895</v>
      </c>
      <c r="G4150">
        <v>0.83745889270965301</v>
      </c>
      <c r="H4150">
        <v>0.83019862063514105</v>
      </c>
      <c r="I4150">
        <v>0.65104377681883496</v>
      </c>
      <c r="J4150">
        <v>0.404987536396403</v>
      </c>
      <c r="K4150">
        <v>0.23324972622895501</v>
      </c>
      <c r="L4150">
        <v>1112.3671890539599</v>
      </c>
      <c r="M4150">
        <v>16.925486088290299</v>
      </c>
      <c r="N4150">
        <v>65.721429485978902</v>
      </c>
      <c r="O4150">
        <v>64.8245674893531</v>
      </c>
      <c r="P4150">
        <v>-6.5278302529327897E-2</v>
      </c>
      <c r="Q4150">
        <v>0</v>
      </c>
      <c r="R4150">
        <v>0.939116810057541</v>
      </c>
      <c r="S4150" t="s">
        <v>10461</v>
      </c>
      <c r="T4150" t="s">
        <v>12620</v>
      </c>
      <c r="U4150" t="s">
        <v>12620</v>
      </c>
      <c r="V4150" t="s">
        <v>12620</v>
      </c>
      <c r="W4150" t="s">
        <v>16720</v>
      </c>
      <c r="X4150">
        <v>4</v>
      </c>
      <c r="Y4150" t="s">
        <v>22840</v>
      </c>
      <c r="Z4150" t="s">
        <v>29097</v>
      </c>
      <c r="AA4150">
        <v>0.83154704558435844</v>
      </c>
      <c r="AB4150" t="str">
        <f>HYPERLINK("Melting_Curves/meltCurve_Q8N4T8_CBR4.pdf", "Melting_Curves/meltCurve_Q8N4T8_CBR4.pdf")</f>
        <v>Melting_Curves/meltCurve_Q8N4T8_CBR4.pdf</v>
      </c>
    </row>
    <row r="4151" spans="1:28" x14ac:dyDescent="0.25">
      <c r="A4151" t="s">
        <v>4155</v>
      </c>
      <c r="B4151">
        <v>0.99987803227770999</v>
      </c>
      <c r="C4151">
        <v>0.57996475956048399</v>
      </c>
      <c r="D4151">
        <v>1.4375651538801599</v>
      </c>
      <c r="E4151">
        <v>1.1031137707081</v>
      </c>
      <c r="F4151">
        <v>0.46256161859269201</v>
      </c>
      <c r="G4151">
        <v>0.48905041043420899</v>
      </c>
      <c r="H4151">
        <v>0.34798878706769698</v>
      </c>
      <c r="I4151">
        <v>0.26976661024926901</v>
      </c>
      <c r="J4151">
        <v>0.26866555882009902</v>
      </c>
      <c r="K4151">
        <v>0.21170815499575099</v>
      </c>
      <c r="L4151">
        <v>13180.612083056099</v>
      </c>
      <c r="M4151">
        <v>250</v>
      </c>
      <c r="N4151">
        <v>52.935790430020603</v>
      </c>
      <c r="O4151">
        <v>52.719074476148997</v>
      </c>
      <c r="P4151">
        <v>-0.80919976181483899</v>
      </c>
      <c r="Q4151">
        <v>0.31743580105317698</v>
      </c>
      <c r="R4151">
        <v>0.73055655573771705</v>
      </c>
      <c r="S4151" t="s">
        <v>10462</v>
      </c>
      <c r="T4151" t="s">
        <v>12620</v>
      </c>
      <c r="U4151" t="s">
        <v>12620</v>
      </c>
      <c r="V4151" t="s">
        <v>12620</v>
      </c>
      <c r="W4151" t="s">
        <v>16721</v>
      </c>
      <c r="X4151">
        <v>33</v>
      </c>
      <c r="Y4151" t="s">
        <v>22841</v>
      </c>
      <c r="Z4151" t="s">
        <v>29098</v>
      </c>
      <c r="AA4151">
        <v>0.6069618818737923</v>
      </c>
      <c r="AB4151" t="str">
        <f>HYPERLINK("Melting_Curves/meltCurve_Q8N4X5_AFAP1L2.pdf", "Melting_Curves/meltCurve_Q8N4X5_AFAP1L2.pdf")</f>
        <v>Melting_Curves/meltCurve_Q8N4X5_AFAP1L2.pdf</v>
      </c>
    </row>
    <row r="4152" spans="1:28" x14ac:dyDescent="0.25">
      <c r="A4152" t="s">
        <v>4156</v>
      </c>
      <c r="B4152">
        <v>0.99987803227770999</v>
      </c>
      <c r="C4152">
        <v>0.968357851230216</v>
      </c>
      <c r="D4152">
        <v>1.09205039512728</v>
      </c>
      <c r="E4152">
        <v>0.97719563350012295</v>
      </c>
      <c r="F4152">
        <v>0.98312078171248896</v>
      </c>
      <c r="G4152">
        <v>0.73996487957637802</v>
      </c>
      <c r="H4152">
        <v>0.64685370886791804</v>
      </c>
      <c r="I4152">
        <v>0.62729329214478002</v>
      </c>
      <c r="J4152">
        <v>0.50091037323242704</v>
      </c>
      <c r="K4152">
        <v>0.43437036400227003</v>
      </c>
      <c r="L4152">
        <v>923.80201560523903</v>
      </c>
      <c r="M4152">
        <v>15.484330594911301</v>
      </c>
      <c r="N4152">
        <v>67.118548140230899</v>
      </c>
      <c r="O4152">
        <v>58.691942175893097</v>
      </c>
      <c r="P4152">
        <v>-3.8883174095837698E-2</v>
      </c>
      <c r="Q4152">
        <v>0.41052007859275402</v>
      </c>
      <c r="R4152">
        <v>0.95305208772913697</v>
      </c>
      <c r="S4152" t="s">
        <v>10463</v>
      </c>
      <c r="T4152" t="s">
        <v>12620</v>
      </c>
      <c r="U4152" t="s">
        <v>12620</v>
      </c>
      <c r="V4152" t="s">
        <v>12620</v>
      </c>
      <c r="W4152" t="s">
        <v>16722</v>
      </c>
      <c r="X4152">
        <v>33</v>
      </c>
      <c r="Y4152" t="s">
        <v>22841</v>
      </c>
      <c r="Z4152" t="s">
        <v>29099</v>
      </c>
      <c r="AA4152">
        <v>0.80182721241582711</v>
      </c>
      <c r="AB4152" t="str">
        <f>HYPERLINK("Melting_Curves/meltCurve_Q8N4X5_2_AFAP1L2.pdf", "Melting_Curves/meltCurve_Q8N4X5_2_AFAP1L2.pdf")</f>
        <v>Melting_Curves/meltCurve_Q8N4X5_2_AFAP1L2.pdf</v>
      </c>
    </row>
    <row r="4153" spans="1:28" x14ac:dyDescent="0.25">
      <c r="A4153" t="s">
        <v>4157</v>
      </c>
      <c r="B4153">
        <v>0.99987803227770999</v>
      </c>
      <c r="C4153">
        <v>0.97374235493723904</v>
      </c>
      <c r="D4153">
        <v>0.87540266162972702</v>
      </c>
      <c r="E4153">
        <v>0.73561998477486201</v>
      </c>
      <c r="F4153">
        <v>0.71346351225372195</v>
      </c>
      <c r="G4153">
        <v>0.56759899305470196</v>
      </c>
      <c r="H4153">
        <v>0.364762001884189</v>
      </c>
      <c r="I4153">
        <v>0.176927827026681</v>
      </c>
      <c r="J4153">
        <v>0.12297331582835901</v>
      </c>
      <c r="K4153">
        <v>9.2245599623590802E-2</v>
      </c>
      <c r="L4153">
        <v>607.41399604056403</v>
      </c>
      <c r="M4153">
        <v>10.684732849348199</v>
      </c>
      <c r="N4153">
        <v>56.848777162010897</v>
      </c>
      <c r="O4153">
        <v>54.965955752542598</v>
      </c>
      <c r="P4153">
        <v>-4.8615386881585003E-2</v>
      </c>
      <c r="Q4153">
        <v>0</v>
      </c>
      <c r="R4153">
        <v>0.98025195067125304</v>
      </c>
      <c r="S4153" t="s">
        <v>10464</v>
      </c>
      <c r="T4153" t="s">
        <v>12620</v>
      </c>
      <c r="U4153" t="s">
        <v>12620</v>
      </c>
      <c r="V4153" t="s">
        <v>12620</v>
      </c>
      <c r="W4153" t="s">
        <v>16723</v>
      </c>
      <c r="X4153">
        <v>15</v>
      </c>
      <c r="Y4153" t="s">
        <v>22842</v>
      </c>
      <c r="Z4153" t="s">
        <v>29100</v>
      </c>
      <c r="AA4153">
        <v>0.57875546449680937</v>
      </c>
      <c r="AB4153" t="str">
        <f>HYPERLINK("Melting_Curves/meltCurve_Q8N543_OGFOD1.pdf", "Melting_Curves/meltCurve_Q8N543_OGFOD1.pdf")</f>
        <v>Melting_Curves/meltCurve_Q8N543_OGFOD1.pdf</v>
      </c>
    </row>
    <row r="4154" spans="1:28" x14ac:dyDescent="0.25">
      <c r="A4154" t="s">
        <v>4158</v>
      </c>
      <c r="B4154">
        <v>0.99987803227770999</v>
      </c>
      <c r="C4154">
        <v>0.92242149924288797</v>
      </c>
      <c r="D4154">
        <v>0.89631994579295904</v>
      </c>
      <c r="E4154">
        <v>0.74717466164524704</v>
      </c>
      <c r="F4154">
        <v>0.66945301105882105</v>
      </c>
      <c r="G4154">
        <v>0.411395311544969</v>
      </c>
      <c r="H4154">
        <v>0.31645439141585302</v>
      </c>
      <c r="I4154">
        <v>0.279054121193825</v>
      </c>
      <c r="J4154">
        <v>0.28382436267080802</v>
      </c>
      <c r="K4154">
        <v>0.22570094139622099</v>
      </c>
      <c r="L4154">
        <v>657.03753138669504</v>
      </c>
      <c r="M4154">
        <v>12.2915526156868</v>
      </c>
      <c r="N4154">
        <v>55.610170675031398</v>
      </c>
      <c r="O4154">
        <v>52.098595187157201</v>
      </c>
      <c r="P4154">
        <v>-4.78143321529058E-2</v>
      </c>
      <c r="Q4154">
        <v>0.18952061442381499</v>
      </c>
      <c r="R4154">
        <v>0.99105169524496495</v>
      </c>
      <c r="S4154" t="s">
        <v>10465</v>
      </c>
      <c r="T4154" t="s">
        <v>12620</v>
      </c>
      <c r="U4154" t="s">
        <v>12620</v>
      </c>
      <c r="V4154" t="s">
        <v>12620</v>
      </c>
      <c r="W4154" t="s">
        <v>16724</v>
      </c>
      <c r="X4154">
        <v>9</v>
      </c>
      <c r="Y4154" t="s">
        <v>22843</v>
      </c>
      <c r="Z4154" t="s">
        <v>29101</v>
      </c>
      <c r="AA4154">
        <v>0.57468688308155225</v>
      </c>
      <c r="AB4154" t="str">
        <f>HYPERLINK("Melting_Curves/meltCurve_Q8N556_AFAP1.pdf", "Melting_Curves/meltCurve_Q8N556_AFAP1.pdf")</f>
        <v>Melting_Curves/meltCurve_Q8N556_AFAP1.pdf</v>
      </c>
    </row>
    <row r="4155" spans="1:28" x14ac:dyDescent="0.25">
      <c r="A4155" t="s">
        <v>4159</v>
      </c>
      <c r="B4155">
        <v>0.99987803227770999</v>
      </c>
      <c r="C4155">
        <v>1.0137072876825799</v>
      </c>
      <c r="D4155">
        <v>1.1136012877189201</v>
      </c>
      <c r="E4155">
        <v>1.0441901861701499</v>
      </c>
      <c r="F4155">
        <v>1.2288571874888199</v>
      </c>
      <c r="G4155">
        <v>0.98918106840111397</v>
      </c>
      <c r="H4155">
        <v>0.76143654343917799</v>
      </c>
      <c r="I4155">
        <v>1.0391892388100701</v>
      </c>
      <c r="J4155">
        <v>0.57996121908203102</v>
      </c>
      <c r="K4155">
        <v>0.56184181463004201</v>
      </c>
      <c r="L4155">
        <v>15000</v>
      </c>
      <c r="M4155">
        <v>226.96415154504001</v>
      </c>
      <c r="O4155">
        <v>66.084600978050801</v>
      </c>
      <c r="P4155">
        <v>-0.376655821780149</v>
      </c>
      <c r="Q4155">
        <v>0.56132015621002496</v>
      </c>
      <c r="R4155">
        <v>0.719831284061348</v>
      </c>
      <c r="S4155" t="s">
        <v>10466</v>
      </c>
      <c r="T4155" t="s">
        <v>12620</v>
      </c>
      <c r="U4155" t="s">
        <v>12620</v>
      </c>
      <c r="V4155" t="s">
        <v>12620</v>
      </c>
      <c r="W4155" t="s">
        <v>16725</v>
      </c>
      <c r="X4155">
        <v>1</v>
      </c>
      <c r="Y4155" t="s">
        <v>22844</v>
      </c>
      <c r="Z4155" t="s">
        <v>29102</v>
      </c>
      <c r="AA4155">
        <v>0.9428831994041833</v>
      </c>
      <c r="AB4155" t="str">
        <f>HYPERLINK("Melting_Curves/meltCurve_Q8N567_ZCCHC9.pdf", "Melting_Curves/meltCurve_Q8N567_ZCCHC9.pdf")</f>
        <v>Melting_Curves/meltCurve_Q8N567_ZCCHC9.pdf</v>
      </c>
    </row>
    <row r="4156" spans="1:28" x14ac:dyDescent="0.25">
      <c r="A4156" t="s">
        <v>4160</v>
      </c>
      <c r="B4156">
        <v>0.99987803227770999</v>
      </c>
      <c r="C4156">
        <v>1.0133554902083199</v>
      </c>
      <c r="D4156">
        <v>1.03069014307826</v>
      </c>
      <c r="E4156">
        <v>0.989393655873819</v>
      </c>
      <c r="F4156">
        <v>1.0032173782553999</v>
      </c>
      <c r="G4156">
        <v>0.91090403859577196</v>
      </c>
      <c r="H4156">
        <v>0.584624911183933</v>
      </c>
      <c r="I4156">
        <v>0.38151427322363801</v>
      </c>
      <c r="J4156">
        <v>0.35424315887685998</v>
      </c>
      <c r="K4156">
        <v>0.27614785624907401</v>
      </c>
      <c r="L4156">
        <v>1961.0171938679</v>
      </c>
      <c r="M4156">
        <v>32.494354608514001</v>
      </c>
      <c r="N4156">
        <v>62.038711645307899</v>
      </c>
      <c r="O4156">
        <v>60.122287587442301</v>
      </c>
      <c r="P4156">
        <v>-9.5447843976528196E-2</v>
      </c>
      <c r="Q4156">
        <v>0.29359849430926599</v>
      </c>
      <c r="R4156">
        <v>0.99647484223250904</v>
      </c>
      <c r="S4156" t="s">
        <v>10467</v>
      </c>
      <c r="T4156" t="s">
        <v>12620</v>
      </c>
      <c r="U4156" t="s">
        <v>12620</v>
      </c>
      <c r="V4156" t="s">
        <v>12620</v>
      </c>
      <c r="W4156" t="s">
        <v>16726</v>
      </c>
      <c r="X4156">
        <v>9</v>
      </c>
      <c r="Y4156" t="s">
        <v>22845</v>
      </c>
      <c r="Z4156" t="s">
        <v>29103</v>
      </c>
      <c r="AA4156">
        <v>0.77653247455650132</v>
      </c>
      <c r="AB4156" t="str">
        <f>HYPERLINK("Melting_Curves/meltCurve_Q8N573_2_OXR1.pdf", "Melting_Curves/meltCurve_Q8N573_2_OXR1.pdf")</f>
        <v>Melting_Curves/meltCurve_Q8N573_2_OXR1.pdf</v>
      </c>
    </row>
    <row r="4157" spans="1:28" x14ac:dyDescent="0.25">
      <c r="A4157" t="s">
        <v>4161</v>
      </c>
      <c r="B4157">
        <v>0.99987803227770999</v>
      </c>
      <c r="C4157">
        <v>0.99225262021221705</v>
      </c>
      <c r="D4157">
        <v>1.06093349552371</v>
      </c>
      <c r="E4157">
        <v>1.00976376291505</v>
      </c>
      <c r="F4157">
        <v>1.0990309149773101</v>
      </c>
      <c r="G4157">
        <v>0.94597926300245605</v>
      </c>
      <c r="H4157">
        <v>0.68207454594419303</v>
      </c>
      <c r="I4157">
        <v>0.26460527125064198</v>
      </c>
      <c r="J4157">
        <v>0.127887874843544</v>
      </c>
      <c r="K4157">
        <v>8.3133489987066905E-2</v>
      </c>
      <c r="L4157">
        <v>2502.1796680023899</v>
      </c>
      <c r="M4157">
        <v>40.413788815496702</v>
      </c>
      <c r="N4157">
        <v>62.175799819360599</v>
      </c>
      <c r="O4157">
        <v>61.762993014408799</v>
      </c>
      <c r="P4157">
        <v>-0.15078519852122399</v>
      </c>
      <c r="Q4157">
        <v>7.8242656919932901E-2</v>
      </c>
      <c r="R4157">
        <v>0.99020904786344999</v>
      </c>
      <c r="S4157" t="s">
        <v>10468</v>
      </c>
      <c r="T4157" t="s">
        <v>12620</v>
      </c>
      <c r="U4157" t="s">
        <v>12620</v>
      </c>
      <c r="V4157" t="s">
        <v>12620</v>
      </c>
      <c r="W4157" t="s">
        <v>16727</v>
      </c>
      <c r="X4157">
        <v>5</v>
      </c>
      <c r="Y4157" t="s">
        <v>22846</v>
      </c>
      <c r="Z4157" t="s">
        <v>29104</v>
      </c>
      <c r="AA4157">
        <v>0.75482406700410065</v>
      </c>
      <c r="AB4157" t="str">
        <f>HYPERLINK("Melting_Curves/meltCurve_Q8N584_2_TTC39C.pdf", "Melting_Curves/meltCurve_Q8N584_2_TTC39C.pdf")</f>
        <v>Melting_Curves/meltCurve_Q8N584_2_TTC39C.pdf</v>
      </c>
    </row>
    <row r="4158" spans="1:28" x14ac:dyDescent="0.25">
      <c r="A4158" t="s">
        <v>4162</v>
      </c>
      <c r="B4158">
        <v>0.99987803227770999</v>
      </c>
      <c r="C4158">
        <v>0.97345717832531298</v>
      </c>
      <c r="D4158">
        <v>0.866742702643583</v>
      </c>
      <c r="E4158">
        <v>0.75627263525844501</v>
      </c>
      <c r="F4158">
        <v>0.67630598189160995</v>
      </c>
      <c r="G4158">
        <v>0.58191952967922</v>
      </c>
      <c r="H4158">
        <v>0.47819915220425802</v>
      </c>
      <c r="I4158">
        <v>0.56409772272839198</v>
      </c>
      <c r="J4158">
        <v>0.36006364100816302</v>
      </c>
      <c r="K4158">
        <v>0.28796541750710197</v>
      </c>
      <c r="L4158">
        <v>381.392013214136</v>
      </c>
      <c r="M4158">
        <v>6.4745706924390598</v>
      </c>
      <c r="N4158">
        <v>60.971605246915502</v>
      </c>
      <c r="O4158">
        <v>54.0421132193826</v>
      </c>
      <c r="P4158">
        <v>-2.70686023521143E-2</v>
      </c>
      <c r="Q4158">
        <v>9.8472790440635394E-2</v>
      </c>
      <c r="R4158">
        <v>0.95297408813477102</v>
      </c>
      <c r="S4158" t="s">
        <v>10469</v>
      </c>
      <c r="T4158" t="s">
        <v>12620</v>
      </c>
      <c r="U4158" t="s">
        <v>12620</v>
      </c>
      <c r="V4158" t="s">
        <v>12620</v>
      </c>
      <c r="W4158" t="s">
        <v>16728</v>
      </c>
      <c r="X4158">
        <v>7</v>
      </c>
      <c r="Y4158" t="s">
        <v>22847</v>
      </c>
      <c r="Z4158" t="s">
        <v>29105</v>
      </c>
      <c r="AA4158">
        <v>0.65273598090785856</v>
      </c>
      <c r="AB4158" t="str">
        <f>HYPERLINK("Melting_Curves/meltCurve_Q8N5A5_3_ZGPAT.pdf", "Melting_Curves/meltCurve_Q8N5A5_3_ZGPAT.pdf")</f>
        <v>Melting_Curves/meltCurve_Q8N5A5_3_ZGPAT.pdf</v>
      </c>
    </row>
    <row r="4159" spans="1:28" x14ac:dyDescent="0.25">
      <c r="A4159" t="s">
        <v>4163</v>
      </c>
      <c r="B4159">
        <v>0.99987803227770999</v>
      </c>
      <c r="C4159">
        <v>1.0653931855166301</v>
      </c>
      <c r="D4159">
        <v>0.821671945413886</v>
      </c>
      <c r="E4159">
        <v>0.58694284459879198</v>
      </c>
      <c r="F4159">
        <v>0.36979220701121301</v>
      </c>
      <c r="G4159">
        <v>0.110319177102563</v>
      </c>
      <c r="H4159">
        <v>0</v>
      </c>
      <c r="I4159">
        <v>0</v>
      </c>
      <c r="J4159">
        <v>0</v>
      </c>
      <c r="K4159">
        <v>0</v>
      </c>
      <c r="L4159">
        <v>956.65994883054498</v>
      </c>
      <c r="M4159">
        <v>18.759402860124801</v>
      </c>
      <c r="N4159">
        <v>50.996290231691098</v>
      </c>
      <c r="O4159">
        <v>50.427394833213</v>
      </c>
      <c r="P4159">
        <v>-9.3005943274879002E-2</v>
      </c>
      <c r="Q4159">
        <v>0</v>
      </c>
      <c r="R4159">
        <v>0.99017496804335103</v>
      </c>
      <c r="S4159" t="s">
        <v>10470</v>
      </c>
      <c r="T4159" t="s">
        <v>12620</v>
      </c>
      <c r="U4159" t="s">
        <v>12620</v>
      </c>
      <c r="V4159" t="s">
        <v>12620</v>
      </c>
      <c r="W4159" t="s">
        <v>16729</v>
      </c>
      <c r="X4159">
        <v>2</v>
      </c>
      <c r="Y4159" t="s">
        <v>22848</v>
      </c>
      <c r="Z4159" t="s">
        <v>29106</v>
      </c>
      <c r="AA4159">
        <v>0.38217334236660572</v>
      </c>
      <c r="AB4159" t="str">
        <f>HYPERLINK("Melting_Curves/meltCurve_Q8N5C7_DTWD1.pdf", "Melting_Curves/meltCurve_Q8N5C7_DTWD1.pdf")</f>
        <v>Melting_Curves/meltCurve_Q8N5C7_DTWD1.pdf</v>
      </c>
    </row>
    <row r="4160" spans="1:28" x14ac:dyDescent="0.25">
      <c r="A4160" t="s">
        <v>4164</v>
      </c>
      <c r="B4160">
        <v>0.99987803227770999</v>
      </c>
      <c r="C4160">
        <v>1.0520438549414699</v>
      </c>
      <c r="D4160">
        <v>1.0747606230325799</v>
      </c>
      <c r="E4160">
        <v>0.87451534251785301</v>
      </c>
      <c r="F4160">
        <v>0.70818409036318397</v>
      </c>
      <c r="G4160">
        <v>0.479985059170558</v>
      </c>
      <c r="H4160">
        <v>0.36548723731952398</v>
      </c>
      <c r="I4160">
        <v>0.49259901891393998</v>
      </c>
      <c r="J4160">
        <v>0.24543579142213401</v>
      </c>
      <c r="K4160">
        <v>0.238051697511342</v>
      </c>
      <c r="L4160">
        <v>1028.2813755551199</v>
      </c>
      <c r="M4160">
        <v>18.957231779530002</v>
      </c>
      <c r="N4160">
        <v>56.913460832203299</v>
      </c>
      <c r="O4160">
        <v>53.649398865780299</v>
      </c>
      <c r="P4160">
        <v>-6.2314165833333802E-2</v>
      </c>
      <c r="Q4160">
        <v>0.29462632069778599</v>
      </c>
      <c r="R4160">
        <v>0.95109660174920096</v>
      </c>
      <c r="S4160" t="s">
        <v>10471</v>
      </c>
      <c r="T4160" t="s">
        <v>12620</v>
      </c>
      <c r="U4160" t="s">
        <v>12620</v>
      </c>
      <c r="V4160" t="s">
        <v>12620</v>
      </c>
      <c r="W4160" t="s">
        <v>16730</v>
      </c>
      <c r="X4160">
        <v>2</v>
      </c>
      <c r="Y4160" t="s">
        <v>22849</v>
      </c>
      <c r="Z4160" t="s">
        <v>29107</v>
      </c>
      <c r="AA4160">
        <v>0.63987057304358153</v>
      </c>
      <c r="AB4160" t="str">
        <f>HYPERLINK("Melting_Curves/meltCurve_Q8N5C8_2_TAB3.pdf", "Melting_Curves/meltCurve_Q8N5C8_2_TAB3.pdf")</f>
        <v>Melting_Curves/meltCurve_Q8N5C8_2_TAB3.pdf</v>
      </c>
    </row>
    <row r="4161" spans="1:28" x14ac:dyDescent="0.25">
      <c r="A4161" t="s">
        <v>4165</v>
      </c>
      <c r="B4161">
        <v>0.99987803227770999</v>
      </c>
      <c r="C4161">
        <v>0.96765157030659099</v>
      </c>
      <c r="D4161">
        <v>1.10592373335425</v>
      </c>
      <c r="E4161">
        <v>1.03105215216674</v>
      </c>
      <c r="F4161">
        <v>1.0597362516876401</v>
      </c>
      <c r="G4161">
        <v>0.74823258216961497</v>
      </c>
      <c r="H4161">
        <v>0.69523918192985101</v>
      </c>
      <c r="I4161">
        <v>0.55822298458603403</v>
      </c>
      <c r="J4161">
        <v>0.64520420301302495</v>
      </c>
      <c r="K4161">
        <v>0.55232354803770201</v>
      </c>
      <c r="L4161">
        <v>6126.7126487343403</v>
      </c>
      <c r="M4161">
        <v>108.10153475068201</v>
      </c>
      <c r="O4161">
        <v>56.656149586269997</v>
      </c>
      <c r="P4161">
        <v>-0.18476906172066901</v>
      </c>
      <c r="Q4161">
        <v>0.61264922970964097</v>
      </c>
      <c r="R4161">
        <v>0.92669985489349105</v>
      </c>
      <c r="S4161" t="s">
        <v>10472</v>
      </c>
      <c r="T4161" t="s">
        <v>12620</v>
      </c>
      <c r="U4161" t="s">
        <v>12620</v>
      </c>
      <c r="V4161" t="s">
        <v>12620</v>
      </c>
      <c r="W4161" t="s">
        <v>16731</v>
      </c>
      <c r="X4161">
        <v>4</v>
      </c>
      <c r="Y4161" t="s">
        <v>22850</v>
      </c>
      <c r="Z4161" t="s">
        <v>29108</v>
      </c>
      <c r="AA4161">
        <v>0.82816490372908846</v>
      </c>
      <c r="AB4161" t="str">
        <f>HYPERLINK("Melting_Curves/meltCurve_Q8N5F7_NKAP.pdf", "Melting_Curves/meltCurve_Q8N5F7_NKAP.pdf")</f>
        <v>Melting_Curves/meltCurve_Q8N5F7_NKAP.pdf</v>
      </c>
    </row>
    <row r="4162" spans="1:28" x14ac:dyDescent="0.25">
      <c r="A4162" t="s">
        <v>4166</v>
      </c>
      <c r="B4162">
        <v>0.99987803227770999</v>
      </c>
      <c r="C4162">
        <v>0.92363347972141097</v>
      </c>
      <c r="D4162">
        <v>0.98066140243775402</v>
      </c>
      <c r="E4162">
        <v>0.82824248818455404</v>
      </c>
      <c r="F4162">
        <v>0.99919372500669001</v>
      </c>
      <c r="G4162">
        <v>0.859423651906282</v>
      </c>
      <c r="H4162">
        <v>0.77843619784209594</v>
      </c>
      <c r="I4162">
        <v>0.81194658947879095</v>
      </c>
      <c r="J4162">
        <v>0.67051366916147004</v>
      </c>
      <c r="K4162">
        <v>0.488576467369848</v>
      </c>
      <c r="L4162">
        <v>539.07533999809596</v>
      </c>
      <c r="M4162">
        <v>7.4623273480504899</v>
      </c>
      <c r="O4162">
        <v>67.597022093097806</v>
      </c>
      <c r="P4162">
        <v>-2.76389996400873E-2</v>
      </c>
      <c r="Q4162">
        <v>0</v>
      </c>
      <c r="R4162">
        <v>0.82087874865265298</v>
      </c>
      <c r="S4162" t="s">
        <v>10473</v>
      </c>
      <c r="T4162" t="s">
        <v>12620</v>
      </c>
      <c r="U4162" t="s">
        <v>12620</v>
      </c>
      <c r="V4162" t="s">
        <v>12620</v>
      </c>
      <c r="W4162" t="s">
        <v>16732</v>
      </c>
      <c r="X4162">
        <v>2</v>
      </c>
      <c r="Y4162" t="s">
        <v>22851</v>
      </c>
      <c r="Z4162" t="s">
        <v>29109</v>
      </c>
      <c r="AA4162">
        <v>0.86221370216587934</v>
      </c>
      <c r="AB4162" t="str">
        <f>HYPERLINK("Melting_Curves/meltCurve_Q8N5G2_TMEM57.pdf", "Melting_Curves/meltCurve_Q8N5G2_TMEM57.pdf")</f>
        <v>Melting_Curves/meltCurve_Q8N5G2_TMEM57.pdf</v>
      </c>
    </row>
    <row r="4163" spans="1:28" x14ac:dyDescent="0.25">
      <c r="A4163" t="s">
        <v>4167</v>
      </c>
      <c r="B4163">
        <v>0.99987803227770999</v>
      </c>
      <c r="C4163">
        <v>0.930452319560092</v>
      </c>
      <c r="D4163">
        <v>0.99342507345715503</v>
      </c>
      <c r="E4163">
        <v>0.86651006562656796</v>
      </c>
      <c r="F4163">
        <v>1.0985926371430501</v>
      </c>
      <c r="G4163">
        <v>0.87583606360129196</v>
      </c>
      <c r="H4163">
        <v>0.94410271074699004</v>
      </c>
      <c r="I4163">
        <v>1.0480019977063399</v>
      </c>
      <c r="J4163">
        <v>0.98992846216389296</v>
      </c>
      <c r="K4163">
        <v>0.85587263450803497</v>
      </c>
      <c r="L4163">
        <v>95.406022455032698</v>
      </c>
      <c r="M4163">
        <v>1.0000000000000001E-5</v>
      </c>
      <c r="Q4163">
        <v>0.73230990624126702</v>
      </c>
      <c r="R4163">
        <v>1.6427086781332301E-2</v>
      </c>
      <c r="S4163" t="s">
        <v>10474</v>
      </c>
      <c r="T4163" t="s">
        <v>12620</v>
      </c>
      <c r="U4163" t="s">
        <v>12620</v>
      </c>
      <c r="V4163" t="s">
        <v>12620</v>
      </c>
      <c r="W4163" t="s">
        <v>16733</v>
      </c>
      <c r="X4163">
        <v>7</v>
      </c>
      <c r="Y4163" t="s">
        <v>22852</v>
      </c>
      <c r="Z4163" t="s">
        <v>29110</v>
      </c>
      <c r="AA4163">
        <v>0.96039801582291384</v>
      </c>
      <c r="AB4163" t="str">
        <f>HYPERLINK("Melting_Curves/meltCurve_Q8N5I9_C12orf45.pdf", "Melting_Curves/meltCurve_Q8N5I9_C12orf45.pdf")</f>
        <v>Melting_Curves/meltCurve_Q8N5I9_C12orf45.pdf</v>
      </c>
    </row>
    <row r="4164" spans="1:28" x14ac:dyDescent="0.25">
      <c r="A4164" t="s">
        <v>4168</v>
      </c>
      <c r="B4164">
        <v>0.99987803227770999</v>
      </c>
      <c r="C4164">
        <v>0.99667159006960604</v>
      </c>
      <c r="D4164">
        <v>0.89337118368275503</v>
      </c>
      <c r="E4164">
        <v>1.1857207609220699</v>
      </c>
      <c r="F4164">
        <v>0.93081018038424301</v>
      </c>
      <c r="G4164">
        <v>0.74222532881885595</v>
      </c>
      <c r="H4164">
        <v>0.41828652261809601</v>
      </c>
      <c r="I4164">
        <v>0.43010658307458799</v>
      </c>
      <c r="J4164">
        <v>0.20899792981919099</v>
      </c>
      <c r="K4164">
        <v>5.17491043868617E-2</v>
      </c>
      <c r="L4164">
        <v>1012.91177918238</v>
      </c>
      <c r="M4164">
        <v>16.578796882165602</v>
      </c>
      <c r="N4164">
        <v>61.096820762836202</v>
      </c>
      <c r="O4164">
        <v>60.2286569145488</v>
      </c>
      <c r="P4164">
        <v>-6.8820759945403695E-2</v>
      </c>
      <c r="Q4164">
        <v>0</v>
      </c>
      <c r="R4164">
        <v>0.94019940633174004</v>
      </c>
      <c r="S4164" t="s">
        <v>10475</v>
      </c>
      <c r="T4164" t="s">
        <v>12620</v>
      </c>
      <c r="U4164" t="s">
        <v>12620</v>
      </c>
      <c r="V4164" t="s">
        <v>12620</v>
      </c>
      <c r="W4164" t="s">
        <v>16734</v>
      </c>
      <c r="X4164">
        <v>2</v>
      </c>
      <c r="Y4164" t="s">
        <v>22853</v>
      </c>
      <c r="Z4164" t="s">
        <v>29111</v>
      </c>
      <c r="AA4164">
        <v>0.70710815693121665</v>
      </c>
      <c r="AB4164" t="str">
        <f>HYPERLINK("Melting_Curves/meltCurve_Q8N5L8_RPP25L.pdf", "Melting_Curves/meltCurve_Q8N5L8_RPP25L.pdf")</f>
        <v>Melting_Curves/meltCurve_Q8N5L8_RPP25L.pdf</v>
      </c>
    </row>
    <row r="4165" spans="1:28" x14ac:dyDescent="0.25">
      <c r="A4165" t="s">
        <v>4169</v>
      </c>
      <c r="B4165">
        <v>0.99987803227770999</v>
      </c>
      <c r="C4165">
        <v>0.95346041165119999</v>
      </c>
      <c r="D4165">
        <v>1.0691776742122201</v>
      </c>
      <c r="E4165">
        <v>1.0223650370485</v>
      </c>
      <c r="F4165">
        <v>1.1641169254944801</v>
      </c>
      <c r="G4165">
        <v>1.0228563081855699</v>
      </c>
      <c r="H4165">
        <v>0.59688639116098596</v>
      </c>
      <c r="I4165">
        <v>0.25781412592520198</v>
      </c>
      <c r="J4165">
        <v>0.15091057942306699</v>
      </c>
      <c r="K4165">
        <v>0.11617668590699699</v>
      </c>
      <c r="L4165">
        <v>2877.4789545383601</v>
      </c>
      <c r="M4165">
        <v>46.957189299766704</v>
      </c>
      <c r="N4165">
        <v>61.6802789521576</v>
      </c>
      <c r="O4165">
        <v>61.167932597890498</v>
      </c>
      <c r="P4165">
        <v>-0.166646664210095</v>
      </c>
      <c r="Q4165">
        <v>0.13168374872626601</v>
      </c>
      <c r="R4165">
        <v>0.97553555593792796</v>
      </c>
      <c r="S4165" t="s">
        <v>10476</v>
      </c>
      <c r="T4165" t="s">
        <v>12620</v>
      </c>
      <c r="U4165" t="s">
        <v>12620</v>
      </c>
      <c r="V4165" t="s">
        <v>12620</v>
      </c>
      <c r="W4165" t="s">
        <v>16735</v>
      </c>
      <c r="X4165">
        <v>4</v>
      </c>
      <c r="Y4165" t="s">
        <v>22854</v>
      </c>
      <c r="Z4165" t="s">
        <v>29112</v>
      </c>
      <c r="AA4165">
        <v>0.75008788861185705</v>
      </c>
      <c r="AB4165" t="str">
        <f>HYPERLINK("Melting_Curves/meltCurve_Q8N5M1_ATPAF2.pdf", "Melting_Curves/meltCurve_Q8N5M1_ATPAF2.pdf")</f>
        <v>Melting_Curves/meltCurve_Q8N5M1_ATPAF2.pdf</v>
      </c>
    </row>
    <row r="4166" spans="1:28" x14ac:dyDescent="0.25">
      <c r="A4166" t="s">
        <v>4170</v>
      </c>
      <c r="B4166">
        <v>0.99987803227770999</v>
      </c>
      <c r="C4166">
        <v>1.0095097347183299</v>
      </c>
      <c r="D4166">
        <v>1.1495108459336301</v>
      </c>
      <c r="E4166">
        <v>1.30541539324954</v>
      </c>
      <c r="F4166">
        <v>1.8611919191667901</v>
      </c>
      <c r="G4166">
        <v>1.8518646596810799</v>
      </c>
      <c r="H4166">
        <v>1.63256082390417</v>
      </c>
      <c r="I4166">
        <v>1.6498995141543</v>
      </c>
      <c r="J4166">
        <v>1.33348194690153</v>
      </c>
      <c r="K4166">
        <v>1.03091330936397</v>
      </c>
      <c r="L4166">
        <v>1753.2860916934301</v>
      </c>
      <c r="M4166">
        <v>36.893078120421102</v>
      </c>
      <c r="O4166">
        <v>47.384465870813699</v>
      </c>
      <c r="P4166">
        <v>9.7324055884141003E-2</v>
      </c>
      <c r="Q4166">
        <v>1.5</v>
      </c>
      <c r="R4166">
        <v>0.461935603256456</v>
      </c>
      <c r="S4166" t="s">
        <v>10477</v>
      </c>
      <c r="T4166" t="s">
        <v>12620</v>
      </c>
      <c r="U4166" t="s">
        <v>12620</v>
      </c>
      <c r="V4166" t="s">
        <v>12620</v>
      </c>
      <c r="W4166" t="s">
        <v>16736</v>
      </c>
      <c r="X4166">
        <v>4</v>
      </c>
      <c r="Y4166" t="s">
        <v>22855</v>
      </c>
      <c r="Z4166" t="s">
        <v>29113</v>
      </c>
      <c r="AA4166">
        <v>1.37266118944228</v>
      </c>
      <c r="AB4166" t="str">
        <f>HYPERLINK("Melting_Curves/meltCurve_Q8N5N7_MRPL50.pdf", "Melting_Curves/meltCurve_Q8N5N7_MRPL50.pdf")</f>
        <v>Melting_Curves/meltCurve_Q8N5N7_MRPL50.pdf</v>
      </c>
    </row>
    <row r="4167" spans="1:28" x14ac:dyDescent="0.25">
      <c r="A4167" t="s">
        <v>4171</v>
      </c>
      <c r="B4167">
        <v>0.99987803227770999</v>
      </c>
      <c r="C4167">
        <v>0.81876185878461005</v>
      </c>
      <c r="D4167">
        <v>0.93474935929139202</v>
      </c>
      <c r="E4167">
        <v>0.88271701562583604</v>
      </c>
      <c r="F4167">
        <v>1.0764035648333501</v>
      </c>
      <c r="G4167">
        <v>0.75773973796077398</v>
      </c>
      <c r="H4167">
        <v>0.94453138929468705</v>
      </c>
      <c r="I4167">
        <v>0.86485139969009905</v>
      </c>
      <c r="J4167">
        <v>1.0907524790468801</v>
      </c>
      <c r="K4167">
        <v>0.87215317922458702</v>
      </c>
      <c r="L4167">
        <v>10222.8083931855</v>
      </c>
      <c r="M4167">
        <v>250</v>
      </c>
      <c r="O4167">
        <v>40.888616816541699</v>
      </c>
      <c r="P4167">
        <v>-0.12862503415440399</v>
      </c>
      <c r="Q4167">
        <v>0.91585120436948397</v>
      </c>
      <c r="R4167">
        <v>6.1136857091583799E-2</v>
      </c>
      <c r="S4167" t="s">
        <v>10478</v>
      </c>
      <c r="T4167" t="s">
        <v>12620</v>
      </c>
      <c r="U4167" t="s">
        <v>12620</v>
      </c>
      <c r="V4167" t="s">
        <v>12620</v>
      </c>
      <c r="W4167" t="s">
        <v>16737</v>
      </c>
      <c r="X4167">
        <v>3</v>
      </c>
      <c r="Y4167" t="s">
        <v>22856</v>
      </c>
      <c r="Z4167" t="s">
        <v>29114</v>
      </c>
      <c r="AA4167">
        <v>0.91835877396543375</v>
      </c>
      <c r="AB4167" t="str">
        <f>HYPERLINK("Melting_Curves/meltCurve_Q8N5P1_ZC3H8.pdf", "Melting_Curves/meltCurve_Q8N5P1_ZC3H8.pdf")</f>
        <v>Melting_Curves/meltCurve_Q8N5P1_ZC3H8.pdf</v>
      </c>
    </row>
    <row r="4168" spans="1:28" x14ac:dyDescent="0.25">
      <c r="A4168" t="s">
        <v>4172</v>
      </c>
      <c r="B4168">
        <v>0.99987803227770999</v>
      </c>
      <c r="C4168">
        <v>0.96698430299659199</v>
      </c>
      <c r="D4168">
        <v>0.945600252744351</v>
      </c>
      <c r="E4168">
        <v>0.53933905890040201</v>
      </c>
      <c r="F4168">
        <v>0.32934820406084597</v>
      </c>
      <c r="G4168">
        <v>0.23131259766302001</v>
      </c>
      <c r="H4168">
        <v>0.17718024019512099</v>
      </c>
      <c r="I4168">
        <v>0.10458239519970999</v>
      </c>
      <c r="J4168">
        <v>8.1990685591294896E-2</v>
      </c>
      <c r="K4168">
        <v>5.7343550699216497E-2</v>
      </c>
      <c r="L4168">
        <v>1029.7983714281199</v>
      </c>
      <c r="M4168">
        <v>20.4675480140357</v>
      </c>
      <c r="N4168">
        <v>50.882745755965999</v>
      </c>
      <c r="O4168">
        <v>49.840809177413902</v>
      </c>
      <c r="P4168">
        <v>-9.21655369340839E-2</v>
      </c>
      <c r="Q4168">
        <v>0.10229237031659801</v>
      </c>
      <c r="R4168">
        <v>0.98977437165939497</v>
      </c>
      <c r="S4168" t="s">
        <v>10479</v>
      </c>
      <c r="T4168" t="s">
        <v>12620</v>
      </c>
      <c r="U4168" t="s">
        <v>12620</v>
      </c>
      <c r="V4168" t="s">
        <v>12620</v>
      </c>
      <c r="W4168" t="s">
        <v>16738</v>
      </c>
      <c r="X4168">
        <v>10</v>
      </c>
      <c r="Y4168" t="s">
        <v>22857</v>
      </c>
      <c r="Z4168" t="s">
        <v>29115</v>
      </c>
      <c r="AA4168">
        <v>0.42285483979256988</v>
      </c>
      <c r="AB4168" t="str">
        <f>HYPERLINK("Melting_Curves/meltCurve_Q8N5S9_CAMKK1.pdf", "Melting_Curves/meltCurve_Q8N5S9_CAMKK1.pdf")</f>
        <v>Melting_Curves/meltCurve_Q8N5S9_CAMKK1.pdf</v>
      </c>
    </row>
    <row r="4169" spans="1:28" x14ac:dyDescent="0.25">
      <c r="A4169" t="s">
        <v>4173</v>
      </c>
      <c r="B4169">
        <v>0.99987803227770999</v>
      </c>
      <c r="C4169">
        <v>0.90064287255302999</v>
      </c>
      <c r="D4169">
        <v>0.65068953967875698</v>
      </c>
      <c r="E4169">
        <v>0.26384296641819599</v>
      </c>
      <c r="F4169">
        <v>0.116198392921398</v>
      </c>
      <c r="G4169">
        <v>0.30465392313372702</v>
      </c>
      <c r="H4169">
        <v>0.119696651588419</v>
      </c>
      <c r="I4169">
        <v>3.06587460316501E-2</v>
      </c>
      <c r="J4169">
        <v>2.2157743404790601E-2</v>
      </c>
      <c r="K4169">
        <v>0</v>
      </c>
      <c r="L4169">
        <v>969.74280704613295</v>
      </c>
      <c r="M4169">
        <v>20.601177407597699</v>
      </c>
      <c r="N4169">
        <v>47.448538907814999</v>
      </c>
      <c r="O4169">
        <v>46.635398313176402</v>
      </c>
      <c r="P4169">
        <v>-0.102116388613798</v>
      </c>
      <c r="Q4169">
        <v>7.5373123235544001E-2</v>
      </c>
      <c r="R4169">
        <v>0.95453365991957895</v>
      </c>
      <c r="S4169" t="s">
        <v>10480</v>
      </c>
      <c r="T4169" t="s">
        <v>12620</v>
      </c>
      <c r="U4169" t="s">
        <v>12620</v>
      </c>
      <c r="V4169" t="s">
        <v>12620</v>
      </c>
      <c r="W4169" t="s">
        <v>16739</v>
      </c>
      <c r="X4169">
        <v>2</v>
      </c>
      <c r="Y4169" t="s">
        <v>22858</v>
      </c>
      <c r="Z4169" t="s">
        <v>29116</v>
      </c>
      <c r="AA4169">
        <v>0.30598837871276302</v>
      </c>
      <c r="AB4169" t="str">
        <f>HYPERLINK("Melting_Curves/meltCurve_Q8N5V2_3_NGEF.pdf", "Melting_Curves/meltCurve_Q8N5V2_3_NGEF.pdf")</f>
        <v>Melting_Curves/meltCurve_Q8N5V2_3_NGEF.pdf</v>
      </c>
    </row>
    <row r="4170" spans="1:28" x14ac:dyDescent="0.25">
      <c r="A4170" t="s">
        <v>4174</v>
      </c>
      <c r="B4170">
        <v>0.99987803227770999</v>
      </c>
      <c r="C4170">
        <v>1.1550603763422</v>
      </c>
      <c r="D4170">
        <v>0.82608842922994996</v>
      </c>
      <c r="E4170">
        <v>1.3199351517881299</v>
      </c>
      <c r="F4170">
        <v>0.55822007240852201</v>
      </c>
      <c r="G4170">
        <v>0.32596343385918702</v>
      </c>
      <c r="H4170">
        <v>0.224449466078146</v>
      </c>
      <c r="I4170">
        <v>0.24185305239192101</v>
      </c>
      <c r="J4170">
        <v>0.207418498111755</v>
      </c>
      <c r="K4170">
        <v>0.19473151120870399</v>
      </c>
      <c r="L4170">
        <v>13232.7982222353</v>
      </c>
      <c r="M4170">
        <v>250</v>
      </c>
      <c r="N4170">
        <v>53.069083437928597</v>
      </c>
      <c r="O4170">
        <v>52.927811831722302</v>
      </c>
      <c r="P4170">
        <v>-0.89876772310645803</v>
      </c>
      <c r="Q4170">
        <v>0.238883146851809</v>
      </c>
      <c r="R4170">
        <v>0.90163193212067805</v>
      </c>
      <c r="S4170" t="s">
        <v>10481</v>
      </c>
      <c r="T4170" t="s">
        <v>12620</v>
      </c>
      <c r="U4170" t="s">
        <v>12620</v>
      </c>
      <c r="V4170" t="s">
        <v>12620</v>
      </c>
      <c r="W4170" t="s">
        <v>16740</v>
      </c>
      <c r="X4170">
        <v>1</v>
      </c>
      <c r="Y4170" t="s">
        <v>22859</v>
      </c>
      <c r="Z4170" t="s">
        <v>29117</v>
      </c>
      <c r="AA4170">
        <v>0.56702547756855237</v>
      </c>
      <c r="AB4170" t="str">
        <f>HYPERLINK("Melting_Curves/meltCurve_Q8N5W9_FAM101B.pdf", "Melting_Curves/meltCurve_Q8N5W9_FAM101B.pdf")</f>
        <v>Melting_Curves/meltCurve_Q8N5W9_FAM101B.pdf</v>
      </c>
    </row>
    <row r="4171" spans="1:28" x14ac:dyDescent="0.25">
      <c r="A4171" t="s">
        <v>4175</v>
      </c>
      <c r="B4171">
        <v>0.99987803227770999</v>
      </c>
      <c r="C4171">
        <v>1.1136021666249201</v>
      </c>
      <c r="D4171">
        <v>0.79559165193639902</v>
      </c>
      <c r="E4171">
        <v>0.66486098387730497</v>
      </c>
      <c r="F4171">
        <v>0.31928061354529702</v>
      </c>
      <c r="G4171">
        <v>0.18751086110524601</v>
      </c>
      <c r="H4171">
        <v>0.16959529153460501</v>
      </c>
      <c r="I4171">
        <v>0.143812783077085</v>
      </c>
      <c r="J4171">
        <v>0.136010090809385</v>
      </c>
      <c r="K4171">
        <v>0.11585388584706501</v>
      </c>
      <c r="L4171">
        <v>1068.6360109836401</v>
      </c>
      <c r="M4171">
        <v>21.186850164925001</v>
      </c>
      <c r="N4171">
        <v>51.146176108283399</v>
      </c>
      <c r="O4171">
        <v>49.9957485682731</v>
      </c>
      <c r="P4171">
        <v>-9.2488755105108303E-2</v>
      </c>
      <c r="Q4171">
        <v>0.12701988854173901</v>
      </c>
      <c r="R4171">
        <v>0.97463487396345205</v>
      </c>
      <c r="S4171" t="s">
        <v>10482</v>
      </c>
      <c r="T4171" t="s">
        <v>12620</v>
      </c>
      <c r="U4171" t="s">
        <v>12620</v>
      </c>
      <c r="V4171" t="s">
        <v>12620</v>
      </c>
      <c r="W4171" t="s">
        <v>16741</v>
      </c>
      <c r="X4171">
        <v>3</v>
      </c>
      <c r="Y4171" t="s">
        <v>22860</v>
      </c>
      <c r="Z4171" t="s">
        <v>29118</v>
      </c>
      <c r="AA4171">
        <v>0.44163592241681471</v>
      </c>
      <c r="AB4171" t="str">
        <f>HYPERLINK("Melting_Curves/meltCurve_Q8N612_FAM160A2.pdf", "Melting_Curves/meltCurve_Q8N612_FAM160A2.pdf")</f>
        <v>Melting_Curves/meltCurve_Q8N612_FAM160A2.pdf</v>
      </c>
    </row>
    <row r="4172" spans="1:28" x14ac:dyDescent="0.25">
      <c r="A4172" t="s">
        <v>4176</v>
      </c>
      <c r="B4172">
        <v>0.99987803227770999</v>
      </c>
      <c r="C4172">
        <v>1.2107221602329501</v>
      </c>
      <c r="D4172">
        <v>0.63296016158043999</v>
      </c>
      <c r="E4172">
        <v>0.50665393571163697</v>
      </c>
      <c r="F4172">
        <v>9.0876579128335799E-2</v>
      </c>
      <c r="G4172">
        <v>0.221922167523633</v>
      </c>
      <c r="H4172">
        <v>5.3782088968530997E-2</v>
      </c>
      <c r="I4172">
        <v>0</v>
      </c>
      <c r="J4172">
        <v>0</v>
      </c>
      <c r="K4172">
        <v>0</v>
      </c>
      <c r="L4172">
        <v>986.93179569998904</v>
      </c>
      <c r="M4172">
        <v>20.1445503269494</v>
      </c>
      <c r="N4172">
        <v>49.118984982633897</v>
      </c>
      <c r="O4172">
        <v>48.517367426968299</v>
      </c>
      <c r="P4172">
        <v>-0.10118021672696501</v>
      </c>
      <c r="Q4172">
        <v>2.52764306541713E-2</v>
      </c>
      <c r="R4172">
        <v>0.92312708727938997</v>
      </c>
      <c r="S4172" t="s">
        <v>10483</v>
      </c>
      <c r="T4172" t="s">
        <v>12620</v>
      </c>
      <c r="U4172" t="s">
        <v>12620</v>
      </c>
      <c r="V4172" t="s">
        <v>12620</v>
      </c>
      <c r="W4172" t="s">
        <v>16742</v>
      </c>
      <c r="X4172">
        <v>2</v>
      </c>
      <c r="Y4172" t="s">
        <v>22861</v>
      </c>
      <c r="Z4172" t="s">
        <v>29119</v>
      </c>
      <c r="AA4172">
        <v>0.33090568899144679</v>
      </c>
      <c r="AB4172" t="str">
        <f>HYPERLINK("Melting_Curves/meltCurve_Q8N653_LZTR1.pdf", "Melting_Curves/meltCurve_Q8N653_LZTR1.pdf")</f>
        <v>Melting_Curves/meltCurve_Q8N653_LZTR1.pdf</v>
      </c>
    </row>
    <row r="4173" spans="1:28" x14ac:dyDescent="0.25">
      <c r="A4173" t="s">
        <v>4177</v>
      </c>
      <c r="B4173">
        <v>0.99987803227770999</v>
      </c>
      <c r="C4173">
        <v>0.89374942608604502</v>
      </c>
      <c r="D4173">
        <v>0.962104288369939</v>
      </c>
      <c r="E4173">
        <v>0.83819493960709901</v>
      </c>
      <c r="F4173">
        <v>1.06438144426658</v>
      </c>
      <c r="G4173">
        <v>0.74056996454642898</v>
      </c>
      <c r="H4173">
        <v>0.95912253792245505</v>
      </c>
      <c r="I4173">
        <v>0.85738659525609695</v>
      </c>
      <c r="J4173">
        <v>1.0229838269371401</v>
      </c>
      <c r="K4173">
        <v>0.85802880680342997</v>
      </c>
      <c r="L4173">
        <v>10242.0241798601</v>
      </c>
      <c r="M4173">
        <v>250</v>
      </c>
      <c r="O4173">
        <v>40.965485719776296</v>
      </c>
      <c r="P4173">
        <v>-0.13620529370016399</v>
      </c>
      <c r="Q4173">
        <v>0.91072456707488703</v>
      </c>
      <c r="R4173">
        <v>8.0856049287878998E-2</v>
      </c>
      <c r="S4173" t="s">
        <v>10484</v>
      </c>
      <c r="T4173" t="s">
        <v>12620</v>
      </c>
      <c r="U4173" t="s">
        <v>12620</v>
      </c>
      <c r="V4173" t="s">
        <v>12620</v>
      </c>
      <c r="W4173" t="s">
        <v>16743</v>
      </c>
      <c r="X4173">
        <v>2</v>
      </c>
      <c r="Y4173" t="s">
        <v>22862</v>
      </c>
      <c r="Z4173" t="s">
        <v>29120</v>
      </c>
      <c r="AA4173">
        <v>0.91361298002026625</v>
      </c>
      <c r="AB4173" t="str">
        <f>HYPERLINK("Melting_Curves/meltCurve_Q8N655_C10orf12.pdf", "Melting_Curves/meltCurve_Q8N655_C10orf12.pdf")</f>
        <v>Melting_Curves/meltCurve_Q8N655_C10orf12.pdf</v>
      </c>
    </row>
    <row r="4174" spans="1:28" x14ac:dyDescent="0.25">
      <c r="A4174" t="s">
        <v>4178</v>
      </c>
      <c r="B4174">
        <v>0.99987803227770999</v>
      </c>
      <c r="C4174">
        <v>0.93762481594559699</v>
      </c>
      <c r="D4174">
        <v>1.0472557612486599</v>
      </c>
      <c r="E4174">
        <v>1.01070025532963</v>
      </c>
      <c r="F4174">
        <v>0.99022530634530903</v>
      </c>
      <c r="G4174">
        <v>0.73687182118569206</v>
      </c>
      <c r="H4174">
        <v>0.37770445438015499</v>
      </c>
      <c r="I4174">
        <v>0.21791761131197099</v>
      </c>
      <c r="J4174">
        <v>0.15199361612380999</v>
      </c>
      <c r="K4174">
        <v>0.107869012451455</v>
      </c>
      <c r="L4174">
        <v>1566.25388514831</v>
      </c>
      <c r="M4174">
        <v>26.525032254623301</v>
      </c>
      <c r="N4174">
        <v>59.5944998990324</v>
      </c>
      <c r="O4174">
        <v>58.715581058159103</v>
      </c>
      <c r="P4174">
        <v>-0.10074973246525699</v>
      </c>
      <c r="Q4174">
        <v>0.107934463434984</v>
      </c>
      <c r="R4174">
        <v>0.99434327977533399</v>
      </c>
      <c r="S4174" t="s">
        <v>10485</v>
      </c>
      <c r="T4174" t="s">
        <v>12620</v>
      </c>
      <c r="U4174" t="s">
        <v>12620</v>
      </c>
      <c r="V4174" t="s">
        <v>12620</v>
      </c>
      <c r="W4174" t="s">
        <v>16744</v>
      </c>
      <c r="X4174">
        <v>4</v>
      </c>
      <c r="Y4174" t="s">
        <v>22863</v>
      </c>
      <c r="Z4174" t="s">
        <v>29121</v>
      </c>
      <c r="AA4174">
        <v>0.68111274622268614</v>
      </c>
      <c r="AB4174" t="str">
        <f>HYPERLINK("Melting_Curves/meltCurve_Q8N668_COMMD1.pdf", "Melting_Curves/meltCurve_Q8N668_COMMD1.pdf")</f>
        <v>Melting_Curves/meltCurve_Q8N668_COMMD1.pdf</v>
      </c>
    </row>
    <row r="4175" spans="1:28" x14ac:dyDescent="0.25">
      <c r="A4175" t="s">
        <v>4179</v>
      </c>
      <c r="B4175">
        <v>0.99987803227770999</v>
      </c>
      <c r="C4175">
        <v>0.97961756136776501</v>
      </c>
      <c r="D4175">
        <v>0.95997907046520303</v>
      </c>
      <c r="E4175">
        <v>0.88035093638434803</v>
      </c>
      <c r="F4175">
        <v>0.73248646260989703</v>
      </c>
      <c r="G4175">
        <v>0.466522830442128</v>
      </c>
      <c r="H4175">
        <v>0.36962367669795099</v>
      </c>
      <c r="I4175">
        <v>0.31274418217501498</v>
      </c>
      <c r="J4175">
        <v>0.245343352668243</v>
      </c>
      <c r="K4175">
        <v>0.20767984947280699</v>
      </c>
      <c r="L4175">
        <v>860.25490800086197</v>
      </c>
      <c r="M4175">
        <v>15.5966588496879</v>
      </c>
      <c r="N4175">
        <v>57.046850720726297</v>
      </c>
      <c r="O4175">
        <v>54.2734862190933</v>
      </c>
      <c r="P4175">
        <v>-5.7349584872268197E-2</v>
      </c>
      <c r="Q4175">
        <v>0.20180543057419001</v>
      </c>
      <c r="R4175">
        <v>0.99638443613645999</v>
      </c>
      <c r="S4175" t="s">
        <v>10486</v>
      </c>
      <c r="T4175" t="s">
        <v>12620</v>
      </c>
      <c r="U4175" t="s">
        <v>12620</v>
      </c>
      <c r="V4175" t="s">
        <v>12620</v>
      </c>
      <c r="W4175" t="s">
        <v>16745</v>
      </c>
      <c r="X4175">
        <v>12</v>
      </c>
      <c r="Y4175" t="s">
        <v>22864</v>
      </c>
      <c r="Z4175" t="s">
        <v>29122</v>
      </c>
      <c r="AA4175">
        <v>0.61966031241241681</v>
      </c>
      <c r="AB4175" t="str">
        <f>HYPERLINK("Melting_Curves/meltCurve_Q8N684_CPSF7.pdf", "Melting_Curves/meltCurve_Q8N684_CPSF7.pdf")</f>
        <v>Melting_Curves/meltCurve_Q8N684_CPSF7.pdf</v>
      </c>
    </row>
    <row r="4176" spans="1:28" x14ac:dyDescent="0.25">
      <c r="A4176" t="s">
        <v>4180</v>
      </c>
      <c r="B4176">
        <v>0.99987803227770999</v>
      </c>
      <c r="C4176">
        <v>0.92993844391500102</v>
      </c>
      <c r="D4176">
        <v>1.0387140695255901</v>
      </c>
      <c r="E4176">
        <v>0.89203655337643695</v>
      </c>
      <c r="F4176">
        <v>0.74309201116063905</v>
      </c>
      <c r="G4176">
        <v>0.45452806573991</v>
      </c>
      <c r="H4176">
        <v>0.41062868754013798</v>
      </c>
      <c r="I4176">
        <v>0.40654848676204203</v>
      </c>
      <c r="J4176">
        <v>0.33173108076311097</v>
      </c>
      <c r="K4176">
        <v>0.28626647385232901</v>
      </c>
      <c r="L4176">
        <v>1216.0990934230599</v>
      </c>
      <c r="M4176">
        <v>22.557527322225098</v>
      </c>
      <c r="N4176">
        <v>56.684925228775597</v>
      </c>
      <c r="O4176">
        <v>53.492684978774399</v>
      </c>
      <c r="P4176">
        <v>-7.0191634076670006E-2</v>
      </c>
      <c r="Q4176">
        <v>0.33420660222256199</v>
      </c>
      <c r="R4176">
        <v>0.98112255954648397</v>
      </c>
      <c r="S4176" t="s">
        <v>10487</v>
      </c>
      <c r="T4176" t="s">
        <v>12620</v>
      </c>
      <c r="U4176" t="s">
        <v>12620</v>
      </c>
      <c r="V4176" t="s">
        <v>12620</v>
      </c>
      <c r="W4176" t="s">
        <v>16746</v>
      </c>
      <c r="X4176">
        <v>12</v>
      </c>
      <c r="Y4176" t="s">
        <v>22865</v>
      </c>
      <c r="Z4176" t="s">
        <v>29123</v>
      </c>
      <c r="AA4176">
        <v>0.65033584937560296</v>
      </c>
      <c r="AB4176" t="str">
        <f>HYPERLINK("Melting_Curves/meltCurve_Q8N6H7_ARFGAP2.pdf", "Melting_Curves/meltCurve_Q8N6H7_ARFGAP2.pdf")</f>
        <v>Melting_Curves/meltCurve_Q8N6H7_ARFGAP2.pdf</v>
      </c>
    </row>
    <row r="4177" spans="1:28" x14ac:dyDescent="0.25">
      <c r="A4177" t="s">
        <v>4181</v>
      </c>
      <c r="B4177">
        <v>0.99987803227770999</v>
      </c>
      <c r="C4177">
        <v>0.915059796008591</v>
      </c>
      <c r="D4177">
        <v>0.90126857621461398</v>
      </c>
      <c r="E4177">
        <v>0.87273951066061495</v>
      </c>
      <c r="F4177">
        <v>0.87069004085910595</v>
      </c>
      <c r="G4177">
        <v>0.57216000174556303</v>
      </c>
      <c r="H4177">
        <v>0.54571859103990406</v>
      </c>
      <c r="I4177">
        <v>0.49535296072388002</v>
      </c>
      <c r="J4177">
        <v>0.47267900011811498</v>
      </c>
      <c r="K4177">
        <v>0.365917163342734</v>
      </c>
      <c r="L4177">
        <v>516.07372944138797</v>
      </c>
      <c r="M4177">
        <v>8.8862077834307804</v>
      </c>
      <c r="N4177">
        <v>63.2364600442911</v>
      </c>
      <c r="O4177">
        <v>55.360429358310803</v>
      </c>
      <c r="P4177">
        <v>-2.9802964975047801E-2</v>
      </c>
      <c r="Q4177">
        <v>0.25788427934726499</v>
      </c>
      <c r="R4177">
        <v>0.95166822000036899</v>
      </c>
      <c r="S4177" t="s">
        <v>10488</v>
      </c>
      <c r="T4177" t="s">
        <v>12620</v>
      </c>
      <c r="U4177" t="s">
        <v>12620</v>
      </c>
      <c r="V4177" t="s">
        <v>12620</v>
      </c>
      <c r="W4177" t="s">
        <v>16747</v>
      </c>
      <c r="X4177">
        <v>3</v>
      </c>
      <c r="Y4177" t="s">
        <v>22866</v>
      </c>
      <c r="Z4177" t="s">
        <v>29124</v>
      </c>
      <c r="AA4177">
        <v>0.70976824355949619</v>
      </c>
      <c r="AB4177" t="str">
        <f>HYPERLINK("Melting_Curves/meltCurve_Q8N6I1_EID2.pdf", "Melting_Curves/meltCurve_Q8N6I1_EID2.pdf")</f>
        <v>Melting_Curves/meltCurve_Q8N6I1_EID2.pdf</v>
      </c>
    </row>
    <row r="4178" spans="1:28" x14ac:dyDescent="0.25">
      <c r="A4178" t="s">
        <v>4182</v>
      </c>
      <c r="B4178">
        <v>0.99987803227770999</v>
      </c>
      <c r="C4178">
        <v>0.71089501921390597</v>
      </c>
      <c r="D4178">
        <v>0.80369336639045297</v>
      </c>
      <c r="E4178">
        <v>0.64572484715212797</v>
      </c>
      <c r="F4178">
        <v>0.39502000318008301</v>
      </c>
      <c r="G4178">
        <v>0.209757199858396</v>
      </c>
      <c r="H4178">
        <v>0.12269280649349699</v>
      </c>
      <c r="I4178">
        <v>8.52526763637277E-2</v>
      </c>
      <c r="J4178">
        <v>7.5535552119308694E-2</v>
      </c>
      <c r="K4178">
        <v>5.5713109736437699E-2</v>
      </c>
      <c r="L4178">
        <v>548.41520554246404</v>
      </c>
      <c r="M4178">
        <v>10.738723733317901</v>
      </c>
      <c r="N4178">
        <v>51.068937000973598</v>
      </c>
      <c r="O4178">
        <v>49.393601129168601</v>
      </c>
      <c r="P4178">
        <v>-5.4372931332510102E-2</v>
      </c>
      <c r="Q4178">
        <v>0</v>
      </c>
      <c r="R4178">
        <v>0.960062372372114</v>
      </c>
      <c r="S4178" t="s">
        <v>10489</v>
      </c>
      <c r="T4178" t="s">
        <v>12620</v>
      </c>
      <c r="U4178" t="s">
        <v>12620</v>
      </c>
      <c r="V4178" t="s">
        <v>12620</v>
      </c>
      <c r="W4178" t="s">
        <v>16748</v>
      </c>
      <c r="X4178">
        <v>11</v>
      </c>
      <c r="Y4178" t="s">
        <v>22867</v>
      </c>
      <c r="Z4178" t="s">
        <v>29125</v>
      </c>
      <c r="AA4178">
        <v>0.40674559790528292</v>
      </c>
      <c r="AB4178" t="str">
        <f>HYPERLINK("Melting_Curves/meltCurve_Q8N6M0_OTUD6B.pdf", "Melting_Curves/meltCurve_Q8N6M0_OTUD6B.pdf")</f>
        <v>Melting_Curves/meltCurve_Q8N6M0_OTUD6B.pdf</v>
      </c>
    </row>
    <row r="4179" spans="1:28" x14ac:dyDescent="0.25">
      <c r="A4179" t="s">
        <v>4183</v>
      </c>
      <c r="B4179">
        <v>0.99987803227770999</v>
      </c>
      <c r="C4179">
        <v>0.80763193152681201</v>
      </c>
      <c r="D4179">
        <v>1.0793595582406701</v>
      </c>
      <c r="E4179">
        <v>0.84738333049593895</v>
      </c>
      <c r="F4179">
        <v>1.0365670640873801</v>
      </c>
      <c r="G4179">
        <v>0.88629177075590504</v>
      </c>
      <c r="H4179">
        <v>0.870516214414636</v>
      </c>
      <c r="I4179">
        <v>0.80940786096650796</v>
      </c>
      <c r="J4179">
        <v>0.85541470915078499</v>
      </c>
      <c r="K4179">
        <v>0.76104465482783601</v>
      </c>
      <c r="L4179">
        <v>258.86967468113397</v>
      </c>
      <c r="M4179">
        <v>2.3815106798044199</v>
      </c>
      <c r="Q4179">
        <v>0</v>
      </c>
      <c r="R4179">
        <v>0.34613253921618697</v>
      </c>
      <c r="S4179" t="s">
        <v>10490</v>
      </c>
      <c r="T4179" t="s">
        <v>12620</v>
      </c>
      <c r="U4179" t="s">
        <v>12620</v>
      </c>
      <c r="V4179" t="s">
        <v>12620</v>
      </c>
      <c r="W4179" t="s">
        <v>16749</v>
      </c>
      <c r="X4179">
        <v>5</v>
      </c>
      <c r="Y4179" t="s">
        <v>22868</v>
      </c>
      <c r="Z4179" t="s">
        <v>29126</v>
      </c>
      <c r="AA4179">
        <v>0.90243342850358177</v>
      </c>
      <c r="AB4179" t="str">
        <f>HYPERLINK("Melting_Curves/meltCurve_Q8N6N3_2_C1orf52.pdf", "Melting_Curves/meltCurve_Q8N6N3_2_C1orf52.pdf")</f>
        <v>Melting_Curves/meltCurve_Q8N6N3_2_C1orf52.pdf</v>
      </c>
    </row>
    <row r="4180" spans="1:28" x14ac:dyDescent="0.25">
      <c r="A4180" t="s">
        <v>4184</v>
      </c>
      <c r="B4180">
        <v>0.99987803227770999</v>
      </c>
      <c r="C4180">
        <v>0.74873843536411799</v>
      </c>
      <c r="D4180">
        <v>1.05889801153333</v>
      </c>
      <c r="E4180">
        <v>0.73855336940281902</v>
      </c>
      <c r="F4180">
        <v>0.95390668677322898</v>
      </c>
      <c r="G4180">
        <v>0.82872990563166105</v>
      </c>
      <c r="H4180">
        <v>0.89715693262131901</v>
      </c>
      <c r="I4180">
        <v>0.88149827134309799</v>
      </c>
      <c r="J4180">
        <v>0.86027275856866603</v>
      </c>
      <c r="K4180">
        <v>0.76789970879249603</v>
      </c>
      <c r="L4180">
        <v>90.432512662644598</v>
      </c>
      <c r="M4180">
        <v>1.0000000000000001E-5</v>
      </c>
      <c r="Q4180">
        <v>0.20574866119738899</v>
      </c>
      <c r="R4180">
        <v>9.6520341954135502E-2</v>
      </c>
      <c r="S4180" t="s">
        <v>10491</v>
      </c>
      <c r="T4180" t="s">
        <v>12620</v>
      </c>
      <c r="U4180" t="s">
        <v>12620</v>
      </c>
      <c r="V4180" t="s">
        <v>12620</v>
      </c>
      <c r="W4180" t="s">
        <v>16750</v>
      </c>
      <c r="X4180">
        <v>2</v>
      </c>
      <c r="Y4180" t="s">
        <v>22869</v>
      </c>
      <c r="Z4180" t="s">
        <v>29127</v>
      </c>
      <c r="AA4180">
        <v>0.87329743477780097</v>
      </c>
      <c r="AB4180" t="str">
        <f>HYPERLINK("Melting_Curves/meltCurve_Q8N6N7_ACBD7.pdf", "Melting_Curves/meltCurve_Q8N6N7_ACBD7.pdf")</f>
        <v>Melting_Curves/meltCurve_Q8N6N7_ACBD7.pdf</v>
      </c>
    </row>
    <row r="4181" spans="1:28" x14ac:dyDescent="0.25">
      <c r="A4181" t="s">
        <v>4185</v>
      </c>
      <c r="B4181">
        <v>0.99987803227770999</v>
      </c>
      <c r="C4181">
        <v>1.1136887716719399</v>
      </c>
      <c r="D4181">
        <v>1.1167230843852001</v>
      </c>
      <c r="E4181">
        <v>1.11787527467364</v>
      </c>
      <c r="F4181">
        <v>0.962792466541181</v>
      </c>
      <c r="G4181">
        <v>0.81504889142045001</v>
      </c>
      <c r="H4181">
        <v>0.48481115383906698</v>
      </c>
      <c r="I4181">
        <v>0.45526205836539801</v>
      </c>
      <c r="J4181">
        <v>0.27361735402541998</v>
      </c>
      <c r="K4181">
        <v>0.14753014538679099</v>
      </c>
      <c r="L4181">
        <v>1156.1924655841201</v>
      </c>
      <c r="M4181">
        <v>18.952984762397001</v>
      </c>
      <c r="N4181">
        <v>61.882628713320898</v>
      </c>
      <c r="O4181">
        <v>60.336236636129001</v>
      </c>
      <c r="P4181">
        <v>-6.9262143503442897E-2</v>
      </c>
      <c r="Q4181">
        <v>0.118059994122326</v>
      </c>
      <c r="R4181">
        <v>0.95368293994469999</v>
      </c>
      <c r="S4181" t="s">
        <v>10492</v>
      </c>
      <c r="T4181" t="s">
        <v>12620</v>
      </c>
      <c r="U4181" t="s">
        <v>12620</v>
      </c>
      <c r="V4181" t="s">
        <v>12620</v>
      </c>
      <c r="W4181" t="s">
        <v>16751</v>
      </c>
      <c r="X4181">
        <v>1</v>
      </c>
      <c r="Y4181" t="s">
        <v>22870</v>
      </c>
      <c r="Z4181" t="s">
        <v>29128</v>
      </c>
      <c r="AA4181">
        <v>0.74056720701310086</v>
      </c>
      <c r="AB4181" t="str">
        <f>HYPERLINK("Melting_Curves/meltCurve_Q8N6Q8_METTL25.pdf", "Melting_Curves/meltCurve_Q8N6Q8_METTL25.pdf")</f>
        <v>Melting_Curves/meltCurve_Q8N6Q8_METTL25.pdf</v>
      </c>
    </row>
    <row r="4182" spans="1:28" x14ac:dyDescent="0.25">
      <c r="A4182" t="s">
        <v>4186</v>
      </c>
      <c r="B4182">
        <v>0.99987803227770999</v>
      </c>
      <c r="C4182">
        <v>1.0014080003522801</v>
      </c>
      <c r="D4182">
        <v>1.02730013166902</v>
      </c>
      <c r="E4182">
        <v>0.93654214640415101</v>
      </c>
      <c r="F4182">
        <v>0.75754719261335302</v>
      </c>
      <c r="G4182">
        <v>0.43943066028179201</v>
      </c>
      <c r="H4182">
        <v>0.21238780348103301</v>
      </c>
      <c r="I4182">
        <v>0.16478205428393899</v>
      </c>
      <c r="J4182">
        <v>0.110671274562685</v>
      </c>
      <c r="K4182">
        <v>7.8764360928458496E-2</v>
      </c>
      <c r="L4182">
        <v>1162.3071858354999</v>
      </c>
      <c r="M4182">
        <v>20.8438385912531</v>
      </c>
      <c r="N4182">
        <v>56.2563426126693</v>
      </c>
      <c r="O4182">
        <v>55.256975406571698</v>
      </c>
      <c r="P4182">
        <v>-8.64236914210849E-2</v>
      </c>
      <c r="Q4182">
        <v>8.3589155983896907E-2</v>
      </c>
      <c r="R4182">
        <v>0.99828958890880504</v>
      </c>
      <c r="S4182" t="s">
        <v>10493</v>
      </c>
      <c r="T4182" t="s">
        <v>12620</v>
      </c>
      <c r="U4182" t="s">
        <v>12620</v>
      </c>
      <c r="V4182" t="s">
        <v>12620</v>
      </c>
      <c r="W4182" t="s">
        <v>16752</v>
      </c>
      <c r="X4182">
        <v>8</v>
      </c>
      <c r="Y4182" t="s">
        <v>22871</v>
      </c>
      <c r="Z4182" t="s">
        <v>29129</v>
      </c>
      <c r="AA4182">
        <v>0.57632339096597152</v>
      </c>
      <c r="AB4182" t="str">
        <f>HYPERLINK("Melting_Curves/meltCurve_Q8N749_TOM1L1.pdf", "Melting_Curves/meltCurve_Q8N749_TOM1L1.pdf")</f>
        <v>Melting_Curves/meltCurve_Q8N749_TOM1L1.pdf</v>
      </c>
    </row>
    <row r="4183" spans="1:28" x14ac:dyDescent="0.25">
      <c r="A4183" t="s">
        <v>4187</v>
      </c>
      <c r="B4183">
        <v>0.99987803227770999</v>
      </c>
      <c r="C4183">
        <v>1.1239145798894801</v>
      </c>
      <c r="D4183">
        <v>1.0754251538139701</v>
      </c>
      <c r="E4183">
        <v>0.98211902033298504</v>
      </c>
      <c r="F4183">
        <v>0.59473113182343296</v>
      </c>
      <c r="G4183">
        <v>0.33524161523340701</v>
      </c>
      <c r="H4183">
        <v>0.15346676506405699</v>
      </c>
      <c r="I4183">
        <v>0.121837946885648</v>
      </c>
      <c r="J4183">
        <v>9.0903232716992896E-2</v>
      </c>
      <c r="K4183">
        <v>5.3238210986870801E-2</v>
      </c>
      <c r="L4183">
        <v>1373.2664823042901</v>
      </c>
      <c r="M4183">
        <v>25.349127130666499</v>
      </c>
      <c r="N4183">
        <v>54.597588672177601</v>
      </c>
      <c r="O4183">
        <v>53.840341361076597</v>
      </c>
      <c r="P4183">
        <v>-0.107201642142948</v>
      </c>
      <c r="Q4183">
        <v>8.92468241710445E-2</v>
      </c>
      <c r="R4183">
        <v>0.97892477591070703</v>
      </c>
      <c r="S4183" t="s">
        <v>10494</v>
      </c>
      <c r="T4183" t="s">
        <v>12620</v>
      </c>
      <c r="U4183" t="s">
        <v>12620</v>
      </c>
      <c r="V4183" t="s">
        <v>12620</v>
      </c>
      <c r="W4183" t="s">
        <v>12786</v>
      </c>
      <c r="X4183">
        <v>5</v>
      </c>
      <c r="Y4183" t="s">
        <v>19034</v>
      </c>
      <c r="Z4183" t="s">
        <v>29130</v>
      </c>
      <c r="AA4183">
        <v>0.52777236769100644</v>
      </c>
      <c r="AB4183" t="str">
        <f>HYPERLINK("Melting_Curves/meltCurve_Q8N7C3_TRIML2.pdf", "Melting_Curves/meltCurve_Q8N7C3_TRIML2.pdf")</f>
        <v>Melting_Curves/meltCurve_Q8N7C3_TRIML2.pdf</v>
      </c>
    </row>
    <row r="4184" spans="1:28" x14ac:dyDescent="0.25">
      <c r="A4184" t="s">
        <v>4188</v>
      </c>
      <c r="B4184">
        <v>0.99987803227770999</v>
      </c>
      <c r="C4184">
        <v>0.92021179163794398</v>
      </c>
      <c r="D4184">
        <v>1.02642310491149</v>
      </c>
      <c r="E4184">
        <v>0.93940532336287896</v>
      </c>
      <c r="F4184">
        <v>1.0002888464350099</v>
      </c>
      <c r="G4184">
        <v>0.70522507033415704</v>
      </c>
      <c r="H4184">
        <v>0.69667145246294604</v>
      </c>
      <c r="I4184">
        <v>0.62094753722409102</v>
      </c>
      <c r="J4184">
        <v>0.58559925121483303</v>
      </c>
      <c r="K4184">
        <v>0.47651713698639397</v>
      </c>
      <c r="L4184">
        <v>828.61550771858197</v>
      </c>
      <c r="M4184">
        <v>14.0394197952815</v>
      </c>
      <c r="O4184">
        <v>57.861885701275902</v>
      </c>
      <c r="P4184">
        <v>-3.2397041997223902E-2</v>
      </c>
      <c r="Q4184">
        <v>0.46598687725173898</v>
      </c>
      <c r="R4184">
        <v>0.92232636928856704</v>
      </c>
      <c r="S4184" t="s">
        <v>10495</v>
      </c>
      <c r="T4184" t="s">
        <v>12620</v>
      </c>
      <c r="U4184" t="s">
        <v>12620</v>
      </c>
      <c r="V4184" t="s">
        <v>12620</v>
      </c>
      <c r="W4184" t="s">
        <v>16753</v>
      </c>
      <c r="X4184">
        <v>20</v>
      </c>
      <c r="Y4184" t="s">
        <v>22872</v>
      </c>
      <c r="Z4184" t="s">
        <v>29131</v>
      </c>
      <c r="AA4184">
        <v>0.80988113203909651</v>
      </c>
      <c r="AB4184" t="str">
        <f>HYPERLINK("Melting_Curves/meltCurve_Q8N806_UBR7.pdf", "Melting_Curves/meltCurve_Q8N806_UBR7.pdf")</f>
        <v>Melting_Curves/meltCurve_Q8N806_UBR7.pdf</v>
      </c>
    </row>
    <row r="4185" spans="1:28" x14ac:dyDescent="0.25">
      <c r="A4185" t="s">
        <v>4189</v>
      </c>
      <c r="B4185">
        <v>0.99987803227770999</v>
      </c>
      <c r="C4185">
        <v>0.98071173194859396</v>
      </c>
      <c r="D4185">
        <v>1.1114700029076501</v>
      </c>
      <c r="E4185">
        <v>0.78559797363891803</v>
      </c>
      <c r="F4185">
        <v>0.39916969010515202</v>
      </c>
      <c r="G4185">
        <v>0.27721718779860399</v>
      </c>
      <c r="H4185">
        <v>0.21774811878164901</v>
      </c>
      <c r="I4185">
        <v>0.19938419549431999</v>
      </c>
      <c r="J4185">
        <v>0.166378919795207</v>
      </c>
      <c r="K4185">
        <v>0.13651757565216999</v>
      </c>
      <c r="L4185">
        <v>1845.47942791834</v>
      </c>
      <c r="M4185">
        <v>35.829293748507297</v>
      </c>
      <c r="N4185">
        <v>52.212979509653699</v>
      </c>
      <c r="O4185">
        <v>51.347894204751697</v>
      </c>
      <c r="P4185">
        <v>-0.140974258282281</v>
      </c>
      <c r="Q4185">
        <v>0.191867069040531</v>
      </c>
      <c r="R4185">
        <v>0.98326914352649097</v>
      </c>
      <c r="S4185" t="s">
        <v>10496</v>
      </c>
      <c r="T4185" t="s">
        <v>12620</v>
      </c>
      <c r="U4185" t="s">
        <v>12620</v>
      </c>
      <c r="V4185" t="s">
        <v>12620</v>
      </c>
      <c r="W4185" t="s">
        <v>16754</v>
      </c>
      <c r="X4185">
        <v>1</v>
      </c>
      <c r="Y4185" t="s">
        <v>22873</v>
      </c>
      <c r="Z4185" t="s">
        <v>29132</v>
      </c>
      <c r="AA4185">
        <v>0.50544470863330182</v>
      </c>
      <c r="AB4185" t="str">
        <f>HYPERLINK("Melting_Curves/meltCurve_Q8N819_2_PPM1N.pdf", "Melting_Curves/meltCurve_Q8N819_2_PPM1N.pdf")</f>
        <v>Melting_Curves/meltCurve_Q8N819_2_PPM1N.pdf</v>
      </c>
    </row>
    <row r="4186" spans="1:28" x14ac:dyDescent="0.25">
      <c r="A4186" t="s">
        <v>4190</v>
      </c>
      <c r="B4186">
        <v>0.99987803227770999</v>
      </c>
      <c r="C4186">
        <v>0.95887961175304404</v>
      </c>
      <c r="D4186">
        <v>1.0723553247422599</v>
      </c>
      <c r="E4186">
        <v>0.97727608222177198</v>
      </c>
      <c r="F4186">
        <v>0.57354587645017796</v>
      </c>
      <c r="G4186">
        <v>0.36555323185222099</v>
      </c>
      <c r="H4186">
        <v>0.381884553577722</v>
      </c>
      <c r="I4186">
        <v>0.31804527262823801</v>
      </c>
      <c r="J4186">
        <v>0.22883211029263201</v>
      </c>
      <c r="K4186">
        <v>0.26848278158377198</v>
      </c>
      <c r="L4186">
        <v>2939.1502845176201</v>
      </c>
      <c r="M4186">
        <v>55.902431496348598</v>
      </c>
      <c r="N4186">
        <v>53.502727467123798</v>
      </c>
      <c r="O4186">
        <v>52.509291292261601</v>
      </c>
      <c r="P4186">
        <v>-0.18363458420682799</v>
      </c>
      <c r="Q4186">
        <v>0.31004689461588097</v>
      </c>
      <c r="R4186">
        <v>0.97887867505306603</v>
      </c>
      <c r="S4186" t="s">
        <v>10497</v>
      </c>
      <c r="T4186" t="s">
        <v>12620</v>
      </c>
      <c r="U4186" t="s">
        <v>12620</v>
      </c>
      <c r="V4186" t="s">
        <v>12620</v>
      </c>
      <c r="W4186" t="s">
        <v>16755</v>
      </c>
      <c r="X4186">
        <v>2</v>
      </c>
      <c r="Y4186" t="s">
        <v>22874</v>
      </c>
      <c r="Z4186" t="s">
        <v>29133</v>
      </c>
      <c r="AA4186">
        <v>0.60056371417659771</v>
      </c>
      <c r="AB4186" t="str">
        <f>HYPERLINK("Melting_Curves/meltCurve_Q8N883_ZNF614.pdf", "Melting_Curves/meltCurve_Q8N883_ZNF614.pdf")</f>
        <v>Melting_Curves/meltCurve_Q8N883_ZNF614.pdf</v>
      </c>
    </row>
    <row r="4187" spans="1:28" x14ac:dyDescent="0.25">
      <c r="A4187" t="s">
        <v>4191</v>
      </c>
      <c r="B4187">
        <v>0.99987803227770999</v>
      </c>
      <c r="C4187">
        <v>1.1475230103707399</v>
      </c>
      <c r="D4187">
        <v>0.90082652629548998</v>
      </c>
      <c r="E4187">
        <v>1.35324051864564</v>
      </c>
      <c r="F4187">
        <v>0.71802630600269102</v>
      </c>
      <c r="G4187">
        <v>0.30111986811897601</v>
      </c>
      <c r="H4187">
        <v>0.209191854413595</v>
      </c>
      <c r="I4187">
        <v>0.17293599627461401</v>
      </c>
      <c r="J4187">
        <v>0.127670959205823</v>
      </c>
      <c r="K4187">
        <v>8.9913993487569704E-2</v>
      </c>
      <c r="L4187">
        <v>2600.7738605501399</v>
      </c>
      <c r="M4187">
        <v>48.035613694800503</v>
      </c>
      <c r="N4187">
        <v>54.588752761091399</v>
      </c>
      <c r="O4187">
        <v>54.049029622713398</v>
      </c>
      <c r="P4187">
        <v>-0.18611521292184899</v>
      </c>
      <c r="Q4187">
        <v>0.16234345031253999</v>
      </c>
      <c r="R4187">
        <v>0.90947063806608397</v>
      </c>
      <c r="S4187" t="s">
        <v>10498</v>
      </c>
      <c r="T4187" t="s">
        <v>12620</v>
      </c>
      <c r="U4187" t="s">
        <v>12620</v>
      </c>
      <c r="V4187" t="s">
        <v>12620</v>
      </c>
      <c r="W4187" t="s">
        <v>16756</v>
      </c>
      <c r="X4187">
        <v>1</v>
      </c>
      <c r="Y4187" t="s">
        <v>22875</v>
      </c>
      <c r="Z4187" t="s">
        <v>29134</v>
      </c>
      <c r="AA4187">
        <v>0.55939947007750712</v>
      </c>
      <c r="AB4187" t="str">
        <f>HYPERLINK("Melting_Curves/meltCurve_Q8N8A2_ANKRD44.pdf", "Melting_Curves/meltCurve_Q8N8A2_ANKRD44.pdf")</f>
        <v>Melting_Curves/meltCurve_Q8N8A2_ANKRD44.pdf</v>
      </c>
    </row>
    <row r="4188" spans="1:28" x14ac:dyDescent="0.25">
      <c r="A4188" t="s">
        <v>4192</v>
      </c>
      <c r="B4188">
        <v>0.99987803227770999</v>
      </c>
      <c r="C4188">
        <v>0.54205059505600695</v>
      </c>
      <c r="D4188">
        <v>1.09891269353666</v>
      </c>
      <c r="E4188">
        <v>0.57620780426558305</v>
      </c>
      <c r="F4188">
        <v>0.79728728360140999</v>
      </c>
      <c r="G4188">
        <v>0.74387150770440802</v>
      </c>
      <c r="H4188">
        <v>0.68567270042704298</v>
      </c>
      <c r="I4188">
        <v>0.76854936399875795</v>
      </c>
      <c r="J4188">
        <v>0.57765442818941704</v>
      </c>
      <c r="K4188">
        <v>0.40859347772127602</v>
      </c>
      <c r="L4188">
        <v>176.47653913899799</v>
      </c>
      <c r="M4188">
        <v>2.2733064946166599</v>
      </c>
      <c r="O4188">
        <v>49.722699816839501</v>
      </c>
      <c r="P4188">
        <v>-1.21785667896919E-2</v>
      </c>
      <c r="Q4188">
        <v>0</v>
      </c>
      <c r="R4188">
        <v>0.29842753559926</v>
      </c>
      <c r="S4188" t="s">
        <v>10499</v>
      </c>
      <c r="T4188" t="s">
        <v>12620</v>
      </c>
      <c r="U4188" t="s">
        <v>12620</v>
      </c>
      <c r="V4188" t="s">
        <v>12620</v>
      </c>
      <c r="W4188" t="s">
        <v>16757</v>
      </c>
      <c r="X4188">
        <v>2</v>
      </c>
      <c r="Y4188" t="s">
        <v>22876</v>
      </c>
      <c r="Z4188" t="s">
        <v>29135</v>
      </c>
      <c r="AA4188">
        <v>0.72206597502669567</v>
      </c>
      <c r="AB4188" t="str">
        <f>HYPERLINK("Melting_Curves/meltCurve_Q8N8A6_DDX51.pdf", "Melting_Curves/meltCurve_Q8N8A6_DDX51.pdf")</f>
        <v>Melting_Curves/meltCurve_Q8N8A6_DDX51.pdf</v>
      </c>
    </row>
    <row r="4189" spans="1:28" x14ac:dyDescent="0.25">
      <c r="A4189" t="s">
        <v>4193</v>
      </c>
      <c r="B4189">
        <v>0.99987803227770999</v>
      </c>
      <c r="C4189">
        <v>0.926418933897593</v>
      </c>
      <c r="D4189">
        <v>0.995262019111114</v>
      </c>
      <c r="E4189">
        <v>0.38190948762835097</v>
      </c>
      <c r="F4189">
        <v>0.24727838482519299</v>
      </c>
      <c r="G4189">
        <v>0.17359100108891701</v>
      </c>
      <c r="H4189">
        <v>0.13569542216715799</v>
      </c>
      <c r="I4189">
        <v>0.104524099956755</v>
      </c>
      <c r="J4189">
        <v>9.4767854172005603E-2</v>
      </c>
      <c r="K4189">
        <v>6.2996920585692007E-2</v>
      </c>
      <c r="L4189">
        <v>1938.17757286344</v>
      </c>
      <c r="M4189">
        <v>39.471848720554597</v>
      </c>
      <c r="N4189">
        <v>49.461605982350797</v>
      </c>
      <c r="O4189">
        <v>48.977254513014501</v>
      </c>
      <c r="P4189">
        <v>-0.17639709016762001</v>
      </c>
      <c r="Q4189">
        <v>0.12449742358612401</v>
      </c>
      <c r="R4189">
        <v>0.98463998210852399</v>
      </c>
      <c r="S4189" t="s">
        <v>10500</v>
      </c>
      <c r="T4189" t="s">
        <v>12620</v>
      </c>
      <c r="U4189" t="s">
        <v>12620</v>
      </c>
      <c r="V4189" t="s">
        <v>12620</v>
      </c>
      <c r="W4189" t="s">
        <v>16758</v>
      </c>
      <c r="X4189">
        <v>6</v>
      </c>
      <c r="Y4189" t="s">
        <v>22877</v>
      </c>
      <c r="Z4189" t="s">
        <v>29136</v>
      </c>
      <c r="AA4189">
        <v>0.3932032504331448</v>
      </c>
      <c r="AB4189" t="str">
        <f>HYPERLINK("Melting_Curves/meltCurve_Q8N8N7_PTGR2.pdf", "Melting_Curves/meltCurve_Q8N8N7_PTGR2.pdf")</f>
        <v>Melting_Curves/meltCurve_Q8N8N7_PTGR2.pdf</v>
      </c>
    </row>
    <row r="4190" spans="1:28" x14ac:dyDescent="0.25">
      <c r="A4190" t="s">
        <v>4194</v>
      </c>
      <c r="B4190">
        <v>0.99987803227770999</v>
      </c>
      <c r="C4190">
        <v>0.926670003309639</v>
      </c>
      <c r="D4190">
        <v>1.0333492766735799</v>
      </c>
      <c r="E4190">
        <v>0.97880087239140301</v>
      </c>
      <c r="F4190">
        <v>1.13717086793904</v>
      </c>
      <c r="G4190">
        <v>0.77786590365492003</v>
      </c>
      <c r="H4190">
        <v>0.102554414938927</v>
      </c>
      <c r="I4190">
        <v>7.8627983646093594E-2</v>
      </c>
      <c r="J4190">
        <v>3.8981676494532699E-2</v>
      </c>
      <c r="K4190">
        <v>3.4358656622608702E-2</v>
      </c>
      <c r="L4190">
        <v>3646.3944472421399</v>
      </c>
      <c r="M4190">
        <v>62.764466724039501</v>
      </c>
      <c r="N4190">
        <v>58.196731304948997</v>
      </c>
      <c r="O4190">
        <v>58.037598230850598</v>
      </c>
      <c r="P4190">
        <v>-0.25650777702884597</v>
      </c>
      <c r="Q4190">
        <v>5.1241055323178401E-2</v>
      </c>
      <c r="R4190">
        <v>0.98673580113503501</v>
      </c>
      <c r="S4190" t="s">
        <v>10501</v>
      </c>
      <c r="T4190" t="s">
        <v>12620</v>
      </c>
      <c r="U4190" t="s">
        <v>12620</v>
      </c>
      <c r="V4190" t="s">
        <v>12620</v>
      </c>
      <c r="W4190" t="s">
        <v>16759</v>
      </c>
      <c r="X4190">
        <v>7</v>
      </c>
      <c r="Y4190" t="s">
        <v>22878</v>
      </c>
      <c r="Z4190" t="s">
        <v>29137</v>
      </c>
      <c r="AA4190">
        <v>0.62508635008008551</v>
      </c>
      <c r="AB4190" t="str">
        <f>HYPERLINK("Melting_Curves/meltCurve_Q8N8R5_C2orf69.pdf", "Melting_Curves/meltCurve_Q8N8R5_C2orf69.pdf")</f>
        <v>Melting_Curves/meltCurve_Q8N8R5_C2orf69.pdf</v>
      </c>
    </row>
    <row r="4191" spans="1:28" x14ac:dyDescent="0.25">
      <c r="A4191" t="s">
        <v>4195</v>
      </c>
      <c r="B4191">
        <v>0.99987803227770999</v>
      </c>
      <c r="C4191">
        <v>1.22244211420659</v>
      </c>
      <c r="D4191">
        <v>0.81411700617510896</v>
      </c>
      <c r="E4191">
        <v>0.51169420328169102</v>
      </c>
      <c r="F4191">
        <v>0.29805146849387698</v>
      </c>
      <c r="G4191">
        <v>0.19801784566925801</v>
      </c>
      <c r="H4191">
        <v>0.16730054121069099</v>
      </c>
      <c r="I4191">
        <v>0.154730368240072</v>
      </c>
      <c r="J4191">
        <v>0.123919717518232</v>
      </c>
      <c r="K4191">
        <v>0.123292022203257</v>
      </c>
      <c r="L4191">
        <v>1212.84999344788</v>
      </c>
      <c r="M4191">
        <v>24.539487485430801</v>
      </c>
      <c r="N4191">
        <v>50.1296885366068</v>
      </c>
      <c r="O4191">
        <v>49.099711352344499</v>
      </c>
      <c r="P4191">
        <v>-0.106709016411781</v>
      </c>
      <c r="Q4191">
        <v>0.145979546662594</v>
      </c>
      <c r="R4191">
        <v>0.95650763388767501</v>
      </c>
      <c r="S4191" t="s">
        <v>10502</v>
      </c>
      <c r="T4191" t="s">
        <v>12620</v>
      </c>
      <c r="U4191" t="s">
        <v>12620</v>
      </c>
      <c r="V4191" t="s">
        <v>12620</v>
      </c>
      <c r="W4191" t="s">
        <v>16760</v>
      </c>
      <c r="X4191">
        <v>2</v>
      </c>
      <c r="Y4191" t="s">
        <v>22879</v>
      </c>
      <c r="Z4191" t="s">
        <v>29138</v>
      </c>
      <c r="AA4191">
        <v>0.42215292289992162</v>
      </c>
      <c r="AB4191" t="str">
        <f>HYPERLINK("Melting_Curves/meltCurve_Q8N8R7_ARL14EP.pdf", "Melting_Curves/meltCurve_Q8N8R7_ARL14EP.pdf")</f>
        <v>Melting_Curves/meltCurve_Q8N8R7_ARL14EP.pdf</v>
      </c>
    </row>
    <row r="4192" spans="1:28" x14ac:dyDescent="0.25">
      <c r="A4192" t="s">
        <v>4196</v>
      </c>
      <c r="B4192">
        <v>0.99987803227770999</v>
      </c>
      <c r="C4192">
        <v>1.0339435111519499</v>
      </c>
      <c r="D4192">
        <v>0.99325256881138702</v>
      </c>
      <c r="E4192">
        <v>1.0893316568672</v>
      </c>
      <c r="F4192">
        <v>0.92576764868769801</v>
      </c>
      <c r="G4192">
        <v>0.92055507120450497</v>
      </c>
      <c r="H4192">
        <v>0.75329880343342603</v>
      </c>
      <c r="I4192">
        <v>0.62841163711799597</v>
      </c>
      <c r="J4192">
        <v>0.49851450192827901</v>
      </c>
      <c r="K4192">
        <v>0.34551658311783601</v>
      </c>
      <c r="L4192">
        <v>930.34022269333104</v>
      </c>
      <c r="M4192">
        <v>14.146560168152099</v>
      </c>
      <c r="N4192">
        <v>66.593464603353297</v>
      </c>
      <c r="O4192">
        <v>64.492139353396894</v>
      </c>
      <c r="P4192">
        <v>-5.0417085768899701E-2</v>
      </c>
      <c r="Q4192">
        <v>8.07399989484551E-2</v>
      </c>
      <c r="R4192">
        <v>0.97532001784757005</v>
      </c>
      <c r="S4192" t="s">
        <v>10503</v>
      </c>
      <c r="T4192" t="s">
        <v>12620</v>
      </c>
      <c r="U4192" t="s">
        <v>12620</v>
      </c>
      <c r="V4192" t="s">
        <v>12620</v>
      </c>
      <c r="W4192" t="s">
        <v>16761</v>
      </c>
      <c r="X4192">
        <v>24</v>
      </c>
      <c r="Y4192" t="s">
        <v>22880</v>
      </c>
      <c r="Z4192" t="s">
        <v>29139</v>
      </c>
      <c r="AA4192">
        <v>0.83618080484625923</v>
      </c>
      <c r="AB4192" t="str">
        <f>HYPERLINK("Melting_Curves/meltCurve_Q8N8S7_ENAH.pdf", "Melting_Curves/meltCurve_Q8N8S7_ENAH.pdf")</f>
        <v>Melting_Curves/meltCurve_Q8N8S7_ENAH.pdf</v>
      </c>
    </row>
    <row r="4193" spans="1:28" x14ac:dyDescent="0.25">
      <c r="A4193" t="s">
        <v>4197</v>
      </c>
      <c r="B4193">
        <v>0.99987803227770999</v>
      </c>
      <c r="C4193">
        <v>1.5699983561700399</v>
      </c>
      <c r="D4193">
        <v>1.0358836798084901</v>
      </c>
      <c r="E4193">
        <v>1.4132751900964999</v>
      </c>
      <c r="F4193">
        <v>0.77125837260096897</v>
      </c>
      <c r="G4193">
        <v>0.56529153930912002</v>
      </c>
      <c r="H4193">
        <v>0.582673814459162</v>
      </c>
      <c r="I4193">
        <v>0.428155641864706</v>
      </c>
      <c r="J4193">
        <v>0.374725538809419</v>
      </c>
      <c r="K4193">
        <v>0.27287988662831503</v>
      </c>
      <c r="L4193">
        <v>1702.6316058663001</v>
      </c>
      <c r="M4193">
        <v>30.6313429220214</v>
      </c>
      <c r="N4193">
        <v>58.5408330048473</v>
      </c>
      <c r="O4193">
        <v>55.349327648873</v>
      </c>
      <c r="P4193">
        <v>-8.39071832122123E-2</v>
      </c>
      <c r="Q4193">
        <v>0.39353905216021101</v>
      </c>
      <c r="R4193">
        <v>0.67897136180588002</v>
      </c>
      <c r="S4193" t="s">
        <v>10504</v>
      </c>
      <c r="T4193" t="s">
        <v>12620</v>
      </c>
      <c r="U4193" t="s">
        <v>12620</v>
      </c>
      <c r="V4193" t="s">
        <v>12620</v>
      </c>
      <c r="W4193" t="s">
        <v>16762</v>
      </c>
      <c r="X4193">
        <v>24</v>
      </c>
      <c r="Y4193" t="s">
        <v>22880</v>
      </c>
      <c r="Z4193" t="s">
        <v>29140</v>
      </c>
      <c r="AA4193">
        <v>0.71247205031599303</v>
      </c>
      <c r="AB4193" t="str">
        <f>HYPERLINK("Melting_Curves/meltCurve_Q8N8S7_2_ENAH.pdf", "Melting_Curves/meltCurve_Q8N8S7_2_ENAH.pdf")</f>
        <v>Melting_Curves/meltCurve_Q8N8S7_2_ENAH.pdf</v>
      </c>
    </row>
    <row r="4194" spans="1:28" x14ac:dyDescent="0.25">
      <c r="A4194" t="s">
        <v>4198</v>
      </c>
      <c r="B4194">
        <v>0.99987803227770999</v>
      </c>
      <c r="C4194">
        <v>0.81449508023035799</v>
      </c>
      <c r="D4194">
        <v>0.91042629868314695</v>
      </c>
      <c r="E4194">
        <v>1.01522238820699</v>
      </c>
      <c r="F4194">
        <v>1.4425350432709301</v>
      </c>
      <c r="G4194">
        <v>0.97548097306544101</v>
      </c>
      <c r="H4194">
        <v>1.0688114631624099</v>
      </c>
      <c r="I4194">
        <v>0.84025185635289001</v>
      </c>
      <c r="J4194">
        <v>0.91605663584943198</v>
      </c>
      <c r="K4194">
        <v>0.68896641100868405</v>
      </c>
      <c r="L4194">
        <v>1580.63708017307</v>
      </c>
      <c r="M4194">
        <v>21.736674748013101</v>
      </c>
      <c r="Q4194">
        <v>0</v>
      </c>
      <c r="R4194">
        <v>0.27905844264727497</v>
      </c>
      <c r="S4194" t="s">
        <v>10505</v>
      </c>
      <c r="T4194" t="s">
        <v>12620</v>
      </c>
      <c r="U4194" t="s">
        <v>12620</v>
      </c>
      <c r="V4194" t="s">
        <v>12620</v>
      </c>
      <c r="W4194" t="s">
        <v>16763</v>
      </c>
      <c r="X4194">
        <v>4</v>
      </c>
      <c r="Y4194" t="s">
        <v>22881</v>
      </c>
      <c r="Z4194" t="s">
        <v>29141</v>
      </c>
      <c r="AA4194">
        <v>0.96619124065742901</v>
      </c>
      <c r="AB4194" t="str">
        <f>HYPERLINK("Melting_Curves/meltCurve_Q8N954_GPATCH11.pdf", "Melting_Curves/meltCurve_Q8N954_GPATCH11.pdf")</f>
        <v>Melting_Curves/meltCurve_Q8N954_GPATCH11.pdf</v>
      </c>
    </row>
    <row r="4195" spans="1:28" x14ac:dyDescent="0.25">
      <c r="A4195" t="s">
        <v>4199</v>
      </c>
      <c r="B4195">
        <v>0.99987803227770999</v>
      </c>
      <c r="C4195">
        <v>1.2923251782723699</v>
      </c>
      <c r="D4195">
        <v>1.01614628159386</v>
      </c>
      <c r="E4195">
        <v>0.80251672220499104</v>
      </c>
      <c r="F4195">
        <v>0.730695779781937</v>
      </c>
      <c r="G4195">
        <v>0.50382686624024497</v>
      </c>
      <c r="H4195">
        <v>0.16955112547771301</v>
      </c>
      <c r="I4195">
        <v>0.13992483247594201</v>
      </c>
      <c r="J4195">
        <v>2.8378724160326399E-2</v>
      </c>
      <c r="K4195">
        <v>1.8256106086762602E-2</v>
      </c>
      <c r="L4195">
        <v>948.64994454979205</v>
      </c>
      <c r="M4195">
        <v>16.865421624003901</v>
      </c>
      <c r="N4195">
        <v>56.248219914603602</v>
      </c>
      <c r="O4195">
        <v>55.4752771535112</v>
      </c>
      <c r="P4195">
        <v>-7.60090716121751E-2</v>
      </c>
      <c r="Q4195">
        <v>0</v>
      </c>
      <c r="R4195">
        <v>0.94545579077226305</v>
      </c>
      <c r="S4195" t="s">
        <v>10506</v>
      </c>
      <c r="T4195" t="s">
        <v>12620</v>
      </c>
      <c r="U4195" t="s">
        <v>12620</v>
      </c>
      <c r="V4195" t="s">
        <v>12620</v>
      </c>
      <c r="W4195" t="s">
        <v>16764</v>
      </c>
      <c r="X4195">
        <v>1</v>
      </c>
      <c r="Y4195" t="s">
        <v>22882</v>
      </c>
      <c r="Z4195" t="s">
        <v>29142</v>
      </c>
      <c r="AA4195">
        <v>0.55717179576251374</v>
      </c>
      <c r="AB4195" t="str">
        <f>HYPERLINK("Melting_Curves/meltCurve_Q8N961_2_ABTB2.pdf", "Melting_Curves/meltCurve_Q8N961_2_ABTB2.pdf")</f>
        <v>Melting_Curves/meltCurve_Q8N961_2_ABTB2.pdf</v>
      </c>
    </row>
    <row r="4196" spans="1:28" x14ac:dyDescent="0.25">
      <c r="A4196" t="s">
        <v>4200</v>
      </c>
      <c r="B4196">
        <v>0.99987803227770999</v>
      </c>
      <c r="C4196">
        <v>0.93667628512082701</v>
      </c>
      <c r="D4196">
        <v>0.95260276579074599</v>
      </c>
      <c r="E4196">
        <v>0.821191666225769</v>
      </c>
      <c r="F4196">
        <v>0.75989363734632198</v>
      </c>
      <c r="G4196">
        <v>0.37492717025984301</v>
      </c>
      <c r="H4196">
        <v>0.1705593778657</v>
      </c>
      <c r="I4196">
        <v>0.119267899079975</v>
      </c>
      <c r="J4196">
        <v>9.7099007102333504E-2</v>
      </c>
      <c r="K4196">
        <v>6.0260681756029499E-2</v>
      </c>
      <c r="L4196">
        <v>985.58106392342995</v>
      </c>
      <c r="M4196">
        <v>17.8193203717404</v>
      </c>
      <c r="N4196">
        <v>55.558910527664104</v>
      </c>
      <c r="O4196">
        <v>54.627219509416399</v>
      </c>
      <c r="P4196">
        <v>-7.8421162578170805E-2</v>
      </c>
      <c r="Q4196">
        <v>3.8412233625976101E-2</v>
      </c>
      <c r="R4196">
        <v>0.99180465724533795</v>
      </c>
      <c r="S4196" t="s">
        <v>10507</v>
      </c>
      <c r="T4196" t="s">
        <v>12620</v>
      </c>
      <c r="U4196" t="s">
        <v>12620</v>
      </c>
      <c r="V4196" t="s">
        <v>12620</v>
      </c>
      <c r="W4196" t="s">
        <v>16765</v>
      </c>
      <c r="X4196">
        <v>5</v>
      </c>
      <c r="Y4196" t="s">
        <v>22883</v>
      </c>
      <c r="Z4196" t="s">
        <v>29143</v>
      </c>
      <c r="AA4196">
        <v>0.54400528244536028</v>
      </c>
      <c r="AB4196" t="str">
        <f>HYPERLINK("Melting_Curves/meltCurve_Q8N999_C12orf29.pdf", "Melting_Curves/meltCurve_Q8N999_C12orf29.pdf")</f>
        <v>Melting_Curves/meltCurve_Q8N999_C12orf29.pdf</v>
      </c>
    </row>
    <row r="4197" spans="1:28" x14ac:dyDescent="0.25">
      <c r="A4197" t="s">
        <v>4201</v>
      </c>
      <c r="B4197">
        <v>0.99987803227770999</v>
      </c>
      <c r="C4197">
        <v>1.09055893401769</v>
      </c>
      <c r="D4197">
        <v>0.907743920527466</v>
      </c>
      <c r="E4197">
        <v>0.73870244677171604</v>
      </c>
      <c r="F4197">
        <v>0.48464708071387602</v>
      </c>
      <c r="G4197">
        <v>0.37980012264478102</v>
      </c>
      <c r="H4197">
        <v>0.30066431271872102</v>
      </c>
      <c r="I4197">
        <v>0.39101634052317302</v>
      </c>
      <c r="J4197">
        <v>0.187931167844755</v>
      </c>
      <c r="K4197">
        <v>0.19839837919942399</v>
      </c>
      <c r="L4197">
        <v>978.52437421929699</v>
      </c>
      <c r="M4197">
        <v>19.0319489823558</v>
      </c>
      <c r="N4197">
        <v>53.396632784148203</v>
      </c>
      <c r="O4197">
        <v>50.857277911838601</v>
      </c>
      <c r="P4197">
        <v>-6.9862309525676305E-2</v>
      </c>
      <c r="Q4197">
        <v>0.25328377851281098</v>
      </c>
      <c r="R4197">
        <v>0.963117099456549</v>
      </c>
      <c r="S4197" t="s">
        <v>10508</v>
      </c>
      <c r="T4197" t="s">
        <v>12620</v>
      </c>
      <c r="U4197" t="s">
        <v>12620</v>
      </c>
      <c r="V4197" t="s">
        <v>12620</v>
      </c>
      <c r="W4197" t="s">
        <v>16766</v>
      </c>
      <c r="X4197">
        <v>1</v>
      </c>
      <c r="Y4197" t="s">
        <v>22884</v>
      </c>
      <c r="Z4197" t="s">
        <v>29144</v>
      </c>
      <c r="AA4197">
        <v>0.54873925963440151</v>
      </c>
      <c r="AB4197" t="str">
        <f>HYPERLINK("Melting_Curves/meltCurve_Q8N9B5_2_JMY.pdf", "Melting_Curves/meltCurve_Q8N9B5_2_JMY.pdf")</f>
        <v>Melting_Curves/meltCurve_Q8N9B5_2_JMY.pdf</v>
      </c>
    </row>
    <row r="4198" spans="1:28" x14ac:dyDescent="0.25">
      <c r="A4198" t="s">
        <v>4202</v>
      </c>
      <c r="B4198">
        <v>0.99987803227770999</v>
      </c>
      <c r="C4198">
        <v>0.71513943378384703</v>
      </c>
      <c r="D4198">
        <v>1.03155855621225</v>
      </c>
      <c r="E4198">
        <v>0.668530101460583</v>
      </c>
      <c r="F4198">
        <v>0.99622674209780804</v>
      </c>
      <c r="G4198">
        <v>0.64230985328121704</v>
      </c>
      <c r="H4198">
        <v>0.65765723816976096</v>
      </c>
      <c r="I4198">
        <v>0.69226391897984096</v>
      </c>
      <c r="J4198">
        <v>0.58581045172726598</v>
      </c>
      <c r="K4198">
        <v>0.57743326987782595</v>
      </c>
      <c r="L4198">
        <v>218.55433620103699</v>
      </c>
      <c r="M4198">
        <v>2.8170509288422201</v>
      </c>
      <c r="O4198">
        <v>55.511728550584401</v>
      </c>
      <c r="P4198">
        <v>-1.31553531709295E-2</v>
      </c>
      <c r="Q4198">
        <v>0</v>
      </c>
      <c r="R4198">
        <v>0.49502148033131499</v>
      </c>
      <c r="S4198" t="s">
        <v>10509</v>
      </c>
      <c r="T4198" t="s">
        <v>12620</v>
      </c>
      <c r="U4198" t="s">
        <v>12620</v>
      </c>
      <c r="V4198" t="s">
        <v>12620</v>
      </c>
      <c r="W4198" t="s">
        <v>16767</v>
      </c>
      <c r="X4198">
        <v>1</v>
      </c>
      <c r="Y4198" t="s">
        <v>22885</v>
      </c>
      <c r="Z4198" t="s">
        <v>29145</v>
      </c>
      <c r="AA4198">
        <v>0.75922665473855389</v>
      </c>
      <c r="AB4198" t="str">
        <f>HYPERLINK("Melting_Curves/meltCurve_Q8N9M1_2_C19orf47.pdf", "Melting_Curves/meltCurve_Q8N9M1_2_C19orf47.pdf")</f>
        <v>Melting_Curves/meltCurve_Q8N9M1_2_C19orf47.pdf</v>
      </c>
    </row>
    <row r="4199" spans="1:28" x14ac:dyDescent="0.25">
      <c r="A4199" t="s">
        <v>4203</v>
      </c>
      <c r="B4199">
        <v>0.99987803227770999</v>
      </c>
      <c r="C4199">
        <v>0.92752641685315496</v>
      </c>
      <c r="D4199">
        <v>0.77328581316631395</v>
      </c>
      <c r="E4199">
        <v>0.44602764547225898</v>
      </c>
      <c r="F4199">
        <v>0.32116444894898699</v>
      </c>
      <c r="G4199">
        <v>0.20555342759357201</v>
      </c>
      <c r="H4199">
        <v>0.22361423402896999</v>
      </c>
      <c r="I4199">
        <v>0.22326030091332699</v>
      </c>
      <c r="J4199">
        <v>0.12699825053166999</v>
      </c>
      <c r="K4199">
        <v>9.82136573698624E-2</v>
      </c>
      <c r="L4199">
        <v>856.66702275823695</v>
      </c>
      <c r="M4199">
        <v>17.664344579597401</v>
      </c>
      <c r="N4199">
        <v>49.5381268683863</v>
      </c>
      <c r="O4199">
        <v>47.888227128637901</v>
      </c>
      <c r="P4199">
        <v>-7.7920869089766295E-2</v>
      </c>
      <c r="Q4199">
        <v>0.155067664495569</v>
      </c>
      <c r="R4199">
        <v>0.98910041609809796</v>
      </c>
      <c r="S4199" t="s">
        <v>10510</v>
      </c>
      <c r="T4199" t="s">
        <v>12620</v>
      </c>
      <c r="U4199" t="s">
        <v>12620</v>
      </c>
      <c r="V4199" t="s">
        <v>12620</v>
      </c>
      <c r="W4199" t="s">
        <v>16768</v>
      </c>
      <c r="X4199">
        <v>2</v>
      </c>
      <c r="Y4199" t="s">
        <v>22886</v>
      </c>
      <c r="Z4199" t="s">
        <v>29146</v>
      </c>
      <c r="AA4199">
        <v>0.40974981482902267</v>
      </c>
      <c r="AB4199" t="str">
        <f>HYPERLINK("Melting_Curves/meltCurve_Q8N9M5_TMEM102.pdf", "Melting_Curves/meltCurve_Q8N9M5_TMEM102.pdf")</f>
        <v>Melting_Curves/meltCurve_Q8N9M5_TMEM102.pdf</v>
      </c>
    </row>
    <row r="4200" spans="1:28" x14ac:dyDescent="0.25">
      <c r="A4200" t="s">
        <v>4204</v>
      </c>
      <c r="B4200">
        <v>0.99987803227770999</v>
      </c>
      <c r="C4200">
        <v>0.89869332846670602</v>
      </c>
      <c r="D4200">
        <v>1.0231002167965699</v>
      </c>
      <c r="E4200">
        <v>0.74716116904111196</v>
      </c>
      <c r="F4200">
        <v>0</v>
      </c>
      <c r="G4200">
        <v>0.107639557510685</v>
      </c>
      <c r="H4200">
        <v>5.9811859263193698E-2</v>
      </c>
      <c r="I4200">
        <v>6.0927509185094403E-2</v>
      </c>
      <c r="J4200">
        <v>3.19060847388963E-2</v>
      </c>
      <c r="K4200">
        <v>1.99539109076948E-2</v>
      </c>
      <c r="L4200">
        <v>12550.9487758498</v>
      </c>
      <c r="M4200">
        <v>250</v>
      </c>
      <c r="N4200">
        <v>50.223496397797703</v>
      </c>
      <c r="O4200">
        <v>50.200582398154999</v>
      </c>
      <c r="P4200">
        <v>-1.18685597424717</v>
      </c>
      <c r="Q4200">
        <v>4.6706223126650397E-2</v>
      </c>
      <c r="R4200">
        <v>0.99039063900312296</v>
      </c>
      <c r="S4200" t="s">
        <v>10511</v>
      </c>
      <c r="T4200" t="s">
        <v>12620</v>
      </c>
      <c r="U4200" t="s">
        <v>12620</v>
      </c>
      <c r="V4200" t="s">
        <v>12620</v>
      </c>
      <c r="W4200" t="s">
        <v>16769</v>
      </c>
      <c r="X4200">
        <v>3</v>
      </c>
      <c r="Y4200" t="s">
        <v>22887</v>
      </c>
      <c r="Z4200" t="s">
        <v>29147</v>
      </c>
      <c r="AA4200">
        <v>0.37103069395153448</v>
      </c>
      <c r="AB4200" t="str">
        <f>HYPERLINK("Melting_Curves/meltCurve_Q8N9N2_2_ASCC1.pdf", "Melting_Curves/meltCurve_Q8N9N2_2_ASCC1.pdf")</f>
        <v>Melting_Curves/meltCurve_Q8N9N2_2_ASCC1.pdf</v>
      </c>
    </row>
    <row r="4201" spans="1:28" x14ac:dyDescent="0.25">
      <c r="A4201" t="s">
        <v>4205</v>
      </c>
      <c r="B4201">
        <v>0.99987803227770999</v>
      </c>
      <c r="C4201">
        <v>0.998018507223014</v>
      </c>
      <c r="D4201">
        <v>0.81907399300134998</v>
      </c>
      <c r="E4201">
        <v>0.65332733437106805</v>
      </c>
      <c r="F4201">
        <v>0.34651654500343598</v>
      </c>
      <c r="G4201">
        <v>0.23042990126072599</v>
      </c>
      <c r="H4201">
        <v>0.15459752190737699</v>
      </c>
      <c r="I4201">
        <v>0.12864022675412101</v>
      </c>
      <c r="J4201">
        <v>0.102982042255576</v>
      </c>
      <c r="K4201">
        <v>6.9455971751147802E-2</v>
      </c>
      <c r="L4201">
        <v>844.74983843843597</v>
      </c>
      <c r="M4201">
        <v>16.617598401674599</v>
      </c>
      <c r="N4201">
        <v>51.416580427075601</v>
      </c>
      <c r="O4201">
        <v>50.115601223772899</v>
      </c>
      <c r="P4201">
        <v>-7.5795230229034394E-2</v>
      </c>
      <c r="Q4201">
        <v>8.5724255100532998E-2</v>
      </c>
      <c r="R4201">
        <v>0.99276689201944002</v>
      </c>
      <c r="S4201" t="s">
        <v>10512</v>
      </c>
      <c r="T4201" t="s">
        <v>12620</v>
      </c>
      <c r="U4201" t="s">
        <v>12620</v>
      </c>
      <c r="V4201" t="s">
        <v>12620</v>
      </c>
      <c r="W4201" t="s">
        <v>16770</v>
      </c>
      <c r="X4201">
        <v>2</v>
      </c>
      <c r="Y4201" t="s">
        <v>22888</v>
      </c>
      <c r="Z4201" t="s">
        <v>29148</v>
      </c>
      <c r="AA4201">
        <v>0.43372842574165132</v>
      </c>
      <c r="AB4201" t="str">
        <f>HYPERLINK("Melting_Curves/meltCurve_Q8N9N5_7_BANP.pdf", "Melting_Curves/meltCurve_Q8N9N5_7_BANP.pdf")</f>
        <v>Melting_Curves/meltCurve_Q8N9N5_7_BANP.pdf</v>
      </c>
    </row>
    <row r="4202" spans="1:28" x14ac:dyDescent="0.25">
      <c r="A4202" t="s">
        <v>4206</v>
      </c>
      <c r="B4202">
        <v>0.99987803227770999</v>
      </c>
      <c r="C4202">
        <v>0.886512854668424</v>
      </c>
      <c r="D4202">
        <v>0.97896543993945895</v>
      </c>
      <c r="E4202">
        <v>0.90922848563613701</v>
      </c>
      <c r="F4202">
        <v>1.03460372707023</v>
      </c>
      <c r="G4202">
        <v>0.756036685785895</v>
      </c>
      <c r="H4202">
        <v>0.76353166499709801</v>
      </c>
      <c r="I4202">
        <v>0.74493332253674305</v>
      </c>
      <c r="J4202">
        <v>0.69645392818670804</v>
      </c>
      <c r="K4202">
        <v>0.56030634043843097</v>
      </c>
      <c r="L4202">
        <v>406.92444618816103</v>
      </c>
      <c r="M4202">
        <v>5.4243808122560004</v>
      </c>
      <c r="O4202">
        <v>66.657642106290794</v>
      </c>
      <c r="P4202">
        <v>-2.0438240079877198E-2</v>
      </c>
      <c r="Q4202">
        <v>0</v>
      </c>
      <c r="R4202">
        <v>0.81311852410748997</v>
      </c>
      <c r="S4202" t="s">
        <v>10513</v>
      </c>
      <c r="T4202" t="s">
        <v>12620</v>
      </c>
      <c r="U4202" t="s">
        <v>12620</v>
      </c>
      <c r="V4202" t="s">
        <v>12620</v>
      </c>
      <c r="W4202" t="s">
        <v>16771</v>
      </c>
      <c r="X4202">
        <v>8</v>
      </c>
      <c r="Y4202" t="s">
        <v>22889</v>
      </c>
      <c r="Z4202" t="s">
        <v>29149</v>
      </c>
      <c r="AA4202">
        <v>0.84732630127536235</v>
      </c>
      <c r="AB4202" t="str">
        <f>HYPERLINK("Melting_Curves/meltCurve_Q8N9N8_EIF1AD.pdf", "Melting_Curves/meltCurve_Q8N9N8_EIF1AD.pdf")</f>
        <v>Melting_Curves/meltCurve_Q8N9N8_EIF1AD.pdf</v>
      </c>
    </row>
    <row r="4203" spans="1:28" x14ac:dyDescent="0.25">
      <c r="A4203" t="s">
        <v>4207</v>
      </c>
      <c r="B4203">
        <v>0.99987803227770999</v>
      </c>
      <c r="C4203">
        <v>1.0137596464518399</v>
      </c>
      <c r="D4203">
        <v>1.0204805853938099</v>
      </c>
      <c r="E4203">
        <v>1.00655274587371</v>
      </c>
      <c r="F4203">
        <v>1.04361521358122</v>
      </c>
      <c r="G4203">
        <v>0.92595447640948503</v>
      </c>
      <c r="H4203">
        <v>0.67707114663037404</v>
      </c>
      <c r="I4203">
        <v>0.32130828033077202</v>
      </c>
      <c r="J4203">
        <v>8.85904403679066E-2</v>
      </c>
      <c r="K4203">
        <v>6.6395372164435598E-2</v>
      </c>
      <c r="L4203">
        <v>1998.4399552088</v>
      </c>
      <c r="M4203">
        <v>32.076772936770098</v>
      </c>
      <c r="N4203">
        <v>62.384262417520802</v>
      </c>
      <c r="O4203">
        <v>62.061115978093397</v>
      </c>
      <c r="P4203">
        <v>-0.12653209226981799</v>
      </c>
      <c r="Q4203">
        <v>2.0763629099760299E-2</v>
      </c>
      <c r="R4203">
        <v>0.99683581841158198</v>
      </c>
      <c r="S4203" t="s">
        <v>10514</v>
      </c>
      <c r="T4203" t="s">
        <v>12620</v>
      </c>
      <c r="U4203" t="s">
        <v>12620</v>
      </c>
      <c r="V4203" t="s">
        <v>12620</v>
      </c>
      <c r="W4203" t="s">
        <v>16772</v>
      </c>
      <c r="X4203">
        <v>11</v>
      </c>
      <c r="Y4203" t="s">
        <v>22890</v>
      </c>
      <c r="Z4203" t="s">
        <v>29150</v>
      </c>
      <c r="AA4203">
        <v>0.75281227524396532</v>
      </c>
      <c r="AB4203" t="str">
        <f>HYPERLINK("Melting_Curves/meltCurve_Q8N9V3_WDSUB1.pdf", "Melting_Curves/meltCurve_Q8N9V3_WDSUB1.pdf")</f>
        <v>Melting_Curves/meltCurve_Q8N9V3_WDSUB1.pdf</v>
      </c>
    </row>
    <row r="4204" spans="1:28" x14ac:dyDescent="0.25">
      <c r="A4204" t="s">
        <v>4208</v>
      </c>
      <c r="B4204">
        <v>0.99987803227770999</v>
      </c>
      <c r="C4204">
        <v>1.1441239421370799</v>
      </c>
      <c r="D4204">
        <v>1.0670737346580701</v>
      </c>
      <c r="E4204">
        <v>1.11788991514348</v>
      </c>
      <c r="F4204">
        <v>0.906038330519084</v>
      </c>
      <c r="G4204">
        <v>0.798696590119373</v>
      </c>
      <c r="H4204">
        <v>0.97506842018664297</v>
      </c>
      <c r="I4204">
        <v>0.87191401248960199</v>
      </c>
      <c r="J4204">
        <v>0.91603311770328999</v>
      </c>
      <c r="K4204">
        <v>0.67266662368436303</v>
      </c>
      <c r="L4204">
        <v>677.36287280250497</v>
      </c>
      <c r="M4204">
        <v>8.6325325943543199</v>
      </c>
      <c r="Q4204">
        <v>0</v>
      </c>
      <c r="R4204">
        <v>0.51878788194110104</v>
      </c>
      <c r="S4204" t="s">
        <v>10515</v>
      </c>
      <c r="T4204" t="s">
        <v>12620</v>
      </c>
      <c r="U4204" t="s">
        <v>12620</v>
      </c>
      <c r="V4204" t="s">
        <v>12620</v>
      </c>
      <c r="W4204" t="s">
        <v>16773</v>
      </c>
      <c r="X4204">
        <v>11</v>
      </c>
      <c r="Y4204" t="s">
        <v>22891</v>
      </c>
      <c r="Z4204" t="s">
        <v>29151</v>
      </c>
      <c r="AA4204">
        <v>0.93975159862181357</v>
      </c>
      <c r="AB4204" t="str">
        <f>HYPERLINK("Melting_Curves/meltCurve_Q8NAF0_ZNF579.pdf", "Melting_Curves/meltCurve_Q8NAF0_ZNF579.pdf")</f>
        <v>Melting_Curves/meltCurve_Q8NAF0_ZNF579.pdf</v>
      </c>
    </row>
    <row r="4205" spans="1:28" x14ac:dyDescent="0.25">
      <c r="A4205" t="s">
        <v>4209</v>
      </c>
      <c r="B4205">
        <v>0.99987803227770999</v>
      </c>
      <c r="C4205">
        <v>0.96968753103626604</v>
      </c>
      <c r="D4205">
        <v>0.97736230680352298</v>
      </c>
      <c r="E4205">
        <v>0.84435035335237696</v>
      </c>
      <c r="F4205">
        <v>0.57238053838589897</v>
      </c>
      <c r="G4205">
        <v>0.368119792350033</v>
      </c>
      <c r="H4205">
        <v>0.29384548047345899</v>
      </c>
      <c r="I4205">
        <v>0.29259992296538001</v>
      </c>
      <c r="J4205">
        <v>0.20057897313846301</v>
      </c>
      <c r="K4205">
        <v>0.14327966647207399</v>
      </c>
      <c r="L4205">
        <v>996.27131124805805</v>
      </c>
      <c r="M4205">
        <v>18.741874933122801</v>
      </c>
      <c r="N4205">
        <v>54.617825333816</v>
      </c>
      <c r="O4205">
        <v>52.563407503756999</v>
      </c>
      <c r="P4205">
        <v>-7.1575776192732005E-2</v>
      </c>
      <c r="Q4205">
        <v>0.19706890007594599</v>
      </c>
      <c r="R4205">
        <v>0.98878793099344597</v>
      </c>
      <c r="S4205" t="s">
        <v>10516</v>
      </c>
      <c r="T4205" t="s">
        <v>12620</v>
      </c>
      <c r="U4205" t="s">
        <v>12620</v>
      </c>
      <c r="V4205" t="s">
        <v>12620</v>
      </c>
      <c r="W4205" t="s">
        <v>16774</v>
      </c>
      <c r="X4205">
        <v>2</v>
      </c>
      <c r="Y4205" t="s">
        <v>22892</v>
      </c>
      <c r="Z4205" t="s">
        <v>29152</v>
      </c>
      <c r="AA4205">
        <v>0.56150488376837571</v>
      </c>
      <c r="AB4205" t="str">
        <f>HYPERLINK("Melting_Curves/meltCurve_Q8NB15_2_ZNF511.pdf", "Melting_Curves/meltCurve_Q8NB15_2_ZNF511.pdf")</f>
        <v>Melting_Curves/meltCurve_Q8NB15_2_ZNF511.pdf</v>
      </c>
    </row>
    <row r="4206" spans="1:28" x14ac:dyDescent="0.25">
      <c r="A4206" t="s">
        <v>4210</v>
      </c>
      <c r="B4206">
        <v>0.99987803227770999</v>
      </c>
      <c r="C4206">
        <v>0.89473024673490698</v>
      </c>
      <c r="D4206">
        <v>0.89563694415091</v>
      </c>
      <c r="E4206">
        <v>0.39397200259460002</v>
      </c>
      <c r="F4206">
        <v>0.18347455320213801</v>
      </c>
      <c r="G4206">
        <v>0.117291843084739</v>
      </c>
      <c r="H4206">
        <v>9.2637264207169806E-2</v>
      </c>
      <c r="I4206">
        <v>8.4244575197707894E-2</v>
      </c>
      <c r="J4206">
        <v>7.0702230443337302E-2</v>
      </c>
      <c r="K4206">
        <v>5.0012065145408E-2</v>
      </c>
      <c r="L4206">
        <v>1329.19077321038</v>
      </c>
      <c r="M4206">
        <v>27.161316116603199</v>
      </c>
      <c r="N4206">
        <v>49.240668600476603</v>
      </c>
      <c r="O4206">
        <v>48.673956900840203</v>
      </c>
      <c r="P4206">
        <v>-0.12874687711643601</v>
      </c>
      <c r="Q4206">
        <v>7.7134904680051602E-2</v>
      </c>
      <c r="R4206">
        <v>0.99276687234039096</v>
      </c>
      <c r="S4206" t="s">
        <v>10517</v>
      </c>
      <c r="T4206" t="s">
        <v>12620</v>
      </c>
      <c r="U4206" t="s">
        <v>12620</v>
      </c>
      <c r="V4206" t="s">
        <v>12620</v>
      </c>
      <c r="W4206" t="s">
        <v>16775</v>
      </c>
      <c r="X4206">
        <v>21</v>
      </c>
      <c r="Y4206" t="s">
        <v>22893</v>
      </c>
      <c r="Z4206" t="s">
        <v>29153</v>
      </c>
      <c r="AA4206">
        <v>0.35894307995052238</v>
      </c>
      <c r="AB4206" t="str">
        <f>HYPERLINK("Melting_Curves/meltCurve_Q8NB16_MLKL.pdf", "Melting_Curves/meltCurve_Q8NB16_MLKL.pdf")</f>
        <v>Melting_Curves/meltCurve_Q8NB16_MLKL.pdf</v>
      </c>
    </row>
    <row r="4207" spans="1:28" x14ac:dyDescent="0.25">
      <c r="A4207" t="s">
        <v>4211</v>
      </c>
      <c r="B4207">
        <v>0.99987803227770999</v>
      </c>
      <c r="C4207">
        <v>1.3098569880012401</v>
      </c>
      <c r="D4207">
        <v>1.28999968208882</v>
      </c>
      <c r="E4207">
        <v>1.32159237393915</v>
      </c>
      <c r="F4207">
        <v>1.27755947007101</v>
      </c>
      <c r="G4207">
        <v>0.98083361223718502</v>
      </c>
      <c r="H4207">
        <v>0.73072729837634098</v>
      </c>
      <c r="I4207">
        <v>0.53681134156863097</v>
      </c>
      <c r="J4207">
        <v>0.364478104890051</v>
      </c>
      <c r="K4207">
        <v>0.248314577617024</v>
      </c>
      <c r="L4207">
        <v>1805.05184442113</v>
      </c>
      <c r="M4207">
        <v>28.729096790218001</v>
      </c>
      <c r="N4207">
        <v>64.226824383236504</v>
      </c>
      <c r="O4207">
        <v>62.528033696624199</v>
      </c>
      <c r="P4207">
        <v>-8.8181903032896497E-2</v>
      </c>
      <c r="Q4207">
        <v>0.232304681440858</v>
      </c>
      <c r="R4207">
        <v>0.76028805900167595</v>
      </c>
      <c r="S4207" t="s">
        <v>10518</v>
      </c>
      <c r="T4207" t="s">
        <v>12620</v>
      </c>
      <c r="U4207" t="s">
        <v>12620</v>
      </c>
      <c r="V4207" t="s">
        <v>12620</v>
      </c>
      <c r="W4207" t="s">
        <v>16776</v>
      </c>
      <c r="X4207">
        <v>6</v>
      </c>
      <c r="Y4207" t="s">
        <v>22894</v>
      </c>
      <c r="Z4207" t="s">
        <v>29154</v>
      </c>
      <c r="AA4207">
        <v>0.81915449668482032</v>
      </c>
      <c r="AB4207" t="str">
        <f>HYPERLINK("Melting_Curves/meltCurve_Q8NB37_PDDC1.pdf", "Melting_Curves/meltCurve_Q8NB37_PDDC1.pdf")</f>
        <v>Melting_Curves/meltCurve_Q8NB37_PDDC1.pdf</v>
      </c>
    </row>
    <row r="4208" spans="1:28" x14ac:dyDescent="0.25">
      <c r="A4208" t="s">
        <v>4212</v>
      </c>
      <c r="B4208">
        <v>0.99987803227770999</v>
      </c>
      <c r="C4208">
        <v>1.0528604911006101</v>
      </c>
      <c r="D4208">
        <v>0.79887348153893301</v>
      </c>
      <c r="E4208">
        <v>0.65240878219930898</v>
      </c>
      <c r="F4208">
        <v>0.31567394416993499</v>
      </c>
      <c r="G4208">
        <v>0.22822286545838599</v>
      </c>
      <c r="H4208">
        <v>0.117745426796071</v>
      </c>
      <c r="I4208">
        <v>0.11550001577097201</v>
      </c>
      <c r="J4208">
        <v>6.3875234028572106E-2</v>
      </c>
      <c r="K4208">
        <v>5.5914602059620302E-2</v>
      </c>
      <c r="L4208">
        <v>878.11603255692899</v>
      </c>
      <c r="M4208">
        <v>17.279533750487499</v>
      </c>
      <c r="N4208">
        <v>51.240771106401098</v>
      </c>
      <c r="O4208">
        <v>50.1522763940009</v>
      </c>
      <c r="P4208">
        <v>-8.0420927802351702E-2</v>
      </c>
      <c r="Q4208">
        <v>6.6395985064396104E-2</v>
      </c>
      <c r="R4208">
        <v>0.98462478880709603</v>
      </c>
      <c r="S4208" t="s">
        <v>10519</v>
      </c>
      <c r="T4208" t="s">
        <v>12620</v>
      </c>
      <c r="U4208" t="s">
        <v>12620</v>
      </c>
      <c r="V4208" t="s">
        <v>12620</v>
      </c>
      <c r="W4208" t="s">
        <v>16777</v>
      </c>
      <c r="X4208">
        <v>5</v>
      </c>
      <c r="Y4208" t="s">
        <v>22895</v>
      </c>
      <c r="Z4208" t="s">
        <v>29155</v>
      </c>
      <c r="AA4208">
        <v>0.42003333977730112</v>
      </c>
      <c r="AB4208" t="str">
        <f>HYPERLINK("Melting_Curves/meltCurve_Q8NB46_ANKRD52.pdf", "Melting_Curves/meltCurve_Q8NB46_ANKRD52.pdf")</f>
        <v>Melting_Curves/meltCurve_Q8NB46_ANKRD52.pdf</v>
      </c>
    </row>
    <row r="4209" spans="1:28" x14ac:dyDescent="0.25">
      <c r="A4209" t="s">
        <v>4213</v>
      </c>
      <c r="B4209">
        <v>0.99987803227770999</v>
      </c>
      <c r="C4209">
        <v>1.0873733915756401</v>
      </c>
      <c r="D4209">
        <v>0.81255412941954996</v>
      </c>
      <c r="E4209">
        <v>0.833771078924469</v>
      </c>
      <c r="F4209">
        <v>0.58483001379849398</v>
      </c>
      <c r="G4209">
        <v>0.37645153170594198</v>
      </c>
      <c r="H4209">
        <v>0.21631392285488199</v>
      </c>
      <c r="I4209">
        <v>0.165765208333127</v>
      </c>
      <c r="J4209">
        <v>0.110323815699252</v>
      </c>
      <c r="K4209">
        <v>0.10158767459248701</v>
      </c>
      <c r="L4209">
        <v>756.85930185126495</v>
      </c>
      <c r="M4209">
        <v>13.958731281339499</v>
      </c>
      <c r="N4209">
        <v>54.699664194145903</v>
      </c>
      <c r="O4209">
        <v>53.144740800883802</v>
      </c>
      <c r="P4209">
        <v>-6.1898469466880199E-2</v>
      </c>
      <c r="Q4209">
        <v>5.74678730527651E-2</v>
      </c>
      <c r="R4209">
        <v>0.97783618119677396</v>
      </c>
      <c r="S4209" t="s">
        <v>10520</v>
      </c>
      <c r="T4209" t="s">
        <v>12620</v>
      </c>
      <c r="U4209" t="s">
        <v>12620</v>
      </c>
      <c r="V4209" t="s">
        <v>12620</v>
      </c>
      <c r="W4209" t="s">
        <v>16778</v>
      </c>
      <c r="X4209">
        <v>2</v>
      </c>
      <c r="Y4209" t="s">
        <v>22896</v>
      </c>
      <c r="Z4209" t="s">
        <v>29156</v>
      </c>
      <c r="AA4209">
        <v>0.52501687278360676</v>
      </c>
      <c r="AB4209" t="str">
        <f>HYPERLINK("Melting_Curves/meltCurve_Q8NB78_KDM1B.pdf", "Melting_Curves/meltCurve_Q8NB78_KDM1B.pdf")</f>
        <v>Melting_Curves/meltCurve_Q8NB78_KDM1B.pdf</v>
      </c>
    </row>
    <row r="4210" spans="1:28" x14ac:dyDescent="0.25">
      <c r="A4210" t="s">
        <v>4214</v>
      </c>
      <c r="B4210">
        <v>0.99987803227770999</v>
      </c>
      <c r="C4210">
        <v>0.87483238497432803</v>
      </c>
      <c r="D4210">
        <v>0.92071252223913302</v>
      </c>
      <c r="E4210">
        <v>1.19214999016426</v>
      </c>
      <c r="F4210">
        <v>0.79039007054647703</v>
      </c>
      <c r="G4210">
        <v>0.85820633097834398</v>
      </c>
      <c r="H4210">
        <v>9.2468407268802094E-2</v>
      </c>
      <c r="I4210">
        <v>9.3893042566691107E-2</v>
      </c>
      <c r="J4210">
        <v>0</v>
      </c>
      <c r="K4210">
        <v>6.7152626617760003E-2</v>
      </c>
      <c r="L4210">
        <v>4013.1244400247001</v>
      </c>
      <c r="M4210">
        <v>68.694592646164494</v>
      </c>
      <c r="N4210">
        <v>58.510672179193399</v>
      </c>
      <c r="O4210">
        <v>58.370341191465897</v>
      </c>
      <c r="P4210">
        <v>-0.27933311165951102</v>
      </c>
      <c r="Q4210">
        <v>5.0593799701188803E-2</v>
      </c>
      <c r="R4210">
        <v>0.94505374725245495</v>
      </c>
      <c r="S4210" t="s">
        <v>10521</v>
      </c>
      <c r="T4210" t="s">
        <v>12620</v>
      </c>
      <c r="U4210" t="s">
        <v>12620</v>
      </c>
      <c r="V4210" t="s">
        <v>12620</v>
      </c>
      <c r="W4210" t="s">
        <v>16779</v>
      </c>
      <c r="X4210">
        <v>5</v>
      </c>
      <c r="Y4210" t="s">
        <v>22897</v>
      </c>
      <c r="Z4210" t="s">
        <v>29157</v>
      </c>
      <c r="AA4210">
        <v>0.63481516200008303</v>
      </c>
      <c r="AB4210" t="str">
        <f>HYPERLINK("Melting_Curves/meltCurve_Q8NB90_SPATA5.pdf", "Melting_Curves/meltCurve_Q8NB90_SPATA5.pdf")</f>
        <v>Melting_Curves/meltCurve_Q8NB90_SPATA5.pdf</v>
      </c>
    </row>
    <row r="4211" spans="1:28" x14ac:dyDescent="0.25">
      <c r="A4211" t="s">
        <v>4215</v>
      </c>
      <c r="B4211">
        <v>0.99987803227770999</v>
      </c>
      <c r="C4211">
        <v>1.0468145562975</v>
      </c>
      <c r="D4211">
        <v>1.00959234556384</v>
      </c>
      <c r="E4211">
        <v>0.71601905104695696</v>
      </c>
      <c r="F4211">
        <v>0.27187692561375498</v>
      </c>
      <c r="G4211">
        <v>0.20102355349214299</v>
      </c>
      <c r="H4211">
        <v>0.155604469202311</v>
      </c>
      <c r="I4211">
        <v>0.137775975762922</v>
      </c>
      <c r="J4211">
        <v>0.123655364489896</v>
      </c>
      <c r="K4211">
        <v>0.10138985293059501</v>
      </c>
      <c r="L4211">
        <v>2088.0889796168499</v>
      </c>
      <c r="M4211">
        <v>41.054424904774798</v>
      </c>
      <c r="N4211">
        <v>51.273403780677299</v>
      </c>
      <c r="O4211">
        <v>50.741275396111803</v>
      </c>
      <c r="P4211">
        <v>-0.17385933340950199</v>
      </c>
      <c r="Q4211">
        <v>0.14047520765423499</v>
      </c>
      <c r="R4211">
        <v>0.99529307762169394</v>
      </c>
      <c r="S4211" t="s">
        <v>10522</v>
      </c>
      <c r="T4211" t="s">
        <v>12620</v>
      </c>
      <c r="U4211" t="s">
        <v>12620</v>
      </c>
      <c r="V4211" t="s">
        <v>12620</v>
      </c>
      <c r="W4211" t="s">
        <v>16780</v>
      </c>
      <c r="X4211">
        <v>5</v>
      </c>
      <c r="Y4211" t="s">
        <v>22898</v>
      </c>
      <c r="Z4211" t="s">
        <v>29158</v>
      </c>
      <c r="AA4211">
        <v>0.45453317026408518</v>
      </c>
      <c r="AB4211" t="str">
        <f>HYPERLINK("Melting_Curves/meltCurve_Q8NBA8_DTWD2.pdf", "Melting_Curves/meltCurve_Q8NBA8_DTWD2.pdf")</f>
        <v>Melting_Curves/meltCurve_Q8NBA8_DTWD2.pdf</v>
      </c>
    </row>
    <row r="4212" spans="1:28" x14ac:dyDescent="0.25">
      <c r="A4212" t="s">
        <v>4216</v>
      </c>
      <c r="B4212">
        <v>0.99987803227770999</v>
      </c>
      <c r="C4212">
        <v>0.99893382046700696</v>
      </c>
      <c r="D4212">
        <v>0.98627137567650802</v>
      </c>
      <c r="E4212">
        <v>0.62302189532916397</v>
      </c>
      <c r="F4212">
        <v>0.26207109045017501</v>
      </c>
      <c r="G4212">
        <v>0.15199399746397399</v>
      </c>
      <c r="H4212">
        <v>8.8142229914791995E-2</v>
      </c>
      <c r="I4212">
        <v>7.2396117055125303E-2</v>
      </c>
      <c r="J4212">
        <v>5.8980363016875502E-2</v>
      </c>
      <c r="K4212">
        <v>4.4062849794935202E-2</v>
      </c>
      <c r="L4212">
        <v>1507.4111162076499</v>
      </c>
      <c r="M4212">
        <v>29.743688897127299</v>
      </c>
      <c r="N4212">
        <v>50.949547526103999</v>
      </c>
      <c r="O4212">
        <v>50.4526036588721</v>
      </c>
      <c r="P4212">
        <v>-0.136656774400852</v>
      </c>
      <c r="Q4212">
        <v>7.2792450197707498E-2</v>
      </c>
      <c r="R4212">
        <v>0.99739715332421597</v>
      </c>
      <c r="S4212" t="s">
        <v>10523</v>
      </c>
      <c r="T4212" t="s">
        <v>12620</v>
      </c>
      <c r="U4212" t="s">
        <v>12620</v>
      </c>
      <c r="V4212" t="s">
        <v>12620</v>
      </c>
      <c r="W4212" t="s">
        <v>16781</v>
      </c>
      <c r="X4212">
        <v>21</v>
      </c>
      <c r="Y4212" t="s">
        <v>22899</v>
      </c>
      <c r="Z4212" t="s">
        <v>29159</v>
      </c>
      <c r="AA4212">
        <v>0.40877933356796248</v>
      </c>
      <c r="AB4212" t="str">
        <f>HYPERLINK("Melting_Curves/meltCurve_Q8NBF2_NHLRC2.pdf", "Melting_Curves/meltCurve_Q8NBF2_NHLRC2.pdf")</f>
        <v>Melting_Curves/meltCurve_Q8NBF2_NHLRC2.pdf</v>
      </c>
    </row>
    <row r="4213" spans="1:28" x14ac:dyDescent="0.25">
      <c r="A4213" t="s">
        <v>4217</v>
      </c>
      <c r="B4213">
        <v>0.99987803227770999</v>
      </c>
      <c r="C4213">
        <v>1.00910331505492</v>
      </c>
      <c r="D4213">
        <v>1.0360968334557901</v>
      </c>
      <c r="E4213">
        <v>0.96072794810986695</v>
      </c>
      <c r="F4213">
        <v>0.85197205760679295</v>
      </c>
      <c r="G4213">
        <v>0.43533642932665101</v>
      </c>
      <c r="H4213">
        <v>0.14464938702392199</v>
      </c>
      <c r="I4213">
        <v>0.123594088427936</v>
      </c>
      <c r="J4213">
        <v>9.6528419348217806E-2</v>
      </c>
      <c r="K4213">
        <v>6.8739941678404998E-2</v>
      </c>
      <c r="L4213">
        <v>1611.60990502408</v>
      </c>
      <c r="M4213">
        <v>28.756885871846499</v>
      </c>
      <c r="N4213">
        <v>56.383854916428902</v>
      </c>
      <c r="O4213">
        <v>55.773671458972402</v>
      </c>
      <c r="P4213">
        <v>-0.118604743983346</v>
      </c>
      <c r="Q4213">
        <v>7.9876751367028695E-2</v>
      </c>
      <c r="R4213">
        <v>0.99849867502827105</v>
      </c>
      <c r="S4213" t="s">
        <v>10524</v>
      </c>
      <c r="T4213" t="s">
        <v>12620</v>
      </c>
      <c r="U4213" t="s">
        <v>12620</v>
      </c>
      <c r="V4213" t="s">
        <v>12620</v>
      </c>
      <c r="W4213" t="s">
        <v>16782</v>
      </c>
      <c r="X4213">
        <v>8</v>
      </c>
      <c r="Y4213" t="s">
        <v>22900</v>
      </c>
      <c r="Z4213" t="s">
        <v>29160</v>
      </c>
      <c r="AA4213">
        <v>0.57854074953514489</v>
      </c>
      <c r="AB4213" t="str">
        <f>HYPERLINK("Melting_Curves/meltCurve_Q8NBF6_AVL9.pdf", "Melting_Curves/meltCurve_Q8NBF6_AVL9.pdf")</f>
        <v>Melting_Curves/meltCurve_Q8NBF6_AVL9.pdf</v>
      </c>
    </row>
    <row r="4214" spans="1:28" x14ac:dyDescent="0.25">
      <c r="A4214" t="s">
        <v>4218</v>
      </c>
      <c r="B4214">
        <v>0.99987803227770999</v>
      </c>
      <c r="C4214">
        <v>0.88059454995138997</v>
      </c>
      <c r="D4214">
        <v>0.94739301595506997</v>
      </c>
      <c r="E4214">
        <v>0.81012696144903995</v>
      </c>
      <c r="F4214">
        <v>0.89687253292014502</v>
      </c>
      <c r="G4214">
        <v>0.73643251080529804</v>
      </c>
      <c r="H4214">
        <v>0.76149623700411695</v>
      </c>
      <c r="I4214">
        <v>0.573743522957888</v>
      </c>
      <c r="J4214">
        <v>0.63178833569239401</v>
      </c>
      <c r="K4214">
        <v>0.51466846180384795</v>
      </c>
      <c r="L4214">
        <v>307.05025064542599</v>
      </c>
      <c r="M4214">
        <v>4.2187454573578798</v>
      </c>
      <c r="O4214">
        <v>60.734766217367103</v>
      </c>
      <c r="P4214">
        <v>-1.75533284164948E-2</v>
      </c>
      <c r="Q4214">
        <v>0</v>
      </c>
      <c r="R4214">
        <v>0.88526046010858495</v>
      </c>
      <c r="S4214" t="s">
        <v>10525</v>
      </c>
      <c r="T4214" t="s">
        <v>12620</v>
      </c>
      <c r="U4214" t="s">
        <v>12620</v>
      </c>
      <c r="V4214" t="s">
        <v>12620</v>
      </c>
      <c r="W4214" t="s">
        <v>16783</v>
      </c>
      <c r="X4214">
        <v>3</v>
      </c>
      <c r="Y4214" t="s">
        <v>22901</v>
      </c>
      <c r="Z4214" t="s">
        <v>29161</v>
      </c>
      <c r="AA4214">
        <v>0.78234486488612986</v>
      </c>
      <c r="AB4214" t="str">
        <f>HYPERLINK("Melting_Curves/meltCurve_Q8NBJ4_2_GOLM1.pdf", "Melting_Curves/meltCurve_Q8NBJ4_2_GOLM1.pdf")</f>
        <v>Melting_Curves/meltCurve_Q8NBJ4_2_GOLM1.pdf</v>
      </c>
    </row>
    <row r="4215" spans="1:28" x14ac:dyDescent="0.25">
      <c r="A4215" t="s">
        <v>4219</v>
      </c>
      <c r="B4215">
        <v>0.99987803227770999</v>
      </c>
      <c r="C4215">
        <v>0.87320629390106197</v>
      </c>
      <c r="D4215">
        <v>0.61423945852679496</v>
      </c>
      <c r="E4215">
        <v>0.404097503400206</v>
      </c>
      <c r="F4215">
        <v>0.28977266115872102</v>
      </c>
      <c r="G4215">
        <v>0.224356077615287</v>
      </c>
      <c r="H4215">
        <v>0.17852405810771699</v>
      </c>
      <c r="I4215">
        <v>0.207199446192081</v>
      </c>
      <c r="J4215">
        <v>0.17418447465206899</v>
      </c>
      <c r="K4215">
        <v>0.12928709940430599</v>
      </c>
      <c r="L4215">
        <v>777.34835166335802</v>
      </c>
      <c r="M4215">
        <v>16.5616849009029</v>
      </c>
      <c r="N4215">
        <v>48.132902101353103</v>
      </c>
      <c r="O4215">
        <v>46.268269773484697</v>
      </c>
      <c r="P4215">
        <v>-7.4394115388489196E-2</v>
      </c>
      <c r="Q4215">
        <v>0.168719854068171</v>
      </c>
      <c r="R4215">
        <v>0.99194443561135903</v>
      </c>
      <c r="S4215" t="s">
        <v>10526</v>
      </c>
      <c r="T4215" t="s">
        <v>12620</v>
      </c>
      <c r="U4215" t="s">
        <v>12620</v>
      </c>
      <c r="V4215" t="s">
        <v>12620</v>
      </c>
      <c r="W4215" t="s">
        <v>16784</v>
      </c>
      <c r="X4215">
        <v>7</v>
      </c>
      <c r="Y4215" t="s">
        <v>22902</v>
      </c>
      <c r="Z4215" t="s">
        <v>29162</v>
      </c>
      <c r="AA4215">
        <v>0.37934414950294648</v>
      </c>
      <c r="AB4215" t="str">
        <f>HYPERLINK("Melting_Curves/meltCurve_Q8NBJ5_COLGALT1.pdf", "Melting_Curves/meltCurve_Q8NBJ5_COLGALT1.pdf")</f>
        <v>Melting_Curves/meltCurve_Q8NBJ5_COLGALT1.pdf</v>
      </c>
    </row>
    <row r="4216" spans="1:28" x14ac:dyDescent="0.25">
      <c r="A4216" t="s">
        <v>4220</v>
      </c>
      <c r="B4216">
        <v>0.99987803227770999</v>
      </c>
      <c r="C4216">
        <v>0.79613405142277105</v>
      </c>
      <c r="D4216">
        <v>0.70627439427110195</v>
      </c>
      <c r="E4216">
        <v>0.34368201772031398</v>
      </c>
      <c r="F4216">
        <v>0.15087309985182301</v>
      </c>
      <c r="G4216">
        <v>0.10768156491396</v>
      </c>
      <c r="H4216">
        <v>8.3405172490693999E-2</v>
      </c>
      <c r="I4216">
        <v>7.2919957951009001E-2</v>
      </c>
      <c r="J4216">
        <v>6.6316125371792101E-2</v>
      </c>
      <c r="K4216">
        <v>5.8258111196569498E-2</v>
      </c>
      <c r="L4216">
        <v>819.45601658781095</v>
      </c>
      <c r="M4216">
        <v>17.241746805556399</v>
      </c>
      <c r="N4216">
        <v>47.849324857028897</v>
      </c>
      <c r="O4216">
        <v>46.901936221261899</v>
      </c>
      <c r="P4216">
        <v>-8.6875959252706206E-2</v>
      </c>
      <c r="Q4216">
        <v>5.4756876408726299E-2</v>
      </c>
      <c r="R4216">
        <v>0.99038705346774403</v>
      </c>
      <c r="S4216" t="s">
        <v>10527</v>
      </c>
      <c r="T4216" t="s">
        <v>12620</v>
      </c>
      <c r="U4216" t="s">
        <v>12620</v>
      </c>
      <c r="V4216" t="s">
        <v>12620</v>
      </c>
      <c r="W4216" t="s">
        <v>16785</v>
      </c>
      <c r="X4216">
        <v>7</v>
      </c>
      <c r="Y4216" t="s">
        <v>22903</v>
      </c>
      <c r="Z4216" t="s">
        <v>29163</v>
      </c>
      <c r="AA4216">
        <v>0.31060554432683207</v>
      </c>
      <c r="AB4216" t="str">
        <f>HYPERLINK("Melting_Curves/meltCurve_Q8NBJ7_SUMF2.pdf", "Melting_Curves/meltCurve_Q8NBJ7_SUMF2.pdf")</f>
        <v>Melting_Curves/meltCurve_Q8NBJ7_SUMF2.pdf</v>
      </c>
    </row>
    <row r="4217" spans="1:28" x14ac:dyDescent="0.25">
      <c r="A4217" t="s">
        <v>4221</v>
      </c>
      <c r="B4217">
        <v>0.99987803227770999</v>
      </c>
      <c r="C4217">
        <v>0.89696418447630799</v>
      </c>
      <c r="D4217">
        <v>0.90315963413534595</v>
      </c>
      <c r="E4217">
        <v>0.81208528780628297</v>
      </c>
      <c r="F4217">
        <v>0.95433049711555995</v>
      </c>
      <c r="G4217">
        <v>0.77987140567851698</v>
      </c>
      <c r="H4217">
        <v>0.63894976169504802</v>
      </c>
      <c r="I4217">
        <v>0.34763435163700401</v>
      </c>
      <c r="J4217">
        <v>9.8966206546293095E-2</v>
      </c>
      <c r="K4217">
        <v>6.56347608574223E-2</v>
      </c>
      <c r="L4217">
        <v>1230.0648535482701</v>
      </c>
      <c r="M4217">
        <v>19.9191902676802</v>
      </c>
      <c r="N4217">
        <v>61.752759448812903</v>
      </c>
      <c r="O4217">
        <v>61.140468435754798</v>
      </c>
      <c r="P4217">
        <v>-8.1451164588900907E-2</v>
      </c>
      <c r="Q4217">
        <v>0</v>
      </c>
      <c r="R4217">
        <v>0.93945916614335701</v>
      </c>
      <c r="S4217" t="s">
        <v>10528</v>
      </c>
      <c r="T4217" t="s">
        <v>12620</v>
      </c>
      <c r="U4217" t="s">
        <v>12620</v>
      </c>
      <c r="V4217" t="s">
        <v>12620</v>
      </c>
      <c r="W4217" t="s">
        <v>16786</v>
      </c>
      <c r="X4217">
        <v>3</v>
      </c>
      <c r="Y4217" t="s">
        <v>22904</v>
      </c>
      <c r="Z4217" t="s">
        <v>29164</v>
      </c>
      <c r="AA4217">
        <v>0.72893980652275792</v>
      </c>
      <c r="AB4217" t="str">
        <f>HYPERLINK("Melting_Curves/meltCurve_Q8NBK3_4_SUMF1.pdf", "Melting_Curves/meltCurve_Q8NBK3_4_SUMF1.pdf")</f>
        <v>Melting_Curves/meltCurve_Q8NBK3_4_SUMF1.pdf</v>
      </c>
    </row>
    <row r="4218" spans="1:28" x14ac:dyDescent="0.25">
      <c r="A4218" t="s">
        <v>4222</v>
      </c>
      <c r="B4218">
        <v>0.99987803227770999</v>
      </c>
      <c r="C4218">
        <v>1.02442544753146</v>
      </c>
      <c r="D4218">
        <v>1.0554293035483799</v>
      </c>
      <c r="E4218">
        <v>0.87823965214282096</v>
      </c>
      <c r="F4218">
        <v>0.419775541187212</v>
      </c>
      <c r="G4218">
        <v>0.15218936024329199</v>
      </c>
      <c r="H4218">
        <v>8.1271469112436406E-2</v>
      </c>
      <c r="I4218">
        <v>7.2727821757736705E-2</v>
      </c>
      <c r="J4218">
        <v>6.1719261783087197E-2</v>
      </c>
      <c r="K4218">
        <v>4.1205440580252897E-2</v>
      </c>
      <c r="L4218">
        <v>1983.63118564615</v>
      </c>
      <c r="M4218">
        <v>37.872721518522397</v>
      </c>
      <c r="N4218">
        <v>52.588196608958803</v>
      </c>
      <c r="O4218">
        <v>52.230863416958002</v>
      </c>
      <c r="P4218">
        <v>-0.16844540241352801</v>
      </c>
      <c r="Q4218">
        <v>7.0779623417947496E-2</v>
      </c>
      <c r="R4218">
        <v>0.99615181451970203</v>
      </c>
      <c r="S4218" t="s">
        <v>10529</v>
      </c>
      <c r="T4218" t="s">
        <v>12620</v>
      </c>
      <c r="U4218" t="s">
        <v>12620</v>
      </c>
      <c r="V4218" t="s">
        <v>12620</v>
      </c>
      <c r="W4218" t="s">
        <v>16787</v>
      </c>
      <c r="X4218">
        <v>4</v>
      </c>
      <c r="Y4218" t="s">
        <v>22905</v>
      </c>
      <c r="Z4218" t="s">
        <v>29165</v>
      </c>
      <c r="AA4218">
        <v>0.4578736577997603</v>
      </c>
      <c r="AB4218" t="str">
        <f>HYPERLINK("Melting_Curves/meltCurve_Q8NBL1_POGLUT1.pdf", "Melting_Curves/meltCurve_Q8NBL1_POGLUT1.pdf")</f>
        <v>Melting_Curves/meltCurve_Q8NBL1_POGLUT1.pdf</v>
      </c>
    </row>
    <row r="4219" spans="1:28" x14ac:dyDescent="0.25">
      <c r="A4219" t="s">
        <v>4223</v>
      </c>
      <c r="B4219">
        <v>0.99987803227770999</v>
      </c>
      <c r="C4219">
        <v>0.92690098012491295</v>
      </c>
      <c r="D4219">
        <v>0.98986535076669502</v>
      </c>
      <c r="E4219">
        <v>0.96370804254647902</v>
      </c>
      <c r="F4219">
        <v>0.94613828642596098</v>
      </c>
      <c r="G4219">
        <v>0.76893290425880401</v>
      </c>
      <c r="H4219">
        <v>0.73166697565740002</v>
      </c>
      <c r="I4219">
        <v>0.75580531454765199</v>
      </c>
      <c r="J4219">
        <v>0.60119193827714901</v>
      </c>
      <c r="K4219">
        <v>0.51656612762719001</v>
      </c>
      <c r="L4219">
        <v>461.786814045136</v>
      </c>
      <c r="M4219">
        <v>6.4509856023859102</v>
      </c>
      <c r="O4219">
        <v>65.635523728668005</v>
      </c>
      <c r="P4219">
        <v>-2.4632575321574399E-2</v>
      </c>
      <c r="Q4219">
        <v>0</v>
      </c>
      <c r="R4219">
        <v>0.93452293204009396</v>
      </c>
      <c r="S4219" t="s">
        <v>10530</v>
      </c>
      <c r="T4219" t="s">
        <v>12620</v>
      </c>
      <c r="U4219" t="s">
        <v>12620</v>
      </c>
      <c r="V4219" t="s">
        <v>12620</v>
      </c>
      <c r="W4219" t="s">
        <v>16788</v>
      </c>
      <c r="X4219">
        <v>1</v>
      </c>
      <c r="Y4219" t="s">
        <v>22906</v>
      </c>
      <c r="Z4219" t="s">
        <v>29166</v>
      </c>
      <c r="AA4219">
        <v>0.83393958221645648</v>
      </c>
      <c r="AB4219" t="str">
        <f>HYPERLINK("Melting_Curves/meltCurve_Q8NBM4_4_UBAC2.pdf", "Melting_Curves/meltCurve_Q8NBM4_4_UBAC2.pdf")</f>
        <v>Melting_Curves/meltCurve_Q8NBM4_4_UBAC2.pdf</v>
      </c>
    </row>
    <row r="4220" spans="1:28" x14ac:dyDescent="0.25">
      <c r="A4220" t="s">
        <v>4224</v>
      </c>
      <c r="B4220">
        <v>0.99987803227770999</v>
      </c>
      <c r="C4220">
        <v>1.1303944003344499</v>
      </c>
      <c r="D4220">
        <v>1.14049334432197</v>
      </c>
      <c r="E4220">
        <v>1.0263739427335099</v>
      </c>
      <c r="F4220">
        <v>1.14240072322165</v>
      </c>
      <c r="G4220">
        <v>1.0918543192771899</v>
      </c>
      <c r="H4220">
        <v>0.94708213619261605</v>
      </c>
      <c r="I4220">
        <v>0.94484170487276997</v>
      </c>
      <c r="J4220">
        <v>0.67262665215951101</v>
      </c>
      <c r="K4220">
        <v>0.58643553772541401</v>
      </c>
      <c r="L4220">
        <v>4280.9524969311396</v>
      </c>
      <c r="M4220">
        <v>65.099820326680501</v>
      </c>
      <c r="O4220">
        <v>65.6978570491586</v>
      </c>
      <c r="P4220">
        <v>-0.104731521959465</v>
      </c>
      <c r="Q4220">
        <v>0.57722563045285402</v>
      </c>
      <c r="R4220">
        <v>0.797951018816766</v>
      </c>
      <c r="S4220" t="s">
        <v>10531</v>
      </c>
      <c r="T4220" t="s">
        <v>12620</v>
      </c>
      <c r="U4220" t="s">
        <v>12620</v>
      </c>
      <c r="V4220" t="s">
        <v>12620</v>
      </c>
      <c r="W4220" t="s">
        <v>16789</v>
      </c>
      <c r="X4220">
        <v>1</v>
      </c>
      <c r="Y4220" t="s">
        <v>22907</v>
      </c>
      <c r="Z4220" t="s">
        <v>29167</v>
      </c>
      <c r="AA4220">
        <v>0.94064674104453472</v>
      </c>
      <c r="AB4220" t="str">
        <f>HYPERLINK("Melting_Curves/meltCurve_Q8NC26_2_ZNF114.pdf", "Melting_Curves/meltCurve_Q8NC26_2_ZNF114.pdf")</f>
        <v>Melting_Curves/meltCurve_Q8NC26_2_ZNF114.pdf</v>
      </c>
    </row>
    <row r="4221" spans="1:28" x14ac:dyDescent="0.25">
      <c r="A4221" t="s">
        <v>4225</v>
      </c>
      <c r="B4221">
        <v>0.99987803227770999</v>
      </c>
      <c r="C4221">
        <v>0.86452931903725305</v>
      </c>
      <c r="D4221">
        <v>1.0042765055181899</v>
      </c>
      <c r="E4221">
        <v>0.91641626032394496</v>
      </c>
      <c r="F4221">
        <v>1.12074392127936</v>
      </c>
      <c r="G4221">
        <v>0.99913186088074302</v>
      </c>
      <c r="H4221">
        <v>0.92809149992126405</v>
      </c>
      <c r="I4221">
        <v>1.0117091546036101</v>
      </c>
      <c r="J4221">
        <v>0.87525425827599801</v>
      </c>
      <c r="K4221">
        <v>0.69787202601559495</v>
      </c>
      <c r="L4221">
        <v>15000</v>
      </c>
      <c r="M4221">
        <v>223.52838906172499</v>
      </c>
      <c r="O4221">
        <v>67.100196010136003</v>
      </c>
      <c r="P4221">
        <v>-0.25164140790634099</v>
      </c>
      <c r="Q4221">
        <v>0.69784261402332204</v>
      </c>
      <c r="R4221">
        <v>0.61723060536001995</v>
      </c>
      <c r="S4221" t="s">
        <v>10532</v>
      </c>
      <c r="T4221" t="s">
        <v>12620</v>
      </c>
      <c r="U4221" t="s">
        <v>12620</v>
      </c>
      <c r="V4221" t="s">
        <v>12620</v>
      </c>
      <c r="W4221" t="s">
        <v>16790</v>
      </c>
      <c r="X4221">
        <v>20</v>
      </c>
      <c r="Y4221" t="s">
        <v>22908</v>
      </c>
      <c r="Z4221" t="s">
        <v>29168</v>
      </c>
      <c r="AA4221">
        <v>0.97089174827215341</v>
      </c>
      <c r="AB4221" t="str">
        <f>HYPERLINK("Melting_Curves/meltCurve_Q8NC51_2_SERBP1.pdf", "Melting_Curves/meltCurve_Q8NC51_2_SERBP1.pdf")</f>
        <v>Melting_Curves/meltCurve_Q8NC51_2_SERBP1.pdf</v>
      </c>
    </row>
    <row r="4222" spans="1:28" x14ac:dyDescent="0.25">
      <c r="A4222" t="s">
        <v>4226</v>
      </c>
      <c r="B4222">
        <v>0.99987803227770999</v>
      </c>
      <c r="C4222">
        <v>0.84195017793498095</v>
      </c>
      <c r="D4222">
        <v>1.0385593653710901</v>
      </c>
      <c r="E4222">
        <v>0.83244292093849304</v>
      </c>
      <c r="F4222">
        <v>1.0471109328924</v>
      </c>
      <c r="G4222">
        <v>0.87909083688417999</v>
      </c>
      <c r="H4222">
        <v>0.96384040980465002</v>
      </c>
      <c r="I4222">
        <v>1.00121606445019</v>
      </c>
      <c r="J4222">
        <v>0.87068746637575201</v>
      </c>
      <c r="K4222">
        <v>0.72908859231400303</v>
      </c>
      <c r="L4222">
        <v>1632.3035092871501</v>
      </c>
      <c r="M4222">
        <v>22.334527182524401</v>
      </c>
      <c r="Q4222">
        <v>0</v>
      </c>
      <c r="R4222">
        <v>0.26135156949111898</v>
      </c>
      <c r="S4222" t="s">
        <v>10533</v>
      </c>
      <c r="T4222" t="s">
        <v>12620</v>
      </c>
      <c r="U4222" t="s">
        <v>12620</v>
      </c>
      <c r="V4222" t="s">
        <v>12620</v>
      </c>
      <c r="W4222" t="s">
        <v>16791</v>
      </c>
      <c r="X4222">
        <v>2</v>
      </c>
      <c r="Y4222" t="s">
        <v>22909</v>
      </c>
      <c r="Z4222" t="s">
        <v>29169</v>
      </c>
      <c r="AA4222">
        <v>0.97083492843285191</v>
      </c>
      <c r="AB4222" t="str">
        <f>HYPERLINK("Melting_Curves/meltCurve_Q8NC56_LEMD2.pdf", "Melting_Curves/meltCurve_Q8NC56_LEMD2.pdf")</f>
        <v>Melting_Curves/meltCurve_Q8NC56_LEMD2.pdf</v>
      </c>
    </row>
    <row r="4223" spans="1:28" x14ac:dyDescent="0.25">
      <c r="A4223" t="s">
        <v>4227</v>
      </c>
      <c r="B4223">
        <v>0.99987803227770999</v>
      </c>
      <c r="C4223">
        <v>0.95724736685041001</v>
      </c>
      <c r="D4223">
        <v>0.94768092320074104</v>
      </c>
      <c r="E4223">
        <v>0.74438465819664001</v>
      </c>
      <c r="F4223">
        <v>0.56420816540834096</v>
      </c>
      <c r="G4223">
        <v>0.37496835778929999</v>
      </c>
      <c r="H4223">
        <v>0.36739350593560999</v>
      </c>
      <c r="I4223">
        <v>0.30115643240658402</v>
      </c>
      <c r="J4223">
        <v>0.170692443937417</v>
      </c>
      <c r="K4223">
        <v>7.2432397867209994E-2</v>
      </c>
      <c r="L4223">
        <v>573.00271659467205</v>
      </c>
      <c r="M4223">
        <v>10.4573315418038</v>
      </c>
      <c r="N4223">
        <v>55.398376924405099</v>
      </c>
      <c r="O4223">
        <v>52.904294861487102</v>
      </c>
      <c r="P4223">
        <v>-4.6772900409360801E-2</v>
      </c>
      <c r="Q4223">
        <v>5.3879601273972802E-2</v>
      </c>
      <c r="R4223">
        <v>0.97640171089320604</v>
      </c>
      <c r="S4223" t="s">
        <v>10534</v>
      </c>
      <c r="T4223" t="s">
        <v>12620</v>
      </c>
      <c r="U4223" t="s">
        <v>12620</v>
      </c>
      <c r="V4223" t="s">
        <v>12620</v>
      </c>
      <c r="W4223" t="s">
        <v>16792</v>
      </c>
      <c r="X4223">
        <v>1</v>
      </c>
      <c r="Y4223" t="s">
        <v>22910</v>
      </c>
      <c r="Z4223" t="s">
        <v>29170</v>
      </c>
      <c r="AA4223">
        <v>0.54525691719409197</v>
      </c>
      <c r="AB4223" t="str">
        <f>HYPERLINK("Melting_Curves/meltCurve_Q8NC60_NOA1.pdf", "Melting_Curves/meltCurve_Q8NC60_NOA1.pdf")</f>
        <v>Melting_Curves/meltCurve_Q8NC60_NOA1.pdf</v>
      </c>
    </row>
    <row r="4224" spans="1:28" x14ac:dyDescent="0.25">
      <c r="A4224" t="s">
        <v>4228</v>
      </c>
      <c r="B4224">
        <v>0.99987803227770999</v>
      </c>
      <c r="C4224">
        <v>0.86483250772841702</v>
      </c>
      <c r="D4224">
        <v>1.01644799778152</v>
      </c>
      <c r="E4224">
        <v>0.87965071990771204</v>
      </c>
      <c r="F4224">
        <v>1.04484986171415</v>
      </c>
      <c r="G4224">
        <v>0.89250740828105002</v>
      </c>
      <c r="H4224">
        <v>0.49980490231428498</v>
      </c>
      <c r="I4224">
        <v>0.23909264327107199</v>
      </c>
      <c r="J4224">
        <v>0.12723868495094501</v>
      </c>
      <c r="K4224">
        <v>8.5164678623174297E-2</v>
      </c>
      <c r="L4224">
        <v>1894.4419825628099</v>
      </c>
      <c r="M4224">
        <v>31.200523135019999</v>
      </c>
      <c r="N4224">
        <v>61.0455692425001</v>
      </c>
      <c r="O4224">
        <v>60.470478733479297</v>
      </c>
      <c r="P4224">
        <v>-0.11905640998563501</v>
      </c>
      <c r="Q4224">
        <v>7.7020842447704296E-2</v>
      </c>
      <c r="R4224">
        <v>0.97347327396777805</v>
      </c>
      <c r="S4224" t="s">
        <v>10535</v>
      </c>
      <c r="T4224" t="s">
        <v>12620</v>
      </c>
      <c r="U4224" t="s">
        <v>12620</v>
      </c>
      <c r="V4224" t="s">
        <v>12620</v>
      </c>
      <c r="W4224" t="s">
        <v>16793</v>
      </c>
      <c r="X4224">
        <v>3</v>
      </c>
      <c r="Y4224" t="s">
        <v>22911</v>
      </c>
      <c r="Z4224" t="s">
        <v>29171</v>
      </c>
      <c r="AA4224">
        <v>0.71947794098702778</v>
      </c>
      <c r="AB4224" t="str">
        <f>HYPERLINK("Melting_Curves/meltCurve_Q8NC96_NECAP1.pdf", "Melting_Curves/meltCurve_Q8NC96_NECAP1.pdf")</f>
        <v>Melting_Curves/meltCurve_Q8NC96_NECAP1.pdf</v>
      </c>
    </row>
    <row r="4225" spans="1:28" x14ac:dyDescent="0.25">
      <c r="A4225" t="s">
        <v>4229</v>
      </c>
      <c r="B4225">
        <v>0.99987803227770999</v>
      </c>
      <c r="C4225">
        <v>1.0107470320625001</v>
      </c>
      <c r="D4225">
        <v>0.83825407156908704</v>
      </c>
      <c r="E4225">
        <v>0.81310062038741404</v>
      </c>
      <c r="F4225">
        <v>0.41507481402699797</v>
      </c>
      <c r="G4225">
        <v>0.285099889618738</v>
      </c>
      <c r="H4225">
        <v>0.193398969444355</v>
      </c>
      <c r="I4225">
        <v>0.152026853989643</v>
      </c>
      <c r="J4225">
        <v>0.12531010820212499</v>
      </c>
      <c r="K4225">
        <v>7.9618849519323603E-2</v>
      </c>
      <c r="L4225">
        <v>915.35904230400899</v>
      </c>
      <c r="M4225">
        <v>17.534465467957499</v>
      </c>
      <c r="N4225">
        <v>52.898867102401503</v>
      </c>
      <c r="O4225">
        <v>51.538640939031602</v>
      </c>
      <c r="P4225">
        <v>-7.6303619842960801E-2</v>
      </c>
      <c r="Q4225">
        <v>0.102939647291238</v>
      </c>
      <c r="R4225">
        <v>0.98040637173298395</v>
      </c>
      <c r="S4225" t="s">
        <v>10536</v>
      </c>
      <c r="T4225" t="s">
        <v>12620</v>
      </c>
      <c r="U4225" t="s">
        <v>12620</v>
      </c>
      <c r="V4225" t="s">
        <v>12620</v>
      </c>
      <c r="W4225" t="s">
        <v>16794</v>
      </c>
      <c r="X4225">
        <v>5</v>
      </c>
      <c r="Y4225" t="s">
        <v>22912</v>
      </c>
      <c r="Z4225" t="s">
        <v>29172</v>
      </c>
      <c r="AA4225">
        <v>0.48339830242173121</v>
      </c>
      <c r="AB4225" t="str">
        <f>HYPERLINK("Melting_Curves/meltCurve_Q8NCA5_2_FAM98A.pdf", "Melting_Curves/meltCurve_Q8NCA5_2_FAM98A.pdf")</f>
        <v>Melting_Curves/meltCurve_Q8NCA5_2_FAM98A.pdf</v>
      </c>
    </row>
    <row r="4226" spans="1:28" x14ac:dyDescent="0.25">
      <c r="A4226" t="s">
        <v>4230</v>
      </c>
      <c r="B4226">
        <v>0.99987803227770999</v>
      </c>
      <c r="C4226">
        <v>0.94100405035368995</v>
      </c>
      <c r="D4226">
        <v>0.96197357224519398</v>
      </c>
      <c r="E4226">
        <v>0.963137978622433</v>
      </c>
      <c r="F4226">
        <v>0.99242029268630205</v>
      </c>
      <c r="G4226">
        <v>0.82955477786704002</v>
      </c>
      <c r="H4226">
        <v>0.805842172072881</v>
      </c>
      <c r="I4226">
        <v>0.76373069261568405</v>
      </c>
      <c r="J4226">
        <v>0.58984648523868499</v>
      </c>
      <c r="K4226">
        <v>0.41686562306171898</v>
      </c>
      <c r="L4226">
        <v>750.72342078706299</v>
      </c>
      <c r="M4226">
        <v>10.888522176793799</v>
      </c>
      <c r="N4226">
        <v>68.946309586235401</v>
      </c>
      <c r="O4226">
        <v>66.7430710519385</v>
      </c>
      <c r="P4226">
        <v>-4.0799534515234798E-2</v>
      </c>
      <c r="Q4226">
        <v>0</v>
      </c>
      <c r="R4226">
        <v>0.94665602538575699</v>
      </c>
      <c r="S4226" t="s">
        <v>10537</v>
      </c>
      <c r="T4226" t="s">
        <v>12620</v>
      </c>
      <c r="U4226" t="s">
        <v>12620</v>
      </c>
      <c r="V4226" t="s">
        <v>12620</v>
      </c>
      <c r="W4226" t="s">
        <v>16795</v>
      </c>
      <c r="X4226">
        <v>6</v>
      </c>
      <c r="Y4226" t="s">
        <v>22913</v>
      </c>
      <c r="Z4226" t="s">
        <v>29173</v>
      </c>
      <c r="AA4226">
        <v>0.86026656542136415</v>
      </c>
      <c r="AB4226" t="str">
        <f>HYPERLINK("Melting_Curves/meltCurve_Q8NCC3_PLA2G15.pdf", "Melting_Curves/meltCurve_Q8NCC3_PLA2G15.pdf")</f>
        <v>Melting_Curves/meltCurve_Q8NCC3_PLA2G15.pdf</v>
      </c>
    </row>
    <row r="4227" spans="1:28" x14ac:dyDescent="0.25">
      <c r="A4227" t="s">
        <v>4231</v>
      </c>
      <c r="B4227">
        <v>0.99987803227770999</v>
      </c>
      <c r="C4227">
        <v>0.959925878569027</v>
      </c>
      <c r="D4227">
        <v>1.02346034540165</v>
      </c>
      <c r="E4227">
        <v>0.94849301884465598</v>
      </c>
      <c r="F4227">
        <v>0.99078441177315701</v>
      </c>
      <c r="G4227">
        <v>0.83373177305685897</v>
      </c>
      <c r="H4227">
        <v>0.66596108428907297</v>
      </c>
      <c r="I4227">
        <v>0.72644982051599005</v>
      </c>
      <c r="J4227">
        <v>0.57727101016222804</v>
      </c>
      <c r="K4227">
        <v>0.51356364510683905</v>
      </c>
      <c r="L4227">
        <v>784.11471258877805</v>
      </c>
      <c r="M4227">
        <v>12.7353563246576</v>
      </c>
      <c r="O4227">
        <v>60.111060191739298</v>
      </c>
      <c r="P4227">
        <v>-3.0115699032454601E-2</v>
      </c>
      <c r="Q4227">
        <v>0.43152290594026199</v>
      </c>
      <c r="R4227">
        <v>0.94719420048902503</v>
      </c>
      <c r="S4227" t="s">
        <v>10538</v>
      </c>
      <c r="T4227" t="s">
        <v>12620</v>
      </c>
      <c r="U4227" t="s">
        <v>12620</v>
      </c>
      <c r="V4227" t="s">
        <v>12620</v>
      </c>
      <c r="W4227" t="s">
        <v>16796</v>
      </c>
      <c r="X4227">
        <v>6</v>
      </c>
      <c r="Y4227" t="s">
        <v>22914</v>
      </c>
      <c r="Z4227" t="s">
        <v>29174</v>
      </c>
      <c r="AA4227">
        <v>0.83703661591204925</v>
      </c>
      <c r="AB4227" t="str">
        <f>HYPERLINK("Melting_Curves/meltCurve_Q8NCD3_3_HJURP.pdf", "Melting_Curves/meltCurve_Q8NCD3_3_HJURP.pdf")</f>
        <v>Melting_Curves/meltCurve_Q8NCD3_3_HJURP.pdf</v>
      </c>
    </row>
    <row r="4228" spans="1:28" x14ac:dyDescent="0.25">
      <c r="A4228" t="s">
        <v>4232</v>
      </c>
      <c r="B4228">
        <v>0.99987803227770999</v>
      </c>
      <c r="C4228">
        <v>1.1516993583741499</v>
      </c>
      <c r="D4228">
        <v>0.99222862918622301</v>
      </c>
      <c r="E4228">
        <v>0.62449335322960997</v>
      </c>
      <c r="F4228">
        <v>0.29957477355370798</v>
      </c>
      <c r="G4228">
        <v>0.19566942722366801</v>
      </c>
      <c r="H4228">
        <v>0.13090369397853899</v>
      </c>
      <c r="I4228">
        <v>0.10965739653846</v>
      </c>
      <c r="J4228">
        <v>8.9577949012271299E-2</v>
      </c>
      <c r="K4228">
        <v>6.89095287302081E-2</v>
      </c>
      <c r="L4228">
        <v>1509.1548766486001</v>
      </c>
      <c r="M4228">
        <v>29.785740898722199</v>
      </c>
      <c r="N4228">
        <v>51.092173737881097</v>
      </c>
      <c r="O4228">
        <v>50.440289036931098</v>
      </c>
      <c r="P4228">
        <v>-0.13142599362032001</v>
      </c>
      <c r="Q4228">
        <v>0.109759177729937</v>
      </c>
      <c r="R4228">
        <v>0.98171163294193498</v>
      </c>
      <c r="S4228" t="s">
        <v>10539</v>
      </c>
      <c r="T4228" t="s">
        <v>12620</v>
      </c>
      <c r="U4228" t="s">
        <v>12620</v>
      </c>
      <c r="V4228" t="s">
        <v>12620</v>
      </c>
      <c r="W4228" t="s">
        <v>16797</v>
      </c>
      <c r="X4228">
        <v>6</v>
      </c>
      <c r="Y4228" t="s">
        <v>22915</v>
      </c>
      <c r="Z4228" t="s">
        <v>29175</v>
      </c>
      <c r="AA4228">
        <v>0.43194739599931747</v>
      </c>
      <c r="AB4228" t="str">
        <f>HYPERLINK("Melting_Curves/meltCurve_Q8NCE0_4_TSEN2.pdf", "Melting_Curves/meltCurve_Q8NCE0_4_TSEN2.pdf")</f>
        <v>Melting_Curves/meltCurve_Q8NCE0_4_TSEN2.pdf</v>
      </c>
    </row>
    <row r="4229" spans="1:28" x14ac:dyDescent="0.25">
      <c r="A4229" t="s">
        <v>4233</v>
      </c>
      <c r="B4229">
        <v>0.99987803227770999</v>
      </c>
      <c r="C4229">
        <v>1.0860649551383901</v>
      </c>
      <c r="D4229">
        <v>1.1113733730253399</v>
      </c>
      <c r="E4229">
        <v>1.01512594890165</v>
      </c>
      <c r="F4229">
        <v>0.81380240256333902</v>
      </c>
      <c r="G4229">
        <v>0.39659063689261498</v>
      </c>
      <c r="H4229">
        <v>0.133485755012242</v>
      </c>
      <c r="I4229">
        <v>0.10695098552865499</v>
      </c>
      <c r="J4229">
        <v>8.2797431340839403E-2</v>
      </c>
      <c r="K4229">
        <v>5.99945842295641E-2</v>
      </c>
      <c r="L4229">
        <v>1657.7861192570299</v>
      </c>
      <c r="M4229">
        <v>29.7431420639751</v>
      </c>
      <c r="N4229">
        <v>56.034152203495204</v>
      </c>
      <c r="O4229">
        <v>55.486621990552699</v>
      </c>
      <c r="P4229">
        <v>-0.12422614346114801</v>
      </c>
      <c r="Q4229">
        <v>7.3017619710519704E-2</v>
      </c>
      <c r="R4229">
        <v>0.98797910284435198</v>
      </c>
      <c r="S4229" t="s">
        <v>10540</v>
      </c>
      <c r="T4229" t="s">
        <v>12620</v>
      </c>
      <c r="U4229" t="s">
        <v>12620</v>
      </c>
      <c r="V4229" t="s">
        <v>12620</v>
      </c>
      <c r="W4229" t="s">
        <v>16798</v>
      </c>
      <c r="X4229">
        <v>4</v>
      </c>
      <c r="Y4229" t="s">
        <v>22916</v>
      </c>
      <c r="Z4229" t="s">
        <v>29176</v>
      </c>
      <c r="AA4229">
        <v>0.56554910981976658</v>
      </c>
      <c r="AB4229" t="str">
        <f>HYPERLINK("Melting_Curves/meltCurve_Q8NCE2_2_MTMR14.pdf", "Melting_Curves/meltCurve_Q8NCE2_2_MTMR14.pdf")</f>
        <v>Melting_Curves/meltCurve_Q8NCE2_2_MTMR14.pdf</v>
      </c>
    </row>
    <row r="4230" spans="1:28" x14ac:dyDescent="0.25">
      <c r="A4230" t="s">
        <v>4234</v>
      </c>
      <c r="B4230">
        <v>0.99987803227770999</v>
      </c>
      <c r="C4230">
        <v>0.89682408023215499</v>
      </c>
      <c r="D4230">
        <v>1.0594375434852199</v>
      </c>
      <c r="E4230">
        <v>0.89385119996701501</v>
      </c>
      <c r="F4230">
        <v>0.88760374609971404</v>
      </c>
      <c r="G4230">
        <v>0.74513100935667398</v>
      </c>
      <c r="H4230">
        <v>0.62684949183762995</v>
      </c>
      <c r="I4230">
        <v>0.693512048523792</v>
      </c>
      <c r="J4230">
        <v>0.460833235202185</v>
      </c>
      <c r="K4230">
        <v>0.42141956177186002</v>
      </c>
      <c r="L4230">
        <v>475.42808974114803</v>
      </c>
      <c r="M4230">
        <v>7.0795222780056903</v>
      </c>
      <c r="N4230">
        <v>67.1553914036365</v>
      </c>
      <c r="O4230">
        <v>62.414751807822597</v>
      </c>
      <c r="P4230">
        <v>-2.84072052412516E-2</v>
      </c>
      <c r="Q4230">
        <v>0</v>
      </c>
      <c r="R4230">
        <v>0.91974025431719597</v>
      </c>
      <c r="S4230" t="s">
        <v>10541</v>
      </c>
      <c r="T4230" t="s">
        <v>12620</v>
      </c>
      <c r="U4230" t="s">
        <v>12620</v>
      </c>
      <c r="V4230" t="s">
        <v>12620</v>
      </c>
      <c r="W4230" t="s">
        <v>16799</v>
      </c>
      <c r="X4230">
        <v>3</v>
      </c>
      <c r="Y4230" t="s">
        <v>22917</v>
      </c>
      <c r="Z4230" t="s">
        <v>29177</v>
      </c>
      <c r="AA4230">
        <v>0.78220837298115342</v>
      </c>
      <c r="AB4230" t="str">
        <f>HYPERLINK("Melting_Curves/meltCurve_Q8NCF5_NFATC2IP.pdf", "Melting_Curves/meltCurve_Q8NCF5_NFATC2IP.pdf")</f>
        <v>Melting_Curves/meltCurve_Q8NCF5_NFATC2IP.pdf</v>
      </c>
    </row>
    <row r="4231" spans="1:28" x14ac:dyDescent="0.25">
      <c r="A4231" t="s">
        <v>4235</v>
      </c>
      <c r="B4231">
        <v>0.99987803227770999</v>
      </c>
      <c r="C4231">
        <v>0.99801355106066303</v>
      </c>
      <c r="D4231">
        <v>1.0244677557345301</v>
      </c>
      <c r="E4231">
        <v>0.84299923996922999</v>
      </c>
      <c r="F4231">
        <v>0.98027276814118902</v>
      </c>
      <c r="G4231">
        <v>0.96324464557812395</v>
      </c>
      <c r="H4231">
        <v>0.86561491146395697</v>
      </c>
      <c r="I4231">
        <v>0.95201044997575401</v>
      </c>
      <c r="J4231">
        <v>0.76843488438679397</v>
      </c>
      <c r="K4231">
        <v>0.56848952159732502</v>
      </c>
      <c r="L4231">
        <v>1286.9171083486401</v>
      </c>
      <c r="M4231">
        <v>18.048200925098499</v>
      </c>
      <c r="Q4231">
        <v>0</v>
      </c>
      <c r="R4231">
        <v>0.78549184631369995</v>
      </c>
      <c r="S4231" t="s">
        <v>10542</v>
      </c>
      <c r="T4231" t="s">
        <v>12620</v>
      </c>
      <c r="U4231" t="s">
        <v>12620</v>
      </c>
      <c r="V4231" t="s">
        <v>12620</v>
      </c>
      <c r="W4231" t="s">
        <v>16800</v>
      </c>
      <c r="X4231">
        <v>3</v>
      </c>
      <c r="Y4231" t="s">
        <v>22918</v>
      </c>
      <c r="Z4231" t="s">
        <v>29178</v>
      </c>
      <c r="AA4231">
        <v>0.93886574898388508</v>
      </c>
      <c r="AB4231" t="str">
        <f>HYPERLINK("Melting_Curves/meltCurve_Q8NCM8_DYNC2H1.pdf", "Melting_Curves/meltCurve_Q8NCM8_DYNC2H1.pdf")</f>
        <v>Melting_Curves/meltCurve_Q8NCM8_DYNC2H1.pdf</v>
      </c>
    </row>
    <row r="4232" spans="1:28" x14ac:dyDescent="0.25">
      <c r="A4232" t="s">
        <v>4236</v>
      </c>
      <c r="B4232">
        <v>0.99987803227770999</v>
      </c>
      <c r="C4232">
        <v>0.75655914396123303</v>
      </c>
      <c r="D4232">
        <v>0.95522029016835697</v>
      </c>
      <c r="E4232">
        <v>0.75944938755425495</v>
      </c>
      <c r="F4232">
        <v>0.97756597048647798</v>
      </c>
      <c r="G4232">
        <v>0.77170131743551995</v>
      </c>
      <c r="H4232">
        <v>0.91943146133408304</v>
      </c>
      <c r="I4232">
        <v>0.82249167681024904</v>
      </c>
      <c r="J4232">
        <v>0.91807118452391101</v>
      </c>
      <c r="K4232">
        <v>0.75628455529386795</v>
      </c>
      <c r="L4232">
        <v>10233.710512465501</v>
      </c>
      <c r="M4232">
        <v>250</v>
      </c>
      <c r="O4232">
        <v>40.932218731646998</v>
      </c>
      <c r="P4232">
        <v>-0.23128083052902601</v>
      </c>
      <c r="Q4232">
        <v>0.84853058554581395</v>
      </c>
      <c r="R4232">
        <v>0.229067890312628</v>
      </c>
      <c r="S4232" t="s">
        <v>10543</v>
      </c>
      <c r="T4232" t="s">
        <v>12620</v>
      </c>
      <c r="U4232" t="s">
        <v>12620</v>
      </c>
      <c r="V4232" t="s">
        <v>12620</v>
      </c>
      <c r="W4232" t="s">
        <v>16801</v>
      </c>
      <c r="X4232">
        <v>11</v>
      </c>
      <c r="Y4232" t="s">
        <v>22919</v>
      </c>
      <c r="Z4232" t="s">
        <v>29179</v>
      </c>
      <c r="AA4232">
        <v>0.85326373524799803</v>
      </c>
      <c r="AB4232" t="str">
        <f>HYPERLINK("Melting_Curves/meltCurve_Q8NCN4_RNF169.pdf", "Melting_Curves/meltCurve_Q8NCN4_RNF169.pdf")</f>
        <v>Melting_Curves/meltCurve_Q8NCN4_RNF169.pdf</v>
      </c>
    </row>
    <row r="4233" spans="1:28" x14ac:dyDescent="0.25">
      <c r="A4233" t="s">
        <v>4237</v>
      </c>
      <c r="B4233">
        <v>0.99987803227770999</v>
      </c>
      <c r="C4233">
        <v>1.0882443504038499</v>
      </c>
      <c r="D4233">
        <v>1.00796472212352</v>
      </c>
      <c r="E4233">
        <v>0.97745973327479196</v>
      </c>
      <c r="F4233">
        <v>0.73086411233383597</v>
      </c>
      <c r="G4233">
        <v>0.21420983333447199</v>
      </c>
      <c r="H4233">
        <v>0.14578232145026801</v>
      </c>
      <c r="I4233">
        <v>0.129801588050169</v>
      </c>
      <c r="J4233">
        <v>8.4108349326123905E-2</v>
      </c>
      <c r="K4233">
        <v>6.0593765800686997E-2</v>
      </c>
      <c r="L4233">
        <v>2071.8055654636901</v>
      </c>
      <c r="M4233">
        <v>38.227510707753403</v>
      </c>
      <c r="N4233">
        <v>54.514559131612302</v>
      </c>
      <c r="O4233">
        <v>54.049042898693301</v>
      </c>
      <c r="P4233">
        <v>-0.159154729086386</v>
      </c>
      <c r="Q4233">
        <v>9.9900657488545402E-2</v>
      </c>
      <c r="R4233">
        <v>0.99356872165694798</v>
      </c>
      <c r="S4233" t="s">
        <v>10544</v>
      </c>
      <c r="T4233" t="s">
        <v>12620</v>
      </c>
      <c r="U4233" t="s">
        <v>12620</v>
      </c>
      <c r="V4233" t="s">
        <v>12620</v>
      </c>
      <c r="W4233" t="s">
        <v>16802</v>
      </c>
      <c r="X4233">
        <v>10</v>
      </c>
      <c r="Y4233" t="s">
        <v>22920</v>
      </c>
      <c r="Z4233" t="s">
        <v>29180</v>
      </c>
      <c r="AA4233">
        <v>0.52953168681020224</v>
      </c>
      <c r="AB4233" t="str">
        <f>HYPERLINK("Melting_Curves/meltCurve_Q8NCN5_PDPR.pdf", "Melting_Curves/meltCurve_Q8NCN5_PDPR.pdf")</f>
        <v>Melting_Curves/meltCurve_Q8NCN5_PDPR.pdf</v>
      </c>
    </row>
    <row r="4234" spans="1:28" x14ac:dyDescent="0.25">
      <c r="A4234" t="s">
        <v>4238</v>
      </c>
      <c r="B4234">
        <v>0.99987803227770999</v>
      </c>
      <c r="C4234">
        <v>0.97251083139300698</v>
      </c>
      <c r="D4234">
        <v>0.95606928704663396</v>
      </c>
      <c r="E4234">
        <v>1.0048743722773901</v>
      </c>
      <c r="F4234">
        <v>0.97121708094263803</v>
      </c>
      <c r="G4234">
        <v>0.79001382429753597</v>
      </c>
      <c r="H4234">
        <v>0.62808212541532205</v>
      </c>
      <c r="I4234">
        <v>0.65303084913211495</v>
      </c>
      <c r="J4234">
        <v>0.46064298657070002</v>
      </c>
      <c r="K4234">
        <v>0.34062467213757103</v>
      </c>
      <c r="L4234">
        <v>663.33979796366202</v>
      </c>
      <c r="M4234">
        <v>10.058046698403199</v>
      </c>
      <c r="N4234">
        <v>65.951150362695302</v>
      </c>
      <c r="O4234">
        <v>63.5032458743676</v>
      </c>
      <c r="P4234">
        <v>-3.9615422513174299E-2</v>
      </c>
      <c r="Q4234">
        <v>0</v>
      </c>
      <c r="R4234">
        <v>0.96656353837636699</v>
      </c>
      <c r="S4234" t="s">
        <v>10545</v>
      </c>
      <c r="T4234" t="s">
        <v>12620</v>
      </c>
      <c r="U4234" t="s">
        <v>12620</v>
      </c>
      <c r="V4234" t="s">
        <v>12620</v>
      </c>
      <c r="W4234" t="s">
        <v>16803</v>
      </c>
      <c r="X4234">
        <v>2</v>
      </c>
      <c r="Y4234" t="s">
        <v>22921</v>
      </c>
      <c r="Z4234" t="s">
        <v>29181</v>
      </c>
      <c r="AA4234">
        <v>0.79861104547802464</v>
      </c>
      <c r="AB4234" t="str">
        <f>HYPERLINK("Melting_Curves/meltCurve_Q8NCP5_3_ZBTB44.pdf", "Melting_Curves/meltCurve_Q8NCP5_3_ZBTB44.pdf")</f>
        <v>Melting_Curves/meltCurve_Q8NCP5_3_ZBTB44.pdf</v>
      </c>
    </row>
    <row r="4235" spans="1:28" x14ac:dyDescent="0.25">
      <c r="A4235" t="s">
        <v>4239</v>
      </c>
      <c r="B4235">
        <v>0.99987803227770999</v>
      </c>
      <c r="C4235">
        <v>1.04004195261604</v>
      </c>
      <c r="D4235">
        <v>1.0504235021771799</v>
      </c>
      <c r="E4235">
        <v>1.0090681554184899</v>
      </c>
      <c r="F4235">
        <v>0.98711141629357402</v>
      </c>
      <c r="G4235">
        <v>0.87245813696052299</v>
      </c>
      <c r="H4235">
        <v>0.84630724286419901</v>
      </c>
      <c r="I4235">
        <v>0.68047142726504295</v>
      </c>
      <c r="J4235">
        <v>0.26302499484168101</v>
      </c>
      <c r="K4235">
        <v>0.11690266078110199</v>
      </c>
      <c r="L4235">
        <v>1898.25087245388</v>
      </c>
      <c r="M4235">
        <v>29.158831982357899</v>
      </c>
      <c r="N4235">
        <v>65.100367836057401</v>
      </c>
      <c r="O4235">
        <v>64.796492092899399</v>
      </c>
      <c r="P4235">
        <v>-0.112502417011292</v>
      </c>
      <c r="Q4235">
        <v>0</v>
      </c>
      <c r="R4235">
        <v>0.97746486260716003</v>
      </c>
      <c r="S4235" t="s">
        <v>10546</v>
      </c>
      <c r="T4235" t="s">
        <v>12620</v>
      </c>
      <c r="U4235" t="s">
        <v>12620</v>
      </c>
      <c r="V4235" t="s">
        <v>12620</v>
      </c>
      <c r="W4235" t="s">
        <v>16804</v>
      </c>
      <c r="X4235">
        <v>13</v>
      </c>
      <c r="Y4235" t="s">
        <v>22922</v>
      </c>
      <c r="Z4235" t="s">
        <v>29182</v>
      </c>
      <c r="AA4235">
        <v>0.83380338175222513</v>
      </c>
      <c r="AB4235" t="str">
        <f>HYPERLINK("Melting_Curves/meltCurve_Q8NCW5_APOA1BP.pdf", "Melting_Curves/meltCurve_Q8NCW5_APOA1BP.pdf")</f>
        <v>Melting_Curves/meltCurve_Q8NCW5_APOA1BP.pdf</v>
      </c>
    </row>
    <row r="4236" spans="1:28" x14ac:dyDescent="0.25">
      <c r="A4236" t="s">
        <v>4240</v>
      </c>
      <c r="B4236">
        <v>0.99987803227770999</v>
      </c>
      <c r="C4236">
        <v>1.0191475630964699</v>
      </c>
      <c r="D4236">
        <v>0.82067208168093297</v>
      </c>
      <c r="E4236">
        <v>0.62789528372247605</v>
      </c>
      <c r="F4236">
        <v>0.34209586089382099</v>
      </c>
      <c r="G4236">
        <v>0.23953309403895001</v>
      </c>
      <c r="H4236">
        <v>0.18270879647195401</v>
      </c>
      <c r="I4236">
        <v>0.161774236152402</v>
      </c>
      <c r="J4236">
        <v>0.109155687489908</v>
      </c>
      <c r="K4236">
        <v>7.6948276521111802E-2</v>
      </c>
      <c r="L4236">
        <v>867.00903688934102</v>
      </c>
      <c r="M4236">
        <v>17.161314397939499</v>
      </c>
      <c r="N4236">
        <v>51.261944767258399</v>
      </c>
      <c r="O4236">
        <v>49.850101985709301</v>
      </c>
      <c r="P4236">
        <v>-7.6617332800432494E-2</v>
      </c>
      <c r="Q4236">
        <v>0.10982242180992299</v>
      </c>
      <c r="R4236">
        <v>0.99046456754048695</v>
      </c>
      <c r="S4236" t="s">
        <v>10547</v>
      </c>
      <c r="T4236" t="s">
        <v>12620</v>
      </c>
      <c r="U4236" t="s">
        <v>12620</v>
      </c>
      <c r="V4236" t="s">
        <v>12620</v>
      </c>
      <c r="W4236" t="s">
        <v>16805</v>
      </c>
      <c r="X4236">
        <v>11</v>
      </c>
      <c r="Y4236" t="s">
        <v>22923</v>
      </c>
      <c r="Z4236" t="s">
        <v>29183</v>
      </c>
      <c r="AA4236">
        <v>0.43847372113745658</v>
      </c>
      <c r="AB4236" t="str">
        <f>HYPERLINK("Melting_Curves/meltCurve_Q8ND04_SMG8.pdf", "Melting_Curves/meltCurve_Q8ND04_SMG8.pdf")</f>
        <v>Melting_Curves/meltCurve_Q8ND04_SMG8.pdf</v>
      </c>
    </row>
    <row r="4237" spans="1:28" x14ac:dyDescent="0.25">
      <c r="A4237" t="s">
        <v>4241</v>
      </c>
      <c r="B4237">
        <v>0.99987803227770999</v>
      </c>
      <c r="C4237">
        <v>0.92360468287200903</v>
      </c>
      <c r="D4237">
        <v>1.05053566388815</v>
      </c>
      <c r="E4237">
        <v>0.83616155434704897</v>
      </c>
      <c r="F4237">
        <v>0.80973953064875004</v>
      </c>
      <c r="G4237">
        <v>0.55559178118986197</v>
      </c>
      <c r="H4237">
        <v>0.483714310731653</v>
      </c>
      <c r="I4237">
        <v>0.43380905449386098</v>
      </c>
      <c r="J4237">
        <v>0.39593265644967901</v>
      </c>
      <c r="K4237">
        <v>0.34126984538865601</v>
      </c>
      <c r="L4237">
        <v>832.00267777808494</v>
      </c>
      <c r="M4237">
        <v>15.0794012288465</v>
      </c>
      <c r="N4237">
        <v>59.732319132203699</v>
      </c>
      <c r="O4237">
        <v>54.231730354582197</v>
      </c>
      <c r="P4237">
        <v>-4.5760668701573401E-2</v>
      </c>
      <c r="Q4237">
        <v>0.34176840632570499</v>
      </c>
      <c r="R4237">
        <v>0.97210430945668902</v>
      </c>
      <c r="S4237" t="s">
        <v>10548</v>
      </c>
      <c r="T4237" t="s">
        <v>12620</v>
      </c>
      <c r="U4237" t="s">
        <v>12620</v>
      </c>
      <c r="V4237" t="s">
        <v>12620</v>
      </c>
      <c r="W4237" t="s">
        <v>16806</v>
      </c>
      <c r="X4237">
        <v>17</v>
      </c>
      <c r="Y4237" t="s">
        <v>22924</v>
      </c>
      <c r="Z4237" t="s">
        <v>29184</v>
      </c>
      <c r="AA4237">
        <v>0.68718201052662231</v>
      </c>
      <c r="AB4237" t="str">
        <f>HYPERLINK("Melting_Curves/meltCurve_Q8ND24_RNF214.pdf", "Melting_Curves/meltCurve_Q8ND24_RNF214.pdf")</f>
        <v>Melting_Curves/meltCurve_Q8ND24_RNF214.pdf</v>
      </c>
    </row>
    <row r="4238" spans="1:28" x14ac:dyDescent="0.25">
      <c r="A4238" t="s">
        <v>4242</v>
      </c>
      <c r="B4238">
        <v>0.99987803227770999</v>
      </c>
      <c r="C4238">
        <v>1.0659170334208099</v>
      </c>
      <c r="D4238">
        <v>0.97210833637167904</v>
      </c>
      <c r="E4238">
        <v>0.81802644896980203</v>
      </c>
      <c r="F4238">
        <v>0.60732224660045098</v>
      </c>
      <c r="G4238">
        <v>0.50202223744640895</v>
      </c>
      <c r="H4238">
        <v>0.41394122572737402</v>
      </c>
      <c r="I4238">
        <v>0.42963525578046102</v>
      </c>
      <c r="J4238">
        <v>0.31626711340725799</v>
      </c>
      <c r="K4238">
        <v>0.251594254773438</v>
      </c>
      <c r="L4238">
        <v>825.45636521424899</v>
      </c>
      <c r="M4238">
        <v>15.5234224664332</v>
      </c>
      <c r="N4238">
        <v>56.622663249567502</v>
      </c>
      <c r="O4238">
        <v>52.315902986531597</v>
      </c>
      <c r="P4238">
        <v>-5.1508250751996797E-2</v>
      </c>
      <c r="Q4238">
        <v>0.30570393201947599</v>
      </c>
      <c r="R4238">
        <v>0.97251542673040603</v>
      </c>
      <c r="S4238" t="s">
        <v>10549</v>
      </c>
      <c r="T4238" t="s">
        <v>12620</v>
      </c>
      <c r="U4238" t="s">
        <v>12620</v>
      </c>
      <c r="V4238" t="s">
        <v>12620</v>
      </c>
      <c r="W4238" t="s">
        <v>16807</v>
      </c>
      <c r="X4238">
        <v>10</v>
      </c>
      <c r="Y4238" t="s">
        <v>22925</v>
      </c>
      <c r="Z4238" t="s">
        <v>29185</v>
      </c>
      <c r="AA4238">
        <v>0.62475228008334005</v>
      </c>
      <c r="AB4238" t="str">
        <f>HYPERLINK("Melting_Curves/meltCurve_Q8ND30_PPFIBP2.pdf", "Melting_Curves/meltCurve_Q8ND30_PPFIBP2.pdf")</f>
        <v>Melting_Curves/meltCurve_Q8ND30_PPFIBP2.pdf</v>
      </c>
    </row>
    <row r="4239" spans="1:28" x14ac:dyDescent="0.25">
      <c r="A4239" t="s">
        <v>4243</v>
      </c>
      <c r="B4239">
        <v>0.99987803227770999</v>
      </c>
      <c r="C4239">
        <v>0.89882150408287698</v>
      </c>
      <c r="D4239">
        <v>0.977039735175534</v>
      </c>
      <c r="E4239">
        <v>0.845617979862064</v>
      </c>
      <c r="F4239">
        <v>0.89407877659364299</v>
      </c>
      <c r="G4239">
        <v>0.70482018848182504</v>
      </c>
      <c r="H4239">
        <v>0.60081259891639305</v>
      </c>
      <c r="I4239">
        <v>0.56321421471982802</v>
      </c>
      <c r="J4239">
        <v>0.48206468154103599</v>
      </c>
      <c r="K4239">
        <v>0.38099830940364199</v>
      </c>
      <c r="L4239">
        <v>431.05267896524902</v>
      </c>
      <c r="M4239">
        <v>6.5665367637039296</v>
      </c>
      <c r="N4239">
        <v>65.643838483100097</v>
      </c>
      <c r="O4239">
        <v>60.354821100377201</v>
      </c>
      <c r="P4239">
        <v>-2.72633844185531E-2</v>
      </c>
      <c r="Q4239">
        <v>0</v>
      </c>
      <c r="R4239">
        <v>0.965848693711155</v>
      </c>
      <c r="S4239" t="s">
        <v>10550</v>
      </c>
      <c r="T4239" t="s">
        <v>12620</v>
      </c>
      <c r="U4239" t="s">
        <v>12620</v>
      </c>
      <c r="V4239" t="s">
        <v>12620</v>
      </c>
      <c r="W4239" t="s">
        <v>16808</v>
      </c>
      <c r="X4239">
        <v>23</v>
      </c>
      <c r="Y4239" t="s">
        <v>19673</v>
      </c>
      <c r="Z4239" t="s">
        <v>29186</v>
      </c>
      <c r="AA4239">
        <v>0.74764256225405845</v>
      </c>
      <c r="AB4239" t="str">
        <f>HYPERLINK("Melting_Curves/meltCurve_Q8ND56_2_LSM14A.pdf", "Melting_Curves/meltCurve_Q8ND56_2_LSM14A.pdf")</f>
        <v>Melting_Curves/meltCurve_Q8ND56_2_LSM14A.pdf</v>
      </c>
    </row>
    <row r="4240" spans="1:28" x14ac:dyDescent="0.25">
      <c r="A4240" t="s">
        <v>4244</v>
      </c>
      <c r="B4240">
        <v>0.99987803227770999</v>
      </c>
      <c r="C4240">
        <v>0.77552939447275404</v>
      </c>
      <c r="D4240">
        <v>0.99981625581921696</v>
      </c>
      <c r="E4240">
        <v>0.73766694057770699</v>
      </c>
      <c r="F4240">
        <v>0.87208064459874002</v>
      </c>
      <c r="G4240">
        <v>0.56515344823031399</v>
      </c>
      <c r="H4240">
        <v>0.50227662181159105</v>
      </c>
      <c r="I4240">
        <v>0.44828902224460898</v>
      </c>
      <c r="J4240">
        <v>0.42876554723107202</v>
      </c>
      <c r="K4240">
        <v>0.31719179355566202</v>
      </c>
      <c r="L4240">
        <v>376.57728560033598</v>
      </c>
      <c r="M4240">
        <v>6.0710593901899896</v>
      </c>
      <c r="N4240">
        <v>62.028283697443598</v>
      </c>
      <c r="O4240">
        <v>56.306447173135197</v>
      </c>
      <c r="P4240">
        <v>-2.7039135171970399E-2</v>
      </c>
      <c r="Q4240">
        <v>0</v>
      </c>
      <c r="R4240">
        <v>0.87309667196032004</v>
      </c>
      <c r="S4240" t="s">
        <v>10551</v>
      </c>
      <c r="T4240" t="s">
        <v>12620</v>
      </c>
      <c r="U4240" t="s">
        <v>12620</v>
      </c>
      <c r="V4240" t="s">
        <v>12620</v>
      </c>
      <c r="W4240" t="s">
        <v>16809</v>
      </c>
      <c r="X4240">
        <v>2</v>
      </c>
      <c r="Y4240" t="s">
        <v>22926</v>
      </c>
      <c r="Z4240" t="s">
        <v>29187</v>
      </c>
      <c r="AA4240">
        <v>0.67348795002040618</v>
      </c>
      <c r="AB4240" t="str">
        <f>HYPERLINK("Melting_Curves/meltCurve_Q8ND76_3_CCNY.pdf", "Melting_Curves/meltCurve_Q8ND76_3_CCNY.pdf")</f>
        <v>Melting_Curves/meltCurve_Q8ND76_3_CCNY.pdf</v>
      </c>
    </row>
    <row r="4241" spans="1:28" x14ac:dyDescent="0.25">
      <c r="A4241" t="s">
        <v>4245</v>
      </c>
      <c r="B4241">
        <v>0.99987803227770999</v>
      </c>
      <c r="C4241">
        <v>0.88265967332038398</v>
      </c>
      <c r="D4241">
        <v>0.96263946224474295</v>
      </c>
      <c r="E4241">
        <v>0.83441667005076403</v>
      </c>
      <c r="F4241">
        <v>0.90491165798426199</v>
      </c>
      <c r="G4241">
        <v>0.83093279431992695</v>
      </c>
      <c r="H4241">
        <v>0.60372673767919005</v>
      </c>
      <c r="I4241">
        <v>0.64952253941375504</v>
      </c>
      <c r="J4241">
        <v>0.458208188113013</v>
      </c>
      <c r="K4241">
        <v>0.423524351396944</v>
      </c>
      <c r="L4241">
        <v>453.04808460431002</v>
      </c>
      <c r="M4241">
        <v>6.7523966843969401</v>
      </c>
      <c r="N4241">
        <v>67.094411905785904</v>
      </c>
      <c r="O4241">
        <v>61.945928652368003</v>
      </c>
      <c r="P4241">
        <v>-2.7308791646136199E-2</v>
      </c>
      <c r="Q4241">
        <v>0</v>
      </c>
      <c r="R4241">
        <v>0.91883131785683503</v>
      </c>
      <c r="S4241" t="s">
        <v>10552</v>
      </c>
      <c r="T4241" t="s">
        <v>12620</v>
      </c>
      <c r="U4241" t="s">
        <v>12620</v>
      </c>
      <c r="V4241" t="s">
        <v>12620</v>
      </c>
      <c r="W4241" t="s">
        <v>16810</v>
      </c>
      <c r="X4241">
        <v>1</v>
      </c>
      <c r="Y4241" t="s">
        <v>22927</v>
      </c>
      <c r="Z4241" t="s">
        <v>29188</v>
      </c>
      <c r="AA4241">
        <v>0.77533562403773126</v>
      </c>
      <c r="AB4241" t="str">
        <f>HYPERLINK("Melting_Curves/meltCurve_Q8NDC0_MAPK1IP1L.pdf", "Melting_Curves/meltCurve_Q8NDC0_MAPK1IP1L.pdf")</f>
        <v>Melting_Curves/meltCurve_Q8NDC0_MAPK1IP1L.pdf</v>
      </c>
    </row>
    <row r="4242" spans="1:28" x14ac:dyDescent="0.25">
      <c r="A4242" t="s">
        <v>4246</v>
      </c>
      <c r="B4242">
        <v>0.99987803227770999</v>
      </c>
      <c r="C4242">
        <v>0.82465796460761998</v>
      </c>
      <c r="D4242">
        <v>0.94150592308124903</v>
      </c>
      <c r="E4242">
        <v>0.79577923460626898</v>
      </c>
      <c r="F4242">
        <v>0.961259786513327</v>
      </c>
      <c r="G4242">
        <v>0.84090271072615796</v>
      </c>
      <c r="H4242">
        <v>0.91388497243294398</v>
      </c>
      <c r="I4242">
        <v>0.85544888993738399</v>
      </c>
      <c r="J4242">
        <v>0.88410520496997202</v>
      </c>
      <c r="K4242">
        <v>0.79190120300599398</v>
      </c>
      <c r="L4242">
        <v>10240.242430992899</v>
      </c>
      <c r="M4242">
        <v>250</v>
      </c>
      <c r="O4242">
        <v>40.958362495928199</v>
      </c>
      <c r="P4242">
        <v>-0.20185728614189499</v>
      </c>
      <c r="Q4242">
        <v>0.867716142765382</v>
      </c>
      <c r="R4242">
        <v>0.34202035537271303</v>
      </c>
      <c r="S4242" t="s">
        <v>10553</v>
      </c>
      <c r="T4242" t="s">
        <v>12620</v>
      </c>
      <c r="U4242" t="s">
        <v>12620</v>
      </c>
      <c r="V4242" t="s">
        <v>12620</v>
      </c>
      <c r="W4242" t="s">
        <v>16811</v>
      </c>
      <c r="X4242">
        <v>2</v>
      </c>
      <c r="Y4242" t="s">
        <v>22928</v>
      </c>
      <c r="Z4242" t="s">
        <v>29189</v>
      </c>
      <c r="AA4242">
        <v>0.87196469375697394</v>
      </c>
      <c r="AB4242" t="str">
        <f>HYPERLINK("Melting_Curves/meltCurve_Q8NDF8_PAPD5.pdf", "Melting_Curves/meltCurve_Q8NDF8_PAPD5.pdf")</f>
        <v>Melting_Curves/meltCurve_Q8NDF8_PAPD5.pdf</v>
      </c>
    </row>
    <row r="4243" spans="1:28" x14ac:dyDescent="0.25">
      <c r="A4243" t="s">
        <v>4247</v>
      </c>
      <c r="B4243">
        <v>0.99987803227770999</v>
      </c>
      <c r="C4243">
        <v>1.03457799901181</v>
      </c>
      <c r="D4243">
        <v>0.84152559519668102</v>
      </c>
      <c r="E4243">
        <v>0.99316753757909404</v>
      </c>
      <c r="F4243">
        <v>0.61103863318746798</v>
      </c>
      <c r="G4243">
        <v>0.45930732160169702</v>
      </c>
      <c r="H4243">
        <v>0.35524973236040602</v>
      </c>
      <c r="I4243">
        <v>0.21373440121460299</v>
      </c>
      <c r="J4243">
        <v>0.100219308256681</v>
      </c>
      <c r="K4243">
        <v>4.72303055122687E-2</v>
      </c>
      <c r="L4243">
        <v>715.06107797696495</v>
      </c>
      <c r="M4243">
        <v>12.6092152102027</v>
      </c>
      <c r="N4243">
        <v>56.709402604694702</v>
      </c>
      <c r="O4243">
        <v>55.339742288137899</v>
      </c>
      <c r="P4243">
        <v>-5.6974062950286099E-2</v>
      </c>
      <c r="Q4243">
        <v>0</v>
      </c>
      <c r="R4243">
        <v>0.96039954479462297</v>
      </c>
      <c r="S4243" t="s">
        <v>10554</v>
      </c>
      <c r="T4243" t="s">
        <v>12620</v>
      </c>
      <c r="U4243" t="s">
        <v>12620</v>
      </c>
      <c r="V4243" t="s">
        <v>12620</v>
      </c>
      <c r="W4243" t="s">
        <v>16812</v>
      </c>
      <c r="X4243">
        <v>10</v>
      </c>
      <c r="Y4243" t="s">
        <v>22929</v>
      </c>
      <c r="Z4243" t="s">
        <v>29190</v>
      </c>
      <c r="AA4243">
        <v>0.57474722267409284</v>
      </c>
      <c r="AB4243" t="str">
        <f>HYPERLINK("Melting_Curves/meltCurve_Q8NDH3_NPEPL1.pdf", "Melting_Curves/meltCurve_Q8NDH3_NPEPL1.pdf")</f>
        <v>Melting_Curves/meltCurve_Q8NDH3_NPEPL1.pdf</v>
      </c>
    </row>
    <row r="4244" spans="1:28" x14ac:dyDescent="0.25">
      <c r="A4244" t="s">
        <v>4248</v>
      </c>
      <c r="B4244">
        <v>0.99987803227770999</v>
      </c>
      <c r="C4244">
        <v>0.89664865275106198</v>
      </c>
      <c r="D4244">
        <v>0.77898479469814297</v>
      </c>
      <c r="E4244">
        <v>0.56866365189899604</v>
      </c>
      <c r="F4244">
        <v>0.45623176747488903</v>
      </c>
      <c r="G4244">
        <v>0.31329472110425999</v>
      </c>
      <c r="H4244">
        <v>0.28137744063210501</v>
      </c>
      <c r="I4244">
        <v>0.27167994086335601</v>
      </c>
      <c r="J4244">
        <v>0.249164005910714</v>
      </c>
      <c r="K4244">
        <v>0.19805061817817601</v>
      </c>
      <c r="L4244">
        <v>647.58418716657104</v>
      </c>
      <c r="M4244">
        <v>13.108593611253699</v>
      </c>
      <c r="N4244">
        <v>51.585826288416101</v>
      </c>
      <c r="O4244">
        <v>48.294238399027101</v>
      </c>
      <c r="P4244">
        <v>-5.3414593226785101E-2</v>
      </c>
      <c r="Q4244">
        <v>0.21298164020450999</v>
      </c>
      <c r="R4244">
        <v>0.99561713012003505</v>
      </c>
      <c r="S4244" t="s">
        <v>10555</v>
      </c>
      <c r="T4244" t="s">
        <v>12620</v>
      </c>
      <c r="U4244" t="s">
        <v>12620</v>
      </c>
      <c r="V4244" t="s">
        <v>12620</v>
      </c>
      <c r="W4244" t="s">
        <v>16813</v>
      </c>
      <c r="X4244">
        <v>39</v>
      </c>
      <c r="Y4244" t="s">
        <v>22930</v>
      </c>
      <c r="Z4244" t="s">
        <v>29191</v>
      </c>
      <c r="AA4244">
        <v>0.48395958733948408</v>
      </c>
      <c r="AB4244" t="str">
        <f>HYPERLINK("Melting_Curves/meltCurve_Q8NDI1_3_EHBP1.pdf", "Melting_Curves/meltCurve_Q8NDI1_3_EHBP1.pdf")</f>
        <v>Melting_Curves/meltCurve_Q8NDI1_3_EHBP1.pdf</v>
      </c>
    </row>
    <row r="4245" spans="1:28" x14ac:dyDescent="0.25">
      <c r="A4245" t="s">
        <v>4249</v>
      </c>
      <c r="B4245">
        <v>0.99987803227770999</v>
      </c>
      <c r="C4245">
        <v>0.90500864312648199</v>
      </c>
      <c r="D4245">
        <v>0.96283307185508904</v>
      </c>
      <c r="E4245">
        <v>0.85569777736602004</v>
      </c>
      <c r="F4245">
        <v>0.95358196202844803</v>
      </c>
      <c r="G4245">
        <v>0.88992003859241797</v>
      </c>
      <c r="H4245">
        <v>0.87070728121271801</v>
      </c>
      <c r="I4245">
        <v>0.74967645492238799</v>
      </c>
      <c r="J4245">
        <v>0.60867806315096995</v>
      </c>
      <c r="K4245">
        <v>0.494549776047012</v>
      </c>
      <c r="L4245">
        <v>670.123438245383</v>
      </c>
      <c r="M4245">
        <v>9.5020990042084801</v>
      </c>
      <c r="O4245">
        <v>67.612097597729203</v>
      </c>
      <c r="P4245">
        <v>-3.5155374419518097E-2</v>
      </c>
      <c r="Q4245">
        <v>0</v>
      </c>
      <c r="R4245">
        <v>0.87670029776243696</v>
      </c>
      <c r="S4245" t="s">
        <v>10556</v>
      </c>
      <c r="T4245" t="s">
        <v>12620</v>
      </c>
      <c r="U4245" t="s">
        <v>12620</v>
      </c>
      <c r="V4245" t="s">
        <v>12620</v>
      </c>
      <c r="W4245" t="s">
        <v>16814</v>
      </c>
      <c r="X4245">
        <v>6</v>
      </c>
      <c r="Y4245" t="s">
        <v>22931</v>
      </c>
      <c r="Z4245" t="s">
        <v>29192</v>
      </c>
      <c r="AA4245">
        <v>0.8694945102035222</v>
      </c>
      <c r="AB4245" t="str">
        <f>HYPERLINK("Melting_Curves/meltCurve_Q8NDV7_6_TNRC6A.pdf", "Melting_Curves/meltCurve_Q8NDV7_6_TNRC6A.pdf")</f>
        <v>Melting_Curves/meltCurve_Q8NDV7_6_TNRC6A.pdf</v>
      </c>
    </row>
    <row r="4246" spans="1:28" x14ac:dyDescent="0.25">
      <c r="A4246" t="s">
        <v>4250</v>
      </c>
      <c r="B4246">
        <v>0.99987803227770999</v>
      </c>
      <c r="C4246">
        <v>0.89014314994555299</v>
      </c>
      <c r="D4246">
        <v>1.0114753391794999</v>
      </c>
      <c r="E4246">
        <v>0.85715939183630896</v>
      </c>
      <c r="F4246">
        <v>0.80778889502935003</v>
      </c>
      <c r="G4246">
        <v>0.70686457002110703</v>
      </c>
      <c r="H4246">
        <v>0.67381783627898095</v>
      </c>
      <c r="I4246">
        <v>0.64719469759415305</v>
      </c>
      <c r="J4246">
        <v>0.62632905983964504</v>
      </c>
      <c r="K4246">
        <v>0.52283344486725503</v>
      </c>
      <c r="L4246">
        <v>434.77187431998198</v>
      </c>
      <c r="M4246">
        <v>7.5030020850049999</v>
      </c>
      <c r="O4246">
        <v>54.258556320816098</v>
      </c>
      <c r="P4246">
        <v>-1.9346979380355799E-2</v>
      </c>
      <c r="Q4246">
        <v>0.44116545841058002</v>
      </c>
      <c r="R4246">
        <v>0.93181892952175305</v>
      </c>
      <c r="S4246" t="s">
        <v>10557</v>
      </c>
      <c r="T4246" t="s">
        <v>12620</v>
      </c>
      <c r="U4246" t="s">
        <v>12620</v>
      </c>
      <c r="V4246" t="s">
        <v>12620</v>
      </c>
      <c r="W4246" t="s">
        <v>16815</v>
      </c>
      <c r="X4246">
        <v>5</v>
      </c>
      <c r="Y4246" t="s">
        <v>22932</v>
      </c>
      <c r="Z4246" t="s">
        <v>29193</v>
      </c>
      <c r="AA4246">
        <v>0.7764331314484173</v>
      </c>
      <c r="AB4246" t="str">
        <f>HYPERLINK("Melting_Curves/meltCurve_Q8NDX5_2_PHC3.pdf", "Melting_Curves/meltCurve_Q8NDX5_2_PHC3.pdf")</f>
        <v>Melting_Curves/meltCurve_Q8NDX5_2_PHC3.pdf</v>
      </c>
    </row>
    <row r="4247" spans="1:28" x14ac:dyDescent="0.25">
      <c r="A4247" t="s">
        <v>4251</v>
      </c>
      <c r="B4247">
        <v>0.99987803227770999</v>
      </c>
      <c r="C4247">
        <v>0.90128606304140602</v>
      </c>
      <c r="D4247">
        <v>0.84741572762637796</v>
      </c>
      <c r="E4247">
        <v>0.47643015517238102</v>
      </c>
      <c r="F4247">
        <v>0.39939666428592502</v>
      </c>
      <c r="G4247">
        <v>0.31042668191484601</v>
      </c>
      <c r="H4247">
        <v>0.29296139114766501</v>
      </c>
      <c r="I4247">
        <v>0.26979878775072602</v>
      </c>
      <c r="J4247">
        <v>0.248203343308318</v>
      </c>
      <c r="K4247">
        <v>0.20427064401341199</v>
      </c>
      <c r="L4247">
        <v>905.24091532380498</v>
      </c>
      <c r="M4247">
        <v>18.657341391000301</v>
      </c>
      <c r="N4247">
        <v>50.3833599601871</v>
      </c>
      <c r="O4247">
        <v>47.972196875115998</v>
      </c>
      <c r="P4247">
        <v>-7.2995395045404504E-2</v>
      </c>
      <c r="Q4247">
        <v>0.24928221863969299</v>
      </c>
      <c r="R4247">
        <v>0.987893684817026</v>
      </c>
      <c r="S4247" t="s">
        <v>10558</v>
      </c>
      <c r="T4247" t="s">
        <v>12620</v>
      </c>
      <c r="U4247" t="s">
        <v>12620</v>
      </c>
      <c r="V4247" t="s">
        <v>12620</v>
      </c>
      <c r="W4247" t="s">
        <v>16816</v>
      </c>
      <c r="X4247">
        <v>26</v>
      </c>
      <c r="Y4247" t="s">
        <v>22933</v>
      </c>
      <c r="Z4247" t="s">
        <v>29194</v>
      </c>
      <c r="AA4247">
        <v>0.47467396284875968</v>
      </c>
      <c r="AB4247" t="str">
        <f>HYPERLINK("Melting_Curves/meltCurve_Q8NE71_ABCF1.pdf", "Melting_Curves/meltCurve_Q8NE71_ABCF1.pdf")</f>
        <v>Melting_Curves/meltCurve_Q8NE71_ABCF1.pdf</v>
      </c>
    </row>
    <row r="4248" spans="1:28" x14ac:dyDescent="0.25">
      <c r="A4248" t="s">
        <v>4252</v>
      </c>
      <c r="B4248">
        <v>0.99987803227770999</v>
      </c>
      <c r="C4248">
        <v>1.0087163282959</v>
      </c>
      <c r="D4248">
        <v>0.91399386346996203</v>
      </c>
      <c r="E4248">
        <v>1.06969864687122</v>
      </c>
      <c r="F4248">
        <v>0.56911651986907097</v>
      </c>
      <c r="G4248">
        <v>0.29191753258383102</v>
      </c>
      <c r="H4248">
        <v>0.19911565596768499</v>
      </c>
      <c r="I4248">
        <v>0.15283741801429601</v>
      </c>
      <c r="J4248">
        <v>0.150059516477064</v>
      </c>
      <c r="K4248">
        <v>0.107063350829849</v>
      </c>
      <c r="L4248">
        <v>13244.5691396117</v>
      </c>
      <c r="M4248">
        <v>250</v>
      </c>
      <c r="N4248">
        <v>53.0731541540788</v>
      </c>
      <c r="O4248">
        <v>52.974888983233299</v>
      </c>
      <c r="P4248">
        <v>-0.96720514004549096</v>
      </c>
      <c r="Q4248">
        <v>0.18019868376310899</v>
      </c>
      <c r="R4248">
        <v>0.97882093631399403</v>
      </c>
      <c r="S4248" t="s">
        <v>10559</v>
      </c>
      <c r="T4248" t="s">
        <v>12620</v>
      </c>
      <c r="U4248" t="s">
        <v>12620</v>
      </c>
      <c r="V4248" t="s">
        <v>12620</v>
      </c>
      <c r="W4248" t="s">
        <v>16817</v>
      </c>
      <c r="X4248">
        <v>8</v>
      </c>
      <c r="Y4248" t="s">
        <v>22934</v>
      </c>
      <c r="Z4248" t="s">
        <v>29195</v>
      </c>
      <c r="AA4248">
        <v>0.53492851248866569</v>
      </c>
      <c r="AB4248" t="str">
        <f>HYPERLINK("Melting_Curves/meltCurve_Q8NEB9_PIK3C3.pdf", "Melting_Curves/meltCurve_Q8NEB9_PIK3C3.pdf")</f>
        <v>Melting_Curves/meltCurve_Q8NEB9_PIK3C3.pdf</v>
      </c>
    </row>
    <row r="4249" spans="1:28" x14ac:dyDescent="0.25">
      <c r="A4249" t="s">
        <v>4253</v>
      </c>
      <c r="B4249">
        <v>0.99987803227770999</v>
      </c>
      <c r="C4249">
        <v>1.0254711085930699</v>
      </c>
      <c r="D4249">
        <v>0.72958598345013304</v>
      </c>
      <c r="E4249">
        <v>0.39973388037749402</v>
      </c>
      <c r="F4249">
        <v>0.20740061566551601</v>
      </c>
      <c r="G4249">
        <v>0.16469339236998701</v>
      </c>
      <c r="H4249">
        <v>0.110708384277427</v>
      </c>
      <c r="I4249">
        <v>9.4028206671698505E-2</v>
      </c>
      <c r="J4249">
        <v>7.7705836113212801E-2</v>
      </c>
      <c r="K4249">
        <v>4.8508344787242301E-2</v>
      </c>
      <c r="L4249">
        <v>1021.80770745428</v>
      </c>
      <c r="M4249">
        <v>21.120473667907699</v>
      </c>
      <c r="N4249">
        <v>48.819865961878101</v>
      </c>
      <c r="O4249">
        <v>47.9525032291629</v>
      </c>
      <c r="P4249">
        <v>-0.100572983842796</v>
      </c>
      <c r="Q4249">
        <v>8.6649235858136206E-2</v>
      </c>
      <c r="R4249">
        <v>0.99084967568216697</v>
      </c>
      <c r="S4249" t="s">
        <v>10560</v>
      </c>
      <c r="T4249" t="s">
        <v>12620</v>
      </c>
      <c r="U4249" t="s">
        <v>12620</v>
      </c>
      <c r="V4249" t="s">
        <v>12620</v>
      </c>
      <c r="W4249" t="s">
        <v>16818</v>
      </c>
      <c r="X4249">
        <v>9</v>
      </c>
      <c r="Y4249" t="s">
        <v>22935</v>
      </c>
      <c r="Z4249" t="s">
        <v>29196</v>
      </c>
      <c r="AA4249">
        <v>0.35327956436836672</v>
      </c>
      <c r="AB4249" t="str">
        <f>HYPERLINK("Melting_Curves/meltCurve_Q8NEC7_GSTCD.pdf", "Melting_Curves/meltCurve_Q8NEC7_GSTCD.pdf")</f>
        <v>Melting_Curves/meltCurve_Q8NEC7_GSTCD.pdf</v>
      </c>
    </row>
    <row r="4250" spans="1:28" x14ac:dyDescent="0.25">
      <c r="A4250" t="s">
        <v>4254</v>
      </c>
      <c r="B4250">
        <v>0.99987803227770999</v>
      </c>
      <c r="C4250">
        <v>0.94937269076342301</v>
      </c>
      <c r="D4250">
        <v>0.95948751519249897</v>
      </c>
      <c r="E4250">
        <v>0.86463900641435099</v>
      </c>
      <c r="F4250">
        <v>0.84920335610019804</v>
      </c>
      <c r="G4250">
        <v>0.60214816858251896</v>
      </c>
      <c r="H4250">
        <v>0.60326844593581896</v>
      </c>
      <c r="I4250">
        <v>0.50532766374960403</v>
      </c>
      <c r="J4250">
        <v>0.53732364734903104</v>
      </c>
      <c r="K4250">
        <v>0.44773504269140701</v>
      </c>
      <c r="L4250">
        <v>691.04526190164904</v>
      </c>
      <c r="M4250">
        <v>12.5080646519589</v>
      </c>
      <c r="N4250">
        <v>66.356061459082795</v>
      </c>
      <c r="O4250">
        <v>53.8928329074716</v>
      </c>
      <c r="P4250">
        <v>-3.2592616906886501E-2</v>
      </c>
      <c r="Q4250">
        <v>0.43839495931350497</v>
      </c>
      <c r="R4250">
        <v>0.96807725941600897</v>
      </c>
      <c r="S4250" t="s">
        <v>10561</v>
      </c>
      <c r="T4250" t="s">
        <v>12620</v>
      </c>
      <c r="U4250" t="s">
        <v>12620</v>
      </c>
      <c r="V4250" t="s">
        <v>12620</v>
      </c>
      <c r="W4250" t="s">
        <v>16819</v>
      </c>
      <c r="X4250">
        <v>6</v>
      </c>
      <c r="Y4250" t="s">
        <v>22936</v>
      </c>
      <c r="Z4250" t="s">
        <v>29197</v>
      </c>
      <c r="AA4250">
        <v>0.73626124022246719</v>
      </c>
      <c r="AB4250" t="str">
        <f>HYPERLINK("Melting_Curves/meltCurve_Q8NEF9_SRFBP1.pdf", "Melting_Curves/meltCurve_Q8NEF9_SRFBP1.pdf")</f>
        <v>Melting_Curves/meltCurve_Q8NEF9_SRFBP1.pdf</v>
      </c>
    </row>
    <row r="4251" spans="1:28" x14ac:dyDescent="0.25">
      <c r="A4251" t="s">
        <v>4255</v>
      </c>
      <c r="B4251">
        <v>0.99987803227770999</v>
      </c>
      <c r="C4251">
        <v>0.940402472693741</v>
      </c>
      <c r="D4251">
        <v>0.94331341256587098</v>
      </c>
      <c r="E4251">
        <v>0.86781190315268497</v>
      </c>
      <c r="F4251">
        <v>0.48213382228673501</v>
      </c>
      <c r="G4251">
        <v>0.37027063299568802</v>
      </c>
      <c r="H4251">
        <v>0.14874901882835001</v>
      </c>
      <c r="I4251">
        <v>6.4217995071025699E-2</v>
      </c>
      <c r="J4251">
        <v>4.8286880690282599E-2</v>
      </c>
      <c r="K4251">
        <v>2.6079064439560502E-2</v>
      </c>
      <c r="L4251">
        <v>850.21646971663495</v>
      </c>
      <c r="M4251">
        <v>15.7048592403599</v>
      </c>
      <c r="N4251">
        <v>54.138634933042901</v>
      </c>
      <c r="O4251">
        <v>53.282190087371902</v>
      </c>
      <c r="P4251">
        <v>-7.3677641801188201E-2</v>
      </c>
      <c r="Q4251">
        <v>2.1391949701710799E-4</v>
      </c>
      <c r="R4251">
        <v>0.98528052543479605</v>
      </c>
      <c r="S4251" t="s">
        <v>10562</v>
      </c>
      <c r="T4251" t="s">
        <v>12620</v>
      </c>
      <c r="U4251" t="s">
        <v>12620</v>
      </c>
      <c r="V4251" t="s">
        <v>12620</v>
      </c>
      <c r="W4251" t="s">
        <v>16820</v>
      </c>
      <c r="X4251">
        <v>1</v>
      </c>
      <c r="Y4251" t="s">
        <v>22937</v>
      </c>
      <c r="Z4251" t="s">
        <v>29198</v>
      </c>
      <c r="AA4251">
        <v>0.49057550214256579</v>
      </c>
      <c r="AB4251" t="str">
        <f>HYPERLINK("Melting_Curves/meltCurve_Q8NEH6_MNS1.pdf", "Melting_Curves/meltCurve_Q8NEH6_MNS1.pdf")</f>
        <v>Melting_Curves/meltCurve_Q8NEH6_MNS1.pdf</v>
      </c>
    </row>
    <row r="4252" spans="1:28" x14ac:dyDescent="0.25">
      <c r="A4252" t="s">
        <v>4256</v>
      </c>
      <c r="B4252">
        <v>0.99987803227770999</v>
      </c>
      <c r="C4252">
        <v>1.1071585318403701</v>
      </c>
      <c r="D4252">
        <v>0.90782903296837603</v>
      </c>
      <c r="E4252">
        <v>1.00835719524183</v>
      </c>
      <c r="F4252">
        <v>0.55761637160978705</v>
      </c>
      <c r="G4252">
        <v>0.321888581962126</v>
      </c>
      <c r="H4252">
        <v>0.24013557300965499</v>
      </c>
      <c r="I4252">
        <v>0.16688970581946699</v>
      </c>
      <c r="J4252">
        <v>0.15717431116314301</v>
      </c>
      <c r="K4252">
        <v>0.124007779551509</v>
      </c>
      <c r="L4252">
        <v>1781.2395752346799</v>
      </c>
      <c r="M4252">
        <v>33.4754715478511</v>
      </c>
      <c r="N4252">
        <v>53.918985856275</v>
      </c>
      <c r="O4252">
        <v>53.021481106671899</v>
      </c>
      <c r="P4252">
        <v>-0.12974761098733201</v>
      </c>
      <c r="Q4252">
        <v>0.17797946043072599</v>
      </c>
      <c r="R4252">
        <v>0.97175223922803999</v>
      </c>
      <c r="S4252" t="s">
        <v>10563</v>
      </c>
      <c r="T4252" t="s">
        <v>12620</v>
      </c>
      <c r="U4252" t="s">
        <v>12620</v>
      </c>
      <c r="V4252" t="s">
        <v>12620</v>
      </c>
      <c r="W4252" t="s">
        <v>16821</v>
      </c>
      <c r="X4252">
        <v>2</v>
      </c>
      <c r="Y4252" t="s">
        <v>22938</v>
      </c>
      <c r="Z4252" t="s">
        <v>29199</v>
      </c>
      <c r="AA4252">
        <v>0.54425879568230118</v>
      </c>
      <c r="AB4252" t="str">
        <f>HYPERLINK("Melting_Curves/meltCurve_Q8NEL9_2_DDHD1.pdf", "Melting_Curves/meltCurve_Q8NEL9_2_DDHD1.pdf")</f>
        <v>Melting_Curves/meltCurve_Q8NEL9_2_DDHD1.pdf</v>
      </c>
    </row>
    <row r="4253" spans="1:28" x14ac:dyDescent="0.25">
      <c r="A4253" t="s">
        <v>4257</v>
      </c>
      <c r="B4253">
        <v>0.99987803227770999</v>
      </c>
      <c r="C4253">
        <v>0.817974767329395</v>
      </c>
      <c r="D4253">
        <v>0.81502162483484597</v>
      </c>
      <c r="E4253">
        <v>0.85935474425608105</v>
      </c>
      <c r="F4253">
        <v>0.87289861894851795</v>
      </c>
      <c r="G4253">
        <v>0.75201363324012105</v>
      </c>
      <c r="H4253">
        <v>0.83015478563090805</v>
      </c>
      <c r="I4253">
        <v>0.86945771481338496</v>
      </c>
      <c r="J4253">
        <v>0.76917112325437997</v>
      </c>
      <c r="K4253">
        <v>0.75802677113569294</v>
      </c>
      <c r="L4253">
        <v>6941.83535161691</v>
      </c>
      <c r="M4253">
        <v>166.22442709428199</v>
      </c>
      <c r="O4253">
        <v>41.755758369616302</v>
      </c>
      <c r="P4253">
        <v>-0.183356613353059</v>
      </c>
      <c r="Q4253">
        <v>0.81576237518193095</v>
      </c>
      <c r="R4253">
        <v>0.63063694979636598</v>
      </c>
      <c r="S4253" t="s">
        <v>10564</v>
      </c>
      <c r="T4253" t="s">
        <v>12620</v>
      </c>
      <c r="U4253" t="s">
        <v>12620</v>
      </c>
      <c r="V4253" t="s">
        <v>12620</v>
      </c>
      <c r="W4253" t="s">
        <v>16822</v>
      </c>
      <c r="X4253">
        <v>2</v>
      </c>
      <c r="Y4253" t="s">
        <v>22939</v>
      </c>
      <c r="Z4253" t="s">
        <v>29200</v>
      </c>
      <c r="AA4253">
        <v>0.82661366442689066</v>
      </c>
      <c r="AB4253" t="str">
        <f>HYPERLINK("Melting_Curves/meltCurve_Q8NEM0_MCPH1.pdf", "Melting_Curves/meltCurve_Q8NEM0_MCPH1.pdf")</f>
        <v>Melting_Curves/meltCurve_Q8NEM0_MCPH1.pdf</v>
      </c>
    </row>
    <row r="4254" spans="1:28" x14ac:dyDescent="0.25">
      <c r="A4254" t="s">
        <v>4258</v>
      </c>
      <c r="B4254">
        <v>0.99987803227770999</v>
      </c>
      <c r="C4254">
        <v>0.98187466550422597</v>
      </c>
      <c r="D4254">
        <v>0.59304577641309197</v>
      </c>
      <c r="E4254">
        <v>0.64981398722969497</v>
      </c>
      <c r="F4254">
        <v>0.29389182030093502</v>
      </c>
      <c r="G4254">
        <v>0.18893577346825699</v>
      </c>
      <c r="H4254">
        <v>0.124382689942452</v>
      </c>
      <c r="I4254">
        <v>0.103648328128637</v>
      </c>
      <c r="J4254">
        <v>7.8881727325104706E-2</v>
      </c>
      <c r="K4254">
        <v>5.2780901014892502E-2</v>
      </c>
      <c r="L4254">
        <v>628.53835675264997</v>
      </c>
      <c r="M4254">
        <v>12.5811993101697</v>
      </c>
      <c r="N4254">
        <v>50.2428138088884</v>
      </c>
      <c r="O4254">
        <v>48.746779318633699</v>
      </c>
      <c r="P4254">
        <v>-6.2319051758564899E-2</v>
      </c>
      <c r="Q4254">
        <v>3.4354859612020797E-2</v>
      </c>
      <c r="R4254">
        <v>0.95322921514421299</v>
      </c>
      <c r="S4254" t="s">
        <v>10565</v>
      </c>
      <c r="T4254" t="s">
        <v>12620</v>
      </c>
      <c r="U4254" t="s">
        <v>12620</v>
      </c>
      <c r="V4254" t="s">
        <v>12620</v>
      </c>
      <c r="W4254" t="s">
        <v>16823</v>
      </c>
      <c r="X4254">
        <v>12</v>
      </c>
      <c r="Y4254" t="s">
        <v>22940</v>
      </c>
      <c r="Z4254" t="s">
        <v>29201</v>
      </c>
      <c r="AA4254">
        <v>0.38598258514329209</v>
      </c>
      <c r="AB4254" t="str">
        <f>HYPERLINK("Melting_Curves/meltCurve_Q8NEM2_SHCBP1.pdf", "Melting_Curves/meltCurve_Q8NEM2_SHCBP1.pdf")</f>
        <v>Melting_Curves/meltCurve_Q8NEM2_SHCBP1.pdf</v>
      </c>
    </row>
    <row r="4255" spans="1:28" x14ac:dyDescent="0.25">
      <c r="A4255" t="s">
        <v>4259</v>
      </c>
      <c r="B4255">
        <v>0.99987803227770999</v>
      </c>
      <c r="C4255">
        <v>0.90864395545177901</v>
      </c>
      <c r="D4255">
        <v>0.96799707707517602</v>
      </c>
      <c r="E4255">
        <v>0.86832991317136798</v>
      </c>
      <c r="F4255">
        <v>0.94050494801429296</v>
      </c>
      <c r="G4255">
        <v>0.73270293901883499</v>
      </c>
      <c r="H4255">
        <v>0.70729143121632099</v>
      </c>
      <c r="I4255">
        <v>0.67704645370331396</v>
      </c>
      <c r="J4255">
        <v>0.63318977269439003</v>
      </c>
      <c r="K4255">
        <v>0.523437602227111</v>
      </c>
      <c r="L4255">
        <v>350.49064509892798</v>
      </c>
      <c r="M4255">
        <v>4.8129538485184797</v>
      </c>
      <c r="O4255">
        <v>62.978078379900801</v>
      </c>
      <c r="P4255">
        <v>-1.9238992410648699E-2</v>
      </c>
      <c r="Q4255">
        <v>0</v>
      </c>
      <c r="R4255">
        <v>0.92605645029495598</v>
      </c>
      <c r="S4255" t="s">
        <v>10566</v>
      </c>
      <c r="T4255" t="s">
        <v>12620</v>
      </c>
      <c r="U4255" t="s">
        <v>12620</v>
      </c>
      <c r="V4255" t="s">
        <v>12620</v>
      </c>
      <c r="W4255" t="s">
        <v>16824</v>
      </c>
      <c r="X4255">
        <v>2</v>
      </c>
      <c r="Y4255" t="s">
        <v>22941</v>
      </c>
      <c r="Z4255" t="s">
        <v>29202</v>
      </c>
      <c r="AA4255">
        <v>0.80428074368804381</v>
      </c>
      <c r="AB4255" t="str">
        <f>HYPERLINK("Melting_Curves/meltCurve_Q8NEN9_PDZD8.pdf", "Melting_Curves/meltCurve_Q8NEN9_PDZD8.pdf")</f>
        <v>Melting_Curves/meltCurve_Q8NEN9_PDZD8.pdf</v>
      </c>
    </row>
    <row r="4256" spans="1:28" x14ac:dyDescent="0.25">
      <c r="A4256" t="s">
        <v>4260</v>
      </c>
      <c r="B4256">
        <v>0.99987803227770999</v>
      </c>
      <c r="C4256">
        <v>1.1838032238346401</v>
      </c>
      <c r="D4256">
        <v>0.56217657004964705</v>
      </c>
      <c r="E4256">
        <v>0.409852622653194</v>
      </c>
      <c r="F4256">
        <v>0.22419200038946199</v>
      </c>
      <c r="G4256">
        <v>0.13924364545391801</v>
      </c>
      <c r="H4256">
        <v>7.8112328709993697E-2</v>
      </c>
      <c r="I4256">
        <v>6.5370593045931097E-2</v>
      </c>
      <c r="J4256">
        <v>5.2763206766222599E-2</v>
      </c>
      <c r="K4256">
        <v>3.3295244462302601E-2</v>
      </c>
      <c r="L4256">
        <v>958.51711252657606</v>
      </c>
      <c r="M4256">
        <v>19.931960736533899</v>
      </c>
      <c r="N4256">
        <v>48.437285982677402</v>
      </c>
      <c r="O4256">
        <v>47.613241930681497</v>
      </c>
      <c r="P4256">
        <v>-9.7679896234484295E-2</v>
      </c>
      <c r="Q4256">
        <v>6.6684276000272505E-2</v>
      </c>
      <c r="R4256">
        <v>0.93444449154812304</v>
      </c>
      <c r="S4256" t="s">
        <v>10567</v>
      </c>
      <c r="T4256" t="s">
        <v>12620</v>
      </c>
      <c r="U4256" t="s">
        <v>12620</v>
      </c>
      <c r="V4256" t="s">
        <v>12620</v>
      </c>
      <c r="W4256" t="s">
        <v>16825</v>
      </c>
      <c r="X4256">
        <v>11</v>
      </c>
      <c r="Y4256" t="s">
        <v>22942</v>
      </c>
      <c r="Z4256" t="s">
        <v>29203</v>
      </c>
      <c r="AA4256">
        <v>0.33168702267923972</v>
      </c>
      <c r="AB4256" t="str">
        <f>HYPERLINK("Melting_Curves/meltCurve_Q8NEU8_APPL2.pdf", "Melting_Curves/meltCurve_Q8NEU8_APPL2.pdf")</f>
        <v>Melting_Curves/meltCurve_Q8NEU8_APPL2.pdf</v>
      </c>
    </row>
    <row r="4257" spans="1:28" x14ac:dyDescent="0.25">
      <c r="A4257" t="s">
        <v>4261</v>
      </c>
      <c r="B4257">
        <v>0.99987803227770999</v>
      </c>
      <c r="C4257">
        <v>0.85253559278424695</v>
      </c>
      <c r="D4257">
        <v>0.91012602856430203</v>
      </c>
      <c r="E4257">
        <v>0.77847161228183204</v>
      </c>
      <c r="F4257">
        <v>0.87088203207385795</v>
      </c>
      <c r="G4257">
        <v>0.71677868011070001</v>
      </c>
      <c r="H4257">
        <v>0.71978596173267795</v>
      </c>
      <c r="I4257">
        <v>0.68530057765818897</v>
      </c>
      <c r="J4257">
        <v>0.68373995037920499</v>
      </c>
      <c r="K4257">
        <v>0.56515457678554604</v>
      </c>
      <c r="L4257">
        <v>215.44847746853301</v>
      </c>
      <c r="M4257">
        <v>2.6405766545934699</v>
      </c>
      <c r="O4257">
        <v>56.5822591946554</v>
      </c>
      <c r="P4257">
        <v>-1.2182277026344999E-2</v>
      </c>
      <c r="Q4257">
        <v>0</v>
      </c>
      <c r="R4257">
        <v>0.85421740972095195</v>
      </c>
      <c r="S4257" t="s">
        <v>10568</v>
      </c>
      <c r="T4257" t="s">
        <v>12620</v>
      </c>
      <c r="U4257" t="s">
        <v>12620</v>
      </c>
      <c r="V4257" t="s">
        <v>12620</v>
      </c>
      <c r="W4257" t="s">
        <v>16826</v>
      </c>
      <c r="X4257">
        <v>20</v>
      </c>
      <c r="Y4257" t="s">
        <v>22943</v>
      </c>
      <c r="Z4257" t="s">
        <v>29204</v>
      </c>
      <c r="AA4257">
        <v>0.77950530357448855</v>
      </c>
      <c r="AB4257" t="str">
        <f>HYPERLINK("Melting_Curves/meltCurve_Q8NEY1_2_NAV1.pdf", "Melting_Curves/meltCurve_Q8NEY1_2_NAV1.pdf")</f>
        <v>Melting_Curves/meltCurve_Q8NEY1_2_NAV1.pdf</v>
      </c>
    </row>
    <row r="4258" spans="1:28" x14ac:dyDescent="0.25">
      <c r="A4258" t="s">
        <v>4262</v>
      </c>
      <c r="B4258">
        <v>0.99987803227770999</v>
      </c>
      <c r="C4258">
        <v>1.0941465833889901</v>
      </c>
      <c r="D4258">
        <v>1.0941629740341801</v>
      </c>
      <c r="E4258">
        <v>0.89609503228302601</v>
      </c>
      <c r="F4258">
        <v>0.636528453076602</v>
      </c>
      <c r="G4258">
        <v>0.38817966687370298</v>
      </c>
      <c r="H4258">
        <v>0.225075746441842</v>
      </c>
      <c r="I4258">
        <v>0.18939341306604501</v>
      </c>
      <c r="J4258">
        <v>0.147813760736276</v>
      </c>
      <c r="K4258">
        <v>0.12154591891661901</v>
      </c>
      <c r="L4258">
        <v>1185.36796615087</v>
      </c>
      <c r="M4258">
        <v>21.855203978116201</v>
      </c>
      <c r="N4258">
        <v>55.084120940559302</v>
      </c>
      <c r="O4258">
        <v>53.789372425041897</v>
      </c>
      <c r="P4258">
        <v>-8.7086868644095303E-2</v>
      </c>
      <c r="Q4258">
        <v>0.14267732632883101</v>
      </c>
      <c r="R4258">
        <v>0.98325246101567498</v>
      </c>
      <c r="S4258" t="s">
        <v>10569</v>
      </c>
      <c r="T4258" t="s">
        <v>12620</v>
      </c>
      <c r="U4258" t="s">
        <v>12620</v>
      </c>
      <c r="V4258" t="s">
        <v>12620</v>
      </c>
      <c r="W4258" t="s">
        <v>16827</v>
      </c>
      <c r="X4258">
        <v>6</v>
      </c>
      <c r="Y4258" t="s">
        <v>22944</v>
      </c>
      <c r="Z4258" t="s">
        <v>29205</v>
      </c>
      <c r="AA4258">
        <v>0.55958253904097432</v>
      </c>
      <c r="AB4258" t="str">
        <f>HYPERLINK("Melting_Curves/meltCurve_Q8NEZ2_VPS37A.pdf", "Melting_Curves/meltCurve_Q8NEZ2_VPS37A.pdf")</f>
        <v>Melting_Curves/meltCurve_Q8NEZ2_VPS37A.pdf</v>
      </c>
    </row>
    <row r="4259" spans="1:28" x14ac:dyDescent="0.25">
      <c r="A4259" t="s">
        <v>4263</v>
      </c>
      <c r="B4259">
        <v>0.99987803227770999</v>
      </c>
      <c r="C4259">
        <v>0.93955421366709801</v>
      </c>
      <c r="D4259">
        <v>0.87031746780737096</v>
      </c>
      <c r="E4259">
        <v>0.91065263633021198</v>
      </c>
      <c r="F4259">
        <v>0.95309697914079305</v>
      </c>
      <c r="G4259">
        <v>0.68648069086388797</v>
      </c>
      <c r="H4259">
        <v>0.65282745702791101</v>
      </c>
      <c r="I4259">
        <v>0.36064797886969802</v>
      </c>
      <c r="J4259">
        <v>0.27405142809977701</v>
      </c>
      <c r="K4259">
        <v>0.176380476612572</v>
      </c>
      <c r="L4259">
        <v>777.53602197959503</v>
      </c>
      <c r="M4259">
        <v>12.5369165013763</v>
      </c>
      <c r="N4259">
        <v>62.019717715182701</v>
      </c>
      <c r="O4259">
        <v>60.505186706677797</v>
      </c>
      <c r="P4259">
        <v>-5.1811535526467799E-2</v>
      </c>
      <c r="Q4259">
        <v>0</v>
      </c>
      <c r="R4259">
        <v>0.95464420160939401</v>
      </c>
      <c r="S4259" t="s">
        <v>10570</v>
      </c>
      <c r="T4259" t="s">
        <v>12620</v>
      </c>
      <c r="U4259" t="s">
        <v>12620</v>
      </c>
      <c r="V4259" t="s">
        <v>12620</v>
      </c>
      <c r="W4259" t="s">
        <v>16828</v>
      </c>
      <c r="X4259">
        <v>4</v>
      </c>
      <c r="Y4259" t="s">
        <v>22945</v>
      </c>
      <c r="Z4259" t="s">
        <v>29206</v>
      </c>
      <c r="AA4259">
        <v>0.72447311588105001</v>
      </c>
      <c r="AB4259" t="str">
        <f>HYPERLINK("Melting_Curves/meltCurve_Q8NEZ4_MLL3.pdf", "Melting_Curves/meltCurve_Q8NEZ4_MLL3.pdf")</f>
        <v>Melting_Curves/meltCurve_Q8NEZ4_MLL3.pdf</v>
      </c>
    </row>
    <row r="4260" spans="1:28" x14ac:dyDescent="0.25">
      <c r="A4260" t="s">
        <v>4264</v>
      </c>
      <c r="B4260">
        <v>0.99987803227770999</v>
      </c>
      <c r="C4260">
        <v>0.97732129803745804</v>
      </c>
      <c r="D4260">
        <v>1.00682861366474</v>
      </c>
      <c r="E4260">
        <v>0.82249462116030803</v>
      </c>
      <c r="F4260">
        <v>0.46906454403909698</v>
      </c>
      <c r="G4260">
        <v>0.18418308665088701</v>
      </c>
      <c r="H4260">
        <v>0.13510049087157899</v>
      </c>
      <c r="I4260">
        <v>0.111733419561911</v>
      </c>
      <c r="J4260">
        <v>8.8966458649734001E-2</v>
      </c>
      <c r="K4260">
        <v>5.5705479838636399E-2</v>
      </c>
      <c r="L4260">
        <v>1482.6824568218401</v>
      </c>
      <c r="M4260">
        <v>28.274576096779999</v>
      </c>
      <c r="N4260">
        <v>52.818524154497297</v>
      </c>
      <c r="O4260">
        <v>52.178509179520702</v>
      </c>
      <c r="P4260">
        <v>-0.123009645346219</v>
      </c>
      <c r="Q4260">
        <v>9.1988931723697903E-2</v>
      </c>
      <c r="R4260">
        <v>0.99782060384428495</v>
      </c>
      <c r="S4260" t="s">
        <v>10571</v>
      </c>
      <c r="T4260" t="s">
        <v>12620</v>
      </c>
      <c r="U4260" t="s">
        <v>12620</v>
      </c>
      <c r="V4260" t="s">
        <v>12620</v>
      </c>
      <c r="W4260" t="s">
        <v>16829</v>
      </c>
      <c r="X4260">
        <v>10</v>
      </c>
      <c r="Y4260" t="s">
        <v>22946</v>
      </c>
      <c r="Z4260" t="s">
        <v>29207</v>
      </c>
      <c r="AA4260">
        <v>0.47503349340933287</v>
      </c>
      <c r="AB4260" t="str">
        <f>HYPERLINK("Melting_Curves/meltCurve_Q8NEZ5_FBXO22.pdf", "Melting_Curves/meltCurve_Q8NEZ5_FBXO22.pdf")</f>
        <v>Melting_Curves/meltCurve_Q8NEZ5_FBXO22.pdf</v>
      </c>
    </row>
    <row r="4261" spans="1:28" x14ac:dyDescent="0.25">
      <c r="A4261" t="s">
        <v>4265</v>
      </c>
      <c r="B4261">
        <v>0.99987803227770999</v>
      </c>
      <c r="C4261">
        <v>1.0725619777704201</v>
      </c>
      <c r="D4261">
        <v>1.13040147445989</v>
      </c>
      <c r="E4261">
        <v>1.0481243570560299</v>
      </c>
      <c r="F4261">
        <v>1.06712205188522</v>
      </c>
      <c r="G4261">
        <v>0.85970289092673702</v>
      </c>
      <c r="H4261">
        <v>0.56053096744627295</v>
      </c>
      <c r="I4261">
        <v>0.31165121645369198</v>
      </c>
      <c r="J4261">
        <v>0.10523126884233799</v>
      </c>
      <c r="K4261">
        <v>7.3839127681239597E-2</v>
      </c>
      <c r="L4261">
        <v>1568.3417761912499</v>
      </c>
      <c r="M4261">
        <v>25.484187865227899</v>
      </c>
      <c r="N4261">
        <v>61.646197939113001</v>
      </c>
      <c r="O4261">
        <v>61.166570652118203</v>
      </c>
      <c r="P4261">
        <v>-0.101959619983144</v>
      </c>
      <c r="Q4261">
        <v>2.1127638963577899E-2</v>
      </c>
      <c r="R4261">
        <v>0.97896839363704102</v>
      </c>
      <c r="S4261" t="s">
        <v>10572</v>
      </c>
      <c r="T4261" t="s">
        <v>12620</v>
      </c>
      <c r="U4261" t="s">
        <v>12620</v>
      </c>
      <c r="V4261" t="s">
        <v>12620</v>
      </c>
      <c r="W4261" t="s">
        <v>16830</v>
      </c>
      <c r="X4261">
        <v>7</v>
      </c>
      <c r="Y4261" t="s">
        <v>22947</v>
      </c>
      <c r="Z4261" t="s">
        <v>29208</v>
      </c>
      <c r="AA4261">
        <v>0.7293489448457342</v>
      </c>
      <c r="AB4261" t="str">
        <f>HYPERLINK("Melting_Curves/meltCurve_Q8NF64_3_ZMIZ2.pdf", "Melting_Curves/meltCurve_Q8NF64_3_ZMIZ2.pdf")</f>
        <v>Melting_Curves/meltCurve_Q8NF64_3_ZMIZ2.pdf</v>
      </c>
    </row>
    <row r="4262" spans="1:28" x14ac:dyDescent="0.25">
      <c r="A4262" t="s">
        <v>4266</v>
      </c>
      <c r="B4262">
        <v>0.99987803227770999</v>
      </c>
      <c r="C4262">
        <v>0.84903253412361002</v>
      </c>
      <c r="D4262">
        <v>1.0763146712645499</v>
      </c>
      <c r="E4262">
        <v>0.88269074406153403</v>
      </c>
      <c r="F4262">
        <v>1.0875606903378701</v>
      </c>
      <c r="G4262">
        <v>0.86987675604649095</v>
      </c>
      <c r="H4262">
        <v>0.99989311296144601</v>
      </c>
      <c r="I4262">
        <v>0.92732871880635404</v>
      </c>
      <c r="J4262">
        <v>0.88219253813605303</v>
      </c>
      <c r="K4262">
        <v>0.71201806659957301</v>
      </c>
      <c r="L4262">
        <v>1351.62394033384</v>
      </c>
      <c r="M4262">
        <v>18.3581044094202</v>
      </c>
      <c r="Q4262">
        <v>0</v>
      </c>
      <c r="R4262">
        <v>0.43232048020012398</v>
      </c>
      <c r="S4262" t="s">
        <v>10573</v>
      </c>
      <c r="T4262" t="s">
        <v>12620</v>
      </c>
      <c r="U4262" t="s">
        <v>12620</v>
      </c>
      <c r="V4262" t="s">
        <v>12620</v>
      </c>
      <c r="W4262" t="s">
        <v>16831</v>
      </c>
      <c r="X4262">
        <v>2</v>
      </c>
      <c r="Z4262" t="s">
        <v>29209</v>
      </c>
      <c r="AA4262">
        <v>0.96435563840574834</v>
      </c>
      <c r="AB4262" t="str">
        <f>HYPERLINK("Melting_Curves/meltCurve_Q8NF67_.pdf", "Melting_Curves/meltCurve_Q8NF67_.pdf")</f>
        <v>Melting_Curves/meltCurve_Q8NF67_.pdf</v>
      </c>
    </row>
    <row r="4263" spans="1:28" x14ac:dyDescent="0.25">
      <c r="A4263" t="s">
        <v>4267</v>
      </c>
      <c r="B4263">
        <v>0.99987803227770999</v>
      </c>
      <c r="C4263">
        <v>1.13521179870041</v>
      </c>
      <c r="D4263">
        <v>0.79125499667886201</v>
      </c>
      <c r="E4263">
        <v>0.44388280169902899</v>
      </c>
      <c r="F4263">
        <v>0.260946357057047</v>
      </c>
      <c r="G4263">
        <v>0.168872356335518</v>
      </c>
      <c r="H4263">
        <v>0.13956190135873001</v>
      </c>
      <c r="I4263">
        <v>0.12238705697341</v>
      </c>
      <c r="J4263">
        <v>9.35316954534373E-2</v>
      </c>
      <c r="K4263">
        <v>7.2548762941034406E-2</v>
      </c>
      <c r="L4263">
        <v>1153.4428337946599</v>
      </c>
      <c r="M4263">
        <v>23.549329432000299</v>
      </c>
      <c r="N4263">
        <v>49.513880614667102</v>
      </c>
      <c r="O4263">
        <v>48.630773829535499</v>
      </c>
      <c r="P4263">
        <v>-0.10748683247799599</v>
      </c>
      <c r="Q4263">
        <v>0.11214831067443901</v>
      </c>
      <c r="R4263">
        <v>0.97713758168523801</v>
      </c>
      <c r="S4263" t="s">
        <v>10574</v>
      </c>
      <c r="T4263" t="s">
        <v>12620</v>
      </c>
      <c r="U4263" t="s">
        <v>12620</v>
      </c>
      <c r="V4263" t="s">
        <v>12620</v>
      </c>
      <c r="W4263" t="s">
        <v>16832</v>
      </c>
      <c r="X4263">
        <v>30</v>
      </c>
      <c r="Y4263" t="s">
        <v>22948</v>
      </c>
      <c r="Z4263" t="s">
        <v>29210</v>
      </c>
      <c r="AA4263">
        <v>0.38680597294831742</v>
      </c>
      <c r="AB4263" t="str">
        <f>HYPERLINK("Melting_Curves/meltCurve_Q8NF91_SYNE1.pdf", "Melting_Curves/meltCurve_Q8NF91_SYNE1.pdf")</f>
        <v>Melting_Curves/meltCurve_Q8NF91_SYNE1.pdf</v>
      </c>
    </row>
    <row r="4264" spans="1:28" x14ac:dyDescent="0.25">
      <c r="A4264" t="s">
        <v>4268</v>
      </c>
      <c r="B4264">
        <v>0.99987803227770999</v>
      </c>
      <c r="C4264">
        <v>0.96841496835899299</v>
      </c>
      <c r="D4264">
        <v>0.84905091235209096</v>
      </c>
      <c r="E4264">
        <v>0.63425656334487901</v>
      </c>
      <c r="F4264">
        <v>0.414515363928527</v>
      </c>
      <c r="G4264">
        <v>0.26170033211621002</v>
      </c>
      <c r="H4264">
        <v>0.187640746155324</v>
      </c>
      <c r="I4264">
        <v>0.19334197332602099</v>
      </c>
      <c r="J4264">
        <v>0.14010477163070301</v>
      </c>
      <c r="K4264">
        <v>0.10942633023724301</v>
      </c>
      <c r="L4264">
        <v>800.08198521230497</v>
      </c>
      <c r="M4264">
        <v>15.7274158027491</v>
      </c>
      <c r="N4264">
        <v>51.820259497107102</v>
      </c>
      <c r="O4264">
        <v>50.070644654940303</v>
      </c>
      <c r="P4264">
        <v>-6.8711026348991205E-2</v>
      </c>
      <c r="Q4264">
        <v>0.125064975331242</v>
      </c>
      <c r="R4264">
        <v>0.99755053118032</v>
      </c>
      <c r="S4264" t="s">
        <v>10575</v>
      </c>
      <c r="T4264" t="s">
        <v>12620</v>
      </c>
      <c r="U4264" t="s">
        <v>12620</v>
      </c>
      <c r="V4264" t="s">
        <v>12620</v>
      </c>
      <c r="W4264" t="s">
        <v>16833</v>
      </c>
      <c r="X4264">
        <v>7</v>
      </c>
      <c r="Y4264" t="s">
        <v>22949</v>
      </c>
      <c r="Z4264" t="s">
        <v>29211</v>
      </c>
      <c r="AA4264">
        <v>0.46087149704614527</v>
      </c>
      <c r="AB4264" t="str">
        <f>HYPERLINK("Melting_Curves/meltCurve_Q8NFA0_USP32.pdf", "Melting_Curves/meltCurve_Q8NFA0_USP32.pdf")</f>
        <v>Melting_Curves/meltCurve_Q8NFA0_USP32.pdf</v>
      </c>
    </row>
    <row r="4265" spans="1:28" x14ac:dyDescent="0.25">
      <c r="A4265" t="s">
        <v>4269</v>
      </c>
      <c r="B4265">
        <v>0.99987803227770999</v>
      </c>
      <c r="C4265">
        <v>0.96438158090449699</v>
      </c>
      <c r="D4265">
        <v>1.0010663971862599</v>
      </c>
      <c r="E4265">
        <v>0.97785347499582298</v>
      </c>
      <c r="F4265">
        <v>1.05195802061017</v>
      </c>
      <c r="G4265">
        <v>0.96661776415948497</v>
      </c>
      <c r="H4265">
        <v>1.10294643662797</v>
      </c>
      <c r="I4265">
        <v>0.97160270283216799</v>
      </c>
      <c r="J4265">
        <v>1.0840976870641701</v>
      </c>
      <c r="K4265">
        <v>0.82136118804954605</v>
      </c>
      <c r="L4265">
        <v>15000</v>
      </c>
      <c r="M4265">
        <v>212.76005944906001</v>
      </c>
      <c r="Q4265">
        <v>0</v>
      </c>
      <c r="R4265">
        <v>0.56756638695814698</v>
      </c>
      <c r="S4265" t="s">
        <v>10576</v>
      </c>
      <c r="T4265" t="s">
        <v>12620</v>
      </c>
      <c r="U4265" t="s">
        <v>12620</v>
      </c>
      <c r="V4265" t="s">
        <v>12620</v>
      </c>
      <c r="W4265" t="s">
        <v>16834</v>
      </c>
      <c r="X4265">
        <v>88</v>
      </c>
      <c r="Y4265" t="s">
        <v>19475</v>
      </c>
      <c r="Z4265" t="s">
        <v>29212</v>
      </c>
      <c r="AA4265">
        <v>0.99787797099698783</v>
      </c>
      <c r="AB4265" t="str">
        <f>HYPERLINK("Melting_Curves/meltCurve_Q8NFC6_BOD1L1.pdf", "Melting_Curves/meltCurve_Q8NFC6_BOD1L1.pdf")</f>
        <v>Melting_Curves/meltCurve_Q8NFC6_BOD1L1.pdf</v>
      </c>
    </row>
    <row r="4266" spans="1:28" x14ac:dyDescent="0.25">
      <c r="A4266" t="s">
        <v>4270</v>
      </c>
      <c r="B4266">
        <v>0.99987803227770999</v>
      </c>
      <c r="C4266">
        <v>0.83375484510756503</v>
      </c>
      <c r="D4266">
        <v>0.55716130403849196</v>
      </c>
      <c r="E4266">
        <v>0.48244063829476502</v>
      </c>
      <c r="F4266">
        <v>0.36459995935075101</v>
      </c>
      <c r="G4266">
        <v>0.31640673861520102</v>
      </c>
      <c r="H4266">
        <v>0.25351253069882701</v>
      </c>
      <c r="I4266">
        <v>0.19648018257566</v>
      </c>
      <c r="J4266">
        <v>0.168812968988932</v>
      </c>
      <c r="K4266">
        <v>0.124233660819558</v>
      </c>
      <c r="L4266">
        <v>534.25723506337704</v>
      </c>
      <c r="M4266">
        <v>11.219316257084399</v>
      </c>
      <c r="N4266">
        <v>49.208740964175</v>
      </c>
      <c r="O4266">
        <v>46.181716338629897</v>
      </c>
      <c r="P4266">
        <v>-5.15199606251662E-2</v>
      </c>
      <c r="Q4266">
        <v>0.151985236158935</v>
      </c>
      <c r="R4266">
        <v>0.96676243123996897</v>
      </c>
      <c r="S4266" t="s">
        <v>10577</v>
      </c>
      <c r="T4266" t="s">
        <v>12620</v>
      </c>
      <c r="U4266" t="s">
        <v>12620</v>
      </c>
      <c r="V4266" t="s">
        <v>12620</v>
      </c>
      <c r="W4266" t="s">
        <v>16835</v>
      </c>
      <c r="X4266">
        <v>10</v>
      </c>
      <c r="Y4266" t="s">
        <v>22950</v>
      </c>
      <c r="Z4266" t="s">
        <v>29213</v>
      </c>
      <c r="AA4266">
        <v>0.40568157204833472</v>
      </c>
      <c r="AB4266" t="str">
        <f>HYPERLINK("Melting_Curves/meltCurve_Q8NFF5_2_FLAD1.pdf", "Melting_Curves/meltCurve_Q8NFF5_2_FLAD1.pdf")</f>
        <v>Melting_Curves/meltCurve_Q8NFF5_2_FLAD1.pdf</v>
      </c>
    </row>
    <row r="4267" spans="1:28" x14ac:dyDescent="0.25">
      <c r="A4267" t="s">
        <v>4271</v>
      </c>
      <c r="B4267">
        <v>0.99987803227770999</v>
      </c>
      <c r="C4267">
        <v>1.03269561224184</v>
      </c>
      <c r="D4267">
        <v>0.76322462439073302</v>
      </c>
      <c r="E4267">
        <v>0.52807249197847295</v>
      </c>
      <c r="F4267">
        <v>0.25894086429931201</v>
      </c>
      <c r="G4267">
        <v>0.14867663747691201</v>
      </c>
      <c r="H4267">
        <v>7.79579619256031E-2</v>
      </c>
      <c r="I4267">
        <v>7.0860023139964298E-2</v>
      </c>
      <c r="J4267">
        <v>4.8339559328006501E-2</v>
      </c>
      <c r="K4267">
        <v>2.8876598297717399E-2</v>
      </c>
      <c r="L4267">
        <v>895.39799743971105</v>
      </c>
      <c r="M4267">
        <v>17.994821497751399</v>
      </c>
      <c r="N4267">
        <v>50.003480262774801</v>
      </c>
      <c r="O4267">
        <v>49.156352380775203</v>
      </c>
      <c r="P4267">
        <v>-8.7663388927873398E-2</v>
      </c>
      <c r="Q4267">
        <v>4.2168973062164501E-2</v>
      </c>
      <c r="R4267">
        <v>0.99141441077235604</v>
      </c>
      <c r="S4267" t="s">
        <v>10578</v>
      </c>
      <c r="T4267" t="s">
        <v>12620</v>
      </c>
      <c r="U4267" t="s">
        <v>12620</v>
      </c>
      <c r="V4267" t="s">
        <v>12620</v>
      </c>
      <c r="W4267" t="s">
        <v>16836</v>
      </c>
      <c r="X4267">
        <v>7</v>
      </c>
      <c r="Y4267" t="s">
        <v>22951</v>
      </c>
      <c r="Z4267" t="s">
        <v>29214</v>
      </c>
      <c r="AA4267">
        <v>0.37013707503465543</v>
      </c>
      <c r="AB4267" t="str">
        <f>HYPERLINK("Melting_Curves/meltCurve_Q8NFG4_FLCN.pdf", "Melting_Curves/meltCurve_Q8NFG4_FLCN.pdf")</f>
        <v>Melting_Curves/meltCurve_Q8NFG4_FLCN.pdf</v>
      </c>
    </row>
    <row r="4268" spans="1:28" x14ac:dyDescent="0.25">
      <c r="A4268" t="s">
        <v>4272</v>
      </c>
      <c r="B4268">
        <v>0.99987803227770999</v>
      </c>
      <c r="C4268">
        <v>0.99039261465619099</v>
      </c>
      <c r="D4268">
        <v>0.97344795193451295</v>
      </c>
      <c r="E4268">
        <v>1.04769921011861</v>
      </c>
      <c r="F4268">
        <v>1.0147217119046199</v>
      </c>
      <c r="G4268">
        <v>0.84768463337033895</v>
      </c>
      <c r="H4268">
        <v>0.32298779711460801</v>
      </c>
      <c r="I4268">
        <v>0.26083694042107902</v>
      </c>
      <c r="J4268">
        <v>9.4329672257816494E-2</v>
      </c>
      <c r="K4268">
        <v>7.31630561929347E-2</v>
      </c>
      <c r="L4268">
        <v>2045.7357007576099</v>
      </c>
      <c r="M4268">
        <v>34.414460922781501</v>
      </c>
      <c r="N4268">
        <v>59.833827222195097</v>
      </c>
      <c r="O4268">
        <v>59.244431663338901</v>
      </c>
      <c r="P4268">
        <v>-0.13064108146019901</v>
      </c>
      <c r="Q4268">
        <v>0.100409874593753</v>
      </c>
      <c r="R4268">
        <v>0.99014083508318496</v>
      </c>
      <c r="S4268" t="s">
        <v>10579</v>
      </c>
      <c r="T4268" t="s">
        <v>12620</v>
      </c>
      <c r="U4268" t="s">
        <v>12620</v>
      </c>
      <c r="V4268" t="s">
        <v>12620</v>
      </c>
      <c r="W4268" t="s">
        <v>16837</v>
      </c>
      <c r="X4268">
        <v>8</v>
      </c>
      <c r="Y4268" t="s">
        <v>22952</v>
      </c>
      <c r="Z4268" t="s">
        <v>29215</v>
      </c>
      <c r="AA4268">
        <v>0.68804729739132342</v>
      </c>
      <c r="AB4268" t="str">
        <f>HYPERLINK("Melting_Curves/meltCurve_Q8NFH3_NUP43.pdf", "Melting_Curves/meltCurve_Q8NFH3_NUP43.pdf")</f>
        <v>Melting_Curves/meltCurve_Q8NFH3_NUP43.pdf</v>
      </c>
    </row>
    <row r="4269" spans="1:28" x14ac:dyDescent="0.25">
      <c r="A4269" t="s">
        <v>4273</v>
      </c>
      <c r="B4269">
        <v>0.99987803227770999</v>
      </c>
      <c r="C4269">
        <v>0.82086825502472804</v>
      </c>
      <c r="D4269">
        <v>0.98458340123479204</v>
      </c>
      <c r="E4269">
        <v>0.90955432692903304</v>
      </c>
      <c r="F4269">
        <v>0.94420773422142901</v>
      </c>
      <c r="G4269">
        <v>0.59984739194595105</v>
      </c>
      <c r="H4269">
        <v>0.20896256086024501</v>
      </c>
      <c r="I4269">
        <v>0.12670500814340099</v>
      </c>
      <c r="J4269">
        <v>8.6163088166607602E-2</v>
      </c>
      <c r="K4269">
        <v>6.2277768346671203E-2</v>
      </c>
      <c r="L4269">
        <v>1630.6607312174899</v>
      </c>
      <c r="M4269">
        <v>28.329028035554501</v>
      </c>
      <c r="N4269">
        <v>57.840436628212501</v>
      </c>
      <c r="O4269">
        <v>57.276939786390002</v>
      </c>
      <c r="P4269">
        <v>-0.115754750381282</v>
      </c>
      <c r="Q4269">
        <v>6.3854409612091795E-2</v>
      </c>
      <c r="R4269">
        <v>0.97384384322546402</v>
      </c>
      <c r="S4269" t="s">
        <v>10580</v>
      </c>
      <c r="T4269" t="s">
        <v>12620</v>
      </c>
      <c r="U4269" t="s">
        <v>12620</v>
      </c>
      <c r="V4269" t="s">
        <v>12620</v>
      </c>
      <c r="W4269" t="s">
        <v>16838</v>
      </c>
      <c r="X4269">
        <v>8</v>
      </c>
      <c r="Y4269" t="s">
        <v>22953</v>
      </c>
      <c r="Z4269" t="s">
        <v>29216</v>
      </c>
      <c r="AA4269">
        <v>0.61868383892145928</v>
      </c>
      <c r="AB4269" t="str">
        <f>HYPERLINK("Melting_Curves/meltCurve_Q8NFH4_NUP37.pdf", "Melting_Curves/meltCurve_Q8NFH4_NUP37.pdf")</f>
        <v>Melting_Curves/meltCurve_Q8NFH4_NUP37.pdf</v>
      </c>
    </row>
    <row r="4270" spans="1:28" x14ac:dyDescent="0.25">
      <c r="A4270" t="s">
        <v>4274</v>
      </c>
      <c r="B4270">
        <v>0.99987803227770999</v>
      </c>
      <c r="C4270">
        <v>1.0323985041628001</v>
      </c>
      <c r="D4270">
        <v>0.99337914797159799</v>
      </c>
      <c r="E4270">
        <v>0.91919409317879397</v>
      </c>
      <c r="F4270">
        <v>0.77007193821254005</v>
      </c>
      <c r="G4270">
        <v>0.36684743730047098</v>
      </c>
      <c r="H4270">
        <v>0.19712312625651099</v>
      </c>
      <c r="I4270">
        <v>0.157852229609727</v>
      </c>
      <c r="J4270">
        <v>0.10734362294026099</v>
      </c>
      <c r="K4270">
        <v>7.3416115865367795E-2</v>
      </c>
      <c r="L4270">
        <v>1302.3181954634499</v>
      </c>
      <c r="M4270">
        <v>23.586342702616601</v>
      </c>
      <c r="N4270">
        <v>55.714500403492899</v>
      </c>
      <c r="O4270">
        <v>54.822610036713399</v>
      </c>
      <c r="P4270">
        <v>-9.7307752005741502E-2</v>
      </c>
      <c r="Q4270">
        <v>9.5311182832795105E-2</v>
      </c>
      <c r="R4270">
        <v>0.99760543525370005</v>
      </c>
      <c r="S4270" t="s">
        <v>10581</v>
      </c>
      <c r="T4270" t="s">
        <v>12620</v>
      </c>
      <c r="U4270" t="s">
        <v>12620</v>
      </c>
      <c r="V4270" t="s">
        <v>12620</v>
      </c>
      <c r="W4270" t="s">
        <v>16839</v>
      </c>
      <c r="X4270">
        <v>14</v>
      </c>
      <c r="Y4270" t="s">
        <v>22954</v>
      </c>
      <c r="Z4270" t="s">
        <v>29217</v>
      </c>
      <c r="AA4270">
        <v>0.56337111424841724</v>
      </c>
      <c r="AB4270" t="str">
        <f>HYPERLINK("Melting_Curves/meltCurve_Q8NFI3_ENGASE.pdf", "Melting_Curves/meltCurve_Q8NFI3_ENGASE.pdf")</f>
        <v>Melting_Curves/meltCurve_Q8NFI3_ENGASE.pdf</v>
      </c>
    </row>
    <row r="4271" spans="1:28" x14ac:dyDescent="0.25">
      <c r="A4271" t="s">
        <v>4275</v>
      </c>
      <c r="B4271">
        <v>0.99987803227770999</v>
      </c>
      <c r="C4271">
        <v>0.75766513861042095</v>
      </c>
      <c r="D4271">
        <v>0.91463059083473797</v>
      </c>
      <c r="E4271">
        <v>0.809238418609181</v>
      </c>
      <c r="F4271">
        <v>1.00982964080613</v>
      </c>
      <c r="G4271">
        <v>0.82357081876060501</v>
      </c>
      <c r="H4271">
        <v>0.91748083570707095</v>
      </c>
      <c r="I4271">
        <v>0.87852172864206401</v>
      </c>
      <c r="J4271">
        <v>0.943875936672675</v>
      </c>
      <c r="K4271">
        <v>0.74801421804916202</v>
      </c>
      <c r="L4271">
        <v>10229.505773119699</v>
      </c>
      <c r="M4271">
        <v>250</v>
      </c>
      <c r="O4271">
        <v>40.915407318401797</v>
      </c>
      <c r="P4271">
        <v>-0.20319226909480201</v>
      </c>
      <c r="Q4271">
        <v>0.86698089768734499</v>
      </c>
      <c r="R4271">
        <v>0.202512365731192</v>
      </c>
      <c r="S4271" t="s">
        <v>10582</v>
      </c>
      <c r="T4271" t="s">
        <v>12620</v>
      </c>
      <c r="U4271" t="s">
        <v>12620</v>
      </c>
      <c r="V4271" t="s">
        <v>12620</v>
      </c>
      <c r="W4271" t="s">
        <v>16840</v>
      </c>
      <c r="X4271">
        <v>3</v>
      </c>
      <c r="Y4271" t="s">
        <v>22955</v>
      </c>
      <c r="Z4271" t="s">
        <v>29218</v>
      </c>
      <c r="AA4271">
        <v>0.87106315068252127</v>
      </c>
      <c r="AB4271" t="str">
        <f>HYPERLINK("Melting_Curves/meltCurve_Q8NFQ8_TOR1AIP2.pdf", "Melting_Curves/meltCurve_Q8NFQ8_TOR1AIP2.pdf")</f>
        <v>Melting_Curves/meltCurve_Q8NFQ8_TOR1AIP2.pdf</v>
      </c>
    </row>
    <row r="4272" spans="1:28" x14ac:dyDescent="0.25">
      <c r="A4272" t="s">
        <v>4276</v>
      </c>
      <c r="B4272">
        <v>0.99987803227770999</v>
      </c>
      <c r="C4272">
        <v>0.87964127321109498</v>
      </c>
      <c r="D4272">
        <v>0.96120841097933496</v>
      </c>
      <c r="E4272">
        <v>0.70411977617799604</v>
      </c>
      <c r="F4272">
        <v>0.44971767442914501</v>
      </c>
      <c r="G4272">
        <v>0.152001076032592</v>
      </c>
      <c r="H4272">
        <v>9.7349362081915206E-2</v>
      </c>
      <c r="I4272">
        <v>7.48962360833232E-2</v>
      </c>
      <c r="J4272">
        <v>5.83153590487041E-2</v>
      </c>
      <c r="K4272">
        <v>3.8424667844295997E-2</v>
      </c>
      <c r="L4272">
        <v>1056.02948530296</v>
      </c>
      <c r="M4272">
        <v>20.2942847304219</v>
      </c>
      <c r="N4272">
        <v>52.2623914463354</v>
      </c>
      <c r="O4272">
        <v>51.538477484382902</v>
      </c>
      <c r="P4272">
        <v>-9.4299596859214102E-2</v>
      </c>
      <c r="Q4272">
        <v>4.2113203199987403E-2</v>
      </c>
      <c r="R4272">
        <v>0.99080682374043705</v>
      </c>
      <c r="S4272" t="s">
        <v>10583</v>
      </c>
      <c r="T4272" t="s">
        <v>12620</v>
      </c>
      <c r="U4272" t="s">
        <v>12620</v>
      </c>
      <c r="V4272" t="s">
        <v>12620</v>
      </c>
      <c r="W4272" t="s">
        <v>16841</v>
      </c>
      <c r="X4272">
        <v>9</v>
      </c>
      <c r="Y4272" t="s">
        <v>22956</v>
      </c>
      <c r="Z4272" t="s">
        <v>29219</v>
      </c>
      <c r="AA4272">
        <v>0.43932223919642049</v>
      </c>
      <c r="AB4272" t="str">
        <f>HYPERLINK("Melting_Curves/meltCurve_Q8NFV4_ABHD11.pdf", "Melting_Curves/meltCurve_Q8NFV4_ABHD11.pdf")</f>
        <v>Melting_Curves/meltCurve_Q8NFV4_ABHD11.pdf</v>
      </c>
    </row>
    <row r="4273" spans="1:28" x14ac:dyDescent="0.25">
      <c r="A4273" t="s">
        <v>4277</v>
      </c>
      <c r="B4273">
        <v>0.99987803227770999</v>
      </c>
      <c r="C4273">
        <v>1.0487968863509101</v>
      </c>
      <c r="D4273">
        <v>0.87850415661094905</v>
      </c>
      <c r="E4273">
        <v>0.87505488174588997</v>
      </c>
      <c r="F4273">
        <v>0.24722047506564299</v>
      </c>
      <c r="G4273">
        <v>0.151679537846968</v>
      </c>
      <c r="H4273">
        <v>0.117894932155708</v>
      </c>
      <c r="I4273">
        <v>0.103191927577743</v>
      </c>
      <c r="J4273">
        <v>7.8800953328213699E-2</v>
      </c>
      <c r="K4273">
        <v>5.2750439926993999E-2</v>
      </c>
      <c r="L4273">
        <v>2988.4207347553402</v>
      </c>
      <c r="M4273">
        <v>57.9804467868315</v>
      </c>
      <c r="N4273">
        <v>51.739900115814201</v>
      </c>
      <c r="O4273">
        <v>51.480664531662804</v>
      </c>
      <c r="P4273">
        <v>-0.253546506945171</v>
      </c>
      <c r="Q4273">
        <v>9.9507687434512895E-2</v>
      </c>
      <c r="R4273">
        <v>0.98673018823883396</v>
      </c>
      <c r="S4273" t="s">
        <v>10584</v>
      </c>
      <c r="T4273" t="s">
        <v>12620</v>
      </c>
      <c r="U4273" t="s">
        <v>12620</v>
      </c>
      <c r="V4273" t="s">
        <v>12620</v>
      </c>
      <c r="W4273" t="s">
        <v>16842</v>
      </c>
      <c r="X4273">
        <v>8</v>
      </c>
      <c r="Y4273" t="s">
        <v>22957</v>
      </c>
      <c r="Z4273" t="s">
        <v>29220</v>
      </c>
      <c r="AA4273">
        <v>0.44747353800300138</v>
      </c>
      <c r="AB4273" t="str">
        <f>HYPERLINK("Melting_Curves/meltCurve_Q8NFW8_CMAS.pdf", "Melting_Curves/meltCurve_Q8NFW8_CMAS.pdf")</f>
        <v>Melting_Curves/meltCurve_Q8NFW8_CMAS.pdf</v>
      </c>
    </row>
    <row r="4274" spans="1:28" x14ac:dyDescent="0.25">
      <c r="A4274" t="s">
        <v>4278</v>
      </c>
      <c r="B4274">
        <v>0.99987803227770999</v>
      </c>
      <c r="C4274">
        <v>1.1937988404462601</v>
      </c>
      <c r="D4274">
        <v>1.08438397883173</v>
      </c>
      <c r="E4274">
        <v>1.0089258539889501</v>
      </c>
      <c r="F4274">
        <v>0.62663600059180202</v>
      </c>
      <c r="G4274">
        <v>0.31040948838449101</v>
      </c>
      <c r="H4274">
        <v>0.27294553570667501</v>
      </c>
      <c r="I4274">
        <v>0.236023621040824</v>
      </c>
      <c r="J4274">
        <v>0.17678105771871699</v>
      </c>
      <c r="K4274">
        <v>0.149347103060192</v>
      </c>
      <c r="L4274">
        <v>2183.8320717257102</v>
      </c>
      <c r="M4274">
        <v>40.972273687810002</v>
      </c>
      <c r="N4274">
        <v>54.044154553071003</v>
      </c>
      <c r="O4274">
        <v>53.173751166860498</v>
      </c>
      <c r="P4274">
        <v>-0.15111608433071799</v>
      </c>
      <c r="Q4274">
        <v>0.21552876633595799</v>
      </c>
      <c r="R4274">
        <v>0.96298943729581699</v>
      </c>
      <c r="S4274" t="s">
        <v>10585</v>
      </c>
      <c r="T4274" t="s">
        <v>12620</v>
      </c>
      <c r="U4274" t="s">
        <v>12620</v>
      </c>
      <c r="V4274" t="s">
        <v>12620</v>
      </c>
      <c r="W4274" t="s">
        <v>16843</v>
      </c>
      <c r="X4274">
        <v>9</v>
      </c>
      <c r="Y4274" t="s">
        <v>22958</v>
      </c>
      <c r="Z4274" t="s">
        <v>29221</v>
      </c>
      <c r="AA4274">
        <v>0.56606807161917061</v>
      </c>
      <c r="AB4274" t="str">
        <f>HYPERLINK("Melting_Curves/meltCurve_Q8NFZ0_FBXO18.pdf", "Melting_Curves/meltCurve_Q8NFZ0_FBXO18.pdf")</f>
        <v>Melting_Curves/meltCurve_Q8NFZ0_FBXO18.pdf</v>
      </c>
    </row>
    <row r="4275" spans="1:28" x14ac:dyDescent="0.25">
      <c r="A4275" t="s">
        <v>4279</v>
      </c>
      <c r="B4275">
        <v>0.99987803227770999</v>
      </c>
      <c r="C4275">
        <v>1.14765172653077</v>
      </c>
      <c r="D4275">
        <v>0.92386860816813798</v>
      </c>
      <c r="E4275">
        <v>0.87537286133409897</v>
      </c>
      <c r="F4275">
        <v>0.57353865208511401</v>
      </c>
      <c r="G4275">
        <v>0.37791739274386299</v>
      </c>
      <c r="H4275">
        <v>0.27188036545107802</v>
      </c>
      <c r="I4275">
        <v>0.240670948383088</v>
      </c>
      <c r="J4275">
        <v>0.25299283662650202</v>
      </c>
      <c r="K4275">
        <v>0.172508851208309</v>
      </c>
      <c r="L4275">
        <v>1173.77966355371</v>
      </c>
      <c r="M4275">
        <v>22.138062614429</v>
      </c>
      <c r="N4275">
        <v>54.434417286223301</v>
      </c>
      <c r="O4275">
        <v>52.593939725779002</v>
      </c>
      <c r="P4275">
        <v>-8.2228079685780803E-2</v>
      </c>
      <c r="Q4275">
        <v>0.21861193343035801</v>
      </c>
      <c r="R4275">
        <v>0.97371158732502305</v>
      </c>
      <c r="S4275" t="s">
        <v>10586</v>
      </c>
      <c r="T4275" t="s">
        <v>12620</v>
      </c>
      <c r="U4275" t="s">
        <v>12620</v>
      </c>
      <c r="V4275" t="s">
        <v>12620</v>
      </c>
      <c r="W4275" t="s">
        <v>16844</v>
      </c>
      <c r="X4275">
        <v>4</v>
      </c>
      <c r="Y4275" t="s">
        <v>22959</v>
      </c>
      <c r="Z4275" t="s">
        <v>29222</v>
      </c>
      <c r="AA4275">
        <v>0.56675284701449447</v>
      </c>
      <c r="AB4275" t="str">
        <f>HYPERLINK("Melting_Curves/meltCurve_Q8NFZ5_TNIP2.pdf", "Melting_Curves/meltCurve_Q8NFZ5_TNIP2.pdf")</f>
        <v>Melting_Curves/meltCurve_Q8NFZ5_TNIP2.pdf</v>
      </c>
    </row>
    <row r="4276" spans="1:28" x14ac:dyDescent="0.25">
      <c r="A4276" t="s">
        <v>4280</v>
      </c>
      <c r="B4276">
        <v>0.99987803227770999</v>
      </c>
      <c r="C4276">
        <v>0.93354768125335497</v>
      </c>
      <c r="D4276">
        <v>0.91193886508101596</v>
      </c>
      <c r="E4276">
        <v>0.75549020719908799</v>
      </c>
      <c r="F4276">
        <v>0.78857348470889299</v>
      </c>
      <c r="G4276">
        <v>0.66092373449923303</v>
      </c>
      <c r="H4276">
        <v>0.72963097278922795</v>
      </c>
      <c r="I4276">
        <v>0.63675508281672999</v>
      </c>
      <c r="J4276">
        <v>0.56555935723072703</v>
      </c>
      <c r="K4276">
        <v>0.47415256114878401</v>
      </c>
      <c r="L4276">
        <v>269.50933949811002</v>
      </c>
      <c r="M4276">
        <v>3.78747669556427</v>
      </c>
      <c r="O4276">
        <v>57.379075576970997</v>
      </c>
      <c r="P4276">
        <v>-1.67543179610854E-2</v>
      </c>
      <c r="Q4276">
        <v>0</v>
      </c>
      <c r="R4276">
        <v>0.91685030851389804</v>
      </c>
      <c r="S4276" t="s">
        <v>10587</v>
      </c>
      <c r="T4276" t="s">
        <v>12620</v>
      </c>
      <c r="U4276" t="s">
        <v>12620</v>
      </c>
      <c r="V4276" t="s">
        <v>12620</v>
      </c>
      <c r="W4276" t="s">
        <v>16845</v>
      </c>
      <c r="X4276">
        <v>5</v>
      </c>
      <c r="Y4276" t="s">
        <v>22960</v>
      </c>
      <c r="Z4276" t="s">
        <v>29223</v>
      </c>
      <c r="AA4276">
        <v>0.74645094118015765</v>
      </c>
      <c r="AB4276" t="str">
        <f>HYPERLINK("Melting_Curves/meltCurve_Q8NFZ8_CADM4.pdf", "Melting_Curves/meltCurve_Q8NFZ8_CADM4.pdf")</f>
        <v>Melting_Curves/meltCurve_Q8NFZ8_CADM4.pdf</v>
      </c>
    </row>
    <row r="4277" spans="1:28" x14ac:dyDescent="0.25">
      <c r="A4277" t="s">
        <v>4281</v>
      </c>
      <c r="B4277">
        <v>0.99987803227770999</v>
      </c>
      <c r="C4277">
        <v>1.1369023416401201</v>
      </c>
      <c r="D4277">
        <v>1.00185168708007</v>
      </c>
      <c r="E4277">
        <v>1.06145489101215</v>
      </c>
      <c r="F4277">
        <v>0.69190923445136798</v>
      </c>
      <c r="G4277">
        <v>0.37167157479337598</v>
      </c>
      <c r="H4277">
        <v>0.20633022425149999</v>
      </c>
      <c r="I4277">
        <v>0.192565991814344</v>
      </c>
      <c r="J4277">
        <v>0.13947234264921601</v>
      </c>
      <c r="K4277">
        <v>9.71892932697139E-2</v>
      </c>
      <c r="L4277">
        <v>1548.6325936717799</v>
      </c>
      <c r="M4277">
        <v>28.318297073579298</v>
      </c>
      <c r="N4277">
        <v>55.352376939148598</v>
      </c>
      <c r="O4277">
        <v>54.4161123963016</v>
      </c>
      <c r="P4277">
        <v>-0.111324855048862</v>
      </c>
      <c r="Q4277">
        <v>0.14432479338867499</v>
      </c>
      <c r="R4277">
        <v>0.97546391442773706</v>
      </c>
      <c r="S4277" t="s">
        <v>10588</v>
      </c>
      <c r="T4277" t="s">
        <v>12620</v>
      </c>
      <c r="U4277" t="s">
        <v>12620</v>
      </c>
      <c r="V4277" t="s">
        <v>12620</v>
      </c>
      <c r="W4277" t="s">
        <v>16846</v>
      </c>
      <c r="X4277">
        <v>8</v>
      </c>
      <c r="Y4277" t="s">
        <v>22961</v>
      </c>
      <c r="Z4277" t="s">
        <v>29224</v>
      </c>
      <c r="AA4277">
        <v>0.5695361136569711</v>
      </c>
      <c r="AB4277" t="str">
        <f>HYPERLINK("Melting_Curves/meltCurve_Q8NG08_HELB.pdf", "Melting_Curves/meltCurve_Q8NG08_HELB.pdf")</f>
        <v>Melting_Curves/meltCurve_Q8NG08_HELB.pdf</v>
      </c>
    </row>
    <row r="4278" spans="1:28" x14ac:dyDescent="0.25">
      <c r="A4278" t="s">
        <v>4282</v>
      </c>
      <c r="B4278">
        <v>0.99987803227770999</v>
      </c>
      <c r="C4278">
        <v>0.85333661769692204</v>
      </c>
      <c r="D4278">
        <v>0.96610139300901898</v>
      </c>
      <c r="E4278">
        <v>0.80595724747423503</v>
      </c>
      <c r="F4278">
        <v>1.0156506546091799</v>
      </c>
      <c r="G4278">
        <v>0.76502284984507296</v>
      </c>
      <c r="H4278">
        <v>0.89440421120985103</v>
      </c>
      <c r="I4278">
        <v>0.83251100744954798</v>
      </c>
      <c r="J4278">
        <v>1.0597678402369599</v>
      </c>
      <c r="K4278">
        <v>0.85091894536273405</v>
      </c>
      <c r="L4278">
        <v>10236.8984064086</v>
      </c>
      <c r="M4278">
        <v>250</v>
      </c>
      <c r="O4278">
        <v>40.944973919710002</v>
      </c>
      <c r="P4278">
        <v>-0.162197626247986</v>
      </c>
      <c r="Q4278">
        <v>0.89374116063389897</v>
      </c>
      <c r="R4278">
        <v>0.11354263942437701</v>
      </c>
      <c r="S4278" t="s">
        <v>10589</v>
      </c>
      <c r="T4278" t="s">
        <v>12620</v>
      </c>
      <c r="U4278" t="s">
        <v>12620</v>
      </c>
      <c r="V4278" t="s">
        <v>12620</v>
      </c>
      <c r="W4278" t="s">
        <v>16847</v>
      </c>
      <c r="X4278">
        <v>4</v>
      </c>
      <c r="Y4278" t="s">
        <v>22962</v>
      </c>
      <c r="Z4278" t="s">
        <v>29225</v>
      </c>
      <c r="AA4278">
        <v>0.89710660605213943</v>
      </c>
      <c r="AB4278" t="str">
        <f>HYPERLINK("Melting_Curves/meltCurve_Q8NG27_3_PJA1.pdf", "Melting_Curves/meltCurve_Q8NG27_3_PJA1.pdf")</f>
        <v>Melting_Curves/meltCurve_Q8NG27_3_PJA1.pdf</v>
      </c>
    </row>
    <row r="4279" spans="1:28" x14ac:dyDescent="0.25">
      <c r="A4279" t="s">
        <v>4283</v>
      </c>
      <c r="B4279">
        <v>0.99987803227770999</v>
      </c>
      <c r="C4279">
        <v>0.89519414343082704</v>
      </c>
      <c r="D4279">
        <v>1.0818532104108201</v>
      </c>
      <c r="E4279">
        <v>0.85669318933144201</v>
      </c>
      <c r="F4279">
        <v>0.89229106598671704</v>
      </c>
      <c r="G4279">
        <v>0.74481386215523904</v>
      </c>
      <c r="H4279">
        <v>0.73464489068205396</v>
      </c>
      <c r="I4279">
        <v>0.71592762279129996</v>
      </c>
      <c r="J4279">
        <v>0.63370549908322005</v>
      </c>
      <c r="K4279">
        <v>0.51407326600927505</v>
      </c>
      <c r="L4279">
        <v>375.04073733494101</v>
      </c>
      <c r="M4279">
        <v>5.1534072413755503</v>
      </c>
      <c r="O4279">
        <v>63.956451575171599</v>
      </c>
      <c r="P4279">
        <v>-2.0255461572215899E-2</v>
      </c>
      <c r="Q4279">
        <v>0</v>
      </c>
      <c r="R4279">
        <v>0.86935119745963996</v>
      </c>
      <c r="S4279" t="s">
        <v>10590</v>
      </c>
      <c r="T4279" t="s">
        <v>12620</v>
      </c>
      <c r="U4279" t="s">
        <v>12620</v>
      </c>
      <c r="V4279" t="s">
        <v>12620</v>
      </c>
      <c r="W4279" t="s">
        <v>16848</v>
      </c>
      <c r="X4279">
        <v>12</v>
      </c>
      <c r="Y4279" t="s">
        <v>22963</v>
      </c>
      <c r="Z4279" t="s">
        <v>29226</v>
      </c>
      <c r="AA4279">
        <v>0.81461938303935333</v>
      </c>
      <c r="AB4279" t="str">
        <f>HYPERLINK("Melting_Curves/meltCurve_Q8NG31_2_CASC5.pdf", "Melting_Curves/meltCurve_Q8NG31_2_CASC5.pdf")</f>
        <v>Melting_Curves/meltCurve_Q8NG31_2_CASC5.pdf</v>
      </c>
    </row>
    <row r="4280" spans="1:28" x14ac:dyDescent="0.25">
      <c r="A4280" t="s">
        <v>4284</v>
      </c>
      <c r="B4280">
        <v>0.99987803227770999</v>
      </c>
      <c r="C4280">
        <v>1.03866644100525</v>
      </c>
      <c r="D4280">
        <v>0.71608434334739002</v>
      </c>
      <c r="E4280">
        <v>0.34835397091745102</v>
      </c>
      <c r="F4280">
        <v>0.17707032483955501</v>
      </c>
      <c r="G4280">
        <v>0.111028465294912</v>
      </c>
      <c r="H4280">
        <v>9.7539637897055595E-2</v>
      </c>
      <c r="I4280">
        <v>8.1952142074953604E-2</v>
      </c>
      <c r="J4280">
        <v>6.5461111852175402E-2</v>
      </c>
      <c r="K4280">
        <v>4.76469571226045E-2</v>
      </c>
      <c r="L4280">
        <v>1132.4583754903399</v>
      </c>
      <c r="M4280">
        <v>23.577942101643899</v>
      </c>
      <c r="N4280">
        <v>48.369628165534401</v>
      </c>
      <c r="O4280">
        <v>47.688910567547197</v>
      </c>
      <c r="P4280">
        <v>-0.11418596074793499</v>
      </c>
      <c r="Q4280">
        <v>7.6202360326236701E-2</v>
      </c>
      <c r="R4280">
        <v>0.99176655602879904</v>
      </c>
      <c r="S4280" t="s">
        <v>10591</v>
      </c>
      <c r="T4280" t="s">
        <v>12620</v>
      </c>
      <c r="U4280" t="s">
        <v>12620</v>
      </c>
      <c r="V4280" t="s">
        <v>12620</v>
      </c>
      <c r="W4280" t="s">
        <v>16849</v>
      </c>
      <c r="X4280">
        <v>3</v>
      </c>
      <c r="Y4280" t="s">
        <v>22964</v>
      </c>
      <c r="Z4280" t="s">
        <v>29227</v>
      </c>
      <c r="AA4280">
        <v>0.33273140213013291</v>
      </c>
      <c r="AB4280" t="str">
        <f>HYPERLINK("Melting_Curves/meltCurve_Q8NG68_TTL.pdf", "Melting_Curves/meltCurve_Q8NG68_TTL.pdf")</f>
        <v>Melting_Curves/meltCurve_Q8NG68_TTL.pdf</v>
      </c>
    </row>
    <row r="4281" spans="1:28" x14ac:dyDescent="0.25">
      <c r="A4281" t="s">
        <v>4285</v>
      </c>
      <c r="B4281">
        <v>0.99987803227770999</v>
      </c>
      <c r="C4281">
        <v>0.99048885674737297</v>
      </c>
      <c r="D4281">
        <v>1.01992894087404</v>
      </c>
      <c r="E4281">
        <v>0.99785947399319197</v>
      </c>
      <c r="F4281">
        <v>1.0551758037802601</v>
      </c>
      <c r="G4281">
        <v>0.68518103468880798</v>
      </c>
      <c r="H4281">
        <v>0.67588962630468397</v>
      </c>
      <c r="I4281">
        <v>0.63938447749989702</v>
      </c>
      <c r="J4281">
        <v>0.66456756108936099</v>
      </c>
      <c r="K4281">
        <v>0.61327450397317596</v>
      </c>
      <c r="L4281">
        <v>14127.807353845699</v>
      </c>
      <c r="M4281">
        <v>250</v>
      </c>
      <c r="O4281">
        <v>56.5076131288345</v>
      </c>
      <c r="P4281">
        <v>-0.38901944906434799</v>
      </c>
      <c r="Q4281">
        <v>0.64827903233180995</v>
      </c>
      <c r="R4281">
        <v>0.98193086438497001</v>
      </c>
      <c r="S4281" t="s">
        <v>10592</v>
      </c>
      <c r="T4281" t="s">
        <v>12620</v>
      </c>
      <c r="U4281" t="s">
        <v>12620</v>
      </c>
      <c r="V4281" t="s">
        <v>12620</v>
      </c>
      <c r="W4281" t="s">
        <v>16850</v>
      </c>
      <c r="X4281">
        <v>1</v>
      </c>
      <c r="Y4281" t="s">
        <v>22965</v>
      </c>
      <c r="Z4281" t="s">
        <v>29228</v>
      </c>
      <c r="AA4281">
        <v>0.8418921009715693</v>
      </c>
      <c r="AB4281" t="str">
        <f>HYPERLINK("Melting_Curves/meltCurve_Q8NHG7_SVIP.pdf", "Melting_Curves/meltCurve_Q8NHG7_SVIP.pdf")</f>
        <v>Melting_Curves/meltCurve_Q8NHG7_SVIP.pdf</v>
      </c>
    </row>
    <row r="4282" spans="1:28" x14ac:dyDescent="0.25">
      <c r="A4282" t="s">
        <v>4286</v>
      </c>
      <c r="B4282">
        <v>0.99987803227770999</v>
      </c>
      <c r="C4282">
        <v>0.90786504792919398</v>
      </c>
      <c r="D4282">
        <v>1.0566195107195999</v>
      </c>
      <c r="E4282">
        <v>0.89806615504151999</v>
      </c>
      <c r="F4282">
        <v>1.06268862121329</v>
      </c>
      <c r="G4282">
        <v>0.95035372127490902</v>
      </c>
      <c r="H4282">
        <v>0.88781999873525297</v>
      </c>
      <c r="I4282">
        <v>0.96553246012359495</v>
      </c>
      <c r="J4282">
        <v>0.748296078062061</v>
      </c>
      <c r="K4282">
        <v>0.606508618752722</v>
      </c>
      <c r="L4282">
        <v>1240.7409334958199</v>
      </c>
      <c r="M4282">
        <v>17.2947493448982</v>
      </c>
      <c r="Q4282">
        <v>0</v>
      </c>
      <c r="R4282">
        <v>0.78236552108513402</v>
      </c>
      <c r="S4282" t="s">
        <v>10593</v>
      </c>
      <c r="T4282" t="s">
        <v>12620</v>
      </c>
      <c r="U4282" t="s">
        <v>12620</v>
      </c>
      <c r="V4282" t="s">
        <v>12620</v>
      </c>
      <c r="W4282" t="s">
        <v>16851</v>
      </c>
      <c r="X4282">
        <v>3</v>
      </c>
      <c r="Y4282" t="s">
        <v>22966</v>
      </c>
      <c r="Z4282" t="s">
        <v>29229</v>
      </c>
      <c r="AA4282">
        <v>0.9412252654953509</v>
      </c>
      <c r="AB4282" t="str">
        <f>HYPERLINK("Melting_Curves/meltCurve_Q8NHG8_ZNRF2.pdf", "Melting_Curves/meltCurve_Q8NHG8_ZNRF2.pdf")</f>
        <v>Melting_Curves/meltCurve_Q8NHG8_ZNRF2.pdf</v>
      </c>
    </row>
    <row r="4283" spans="1:28" x14ac:dyDescent="0.25">
      <c r="A4283" t="s">
        <v>4287</v>
      </c>
      <c r="B4283">
        <v>0.99987803227770999</v>
      </c>
      <c r="C4283">
        <v>0.78759969828017395</v>
      </c>
      <c r="D4283">
        <v>0.94165436405935898</v>
      </c>
      <c r="E4283">
        <v>0.80458760335035495</v>
      </c>
      <c r="F4283">
        <v>1.12204265195499</v>
      </c>
      <c r="G4283">
        <v>0.95661229320477603</v>
      </c>
      <c r="H4283">
        <v>1.09682516645298</v>
      </c>
      <c r="I4283">
        <v>0.93052896073105296</v>
      </c>
      <c r="J4283">
        <v>0.94431117365665196</v>
      </c>
      <c r="K4283">
        <v>0.81841269347405499</v>
      </c>
      <c r="L4283">
        <v>1.0000000000000001E-5</v>
      </c>
      <c r="M4283">
        <v>1.0000000000000001E-5</v>
      </c>
      <c r="Q4283">
        <v>0.88049111403001701</v>
      </c>
      <c r="R4283">
        <v>-1.5048868817757501E-9</v>
      </c>
      <c r="S4283" t="s">
        <v>10594</v>
      </c>
      <c r="T4283" t="s">
        <v>12620</v>
      </c>
      <c r="U4283" t="s">
        <v>12620</v>
      </c>
      <c r="V4283" t="s">
        <v>12620</v>
      </c>
      <c r="W4283" t="s">
        <v>16852</v>
      </c>
      <c r="X4283">
        <v>2</v>
      </c>
      <c r="Y4283" t="s">
        <v>22967</v>
      </c>
      <c r="Z4283" t="s">
        <v>29230</v>
      </c>
      <c r="AA4283">
        <v>0.94024526381604856</v>
      </c>
      <c r="AB4283" t="str">
        <f>HYPERLINK("Melting_Curves/meltCurve_Q8NHM4_TRY6.pdf", "Melting_Curves/meltCurve_Q8NHM4_TRY6.pdf")</f>
        <v>Melting_Curves/meltCurve_Q8NHM4_TRY6.pdf</v>
      </c>
    </row>
    <row r="4284" spans="1:28" x14ac:dyDescent="0.25">
      <c r="A4284" t="s">
        <v>4288</v>
      </c>
      <c r="B4284">
        <v>0.99987803227770999</v>
      </c>
      <c r="C4284">
        <v>0.97014653329328504</v>
      </c>
      <c r="D4284">
        <v>1.1375886010551799</v>
      </c>
      <c r="E4284">
        <v>0.95951672213517902</v>
      </c>
      <c r="F4284">
        <v>0.98301781323901805</v>
      </c>
      <c r="G4284">
        <v>0.79271797413679201</v>
      </c>
      <c r="H4284">
        <v>0.49968570665975298</v>
      </c>
      <c r="I4284">
        <v>0.41680137911959098</v>
      </c>
      <c r="J4284">
        <v>0.331080391985421</v>
      </c>
      <c r="K4284">
        <v>0.271666865417175</v>
      </c>
      <c r="L4284">
        <v>1379.61351417059</v>
      </c>
      <c r="M4284">
        <v>23.2770873279322</v>
      </c>
      <c r="N4284">
        <v>61.3734843487291</v>
      </c>
      <c r="O4284">
        <v>58.836905760144298</v>
      </c>
      <c r="P4284">
        <v>-7.1716552055123506E-2</v>
      </c>
      <c r="Q4284">
        <v>0.27490831016254103</v>
      </c>
      <c r="R4284">
        <v>0.97454556200236397</v>
      </c>
      <c r="S4284" t="s">
        <v>10595</v>
      </c>
      <c r="T4284" t="s">
        <v>12620</v>
      </c>
      <c r="U4284" t="s">
        <v>12620</v>
      </c>
      <c r="V4284" t="s">
        <v>12620</v>
      </c>
      <c r="W4284" t="s">
        <v>16853</v>
      </c>
      <c r="X4284">
        <v>3</v>
      </c>
      <c r="Y4284" t="s">
        <v>22968</v>
      </c>
      <c r="Z4284" t="s">
        <v>29231</v>
      </c>
      <c r="AA4284">
        <v>0.74689405463223935</v>
      </c>
      <c r="AB4284" t="str">
        <f>HYPERLINK("Melting_Curves/meltCurve_Q8NHM5_2_KDM2B.pdf", "Melting_Curves/meltCurve_Q8NHM5_2_KDM2B.pdf")</f>
        <v>Melting_Curves/meltCurve_Q8NHM5_2_KDM2B.pdf</v>
      </c>
    </row>
    <row r="4285" spans="1:28" x14ac:dyDescent="0.25">
      <c r="A4285" t="s">
        <v>4289</v>
      </c>
      <c r="B4285">
        <v>0.99987803227770999</v>
      </c>
      <c r="C4285">
        <v>1.04194187189911</v>
      </c>
      <c r="D4285">
        <v>1.0166553190238301</v>
      </c>
      <c r="E4285">
        <v>1.0272757085655899</v>
      </c>
      <c r="F4285">
        <v>0.93389604434797702</v>
      </c>
      <c r="G4285">
        <v>0.69710822854142995</v>
      </c>
      <c r="H4285">
        <v>0.62324437791496501</v>
      </c>
      <c r="I4285">
        <v>0.39909970079184598</v>
      </c>
      <c r="J4285">
        <v>0.17004609282559499</v>
      </c>
      <c r="K4285">
        <v>9.4049571993689907E-2</v>
      </c>
      <c r="L4285">
        <v>999.42280684171897</v>
      </c>
      <c r="M4285">
        <v>16.186565862580299</v>
      </c>
      <c r="N4285">
        <v>61.743968309665</v>
      </c>
      <c r="O4285">
        <v>60.824633355601598</v>
      </c>
      <c r="P4285">
        <v>-6.6534634117318997E-2</v>
      </c>
      <c r="Q4285">
        <v>0</v>
      </c>
      <c r="R4285">
        <v>0.97975240669225605</v>
      </c>
      <c r="S4285" t="s">
        <v>10596</v>
      </c>
      <c r="T4285" t="s">
        <v>12620</v>
      </c>
      <c r="U4285" t="s">
        <v>12620</v>
      </c>
      <c r="V4285" t="s">
        <v>12620</v>
      </c>
      <c r="W4285" t="s">
        <v>16854</v>
      </c>
      <c r="X4285">
        <v>10</v>
      </c>
      <c r="Y4285" t="s">
        <v>22969</v>
      </c>
      <c r="Z4285" t="s">
        <v>29232</v>
      </c>
      <c r="AA4285">
        <v>0.72533549442455714</v>
      </c>
      <c r="AB4285" t="str">
        <f>HYPERLINK("Melting_Curves/meltCurve_Q8NHP8_PLBD2.pdf", "Melting_Curves/meltCurve_Q8NHP8_PLBD2.pdf")</f>
        <v>Melting_Curves/meltCurve_Q8NHP8_PLBD2.pdf</v>
      </c>
    </row>
    <row r="4286" spans="1:28" x14ac:dyDescent="0.25">
      <c r="A4286" t="s">
        <v>4290</v>
      </c>
      <c r="B4286">
        <v>0.99987803227770999</v>
      </c>
      <c r="C4286">
        <v>1.0111854923766499</v>
      </c>
      <c r="D4286">
        <v>0.97175183141028598</v>
      </c>
      <c r="E4286">
        <v>0.68190901486547195</v>
      </c>
      <c r="F4286">
        <v>0.29246570410997902</v>
      </c>
      <c r="G4286">
        <v>0.145366045140432</v>
      </c>
      <c r="H4286">
        <v>0.105224689549634</v>
      </c>
      <c r="I4286">
        <v>9.6870235411836203E-2</v>
      </c>
      <c r="J4286">
        <v>4.4749374674959499E-2</v>
      </c>
      <c r="K4286">
        <v>3.3697649812238398E-2</v>
      </c>
      <c r="L4286">
        <v>1500.3134019500201</v>
      </c>
      <c r="M4286">
        <v>29.380946713778101</v>
      </c>
      <c r="N4286">
        <v>51.337045094782503</v>
      </c>
      <c r="O4286">
        <v>50.829356272444798</v>
      </c>
      <c r="P4286">
        <v>-0.13406146065390601</v>
      </c>
      <c r="Q4286">
        <v>7.2295446778256806E-2</v>
      </c>
      <c r="R4286">
        <v>0.99695579098532106</v>
      </c>
      <c r="S4286" t="s">
        <v>10597</v>
      </c>
      <c r="T4286" t="s">
        <v>12620</v>
      </c>
      <c r="U4286" t="s">
        <v>12620</v>
      </c>
      <c r="V4286" t="s">
        <v>12620</v>
      </c>
      <c r="W4286" t="s">
        <v>16855</v>
      </c>
      <c r="X4286">
        <v>10</v>
      </c>
      <c r="Y4286" t="s">
        <v>22970</v>
      </c>
      <c r="Z4286" t="s">
        <v>29233</v>
      </c>
      <c r="AA4286">
        <v>0.42052559559041058</v>
      </c>
      <c r="AB4286" t="str">
        <f>HYPERLINK("Melting_Curves/meltCurve_Q8NHU6_TDRD7.pdf", "Melting_Curves/meltCurve_Q8NHU6_TDRD7.pdf")</f>
        <v>Melting_Curves/meltCurve_Q8NHU6_TDRD7.pdf</v>
      </c>
    </row>
    <row r="4287" spans="1:28" x14ac:dyDescent="0.25">
      <c r="A4287" t="s">
        <v>4291</v>
      </c>
      <c r="B4287">
        <v>0.99987803227770999</v>
      </c>
      <c r="C4287">
        <v>0.92548839085178503</v>
      </c>
      <c r="D4287">
        <v>0.94806977611077803</v>
      </c>
      <c r="E4287">
        <v>0.91440354147720804</v>
      </c>
      <c r="F4287">
        <v>0.92120072120096497</v>
      </c>
      <c r="G4287">
        <v>0.67172493862316196</v>
      </c>
      <c r="H4287">
        <v>0.50367373196143095</v>
      </c>
      <c r="I4287">
        <v>0.41327290937796601</v>
      </c>
      <c r="J4287">
        <v>0.300911369744922</v>
      </c>
      <c r="K4287">
        <v>0.193662420253845</v>
      </c>
      <c r="L4287">
        <v>677.77679151600501</v>
      </c>
      <c r="M4287">
        <v>11.022149968161299</v>
      </c>
      <c r="N4287">
        <v>61.492249127377598</v>
      </c>
      <c r="O4287">
        <v>59.572132090892197</v>
      </c>
      <c r="P4287">
        <v>-4.6270964221244298E-2</v>
      </c>
      <c r="Q4287">
        <v>0</v>
      </c>
      <c r="R4287">
        <v>0.98554034512380195</v>
      </c>
      <c r="S4287" t="s">
        <v>10598</v>
      </c>
      <c r="T4287" t="s">
        <v>12620</v>
      </c>
      <c r="U4287" t="s">
        <v>12620</v>
      </c>
      <c r="V4287" t="s">
        <v>12620</v>
      </c>
      <c r="W4287" t="s">
        <v>16856</v>
      </c>
      <c r="X4287">
        <v>15</v>
      </c>
      <c r="Y4287" t="s">
        <v>22971</v>
      </c>
      <c r="Z4287" t="s">
        <v>29234</v>
      </c>
      <c r="AA4287">
        <v>0.7050412480405317</v>
      </c>
      <c r="AB4287" t="str">
        <f>HYPERLINK("Melting_Curves/meltCurve_Q8NHV4_NEDD1.pdf", "Melting_Curves/meltCurve_Q8NHV4_NEDD1.pdf")</f>
        <v>Melting_Curves/meltCurve_Q8NHV4_NEDD1.pdf</v>
      </c>
    </row>
    <row r="4288" spans="1:28" x14ac:dyDescent="0.25">
      <c r="A4288" t="s">
        <v>4292</v>
      </c>
      <c r="B4288">
        <v>0.99987803227770999</v>
      </c>
      <c r="C4288">
        <v>0.81502608562328804</v>
      </c>
      <c r="D4288">
        <v>1.15251867517592</v>
      </c>
      <c r="E4288">
        <v>0.96239877255484896</v>
      </c>
      <c r="F4288">
        <v>1.15437229974128</v>
      </c>
      <c r="G4288">
        <v>1.19150407935031</v>
      </c>
      <c r="H4288">
        <v>1.4607715935921901</v>
      </c>
      <c r="I4288">
        <v>1.5107357227945299</v>
      </c>
      <c r="J4288">
        <v>1.44849259023574</v>
      </c>
      <c r="K4288">
        <v>1.11394387190148</v>
      </c>
      <c r="L4288">
        <v>1598.86618223554</v>
      </c>
      <c r="M4288">
        <v>29.065386616365601</v>
      </c>
      <c r="O4288">
        <v>54.750861821384703</v>
      </c>
      <c r="P4288">
        <v>4.9964756982843E-2</v>
      </c>
      <c r="Q4288">
        <v>1.37647437204156</v>
      </c>
      <c r="R4288">
        <v>0.63276659805575397</v>
      </c>
      <c r="S4288" t="s">
        <v>10599</v>
      </c>
      <c r="T4288" t="s">
        <v>12620</v>
      </c>
      <c r="U4288" t="s">
        <v>12620</v>
      </c>
      <c r="V4288" t="s">
        <v>12620</v>
      </c>
      <c r="W4288" t="s">
        <v>16857</v>
      </c>
      <c r="X4288">
        <v>4</v>
      </c>
      <c r="Y4288" t="s">
        <v>22972</v>
      </c>
      <c r="Z4288" t="s">
        <v>29235</v>
      </c>
      <c r="AA4288">
        <v>1.185470249986921</v>
      </c>
      <c r="AB4288" t="str">
        <f>HYPERLINK("Melting_Curves/meltCurve_Q8NHZ8_CDC26.pdf", "Melting_Curves/meltCurve_Q8NHZ8_CDC26.pdf")</f>
        <v>Melting_Curves/meltCurve_Q8NHZ8_CDC26.pdf</v>
      </c>
    </row>
    <row r="4289" spans="1:28" x14ac:dyDescent="0.25">
      <c r="A4289" t="s">
        <v>4293</v>
      </c>
      <c r="B4289">
        <v>0.99987803227770999</v>
      </c>
      <c r="C4289">
        <v>0.98503536029802796</v>
      </c>
      <c r="D4289">
        <v>1.0119885675784599</v>
      </c>
      <c r="E4289">
        <v>0.79983319148568699</v>
      </c>
      <c r="F4289">
        <v>0.40286516141203099</v>
      </c>
      <c r="G4289">
        <v>0.21837608820274701</v>
      </c>
      <c r="H4289">
        <v>0.19804424448937799</v>
      </c>
      <c r="I4289">
        <v>0.19399191370772101</v>
      </c>
      <c r="J4289">
        <v>0.181127838134091</v>
      </c>
      <c r="K4289">
        <v>0.12522123953599601</v>
      </c>
      <c r="L4289">
        <v>1834.2735534342901</v>
      </c>
      <c r="M4289">
        <v>35.551055091370699</v>
      </c>
      <c r="N4289">
        <v>52.234246745849298</v>
      </c>
      <c r="O4289">
        <v>51.4330481941575</v>
      </c>
      <c r="P4289">
        <v>-0.14234091806476601</v>
      </c>
      <c r="Q4289">
        <v>0.176283060307941</v>
      </c>
      <c r="R4289">
        <v>0.99687934147479795</v>
      </c>
      <c r="S4289" t="s">
        <v>10600</v>
      </c>
      <c r="T4289" t="s">
        <v>12620</v>
      </c>
      <c r="U4289" t="s">
        <v>12620</v>
      </c>
      <c r="V4289" t="s">
        <v>12620</v>
      </c>
      <c r="W4289" t="s">
        <v>16858</v>
      </c>
      <c r="X4289">
        <v>11</v>
      </c>
      <c r="Y4289" t="s">
        <v>22973</v>
      </c>
      <c r="Z4289" t="s">
        <v>29236</v>
      </c>
      <c r="AA4289">
        <v>0.49838544246728228</v>
      </c>
      <c r="AB4289" t="str">
        <f>HYPERLINK("Melting_Curves/meltCurve_Q8NI08_2_NCOA7.pdf", "Melting_Curves/meltCurve_Q8NI08_2_NCOA7.pdf")</f>
        <v>Melting_Curves/meltCurve_Q8NI08_2_NCOA7.pdf</v>
      </c>
    </row>
    <row r="4290" spans="1:28" x14ac:dyDescent="0.25">
      <c r="A4290" t="s">
        <v>4294</v>
      </c>
      <c r="B4290">
        <v>0.99987803227770999</v>
      </c>
      <c r="C4290">
        <v>0.84696664793653198</v>
      </c>
      <c r="D4290">
        <v>0.88882554146377801</v>
      </c>
      <c r="E4290">
        <v>0.80737892741450601</v>
      </c>
      <c r="F4290">
        <v>0.93993000828822304</v>
      </c>
      <c r="G4290">
        <v>0.71111350276887897</v>
      </c>
      <c r="H4290">
        <v>0.73938766821694601</v>
      </c>
      <c r="I4290">
        <v>0.61804639027944397</v>
      </c>
      <c r="J4290">
        <v>0.80837253999465997</v>
      </c>
      <c r="K4290">
        <v>0.63960025563705203</v>
      </c>
      <c r="L4290">
        <v>259.88582559956302</v>
      </c>
      <c r="M4290">
        <v>4.4485483671888701</v>
      </c>
      <c r="O4290">
        <v>49.494849890262202</v>
      </c>
      <c r="P4290">
        <v>-1.09451386318803E-2</v>
      </c>
      <c r="Q4290">
        <v>0.51728093966267796</v>
      </c>
      <c r="R4290">
        <v>0.61960508620528998</v>
      </c>
      <c r="S4290" t="s">
        <v>10601</v>
      </c>
      <c r="T4290" t="s">
        <v>12620</v>
      </c>
      <c r="U4290" t="s">
        <v>12620</v>
      </c>
      <c r="V4290" t="s">
        <v>12620</v>
      </c>
      <c r="W4290" t="s">
        <v>16859</v>
      </c>
      <c r="X4290">
        <v>18</v>
      </c>
      <c r="Y4290" t="s">
        <v>22974</v>
      </c>
      <c r="Z4290" t="s">
        <v>29237</v>
      </c>
      <c r="AA4290">
        <v>0.79893843528322384</v>
      </c>
      <c r="AB4290" t="str">
        <f>HYPERLINK("Melting_Curves/meltCurve_Q8NI27_THOC2.pdf", "Melting_Curves/meltCurve_Q8NI27_THOC2.pdf")</f>
        <v>Melting_Curves/meltCurve_Q8NI27_THOC2.pdf</v>
      </c>
    </row>
    <row r="4291" spans="1:28" x14ac:dyDescent="0.25">
      <c r="A4291" t="s">
        <v>4295</v>
      </c>
      <c r="B4291">
        <v>0.99987803227770999</v>
      </c>
      <c r="C4291">
        <v>0.98056004548405395</v>
      </c>
      <c r="D4291">
        <v>0.86470302525847498</v>
      </c>
      <c r="E4291">
        <v>0.77706685342287796</v>
      </c>
      <c r="F4291">
        <v>0.63928580600706897</v>
      </c>
      <c r="G4291">
        <v>0.37330190846050199</v>
      </c>
      <c r="H4291">
        <v>0.30044090929560002</v>
      </c>
      <c r="I4291">
        <v>0.24256884263157399</v>
      </c>
      <c r="J4291">
        <v>0.227839610846335</v>
      </c>
      <c r="K4291">
        <v>0.16904983095745299</v>
      </c>
      <c r="L4291">
        <v>697.32191202592298</v>
      </c>
      <c r="M4291">
        <v>12.997729944685799</v>
      </c>
      <c r="N4291">
        <v>55.110892083140101</v>
      </c>
      <c r="O4291">
        <v>52.427235076633004</v>
      </c>
      <c r="P4291">
        <v>-5.2954451739759698E-2</v>
      </c>
      <c r="Q4291">
        <v>0.14576971605494901</v>
      </c>
      <c r="R4291">
        <v>0.99337731281213204</v>
      </c>
      <c r="S4291" t="s">
        <v>10602</v>
      </c>
      <c r="T4291" t="s">
        <v>12620</v>
      </c>
      <c r="U4291" t="s">
        <v>12620</v>
      </c>
      <c r="V4291" t="s">
        <v>12620</v>
      </c>
      <c r="W4291" t="s">
        <v>16860</v>
      </c>
      <c r="X4291">
        <v>12</v>
      </c>
      <c r="Y4291" t="s">
        <v>22975</v>
      </c>
      <c r="Z4291" t="s">
        <v>29238</v>
      </c>
      <c r="AA4291">
        <v>0.55562144475246866</v>
      </c>
      <c r="AB4291" t="str">
        <f>HYPERLINK("Melting_Curves/meltCurve_Q8NI35_INADL.pdf", "Melting_Curves/meltCurve_Q8NI35_INADL.pdf")</f>
        <v>Melting_Curves/meltCurve_Q8NI35_INADL.pdf</v>
      </c>
    </row>
    <row r="4292" spans="1:28" x14ac:dyDescent="0.25">
      <c r="A4292" t="s">
        <v>4296</v>
      </c>
      <c r="B4292">
        <v>0.99987803227770999</v>
      </c>
      <c r="C4292">
        <v>1.01519997966304</v>
      </c>
      <c r="D4292">
        <v>0.90275469799449604</v>
      </c>
      <c r="E4292">
        <v>0.87915652288301704</v>
      </c>
      <c r="F4292">
        <v>0.78541085855584303</v>
      </c>
      <c r="G4292">
        <v>0.55692386115196502</v>
      </c>
      <c r="H4292">
        <v>0.38862320580165499</v>
      </c>
      <c r="I4292">
        <v>0.393852220510989</v>
      </c>
      <c r="J4292">
        <v>0.22528585128588199</v>
      </c>
      <c r="K4292">
        <v>0.15804419400459599</v>
      </c>
      <c r="L4292">
        <v>591.97624964260501</v>
      </c>
      <c r="M4292">
        <v>10.020016795631401</v>
      </c>
      <c r="N4292">
        <v>59.120933127826198</v>
      </c>
      <c r="O4292">
        <v>56.870860524185403</v>
      </c>
      <c r="P4292">
        <v>-4.3913789248482597E-2</v>
      </c>
      <c r="Q4292">
        <v>3.5106052035711799E-3</v>
      </c>
      <c r="R4292">
        <v>0.98654299638551302</v>
      </c>
      <c r="S4292" t="s">
        <v>10603</v>
      </c>
      <c r="T4292" t="s">
        <v>12620</v>
      </c>
      <c r="U4292" t="s">
        <v>12620</v>
      </c>
      <c r="V4292" t="s">
        <v>12620</v>
      </c>
      <c r="W4292" t="s">
        <v>16861</v>
      </c>
      <c r="X4292">
        <v>1</v>
      </c>
      <c r="Y4292" t="s">
        <v>22976</v>
      </c>
      <c r="Z4292" t="s">
        <v>29239</v>
      </c>
      <c r="AA4292">
        <v>0.64009718516821235</v>
      </c>
      <c r="AB4292" t="str">
        <f>HYPERLINK("Melting_Curves/meltCurve_Q8NI36_WDR36.pdf", "Melting_Curves/meltCurve_Q8NI36_WDR36.pdf")</f>
        <v>Melting_Curves/meltCurve_Q8NI36_WDR36.pdf</v>
      </c>
    </row>
    <row r="4293" spans="1:28" x14ac:dyDescent="0.25">
      <c r="A4293" t="s">
        <v>4297</v>
      </c>
      <c r="B4293">
        <v>0.99987803227770999</v>
      </c>
      <c r="C4293">
        <v>0.90555533219977802</v>
      </c>
      <c r="D4293">
        <v>0.95327767872777902</v>
      </c>
      <c r="E4293">
        <v>0.87820624101689804</v>
      </c>
      <c r="F4293">
        <v>1.05433561021686</v>
      </c>
      <c r="G4293">
        <v>0.56421661504834297</v>
      </c>
      <c r="H4293">
        <v>0.87590720402751598</v>
      </c>
      <c r="I4293">
        <v>0.86225175300318802</v>
      </c>
      <c r="J4293">
        <v>1.07750261566672</v>
      </c>
      <c r="K4293">
        <v>0.82776137478826795</v>
      </c>
      <c r="L4293">
        <v>622.14970325865897</v>
      </c>
      <c r="M4293">
        <v>13.9318362100391</v>
      </c>
      <c r="O4293">
        <v>43.7667998139163</v>
      </c>
      <c r="P4293">
        <v>-1.0300647367093E-2</v>
      </c>
      <c r="Q4293">
        <v>0.87057970931274398</v>
      </c>
      <c r="R4293">
        <v>7.2058298762579895E-2</v>
      </c>
      <c r="S4293" t="s">
        <v>10604</v>
      </c>
      <c r="T4293" t="s">
        <v>12620</v>
      </c>
      <c r="U4293" t="s">
        <v>12620</v>
      </c>
      <c r="V4293" t="s">
        <v>12620</v>
      </c>
      <c r="W4293" t="s">
        <v>16862</v>
      </c>
      <c r="X4293">
        <v>4</v>
      </c>
      <c r="Y4293" t="s">
        <v>22977</v>
      </c>
      <c r="Z4293" t="s">
        <v>29240</v>
      </c>
      <c r="AA4293">
        <v>0.89569473839847258</v>
      </c>
      <c r="AB4293" t="str">
        <f>HYPERLINK("Melting_Curves/meltCurve_Q8TA86_RP9.pdf", "Melting_Curves/meltCurve_Q8TA86_RP9.pdf")</f>
        <v>Melting_Curves/meltCurve_Q8TA86_RP9.pdf</v>
      </c>
    </row>
    <row r="4294" spans="1:28" x14ac:dyDescent="0.25">
      <c r="A4294" t="s">
        <v>4298</v>
      </c>
      <c r="B4294">
        <v>0.99987803227770999</v>
      </c>
      <c r="C4294">
        <v>0.79398555764235501</v>
      </c>
      <c r="D4294">
        <v>0.83308788855598004</v>
      </c>
      <c r="E4294">
        <v>0.73565958604076997</v>
      </c>
      <c r="F4294">
        <v>0.88599528208418699</v>
      </c>
      <c r="G4294">
        <v>0.84304086088727104</v>
      </c>
      <c r="H4294">
        <v>0.87480253670791697</v>
      </c>
      <c r="I4294">
        <v>0.78689661041694503</v>
      </c>
      <c r="J4294">
        <v>0.73583254873339698</v>
      </c>
      <c r="K4294">
        <v>0.63940207593590304</v>
      </c>
      <c r="L4294">
        <v>118.536698787223</v>
      </c>
      <c r="M4294">
        <v>0.70204635579587404</v>
      </c>
      <c r="O4294">
        <v>44.587589372817</v>
      </c>
      <c r="P4294">
        <v>-6.4699222895669298E-3</v>
      </c>
      <c r="Q4294">
        <v>0</v>
      </c>
      <c r="R4294">
        <v>0.38322637944231602</v>
      </c>
      <c r="S4294" t="s">
        <v>10605</v>
      </c>
      <c r="T4294" t="s">
        <v>12620</v>
      </c>
      <c r="U4294" t="s">
        <v>12620</v>
      </c>
      <c r="V4294" t="s">
        <v>12620</v>
      </c>
      <c r="W4294" t="s">
        <v>16863</v>
      </c>
      <c r="X4294">
        <v>1</v>
      </c>
      <c r="Y4294" t="s">
        <v>22978</v>
      </c>
      <c r="Z4294" t="s">
        <v>29241</v>
      </c>
      <c r="AA4294">
        <v>0.812973762043255</v>
      </c>
      <c r="AB4294" t="str">
        <f>HYPERLINK("Melting_Curves/meltCurve_Q8TAD8_SNIP1.pdf", "Melting_Curves/meltCurve_Q8TAD8_SNIP1.pdf")</f>
        <v>Melting_Curves/meltCurve_Q8TAD8_SNIP1.pdf</v>
      </c>
    </row>
    <row r="4295" spans="1:28" x14ac:dyDescent="0.25">
      <c r="A4295" t="s">
        <v>4299</v>
      </c>
      <c r="B4295">
        <v>0.99987803227770999</v>
      </c>
      <c r="C4295">
        <v>1.1296644225874799</v>
      </c>
      <c r="D4295">
        <v>1.3310571642828799</v>
      </c>
      <c r="E4295">
        <v>1.2087347097144601</v>
      </c>
      <c r="F4295">
        <v>1.2390218690841901</v>
      </c>
      <c r="G4295">
        <v>1.0915419023097499</v>
      </c>
      <c r="H4295">
        <v>0.75868971084065095</v>
      </c>
      <c r="I4295">
        <v>0.92899256908025096</v>
      </c>
      <c r="J4295">
        <v>0.60149362391195904</v>
      </c>
      <c r="K4295">
        <v>0.57253865363985801</v>
      </c>
      <c r="L4295">
        <v>1554.7059805382</v>
      </c>
      <c r="M4295">
        <v>23.6927801611495</v>
      </c>
      <c r="O4295">
        <v>65.157291773787705</v>
      </c>
      <c r="P4295">
        <v>-4.9560084985211902E-2</v>
      </c>
      <c r="Q4295">
        <v>0.454830176079356</v>
      </c>
      <c r="R4295">
        <v>0.55331171817704505</v>
      </c>
      <c r="S4295" t="s">
        <v>10606</v>
      </c>
      <c r="T4295" t="s">
        <v>12620</v>
      </c>
      <c r="U4295" t="s">
        <v>12620</v>
      </c>
      <c r="V4295" t="s">
        <v>12620</v>
      </c>
      <c r="W4295" t="s">
        <v>16864</v>
      </c>
      <c r="X4295">
        <v>5</v>
      </c>
      <c r="Y4295" t="s">
        <v>22979</v>
      </c>
      <c r="Z4295" t="s">
        <v>29242</v>
      </c>
      <c r="AA4295">
        <v>0.91454635445958443</v>
      </c>
      <c r="AB4295" t="str">
        <f>HYPERLINK("Melting_Curves/meltCurve_Q8TAE8_GADD45GIP1.pdf", "Melting_Curves/meltCurve_Q8TAE8_GADD45GIP1.pdf")</f>
        <v>Melting_Curves/meltCurve_Q8TAE8_GADD45GIP1.pdf</v>
      </c>
    </row>
    <row r="4296" spans="1:28" x14ac:dyDescent="0.25">
      <c r="A4296" t="s">
        <v>4300</v>
      </c>
      <c r="B4296">
        <v>0.99987803227770999</v>
      </c>
      <c r="C4296">
        <v>1.0482345047061601</v>
      </c>
      <c r="D4296">
        <v>0.941116204867402</v>
      </c>
      <c r="E4296">
        <v>1.0676948533674699</v>
      </c>
      <c r="F4296">
        <v>1.0186135221799399</v>
      </c>
      <c r="G4296">
        <v>0.92943871643859</v>
      </c>
      <c r="H4296">
        <v>0.364653326755213</v>
      </c>
      <c r="I4296">
        <v>0.24726762369281299</v>
      </c>
      <c r="J4296">
        <v>0.141994578343768</v>
      </c>
      <c r="K4296">
        <v>9.4483547261267203E-2</v>
      </c>
      <c r="L4296">
        <v>2648.3006701159402</v>
      </c>
      <c r="M4296">
        <v>44.305957917874501</v>
      </c>
      <c r="N4296">
        <v>60.210957727492101</v>
      </c>
      <c r="O4296">
        <v>59.651631581205997</v>
      </c>
      <c r="P4296">
        <v>-0.16010923646587499</v>
      </c>
      <c r="Q4296">
        <v>0.13774454019881399</v>
      </c>
      <c r="R4296">
        <v>0.98833654126441495</v>
      </c>
      <c r="S4296" t="s">
        <v>10607</v>
      </c>
      <c r="T4296" t="s">
        <v>12620</v>
      </c>
      <c r="U4296" t="s">
        <v>12620</v>
      </c>
      <c r="V4296" t="s">
        <v>12620</v>
      </c>
      <c r="W4296" t="s">
        <v>16865</v>
      </c>
      <c r="X4296">
        <v>11</v>
      </c>
      <c r="Y4296" t="s">
        <v>22980</v>
      </c>
      <c r="Z4296" t="s">
        <v>29243</v>
      </c>
      <c r="AA4296">
        <v>0.70887055142273736</v>
      </c>
      <c r="AB4296" t="str">
        <f>HYPERLINK("Melting_Curves/meltCurve_Q8TAF3_WDR48.pdf", "Melting_Curves/meltCurve_Q8TAF3_WDR48.pdf")</f>
        <v>Melting_Curves/meltCurve_Q8TAF3_WDR48.pdf</v>
      </c>
    </row>
    <row r="4297" spans="1:28" x14ac:dyDescent="0.25">
      <c r="A4297" t="s">
        <v>4301</v>
      </c>
      <c r="B4297">
        <v>0.99987803227770999</v>
      </c>
      <c r="C4297">
        <v>0.91809392098074305</v>
      </c>
      <c r="D4297">
        <v>0.87816422695079499</v>
      </c>
      <c r="E4297">
        <v>0.80455927452507603</v>
      </c>
      <c r="F4297">
        <v>0.61400364465293</v>
      </c>
      <c r="G4297">
        <v>0.46635467355416999</v>
      </c>
      <c r="H4297">
        <v>0.36703759299500599</v>
      </c>
      <c r="I4297">
        <v>0.24640793759954799</v>
      </c>
      <c r="J4297">
        <v>0.21644391413118599</v>
      </c>
      <c r="K4297">
        <v>0.110576864017251</v>
      </c>
      <c r="L4297">
        <v>514.38188420451002</v>
      </c>
      <c r="M4297">
        <v>9.1115428276369208</v>
      </c>
      <c r="N4297">
        <v>56.453856470594097</v>
      </c>
      <c r="O4297">
        <v>53.933896243436401</v>
      </c>
      <c r="P4297">
        <v>-4.2264044796056402E-2</v>
      </c>
      <c r="Q4297">
        <v>0</v>
      </c>
      <c r="R4297">
        <v>0.99264943771421099</v>
      </c>
      <c r="S4297" t="s">
        <v>10608</v>
      </c>
      <c r="T4297" t="s">
        <v>12620</v>
      </c>
      <c r="U4297" t="s">
        <v>12620</v>
      </c>
      <c r="V4297" t="s">
        <v>12620</v>
      </c>
      <c r="W4297" t="s">
        <v>16866</v>
      </c>
      <c r="X4297">
        <v>2</v>
      </c>
      <c r="Y4297" t="s">
        <v>22981</v>
      </c>
      <c r="Z4297" t="s">
        <v>29244</v>
      </c>
      <c r="AA4297">
        <v>0.56652705159170447</v>
      </c>
      <c r="AB4297" t="str">
        <f>HYPERLINK("Melting_Curves/meltCurve_Q8TAP6_CEP76.pdf", "Melting_Curves/meltCurve_Q8TAP6_CEP76.pdf")</f>
        <v>Melting_Curves/meltCurve_Q8TAP6_CEP76.pdf</v>
      </c>
    </row>
    <row r="4298" spans="1:28" x14ac:dyDescent="0.25">
      <c r="A4298" t="s">
        <v>4302</v>
      </c>
      <c r="B4298">
        <v>0.99987803227770999</v>
      </c>
      <c r="C4298">
        <v>0.83158875127370202</v>
      </c>
      <c r="D4298">
        <v>0.84675842292929204</v>
      </c>
      <c r="E4298">
        <v>0.775927605458539</v>
      </c>
      <c r="F4298">
        <v>0.76113994859576795</v>
      </c>
      <c r="G4298">
        <v>0.65462206040473203</v>
      </c>
      <c r="H4298">
        <v>0.67265723486797901</v>
      </c>
      <c r="I4298">
        <v>0.61786082408903698</v>
      </c>
      <c r="J4298">
        <v>0.52443483128338897</v>
      </c>
      <c r="K4298">
        <v>0.48485812557812002</v>
      </c>
      <c r="L4298">
        <v>231.73553306249099</v>
      </c>
      <c r="M4298">
        <v>3.2827294461533501</v>
      </c>
      <c r="O4298">
        <v>53.986694599425398</v>
      </c>
      <c r="P4298">
        <v>-1.5562121811310101E-2</v>
      </c>
      <c r="Q4298">
        <v>0</v>
      </c>
      <c r="R4298">
        <v>0.932044810177866</v>
      </c>
      <c r="S4298" t="s">
        <v>10609</v>
      </c>
      <c r="T4298" t="s">
        <v>12620</v>
      </c>
      <c r="U4298" t="s">
        <v>12620</v>
      </c>
      <c r="V4298" t="s">
        <v>12620</v>
      </c>
      <c r="W4298" t="s">
        <v>16867</v>
      </c>
      <c r="X4298">
        <v>2</v>
      </c>
      <c r="Y4298" t="s">
        <v>22982</v>
      </c>
      <c r="Z4298" t="s">
        <v>29245</v>
      </c>
      <c r="AA4298">
        <v>0.71758483429264441</v>
      </c>
      <c r="AB4298" t="str">
        <f>HYPERLINK("Melting_Curves/meltCurve_Q8TAP8_PPP1R35.pdf", "Melting_Curves/meltCurve_Q8TAP8_PPP1R35.pdf")</f>
        <v>Melting_Curves/meltCurve_Q8TAP8_PPP1R35.pdf</v>
      </c>
    </row>
    <row r="4299" spans="1:28" x14ac:dyDescent="0.25">
      <c r="A4299" t="s">
        <v>4303</v>
      </c>
      <c r="B4299">
        <v>0.99987803227770999</v>
      </c>
      <c r="C4299">
        <v>0.97976829715706104</v>
      </c>
      <c r="D4299">
        <v>0.98298350694818404</v>
      </c>
      <c r="E4299">
        <v>0.84181977493770299</v>
      </c>
      <c r="F4299">
        <v>1.00630803924211</v>
      </c>
      <c r="G4299">
        <v>0.54593645104177002</v>
      </c>
      <c r="H4299">
        <v>0.70992995398463998</v>
      </c>
      <c r="I4299">
        <v>0.64309217725700996</v>
      </c>
      <c r="J4299">
        <v>0.96053792679224204</v>
      </c>
      <c r="K4299">
        <v>0.91056118771415495</v>
      </c>
      <c r="L4299">
        <v>1307.92533327665</v>
      </c>
      <c r="M4299">
        <v>25.6206440967233</v>
      </c>
      <c r="O4299">
        <v>50.741709649393599</v>
      </c>
      <c r="P4299">
        <v>-2.8768432040269801E-2</v>
      </c>
      <c r="Q4299">
        <v>0.77209915786938099</v>
      </c>
      <c r="R4299">
        <v>0.32996458461014899</v>
      </c>
      <c r="S4299" t="s">
        <v>10610</v>
      </c>
      <c r="T4299" t="s">
        <v>12620</v>
      </c>
      <c r="U4299" t="s">
        <v>12620</v>
      </c>
      <c r="V4299" t="s">
        <v>12620</v>
      </c>
      <c r="W4299" t="s">
        <v>16868</v>
      </c>
      <c r="X4299">
        <v>2</v>
      </c>
      <c r="Y4299" t="s">
        <v>22983</v>
      </c>
      <c r="Z4299" t="s">
        <v>29246</v>
      </c>
      <c r="AA4299">
        <v>0.85800296193973435</v>
      </c>
      <c r="AB4299" t="str">
        <f>HYPERLINK("Melting_Curves/meltCurve_Q8TAP9_MPLKIP.pdf", "Melting_Curves/meltCurve_Q8TAP9_MPLKIP.pdf")</f>
        <v>Melting_Curves/meltCurve_Q8TAP9_MPLKIP.pdf</v>
      </c>
    </row>
    <row r="4300" spans="1:28" x14ac:dyDescent="0.25">
      <c r="A4300" t="s">
        <v>4304</v>
      </c>
      <c r="B4300">
        <v>0.99987803227770999</v>
      </c>
      <c r="C4300">
        <v>1.10976686493184</v>
      </c>
      <c r="D4300">
        <v>0.90711953557673297</v>
      </c>
      <c r="E4300">
        <v>0.84473239874009898</v>
      </c>
      <c r="F4300">
        <v>0.48538170331184499</v>
      </c>
      <c r="G4300">
        <v>0.37937880966939402</v>
      </c>
      <c r="H4300">
        <v>0.19770352083697201</v>
      </c>
      <c r="I4300">
        <v>0.13747875304689799</v>
      </c>
      <c r="J4300">
        <v>0.117512644240478</v>
      </c>
      <c r="K4300">
        <v>8.1186460959395093E-2</v>
      </c>
      <c r="L4300">
        <v>907.71099285027606</v>
      </c>
      <c r="M4300">
        <v>16.9904320650556</v>
      </c>
      <c r="N4300">
        <v>54.043757923350299</v>
      </c>
      <c r="O4300">
        <v>52.701208298820902</v>
      </c>
      <c r="P4300">
        <v>-7.3476740586631395E-2</v>
      </c>
      <c r="Q4300">
        <v>8.8410875403901301E-2</v>
      </c>
      <c r="R4300">
        <v>0.97768599661207101</v>
      </c>
      <c r="S4300" t="s">
        <v>10611</v>
      </c>
      <c r="T4300" t="s">
        <v>12620</v>
      </c>
      <c r="U4300" t="s">
        <v>12620</v>
      </c>
      <c r="V4300" t="s">
        <v>12620</v>
      </c>
      <c r="W4300" t="s">
        <v>16869</v>
      </c>
      <c r="X4300">
        <v>26</v>
      </c>
      <c r="Y4300" t="s">
        <v>22984</v>
      </c>
      <c r="Z4300" t="s">
        <v>29247</v>
      </c>
      <c r="AA4300">
        <v>0.51249421062105804</v>
      </c>
      <c r="AB4300" t="str">
        <f>HYPERLINK("Melting_Curves/meltCurve_Q8TAQ2_SMARCC2.pdf", "Melting_Curves/meltCurve_Q8TAQ2_SMARCC2.pdf")</f>
        <v>Melting_Curves/meltCurve_Q8TAQ2_SMARCC2.pdf</v>
      </c>
    </row>
    <row r="4301" spans="1:28" x14ac:dyDescent="0.25">
      <c r="A4301" t="s">
        <v>4305</v>
      </c>
      <c r="B4301">
        <v>0.99987803227770999</v>
      </c>
      <c r="C4301">
        <v>0.98679477928963799</v>
      </c>
      <c r="D4301">
        <v>1.0243646014779699</v>
      </c>
      <c r="E4301">
        <v>0.86967957365236204</v>
      </c>
      <c r="F4301">
        <v>0.58674298203265496</v>
      </c>
      <c r="G4301">
        <v>0.25413258540278799</v>
      </c>
      <c r="H4301">
        <v>0.141543027538096</v>
      </c>
      <c r="I4301">
        <v>0.11128012192747599</v>
      </c>
      <c r="J4301">
        <v>9.1189133132006703E-2</v>
      </c>
      <c r="K4301">
        <v>6.4493457776166593E-2</v>
      </c>
      <c r="L4301">
        <v>1328.83764874129</v>
      </c>
      <c r="M4301">
        <v>24.831080870958999</v>
      </c>
      <c r="N4301">
        <v>53.922664396920503</v>
      </c>
      <c r="O4301">
        <v>53.171631720753702</v>
      </c>
      <c r="P4301">
        <v>-0.106761868970462</v>
      </c>
      <c r="Q4301">
        <v>8.5561481520080196E-2</v>
      </c>
      <c r="R4301">
        <v>0.99827135489644103</v>
      </c>
      <c r="S4301" t="s">
        <v>10612</v>
      </c>
      <c r="T4301" t="s">
        <v>12620</v>
      </c>
      <c r="U4301" t="s">
        <v>12620</v>
      </c>
      <c r="V4301" t="s">
        <v>12620</v>
      </c>
      <c r="W4301" t="s">
        <v>16870</v>
      </c>
      <c r="X4301">
        <v>18</v>
      </c>
      <c r="Y4301" t="s">
        <v>22985</v>
      </c>
      <c r="Z4301" t="s">
        <v>29248</v>
      </c>
      <c r="AA4301">
        <v>0.50607122839534668</v>
      </c>
      <c r="AB4301" t="str">
        <f>HYPERLINK("Melting_Curves/meltCurve_Q8TAT6_NPLOC4.pdf", "Melting_Curves/meltCurve_Q8TAT6_NPLOC4.pdf")</f>
        <v>Melting_Curves/meltCurve_Q8TAT6_NPLOC4.pdf</v>
      </c>
    </row>
    <row r="4302" spans="1:28" x14ac:dyDescent="0.25">
      <c r="A4302" t="s">
        <v>4306</v>
      </c>
      <c r="B4302">
        <v>0.99987803227770999</v>
      </c>
      <c r="C4302">
        <v>1.0984101937844299</v>
      </c>
      <c r="D4302">
        <v>1.1432364939542701</v>
      </c>
      <c r="E4302">
        <v>0.99180040342985498</v>
      </c>
      <c r="F4302">
        <v>0.92352716844921701</v>
      </c>
      <c r="G4302">
        <v>0.62342987094217395</v>
      </c>
      <c r="H4302">
        <v>0.77130971428624695</v>
      </c>
      <c r="I4302">
        <v>0.80855158205487498</v>
      </c>
      <c r="J4302">
        <v>1.00302022688545</v>
      </c>
      <c r="K4302">
        <v>0.91783888445814699</v>
      </c>
      <c r="L4302">
        <v>13263.5213283761</v>
      </c>
      <c r="M4302">
        <v>250</v>
      </c>
      <c r="O4302">
        <v>53.050690065897399</v>
      </c>
      <c r="P4302">
        <v>-0.20637095085155799</v>
      </c>
      <c r="Q4302">
        <v>0.82483005811379095</v>
      </c>
      <c r="R4302">
        <v>0.48470867408492702</v>
      </c>
      <c r="S4302" t="s">
        <v>10613</v>
      </c>
      <c r="T4302" t="s">
        <v>12620</v>
      </c>
      <c r="U4302" t="s">
        <v>12620</v>
      </c>
      <c r="V4302" t="s">
        <v>12620</v>
      </c>
      <c r="W4302" t="s">
        <v>16871</v>
      </c>
      <c r="X4302">
        <v>1</v>
      </c>
      <c r="Y4302" t="s">
        <v>22986</v>
      </c>
      <c r="Z4302" t="s">
        <v>29249</v>
      </c>
      <c r="AA4302">
        <v>0.90106914688651907</v>
      </c>
      <c r="AB4302" t="str">
        <f>HYPERLINK("Melting_Curves/meltCurve_Q8TAV0_FAM76A.pdf", "Melting_Curves/meltCurve_Q8TAV0_FAM76A.pdf")</f>
        <v>Melting_Curves/meltCurve_Q8TAV0_FAM76A.pdf</v>
      </c>
    </row>
    <row r="4303" spans="1:28" x14ac:dyDescent="0.25">
      <c r="A4303" t="s">
        <v>4307</v>
      </c>
      <c r="B4303">
        <v>0.99987803227770999</v>
      </c>
      <c r="C4303">
        <v>0.91884138159302797</v>
      </c>
      <c r="D4303">
        <v>0.96909186617315801</v>
      </c>
      <c r="E4303">
        <v>0.870686368697415</v>
      </c>
      <c r="F4303">
        <v>0.85546390882573797</v>
      </c>
      <c r="G4303">
        <v>0.29437527528995999</v>
      </c>
      <c r="H4303">
        <v>0.14865127095458699</v>
      </c>
      <c r="I4303">
        <v>0.119085698077509</v>
      </c>
      <c r="J4303">
        <v>6.0564625383962997E-2</v>
      </c>
      <c r="K4303">
        <v>4.8265990693785898E-2</v>
      </c>
      <c r="L4303">
        <v>1761.1089850729199</v>
      </c>
      <c r="M4303">
        <v>31.886895135262499</v>
      </c>
      <c r="N4303">
        <v>55.512071393149</v>
      </c>
      <c r="O4303">
        <v>55.014006323291902</v>
      </c>
      <c r="P4303">
        <v>-0.13406214465540001</v>
      </c>
      <c r="Q4303">
        <v>7.4822688601100001E-2</v>
      </c>
      <c r="R4303">
        <v>0.98557004061572095</v>
      </c>
      <c r="S4303" t="s">
        <v>10614</v>
      </c>
      <c r="T4303" t="s">
        <v>12620</v>
      </c>
      <c r="U4303" t="s">
        <v>12620</v>
      </c>
      <c r="V4303" t="s">
        <v>12620</v>
      </c>
      <c r="W4303" t="s">
        <v>16872</v>
      </c>
      <c r="X4303">
        <v>12</v>
      </c>
      <c r="Y4303" t="s">
        <v>22987</v>
      </c>
      <c r="Z4303" t="s">
        <v>29250</v>
      </c>
      <c r="AA4303">
        <v>0.54997681863354109</v>
      </c>
      <c r="AB4303" t="str">
        <f>HYPERLINK("Melting_Curves/meltCurve_Q8TB03_CXorf38.pdf", "Melting_Curves/meltCurve_Q8TB03_CXorf38.pdf")</f>
        <v>Melting_Curves/meltCurve_Q8TB03_CXorf38.pdf</v>
      </c>
    </row>
    <row r="4304" spans="1:28" x14ac:dyDescent="0.25">
      <c r="A4304" t="s">
        <v>4308</v>
      </c>
      <c r="B4304">
        <v>0.99987803227770999</v>
      </c>
      <c r="C4304">
        <v>1.14023615867057</v>
      </c>
      <c r="D4304">
        <v>1.02645786387681</v>
      </c>
      <c r="E4304">
        <v>0.98226448322906801</v>
      </c>
      <c r="F4304">
        <v>0.57374080203475697</v>
      </c>
      <c r="G4304">
        <v>0.17584638811667899</v>
      </c>
      <c r="H4304">
        <v>0.11030011755266</v>
      </c>
      <c r="I4304">
        <v>9.4674896172651402E-2</v>
      </c>
      <c r="J4304">
        <v>8.0647904105885002E-2</v>
      </c>
      <c r="K4304">
        <v>4.3317776605395701E-2</v>
      </c>
      <c r="L4304">
        <v>2210.4962658815898</v>
      </c>
      <c r="M4304">
        <v>41.497957423350897</v>
      </c>
      <c r="N4304">
        <v>53.514086933410503</v>
      </c>
      <c r="O4304">
        <v>53.1443350643315</v>
      </c>
      <c r="P4304">
        <v>-0.17823048989096699</v>
      </c>
      <c r="Q4304">
        <v>8.6998447446048899E-2</v>
      </c>
      <c r="R4304">
        <v>0.98700571515413305</v>
      </c>
      <c r="S4304" t="s">
        <v>10615</v>
      </c>
      <c r="T4304" t="s">
        <v>12620</v>
      </c>
      <c r="U4304" t="s">
        <v>12620</v>
      </c>
      <c r="V4304" t="s">
        <v>12620</v>
      </c>
      <c r="W4304" t="s">
        <v>16873</v>
      </c>
      <c r="X4304">
        <v>8</v>
      </c>
      <c r="Y4304" t="s">
        <v>22988</v>
      </c>
      <c r="Z4304" t="s">
        <v>29251</v>
      </c>
      <c r="AA4304">
        <v>0.49389494938686701</v>
      </c>
      <c r="AB4304" t="str">
        <f>HYPERLINK("Melting_Curves/meltCurve_Q8TB22_SPATA20.pdf", "Melting_Curves/meltCurve_Q8TB22_SPATA20.pdf")</f>
        <v>Melting_Curves/meltCurve_Q8TB22_SPATA20.pdf</v>
      </c>
    </row>
    <row r="4305" spans="1:28" x14ac:dyDescent="0.25">
      <c r="A4305" t="s">
        <v>4309</v>
      </c>
      <c r="B4305">
        <v>0.99987803227770999</v>
      </c>
      <c r="C4305">
        <v>0.96333038534100701</v>
      </c>
      <c r="D4305">
        <v>0.89899658280362205</v>
      </c>
      <c r="E4305">
        <v>0.64959821125548201</v>
      </c>
      <c r="F4305">
        <v>0.459354310585806</v>
      </c>
      <c r="G4305">
        <v>0.21991550923164599</v>
      </c>
      <c r="H4305">
        <v>0.18003838408190001</v>
      </c>
      <c r="I4305">
        <v>0.161448642665559</v>
      </c>
      <c r="J4305">
        <v>0.13501768023670899</v>
      </c>
      <c r="K4305">
        <v>9.0774916897699995E-2</v>
      </c>
      <c r="L4305">
        <v>876.05736859033004</v>
      </c>
      <c r="M4305">
        <v>17.046822063977999</v>
      </c>
      <c r="N4305">
        <v>52.144011256096903</v>
      </c>
      <c r="O4305">
        <v>50.699671887593702</v>
      </c>
      <c r="P4305">
        <v>-7.4893991064008097E-2</v>
      </c>
      <c r="Q4305">
        <v>0.109073196502275</v>
      </c>
      <c r="R4305">
        <v>0.99762703293690702</v>
      </c>
      <c r="S4305" t="s">
        <v>10616</v>
      </c>
      <c r="T4305" t="s">
        <v>12620</v>
      </c>
      <c r="U4305" t="s">
        <v>12620</v>
      </c>
      <c r="V4305" t="s">
        <v>12620</v>
      </c>
      <c r="W4305" t="s">
        <v>16874</v>
      </c>
      <c r="X4305">
        <v>5</v>
      </c>
      <c r="Y4305" t="s">
        <v>22989</v>
      </c>
      <c r="Z4305" t="s">
        <v>29252</v>
      </c>
      <c r="AA4305">
        <v>0.46379480101812959</v>
      </c>
      <c r="AB4305" t="str">
        <f>HYPERLINK("Melting_Curves/meltCurve_Q8TB24_RIN3.pdf", "Melting_Curves/meltCurve_Q8TB24_RIN3.pdf")</f>
        <v>Melting_Curves/meltCurve_Q8TB24_RIN3.pdf</v>
      </c>
    </row>
    <row r="4306" spans="1:28" x14ac:dyDescent="0.25">
      <c r="A4306" t="s">
        <v>4310</v>
      </c>
      <c r="B4306">
        <v>0.99987803227770999</v>
      </c>
      <c r="C4306">
        <v>1.1037787293535</v>
      </c>
      <c r="D4306">
        <v>0.99951962700450303</v>
      </c>
      <c r="E4306">
        <v>0.90421189548395697</v>
      </c>
      <c r="F4306">
        <v>0.55940340317666803</v>
      </c>
      <c r="G4306">
        <v>0.20244970674548099</v>
      </c>
      <c r="H4306">
        <v>9.0317439221432205E-2</v>
      </c>
      <c r="I4306">
        <v>0.105633247236795</v>
      </c>
      <c r="J4306">
        <v>7.1955714059272105E-2</v>
      </c>
      <c r="K4306">
        <v>5.8353949994689798E-2</v>
      </c>
      <c r="L4306">
        <v>1628.65862448537</v>
      </c>
      <c r="M4306">
        <v>30.580979557843399</v>
      </c>
      <c r="N4306">
        <v>53.551685833709101</v>
      </c>
      <c r="O4306">
        <v>53.031083247613502</v>
      </c>
      <c r="P4306">
        <v>-0.13301011993833001</v>
      </c>
      <c r="Q4306">
        <v>7.7383992220437597E-2</v>
      </c>
      <c r="R4306">
        <v>0.99308606694207602</v>
      </c>
      <c r="S4306" t="s">
        <v>10617</v>
      </c>
      <c r="T4306" t="s">
        <v>12620</v>
      </c>
      <c r="U4306" t="s">
        <v>12620</v>
      </c>
      <c r="V4306" t="s">
        <v>12620</v>
      </c>
      <c r="W4306" t="s">
        <v>16875</v>
      </c>
      <c r="X4306">
        <v>4</v>
      </c>
      <c r="Y4306" t="s">
        <v>22990</v>
      </c>
      <c r="Z4306" t="s">
        <v>29253</v>
      </c>
      <c r="AA4306">
        <v>0.49087877627930609</v>
      </c>
      <c r="AB4306" t="str">
        <f>HYPERLINK("Melting_Curves/meltCurve_Q8TB37_NUBPL.pdf", "Melting_Curves/meltCurve_Q8TB37_NUBPL.pdf")</f>
        <v>Melting_Curves/meltCurve_Q8TB37_NUBPL.pdf</v>
      </c>
    </row>
    <row r="4307" spans="1:28" x14ac:dyDescent="0.25">
      <c r="A4307" t="s">
        <v>4311</v>
      </c>
      <c r="B4307">
        <v>0.99987803227770999</v>
      </c>
      <c r="C4307">
        <v>0.95250101670656195</v>
      </c>
      <c r="D4307">
        <v>0.95605266366251096</v>
      </c>
      <c r="E4307">
        <v>0.37983195542192699</v>
      </c>
      <c r="F4307">
        <v>0.1674172257199</v>
      </c>
      <c r="G4307">
        <v>0.134308668313913</v>
      </c>
      <c r="H4307">
        <v>7.4043938299371698E-2</v>
      </c>
      <c r="I4307">
        <v>8.7409799343759406E-2</v>
      </c>
      <c r="J4307">
        <v>5.8144893464744801E-2</v>
      </c>
      <c r="K4307">
        <v>4.7141258279026398E-2</v>
      </c>
      <c r="L4307">
        <v>1813.9344697817701</v>
      </c>
      <c r="M4307">
        <v>36.936768828550299</v>
      </c>
      <c r="N4307">
        <v>49.349764159324501</v>
      </c>
      <c r="O4307">
        <v>48.965897499351598</v>
      </c>
      <c r="P4307">
        <v>-0.173046325688411</v>
      </c>
      <c r="Q4307">
        <v>8.2394566941944206E-2</v>
      </c>
      <c r="R4307">
        <v>0.99504334949274298</v>
      </c>
      <c r="S4307" t="s">
        <v>10618</v>
      </c>
      <c r="T4307" t="s">
        <v>12620</v>
      </c>
      <c r="U4307" t="s">
        <v>12620</v>
      </c>
      <c r="V4307" t="s">
        <v>12620</v>
      </c>
      <c r="W4307" t="s">
        <v>16876</v>
      </c>
      <c r="X4307">
        <v>5</v>
      </c>
      <c r="Y4307" t="s">
        <v>22991</v>
      </c>
      <c r="Z4307" t="s">
        <v>29254</v>
      </c>
      <c r="AA4307">
        <v>0.36467962468709952</v>
      </c>
      <c r="AB4307" t="str">
        <f>HYPERLINK("Melting_Curves/meltCurve_Q8TB40_ABHD4.pdf", "Melting_Curves/meltCurve_Q8TB40_ABHD4.pdf")</f>
        <v>Melting_Curves/meltCurve_Q8TB40_ABHD4.pdf</v>
      </c>
    </row>
    <row r="4308" spans="1:28" x14ac:dyDescent="0.25">
      <c r="A4308" t="s">
        <v>4312</v>
      </c>
      <c r="B4308">
        <v>0.99987803227770999</v>
      </c>
      <c r="C4308">
        <v>1.26496027628202</v>
      </c>
      <c r="D4308">
        <v>0.94032654828025897</v>
      </c>
      <c r="E4308">
        <v>0.78835191615856204</v>
      </c>
      <c r="F4308">
        <v>0.35501116676484201</v>
      </c>
      <c r="G4308">
        <v>0.26782939806043699</v>
      </c>
      <c r="H4308">
        <v>0.16828529447288201</v>
      </c>
      <c r="I4308">
        <v>0.14507518000516501</v>
      </c>
      <c r="J4308">
        <v>0.11575467765075199</v>
      </c>
      <c r="K4308">
        <v>8.5234375459368794E-2</v>
      </c>
      <c r="L4308">
        <v>1605.6781531746001</v>
      </c>
      <c r="M4308">
        <v>31.150756802905001</v>
      </c>
      <c r="N4308">
        <v>52.098374860262901</v>
      </c>
      <c r="O4308">
        <v>51.3343847004842</v>
      </c>
      <c r="P4308">
        <v>-0.13035040573012499</v>
      </c>
      <c r="Q4308">
        <v>0.14076973275149701</v>
      </c>
      <c r="R4308">
        <v>0.95024215526634004</v>
      </c>
      <c r="S4308" t="s">
        <v>10619</v>
      </c>
      <c r="T4308" t="s">
        <v>12620</v>
      </c>
      <c r="U4308" t="s">
        <v>12620</v>
      </c>
      <c r="V4308" t="s">
        <v>12620</v>
      </c>
      <c r="W4308" t="s">
        <v>16877</v>
      </c>
      <c r="X4308">
        <v>11</v>
      </c>
      <c r="Y4308" t="s">
        <v>22992</v>
      </c>
      <c r="Z4308" t="s">
        <v>29255</v>
      </c>
      <c r="AA4308">
        <v>0.47649775054488008</v>
      </c>
      <c r="AB4308" t="str">
        <f>HYPERLINK("Melting_Curves/meltCurve_Q8TB52_FBXO30.pdf", "Melting_Curves/meltCurve_Q8TB52_FBXO30.pdf")</f>
        <v>Melting_Curves/meltCurve_Q8TB52_FBXO30.pdf</v>
      </c>
    </row>
    <row r="4309" spans="1:28" x14ac:dyDescent="0.25">
      <c r="A4309" t="s">
        <v>4313</v>
      </c>
      <c r="B4309">
        <v>0.99987803227770999</v>
      </c>
      <c r="C4309">
        <v>0.88367457296878105</v>
      </c>
      <c r="D4309">
        <v>0.958250944534905</v>
      </c>
      <c r="E4309">
        <v>0.88532017458706802</v>
      </c>
      <c r="F4309">
        <v>1.02129837368373</v>
      </c>
      <c r="G4309">
        <v>0.84853835547128598</v>
      </c>
      <c r="H4309">
        <v>0.84316076541413798</v>
      </c>
      <c r="I4309">
        <v>0.83511190326802898</v>
      </c>
      <c r="J4309">
        <v>0.77400604541142304</v>
      </c>
      <c r="K4309">
        <v>0.63472774018377298</v>
      </c>
      <c r="L4309">
        <v>380.20979415676402</v>
      </c>
      <c r="M4309">
        <v>4.6168699034401701</v>
      </c>
      <c r="Q4309">
        <v>0</v>
      </c>
      <c r="R4309">
        <v>0.72254856228910602</v>
      </c>
      <c r="S4309" t="s">
        <v>10620</v>
      </c>
      <c r="T4309" t="s">
        <v>12620</v>
      </c>
      <c r="U4309" t="s">
        <v>12620</v>
      </c>
      <c r="V4309" t="s">
        <v>12620</v>
      </c>
      <c r="W4309" t="s">
        <v>16878</v>
      </c>
      <c r="X4309">
        <v>14</v>
      </c>
      <c r="Y4309" t="s">
        <v>22993</v>
      </c>
      <c r="Z4309" t="s">
        <v>29256</v>
      </c>
      <c r="AA4309">
        <v>0.88511670156452005</v>
      </c>
      <c r="AB4309" t="str">
        <f>HYPERLINK("Melting_Curves/meltCurve_Q8TB72_3_PUM2.pdf", "Melting_Curves/meltCurve_Q8TB72_3_PUM2.pdf")</f>
        <v>Melting_Curves/meltCurve_Q8TB72_3_PUM2.pdf</v>
      </c>
    </row>
    <row r="4310" spans="1:28" x14ac:dyDescent="0.25">
      <c r="A4310" t="s">
        <v>4314</v>
      </c>
      <c r="B4310">
        <v>0.99987803227770999</v>
      </c>
      <c r="C4310">
        <v>0.82342806895061305</v>
      </c>
      <c r="D4310">
        <v>1.0865246494665299</v>
      </c>
      <c r="E4310">
        <v>0.87758525869658099</v>
      </c>
      <c r="F4310">
        <v>1.1539238782771899</v>
      </c>
      <c r="G4310">
        <v>0.93321338291338096</v>
      </c>
      <c r="H4310">
        <v>0.90167908077645098</v>
      </c>
      <c r="I4310">
        <v>0.88741527055095804</v>
      </c>
      <c r="J4310">
        <v>0.71154724020044602</v>
      </c>
      <c r="K4310">
        <v>0.63941567621608197</v>
      </c>
      <c r="L4310">
        <v>1205.72711119734</v>
      </c>
      <c r="M4310">
        <v>17.875745931606499</v>
      </c>
      <c r="O4310">
        <v>66.623314850003595</v>
      </c>
      <c r="P4310">
        <v>-3.7503992165637101E-2</v>
      </c>
      <c r="Q4310">
        <v>0.440915396525214</v>
      </c>
      <c r="R4310">
        <v>0.620232683002374</v>
      </c>
      <c r="S4310" t="s">
        <v>10621</v>
      </c>
      <c r="T4310" t="s">
        <v>12620</v>
      </c>
      <c r="U4310" t="s">
        <v>12620</v>
      </c>
      <c r="V4310" t="s">
        <v>12620</v>
      </c>
      <c r="W4310" t="s">
        <v>16879</v>
      </c>
      <c r="X4310">
        <v>5</v>
      </c>
      <c r="Y4310" t="s">
        <v>22994</v>
      </c>
      <c r="Z4310" t="s">
        <v>29257</v>
      </c>
      <c r="AA4310">
        <v>0.92915428318836601</v>
      </c>
      <c r="AB4310" t="str">
        <f>HYPERLINK("Melting_Curves/meltCurve_Q8TBA6_2_GOLGA5.pdf", "Melting_Curves/meltCurve_Q8TBA6_2_GOLGA5.pdf")</f>
        <v>Melting_Curves/meltCurve_Q8TBA6_2_GOLGA5.pdf</v>
      </c>
    </row>
    <row r="4311" spans="1:28" x14ac:dyDescent="0.25">
      <c r="A4311" t="s">
        <v>4315</v>
      </c>
      <c r="B4311">
        <v>0.99987803227770999</v>
      </c>
      <c r="C4311">
        <v>0.96187349111826703</v>
      </c>
      <c r="D4311">
        <v>1.0420280367302801</v>
      </c>
      <c r="E4311">
        <v>0.921334733355751</v>
      </c>
      <c r="F4311">
        <v>0.879536486010706</v>
      </c>
      <c r="G4311">
        <v>0.51905402710821502</v>
      </c>
      <c r="H4311">
        <v>0.29078376841372</v>
      </c>
      <c r="I4311">
        <v>0.18893164101608501</v>
      </c>
      <c r="J4311">
        <v>0.124931583738275</v>
      </c>
      <c r="K4311">
        <v>8.9631201605890207E-2</v>
      </c>
      <c r="L4311">
        <v>1174.98841091442</v>
      </c>
      <c r="M4311">
        <v>20.5900343555174</v>
      </c>
      <c r="N4311">
        <v>57.585352903109502</v>
      </c>
      <c r="O4311">
        <v>56.535773855782502</v>
      </c>
      <c r="P4311">
        <v>-8.3334204497661907E-2</v>
      </c>
      <c r="Q4311">
        <v>8.4755865119863397E-2</v>
      </c>
      <c r="R4311">
        <v>0.99474065407498602</v>
      </c>
      <c r="S4311" t="s">
        <v>10622</v>
      </c>
      <c r="T4311" t="s">
        <v>12620</v>
      </c>
      <c r="U4311" t="s">
        <v>12620</v>
      </c>
      <c r="V4311" t="s">
        <v>12620</v>
      </c>
      <c r="W4311" t="s">
        <v>16880</v>
      </c>
      <c r="X4311">
        <v>12</v>
      </c>
      <c r="Y4311" t="s">
        <v>22995</v>
      </c>
      <c r="Z4311" t="s">
        <v>29258</v>
      </c>
      <c r="AA4311">
        <v>0.61617877877495586</v>
      </c>
      <c r="AB4311" t="str">
        <f>HYPERLINK("Melting_Curves/meltCurve_Q8TBB5_3_KLHDC4.pdf", "Melting_Curves/meltCurve_Q8TBB5_3_KLHDC4.pdf")</f>
        <v>Melting_Curves/meltCurve_Q8TBB5_3_KLHDC4.pdf</v>
      </c>
    </row>
    <row r="4312" spans="1:28" x14ac:dyDescent="0.25">
      <c r="A4312" t="s">
        <v>4316</v>
      </c>
      <c r="B4312">
        <v>0.99987803227770999</v>
      </c>
      <c r="C4312">
        <v>1.1364457542269699</v>
      </c>
      <c r="D4312">
        <v>0.83641929096467504</v>
      </c>
      <c r="E4312">
        <v>1.05752720834007</v>
      </c>
      <c r="F4312">
        <v>0.43035464364808101</v>
      </c>
      <c r="G4312">
        <v>0.229500827108129</v>
      </c>
      <c r="H4312">
        <v>0.15798643702222401</v>
      </c>
      <c r="I4312">
        <v>0.13811567136862199</v>
      </c>
      <c r="J4312">
        <v>0.104336018416472</v>
      </c>
      <c r="K4312">
        <v>7.9111745361979804E-2</v>
      </c>
      <c r="L4312">
        <v>13213.951325714601</v>
      </c>
      <c r="M4312">
        <v>250</v>
      </c>
      <c r="N4312">
        <v>52.926418042380497</v>
      </c>
      <c r="O4312">
        <v>52.852401248400298</v>
      </c>
      <c r="P4312">
        <v>-1.0148421665376499</v>
      </c>
      <c r="Q4312">
        <v>0.14181012124912901</v>
      </c>
      <c r="R4312">
        <v>0.96428821751094096</v>
      </c>
      <c r="S4312" t="s">
        <v>10623</v>
      </c>
      <c r="T4312" t="s">
        <v>12620</v>
      </c>
      <c r="U4312" t="s">
        <v>12620</v>
      </c>
      <c r="V4312" t="s">
        <v>12620</v>
      </c>
      <c r="W4312" t="s">
        <v>16881</v>
      </c>
      <c r="X4312">
        <v>17</v>
      </c>
      <c r="Y4312" t="s">
        <v>22996</v>
      </c>
      <c r="Z4312" t="s">
        <v>29259</v>
      </c>
      <c r="AA4312">
        <v>0.50964712770324971</v>
      </c>
      <c r="AB4312" t="str">
        <f>HYPERLINK("Melting_Curves/meltCurve_Q8TBC4_UBA3.pdf", "Melting_Curves/meltCurve_Q8TBC4_UBA3.pdf")</f>
        <v>Melting_Curves/meltCurve_Q8TBC4_UBA3.pdf</v>
      </c>
    </row>
    <row r="4313" spans="1:28" x14ac:dyDescent="0.25">
      <c r="A4313" t="s">
        <v>4317</v>
      </c>
      <c r="B4313">
        <v>0.99987803227770999</v>
      </c>
      <c r="C4313">
        <v>0.87851927182136902</v>
      </c>
      <c r="D4313">
        <v>0.99629362137129995</v>
      </c>
      <c r="E4313">
        <v>0.68649917934306004</v>
      </c>
      <c r="F4313">
        <v>0.34761416994304301</v>
      </c>
      <c r="G4313">
        <v>0.18856518894143001</v>
      </c>
      <c r="H4313">
        <v>0.18273168012974</v>
      </c>
      <c r="I4313">
        <v>0.220299141715042</v>
      </c>
      <c r="J4313">
        <v>0.11696646266358</v>
      </c>
      <c r="K4313">
        <v>8.0114780427250606E-2</v>
      </c>
      <c r="L4313">
        <v>1494.18877926554</v>
      </c>
      <c r="M4313">
        <v>29.336998390554299</v>
      </c>
      <c r="N4313">
        <v>51.5469308832322</v>
      </c>
      <c r="O4313">
        <v>50.696998605723898</v>
      </c>
      <c r="P4313">
        <v>-0.123306068791413</v>
      </c>
      <c r="Q4313">
        <v>0.14766974542227301</v>
      </c>
      <c r="R4313">
        <v>0.97953763622467505</v>
      </c>
      <c r="S4313" t="s">
        <v>10624</v>
      </c>
      <c r="T4313" t="s">
        <v>12620</v>
      </c>
      <c r="U4313" t="s">
        <v>12620</v>
      </c>
      <c r="V4313" t="s">
        <v>12620</v>
      </c>
      <c r="W4313" t="s">
        <v>16882</v>
      </c>
      <c r="X4313">
        <v>8</v>
      </c>
      <c r="Y4313" t="s">
        <v>22997</v>
      </c>
      <c r="Z4313" t="s">
        <v>29260</v>
      </c>
      <c r="AA4313">
        <v>0.46385382033903239</v>
      </c>
      <c r="AB4313" t="str">
        <f>HYPERLINK("Melting_Curves/meltCurve_Q8TBE9_NANP.pdf", "Melting_Curves/meltCurve_Q8TBE9_NANP.pdf")</f>
        <v>Melting_Curves/meltCurve_Q8TBE9_NANP.pdf</v>
      </c>
    </row>
    <row r="4314" spans="1:28" x14ac:dyDescent="0.25">
      <c r="A4314" t="s">
        <v>4318</v>
      </c>
      <c r="B4314">
        <v>0.99987803227770999</v>
      </c>
      <c r="C4314">
        <v>0.74187998521088205</v>
      </c>
      <c r="D4314">
        <v>0.92231220227649202</v>
      </c>
      <c r="E4314">
        <v>0.76937910677377896</v>
      </c>
      <c r="F4314">
        <v>0.92797068100659297</v>
      </c>
      <c r="G4314">
        <v>0.57516869590259201</v>
      </c>
      <c r="H4314">
        <v>0.29973290223883198</v>
      </c>
      <c r="I4314">
        <v>0.15248364039711201</v>
      </c>
      <c r="J4314">
        <v>0.13614948858489001</v>
      </c>
      <c r="K4314">
        <v>9.9840807295692197E-2</v>
      </c>
      <c r="L4314">
        <v>839.47731756180804</v>
      </c>
      <c r="M4314">
        <v>14.4852796686265</v>
      </c>
      <c r="N4314">
        <v>57.953821987912796</v>
      </c>
      <c r="O4314">
        <v>56.882877441277202</v>
      </c>
      <c r="P4314">
        <v>-6.3670116416240097E-2</v>
      </c>
      <c r="Q4314">
        <v>0</v>
      </c>
      <c r="R4314">
        <v>0.907095116487311</v>
      </c>
      <c r="S4314" t="s">
        <v>10625</v>
      </c>
      <c r="T4314" t="s">
        <v>12620</v>
      </c>
      <c r="U4314" t="s">
        <v>12620</v>
      </c>
      <c r="V4314" t="s">
        <v>12620</v>
      </c>
      <c r="W4314" t="s">
        <v>16883</v>
      </c>
      <c r="X4314">
        <v>4</v>
      </c>
      <c r="Y4314" t="s">
        <v>22998</v>
      </c>
      <c r="Z4314" t="s">
        <v>29261</v>
      </c>
      <c r="AA4314">
        <v>0.61208065325915562</v>
      </c>
      <c r="AB4314" t="str">
        <f>HYPERLINK("Melting_Curves/meltCurve_Q8TBF2_4_FAM213B.pdf", "Melting_Curves/meltCurve_Q8TBF2_4_FAM213B.pdf")</f>
        <v>Melting_Curves/meltCurve_Q8TBF2_4_FAM213B.pdf</v>
      </c>
    </row>
    <row r="4315" spans="1:28" x14ac:dyDescent="0.25">
      <c r="A4315" t="s">
        <v>4319</v>
      </c>
      <c r="B4315">
        <v>0.99987803227770999</v>
      </c>
      <c r="C4315">
        <v>0.91990752751578997</v>
      </c>
      <c r="D4315">
        <v>0.99307903340537895</v>
      </c>
      <c r="E4315">
        <v>0.89370102291245801</v>
      </c>
      <c r="F4315">
        <v>1.0073396435464901</v>
      </c>
      <c r="G4315">
        <v>0.87798407463224704</v>
      </c>
      <c r="H4315">
        <v>0.79973321808852305</v>
      </c>
      <c r="I4315">
        <v>0.84167348076047299</v>
      </c>
      <c r="J4315">
        <v>0.747599929425384</v>
      </c>
      <c r="K4315">
        <v>0.60604070224592599</v>
      </c>
      <c r="L4315">
        <v>475.45424752566902</v>
      </c>
      <c r="M4315">
        <v>6.1633866768970602</v>
      </c>
      <c r="Q4315">
        <v>0</v>
      </c>
      <c r="R4315">
        <v>0.83849642561803395</v>
      </c>
      <c r="S4315" t="s">
        <v>10626</v>
      </c>
      <c r="T4315" t="s">
        <v>12620</v>
      </c>
      <c r="U4315" t="s">
        <v>12620</v>
      </c>
      <c r="V4315" t="s">
        <v>12620</v>
      </c>
      <c r="W4315" t="s">
        <v>16884</v>
      </c>
      <c r="X4315">
        <v>2</v>
      </c>
      <c r="Y4315" t="s">
        <v>22999</v>
      </c>
      <c r="Z4315" t="s">
        <v>29262</v>
      </c>
      <c r="AA4315">
        <v>0.88716946171459521</v>
      </c>
      <c r="AB4315" t="str">
        <f>HYPERLINK("Melting_Curves/meltCurve_Q8TBM8_DNAJB14.pdf", "Melting_Curves/meltCurve_Q8TBM8_DNAJB14.pdf")</f>
        <v>Melting_Curves/meltCurve_Q8TBM8_DNAJB14.pdf</v>
      </c>
    </row>
    <row r="4316" spans="1:28" x14ac:dyDescent="0.25">
      <c r="A4316" t="s">
        <v>4320</v>
      </c>
      <c r="B4316">
        <v>0.99987803227770999</v>
      </c>
      <c r="C4316">
        <v>1.0197832109943401</v>
      </c>
      <c r="D4316">
        <v>0.92691502929396696</v>
      </c>
      <c r="E4316">
        <v>0.808124713184042</v>
      </c>
      <c r="F4316">
        <v>0.54139236044355898</v>
      </c>
      <c r="G4316">
        <v>0.26590275949958397</v>
      </c>
      <c r="H4316">
        <v>0.117544620258867</v>
      </c>
      <c r="I4316">
        <v>7.4147936494778605E-2</v>
      </c>
      <c r="J4316">
        <v>6.2357701272221802E-2</v>
      </c>
      <c r="K4316">
        <v>4.92217911350969E-2</v>
      </c>
      <c r="L4316">
        <v>1015.2998351201001</v>
      </c>
      <c r="M4316">
        <v>19.021386452244499</v>
      </c>
      <c r="N4316">
        <v>53.604195249845198</v>
      </c>
      <c r="O4316">
        <v>52.797309201534702</v>
      </c>
      <c r="P4316">
        <v>-8.6579682066071903E-2</v>
      </c>
      <c r="Q4316">
        <v>3.87679090605575E-2</v>
      </c>
      <c r="R4316">
        <v>0.99861859459681601</v>
      </c>
      <c r="S4316" t="s">
        <v>10627</v>
      </c>
      <c r="T4316" t="s">
        <v>12620</v>
      </c>
      <c r="U4316" t="s">
        <v>12620</v>
      </c>
      <c r="V4316" t="s">
        <v>12620</v>
      </c>
      <c r="W4316" t="s">
        <v>16885</v>
      </c>
      <c r="X4316">
        <v>3</v>
      </c>
      <c r="Y4316" t="s">
        <v>23000</v>
      </c>
      <c r="Z4316" t="s">
        <v>29263</v>
      </c>
      <c r="AA4316">
        <v>0.48167976131981483</v>
      </c>
      <c r="AB4316" t="str">
        <f>HYPERLINK("Melting_Curves/meltCurve_Q8TBN0_RAB3IL1.pdf", "Melting_Curves/meltCurve_Q8TBN0_RAB3IL1.pdf")</f>
        <v>Melting_Curves/meltCurve_Q8TBN0_RAB3IL1.pdf</v>
      </c>
    </row>
    <row r="4317" spans="1:28" x14ac:dyDescent="0.25">
      <c r="A4317" t="s">
        <v>4321</v>
      </c>
      <c r="B4317">
        <v>0.99987803227770999</v>
      </c>
      <c r="C4317">
        <v>1.0264261865822599</v>
      </c>
      <c r="D4317">
        <v>0.76074158193964803</v>
      </c>
      <c r="E4317">
        <v>0.74367901160199401</v>
      </c>
      <c r="F4317">
        <v>0.31467730107622199</v>
      </c>
      <c r="G4317">
        <v>0.171452601293961</v>
      </c>
      <c r="H4317">
        <v>0.13187597575666599</v>
      </c>
      <c r="I4317">
        <v>0.102053047650526</v>
      </c>
      <c r="J4317">
        <v>7.95588799650154E-2</v>
      </c>
      <c r="K4317">
        <v>5.7948158707967101E-2</v>
      </c>
      <c r="L4317">
        <v>926.45808212028601</v>
      </c>
      <c r="M4317">
        <v>18.1231901889272</v>
      </c>
      <c r="N4317">
        <v>51.502769790229799</v>
      </c>
      <c r="O4317">
        <v>50.509820382109197</v>
      </c>
      <c r="P4317">
        <v>-8.4054085043853699E-2</v>
      </c>
      <c r="Q4317">
        <v>6.3000989538217395E-2</v>
      </c>
      <c r="R4317">
        <v>0.97197259099517197</v>
      </c>
      <c r="S4317" t="s">
        <v>10628</v>
      </c>
      <c r="T4317" t="s">
        <v>12620</v>
      </c>
      <c r="U4317" t="s">
        <v>12620</v>
      </c>
      <c r="V4317" t="s">
        <v>12620</v>
      </c>
      <c r="W4317" t="s">
        <v>16886</v>
      </c>
      <c r="X4317">
        <v>14</v>
      </c>
      <c r="Y4317" t="s">
        <v>23001</v>
      </c>
      <c r="Z4317" t="s">
        <v>29264</v>
      </c>
      <c r="AA4317">
        <v>0.42589021004014499</v>
      </c>
      <c r="AB4317" t="str">
        <f>HYPERLINK("Melting_Curves/meltCurve_Q8TBX8_PIP4K2C.pdf", "Melting_Curves/meltCurve_Q8TBX8_PIP4K2C.pdf")</f>
        <v>Melting_Curves/meltCurve_Q8TBX8_PIP4K2C.pdf</v>
      </c>
    </row>
    <row r="4318" spans="1:28" x14ac:dyDescent="0.25">
      <c r="A4318" t="s">
        <v>4322</v>
      </c>
      <c r="B4318">
        <v>0.99987803227770999</v>
      </c>
      <c r="C4318">
        <v>0.97154558846330696</v>
      </c>
      <c r="D4318">
        <v>1.0006906282102701</v>
      </c>
      <c r="E4318">
        <v>0.90153264880528505</v>
      </c>
      <c r="F4318">
        <v>0.94663527278053206</v>
      </c>
      <c r="G4318">
        <v>0.29116122607387301</v>
      </c>
      <c r="H4318">
        <v>0.17196374190727301</v>
      </c>
      <c r="I4318">
        <v>0.14058093763051199</v>
      </c>
      <c r="J4318">
        <v>0.132805566749163</v>
      </c>
      <c r="K4318">
        <v>0.107408037388177</v>
      </c>
      <c r="L4318">
        <v>3049.9070171994399</v>
      </c>
      <c r="M4318">
        <v>54.995004926550699</v>
      </c>
      <c r="N4318">
        <v>55.779433655460402</v>
      </c>
      <c r="O4318">
        <v>55.384729684725599</v>
      </c>
      <c r="P4318">
        <v>-0.21451975263565601</v>
      </c>
      <c r="Q4318">
        <v>0.13584103171948</v>
      </c>
      <c r="R4318">
        <v>0.99257489205448401</v>
      </c>
      <c r="S4318" t="s">
        <v>10629</v>
      </c>
      <c r="T4318" t="s">
        <v>12620</v>
      </c>
      <c r="U4318" t="s">
        <v>12620</v>
      </c>
      <c r="V4318" t="s">
        <v>12620</v>
      </c>
      <c r="W4318" t="s">
        <v>16887</v>
      </c>
      <c r="X4318">
        <v>8</v>
      </c>
      <c r="Y4318" t="s">
        <v>23002</v>
      </c>
      <c r="Z4318" t="s">
        <v>29265</v>
      </c>
      <c r="AA4318">
        <v>0.58285538154713634</v>
      </c>
      <c r="AB4318" t="str">
        <f>HYPERLINK("Melting_Curves/meltCurve_Q8TBZ6_TRMT10A.pdf", "Melting_Curves/meltCurve_Q8TBZ6_TRMT10A.pdf")</f>
        <v>Melting_Curves/meltCurve_Q8TBZ6_TRMT10A.pdf</v>
      </c>
    </row>
    <row r="4319" spans="1:28" x14ac:dyDescent="0.25">
      <c r="A4319" t="s">
        <v>4323</v>
      </c>
      <c r="B4319">
        <v>0.99987803227770999</v>
      </c>
      <c r="C4319">
        <v>1.22354154982684</v>
      </c>
      <c r="D4319">
        <v>1.02480383215571</v>
      </c>
      <c r="E4319">
        <v>0.91035627352788495</v>
      </c>
      <c r="F4319">
        <v>0.40756761521003398</v>
      </c>
      <c r="G4319">
        <v>0.21489613976215799</v>
      </c>
      <c r="H4319">
        <v>0.12236809056007</v>
      </c>
      <c r="I4319">
        <v>9.9684145868766894E-2</v>
      </c>
      <c r="J4319">
        <v>7.5416800609440393E-2</v>
      </c>
      <c r="K4319">
        <v>5.0665741871037E-2</v>
      </c>
      <c r="L4319">
        <v>2198.0062460996901</v>
      </c>
      <c r="M4319">
        <v>42.029142439752903</v>
      </c>
      <c r="N4319">
        <v>52.5885592210211</v>
      </c>
      <c r="O4319">
        <v>52.1792266522191</v>
      </c>
      <c r="P4319">
        <v>-0.180453665544278</v>
      </c>
      <c r="Q4319">
        <v>0.10386800138715301</v>
      </c>
      <c r="R4319">
        <v>0.96843217720759001</v>
      </c>
      <c r="S4319" t="s">
        <v>10630</v>
      </c>
      <c r="T4319" t="s">
        <v>12620</v>
      </c>
      <c r="U4319" t="s">
        <v>12620</v>
      </c>
      <c r="V4319" t="s">
        <v>12620</v>
      </c>
      <c r="W4319" t="s">
        <v>16888</v>
      </c>
      <c r="X4319">
        <v>19</v>
      </c>
      <c r="Y4319" t="s">
        <v>23003</v>
      </c>
      <c r="Z4319" t="s">
        <v>29266</v>
      </c>
      <c r="AA4319">
        <v>0.47412924455608019</v>
      </c>
      <c r="AB4319" t="str">
        <f>HYPERLINK("Melting_Curves/meltCurve_Q8TC07_2_TBC1D15.pdf", "Melting_Curves/meltCurve_Q8TC07_2_TBC1D15.pdf")</f>
        <v>Melting_Curves/meltCurve_Q8TC07_2_TBC1D15.pdf</v>
      </c>
    </row>
    <row r="4320" spans="1:28" x14ac:dyDescent="0.25">
      <c r="A4320" t="s">
        <v>4324</v>
      </c>
      <c r="B4320">
        <v>0.99987803227770999</v>
      </c>
      <c r="C4320">
        <v>0.87342187226229895</v>
      </c>
      <c r="D4320">
        <v>0.97727438249441001</v>
      </c>
      <c r="E4320">
        <v>0.82246625584440602</v>
      </c>
      <c r="F4320">
        <v>0.96479879522064604</v>
      </c>
      <c r="G4320">
        <v>0.32420001224108502</v>
      </c>
      <c r="H4320">
        <v>0.13618226012488099</v>
      </c>
      <c r="I4320">
        <v>8.2703997810351898E-2</v>
      </c>
      <c r="J4320">
        <v>5.0927123313669997E-2</v>
      </c>
      <c r="K4320">
        <v>4.08989508296001E-2</v>
      </c>
      <c r="L4320">
        <v>2641.4832581497299</v>
      </c>
      <c r="M4320">
        <v>47.263946617271898</v>
      </c>
      <c r="N4320">
        <v>56.069115746744203</v>
      </c>
      <c r="O4320">
        <v>55.788131704961899</v>
      </c>
      <c r="P4320">
        <v>-0.196799930634139</v>
      </c>
      <c r="Q4320">
        <v>7.0827525285260498E-2</v>
      </c>
      <c r="R4320">
        <v>0.96929661382312204</v>
      </c>
      <c r="S4320" t="s">
        <v>10631</v>
      </c>
      <c r="T4320" t="s">
        <v>12620</v>
      </c>
      <c r="U4320" t="s">
        <v>12620</v>
      </c>
      <c r="V4320" t="s">
        <v>12620</v>
      </c>
      <c r="W4320" t="s">
        <v>16889</v>
      </c>
      <c r="X4320">
        <v>7</v>
      </c>
      <c r="Y4320" t="s">
        <v>23004</v>
      </c>
      <c r="Z4320" t="s">
        <v>29267</v>
      </c>
      <c r="AA4320">
        <v>0.5654753397796547</v>
      </c>
      <c r="AB4320" t="str">
        <f>HYPERLINK("Melting_Curves/meltCurve_Q8TCA0_LRRC20.pdf", "Melting_Curves/meltCurve_Q8TCA0_LRRC20.pdf")</f>
        <v>Melting_Curves/meltCurve_Q8TCA0_LRRC20.pdf</v>
      </c>
    </row>
    <row r="4321" spans="1:28" x14ac:dyDescent="0.25">
      <c r="A4321" t="s">
        <v>4325</v>
      </c>
      <c r="B4321">
        <v>0.99987803227770999</v>
      </c>
      <c r="C4321">
        <v>0.99687057591972394</v>
      </c>
      <c r="D4321">
        <v>1.0214034296385801</v>
      </c>
      <c r="E4321">
        <v>0.96572061146445698</v>
      </c>
      <c r="F4321">
        <v>0.97093079760358503</v>
      </c>
      <c r="G4321">
        <v>0.83459599071759305</v>
      </c>
      <c r="H4321">
        <v>0.72354922704065905</v>
      </c>
      <c r="I4321">
        <v>0.37156041167329301</v>
      </c>
      <c r="J4321">
        <v>0.204972080156125</v>
      </c>
      <c r="K4321">
        <v>0.13388012276023301</v>
      </c>
      <c r="L4321">
        <v>1299.5108361510199</v>
      </c>
      <c r="M4321">
        <v>20.685899143992199</v>
      </c>
      <c r="N4321">
        <v>62.867735182212598</v>
      </c>
      <c r="O4321">
        <v>62.2428305327063</v>
      </c>
      <c r="P4321">
        <v>-8.24553197402349E-2</v>
      </c>
      <c r="Q4321">
        <v>7.6124482765664398E-3</v>
      </c>
      <c r="R4321">
        <v>0.98913553462854298</v>
      </c>
      <c r="S4321" t="s">
        <v>10632</v>
      </c>
      <c r="T4321" t="s">
        <v>12620</v>
      </c>
      <c r="U4321" t="s">
        <v>12620</v>
      </c>
      <c r="V4321" t="s">
        <v>12620</v>
      </c>
      <c r="W4321" t="s">
        <v>16890</v>
      </c>
      <c r="X4321">
        <v>12</v>
      </c>
      <c r="Y4321" t="s">
        <v>23005</v>
      </c>
      <c r="Z4321" t="s">
        <v>29268</v>
      </c>
      <c r="AA4321">
        <v>0.7630421333563443</v>
      </c>
      <c r="AB4321" t="str">
        <f>HYPERLINK("Melting_Curves/meltCurve_Q8TCD5_NT5C.pdf", "Melting_Curves/meltCurve_Q8TCD5_NT5C.pdf")</f>
        <v>Melting_Curves/meltCurve_Q8TCD5_NT5C.pdf</v>
      </c>
    </row>
    <row r="4322" spans="1:28" x14ac:dyDescent="0.25">
      <c r="A4322" t="s">
        <v>4326</v>
      </c>
      <c r="B4322">
        <v>0.99987803227770999</v>
      </c>
      <c r="C4322">
        <v>0.79349222879689496</v>
      </c>
      <c r="D4322">
        <v>0.85641465147159401</v>
      </c>
      <c r="E4322">
        <v>0.52835789988367599</v>
      </c>
      <c r="F4322">
        <v>0.166469205338832</v>
      </c>
      <c r="G4322">
        <v>9.6616375489383705E-2</v>
      </c>
      <c r="H4322">
        <v>4.3280752467726703E-2</v>
      </c>
      <c r="I4322">
        <v>3.58248933190633E-2</v>
      </c>
      <c r="J4322">
        <v>3.2003789970897298E-2</v>
      </c>
      <c r="K4322">
        <v>2.1812456433502499E-2</v>
      </c>
      <c r="L4322">
        <v>928.32627690496895</v>
      </c>
      <c r="M4322">
        <v>18.710704592723399</v>
      </c>
      <c r="N4322">
        <v>49.685205597221099</v>
      </c>
      <c r="O4322">
        <v>49.058399769359902</v>
      </c>
      <c r="P4322">
        <v>-9.4104219659884997E-2</v>
      </c>
      <c r="Q4322">
        <v>1.30982201430351E-2</v>
      </c>
      <c r="R4322">
        <v>0.97473499346467896</v>
      </c>
      <c r="S4322" t="s">
        <v>10633</v>
      </c>
      <c r="T4322" t="s">
        <v>12620</v>
      </c>
      <c r="U4322" t="s">
        <v>12620</v>
      </c>
      <c r="V4322" t="s">
        <v>12620</v>
      </c>
      <c r="W4322" t="s">
        <v>16891</v>
      </c>
      <c r="X4322">
        <v>5</v>
      </c>
      <c r="Y4322" t="s">
        <v>23006</v>
      </c>
      <c r="Z4322" t="s">
        <v>29269</v>
      </c>
      <c r="AA4322">
        <v>0.34508334740670699</v>
      </c>
      <c r="AB4322" t="str">
        <f>HYPERLINK("Melting_Curves/meltCurve_Q8TCE6_2_FAM45A.pdf", "Melting_Curves/meltCurve_Q8TCE6_2_FAM45A.pdf")</f>
        <v>Melting_Curves/meltCurve_Q8TCE6_2_FAM45A.pdf</v>
      </c>
    </row>
    <row r="4323" spans="1:28" x14ac:dyDescent="0.25">
      <c r="A4323" t="s">
        <v>4327</v>
      </c>
      <c r="B4323">
        <v>0.99987803227770999</v>
      </c>
      <c r="C4323">
        <v>1.10302184638042</v>
      </c>
      <c r="D4323">
        <v>0.850741143879296</v>
      </c>
      <c r="E4323">
        <v>0.35799594320747602</v>
      </c>
      <c r="F4323">
        <v>0.215833923174786</v>
      </c>
      <c r="G4323">
        <v>0.13163524494338799</v>
      </c>
      <c r="H4323">
        <v>9.9715535056277296E-2</v>
      </c>
      <c r="I4323">
        <v>9.6509612549403906E-2</v>
      </c>
      <c r="J4323">
        <v>8.1572428444788195E-2</v>
      </c>
      <c r="K4323">
        <v>5.5566700355653302E-2</v>
      </c>
      <c r="L4323">
        <v>1437.2120996338399</v>
      </c>
      <c r="M4323">
        <v>29.529026010227899</v>
      </c>
      <c r="N4323">
        <v>49.023100186894901</v>
      </c>
      <c r="O4323">
        <v>48.4495871583797</v>
      </c>
      <c r="P4323">
        <v>-0.13781752100441599</v>
      </c>
      <c r="Q4323">
        <v>9.5512943079596596E-2</v>
      </c>
      <c r="R4323">
        <v>0.98761867145050297</v>
      </c>
      <c r="S4323" t="s">
        <v>10634</v>
      </c>
      <c r="T4323" t="s">
        <v>12620</v>
      </c>
      <c r="U4323" t="s">
        <v>12620</v>
      </c>
      <c r="V4323" t="s">
        <v>12620</v>
      </c>
      <c r="W4323" t="s">
        <v>16892</v>
      </c>
      <c r="X4323">
        <v>21</v>
      </c>
      <c r="Y4323" t="s">
        <v>23007</v>
      </c>
      <c r="Z4323" t="s">
        <v>29270</v>
      </c>
      <c r="AA4323">
        <v>0.36261100566402349</v>
      </c>
      <c r="AB4323" t="str">
        <f>HYPERLINK("Melting_Curves/meltCurve_Q8TCG1_KIAA1524.pdf", "Melting_Curves/meltCurve_Q8TCG1_KIAA1524.pdf")</f>
        <v>Melting_Curves/meltCurve_Q8TCG1_KIAA1524.pdf</v>
      </c>
    </row>
    <row r="4324" spans="1:28" x14ac:dyDescent="0.25">
      <c r="A4324" t="s">
        <v>4328</v>
      </c>
      <c r="B4324">
        <v>0.99987803227770999</v>
      </c>
      <c r="C4324">
        <v>0.91823180453917297</v>
      </c>
      <c r="D4324">
        <v>0.86205754247231203</v>
      </c>
      <c r="E4324">
        <v>0.780922735648931</v>
      </c>
      <c r="F4324">
        <v>0.65821813476804403</v>
      </c>
      <c r="G4324">
        <v>0.52601968789286002</v>
      </c>
      <c r="H4324">
        <v>0.50506234688879703</v>
      </c>
      <c r="I4324">
        <v>0.45594520755942503</v>
      </c>
      <c r="J4324">
        <v>0.49795852108313299</v>
      </c>
      <c r="K4324">
        <v>0.39292035604974601</v>
      </c>
      <c r="L4324">
        <v>559.58263315508202</v>
      </c>
      <c r="M4324">
        <v>10.8293097258457</v>
      </c>
      <c r="N4324">
        <v>60.530625718514102</v>
      </c>
      <c r="O4324">
        <v>50.004560851152199</v>
      </c>
      <c r="P4324">
        <v>-3.2632317441084698E-2</v>
      </c>
      <c r="Q4324">
        <v>0.39749429672542202</v>
      </c>
      <c r="R4324">
        <v>0.98185148702195302</v>
      </c>
      <c r="S4324" t="s">
        <v>10635</v>
      </c>
      <c r="T4324" t="s">
        <v>12620</v>
      </c>
      <c r="U4324" t="s">
        <v>12620</v>
      </c>
      <c r="V4324" t="s">
        <v>12620</v>
      </c>
      <c r="W4324" t="s">
        <v>16893</v>
      </c>
      <c r="X4324">
        <v>7</v>
      </c>
      <c r="Y4324" t="s">
        <v>23008</v>
      </c>
      <c r="Z4324" t="s">
        <v>29271</v>
      </c>
      <c r="AA4324">
        <v>0.65340886257916175</v>
      </c>
      <c r="AB4324" t="str">
        <f>HYPERLINK("Melting_Curves/meltCurve_Q8TCN5_ZNF507.pdf", "Melting_Curves/meltCurve_Q8TCN5_ZNF507.pdf")</f>
        <v>Melting_Curves/meltCurve_Q8TCN5_ZNF507.pdf</v>
      </c>
    </row>
    <row r="4325" spans="1:28" x14ac:dyDescent="0.25">
      <c r="A4325" t="s">
        <v>4329</v>
      </c>
      <c r="B4325">
        <v>0.99987803227770999</v>
      </c>
      <c r="C4325">
        <v>1.15634534377885</v>
      </c>
      <c r="D4325">
        <v>0.98013894788460099</v>
      </c>
      <c r="E4325">
        <v>1.06874393765784</v>
      </c>
      <c r="F4325">
        <v>0.41237335681624399</v>
      </c>
      <c r="G4325">
        <v>0.202554814113557</v>
      </c>
      <c r="H4325">
        <v>0.113105211840237</v>
      </c>
      <c r="I4325">
        <v>0.10392709195671999</v>
      </c>
      <c r="J4325">
        <v>8.1041713769522294E-2</v>
      </c>
      <c r="K4325">
        <v>5.9207449254012702E-2</v>
      </c>
      <c r="L4325">
        <v>13214.4393616546</v>
      </c>
      <c r="M4325">
        <v>250</v>
      </c>
      <c r="N4325">
        <v>52.9114135903367</v>
      </c>
      <c r="O4325">
        <v>52.854357846138598</v>
      </c>
      <c r="P4325">
        <v>-1.0500937326703501</v>
      </c>
      <c r="Q4325">
        <v>0.11196723435469599</v>
      </c>
      <c r="R4325">
        <v>0.97925406467657095</v>
      </c>
      <c r="S4325" t="s">
        <v>10636</v>
      </c>
      <c r="T4325" t="s">
        <v>12620</v>
      </c>
      <c r="U4325" t="s">
        <v>12620</v>
      </c>
      <c r="V4325" t="s">
        <v>12620</v>
      </c>
      <c r="W4325" t="s">
        <v>16894</v>
      </c>
      <c r="X4325">
        <v>13</v>
      </c>
      <c r="Y4325" t="s">
        <v>23009</v>
      </c>
      <c r="Z4325" t="s">
        <v>29272</v>
      </c>
      <c r="AA4325">
        <v>0.49265327581775742</v>
      </c>
      <c r="AB4325" t="str">
        <f>HYPERLINK("Melting_Curves/meltCurve_Q8TCS8_PNPT1.pdf", "Melting_Curves/meltCurve_Q8TCS8_PNPT1.pdf")</f>
        <v>Melting_Curves/meltCurve_Q8TCS8_PNPT1.pdf</v>
      </c>
    </row>
    <row r="4326" spans="1:28" x14ac:dyDescent="0.25">
      <c r="A4326" t="s">
        <v>4330</v>
      </c>
      <c r="B4326">
        <v>0.99987803227770999</v>
      </c>
      <c r="C4326">
        <v>0.96691692926290995</v>
      </c>
      <c r="D4326">
        <v>0.99630408068374698</v>
      </c>
      <c r="E4326">
        <v>0.92325269175204605</v>
      </c>
      <c r="F4326">
        <v>0.96150538354355197</v>
      </c>
      <c r="G4326">
        <v>0.87167189201651696</v>
      </c>
      <c r="H4326">
        <v>0.95315823227510099</v>
      </c>
      <c r="I4326">
        <v>0.881913392522507</v>
      </c>
      <c r="J4326">
        <v>0.88879846793634898</v>
      </c>
      <c r="K4326">
        <v>0.70104696602164895</v>
      </c>
      <c r="L4326">
        <v>453.39876539231102</v>
      </c>
      <c r="M4326">
        <v>5.25544955866782</v>
      </c>
      <c r="Q4326">
        <v>0</v>
      </c>
      <c r="R4326">
        <v>0.69129241129847696</v>
      </c>
      <c r="S4326" t="s">
        <v>10637</v>
      </c>
      <c r="T4326" t="s">
        <v>12620</v>
      </c>
      <c r="U4326" t="s">
        <v>12620</v>
      </c>
      <c r="V4326" t="s">
        <v>12620</v>
      </c>
      <c r="W4326" t="s">
        <v>16895</v>
      </c>
      <c r="X4326">
        <v>20</v>
      </c>
      <c r="Y4326" t="s">
        <v>23010</v>
      </c>
      <c r="Z4326" t="s">
        <v>29273</v>
      </c>
      <c r="AA4326">
        <v>0.9285126185175776</v>
      </c>
      <c r="AB4326" t="str">
        <f>HYPERLINK("Melting_Curves/meltCurve_Q8TCU4_3_ALMS1.pdf", "Melting_Curves/meltCurve_Q8TCU4_3_ALMS1.pdf")</f>
        <v>Melting_Curves/meltCurve_Q8TCU4_3_ALMS1.pdf</v>
      </c>
    </row>
    <row r="4327" spans="1:28" x14ac:dyDescent="0.25">
      <c r="A4327" t="s">
        <v>4331</v>
      </c>
      <c r="B4327">
        <v>0.99987803227770999</v>
      </c>
      <c r="C4327">
        <v>0.93158654947124298</v>
      </c>
      <c r="D4327">
        <v>0.619792386771155</v>
      </c>
      <c r="E4327">
        <v>0.34499908056290901</v>
      </c>
      <c r="F4327">
        <v>0.20774796105645399</v>
      </c>
      <c r="G4327">
        <v>0.18249134523597799</v>
      </c>
      <c r="H4327">
        <v>0.123075845275105</v>
      </c>
      <c r="I4327">
        <v>0.112914730214989</v>
      </c>
      <c r="J4327">
        <v>0.101309894474717</v>
      </c>
      <c r="K4327">
        <v>8.7344182446385504E-2</v>
      </c>
      <c r="L4327">
        <v>920.01232096585898</v>
      </c>
      <c r="M4327">
        <v>19.5172740926002</v>
      </c>
      <c r="N4327">
        <v>47.760293330782801</v>
      </c>
      <c r="O4327">
        <v>46.651863750403798</v>
      </c>
      <c r="P4327">
        <v>-9.2856933283780599E-2</v>
      </c>
      <c r="Q4327">
        <v>0.112213379191306</v>
      </c>
      <c r="R4327">
        <v>0.99358303655899305</v>
      </c>
      <c r="S4327" t="s">
        <v>10638</v>
      </c>
      <c r="T4327" t="s">
        <v>12620</v>
      </c>
      <c r="U4327" t="s">
        <v>12620</v>
      </c>
      <c r="V4327" t="s">
        <v>12620</v>
      </c>
      <c r="W4327" t="s">
        <v>16896</v>
      </c>
      <c r="X4327">
        <v>5</v>
      </c>
      <c r="Y4327" t="s">
        <v>23011</v>
      </c>
      <c r="Z4327" t="s">
        <v>29274</v>
      </c>
      <c r="AA4327">
        <v>0.33709797809326397</v>
      </c>
      <c r="AB4327" t="str">
        <f>HYPERLINK("Melting_Curves/meltCurve_Q8TCU6_PREX1.pdf", "Melting_Curves/meltCurve_Q8TCU6_PREX1.pdf")</f>
        <v>Melting_Curves/meltCurve_Q8TCU6_PREX1.pdf</v>
      </c>
    </row>
    <row r="4328" spans="1:28" x14ac:dyDescent="0.25">
      <c r="A4328" t="s">
        <v>4332</v>
      </c>
      <c r="B4328">
        <v>0.99987803227770999</v>
      </c>
      <c r="C4328">
        <v>0.62672319408251598</v>
      </c>
      <c r="D4328">
        <v>0.53298636991268</v>
      </c>
      <c r="E4328">
        <v>0.347578423608151</v>
      </c>
      <c r="F4328">
        <v>0.25693626162231498</v>
      </c>
      <c r="G4328">
        <v>0.213521619113968</v>
      </c>
      <c r="H4328">
        <v>0.100117250924392</v>
      </c>
      <c r="I4328">
        <v>8.9970968992019507E-2</v>
      </c>
      <c r="J4328">
        <v>7.3730472823082302E-2</v>
      </c>
      <c r="K4328">
        <v>4.7709105575440398E-2</v>
      </c>
      <c r="L4328">
        <v>522.90295290333404</v>
      </c>
      <c r="M4328">
        <v>11.2838298547919</v>
      </c>
      <c r="N4328">
        <v>46.819679528152797</v>
      </c>
      <c r="O4328">
        <v>44.957006695218503</v>
      </c>
      <c r="P4328">
        <v>-5.9346995540816301E-2</v>
      </c>
      <c r="Q4328">
        <v>5.4489016169644001E-2</v>
      </c>
      <c r="R4328">
        <v>0.96096909165340905</v>
      </c>
      <c r="S4328" t="s">
        <v>10639</v>
      </c>
      <c r="T4328" t="s">
        <v>12620</v>
      </c>
      <c r="U4328" t="s">
        <v>12620</v>
      </c>
      <c r="V4328" t="s">
        <v>12620</v>
      </c>
      <c r="W4328" t="s">
        <v>16897</v>
      </c>
      <c r="X4328">
        <v>2</v>
      </c>
      <c r="Y4328" t="s">
        <v>23012</v>
      </c>
      <c r="Z4328" t="s">
        <v>29275</v>
      </c>
      <c r="AA4328">
        <v>0.30108533010046012</v>
      </c>
      <c r="AB4328" t="str">
        <f>HYPERLINK("Melting_Curves/meltCurve_Q8TCX1_DYNC2LI1.pdf", "Melting_Curves/meltCurve_Q8TCX1_DYNC2LI1.pdf")</f>
        <v>Melting_Curves/meltCurve_Q8TCX1_DYNC2LI1.pdf</v>
      </c>
    </row>
    <row r="4329" spans="1:28" x14ac:dyDescent="0.25">
      <c r="A4329" t="s">
        <v>4333</v>
      </c>
      <c r="B4329">
        <v>0.99987803227770999</v>
      </c>
      <c r="C4329">
        <v>0.98964008890121802</v>
      </c>
      <c r="D4329">
        <v>0.84334281969375402</v>
      </c>
      <c r="E4329">
        <v>0.52456168649579604</v>
      </c>
      <c r="F4329">
        <v>0.29388717795376001</v>
      </c>
      <c r="G4329">
        <v>0.20338089129883899</v>
      </c>
      <c r="H4329">
        <v>0.15590692950006901</v>
      </c>
      <c r="I4329">
        <v>0.164183728815151</v>
      </c>
      <c r="J4329">
        <v>8.2197056078950601E-2</v>
      </c>
      <c r="K4329">
        <v>9.8330361089129195E-2</v>
      </c>
      <c r="L4329">
        <v>996.48519437385801</v>
      </c>
      <c r="M4329">
        <v>20.0907024807202</v>
      </c>
      <c r="N4329">
        <v>50.277194410663</v>
      </c>
      <c r="O4329">
        <v>49.115749427687803</v>
      </c>
      <c r="P4329">
        <v>-9.0132074459895503E-2</v>
      </c>
      <c r="Q4329">
        <v>0.11864424984001699</v>
      </c>
      <c r="R4329">
        <v>0.99573152758917105</v>
      </c>
      <c r="S4329" t="s">
        <v>10640</v>
      </c>
      <c r="T4329" t="s">
        <v>12620</v>
      </c>
      <c r="U4329" t="s">
        <v>12620</v>
      </c>
      <c r="V4329" t="s">
        <v>12620</v>
      </c>
      <c r="W4329" t="s">
        <v>16898</v>
      </c>
      <c r="X4329">
        <v>6</v>
      </c>
      <c r="Y4329" t="s">
        <v>23013</v>
      </c>
      <c r="Z4329" t="s">
        <v>29276</v>
      </c>
      <c r="AA4329">
        <v>0.41284053708524349</v>
      </c>
      <c r="AB4329" t="str">
        <f>HYPERLINK("Melting_Curves/meltCurve_Q8TCY9_URGCP.pdf", "Melting_Curves/meltCurve_Q8TCY9_URGCP.pdf")</f>
        <v>Melting_Curves/meltCurve_Q8TCY9_URGCP.pdf</v>
      </c>
    </row>
    <row r="4330" spans="1:28" x14ac:dyDescent="0.25">
      <c r="A4330" t="s">
        <v>4334</v>
      </c>
      <c r="B4330">
        <v>0.99987803227770999</v>
      </c>
      <c r="C4330">
        <v>1.14039315259274</v>
      </c>
      <c r="D4330">
        <v>0.95360492949636899</v>
      </c>
      <c r="E4330">
        <v>0.93100072348249197</v>
      </c>
      <c r="F4330">
        <v>0.80698124782754699</v>
      </c>
      <c r="G4330">
        <v>0.33500117417479902</v>
      </c>
      <c r="H4330">
        <v>0.114798854140191</v>
      </c>
      <c r="I4330">
        <v>0.106633205625734</v>
      </c>
      <c r="J4330">
        <v>4.1178743079422299E-2</v>
      </c>
      <c r="K4330">
        <v>3.1214896282988701E-2</v>
      </c>
      <c r="L4330">
        <v>1535.07770086291</v>
      </c>
      <c r="M4330">
        <v>27.706101921660402</v>
      </c>
      <c r="N4330">
        <v>55.600231062608103</v>
      </c>
      <c r="O4330">
        <v>55.119533477927703</v>
      </c>
      <c r="P4330">
        <v>-0.11986165205327901</v>
      </c>
      <c r="Q4330">
        <v>4.61798910381786E-2</v>
      </c>
      <c r="R4330">
        <v>0.98694882548574503</v>
      </c>
      <c r="S4330" t="s">
        <v>10641</v>
      </c>
      <c r="T4330" t="s">
        <v>12620</v>
      </c>
      <c r="U4330" t="s">
        <v>12620</v>
      </c>
      <c r="V4330" t="s">
        <v>12620</v>
      </c>
      <c r="W4330" t="s">
        <v>16899</v>
      </c>
      <c r="X4330">
        <v>1</v>
      </c>
      <c r="Y4330" t="s">
        <v>23014</v>
      </c>
      <c r="Z4330" t="s">
        <v>29277</v>
      </c>
      <c r="AA4330">
        <v>0.54333540401429437</v>
      </c>
      <c r="AB4330" t="str">
        <f>HYPERLINK("Melting_Curves/meltCurve_Q8TD08_2_MAPK15.pdf", "Melting_Curves/meltCurve_Q8TD08_2_MAPK15.pdf")</f>
        <v>Melting_Curves/meltCurve_Q8TD08_2_MAPK15.pdf</v>
      </c>
    </row>
    <row r="4331" spans="1:28" x14ac:dyDescent="0.25">
      <c r="A4331" t="s">
        <v>4335</v>
      </c>
      <c r="B4331">
        <v>0.99987803227770999</v>
      </c>
      <c r="C4331">
        <v>1.1538411031498199</v>
      </c>
      <c r="D4331">
        <v>1.0428123135576699</v>
      </c>
      <c r="E4331">
        <v>1.0749199693645499</v>
      </c>
      <c r="F4331">
        <v>0.80060756706967595</v>
      </c>
      <c r="G4331">
        <v>0.55520969438703704</v>
      </c>
      <c r="H4331">
        <v>0.37005084263021898</v>
      </c>
      <c r="I4331">
        <v>0.29310752634194198</v>
      </c>
      <c r="J4331">
        <v>0.25754564031134802</v>
      </c>
      <c r="K4331">
        <v>0.18956287216937501</v>
      </c>
      <c r="L4331">
        <v>1277.55161079557</v>
      </c>
      <c r="M4331">
        <v>22.654651627281101</v>
      </c>
      <c r="N4331">
        <v>57.915562036980603</v>
      </c>
      <c r="O4331">
        <v>55.958584526073601</v>
      </c>
      <c r="P4331">
        <v>-7.8497782055371002E-2</v>
      </c>
      <c r="Q4331">
        <v>0.22443527363614099</v>
      </c>
      <c r="R4331">
        <v>0.96525298663825099</v>
      </c>
      <c r="S4331" t="s">
        <v>10642</v>
      </c>
      <c r="T4331" t="s">
        <v>12620</v>
      </c>
      <c r="U4331" t="s">
        <v>12620</v>
      </c>
      <c r="V4331" t="s">
        <v>12620</v>
      </c>
      <c r="W4331" t="s">
        <v>16900</v>
      </c>
      <c r="X4331">
        <v>29</v>
      </c>
      <c r="Y4331" t="s">
        <v>23015</v>
      </c>
      <c r="Z4331" t="s">
        <v>29278</v>
      </c>
      <c r="AA4331">
        <v>0.65646631854268955</v>
      </c>
      <c r="AB4331" t="str">
        <f>HYPERLINK("Melting_Curves/meltCurve_Q8TD16_BICD2.pdf", "Melting_Curves/meltCurve_Q8TD16_BICD2.pdf")</f>
        <v>Melting_Curves/meltCurve_Q8TD16_BICD2.pdf</v>
      </c>
    </row>
    <row r="4332" spans="1:28" x14ac:dyDescent="0.25">
      <c r="A4332" t="s">
        <v>4336</v>
      </c>
      <c r="B4332">
        <v>0.99987803227770999</v>
      </c>
      <c r="C4332">
        <v>1.17459457810336</v>
      </c>
      <c r="D4332">
        <v>0.78511370974717098</v>
      </c>
      <c r="E4332">
        <v>0.98579890163667705</v>
      </c>
      <c r="F4332">
        <v>0.45940296675041598</v>
      </c>
      <c r="G4332">
        <v>0.29162633285787698</v>
      </c>
      <c r="H4332">
        <v>0.166763931668826</v>
      </c>
      <c r="I4332">
        <v>0.16114074585550101</v>
      </c>
      <c r="J4332">
        <v>0.13608235912184399</v>
      </c>
      <c r="K4332">
        <v>0.104285248534883</v>
      </c>
      <c r="L4332">
        <v>3061.3702462683</v>
      </c>
      <c r="M4332">
        <v>58.326579542086499</v>
      </c>
      <c r="N4332">
        <v>52.860550848513803</v>
      </c>
      <c r="O4332">
        <v>52.425112154382603</v>
      </c>
      <c r="P4332">
        <v>-0.231137151266047</v>
      </c>
      <c r="Q4332">
        <v>0.16899726935309101</v>
      </c>
      <c r="R4332">
        <v>0.93906895687136105</v>
      </c>
      <c r="S4332" t="s">
        <v>10643</v>
      </c>
      <c r="T4332" t="s">
        <v>12620</v>
      </c>
      <c r="U4332" t="s">
        <v>12620</v>
      </c>
      <c r="V4332" t="s">
        <v>12620</v>
      </c>
      <c r="W4332" t="s">
        <v>16901</v>
      </c>
      <c r="X4332">
        <v>19</v>
      </c>
      <c r="Y4332" t="s">
        <v>23016</v>
      </c>
      <c r="Z4332" t="s">
        <v>29279</v>
      </c>
      <c r="AA4332">
        <v>0.51629197610624111</v>
      </c>
      <c r="AB4332" t="str">
        <f>HYPERLINK("Melting_Curves/meltCurve_Q8TD19_NEK9.pdf", "Melting_Curves/meltCurve_Q8TD19_NEK9.pdf")</f>
        <v>Melting_Curves/meltCurve_Q8TD19_NEK9.pdf</v>
      </c>
    </row>
    <row r="4333" spans="1:28" x14ac:dyDescent="0.25">
      <c r="A4333" t="s">
        <v>4337</v>
      </c>
      <c r="B4333">
        <v>0.99987803227770999</v>
      </c>
      <c r="C4333">
        <v>0.97976676383854899</v>
      </c>
      <c r="D4333">
        <v>0.94491957233477897</v>
      </c>
      <c r="E4333">
        <v>0.559426565218752</v>
      </c>
      <c r="F4333">
        <v>0.29493465515860601</v>
      </c>
      <c r="G4333">
        <v>0.273479993123462</v>
      </c>
      <c r="H4333">
        <v>0.26868837378060101</v>
      </c>
      <c r="I4333">
        <v>0.28793455717449401</v>
      </c>
      <c r="J4333">
        <v>0.123480099115022</v>
      </c>
      <c r="K4333">
        <v>7.5146794368978795E-2</v>
      </c>
      <c r="L4333">
        <v>1415.2583086254799</v>
      </c>
      <c r="M4333">
        <v>28.479310433636002</v>
      </c>
      <c r="N4333">
        <v>50.582960757081501</v>
      </c>
      <c r="O4333">
        <v>49.451177942175001</v>
      </c>
      <c r="P4333">
        <v>-0.115637007521509</v>
      </c>
      <c r="Q4333">
        <v>0.19684285862386899</v>
      </c>
      <c r="R4333">
        <v>0.96898533523622998</v>
      </c>
      <c r="S4333" t="s">
        <v>10644</v>
      </c>
      <c r="T4333" t="s">
        <v>12620</v>
      </c>
      <c r="U4333" t="s">
        <v>12620</v>
      </c>
      <c r="V4333" t="s">
        <v>12620</v>
      </c>
      <c r="W4333" t="s">
        <v>16902</v>
      </c>
      <c r="X4333">
        <v>1</v>
      </c>
      <c r="Y4333" t="s">
        <v>23017</v>
      </c>
      <c r="Z4333" t="s">
        <v>29280</v>
      </c>
      <c r="AA4333">
        <v>0.46187095376379389</v>
      </c>
      <c r="AB4333" t="str">
        <f>HYPERLINK("Melting_Curves/meltCurve_Q8TD30_GPT2.pdf", "Melting_Curves/meltCurve_Q8TD30_GPT2.pdf")</f>
        <v>Melting_Curves/meltCurve_Q8TD30_GPT2.pdf</v>
      </c>
    </row>
    <row r="4334" spans="1:28" x14ac:dyDescent="0.25">
      <c r="A4334" t="s">
        <v>4338</v>
      </c>
      <c r="B4334">
        <v>0.99987803227770999</v>
      </c>
      <c r="C4334">
        <v>1.13564333601089</v>
      </c>
      <c r="D4334">
        <v>1.46015082005354</v>
      </c>
      <c r="E4334">
        <v>1.0379997405849899</v>
      </c>
      <c r="F4334">
        <v>1.04826865762161</v>
      </c>
      <c r="G4334">
        <v>0.51395701300448804</v>
      </c>
      <c r="H4334">
        <v>0.71313232576911001</v>
      </c>
      <c r="I4334">
        <v>0.45127675679580898</v>
      </c>
      <c r="J4334">
        <v>0.59909630001526304</v>
      </c>
      <c r="K4334">
        <v>0.29697818502699302</v>
      </c>
      <c r="L4334">
        <v>13827.454574908401</v>
      </c>
      <c r="M4334">
        <v>249.8586407844</v>
      </c>
      <c r="O4334">
        <v>55.337564775511701</v>
      </c>
      <c r="P4334">
        <v>-0.54766580981212398</v>
      </c>
      <c r="Q4334">
        <v>0.51482178769685105</v>
      </c>
      <c r="R4334">
        <v>0.72449828437754804</v>
      </c>
      <c r="S4334" t="s">
        <v>10645</v>
      </c>
      <c r="T4334" t="s">
        <v>12620</v>
      </c>
      <c r="U4334" t="s">
        <v>12620</v>
      </c>
      <c r="V4334" t="s">
        <v>12620</v>
      </c>
      <c r="W4334" t="s">
        <v>16903</v>
      </c>
      <c r="X4334">
        <v>5</v>
      </c>
      <c r="Y4334" t="s">
        <v>23018</v>
      </c>
      <c r="Z4334" t="s">
        <v>29281</v>
      </c>
      <c r="AA4334">
        <v>0.76297471034320452</v>
      </c>
      <c r="AB4334" t="str">
        <f>HYPERLINK("Melting_Curves/meltCurve_Q8TD55_2_PLEKHO2.pdf", "Melting_Curves/meltCurve_Q8TD55_2_PLEKHO2.pdf")</f>
        <v>Melting_Curves/meltCurve_Q8TD55_2_PLEKHO2.pdf</v>
      </c>
    </row>
    <row r="4335" spans="1:28" x14ac:dyDescent="0.25">
      <c r="A4335" t="s">
        <v>4339</v>
      </c>
      <c r="B4335">
        <v>0.99987803227770999</v>
      </c>
      <c r="C4335">
        <v>1.0774684128885601</v>
      </c>
      <c r="D4335">
        <v>1.0130439022161899</v>
      </c>
      <c r="E4335">
        <v>0.96049600287743897</v>
      </c>
      <c r="F4335">
        <v>0.84170041196062195</v>
      </c>
      <c r="G4335">
        <v>0.74476220854168795</v>
      </c>
      <c r="H4335">
        <v>0.76130918523881697</v>
      </c>
      <c r="I4335">
        <v>0.74599304640864195</v>
      </c>
      <c r="J4335">
        <v>0.77150016168869795</v>
      </c>
      <c r="K4335">
        <v>0.58046093079208005</v>
      </c>
      <c r="L4335">
        <v>1324.59728862217</v>
      </c>
      <c r="M4335">
        <v>24.959908281449799</v>
      </c>
      <c r="O4335">
        <v>52.731865965991403</v>
      </c>
      <c r="P4335">
        <v>-3.4625408893636501E-2</v>
      </c>
      <c r="Q4335">
        <v>0.70739673319194096</v>
      </c>
      <c r="R4335">
        <v>0.86403038222326001</v>
      </c>
      <c r="S4335" t="s">
        <v>10646</v>
      </c>
      <c r="T4335" t="s">
        <v>12620</v>
      </c>
      <c r="U4335" t="s">
        <v>12620</v>
      </c>
      <c r="V4335" t="s">
        <v>12620</v>
      </c>
      <c r="W4335" t="s">
        <v>16904</v>
      </c>
      <c r="X4335">
        <v>6</v>
      </c>
      <c r="Y4335" t="s">
        <v>23019</v>
      </c>
      <c r="Z4335" t="s">
        <v>29282</v>
      </c>
      <c r="AA4335">
        <v>0.83756789660538078</v>
      </c>
      <c r="AB4335" t="str">
        <f>HYPERLINK("Melting_Curves/meltCurve_Q8TDD1_DDX54.pdf", "Melting_Curves/meltCurve_Q8TDD1_DDX54.pdf")</f>
        <v>Melting_Curves/meltCurve_Q8TDD1_DDX54.pdf</v>
      </c>
    </row>
    <row r="4336" spans="1:28" x14ac:dyDescent="0.25">
      <c r="A4336" t="s">
        <v>4340</v>
      </c>
      <c r="B4336">
        <v>0.99987803227770999</v>
      </c>
      <c r="C4336">
        <v>0.79971489251098304</v>
      </c>
      <c r="D4336">
        <v>1.2084501388589499</v>
      </c>
      <c r="E4336">
        <v>0.74429756352202703</v>
      </c>
      <c r="F4336">
        <v>0.57883122898956096</v>
      </c>
      <c r="G4336">
        <v>0.81455521980408296</v>
      </c>
      <c r="H4336">
        <v>0.76551818353081003</v>
      </c>
      <c r="I4336">
        <v>0.91602569182012294</v>
      </c>
      <c r="J4336">
        <v>0.70553281533416001</v>
      </c>
      <c r="K4336">
        <v>0.457433205783496</v>
      </c>
      <c r="L4336">
        <v>233.237373057371</v>
      </c>
      <c r="M4336">
        <v>2.81788612923097</v>
      </c>
      <c r="O4336">
        <v>59.231810603525801</v>
      </c>
      <c r="P4336">
        <v>-1.23324125065727E-2</v>
      </c>
      <c r="Q4336">
        <v>0</v>
      </c>
      <c r="R4336">
        <v>0.32432125914139798</v>
      </c>
      <c r="S4336" t="s">
        <v>10647</v>
      </c>
      <c r="T4336" t="s">
        <v>12620</v>
      </c>
      <c r="U4336" t="s">
        <v>12620</v>
      </c>
      <c r="V4336" t="s">
        <v>12620</v>
      </c>
      <c r="W4336" t="s">
        <v>16905</v>
      </c>
      <c r="X4336">
        <v>7</v>
      </c>
      <c r="Y4336" t="s">
        <v>23019</v>
      </c>
      <c r="Z4336" t="s">
        <v>29283</v>
      </c>
      <c r="AA4336">
        <v>0.80052460539493808</v>
      </c>
      <c r="AB4336" t="str">
        <f>HYPERLINK("Melting_Curves/meltCurve_Q8TDD1_2_DDX54.pdf", "Melting_Curves/meltCurve_Q8TDD1_2_DDX54.pdf")</f>
        <v>Melting_Curves/meltCurve_Q8TDD1_2_DDX54.pdf</v>
      </c>
    </row>
    <row r="4337" spans="1:28" x14ac:dyDescent="0.25">
      <c r="A4337" t="s">
        <v>4341</v>
      </c>
      <c r="B4337">
        <v>0.99987803227770999</v>
      </c>
      <c r="C4337">
        <v>1.0770760640803001</v>
      </c>
      <c r="D4337">
        <v>0.97432018958646005</v>
      </c>
      <c r="E4337">
        <v>0.99780638890957096</v>
      </c>
      <c r="F4337">
        <v>0.93678612866277</v>
      </c>
      <c r="G4337">
        <v>0.75445489251035602</v>
      </c>
      <c r="H4337">
        <v>0.59475567311034505</v>
      </c>
      <c r="I4337">
        <v>0.49117964933288799</v>
      </c>
      <c r="J4337">
        <v>0.40104542907622998</v>
      </c>
      <c r="K4337">
        <v>0.36072881220044201</v>
      </c>
      <c r="L4337">
        <v>1002.1720786364</v>
      </c>
      <c r="M4337">
        <v>16.839127780949401</v>
      </c>
      <c r="N4337">
        <v>63.259410892909003</v>
      </c>
      <c r="O4337">
        <v>58.6941619667003</v>
      </c>
      <c r="P4337">
        <v>-4.9099459921499701E-2</v>
      </c>
      <c r="Q4337">
        <v>0.31548310904501797</v>
      </c>
      <c r="R4337">
        <v>0.9878657854231</v>
      </c>
      <c r="S4337" t="s">
        <v>10648</v>
      </c>
      <c r="T4337" t="s">
        <v>12620</v>
      </c>
      <c r="U4337" t="s">
        <v>12620</v>
      </c>
      <c r="V4337" t="s">
        <v>12620</v>
      </c>
      <c r="W4337" t="s">
        <v>16906</v>
      </c>
      <c r="X4337">
        <v>6</v>
      </c>
      <c r="Y4337" t="s">
        <v>23020</v>
      </c>
      <c r="Z4337" t="s">
        <v>29284</v>
      </c>
      <c r="AA4337">
        <v>0.76717052781070416</v>
      </c>
      <c r="AB4337" t="str">
        <f>HYPERLINK("Melting_Curves/meltCurve_Q8TDH9_BLOC1S5.pdf", "Melting_Curves/meltCurve_Q8TDH9_BLOC1S5.pdf")</f>
        <v>Melting_Curves/meltCurve_Q8TDH9_BLOC1S5.pdf</v>
      </c>
    </row>
    <row r="4338" spans="1:28" x14ac:dyDescent="0.25">
      <c r="A4338" t="s">
        <v>4342</v>
      </c>
      <c r="B4338">
        <v>0.99987803227770999</v>
      </c>
      <c r="C4338">
        <v>0.96195182737361096</v>
      </c>
      <c r="D4338">
        <v>0.82305671572515504</v>
      </c>
      <c r="E4338">
        <v>0.75256187605087099</v>
      </c>
      <c r="F4338">
        <v>0.38355807527938701</v>
      </c>
      <c r="G4338">
        <v>0.371062089362244</v>
      </c>
      <c r="H4338">
        <v>0.208799368689292</v>
      </c>
      <c r="I4338">
        <v>0.20775300150661799</v>
      </c>
      <c r="J4338">
        <v>0.122463993260316</v>
      </c>
      <c r="K4338">
        <v>6.3379383601273195E-2</v>
      </c>
      <c r="L4338">
        <v>638.49357139114397</v>
      </c>
      <c r="M4338">
        <v>12.179037056076</v>
      </c>
      <c r="N4338">
        <v>53.033941191976503</v>
      </c>
      <c r="O4338">
        <v>51.072267473435097</v>
      </c>
      <c r="P4338">
        <v>-5.57429584283234E-2</v>
      </c>
      <c r="Q4338">
        <v>6.51898070360796E-2</v>
      </c>
      <c r="R4338">
        <v>0.97407414020069205</v>
      </c>
      <c r="S4338" t="s">
        <v>10649</v>
      </c>
      <c r="T4338" t="s">
        <v>12620</v>
      </c>
      <c r="U4338" t="s">
        <v>12620</v>
      </c>
      <c r="V4338" t="s">
        <v>12620</v>
      </c>
      <c r="W4338" t="s">
        <v>16907</v>
      </c>
      <c r="X4338">
        <v>3</v>
      </c>
      <c r="Y4338" t="s">
        <v>23021</v>
      </c>
      <c r="Z4338" t="s">
        <v>29285</v>
      </c>
      <c r="AA4338">
        <v>0.47965680433630931</v>
      </c>
      <c r="AB4338" t="str">
        <f>HYPERLINK("Melting_Curves/meltCurve_Q8TDJ6_DMXL2.pdf", "Melting_Curves/meltCurve_Q8TDJ6_DMXL2.pdf")</f>
        <v>Melting_Curves/meltCurve_Q8TDJ6_DMXL2.pdf</v>
      </c>
    </row>
    <row r="4339" spans="1:28" x14ac:dyDescent="0.25">
      <c r="A4339" t="s">
        <v>4343</v>
      </c>
      <c r="B4339">
        <v>0.99987803227770999</v>
      </c>
      <c r="C4339">
        <v>1.12579753586788</v>
      </c>
      <c r="D4339">
        <v>1.04240802213449</v>
      </c>
      <c r="E4339">
        <v>0.96856807730396999</v>
      </c>
      <c r="F4339">
        <v>0.48095024405370401</v>
      </c>
      <c r="G4339">
        <v>0.184959882986964</v>
      </c>
      <c r="H4339">
        <v>0.105460184841213</v>
      </c>
      <c r="I4339">
        <v>6.7522268337017605E-2</v>
      </c>
      <c r="J4339">
        <v>3.8031882622068101E-2</v>
      </c>
      <c r="K4339">
        <v>3.1966167472778098E-2</v>
      </c>
      <c r="L4339">
        <v>2250.1602926598098</v>
      </c>
      <c r="M4339">
        <v>42.587457905495903</v>
      </c>
      <c r="N4339">
        <v>53.036584368847699</v>
      </c>
      <c r="O4339">
        <v>52.720112281154499</v>
      </c>
      <c r="P4339">
        <v>-0.186944393227296</v>
      </c>
      <c r="Q4339">
        <v>7.4308235676086701E-2</v>
      </c>
      <c r="R4339">
        <v>0.98549403963857196</v>
      </c>
      <c r="S4339" t="s">
        <v>10650</v>
      </c>
      <c r="T4339" t="s">
        <v>12620</v>
      </c>
      <c r="U4339" t="s">
        <v>12620</v>
      </c>
      <c r="V4339" t="s">
        <v>12620</v>
      </c>
      <c r="W4339" t="s">
        <v>16908</v>
      </c>
      <c r="X4339">
        <v>2</v>
      </c>
      <c r="Y4339" t="s">
        <v>23022</v>
      </c>
      <c r="Z4339" t="s">
        <v>29286</v>
      </c>
      <c r="AA4339">
        <v>0.47336580818161927</v>
      </c>
      <c r="AB4339" t="str">
        <f>HYPERLINK("Melting_Curves/meltCurve_Q8TDM0_3_BCAS4.pdf", "Melting_Curves/meltCurve_Q8TDM0_3_BCAS4.pdf")</f>
        <v>Melting_Curves/meltCurve_Q8TDM0_3_BCAS4.pdf</v>
      </c>
    </row>
    <row r="4340" spans="1:28" x14ac:dyDescent="0.25">
      <c r="A4340" t="s">
        <v>4344</v>
      </c>
      <c r="B4340">
        <v>0.99987803227770999</v>
      </c>
      <c r="C4340">
        <v>0.96362533007692297</v>
      </c>
      <c r="D4340">
        <v>0.89252725837176505</v>
      </c>
      <c r="E4340">
        <v>0.62309337239623397</v>
      </c>
      <c r="F4340">
        <v>0.51592312191061995</v>
      </c>
      <c r="G4340">
        <v>0.50010828605378899</v>
      </c>
      <c r="H4340">
        <v>0.321479076177002</v>
      </c>
      <c r="I4340">
        <v>0.36387376901912499</v>
      </c>
      <c r="J4340">
        <v>0.22511819256285101</v>
      </c>
      <c r="K4340">
        <v>0.22231854698752801</v>
      </c>
      <c r="L4340">
        <v>589.05891310448203</v>
      </c>
      <c r="M4340">
        <v>11.369311925281099</v>
      </c>
      <c r="N4340">
        <v>54.5016460568472</v>
      </c>
      <c r="O4340">
        <v>50.286073654490004</v>
      </c>
      <c r="P4340">
        <v>-4.4398362800038497E-2</v>
      </c>
      <c r="Q4340">
        <v>0.214743577353498</v>
      </c>
      <c r="R4340">
        <v>0.97046655376997604</v>
      </c>
      <c r="S4340" t="s">
        <v>10651</v>
      </c>
      <c r="T4340" t="s">
        <v>12620</v>
      </c>
      <c r="U4340" t="s">
        <v>12620</v>
      </c>
      <c r="V4340" t="s">
        <v>12620</v>
      </c>
      <c r="W4340" t="s">
        <v>16909</v>
      </c>
      <c r="X4340">
        <v>9</v>
      </c>
      <c r="Y4340" t="s">
        <v>23023</v>
      </c>
      <c r="Z4340" t="s">
        <v>29287</v>
      </c>
      <c r="AA4340">
        <v>0.54998673451081748</v>
      </c>
      <c r="AB4340" t="str">
        <f>HYPERLINK("Melting_Curves/meltCurve_Q8TDM6_DLG5.pdf", "Melting_Curves/meltCurve_Q8TDM6_DLG5.pdf")</f>
        <v>Melting_Curves/meltCurve_Q8TDM6_DLG5.pdf</v>
      </c>
    </row>
    <row r="4341" spans="1:28" x14ac:dyDescent="0.25">
      <c r="A4341" t="s">
        <v>4345</v>
      </c>
      <c r="B4341">
        <v>0.99987803227770999</v>
      </c>
      <c r="C4341">
        <v>1.12523354235609</v>
      </c>
      <c r="D4341">
        <v>0.96118031193742204</v>
      </c>
      <c r="E4341">
        <v>1.1021142780347299</v>
      </c>
      <c r="F4341">
        <v>0.83779408244714104</v>
      </c>
      <c r="G4341">
        <v>0.92225005178430197</v>
      </c>
      <c r="H4341">
        <v>1.0138134816272399</v>
      </c>
      <c r="I4341">
        <v>0.90336433456179199</v>
      </c>
      <c r="J4341">
        <v>0.27364932019926402</v>
      </c>
      <c r="K4341">
        <v>0.10374732160125701</v>
      </c>
      <c r="L4341">
        <v>5059.5050500114203</v>
      </c>
      <c r="M4341">
        <v>76.921172172883701</v>
      </c>
      <c r="N4341">
        <v>65.956489874185095</v>
      </c>
      <c r="O4341">
        <v>65.730778264746704</v>
      </c>
      <c r="P4341">
        <v>-0.26468372049945399</v>
      </c>
      <c r="Q4341">
        <v>9.5288655767608796E-2</v>
      </c>
      <c r="R4341">
        <v>0.94482766720370703</v>
      </c>
      <c r="S4341" t="s">
        <v>10652</v>
      </c>
      <c r="T4341" t="s">
        <v>12620</v>
      </c>
      <c r="U4341" t="s">
        <v>12620</v>
      </c>
      <c r="V4341" t="s">
        <v>12620</v>
      </c>
      <c r="W4341" t="s">
        <v>16910</v>
      </c>
      <c r="X4341">
        <v>12</v>
      </c>
      <c r="Y4341" t="s">
        <v>23024</v>
      </c>
      <c r="Z4341" t="s">
        <v>29288</v>
      </c>
      <c r="AA4341">
        <v>0.87340972458770438</v>
      </c>
      <c r="AB4341" t="str">
        <f>HYPERLINK("Melting_Curves/meltCurve_Q8TDQ7_GNPDA2.pdf", "Melting_Curves/meltCurve_Q8TDQ7_GNPDA2.pdf")</f>
        <v>Melting_Curves/meltCurve_Q8TDQ7_GNPDA2.pdf</v>
      </c>
    </row>
    <row r="4342" spans="1:28" x14ac:dyDescent="0.25">
      <c r="A4342" t="s">
        <v>4346</v>
      </c>
      <c r="B4342">
        <v>0.99987803227770999</v>
      </c>
      <c r="C4342">
        <v>0.84303675355826102</v>
      </c>
      <c r="D4342">
        <v>0.92868101149184201</v>
      </c>
      <c r="E4342">
        <v>0.86280804276966105</v>
      </c>
      <c r="F4342">
        <v>0.96096342567498405</v>
      </c>
      <c r="G4342">
        <v>0.63170946774284398</v>
      </c>
      <c r="H4342">
        <v>0.57958415908187699</v>
      </c>
      <c r="I4342">
        <v>0.53140495721901504</v>
      </c>
      <c r="J4342">
        <v>0.55593123755323404</v>
      </c>
      <c r="K4342">
        <v>0.45523069757772799</v>
      </c>
      <c r="L4342">
        <v>488.32910331543599</v>
      </c>
      <c r="M4342">
        <v>8.2685318621745498</v>
      </c>
      <c r="N4342">
        <v>67.203878977544505</v>
      </c>
      <c r="O4342">
        <v>55.906554361683703</v>
      </c>
      <c r="P4342">
        <v>-2.5299190579709599E-2</v>
      </c>
      <c r="Q4342">
        <v>0.31645505846306299</v>
      </c>
      <c r="R4342">
        <v>0.86492566731408704</v>
      </c>
      <c r="S4342" t="s">
        <v>10653</v>
      </c>
      <c r="T4342" t="s">
        <v>12620</v>
      </c>
      <c r="U4342" t="s">
        <v>12620</v>
      </c>
      <c r="V4342" t="s">
        <v>12620</v>
      </c>
      <c r="W4342" t="s">
        <v>16911</v>
      </c>
      <c r="X4342">
        <v>6</v>
      </c>
      <c r="Y4342" t="s">
        <v>23025</v>
      </c>
      <c r="Z4342" t="s">
        <v>29289</v>
      </c>
      <c r="AA4342">
        <v>0.74766547469757727</v>
      </c>
      <c r="AB4342" t="str">
        <f>HYPERLINK("Melting_Curves/meltCurve_Q8TDR0_2_TRAF3IP1.pdf", "Melting_Curves/meltCurve_Q8TDR0_2_TRAF3IP1.pdf")</f>
        <v>Melting_Curves/meltCurve_Q8TDR0_2_TRAF3IP1.pdf</v>
      </c>
    </row>
    <row r="4343" spans="1:28" x14ac:dyDescent="0.25">
      <c r="A4343" t="s">
        <v>4347</v>
      </c>
      <c r="B4343">
        <v>0.99987803227770999</v>
      </c>
      <c r="C4343">
        <v>0.84105029543119103</v>
      </c>
      <c r="D4343">
        <v>0.70885323619820695</v>
      </c>
      <c r="E4343">
        <v>0.41204849845291402</v>
      </c>
      <c r="F4343">
        <v>0.22708113015790199</v>
      </c>
      <c r="G4343">
        <v>0.12546976916914299</v>
      </c>
      <c r="H4343">
        <v>7.8779719387943606E-2</v>
      </c>
      <c r="I4343">
        <v>8.2139808394050801E-2</v>
      </c>
      <c r="J4343">
        <v>6.1988475436731902E-2</v>
      </c>
      <c r="K4343">
        <v>4.7745096312688903E-2</v>
      </c>
      <c r="L4343">
        <v>741.96983174133698</v>
      </c>
      <c r="M4343">
        <v>15.3631185487785</v>
      </c>
      <c r="N4343">
        <v>48.6007462265271</v>
      </c>
      <c r="O4343">
        <v>47.499433476332598</v>
      </c>
      <c r="P4343">
        <v>-7.7148225254548494E-2</v>
      </c>
      <c r="Q4343">
        <v>4.5985376348017797E-2</v>
      </c>
      <c r="R4343">
        <v>0.996934265314812</v>
      </c>
      <c r="S4343" t="s">
        <v>10654</v>
      </c>
      <c r="T4343" t="s">
        <v>12620</v>
      </c>
      <c r="U4343" t="s">
        <v>12620</v>
      </c>
      <c r="V4343" t="s">
        <v>12620</v>
      </c>
      <c r="W4343" t="s">
        <v>16912</v>
      </c>
      <c r="X4343">
        <v>9</v>
      </c>
      <c r="Y4343" t="s">
        <v>23026</v>
      </c>
      <c r="Z4343" t="s">
        <v>29290</v>
      </c>
      <c r="AA4343">
        <v>0.33290022408473902</v>
      </c>
      <c r="AB4343" t="str">
        <f>HYPERLINK("Melting_Curves/meltCurve_Q8TDX7_NEK7.pdf", "Melting_Curves/meltCurve_Q8TDX7_NEK7.pdf")</f>
        <v>Melting_Curves/meltCurve_Q8TDX7_NEK7.pdf</v>
      </c>
    </row>
    <row r="4344" spans="1:28" x14ac:dyDescent="0.25">
      <c r="A4344" t="s">
        <v>4348</v>
      </c>
      <c r="B4344">
        <v>0.99987803227770999</v>
      </c>
      <c r="C4344">
        <v>1.22900168537513</v>
      </c>
      <c r="D4344">
        <v>0.87931441573275304</v>
      </c>
      <c r="E4344">
        <v>1.0207340417389099</v>
      </c>
      <c r="F4344">
        <v>0.49052225131669702</v>
      </c>
      <c r="G4344">
        <v>0.43336095003834202</v>
      </c>
      <c r="H4344">
        <v>0.28350071350832301</v>
      </c>
      <c r="I4344">
        <v>0.19527769675250101</v>
      </c>
      <c r="J4344">
        <v>0.156045137736505</v>
      </c>
      <c r="K4344">
        <v>0.104271219084421</v>
      </c>
      <c r="L4344">
        <v>1069.9080086260201</v>
      </c>
      <c r="M4344">
        <v>19.8297452054783</v>
      </c>
      <c r="N4344">
        <v>54.948748318142698</v>
      </c>
      <c r="O4344">
        <v>53.414972520123797</v>
      </c>
      <c r="P4344">
        <v>-7.8824408994503395E-2</v>
      </c>
      <c r="Q4344">
        <v>0.15071781419593899</v>
      </c>
      <c r="R4344">
        <v>0.91787100897569196</v>
      </c>
      <c r="S4344" t="s">
        <v>10655</v>
      </c>
      <c r="T4344" t="s">
        <v>12620</v>
      </c>
      <c r="U4344" t="s">
        <v>12620</v>
      </c>
      <c r="V4344" t="s">
        <v>12620</v>
      </c>
      <c r="W4344" t="s">
        <v>16913</v>
      </c>
      <c r="X4344">
        <v>14</v>
      </c>
      <c r="Y4344" t="s">
        <v>23027</v>
      </c>
      <c r="Z4344" t="s">
        <v>29291</v>
      </c>
      <c r="AA4344">
        <v>0.55747828830672097</v>
      </c>
      <c r="AB4344" t="str">
        <f>HYPERLINK("Melting_Curves/meltCurve_Q8TDY2_2_RB1CC1.pdf", "Melting_Curves/meltCurve_Q8TDY2_2_RB1CC1.pdf")</f>
        <v>Melting_Curves/meltCurve_Q8TDY2_2_RB1CC1.pdf</v>
      </c>
    </row>
    <row r="4345" spans="1:28" x14ac:dyDescent="0.25">
      <c r="A4345" t="s">
        <v>4349</v>
      </c>
      <c r="B4345">
        <v>0.99987803227770999</v>
      </c>
      <c r="C4345">
        <v>1.0391071844759801</v>
      </c>
      <c r="D4345">
        <v>0.95604901410044996</v>
      </c>
      <c r="E4345">
        <v>0.81349950719016695</v>
      </c>
      <c r="F4345">
        <v>0.48959044563131499</v>
      </c>
      <c r="G4345">
        <v>0.28191977121249601</v>
      </c>
      <c r="H4345">
        <v>0.21250530371374199</v>
      </c>
      <c r="I4345">
        <v>0.18038682118934199</v>
      </c>
      <c r="J4345">
        <v>0.16691767737257601</v>
      </c>
      <c r="K4345">
        <v>0.12444985953196799</v>
      </c>
      <c r="L4345">
        <v>1248.99011570937</v>
      </c>
      <c r="M4345">
        <v>23.8739456763644</v>
      </c>
      <c r="N4345">
        <v>53.182198873117798</v>
      </c>
      <c r="O4345">
        <v>51.953117398288903</v>
      </c>
      <c r="P4345">
        <v>-9.6379059328336403E-2</v>
      </c>
      <c r="Q4345">
        <v>0.16107512167178001</v>
      </c>
      <c r="R4345">
        <v>0.99565804893897203</v>
      </c>
      <c r="S4345" t="s">
        <v>10656</v>
      </c>
      <c r="T4345" t="s">
        <v>12620</v>
      </c>
      <c r="U4345" t="s">
        <v>12620</v>
      </c>
      <c r="V4345" t="s">
        <v>12620</v>
      </c>
      <c r="W4345" t="s">
        <v>16914</v>
      </c>
      <c r="X4345">
        <v>11</v>
      </c>
      <c r="Y4345" t="s">
        <v>23028</v>
      </c>
      <c r="Z4345" t="s">
        <v>29292</v>
      </c>
      <c r="AA4345">
        <v>0.51386657314738049</v>
      </c>
      <c r="AB4345" t="str">
        <f>HYPERLINK("Melting_Curves/meltCurve_Q8TDZ2_MICAL1.pdf", "Melting_Curves/meltCurve_Q8TDZ2_MICAL1.pdf")</f>
        <v>Melting_Curves/meltCurve_Q8TDZ2_MICAL1.pdf</v>
      </c>
    </row>
    <row r="4346" spans="1:28" x14ac:dyDescent="0.25">
      <c r="A4346" t="s">
        <v>4350</v>
      </c>
      <c r="B4346">
        <v>0.99987803227770999</v>
      </c>
      <c r="C4346">
        <v>0.96728020692626304</v>
      </c>
      <c r="D4346">
        <v>1.03338822240911</v>
      </c>
      <c r="E4346">
        <v>0.85408027660093699</v>
      </c>
      <c r="F4346">
        <v>0.69418223597040996</v>
      </c>
      <c r="G4346">
        <v>0.17497439817317301</v>
      </c>
      <c r="H4346">
        <v>0.155307547242717</v>
      </c>
      <c r="I4346">
        <v>0.130780655093689</v>
      </c>
      <c r="J4346">
        <v>9.6944450510019903E-2</v>
      </c>
      <c r="K4346">
        <v>7.0096314850961697E-2</v>
      </c>
      <c r="L4346">
        <v>1708.0053417076599</v>
      </c>
      <c r="M4346">
        <v>31.7691838635719</v>
      </c>
      <c r="N4346">
        <v>54.1345707609686</v>
      </c>
      <c r="O4346">
        <v>53.5512820436211</v>
      </c>
      <c r="P4346">
        <v>-0.13378242428946899</v>
      </c>
      <c r="Q4346">
        <v>9.7970764090645798E-2</v>
      </c>
      <c r="R4346">
        <v>0.99086788933958903</v>
      </c>
      <c r="S4346" t="s">
        <v>10657</v>
      </c>
      <c r="T4346" t="s">
        <v>12620</v>
      </c>
      <c r="U4346" t="s">
        <v>12620</v>
      </c>
      <c r="V4346" t="s">
        <v>12620</v>
      </c>
      <c r="W4346" t="s">
        <v>16915</v>
      </c>
      <c r="X4346">
        <v>7</v>
      </c>
      <c r="Y4346" t="s">
        <v>23029</v>
      </c>
      <c r="Z4346" t="s">
        <v>29293</v>
      </c>
      <c r="AA4346">
        <v>0.51707524658466142</v>
      </c>
      <c r="AB4346" t="str">
        <f>HYPERLINK("Melting_Curves/meltCurve_Q8TE04_PANK1.pdf", "Melting_Curves/meltCurve_Q8TE04_PANK1.pdf")</f>
        <v>Melting_Curves/meltCurve_Q8TE04_PANK1.pdf</v>
      </c>
    </row>
    <row r="4347" spans="1:28" x14ac:dyDescent="0.25">
      <c r="A4347" t="s">
        <v>4351</v>
      </c>
      <c r="B4347">
        <v>0.99987803227770999</v>
      </c>
      <c r="C4347">
        <v>0.89914970699996699</v>
      </c>
      <c r="D4347">
        <v>0.971515555744901</v>
      </c>
      <c r="E4347">
        <v>0.84023195225288105</v>
      </c>
      <c r="F4347">
        <v>0.69907110854089405</v>
      </c>
      <c r="G4347">
        <v>0.57857992276838499</v>
      </c>
      <c r="H4347">
        <v>0.53811142503120701</v>
      </c>
      <c r="I4347">
        <v>0.45057908878654701</v>
      </c>
      <c r="J4347">
        <v>0.45551145674295701</v>
      </c>
      <c r="K4347">
        <v>0.38386013843736799</v>
      </c>
      <c r="L4347">
        <v>604.53774657868598</v>
      </c>
      <c r="M4347">
        <v>11.1369002707091</v>
      </c>
      <c r="N4347">
        <v>61.341066331495597</v>
      </c>
      <c r="O4347">
        <v>52.620422648771601</v>
      </c>
      <c r="P4347">
        <v>-3.3810916869657703E-2</v>
      </c>
      <c r="Q4347">
        <v>0.36119654159237002</v>
      </c>
      <c r="R4347">
        <v>0.97744159255212204</v>
      </c>
      <c r="S4347" t="s">
        <v>10658</v>
      </c>
      <c r="T4347" t="s">
        <v>12620</v>
      </c>
      <c r="U4347" t="s">
        <v>12620</v>
      </c>
      <c r="V4347" t="s">
        <v>12620</v>
      </c>
      <c r="W4347" t="s">
        <v>16916</v>
      </c>
      <c r="X4347">
        <v>3</v>
      </c>
      <c r="Y4347" t="s">
        <v>23030</v>
      </c>
      <c r="Z4347" t="s">
        <v>29294</v>
      </c>
      <c r="AA4347">
        <v>0.68255263621701057</v>
      </c>
      <c r="AB4347" t="str">
        <f>HYPERLINK("Melting_Curves/meltCurve_Q8TE76_3_MORC4.pdf", "Melting_Curves/meltCurve_Q8TE76_3_MORC4.pdf")</f>
        <v>Melting_Curves/meltCurve_Q8TE76_3_MORC4.pdf</v>
      </c>
    </row>
    <row r="4348" spans="1:28" x14ac:dyDescent="0.25">
      <c r="A4348" t="s">
        <v>4352</v>
      </c>
      <c r="B4348">
        <v>0.99987803227770999</v>
      </c>
      <c r="C4348">
        <v>0.91685978321256301</v>
      </c>
      <c r="D4348">
        <v>0.84377880664782001</v>
      </c>
      <c r="E4348">
        <v>0.53073540322241997</v>
      </c>
      <c r="F4348">
        <v>0.40187643897533598</v>
      </c>
      <c r="G4348">
        <v>0.239605914907706</v>
      </c>
      <c r="H4348">
        <v>0.221707338523115</v>
      </c>
      <c r="I4348">
        <v>0.17789921613634199</v>
      </c>
      <c r="J4348">
        <v>0.20240082544919999</v>
      </c>
      <c r="K4348">
        <v>0.16307668400697301</v>
      </c>
      <c r="L4348">
        <v>828.56248568151</v>
      </c>
      <c r="M4348">
        <v>16.727391430058201</v>
      </c>
      <c r="N4348">
        <v>50.815700545782498</v>
      </c>
      <c r="O4348">
        <v>48.841587188886201</v>
      </c>
      <c r="P4348">
        <v>-7.0883160020424996E-2</v>
      </c>
      <c r="Q4348">
        <v>0.17217981923036799</v>
      </c>
      <c r="R4348">
        <v>0.99629180055042299</v>
      </c>
      <c r="S4348" t="s">
        <v>10659</v>
      </c>
      <c r="T4348" t="s">
        <v>12620</v>
      </c>
      <c r="U4348" t="s">
        <v>12620</v>
      </c>
      <c r="V4348" t="s">
        <v>12620</v>
      </c>
      <c r="W4348" t="s">
        <v>16917</v>
      </c>
      <c r="X4348">
        <v>5</v>
      </c>
      <c r="Y4348" t="s">
        <v>23031</v>
      </c>
      <c r="Z4348" t="s">
        <v>29295</v>
      </c>
      <c r="AA4348">
        <v>0.45160278773340701</v>
      </c>
      <c r="AB4348" t="str">
        <f>HYPERLINK("Melting_Curves/meltCurve_Q8TE77_SSH3.pdf", "Melting_Curves/meltCurve_Q8TE77_SSH3.pdf")</f>
        <v>Melting_Curves/meltCurve_Q8TE77_SSH3.pdf</v>
      </c>
    </row>
    <row r="4349" spans="1:28" x14ac:dyDescent="0.25">
      <c r="A4349" t="s">
        <v>4353</v>
      </c>
      <c r="B4349">
        <v>0.99987803227770999</v>
      </c>
      <c r="C4349">
        <v>0.90335823192985998</v>
      </c>
      <c r="D4349">
        <v>0.84047186967366405</v>
      </c>
      <c r="E4349">
        <v>0.50056047678322102</v>
      </c>
      <c r="F4349">
        <v>0.224275993293333</v>
      </c>
      <c r="G4349">
        <v>0.148952063297287</v>
      </c>
      <c r="H4349">
        <v>0.13022529518032</v>
      </c>
      <c r="I4349">
        <v>0.117580588552542</v>
      </c>
      <c r="J4349">
        <v>6.5207475211823296E-2</v>
      </c>
      <c r="K4349">
        <v>4.4938227878844501E-2</v>
      </c>
      <c r="L4349">
        <v>976.07098585661004</v>
      </c>
      <c r="M4349">
        <v>19.774719682237301</v>
      </c>
      <c r="N4349">
        <v>49.780727480749803</v>
      </c>
      <c r="O4349">
        <v>48.863080203914201</v>
      </c>
      <c r="P4349">
        <v>-9.3383651243689095E-2</v>
      </c>
      <c r="Q4349">
        <v>7.7032320476811605E-2</v>
      </c>
      <c r="R4349">
        <v>0.99324625444539305</v>
      </c>
      <c r="S4349" t="s">
        <v>10660</v>
      </c>
      <c r="T4349" t="s">
        <v>12620</v>
      </c>
      <c r="U4349" t="s">
        <v>12620</v>
      </c>
      <c r="V4349" t="s">
        <v>12620</v>
      </c>
      <c r="W4349" t="s">
        <v>16918</v>
      </c>
      <c r="X4349">
        <v>6</v>
      </c>
      <c r="Y4349" t="s">
        <v>23032</v>
      </c>
      <c r="Z4349" t="s">
        <v>29296</v>
      </c>
      <c r="AA4349">
        <v>0.37817097870135452</v>
      </c>
      <c r="AB4349" t="str">
        <f>HYPERLINK("Melting_Curves/meltCurve_Q8TEA1_NSUN6.pdf", "Melting_Curves/meltCurve_Q8TEA1_NSUN6.pdf")</f>
        <v>Melting_Curves/meltCurve_Q8TEA1_NSUN6.pdf</v>
      </c>
    </row>
    <row r="4350" spans="1:28" x14ac:dyDescent="0.25">
      <c r="A4350" t="s">
        <v>4354</v>
      </c>
      <c r="B4350">
        <v>0.99987803227770999</v>
      </c>
      <c r="C4350">
        <v>1.06224281760031</v>
      </c>
      <c r="D4350">
        <v>0.80137425626012804</v>
      </c>
      <c r="E4350">
        <v>0.64407964778294102</v>
      </c>
      <c r="F4350">
        <v>0.24649270916927399</v>
      </c>
      <c r="G4350">
        <v>0.17863200107395</v>
      </c>
      <c r="H4350">
        <v>0.131956705537733</v>
      </c>
      <c r="I4350">
        <v>0.106183416817764</v>
      </c>
      <c r="J4350">
        <v>9.5981045352795405E-2</v>
      </c>
      <c r="K4350">
        <v>7.1108907248968303E-2</v>
      </c>
      <c r="L4350">
        <v>1076.0229300542501</v>
      </c>
      <c r="M4350">
        <v>21.411073300986999</v>
      </c>
      <c r="N4350">
        <v>50.728968672034902</v>
      </c>
      <c r="O4350">
        <v>49.823215687558303</v>
      </c>
      <c r="P4350">
        <v>-9.7706459025967404E-2</v>
      </c>
      <c r="Q4350">
        <v>9.0577298517050597E-2</v>
      </c>
      <c r="R4350">
        <v>0.98141729499013397</v>
      </c>
      <c r="S4350" t="s">
        <v>10661</v>
      </c>
      <c r="T4350" t="s">
        <v>12620</v>
      </c>
      <c r="U4350" t="s">
        <v>12620</v>
      </c>
      <c r="V4350" t="s">
        <v>12620</v>
      </c>
      <c r="W4350" t="s">
        <v>16919</v>
      </c>
      <c r="X4350">
        <v>5</v>
      </c>
      <c r="Y4350" t="s">
        <v>23033</v>
      </c>
      <c r="Z4350" t="s">
        <v>29297</v>
      </c>
      <c r="AA4350">
        <v>0.41254007725557218</v>
      </c>
      <c r="AB4350" t="str">
        <f>HYPERLINK("Melting_Curves/meltCurve_Q8TEA7_3_TBCK.pdf", "Melting_Curves/meltCurve_Q8TEA7_3_TBCK.pdf")</f>
        <v>Melting_Curves/meltCurve_Q8TEA7_3_TBCK.pdf</v>
      </c>
    </row>
    <row r="4351" spans="1:28" x14ac:dyDescent="0.25">
      <c r="A4351" t="s">
        <v>4355</v>
      </c>
      <c r="B4351">
        <v>0.99987803227770999</v>
      </c>
      <c r="C4351">
        <v>1.09428252082802</v>
      </c>
      <c r="D4351">
        <v>1.0469560604227901</v>
      </c>
      <c r="E4351">
        <v>1.04745379966408</v>
      </c>
      <c r="F4351">
        <v>0.97524436915766399</v>
      </c>
      <c r="G4351">
        <v>0.99581159290360999</v>
      </c>
      <c r="H4351">
        <v>1.14231565912099</v>
      </c>
      <c r="I4351">
        <v>0.927628210797802</v>
      </c>
      <c r="J4351">
        <v>0.84920267560481499</v>
      </c>
      <c r="K4351">
        <v>0.458780996701316</v>
      </c>
      <c r="L4351">
        <v>2857.0245331524602</v>
      </c>
      <c r="M4351">
        <v>40.974688373550002</v>
      </c>
      <c r="N4351">
        <v>69.726571393878103</v>
      </c>
      <c r="O4351">
        <v>69.561106074447196</v>
      </c>
      <c r="P4351">
        <v>-0.147261766585736</v>
      </c>
      <c r="Q4351">
        <v>0</v>
      </c>
      <c r="R4351">
        <v>0.88805504383656497</v>
      </c>
      <c r="S4351" t="s">
        <v>10662</v>
      </c>
      <c r="T4351" t="s">
        <v>12620</v>
      </c>
      <c r="U4351" t="s">
        <v>12620</v>
      </c>
      <c r="V4351" t="s">
        <v>12620</v>
      </c>
      <c r="W4351" t="s">
        <v>16920</v>
      </c>
      <c r="X4351">
        <v>7</v>
      </c>
      <c r="Y4351" t="s">
        <v>23034</v>
      </c>
      <c r="Z4351" t="s">
        <v>29298</v>
      </c>
      <c r="AA4351">
        <v>0.95805398162980537</v>
      </c>
      <c r="AB4351" t="str">
        <f>HYPERLINK("Melting_Curves/meltCurve_Q8TEA8_DTD1.pdf", "Melting_Curves/meltCurve_Q8TEA8_DTD1.pdf")</f>
        <v>Melting_Curves/meltCurve_Q8TEA8_DTD1.pdf</v>
      </c>
    </row>
    <row r="4352" spans="1:28" x14ac:dyDescent="0.25">
      <c r="A4352" t="s">
        <v>4356</v>
      </c>
      <c r="B4352">
        <v>0.99987803227770999</v>
      </c>
      <c r="C4352">
        <v>0.87374857093906499</v>
      </c>
      <c r="D4352">
        <v>0.72310290268645305</v>
      </c>
      <c r="E4352">
        <v>0.76746878726502499</v>
      </c>
      <c r="F4352">
        <v>0.54156369200759402</v>
      </c>
      <c r="G4352">
        <v>0.371092615545839</v>
      </c>
      <c r="H4352">
        <v>0.216068552594289</v>
      </c>
      <c r="I4352">
        <v>0.17578928187074699</v>
      </c>
      <c r="J4352">
        <v>0.207836514222909</v>
      </c>
      <c r="K4352">
        <v>0.18691483192358099</v>
      </c>
      <c r="L4352">
        <v>504.56888340238299</v>
      </c>
      <c r="M4352">
        <v>9.5339584926623093</v>
      </c>
      <c r="N4352">
        <v>53.731031483498597</v>
      </c>
      <c r="O4352">
        <v>50.751956310136897</v>
      </c>
      <c r="P4352">
        <v>-4.38537567722782E-2</v>
      </c>
      <c r="Q4352">
        <v>6.6760781634120206E-2</v>
      </c>
      <c r="R4352">
        <v>0.965110321706943</v>
      </c>
      <c r="S4352" t="s">
        <v>10663</v>
      </c>
      <c r="T4352" t="s">
        <v>12620</v>
      </c>
      <c r="U4352" t="s">
        <v>12620</v>
      </c>
      <c r="V4352" t="s">
        <v>12620</v>
      </c>
      <c r="W4352" t="s">
        <v>16921</v>
      </c>
      <c r="X4352">
        <v>1</v>
      </c>
      <c r="Y4352" t="s">
        <v>23035</v>
      </c>
      <c r="Z4352" t="s">
        <v>29299</v>
      </c>
      <c r="AA4352">
        <v>0.50237642637255386</v>
      </c>
      <c r="AB4352" t="str">
        <f>HYPERLINK("Melting_Curves/meltCurve_Q8TEB1_2_DCAF11.pdf", "Melting_Curves/meltCurve_Q8TEB1_2_DCAF11.pdf")</f>
        <v>Melting_Curves/meltCurve_Q8TEB1_2_DCAF11.pdf</v>
      </c>
    </row>
    <row r="4353" spans="1:28" x14ac:dyDescent="0.25">
      <c r="A4353" t="s">
        <v>4357</v>
      </c>
      <c r="B4353">
        <v>0.99987803227770999</v>
      </c>
      <c r="C4353">
        <v>0.92225276423277902</v>
      </c>
      <c r="D4353">
        <v>1.0169664907039</v>
      </c>
      <c r="E4353">
        <v>0.84772781662132501</v>
      </c>
      <c r="F4353">
        <v>0.83731367036891302</v>
      </c>
      <c r="G4353">
        <v>0.53887716474510605</v>
      </c>
      <c r="H4353">
        <v>0.50643601924414505</v>
      </c>
      <c r="I4353">
        <v>0.45882948724019501</v>
      </c>
      <c r="J4353">
        <v>0.45402025139994701</v>
      </c>
      <c r="K4353">
        <v>0.41029411263336601</v>
      </c>
      <c r="L4353">
        <v>1010.20654232526</v>
      </c>
      <c r="M4353">
        <v>18.611883480903501</v>
      </c>
      <c r="N4353">
        <v>60.245109913405301</v>
      </c>
      <c r="O4353">
        <v>53.662545969952802</v>
      </c>
      <c r="P4353">
        <v>-5.0216725614708899E-2</v>
      </c>
      <c r="Q4353">
        <v>0.42087735163766599</v>
      </c>
      <c r="R4353">
        <v>0.96830304972618197</v>
      </c>
      <c r="S4353" t="s">
        <v>10664</v>
      </c>
      <c r="T4353" t="s">
        <v>12620</v>
      </c>
      <c r="U4353" t="s">
        <v>12620</v>
      </c>
      <c r="V4353" t="s">
        <v>12620</v>
      </c>
      <c r="W4353" t="s">
        <v>16922</v>
      </c>
      <c r="X4353">
        <v>7</v>
      </c>
      <c r="Y4353" t="s">
        <v>23036</v>
      </c>
      <c r="Z4353" t="s">
        <v>29300</v>
      </c>
      <c r="AA4353">
        <v>0.70524163386564787</v>
      </c>
      <c r="AB4353" t="str">
        <f>HYPERLINK("Melting_Curves/meltCurve_Q8TEH3_DENND1A.pdf", "Melting_Curves/meltCurve_Q8TEH3_DENND1A.pdf")</f>
        <v>Melting_Curves/meltCurve_Q8TEH3_DENND1A.pdf</v>
      </c>
    </row>
    <row r="4354" spans="1:28" x14ac:dyDescent="0.25">
      <c r="A4354" t="s">
        <v>4358</v>
      </c>
      <c r="B4354">
        <v>0.99987803227770999</v>
      </c>
      <c r="C4354">
        <v>0.96382161204821004</v>
      </c>
      <c r="D4354">
        <v>1.0011828706524299</v>
      </c>
      <c r="E4354">
        <v>1.03052125765063</v>
      </c>
      <c r="F4354">
        <v>1.0251341543608301</v>
      </c>
      <c r="G4354">
        <v>0.87873790066845903</v>
      </c>
      <c r="H4354">
        <v>0.85716274113300905</v>
      </c>
      <c r="I4354">
        <v>0.76774773627021298</v>
      </c>
      <c r="J4354">
        <v>0.60977270686579699</v>
      </c>
      <c r="K4354">
        <v>0.50767859405205196</v>
      </c>
      <c r="L4354">
        <v>857.23242976679603</v>
      </c>
      <c r="M4354">
        <v>12.4571778119952</v>
      </c>
      <c r="O4354">
        <v>67.113177927588097</v>
      </c>
      <c r="P4354">
        <v>-4.16833898852908E-2</v>
      </c>
      <c r="Q4354">
        <v>0.101908452832732</v>
      </c>
      <c r="R4354">
        <v>0.96990309401861097</v>
      </c>
      <c r="S4354" t="s">
        <v>10665</v>
      </c>
      <c r="T4354" t="s">
        <v>12620</v>
      </c>
      <c r="U4354" t="s">
        <v>12620</v>
      </c>
      <c r="V4354" t="s">
        <v>12620</v>
      </c>
      <c r="W4354" t="s">
        <v>16923</v>
      </c>
      <c r="X4354">
        <v>2</v>
      </c>
      <c r="Y4354" t="s">
        <v>23037</v>
      </c>
      <c r="Z4354" t="s">
        <v>29301</v>
      </c>
      <c r="AA4354">
        <v>0.88416293840439297</v>
      </c>
      <c r="AB4354" t="str">
        <f>HYPERLINK("Melting_Curves/meltCurve_Q8TEK3_2_DOT1L.pdf", "Melting_Curves/meltCurve_Q8TEK3_2_DOT1L.pdf")</f>
        <v>Melting_Curves/meltCurve_Q8TEK3_2_DOT1L.pdf</v>
      </c>
    </row>
    <row r="4355" spans="1:28" x14ac:dyDescent="0.25">
      <c r="A4355" t="s">
        <v>4359</v>
      </c>
      <c r="B4355">
        <v>0.99987803227770999</v>
      </c>
      <c r="C4355">
        <v>0.91239607563204705</v>
      </c>
      <c r="D4355">
        <v>0.64531317208530403</v>
      </c>
      <c r="E4355">
        <v>0.80322673248388099</v>
      </c>
      <c r="F4355">
        <v>0.300587531080799</v>
      </c>
      <c r="G4355">
        <v>0.15432973579439699</v>
      </c>
      <c r="H4355">
        <v>0.101398388187894</v>
      </c>
      <c r="I4355">
        <v>8.0660797422793001E-2</v>
      </c>
      <c r="J4355">
        <v>7.4475994217814798E-2</v>
      </c>
      <c r="K4355">
        <v>4.64254415882175E-2</v>
      </c>
      <c r="L4355">
        <v>654.62208796225798</v>
      </c>
      <c r="M4355">
        <v>12.7943999507839</v>
      </c>
      <c r="N4355">
        <v>51.174757935865401</v>
      </c>
      <c r="O4355">
        <v>49.963130360081898</v>
      </c>
      <c r="P4355">
        <v>-6.3951099646275406E-2</v>
      </c>
      <c r="Q4355">
        <v>1.25131380052057E-3</v>
      </c>
      <c r="R4355">
        <v>0.93067378138366696</v>
      </c>
      <c r="S4355" t="s">
        <v>10666</v>
      </c>
      <c r="T4355" t="s">
        <v>12620</v>
      </c>
      <c r="U4355" t="s">
        <v>12620</v>
      </c>
      <c r="V4355" t="s">
        <v>12620</v>
      </c>
      <c r="W4355" t="s">
        <v>16924</v>
      </c>
      <c r="X4355">
        <v>22</v>
      </c>
      <c r="Y4355" t="s">
        <v>23038</v>
      </c>
      <c r="Z4355" t="s">
        <v>29302</v>
      </c>
      <c r="AA4355">
        <v>0.40234370664013008</v>
      </c>
      <c r="AB4355" t="str">
        <f>HYPERLINK("Melting_Curves/meltCurve_Q8TEQ6_GEMIN5.pdf", "Melting_Curves/meltCurve_Q8TEQ6_GEMIN5.pdf")</f>
        <v>Melting_Curves/meltCurve_Q8TEQ6_GEMIN5.pdf</v>
      </c>
    </row>
    <row r="4356" spans="1:28" x14ac:dyDescent="0.25">
      <c r="A4356" t="s">
        <v>4360</v>
      </c>
      <c r="B4356">
        <v>0.99987803227770999</v>
      </c>
      <c r="C4356">
        <v>0.79733300748264002</v>
      </c>
      <c r="D4356">
        <v>0.85063712440644401</v>
      </c>
      <c r="E4356">
        <v>0.50551635744771595</v>
      </c>
      <c r="F4356">
        <v>0.32658641234354102</v>
      </c>
      <c r="G4356">
        <v>0.222896217001749</v>
      </c>
      <c r="H4356">
        <v>0.17110865732393801</v>
      </c>
      <c r="I4356">
        <v>0.17025244076288601</v>
      </c>
      <c r="J4356">
        <v>0.15838059234112101</v>
      </c>
      <c r="K4356">
        <v>0.108533305525275</v>
      </c>
      <c r="L4356">
        <v>725.96947467969005</v>
      </c>
      <c r="M4356">
        <v>14.7420403139842</v>
      </c>
      <c r="N4356">
        <v>50.197871328535797</v>
      </c>
      <c r="O4356">
        <v>48.365329995270301</v>
      </c>
      <c r="P4356">
        <v>-6.6907253819291995E-2</v>
      </c>
      <c r="Q4356">
        <v>0.122064109546308</v>
      </c>
      <c r="R4356">
        <v>0.97811479921355304</v>
      </c>
      <c r="S4356" t="s">
        <v>10667</v>
      </c>
      <c r="T4356" t="s">
        <v>12620</v>
      </c>
      <c r="U4356" t="s">
        <v>12620</v>
      </c>
      <c r="V4356" t="s">
        <v>12620</v>
      </c>
      <c r="W4356" t="s">
        <v>16925</v>
      </c>
      <c r="X4356">
        <v>6</v>
      </c>
      <c r="Y4356" t="s">
        <v>23039</v>
      </c>
      <c r="Z4356" t="s">
        <v>29303</v>
      </c>
      <c r="AA4356">
        <v>0.41478527498110151</v>
      </c>
      <c r="AB4356" t="str">
        <f>HYPERLINK("Melting_Curves/meltCurve_Q8TER5_ARHGEF40.pdf", "Melting_Curves/meltCurve_Q8TER5_ARHGEF40.pdf")</f>
        <v>Melting_Curves/meltCurve_Q8TER5_ARHGEF40.pdf</v>
      </c>
    </row>
    <row r="4357" spans="1:28" x14ac:dyDescent="0.25">
      <c r="A4357" t="s">
        <v>4361</v>
      </c>
      <c r="B4357">
        <v>0.99987803227770999</v>
      </c>
      <c r="C4357">
        <v>0.96258952866521996</v>
      </c>
      <c r="D4357">
        <v>0.91091323914294597</v>
      </c>
      <c r="E4357">
        <v>0.93405689194628505</v>
      </c>
      <c r="F4357">
        <v>0.93397150109057603</v>
      </c>
      <c r="G4357">
        <v>0.80824590198265001</v>
      </c>
      <c r="H4357">
        <v>0.71315767240093197</v>
      </c>
      <c r="I4357">
        <v>0.66633758602202997</v>
      </c>
      <c r="J4357">
        <v>0.52740961172604695</v>
      </c>
      <c r="K4357">
        <v>0.43210885885869399</v>
      </c>
      <c r="L4357">
        <v>527.01081367264896</v>
      </c>
      <c r="M4357">
        <v>7.7181999726183603</v>
      </c>
      <c r="N4357">
        <v>68.281570247296102</v>
      </c>
      <c r="O4357">
        <v>64.151586767943698</v>
      </c>
      <c r="P4357">
        <v>-3.0116857770671399E-2</v>
      </c>
      <c r="Q4357">
        <v>0</v>
      </c>
      <c r="R4357">
        <v>0.97566950919692597</v>
      </c>
      <c r="S4357" t="s">
        <v>10668</v>
      </c>
      <c r="T4357" t="s">
        <v>12620</v>
      </c>
      <c r="U4357" t="s">
        <v>12620</v>
      </c>
      <c r="V4357" t="s">
        <v>12620</v>
      </c>
      <c r="W4357" t="s">
        <v>16926</v>
      </c>
      <c r="X4357">
        <v>1</v>
      </c>
      <c r="Y4357" t="s">
        <v>23040</v>
      </c>
      <c r="Z4357" t="s">
        <v>29304</v>
      </c>
      <c r="AA4357">
        <v>0.81103478914407334</v>
      </c>
      <c r="AB4357" t="str">
        <f>HYPERLINK("Melting_Curves/meltCurve_Q8TES7_5_FBF1.pdf", "Melting_Curves/meltCurve_Q8TES7_5_FBF1.pdf")</f>
        <v>Melting_Curves/meltCurve_Q8TES7_5_FBF1.pdf</v>
      </c>
    </row>
    <row r="4358" spans="1:28" x14ac:dyDescent="0.25">
      <c r="A4358" t="s">
        <v>4362</v>
      </c>
      <c r="B4358">
        <v>0.99987803227770999</v>
      </c>
      <c r="C4358">
        <v>1.2123715386640801</v>
      </c>
      <c r="D4358">
        <v>1.1487498556950799</v>
      </c>
      <c r="E4358">
        <v>1.2328443063685199</v>
      </c>
      <c r="F4358">
        <v>0.890042334670198</v>
      </c>
      <c r="G4358">
        <v>0.69736248871817796</v>
      </c>
      <c r="H4358">
        <v>0.41576562226652403</v>
      </c>
      <c r="I4358">
        <v>0.32494528581240101</v>
      </c>
      <c r="J4358">
        <v>0.27534810487193401</v>
      </c>
      <c r="K4358">
        <v>0.19829672478831001</v>
      </c>
      <c r="L4358">
        <v>1484.98275811954</v>
      </c>
      <c r="M4358">
        <v>25.5352732287399</v>
      </c>
      <c r="N4358">
        <v>59.596303022188799</v>
      </c>
      <c r="O4358">
        <v>57.801034335689103</v>
      </c>
      <c r="P4358">
        <v>-8.4992086976631298E-2</v>
      </c>
      <c r="Q4358">
        <v>0.230465291256399</v>
      </c>
      <c r="R4358">
        <v>0.91197829410878195</v>
      </c>
      <c r="S4358" t="s">
        <v>10669</v>
      </c>
      <c r="T4358" t="s">
        <v>12620</v>
      </c>
      <c r="U4358" t="s">
        <v>12620</v>
      </c>
      <c r="V4358" t="s">
        <v>12620</v>
      </c>
      <c r="W4358" t="s">
        <v>16927</v>
      </c>
      <c r="X4358">
        <v>3</v>
      </c>
      <c r="Y4358" t="s">
        <v>23041</v>
      </c>
      <c r="Z4358" t="s">
        <v>29305</v>
      </c>
      <c r="AA4358">
        <v>0.70259408481284924</v>
      </c>
      <c r="AB4358" t="str">
        <f>HYPERLINK("Melting_Curves/meltCurve_Q8TEV9_SMCR8.pdf", "Melting_Curves/meltCurve_Q8TEV9_SMCR8.pdf")</f>
        <v>Melting_Curves/meltCurve_Q8TEV9_SMCR8.pdf</v>
      </c>
    </row>
    <row r="4359" spans="1:28" x14ac:dyDescent="0.25">
      <c r="A4359" t="s">
        <v>4363</v>
      </c>
      <c r="B4359">
        <v>0.99987803227770999</v>
      </c>
      <c r="C4359">
        <v>1.03250705301173</v>
      </c>
      <c r="D4359">
        <v>0.99527700958658905</v>
      </c>
      <c r="E4359">
        <v>0.80646164024668598</v>
      </c>
      <c r="F4359">
        <v>0.620998388679739</v>
      </c>
      <c r="G4359">
        <v>0.476234601446271</v>
      </c>
      <c r="H4359">
        <v>0.42865656325655899</v>
      </c>
      <c r="I4359">
        <v>0.39337807536855102</v>
      </c>
      <c r="J4359">
        <v>0.38451463011877901</v>
      </c>
      <c r="K4359">
        <v>0.30836620067995901</v>
      </c>
      <c r="L4359">
        <v>1038.5011298970301</v>
      </c>
      <c r="M4359">
        <v>19.871344497465799</v>
      </c>
      <c r="N4359">
        <v>55.892172331531697</v>
      </c>
      <c r="O4359">
        <v>51.7406180467271</v>
      </c>
      <c r="P4359">
        <v>-6.1212159189951501E-2</v>
      </c>
      <c r="Q4359">
        <v>0.362489328208488</v>
      </c>
      <c r="R4359">
        <v>0.98905167622655599</v>
      </c>
      <c r="S4359" t="s">
        <v>10670</v>
      </c>
      <c r="T4359" t="s">
        <v>12620</v>
      </c>
      <c r="U4359" t="s">
        <v>12620</v>
      </c>
      <c r="V4359" t="s">
        <v>12620</v>
      </c>
      <c r="W4359" t="s">
        <v>16928</v>
      </c>
      <c r="X4359">
        <v>31</v>
      </c>
      <c r="Y4359" t="s">
        <v>23042</v>
      </c>
      <c r="Z4359" t="s">
        <v>29306</v>
      </c>
      <c r="AA4359">
        <v>0.6319579076831866</v>
      </c>
      <c r="AB4359" t="str">
        <f>HYPERLINK("Melting_Curves/meltCurve_Q8TEW0_2_PARD3.pdf", "Melting_Curves/meltCurve_Q8TEW0_2_PARD3.pdf")</f>
        <v>Melting_Curves/meltCurve_Q8TEW0_2_PARD3.pdf</v>
      </c>
    </row>
    <row r="4360" spans="1:28" x14ac:dyDescent="0.25">
      <c r="A4360" t="s">
        <v>4364</v>
      </c>
      <c r="B4360">
        <v>0.99987803227770999</v>
      </c>
      <c r="C4360">
        <v>1.2631266244729</v>
      </c>
      <c r="D4360">
        <v>1.03318622606727</v>
      </c>
      <c r="E4360">
        <v>1.19662893305217</v>
      </c>
      <c r="F4360">
        <v>0.86530387814958398</v>
      </c>
      <c r="G4360">
        <v>0.61113782113359205</v>
      </c>
      <c r="H4360">
        <v>0.25716308416342398</v>
      </c>
      <c r="I4360">
        <v>0.146055563778411</v>
      </c>
      <c r="J4360">
        <v>8.2739982011400495E-2</v>
      </c>
      <c r="K4360">
        <v>6.1668472248357899E-2</v>
      </c>
      <c r="L4360">
        <v>1535.1959106767199</v>
      </c>
      <c r="M4360">
        <v>26.574174504859801</v>
      </c>
      <c r="N4360">
        <v>58.075012236866101</v>
      </c>
      <c r="O4360">
        <v>57.446052707394003</v>
      </c>
      <c r="P4360">
        <v>-0.108121878095679</v>
      </c>
      <c r="Q4360">
        <v>6.5090875067894099E-2</v>
      </c>
      <c r="R4360">
        <v>0.942530356514932</v>
      </c>
      <c r="S4360" t="s">
        <v>10671</v>
      </c>
      <c r="T4360" t="s">
        <v>12620</v>
      </c>
      <c r="U4360" t="s">
        <v>12620</v>
      </c>
      <c r="V4360" t="s">
        <v>12620</v>
      </c>
      <c r="W4360" t="s">
        <v>16929</v>
      </c>
      <c r="X4360">
        <v>31</v>
      </c>
      <c r="Y4360" t="s">
        <v>23043</v>
      </c>
      <c r="Z4360" t="s">
        <v>29307</v>
      </c>
      <c r="AA4360">
        <v>0.62637960593383868</v>
      </c>
      <c r="AB4360" t="str">
        <f>HYPERLINK("Melting_Curves/meltCurve_Q8TEX9_IPO4.pdf", "Melting_Curves/meltCurve_Q8TEX9_IPO4.pdf")</f>
        <v>Melting_Curves/meltCurve_Q8TEX9_IPO4.pdf</v>
      </c>
    </row>
    <row r="4361" spans="1:28" x14ac:dyDescent="0.25">
      <c r="A4361" t="s">
        <v>4365</v>
      </c>
      <c r="B4361">
        <v>0.99987803227770999</v>
      </c>
      <c r="C4361">
        <v>1.0562200241254001</v>
      </c>
      <c r="D4361">
        <v>1.0868174365741301</v>
      </c>
      <c r="E4361">
        <v>1.15777493031338</v>
      </c>
      <c r="F4361">
        <v>1.1787447778730999</v>
      </c>
      <c r="G4361">
        <v>1.10710971337424</v>
      </c>
      <c r="H4361">
        <v>1.2779909130337801</v>
      </c>
      <c r="I4361">
        <v>1.1168813947796401</v>
      </c>
      <c r="J4361">
        <v>1.23827868741886</v>
      </c>
      <c r="K4361">
        <v>0.95009214762668504</v>
      </c>
      <c r="L4361">
        <v>1152.81561686397</v>
      </c>
      <c r="M4361">
        <v>25.986881520952501</v>
      </c>
      <c r="O4361">
        <v>44.101260069617901</v>
      </c>
      <c r="P4361">
        <v>2.15941875701227E-2</v>
      </c>
      <c r="Q4361">
        <v>1.14658468422392</v>
      </c>
      <c r="R4361">
        <v>0.255080926448643</v>
      </c>
      <c r="S4361" t="s">
        <v>10672</v>
      </c>
      <c r="T4361" t="s">
        <v>12620</v>
      </c>
      <c r="U4361" t="s">
        <v>12620</v>
      </c>
      <c r="V4361" t="s">
        <v>12620</v>
      </c>
      <c r="W4361" t="s">
        <v>16930</v>
      </c>
      <c r="X4361">
        <v>9</v>
      </c>
      <c r="Y4361" t="s">
        <v>23044</v>
      </c>
      <c r="Z4361" t="s">
        <v>29308</v>
      </c>
      <c r="AA4361">
        <v>1.12383433788797</v>
      </c>
      <c r="AB4361" t="str">
        <f>HYPERLINK("Melting_Curves/meltCurve_Q8TF01_PNISR.pdf", "Melting_Curves/meltCurve_Q8TF01_PNISR.pdf")</f>
        <v>Melting_Curves/meltCurve_Q8TF01_PNISR.pdf</v>
      </c>
    </row>
    <row r="4362" spans="1:28" x14ac:dyDescent="0.25">
      <c r="A4362" t="s">
        <v>4366</v>
      </c>
      <c r="B4362">
        <v>0.99987803227770999</v>
      </c>
      <c r="C4362">
        <v>1.1146100950539</v>
      </c>
      <c r="D4362">
        <v>0.90847463520764005</v>
      </c>
      <c r="E4362">
        <v>0.92708123659695296</v>
      </c>
      <c r="F4362">
        <v>0.46337212946803302</v>
      </c>
      <c r="G4362">
        <v>0.25935616849667398</v>
      </c>
      <c r="H4362">
        <v>0.20000145201129399</v>
      </c>
      <c r="I4362">
        <v>0.176850687599518</v>
      </c>
      <c r="J4362">
        <v>0.140161609709091</v>
      </c>
      <c r="K4362">
        <v>8.29320662154822E-2</v>
      </c>
      <c r="L4362">
        <v>2076.0440752673799</v>
      </c>
      <c r="M4362">
        <v>39.612829159011703</v>
      </c>
      <c r="N4362">
        <v>52.929829193775397</v>
      </c>
      <c r="O4362">
        <v>52.275348757109903</v>
      </c>
      <c r="P4362">
        <v>-0.15883738985870799</v>
      </c>
      <c r="Q4362">
        <v>0.16155831678677601</v>
      </c>
      <c r="R4362">
        <v>0.97695730734666297</v>
      </c>
      <c r="S4362" t="s">
        <v>10673</v>
      </c>
      <c r="T4362" t="s">
        <v>12620</v>
      </c>
      <c r="U4362" t="s">
        <v>12620</v>
      </c>
      <c r="V4362" t="s">
        <v>12620</v>
      </c>
      <c r="W4362" t="s">
        <v>16931</v>
      </c>
      <c r="X4362">
        <v>19</v>
      </c>
      <c r="Y4362" t="s">
        <v>23045</v>
      </c>
      <c r="Z4362" t="s">
        <v>29309</v>
      </c>
      <c r="AA4362">
        <v>0.51144350644255543</v>
      </c>
      <c r="AB4362" t="str">
        <f>HYPERLINK("Melting_Curves/meltCurve_Q8TF05_2_PPP4R1.pdf", "Melting_Curves/meltCurve_Q8TF05_2_PPP4R1.pdf")</f>
        <v>Melting_Curves/meltCurve_Q8TF05_2_PPP4R1.pdf</v>
      </c>
    </row>
    <row r="4363" spans="1:28" x14ac:dyDescent="0.25">
      <c r="A4363" t="s">
        <v>4367</v>
      </c>
      <c r="B4363">
        <v>0.99987803227770999</v>
      </c>
      <c r="C4363">
        <v>1.15456245671985</v>
      </c>
      <c r="D4363">
        <v>0.87583739534413496</v>
      </c>
      <c r="E4363">
        <v>0.39485177259902399</v>
      </c>
      <c r="F4363">
        <v>0.221335877760693</v>
      </c>
      <c r="G4363">
        <v>0.14706870255260801</v>
      </c>
      <c r="H4363">
        <v>0.121485051338995</v>
      </c>
      <c r="I4363">
        <v>0.110759150489913</v>
      </c>
      <c r="J4363">
        <v>6.4955122551361003E-2</v>
      </c>
      <c r="K4363">
        <v>4.6741968284921401E-2</v>
      </c>
      <c r="L4363">
        <v>1479.8231716815101</v>
      </c>
      <c r="M4363">
        <v>30.212408749578302</v>
      </c>
      <c r="N4363">
        <v>49.342910116492099</v>
      </c>
      <c r="O4363">
        <v>48.767537659036002</v>
      </c>
      <c r="P4363">
        <v>-0.13947478893836099</v>
      </c>
      <c r="Q4363">
        <v>9.9469175742348898E-2</v>
      </c>
      <c r="R4363">
        <v>0.97835718463368404</v>
      </c>
      <c r="S4363" t="s">
        <v>10674</v>
      </c>
      <c r="T4363" t="s">
        <v>12620</v>
      </c>
      <c r="U4363" t="s">
        <v>12620</v>
      </c>
      <c r="V4363" t="s">
        <v>12620</v>
      </c>
      <c r="W4363" t="s">
        <v>16932</v>
      </c>
      <c r="X4363">
        <v>9</v>
      </c>
      <c r="Y4363" t="s">
        <v>23046</v>
      </c>
      <c r="Z4363" t="s">
        <v>29310</v>
      </c>
      <c r="AA4363">
        <v>0.37445189250520677</v>
      </c>
      <c r="AB4363" t="str">
        <f>HYPERLINK("Melting_Curves/meltCurve_Q8TF42_UBASH3B.pdf", "Melting_Curves/meltCurve_Q8TF42_UBASH3B.pdf")</f>
        <v>Melting_Curves/meltCurve_Q8TF42_UBASH3B.pdf</v>
      </c>
    </row>
    <row r="4364" spans="1:28" x14ac:dyDescent="0.25">
      <c r="A4364" t="s">
        <v>4368</v>
      </c>
      <c r="B4364">
        <v>0.99987803227770999</v>
      </c>
      <c r="C4364">
        <v>1.22127965106262</v>
      </c>
      <c r="D4364">
        <v>1.03511348245323</v>
      </c>
      <c r="E4364">
        <v>1.2134678092778299</v>
      </c>
      <c r="F4364">
        <v>1.22690181418065</v>
      </c>
      <c r="G4364">
        <v>1.03753597235605</v>
      </c>
      <c r="H4364">
        <v>1.02153009158034</v>
      </c>
      <c r="I4364">
        <v>0.52938040275019205</v>
      </c>
      <c r="J4364">
        <v>0.20038045033042801</v>
      </c>
      <c r="K4364">
        <v>0.16974856260530899</v>
      </c>
      <c r="L4364">
        <v>15000</v>
      </c>
      <c r="M4364">
        <v>234.68745213256</v>
      </c>
      <c r="N4364">
        <v>64.040921307061197</v>
      </c>
      <c r="O4364">
        <v>63.910131502350403</v>
      </c>
      <c r="P4364">
        <v>-0.74814890470311801</v>
      </c>
      <c r="Q4364">
        <v>0.18505553024438401</v>
      </c>
      <c r="R4364">
        <v>0.901484936082245</v>
      </c>
      <c r="S4364" t="s">
        <v>10675</v>
      </c>
      <c r="T4364" t="s">
        <v>12620</v>
      </c>
      <c r="U4364" t="s">
        <v>12620</v>
      </c>
      <c r="V4364" t="s">
        <v>12620</v>
      </c>
      <c r="W4364" t="s">
        <v>16933</v>
      </c>
      <c r="X4364">
        <v>1</v>
      </c>
      <c r="Y4364" t="s">
        <v>23047</v>
      </c>
      <c r="Z4364" t="s">
        <v>29311</v>
      </c>
      <c r="AA4364">
        <v>0.83480021528262682</v>
      </c>
      <c r="AB4364" t="str">
        <f>HYPERLINK("Melting_Curves/meltCurve_Q8TF71_SLC16A10.pdf", "Melting_Curves/meltCurve_Q8TF71_SLC16A10.pdf")</f>
        <v>Melting_Curves/meltCurve_Q8TF71_SLC16A10.pdf</v>
      </c>
    </row>
    <row r="4365" spans="1:28" x14ac:dyDescent="0.25">
      <c r="A4365" t="s">
        <v>4369</v>
      </c>
      <c r="B4365">
        <v>0.99987803227770999</v>
      </c>
      <c r="C4365">
        <v>0.92224683462032597</v>
      </c>
      <c r="D4365">
        <v>0.87869714698964696</v>
      </c>
      <c r="E4365">
        <v>0.84210958301304295</v>
      </c>
      <c r="F4365">
        <v>0.74916235199879899</v>
      </c>
      <c r="G4365">
        <v>0.49397581633707799</v>
      </c>
      <c r="H4365">
        <v>0.50363145973173096</v>
      </c>
      <c r="I4365">
        <v>0.44559470395224299</v>
      </c>
      <c r="J4365">
        <v>0.43587129138731401</v>
      </c>
      <c r="K4365">
        <v>0.38705318928170002</v>
      </c>
      <c r="L4365">
        <v>609.35338806798302</v>
      </c>
      <c r="M4365">
        <v>11.347406043697699</v>
      </c>
      <c r="N4365">
        <v>60.215756593853001</v>
      </c>
      <c r="O4365">
        <v>52.1131543819195</v>
      </c>
      <c r="P4365">
        <v>-3.5201078286243498E-2</v>
      </c>
      <c r="Q4365">
        <v>0.35354726833394501</v>
      </c>
      <c r="R4365">
        <v>0.97103485735894601</v>
      </c>
      <c r="S4365" t="s">
        <v>10676</v>
      </c>
      <c r="T4365" t="s">
        <v>12620</v>
      </c>
      <c r="U4365" t="s">
        <v>12620</v>
      </c>
      <c r="V4365" t="s">
        <v>12620</v>
      </c>
      <c r="W4365" t="s">
        <v>16934</v>
      </c>
      <c r="X4365">
        <v>5</v>
      </c>
      <c r="Y4365" t="s">
        <v>23048</v>
      </c>
      <c r="Z4365" t="s">
        <v>29312</v>
      </c>
      <c r="AA4365">
        <v>0.66705997217350876</v>
      </c>
      <c r="AB4365" t="str">
        <f>HYPERLINK("Melting_Curves/meltCurve_Q8TF72_SHROOM3.pdf", "Melting_Curves/meltCurve_Q8TF72_SHROOM3.pdf")</f>
        <v>Melting_Curves/meltCurve_Q8TF72_SHROOM3.pdf</v>
      </c>
    </row>
    <row r="4366" spans="1:28" x14ac:dyDescent="0.25">
      <c r="A4366" t="s">
        <v>4370</v>
      </c>
      <c r="B4366">
        <v>0.99987803227770999</v>
      </c>
      <c r="C4366">
        <v>0.96251991163213102</v>
      </c>
      <c r="D4366">
        <v>1.04950190009934</v>
      </c>
      <c r="E4366">
        <v>1.0089368267987699</v>
      </c>
      <c r="F4366">
        <v>1.1027242502833301</v>
      </c>
      <c r="G4366">
        <v>1.0762419562019301</v>
      </c>
      <c r="H4366">
        <v>1.07525273789156</v>
      </c>
      <c r="I4366">
        <v>1.03988320220139</v>
      </c>
      <c r="J4366">
        <v>0.96632843407191205</v>
      </c>
      <c r="K4366">
        <v>0.84223009388020698</v>
      </c>
      <c r="L4366">
        <v>15000</v>
      </c>
      <c r="M4366">
        <v>222.57578934855999</v>
      </c>
      <c r="O4366">
        <v>67.387334089299898</v>
      </c>
      <c r="P4366">
        <v>-0.13030858865991399</v>
      </c>
      <c r="Q4366">
        <v>0.84219041303681597</v>
      </c>
      <c r="R4366">
        <v>0.47066438561799601</v>
      </c>
      <c r="S4366" t="s">
        <v>10677</v>
      </c>
      <c r="T4366" t="s">
        <v>12620</v>
      </c>
      <c r="U4366" t="s">
        <v>12620</v>
      </c>
      <c r="V4366" t="s">
        <v>12620</v>
      </c>
      <c r="W4366" t="s">
        <v>12682</v>
      </c>
      <c r="X4366">
        <v>17</v>
      </c>
      <c r="Y4366" t="s">
        <v>18928</v>
      </c>
      <c r="Z4366" t="s">
        <v>29313</v>
      </c>
      <c r="AA4366">
        <v>0.98630827464240611</v>
      </c>
      <c r="AB4366" t="str">
        <f>HYPERLINK("Melting_Curves/meltCurve_Q8TF74_WIPF2.pdf", "Melting_Curves/meltCurve_Q8TF74_WIPF2.pdf")</f>
        <v>Melting_Curves/meltCurve_Q8TF74_WIPF2.pdf</v>
      </c>
    </row>
    <row r="4367" spans="1:28" x14ac:dyDescent="0.25">
      <c r="A4367" t="s">
        <v>4371</v>
      </c>
      <c r="B4367">
        <v>0.99987803227770999</v>
      </c>
      <c r="C4367">
        <v>0.81716085864005705</v>
      </c>
      <c r="D4367">
        <v>0.62836454888401005</v>
      </c>
      <c r="E4367">
        <v>0.33599069519334201</v>
      </c>
      <c r="F4367">
        <v>0.22405243375397799</v>
      </c>
      <c r="G4367">
        <v>0.13986190054056499</v>
      </c>
      <c r="H4367">
        <v>0.116160024101939</v>
      </c>
      <c r="I4367">
        <v>0.127551889342404</v>
      </c>
      <c r="J4367">
        <v>0.120988132305963</v>
      </c>
      <c r="K4367">
        <v>0.12508636589418801</v>
      </c>
      <c r="L4367">
        <v>808.99799629963502</v>
      </c>
      <c r="M4367">
        <v>17.290333662756701</v>
      </c>
      <c r="N4367">
        <v>47.497784787854997</v>
      </c>
      <c r="O4367">
        <v>46.176626986276602</v>
      </c>
      <c r="P4367">
        <v>-8.2970846643229998E-2</v>
      </c>
      <c r="Q4367">
        <v>0.11370338265844999</v>
      </c>
      <c r="R4367">
        <v>0.99653724680770495</v>
      </c>
      <c r="S4367" t="s">
        <v>10678</v>
      </c>
      <c r="T4367" t="s">
        <v>12620</v>
      </c>
      <c r="U4367" t="s">
        <v>12620</v>
      </c>
      <c r="V4367" t="s">
        <v>12620</v>
      </c>
      <c r="W4367" t="s">
        <v>16935</v>
      </c>
      <c r="X4367">
        <v>4</v>
      </c>
      <c r="Y4367" t="s">
        <v>23049</v>
      </c>
      <c r="Z4367" t="s">
        <v>29314</v>
      </c>
      <c r="AA4367">
        <v>0.33232110081736799</v>
      </c>
      <c r="AB4367" t="str">
        <f>HYPERLINK("Melting_Curves/meltCurve_Q8WTS6_SETD7.pdf", "Melting_Curves/meltCurve_Q8WTS6_SETD7.pdf")</f>
        <v>Melting_Curves/meltCurve_Q8WTS6_SETD7.pdf</v>
      </c>
    </row>
    <row r="4368" spans="1:28" x14ac:dyDescent="0.25">
      <c r="A4368" t="s">
        <v>4372</v>
      </c>
      <c r="B4368">
        <v>0.99987803227770999</v>
      </c>
      <c r="C4368">
        <v>1.06714756351034</v>
      </c>
      <c r="D4368">
        <v>0.59255445084694802</v>
      </c>
      <c r="E4368">
        <v>0.36057315519395</v>
      </c>
      <c r="F4368">
        <v>0.19948395701400101</v>
      </c>
      <c r="G4368">
        <v>0.15321418933591899</v>
      </c>
      <c r="H4368">
        <v>0.103301273348076</v>
      </c>
      <c r="I4368">
        <v>9.5838926832303703E-2</v>
      </c>
      <c r="J4368">
        <v>7.7486798970244103E-2</v>
      </c>
      <c r="K4368">
        <v>6.0605819507825003E-2</v>
      </c>
      <c r="L4368">
        <v>1026.0685815873801</v>
      </c>
      <c r="M4368">
        <v>21.632772217476099</v>
      </c>
      <c r="N4368">
        <v>47.904070655252198</v>
      </c>
      <c r="O4368">
        <v>47.031466184881999</v>
      </c>
      <c r="P4368">
        <v>-0.103938223224409</v>
      </c>
      <c r="Q4368">
        <v>9.6139583243390003E-2</v>
      </c>
      <c r="R4368">
        <v>0.971355993298885</v>
      </c>
      <c r="S4368" t="s">
        <v>10679</v>
      </c>
      <c r="T4368" t="s">
        <v>12620</v>
      </c>
      <c r="U4368" t="s">
        <v>12620</v>
      </c>
      <c r="V4368" t="s">
        <v>12620</v>
      </c>
      <c r="W4368" t="s">
        <v>16936</v>
      </c>
      <c r="X4368">
        <v>6</v>
      </c>
      <c r="Y4368" t="s">
        <v>23050</v>
      </c>
      <c r="Z4368" t="s">
        <v>29315</v>
      </c>
      <c r="AA4368">
        <v>0.33101745138108413</v>
      </c>
      <c r="AB4368" t="str">
        <f>HYPERLINK("Melting_Curves/meltCurve_Q8WTW3_COG1.pdf", "Melting_Curves/meltCurve_Q8WTW3_COG1.pdf")</f>
        <v>Melting_Curves/meltCurve_Q8WTW3_COG1.pdf</v>
      </c>
    </row>
    <row r="4369" spans="1:28" x14ac:dyDescent="0.25">
      <c r="A4369" t="s">
        <v>4373</v>
      </c>
      <c r="B4369">
        <v>0.99987803227770999</v>
      </c>
      <c r="C4369">
        <v>1.02323860514253</v>
      </c>
      <c r="D4369">
        <v>1.03114856096825</v>
      </c>
      <c r="E4369">
        <v>1.1619930761774999</v>
      </c>
      <c r="F4369">
        <v>1.13007044929533</v>
      </c>
      <c r="G4369">
        <v>1.08052854512912</v>
      </c>
      <c r="H4369">
        <v>0.74770504034471597</v>
      </c>
      <c r="I4369">
        <v>0.77037990795205802</v>
      </c>
      <c r="J4369">
        <v>0.64208908674140996</v>
      </c>
      <c r="K4369">
        <v>0.57689232629960896</v>
      </c>
      <c r="L4369">
        <v>2249.5227023900502</v>
      </c>
      <c r="M4369">
        <v>36.770637669764298</v>
      </c>
      <c r="O4369">
        <v>60.997025856485898</v>
      </c>
      <c r="P4369">
        <v>-5.69163309497311E-2</v>
      </c>
      <c r="Q4369">
        <v>0.62233800627644797</v>
      </c>
      <c r="R4369">
        <v>0.82423796335097199</v>
      </c>
      <c r="S4369" t="s">
        <v>10680</v>
      </c>
      <c r="T4369" t="s">
        <v>12620</v>
      </c>
      <c r="U4369" t="s">
        <v>12620</v>
      </c>
      <c r="V4369" t="s">
        <v>12620</v>
      </c>
      <c r="W4369" t="s">
        <v>16937</v>
      </c>
      <c r="X4369">
        <v>3</v>
      </c>
      <c r="Y4369" t="s">
        <v>23051</v>
      </c>
      <c r="Z4369" t="s">
        <v>29316</v>
      </c>
      <c r="AA4369">
        <v>0.89054169186021936</v>
      </c>
      <c r="AB4369" t="str">
        <f>HYPERLINK("Melting_Curves/meltCurve_Q8WU20_FRS2.pdf", "Melting_Curves/meltCurve_Q8WU20_FRS2.pdf")</f>
        <v>Melting_Curves/meltCurve_Q8WU20_FRS2.pdf</v>
      </c>
    </row>
    <row r="4370" spans="1:28" x14ac:dyDescent="0.25">
      <c r="A4370" t="s">
        <v>4374</v>
      </c>
      <c r="B4370">
        <v>0.99987803227770999</v>
      </c>
      <c r="C4370">
        <v>0.89190182360132897</v>
      </c>
      <c r="D4370">
        <v>1.01936979698275</v>
      </c>
      <c r="E4370">
        <v>0.92382029494752205</v>
      </c>
      <c r="F4370">
        <v>1.0704639505840901</v>
      </c>
      <c r="G4370">
        <v>0.954735104553326</v>
      </c>
      <c r="H4370">
        <v>0.92814053255653095</v>
      </c>
      <c r="I4370">
        <v>0.85253507829613095</v>
      </c>
      <c r="J4370">
        <v>0.75077697706132696</v>
      </c>
      <c r="K4370">
        <v>0.65864919881374795</v>
      </c>
      <c r="L4370">
        <v>1155.0798697579801</v>
      </c>
      <c r="M4370">
        <v>17.133715480827799</v>
      </c>
      <c r="O4370">
        <v>66.517358912970906</v>
      </c>
      <c r="P4370">
        <v>-3.3694353964774999E-2</v>
      </c>
      <c r="Q4370">
        <v>0.47679179881047701</v>
      </c>
      <c r="R4370">
        <v>0.82954429493027504</v>
      </c>
      <c r="S4370" t="s">
        <v>10681</v>
      </c>
      <c r="T4370" t="s">
        <v>12620</v>
      </c>
      <c r="U4370" t="s">
        <v>12620</v>
      </c>
      <c r="V4370" t="s">
        <v>12620</v>
      </c>
      <c r="W4370" t="s">
        <v>16938</v>
      </c>
      <c r="X4370">
        <v>2</v>
      </c>
      <c r="Y4370" t="s">
        <v>23052</v>
      </c>
      <c r="Z4370" t="s">
        <v>29317</v>
      </c>
      <c r="AA4370">
        <v>0.93191393833884806</v>
      </c>
      <c r="AB4370" t="str">
        <f>HYPERLINK("Melting_Curves/meltCurve_Q8WU58_FAM222B.pdf", "Melting_Curves/meltCurve_Q8WU58_FAM222B.pdf")</f>
        <v>Melting_Curves/meltCurve_Q8WU58_FAM222B.pdf</v>
      </c>
    </row>
    <row r="4371" spans="1:28" x14ac:dyDescent="0.25">
      <c r="A4371" t="s">
        <v>4375</v>
      </c>
      <c r="B4371">
        <v>0.99987803227770999</v>
      </c>
      <c r="C4371">
        <v>0.98726629649257003</v>
      </c>
      <c r="D4371">
        <v>1.01080043637229</v>
      </c>
      <c r="E4371">
        <v>0.81040569375609695</v>
      </c>
      <c r="F4371">
        <v>0.47972057143711</v>
      </c>
      <c r="G4371">
        <v>0.26277606160136002</v>
      </c>
      <c r="H4371">
        <v>0.16624766844596001</v>
      </c>
      <c r="I4371">
        <v>0.16240541991652499</v>
      </c>
      <c r="J4371">
        <v>9.3335700896867199E-2</v>
      </c>
      <c r="K4371">
        <v>6.0331294610452599E-2</v>
      </c>
      <c r="L4371">
        <v>1213.91583194695</v>
      </c>
      <c r="M4371">
        <v>23.076776374053701</v>
      </c>
      <c r="N4371">
        <v>53.161525503270497</v>
      </c>
      <c r="O4371">
        <v>52.213115415504603</v>
      </c>
      <c r="P4371">
        <v>-9.8607415654127797E-2</v>
      </c>
      <c r="Q4371">
        <v>0.107586750912982</v>
      </c>
      <c r="R4371">
        <v>0.99382062852130104</v>
      </c>
      <c r="S4371" t="s">
        <v>10682</v>
      </c>
      <c r="T4371" t="s">
        <v>12620</v>
      </c>
      <c r="U4371" t="s">
        <v>12620</v>
      </c>
      <c r="V4371" t="s">
        <v>12620</v>
      </c>
      <c r="W4371" t="s">
        <v>16939</v>
      </c>
      <c r="X4371">
        <v>7</v>
      </c>
      <c r="Y4371" t="s">
        <v>23053</v>
      </c>
      <c r="Z4371" t="s">
        <v>29318</v>
      </c>
      <c r="AA4371">
        <v>0.49201769856424032</v>
      </c>
      <c r="AB4371" t="str">
        <f>HYPERLINK("Melting_Curves/meltCurve_Q8WU79_2_SMAP2.pdf", "Melting_Curves/meltCurve_Q8WU79_2_SMAP2.pdf")</f>
        <v>Melting_Curves/meltCurve_Q8WU79_2_SMAP2.pdf</v>
      </c>
    </row>
    <row r="4372" spans="1:28" x14ac:dyDescent="0.25">
      <c r="A4372" t="s">
        <v>4376</v>
      </c>
      <c r="B4372">
        <v>0.99987803227770999</v>
      </c>
      <c r="C4372">
        <v>0.95107059304605901</v>
      </c>
      <c r="D4372">
        <v>0.97751773737722403</v>
      </c>
      <c r="E4372">
        <v>0.88978553078412204</v>
      </c>
      <c r="F4372">
        <v>0.85527675156153604</v>
      </c>
      <c r="G4372">
        <v>0.66089939361170003</v>
      </c>
      <c r="H4372">
        <v>0.61255926328321497</v>
      </c>
      <c r="I4372">
        <v>0.51560120332940296</v>
      </c>
      <c r="J4372">
        <v>0.53530946795907797</v>
      </c>
      <c r="K4372">
        <v>0.431221239080611</v>
      </c>
      <c r="L4372">
        <v>639.87239257874796</v>
      </c>
      <c r="M4372">
        <v>11.186852017070899</v>
      </c>
      <c r="N4372">
        <v>66.200510519508398</v>
      </c>
      <c r="O4372">
        <v>55.4621662327284</v>
      </c>
      <c r="P4372">
        <v>-3.0730345892989001E-2</v>
      </c>
      <c r="Q4372">
        <v>0.39077306875986501</v>
      </c>
      <c r="R4372">
        <v>0.98108067206789096</v>
      </c>
      <c r="S4372" t="s">
        <v>10683</v>
      </c>
      <c r="T4372" t="s">
        <v>12620</v>
      </c>
      <c r="U4372" t="s">
        <v>12620</v>
      </c>
      <c r="V4372" t="s">
        <v>12620</v>
      </c>
      <c r="W4372" t="s">
        <v>16940</v>
      </c>
      <c r="X4372">
        <v>13</v>
      </c>
      <c r="Y4372" t="s">
        <v>23054</v>
      </c>
      <c r="Z4372" t="s">
        <v>29319</v>
      </c>
      <c r="AA4372">
        <v>0.74963455692188374</v>
      </c>
      <c r="AB4372" t="str">
        <f>HYPERLINK("Melting_Curves/meltCurve_Q8WU90_ZC3H15.pdf", "Melting_Curves/meltCurve_Q8WU90_ZC3H15.pdf")</f>
        <v>Melting_Curves/meltCurve_Q8WU90_ZC3H15.pdf</v>
      </c>
    </row>
    <row r="4373" spans="1:28" x14ac:dyDescent="0.25">
      <c r="A4373" t="s">
        <v>4377</v>
      </c>
      <c r="B4373">
        <v>0.99987803227770999</v>
      </c>
      <c r="C4373">
        <v>0.97754014947369805</v>
      </c>
      <c r="D4373">
        <v>0.95578539297196496</v>
      </c>
      <c r="E4373">
        <v>0.81071828636046706</v>
      </c>
      <c r="F4373">
        <v>0.43458508475865698</v>
      </c>
      <c r="G4373">
        <v>0.206512450833195</v>
      </c>
      <c r="H4373">
        <v>0.152548476292202</v>
      </c>
      <c r="I4373">
        <v>0.149160560574774</v>
      </c>
      <c r="J4373">
        <v>9.7456169472915105E-2</v>
      </c>
      <c r="K4373">
        <v>6.9269833079639298E-2</v>
      </c>
      <c r="L4373">
        <v>1416.8908083655299</v>
      </c>
      <c r="M4373">
        <v>27.1831849412089</v>
      </c>
      <c r="N4373">
        <v>52.6140782861142</v>
      </c>
      <c r="O4373">
        <v>51.844156691191401</v>
      </c>
      <c r="P4373">
        <v>-0.116416405427752</v>
      </c>
      <c r="Q4373">
        <v>0.111884476524882</v>
      </c>
      <c r="R4373">
        <v>0.99595724235529004</v>
      </c>
      <c r="S4373" t="s">
        <v>10684</v>
      </c>
      <c r="T4373" t="s">
        <v>12620</v>
      </c>
      <c r="U4373" t="s">
        <v>12620</v>
      </c>
      <c r="V4373" t="s">
        <v>12620</v>
      </c>
      <c r="W4373" t="s">
        <v>16941</v>
      </c>
      <c r="X4373">
        <v>6</v>
      </c>
      <c r="Y4373" t="s">
        <v>23055</v>
      </c>
      <c r="Z4373" t="s">
        <v>29320</v>
      </c>
      <c r="AA4373">
        <v>0.47769786475603498</v>
      </c>
      <c r="AB4373" t="str">
        <f>HYPERLINK("Melting_Curves/meltCurve_Q8WUA2_PPIL4.pdf", "Melting_Curves/meltCurve_Q8WUA2_PPIL4.pdf")</f>
        <v>Melting_Curves/meltCurve_Q8WUA2_PPIL4.pdf</v>
      </c>
    </row>
    <row r="4374" spans="1:28" x14ac:dyDescent="0.25">
      <c r="A4374" t="s">
        <v>4378</v>
      </c>
      <c r="B4374">
        <v>0.99987803227770999</v>
      </c>
      <c r="C4374">
        <v>1.1650885085296601</v>
      </c>
      <c r="D4374">
        <v>0.99835940403314605</v>
      </c>
      <c r="E4374">
        <v>1.12311695548357</v>
      </c>
      <c r="F4374">
        <v>0.98346760495502406</v>
      </c>
      <c r="G4374">
        <v>0.721638809119452</v>
      </c>
      <c r="H4374">
        <v>0.96315581248520898</v>
      </c>
      <c r="I4374">
        <v>1.0929500004434001</v>
      </c>
      <c r="J4374">
        <v>0.82897900270029501</v>
      </c>
      <c r="K4374">
        <v>0.50587934760622</v>
      </c>
      <c r="L4374">
        <v>15000</v>
      </c>
      <c r="M4374">
        <v>223.244169776652</v>
      </c>
      <c r="O4374">
        <v>67.185612395112599</v>
      </c>
      <c r="P4374">
        <v>-0.410519093270448</v>
      </c>
      <c r="Q4374">
        <v>0.50581506073134297</v>
      </c>
      <c r="R4374">
        <v>0.643799589130713</v>
      </c>
      <c r="S4374" t="s">
        <v>10685</v>
      </c>
      <c r="T4374" t="s">
        <v>12620</v>
      </c>
      <c r="U4374" t="s">
        <v>12620</v>
      </c>
      <c r="V4374" t="s">
        <v>12620</v>
      </c>
      <c r="W4374" t="s">
        <v>16942</v>
      </c>
      <c r="X4374">
        <v>4</v>
      </c>
      <c r="Y4374" t="s">
        <v>23056</v>
      </c>
      <c r="Z4374" t="s">
        <v>29321</v>
      </c>
      <c r="AA4374">
        <v>0.95380027432346426</v>
      </c>
      <c r="AB4374" t="str">
        <f>HYPERLINK("Melting_Curves/meltCurve_Q8WUA4_GTF3C2.pdf", "Melting_Curves/meltCurve_Q8WUA4_GTF3C2.pdf")</f>
        <v>Melting_Curves/meltCurve_Q8WUA4_GTF3C2.pdf</v>
      </c>
    </row>
    <row r="4375" spans="1:28" x14ac:dyDescent="0.25">
      <c r="A4375" t="s">
        <v>4379</v>
      </c>
      <c r="B4375">
        <v>0.99987803227770999</v>
      </c>
      <c r="C4375">
        <v>0.84132396064805004</v>
      </c>
      <c r="D4375">
        <v>0.61213256989520604</v>
      </c>
      <c r="E4375">
        <v>0.61373537173835302</v>
      </c>
      <c r="F4375">
        <v>0.34184304293399798</v>
      </c>
      <c r="G4375">
        <v>0.45790214401977802</v>
      </c>
      <c r="H4375">
        <v>0.205865221763464</v>
      </c>
      <c r="I4375">
        <v>0.32646855115863699</v>
      </c>
      <c r="J4375">
        <v>8.9200991421707496E-2</v>
      </c>
      <c r="K4375">
        <v>9.3894597028206295E-2</v>
      </c>
      <c r="L4375">
        <v>383.51307855945799</v>
      </c>
      <c r="M4375">
        <v>7.4253406817150598</v>
      </c>
      <c r="N4375">
        <v>51.759873650283801</v>
      </c>
      <c r="O4375">
        <v>48.300264272810601</v>
      </c>
      <c r="P4375">
        <v>-3.8187486341301299E-2</v>
      </c>
      <c r="Q4375">
        <v>7.8743198924820998E-3</v>
      </c>
      <c r="R4375">
        <v>0.91026795690284101</v>
      </c>
      <c r="S4375" t="s">
        <v>10686</v>
      </c>
      <c r="T4375" t="s">
        <v>12620</v>
      </c>
      <c r="U4375" t="s">
        <v>12620</v>
      </c>
      <c r="V4375" t="s">
        <v>12620</v>
      </c>
      <c r="W4375" t="s">
        <v>16943</v>
      </c>
      <c r="X4375">
        <v>1</v>
      </c>
      <c r="Y4375" t="s">
        <v>23057</v>
      </c>
      <c r="Z4375" t="s">
        <v>29322</v>
      </c>
      <c r="AA4375">
        <v>0.44536323526094829</v>
      </c>
      <c r="AB4375" t="str">
        <f>HYPERLINK("Melting_Curves/meltCurve_Q8WUA8_TSKU.pdf", "Melting_Curves/meltCurve_Q8WUA8_TSKU.pdf")</f>
        <v>Melting_Curves/meltCurve_Q8WUA8_TSKU.pdf</v>
      </c>
    </row>
    <row r="4376" spans="1:28" x14ac:dyDescent="0.25">
      <c r="A4376" t="s">
        <v>4380</v>
      </c>
      <c r="B4376">
        <v>0.99987803227770999</v>
      </c>
      <c r="C4376">
        <v>1.05679980158058</v>
      </c>
      <c r="D4376">
        <v>0.98476554983015296</v>
      </c>
      <c r="E4376">
        <v>0.84789843544436405</v>
      </c>
      <c r="F4376">
        <v>0.85511071881633405</v>
      </c>
      <c r="G4376">
        <v>0.353749355109507</v>
      </c>
      <c r="H4376">
        <v>0.37248376087252699</v>
      </c>
      <c r="I4376">
        <v>0.29324982234802399</v>
      </c>
      <c r="J4376">
        <v>0.36069717810417301</v>
      </c>
      <c r="K4376">
        <v>0.33375143425009202</v>
      </c>
      <c r="L4376">
        <v>2759.0332710297798</v>
      </c>
      <c r="M4376">
        <v>50.948719045712402</v>
      </c>
      <c r="N4376">
        <v>55.348274527761802</v>
      </c>
      <c r="O4376">
        <v>54.069908695019997</v>
      </c>
      <c r="P4376">
        <v>-0.15698629707846701</v>
      </c>
      <c r="Q4376">
        <v>0.33358654065153998</v>
      </c>
      <c r="R4376">
        <v>0.96997060191218198</v>
      </c>
      <c r="S4376" t="s">
        <v>10687</v>
      </c>
      <c r="T4376" t="s">
        <v>12620</v>
      </c>
      <c r="U4376" t="s">
        <v>12620</v>
      </c>
      <c r="V4376" t="s">
        <v>12620</v>
      </c>
      <c r="W4376" t="s">
        <v>16944</v>
      </c>
      <c r="X4376">
        <v>5</v>
      </c>
      <c r="Y4376" t="s">
        <v>23058</v>
      </c>
      <c r="Z4376" t="s">
        <v>29323</v>
      </c>
      <c r="AA4376">
        <v>0.64951379058274294</v>
      </c>
      <c r="AB4376" t="str">
        <f>HYPERLINK("Melting_Curves/meltCurve_Q8WUB8_3_PHF10.pdf", "Melting_Curves/meltCurve_Q8WUB8_3_PHF10.pdf")</f>
        <v>Melting_Curves/meltCurve_Q8WUB8_3_PHF10.pdf</v>
      </c>
    </row>
    <row r="4377" spans="1:28" x14ac:dyDescent="0.25">
      <c r="A4377" t="s">
        <v>4381</v>
      </c>
      <c r="B4377">
        <v>0.99987803227770999</v>
      </c>
      <c r="C4377">
        <v>0.92048594078799995</v>
      </c>
      <c r="D4377">
        <v>0.92864630941917103</v>
      </c>
      <c r="E4377">
        <v>0.89147388435948904</v>
      </c>
      <c r="F4377">
        <v>0.90542656049779702</v>
      </c>
      <c r="G4377">
        <v>0.69353349713156998</v>
      </c>
      <c r="H4377">
        <v>0.540049229031211</v>
      </c>
      <c r="I4377">
        <v>0.32837144167576199</v>
      </c>
      <c r="J4377">
        <v>7.1726434551543899E-2</v>
      </c>
      <c r="K4377">
        <v>4.5350216244318703E-2</v>
      </c>
      <c r="L4377">
        <v>1004.35730377696</v>
      </c>
      <c r="M4377">
        <v>16.612213882300601</v>
      </c>
      <c r="N4377">
        <v>60.458967778650603</v>
      </c>
      <c r="O4377">
        <v>59.603240429398603</v>
      </c>
      <c r="P4377">
        <v>-6.9683033099379996E-2</v>
      </c>
      <c r="Q4377">
        <v>0</v>
      </c>
      <c r="R4377">
        <v>0.96938791025313498</v>
      </c>
      <c r="S4377" t="s">
        <v>10688</v>
      </c>
      <c r="T4377" t="s">
        <v>12620</v>
      </c>
      <c r="U4377" t="s">
        <v>12620</v>
      </c>
      <c r="V4377" t="s">
        <v>12620</v>
      </c>
      <c r="W4377" t="s">
        <v>16945</v>
      </c>
      <c r="X4377">
        <v>8</v>
      </c>
      <c r="Y4377" t="s">
        <v>23059</v>
      </c>
      <c r="Z4377" t="s">
        <v>29324</v>
      </c>
      <c r="AA4377">
        <v>0.68829536725155127</v>
      </c>
      <c r="AB4377" t="str">
        <f>HYPERLINK("Melting_Curves/meltCurve_Q8WUD1_RAB2B.pdf", "Melting_Curves/meltCurve_Q8WUD1_RAB2B.pdf")</f>
        <v>Melting_Curves/meltCurve_Q8WUD1_RAB2B.pdf</v>
      </c>
    </row>
    <row r="4378" spans="1:28" x14ac:dyDescent="0.25">
      <c r="A4378" t="s">
        <v>4382</v>
      </c>
      <c r="B4378">
        <v>0.99987803227770999</v>
      </c>
      <c r="C4378">
        <v>0.95912656848676703</v>
      </c>
      <c r="D4378">
        <v>1.01124125463839</v>
      </c>
      <c r="E4378">
        <v>0.94744086178818299</v>
      </c>
      <c r="F4378">
        <v>1.2348754136473901</v>
      </c>
      <c r="G4378">
        <v>0.93475308419418801</v>
      </c>
      <c r="H4378">
        <v>0.99291165595699005</v>
      </c>
      <c r="I4378">
        <v>0.91862311470182301</v>
      </c>
      <c r="J4378">
        <v>1.09714325453081</v>
      </c>
      <c r="K4378">
        <v>0.88233331176011298</v>
      </c>
      <c r="L4378">
        <v>15000</v>
      </c>
      <c r="M4378">
        <v>212.270918522789</v>
      </c>
      <c r="Q4378">
        <v>0</v>
      </c>
      <c r="R4378">
        <v>0.146944188140364</v>
      </c>
      <c r="S4378" t="s">
        <v>10689</v>
      </c>
      <c r="T4378" t="s">
        <v>12620</v>
      </c>
      <c r="U4378" t="s">
        <v>12620</v>
      </c>
      <c r="V4378" t="s">
        <v>12620</v>
      </c>
      <c r="W4378" t="s">
        <v>16946</v>
      </c>
      <c r="X4378">
        <v>7</v>
      </c>
      <c r="Y4378" t="s">
        <v>23060</v>
      </c>
      <c r="Z4378" t="s">
        <v>29325</v>
      </c>
      <c r="AA4378">
        <v>0.99864991699345396</v>
      </c>
      <c r="AB4378" t="str">
        <f>HYPERLINK("Melting_Curves/meltCurve_Q8WUD4_CCDC12.pdf", "Melting_Curves/meltCurve_Q8WUD4_CCDC12.pdf")</f>
        <v>Melting_Curves/meltCurve_Q8WUD4_CCDC12.pdf</v>
      </c>
    </row>
    <row r="4379" spans="1:28" x14ac:dyDescent="0.25">
      <c r="A4379" t="s">
        <v>4383</v>
      </c>
      <c r="B4379">
        <v>0.99987803227770999</v>
      </c>
      <c r="C4379">
        <v>0.95201748130084096</v>
      </c>
      <c r="D4379">
        <v>1.0467398269527901</v>
      </c>
      <c r="E4379">
        <v>0.93137343551807406</v>
      </c>
      <c r="F4379">
        <v>0.86149160113146095</v>
      </c>
      <c r="G4379">
        <v>0.63084235984845305</v>
      </c>
      <c r="H4379">
        <v>0.48888975706768201</v>
      </c>
      <c r="I4379">
        <v>0.485320510061721</v>
      </c>
      <c r="J4379">
        <v>0.398394212394175</v>
      </c>
      <c r="K4379">
        <v>0.36171842646246699</v>
      </c>
      <c r="L4379">
        <v>1022.81364525315</v>
      </c>
      <c r="M4379">
        <v>18.164487541759701</v>
      </c>
      <c r="N4379">
        <v>60.854170882768301</v>
      </c>
      <c r="O4379">
        <v>55.639269640305002</v>
      </c>
      <c r="P4379">
        <v>-5.1317875344029998E-2</v>
      </c>
      <c r="Q4379">
        <v>0.37126699886891501</v>
      </c>
      <c r="R4379">
        <v>0.98545674654305304</v>
      </c>
      <c r="S4379" t="s">
        <v>10690</v>
      </c>
      <c r="T4379" t="s">
        <v>12620</v>
      </c>
      <c r="U4379" t="s">
        <v>12620</v>
      </c>
      <c r="V4379" t="s">
        <v>12620</v>
      </c>
      <c r="W4379" t="s">
        <v>16947</v>
      </c>
      <c r="X4379">
        <v>20</v>
      </c>
      <c r="Y4379" t="s">
        <v>23061</v>
      </c>
      <c r="Z4379" t="s">
        <v>29326</v>
      </c>
      <c r="AA4379">
        <v>0.72204820096603406</v>
      </c>
      <c r="AB4379" t="str">
        <f>HYPERLINK("Melting_Curves/meltCurve_Q8WUF5_PPP1R13L.pdf", "Melting_Curves/meltCurve_Q8WUF5_PPP1R13L.pdf")</f>
        <v>Melting_Curves/meltCurve_Q8WUF5_PPP1R13L.pdf</v>
      </c>
    </row>
    <row r="4380" spans="1:28" x14ac:dyDescent="0.25">
      <c r="A4380" t="s">
        <v>4384</v>
      </c>
      <c r="B4380">
        <v>0.99987803227770999</v>
      </c>
      <c r="C4380">
        <v>0.94385093551565602</v>
      </c>
      <c r="D4380">
        <v>0.97797118575719</v>
      </c>
      <c r="E4380">
        <v>0.83038475130028599</v>
      </c>
      <c r="F4380">
        <v>0.60231763310709097</v>
      </c>
      <c r="G4380">
        <v>0.369921328249319</v>
      </c>
      <c r="H4380">
        <v>0.26678056500866798</v>
      </c>
      <c r="I4380">
        <v>0.20516429927132801</v>
      </c>
      <c r="J4380">
        <v>0.14788459814997401</v>
      </c>
      <c r="K4380">
        <v>0.106851971714102</v>
      </c>
      <c r="L4380">
        <v>857.92436820008402</v>
      </c>
      <c r="M4380">
        <v>15.8674728583362</v>
      </c>
      <c r="N4380">
        <v>54.9484497844918</v>
      </c>
      <c r="O4380">
        <v>53.231203553487397</v>
      </c>
      <c r="P4380">
        <v>-6.6162768495645896E-2</v>
      </c>
      <c r="Q4380">
        <v>0.112237099369558</v>
      </c>
      <c r="R4380">
        <v>0.99491923007343896</v>
      </c>
      <c r="S4380" t="s">
        <v>10691</v>
      </c>
      <c r="T4380" t="s">
        <v>12620</v>
      </c>
      <c r="U4380" t="s">
        <v>12620</v>
      </c>
      <c r="V4380" t="s">
        <v>12620</v>
      </c>
      <c r="W4380" t="s">
        <v>16948</v>
      </c>
      <c r="X4380">
        <v>5</v>
      </c>
      <c r="Y4380" t="s">
        <v>23062</v>
      </c>
      <c r="Z4380" t="s">
        <v>29327</v>
      </c>
      <c r="AA4380">
        <v>0.54544082249998971</v>
      </c>
      <c r="AB4380" t="str">
        <f>HYPERLINK("Melting_Curves/meltCurve_Q8WUF8_FAM172A.pdf", "Melting_Curves/meltCurve_Q8WUF8_FAM172A.pdf")</f>
        <v>Melting_Curves/meltCurve_Q8WUF8_FAM172A.pdf</v>
      </c>
    </row>
    <row r="4381" spans="1:28" x14ac:dyDescent="0.25">
      <c r="A4381" t="s">
        <v>4385</v>
      </c>
      <c r="B4381">
        <v>0.99987803227770999</v>
      </c>
      <c r="C4381">
        <v>0.97975232719326899</v>
      </c>
      <c r="D4381">
        <v>0.937571480207123</v>
      </c>
      <c r="E4381">
        <v>0.81360391808639598</v>
      </c>
      <c r="F4381">
        <v>0.72482177534595604</v>
      </c>
      <c r="G4381">
        <v>0.54107745486641601</v>
      </c>
      <c r="H4381">
        <v>0.52016121107598601</v>
      </c>
      <c r="I4381">
        <v>0.52702400282373396</v>
      </c>
      <c r="J4381">
        <v>0.35180813357688101</v>
      </c>
      <c r="K4381">
        <v>0.196406989109466</v>
      </c>
      <c r="L4381">
        <v>436.73466932562201</v>
      </c>
      <c r="M4381">
        <v>7.1788386152496999</v>
      </c>
      <c r="N4381">
        <v>60.836396063165601</v>
      </c>
      <c r="O4381">
        <v>56.646756323193799</v>
      </c>
      <c r="P4381">
        <v>-3.1736017584314297E-2</v>
      </c>
      <c r="Q4381">
        <v>0</v>
      </c>
      <c r="R4381">
        <v>0.95676115852536203</v>
      </c>
      <c r="S4381" t="s">
        <v>10692</v>
      </c>
      <c r="T4381" t="s">
        <v>12620</v>
      </c>
      <c r="U4381" t="s">
        <v>12620</v>
      </c>
      <c r="V4381" t="s">
        <v>12620</v>
      </c>
      <c r="W4381" t="s">
        <v>16949</v>
      </c>
      <c r="X4381">
        <v>4</v>
      </c>
      <c r="Y4381" t="s">
        <v>23063</v>
      </c>
      <c r="Z4381" t="s">
        <v>29328</v>
      </c>
      <c r="AA4381">
        <v>0.66321721943320677</v>
      </c>
      <c r="AB4381" t="str">
        <f>HYPERLINK("Melting_Curves/meltCurve_Q8WUH1_CHURC1.pdf", "Melting_Curves/meltCurve_Q8WUH1_CHURC1.pdf")</f>
        <v>Melting_Curves/meltCurve_Q8WUH1_CHURC1.pdf</v>
      </c>
    </row>
    <row r="4382" spans="1:28" x14ac:dyDescent="0.25">
      <c r="A4382" t="s">
        <v>4386</v>
      </c>
      <c r="B4382">
        <v>0.99987803227770999</v>
      </c>
      <c r="C4382">
        <v>0.96909725168344196</v>
      </c>
      <c r="D4382">
        <v>0.91825877962235603</v>
      </c>
      <c r="E4382">
        <v>0.92715316445774498</v>
      </c>
      <c r="F4382">
        <v>0.38551870146656703</v>
      </c>
      <c r="G4382">
        <v>0.22252978345692701</v>
      </c>
      <c r="H4382">
        <v>0.136300502005718</v>
      </c>
      <c r="I4382">
        <v>0.107570432000786</v>
      </c>
      <c r="J4382">
        <v>6.2001222063032997E-2</v>
      </c>
      <c r="K4382">
        <v>5.1210161337024301E-2</v>
      </c>
      <c r="L4382">
        <v>2477.8600365901798</v>
      </c>
      <c r="M4382">
        <v>47.461275412955601</v>
      </c>
      <c r="N4382">
        <v>52.483346326162703</v>
      </c>
      <c r="O4382">
        <v>52.115619346816203</v>
      </c>
      <c r="P4382">
        <v>-0.20258483100993599</v>
      </c>
      <c r="Q4382">
        <v>0.11019504857734901</v>
      </c>
      <c r="R4382">
        <v>0.98491061701944604</v>
      </c>
      <c r="S4382" t="s">
        <v>10693</v>
      </c>
      <c r="T4382" t="s">
        <v>12620</v>
      </c>
      <c r="U4382" t="s">
        <v>12620</v>
      </c>
      <c r="V4382" t="s">
        <v>12620</v>
      </c>
      <c r="W4382" t="s">
        <v>16950</v>
      </c>
      <c r="X4382">
        <v>3</v>
      </c>
      <c r="Y4382" t="s">
        <v>23064</v>
      </c>
      <c r="Z4382" t="s">
        <v>29329</v>
      </c>
      <c r="AA4382">
        <v>0.47456274274406451</v>
      </c>
      <c r="AB4382" t="str">
        <f>HYPERLINK("Melting_Curves/meltCurve_Q8WUH2_TGFBRAP1.pdf", "Melting_Curves/meltCurve_Q8WUH2_TGFBRAP1.pdf")</f>
        <v>Melting_Curves/meltCurve_Q8WUH2_TGFBRAP1.pdf</v>
      </c>
    </row>
    <row r="4383" spans="1:28" x14ac:dyDescent="0.25">
      <c r="A4383" t="s">
        <v>4387</v>
      </c>
      <c r="B4383">
        <v>0.99987803227770999</v>
      </c>
      <c r="C4383">
        <v>0.86112287838927803</v>
      </c>
      <c r="D4383">
        <v>1.0778341457201599</v>
      </c>
      <c r="E4383">
        <v>0.92463423160873504</v>
      </c>
      <c r="F4383">
        <v>0.97214387619859399</v>
      </c>
      <c r="G4383">
        <v>0.56448182222052401</v>
      </c>
      <c r="H4383">
        <v>0.56782919088879602</v>
      </c>
      <c r="I4383">
        <v>0.59431729971422897</v>
      </c>
      <c r="J4383">
        <v>0.32251980140828401</v>
      </c>
      <c r="K4383">
        <v>0.34062673731068599</v>
      </c>
      <c r="L4383">
        <v>811.58753012162094</v>
      </c>
      <c r="M4383">
        <v>13.8759175976067</v>
      </c>
      <c r="N4383">
        <v>62.453537493144303</v>
      </c>
      <c r="O4383">
        <v>57.314294511526803</v>
      </c>
      <c r="P4383">
        <v>-4.2810376252872102E-2</v>
      </c>
      <c r="Q4383">
        <v>0.292786120559548</v>
      </c>
      <c r="R4383">
        <v>0.87831149942447795</v>
      </c>
      <c r="S4383" t="s">
        <v>10694</v>
      </c>
      <c r="T4383" t="s">
        <v>12620</v>
      </c>
      <c r="U4383" t="s">
        <v>12620</v>
      </c>
      <c r="V4383" t="s">
        <v>12620</v>
      </c>
      <c r="W4383" t="s">
        <v>16951</v>
      </c>
      <c r="X4383">
        <v>3</v>
      </c>
      <c r="Y4383" t="s">
        <v>23065</v>
      </c>
      <c r="Z4383" t="s">
        <v>29330</v>
      </c>
      <c r="AA4383">
        <v>0.73700289247746298</v>
      </c>
      <c r="AB4383" t="str">
        <f>HYPERLINK("Melting_Curves/meltCurve_Q8WUH6_C12orf23.pdf", "Melting_Curves/meltCurve_Q8WUH6_C12orf23.pdf")</f>
        <v>Melting_Curves/meltCurve_Q8WUH6_C12orf23.pdf</v>
      </c>
    </row>
    <row r="4384" spans="1:28" x14ac:dyDescent="0.25">
      <c r="A4384" t="s">
        <v>4388</v>
      </c>
      <c r="B4384">
        <v>0.99987803227770999</v>
      </c>
      <c r="C4384">
        <v>1.0979680385761801</v>
      </c>
      <c r="D4384">
        <v>1.0197847435162699</v>
      </c>
      <c r="E4384">
        <v>1.0009305635762999</v>
      </c>
      <c r="F4384">
        <v>0.83250467332350198</v>
      </c>
      <c r="G4384">
        <v>0.64191897427849798</v>
      </c>
      <c r="H4384">
        <v>0.497960414433475</v>
      </c>
      <c r="I4384">
        <v>0.40710435412734902</v>
      </c>
      <c r="J4384">
        <v>0.31772399612471702</v>
      </c>
      <c r="K4384">
        <v>0.22814783437050901</v>
      </c>
      <c r="L4384">
        <v>862.59479669351504</v>
      </c>
      <c r="M4384">
        <v>14.719829931406201</v>
      </c>
      <c r="N4384">
        <v>60.633071119965301</v>
      </c>
      <c r="O4384">
        <v>57.551188175410701</v>
      </c>
      <c r="P4384">
        <v>-5.1497519328134997E-2</v>
      </c>
      <c r="Q4384">
        <v>0.19471323279262301</v>
      </c>
      <c r="R4384">
        <v>0.97934790497260005</v>
      </c>
      <c r="S4384" t="s">
        <v>10695</v>
      </c>
      <c r="T4384" t="s">
        <v>12620</v>
      </c>
      <c r="U4384" t="s">
        <v>12620</v>
      </c>
      <c r="V4384" t="s">
        <v>12620</v>
      </c>
      <c r="W4384" t="s">
        <v>16952</v>
      </c>
      <c r="X4384">
        <v>10</v>
      </c>
      <c r="Y4384" t="s">
        <v>23066</v>
      </c>
      <c r="Z4384" t="s">
        <v>29331</v>
      </c>
      <c r="AA4384">
        <v>0.70342676060451614</v>
      </c>
      <c r="AB4384" t="str">
        <f>HYPERLINK("Melting_Curves/meltCurve_Q8WUI4_3_HDAC7.pdf", "Melting_Curves/meltCurve_Q8WUI4_3_HDAC7.pdf")</f>
        <v>Melting_Curves/meltCurve_Q8WUI4_3_HDAC7.pdf</v>
      </c>
    </row>
    <row r="4385" spans="1:28" x14ac:dyDescent="0.25">
      <c r="A4385" t="s">
        <v>4389</v>
      </c>
      <c r="B4385">
        <v>0.99987803227770999</v>
      </c>
      <c r="C4385">
        <v>0.89972767786222096</v>
      </c>
      <c r="D4385">
        <v>1.0102875894433101</v>
      </c>
      <c r="E4385">
        <v>0.831859987252766</v>
      </c>
      <c r="F4385">
        <v>0.50381276595397995</v>
      </c>
      <c r="G4385">
        <v>0.19657967112875199</v>
      </c>
      <c r="H4385">
        <v>0.13989783703309</v>
      </c>
      <c r="I4385">
        <v>0.13362791542035399</v>
      </c>
      <c r="J4385">
        <v>6.2038298185252E-2</v>
      </c>
      <c r="K4385">
        <v>5.2328108969567501E-2</v>
      </c>
      <c r="L4385">
        <v>1376.7059867400001</v>
      </c>
      <c r="M4385">
        <v>26.1032582010486</v>
      </c>
      <c r="N4385">
        <v>53.121566323107899</v>
      </c>
      <c r="O4385">
        <v>52.434143419534799</v>
      </c>
      <c r="P4385">
        <v>-0.113839061042557</v>
      </c>
      <c r="Q4385">
        <v>8.5326832270939207E-2</v>
      </c>
      <c r="R4385">
        <v>0.99022084159553703</v>
      </c>
      <c r="S4385" t="s">
        <v>10696</v>
      </c>
      <c r="T4385" t="s">
        <v>12620</v>
      </c>
      <c r="U4385" t="s">
        <v>12620</v>
      </c>
      <c r="V4385" t="s">
        <v>12620</v>
      </c>
      <c r="W4385" t="s">
        <v>16953</v>
      </c>
      <c r="X4385">
        <v>3</v>
      </c>
      <c r="Y4385" t="s">
        <v>23067</v>
      </c>
      <c r="Z4385" t="s">
        <v>29332</v>
      </c>
      <c r="AA4385">
        <v>0.48152412377187148</v>
      </c>
      <c r="AB4385" t="str">
        <f>HYPERLINK("Melting_Curves/meltCurve_Q8WUJ0_STYX.pdf", "Melting_Curves/meltCurve_Q8WUJ0_STYX.pdf")</f>
        <v>Melting_Curves/meltCurve_Q8WUJ0_STYX.pdf</v>
      </c>
    </row>
    <row r="4386" spans="1:28" x14ac:dyDescent="0.25">
      <c r="A4386" t="s">
        <v>4390</v>
      </c>
      <c r="B4386">
        <v>0.99987803227770999</v>
      </c>
      <c r="C4386">
        <v>1.04237425460045</v>
      </c>
      <c r="D4386">
        <v>0.81120080009968298</v>
      </c>
      <c r="E4386">
        <v>0.55435132742342197</v>
      </c>
      <c r="F4386">
        <v>0.34992551210936201</v>
      </c>
      <c r="G4386">
        <v>0.15684867490365401</v>
      </c>
      <c r="H4386">
        <v>8.3085700008923402E-2</v>
      </c>
      <c r="I4386">
        <v>7.8974030953157304E-2</v>
      </c>
      <c r="J4386">
        <v>5.57385725884528E-2</v>
      </c>
      <c r="K4386">
        <v>3.8810515008650598E-2</v>
      </c>
      <c r="L4386">
        <v>876.65319186887905</v>
      </c>
      <c r="M4386">
        <v>17.367158380506201</v>
      </c>
      <c r="N4386">
        <v>50.739069424789101</v>
      </c>
      <c r="O4386">
        <v>49.822648797228297</v>
      </c>
      <c r="P4386">
        <v>-8.3420021181020501E-2</v>
      </c>
      <c r="Q4386">
        <v>4.2797901940510003E-2</v>
      </c>
      <c r="R4386">
        <v>0.99356622914659398</v>
      </c>
      <c r="S4386" t="s">
        <v>10697</v>
      </c>
      <c r="T4386" t="s">
        <v>12620</v>
      </c>
      <c r="U4386" t="s">
        <v>12620</v>
      </c>
      <c r="V4386" t="s">
        <v>12620</v>
      </c>
      <c r="W4386" t="s">
        <v>16954</v>
      </c>
      <c r="X4386">
        <v>16</v>
      </c>
      <c r="Y4386" t="s">
        <v>23068</v>
      </c>
      <c r="Z4386" t="s">
        <v>29333</v>
      </c>
      <c r="AA4386">
        <v>0.39443814876749189</v>
      </c>
      <c r="AB4386" t="str">
        <f>HYPERLINK("Melting_Curves/meltCurve_Q8WUM0_NUP133.pdf", "Melting_Curves/meltCurve_Q8WUM0_NUP133.pdf")</f>
        <v>Melting_Curves/meltCurve_Q8WUM0_NUP133.pdf</v>
      </c>
    </row>
    <row r="4387" spans="1:28" x14ac:dyDescent="0.25">
      <c r="A4387" t="s">
        <v>4391</v>
      </c>
      <c r="B4387">
        <v>0.99987803227770999</v>
      </c>
      <c r="C4387">
        <v>0.77909975427921996</v>
      </c>
      <c r="D4387">
        <v>1.1781240084475799</v>
      </c>
      <c r="E4387">
        <v>0.66638388074198496</v>
      </c>
      <c r="F4387">
        <v>0.15169383304404199</v>
      </c>
      <c r="G4387">
        <v>0.10000215344242799</v>
      </c>
      <c r="H4387">
        <v>6.7715422155395402E-2</v>
      </c>
      <c r="I4387">
        <v>5.7652035383900603E-2</v>
      </c>
      <c r="J4387">
        <v>4.3661535587267597E-2</v>
      </c>
      <c r="K4387">
        <v>3.0887880109438701E-2</v>
      </c>
      <c r="L4387">
        <v>2715.19634249411</v>
      </c>
      <c r="M4387">
        <v>53.667893222940698</v>
      </c>
      <c r="N4387">
        <v>50.717122983211503</v>
      </c>
      <c r="O4387">
        <v>50.522447722104999</v>
      </c>
      <c r="P4387">
        <v>-0.24917052701693901</v>
      </c>
      <c r="Q4387">
        <v>6.1733157865191401E-2</v>
      </c>
      <c r="R4387">
        <v>0.95334523250143999</v>
      </c>
      <c r="S4387" t="s">
        <v>10698</v>
      </c>
      <c r="T4387" t="s">
        <v>12620</v>
      </c>
      <c r="U4387" t="s">
        <v>12620</v>
      </c>
      <c r="V4387" t="s">
        <v>12620</v>
      </c>
      <c r="W4387" t="s">
        <v>16955</v>
      </c>
      <c r="X4387">
        <v>61</v>
      </c>
      <c r="Y4387" t="s">
        <v>23069</v>
      </c>
      <c r="Z4387" t="s">
        <v>29334</v>
      </c>
      <c r="AA4387">
        <v>0.39483765862774312</v>
      </c>
      <c r="AB4387" t="str">
        <f>HYPERLINK("Melting_Curves/meltCurve_Q8WUM4_PDCD6IP.pdf", "Melting_Curves/meltCurve_Q8WUM4_PDCD6IP.pdf")</f>
        <v>Melting_Curves/meltCurve_Q8WUM4_PDCD6IP.pdf</v>
      </c>
    </row>
    <row r="4388" spans="1:28" x14ac:dyDescent="0.25">
      <c r="A4388" t="s">
        <v>4392</v>
      </c>
      <c r="B4388">
        <v>0.99987803227770999</v>
      </c>
      <c r="C4388">
        <v>0.95264752292616495</v>
      </c>
      <c r="D4388">
        <v>1.06105230656462</v>
      </c>
      <c r="E4388">
        <v>1.0419095770442</v>
      </c>
      <c r="F4388">
        <v>1.0578513004935699</v>
      </c>
      <c r="G4388">
        <v>0.91073565155440395</v>
      </c>
      <c r="H4388">
        <v>0.82723229598766601</v>
      </c>
      <c r="I4388">
        <v>0.79812087730975401</v>
      </c>
      <c r="J4388">
        <v>0.70876088203383703</v>
      </c>
      <c r="K4388">
        <v>0.541150832459109</v>
      </c>
      <c r="L4388">
        <v>806.356676325389</v>
      </c>
      <c r="M4388">
        <v>11.2925050347105</v>
      </c>
      <c r="O4388">
        <v>69.276993503804206</v>
      </c>
      <c r="P4388">
        <v>-4.0763707328482099E-2</v>
      </c>
      <c r="Q4388">
        <v>0</v>
      </c>
      <c r="R4388">
        <v>0.92710495768250101</v>
      </c>
      <c r="S4388" t="s">
        <v>10699</v>
      </c>
      <c r="T4388" t="s">
        <v>12620</v>
      </c>
      <c r="U4388" t="s">
        <v>12620</v>
      </c>
      <c r="V4388" t="s">
        <v>12620</v>
      </c>
      <c r="W4388" t="s">
        <v>16956</v>
      </c>
      <c r="X4388">
        <v>4</v>
      </c>
      <c r="Y4388" t="s">
        <v>23070</v>
      </c>
      <c r="Z4388" t="s">
        <v>29335</v>
      </c>
      <c r="AA4388">
        <v>0.90011811549563658</v>
      </c>
      <c r="AB4388" t="str">
        <f>HYPERLINK("Melting_Curves/meltCurve_Q8WUN7_UBTD2.pdf", "Melting_Curves/meltCurve_Q8WUN7_UBTD2.pdf")</f>
        <v>Melting_Curves/meltCurve_Q8WUN7_UBTD2.pdf</v>
      </c>
    </row>
    <row r="4389" spans="1:28" x14ac:dyDescent="0.25">
      <c r="A4389" t="s">
        <v>4393</v>
      </c>
      <c r="B4389">
        <v>0.99987803227770999</v>
      </c>
      <c r="C4389">
        <v>0.87655436564863098</v>
      </c>
      <c r="D4389">
        <v>0.995769515786602</v>
      </c>
      <c r="E4389">
        <v>0.85050831874987198</v>
      </c>
      <c r="F4389">
        <v>0.85392055992524096</v>
      </c>
      <c r="G4389">
        <v>0.63337198173617004</v>
      </c>
      <c r="H4389">
        <v>0.681662115546389</v>
      </c>
      <c r="I4389">
        <v>0.64413823969567297</v>
      </c>
      <c r="J4389">
        <v>0.58182083809726104</v>
      </c>
      <c r="K4389">
        <v>0.47975153016382399</v>
      </c>
      <c r="L4389">
        <v>370.90148631723298</v>
      </c>
      <c r="M4389">
        <v>5.9174829311536197</v>
      </c>
      <c r="O4389">
        <v>56.639613356048102</v>
      </c>
      <c r="P4389">
        <v>-1.9539002219743699E-2</v>
      </c>
      <c r="Q4389">
        <v>0.25446055762395198</v>
      </c>
      <c r="R4389">
        <v>0.90221294718446399</v>
      </c>
      <c r="S4389" t="s">
        <v>10700</v>
      </c>
      <c r="T4389" t="s">
        <v>12620</v>
      </c>
      <c r="U4389" t="s">
        <v>12620</v>
      </c>
      <c r="V4389" t="s">
        <v>12620</v>
      </c>
      <c r="W4389" t="s">
        <v>16957</v>
      </c>
      <c r="X4389">
        <v>20</v>
      </c>
      <c r="Y4389" t="s">
        <v>23071</v>
      </c>
      <c r="Z4389" t="s">
        <v>29336</v>
      </c>
      <c r="AA4389">
        <v>0.76383124346706677</v>
      </c>
      <c r="AB4389" t="str">
        <f>HYPERLINK("Melting_Curves/meltCurve_Q8WUP2_FBLIM1.pdf", "Melting_Curves/meltCurve_Q8WUP2_FBLIM1.pdf")</f>
        <v>Melting_Curves/meltCurve_Q8WUP2_FBLIM1.pdf</v>
      </c>
    </row>
    <row r="4390" spans="1:28" x14ac:dyDescent="0.25">
      <c r="A4390" t="s">
        <v>4394</v>
      </c>
      <c r="B4390">
        <v>0.99987803227770999</v>
      </c>
      <c r="C4390">
        <v>0.87908302630687596</v>
      </c>
      <c r="D4390">
        <v>0.99398003885774799</v>
      </c>
      <c r="E4390">
        <v>0.783007655814694</v>
      </c>
      <c r="F4390">
        <v>1.0000359154793199</v>
      </c>
      <c r="G4390">
        <v>0.80186425582009402</v>
      </c>
      <c r="H4390">
        <v>0.78878101343074303</v>
      </c>
      <c r="I4390">
        <v>0.74851934523950003</v>
      </c>
      <c r="J4390">
        <v>0.68408013253386601</v>
      </c>
      <c r="K4390">
        <v>0.59158931085594402</v>
      </c>
      <c r="L4390">
        <v>315.05584607238802</v>
      </c>
      <c r="M4390">
        <v>3.96367343506367</v>
      </c>
      <c r="O4390">
        <v>65.064559830400896</v>
      </c>
      <c r="P4390">
        <v>-1.54313402216855E-2</v>
      </c>
      <c r="Q4390">
        <v>0</v>
      </c>
      <c r="R4390">
        <v>0.74527136731836596</v>
      </c>
      <c r="S4390" t="s">
        <v>10701</v>
      </c>
      <c r="T4390" t="s">
        <v>12620</v>
      </c>
      <c r="U4390" t="s">
        <v>12620</v>
      </c>
      <c r="V4390" t="s">
        <v>12620</v>
      </c>
      <c r="W4390" t="s">
        <v>16958</v>
      </c>
      <c r="X4390">
        <v>1</v>
      </c>
      <c r="Y4390" t="s">
        <v>23072</v>
      </c>
      <c r="Z4390" t="s">
        <v>29337</v>
      </c>
      <c r="AA4390">
        <v>0.83693386414567672</v>
      </c>
      <c r="AB4390" t="str">
        <f>HYPERLINK("Melting_Curves/meltCurve_Q8WUR7_C15orf40.pdf", "Melting_Curves/meltCurve_Q8WUR7_C15orf40.pdf")</f>
        <v>Melting_Curves/meltCurve_Q8WUR7_C15orf40.pdf</v>
      </c>
    </row>
    <row r="4391" spans="1:28" x14ac:dyDescent="0.25">
      <c r="A4391" t="s">
        <v>4395</v>
      </c>
      <c r="B4391">
        <v>0.99987803227770999</v>
      </c>
      <c r="C4391">
        <v>0.91554014421980701</v>
      </c>
      <c r="D4391">
        <v>0.98899188372569402</v>
      </c>
      <c r="E4391">
        <v>1.03162964287812</v>
      </c>
      <c r="F4391">
        <v>1.0277320855003</v>
      </c>
      <c r="G4391">
        <v>0.88478234356712404</v>
      </c>
      <c r="H4391">
        <v>0.95952648450302203</v>
      </c>
      <c r="I4391">
        <v>0.87793606031219695</v>
      </c>
      <c r="J4391">
        <v>0.66925728186924005</v>
      </c>
      <c r="K4391">
        <v>0.399442601699525</v>
      </c>
      <c r="L4391">
        <v>1689.7583366808501</v>
      </c>
      <c r="M4391">
        <v>24.526897339511599</v>
      </c>
      <c r="N4391">
        <v>68.894093761678604</v>
      </c>
      <c r="O4391">
        <v>68.441020514746299</v>
      </c>
      <c r="P4391">
        <v>-8.95926778825058E-2</v>
      </c>
      <c r="Q4391">
        <v>0</v>
      </c>
      <c r="R4391">
        <v>0.94021764257836604</v>
      </c>
      <c r="S4391" t="s">
        <v>10702</v>
      </c>
      <c r="T4391" t="s">
        <v>12620</v>
      </c>
      <c r="U4391" t="s">
        <v>12620</v>
      </c>
      <c r="V4391" t="s">
        <v>12620</v>
      </c>
      <c r="W4391" t="s">
        <v>16959</v>
      </c>
      <c r="X4391">
        <v>7</v>
      </c>
      <c r="Y4391" t="s">
        <v>23073</v>
      </c>
      <c r="Z4391" t="s">
        <v>29338</v>
      </c>
      <c r="AA4391">
        <v>0.92044199048001829</v>
      </c>
      <c r="AB4391" t="str">
        <f>HYPERLINK("Melting_Curves/meltCurve_Q8WUW1_BRK1.pdf", "Melting_Curves/meltCurve_Q8WUW1_BRK1.pdf")</f>
        <v>Melting_Curves/meltCurve_Q8WUW1_BRK1.pdf</v>
      </c>
    </row>
    <row r="4392" spans="1:28" x14ac:dyDescent="0.25">
      <c r="A4392" t="s">
        <v>4396</v>
      </c>
      <c r="B4392">
        <v>0.99987803227770999</v>
      </c>
      <c r="C4392">
        <v>0.80318842724140804</v>
      </c>
      <c r="D4392">
        <v>0.99204051885448796</v>
      </c>
      <c r="E4392">
        <v>0.84289667129815304</v>
      </c>
      <c r="F4392">
        <v>1.0004997114358001</v>
      </c>
      <c r="G4392">
        <v>0.49365016078922602</v>
      </c>
      <c r="H4392">
        <v>0.14880596895909501</v>
      </c>
      <c r="I4392">
        <v>0.107700069048998</v>
      </c>
      <c r="J4392">
        <v>6.9865664694293894E-2</v>
      </c>
      <c r="K4392">
        <v>4.47193984946282E-2</v>
      </c>
      <c r="L4392">
        <v>2294.3696538004701</v>
      </c>
      <c r="M4392">
        <v>40.387339463716202</v>
      </c>
      <c r="N4392">
        <v>57.037318660531</v>
      </c>
      <c r="O4392">
        <v>56.670387260021599</v>
      </c>
      <c r="P4392">
        <v>-0.16487560039170099</v>
      </c>
      <c r="Q4392">
        <v>7.4606507715272496E-2</v>
      </c>
      <c r="R4392">
        <v>0.95819371029876899</v>
      </c>
      <c r="S4392" t="s">
        <v>10703</v>
      </c>
      <c r="T4392" t="s">
        <v>12620</v>
      </c>
      <c r="U4392" t="s">
        <v>12620</v>
      </c>
      <c r="V4392" t="s">
        <v>12620</v>
      </c>
      <c r="W4392" t="s">
        <v>16960</v>
      </c>
      <c r="X4392">
        <v>5</v>
      </c>
      <c r="Y4392" t="s">
        <v>23074</v>
      </c>
      <c r="Z4392" t="s">
        <v>29339</v>
      </c>
      <c r="AA4392">
        <v>0.59663860748832287</v>
      </c>
      <c r="AB4392" t="str">
        <f>HYPERLINK("Melting_Curves/meltCurve_Q8WUX2_CHAC2.pdf", "Melting_Curves/meltCurve_Q8WUX2_CHAC2.pdf")</f>
        <v>Melting_Curves/meltCurve_Q8WUX2_CHAC2.pdf</v>
      </c>
    </row>
    <row r="4393" spans="1:28" x14ac:dyDescent="0.25">
      <c r="A4393" t="s">
        <v>4397</v>
      </c>
      <c r="B4393">
        <v>0.99987803227770999</v>
      </c>
      <c r="C4393">
        <v>0.87463154246186803</v>
      </c>
      <c r="D4393">
        <v>0.99020200579437501</v>
      </c>
      <c r="E4393">
        <v>0.53433741888646902</v>
      </c>
      <c r="F4393">
        <v>0.255006547923393</v>
      </c>
      <c r="G4393">
        <v>0.15459431343739999</v>
      </c>
      <c r="H4393">
        <v>0.13073272015960999</v>
      </c>
      <c r="I4393">
        <v>9.9396422482889699E-2</v>
      </c>
      <c r="J4393">
        <v>8.359309217659E-2</v>
      </c>
      <c r="K4393">
        <v>5.4711788717578501E-2</v>
      </c>
      <c r="L4393">
        <v>1437.1696966480099</v>
      </c>
      <c r="M4393">
        <v>28.720442529016701</v>
      </c>
      <c r="N4393">
        <v>50.420336699492097</v>
      </c>
      <c r="O4393">
        <v>49.7992411086313</v>
      </c>
      <c r="P4393">
        <v>-0.13013916416447299</v>
      </c>
      <c r="Q4393">
        <v>9.7398104027789797E-2</v>
      </c>
      <c r="R4393">
        <v>0.98484548302396102</v>
      </c>
      <c r="S4393" t="s">
        <v>10704</v>
      </c>
      <c r="T4393" t="s">
        <v>12620</v>
      </c>
      <c r="U4393" t="s">
        <v>12620</v>
      </c>
      <c r="V4393" t="s">
        <v>12620</v>
      </c>
      <c r="W4393" t="s">
        <v>16961</v>
      </c>
      <c r="X4393">
        <v>11</v>
      </c>
      <c r="Y4393" t="s">
        <v>23075</v>
      </c>
      <c r="Z4393" t="s">
        <v>29340</v>
      </c>
      <c r="AA4393">
        <v>0.40556865782252077</v>
      </c>
      <c r="AB4393" t="str">
        <f>HYPERLINK("Melting_Curves/meltCurve_Q8WUX9_CHMP7.pdf", "Melting_Curves/meltCurve_Q8WUX9_CHMP7.pdf")</f>
        <v>Melting_Curves/meltCurve_Q8WUX9_CHMP7.pdf</v>
      </c>
    </row>
    <row r="4394" spans="1:28" x14ac:dyDescent="0.25">
      <c r="A4394" t="s">
        <v>4398</v>
      </c>
      <c r="B4394">
        <v>0.99987803227770999</v>
      </c>
      <c r="C4394">
        <v>0.99090753052685299</v>
      </c>
      <c r="D4394">
        <v>0.90806437920445005</v>
      </c>
      <c r="E4394">
        <v>0.82704400347262197</v>
      </c>
      <c r="F4394">
        <v>0.958282605023972</v>
      </c>
      <c r="G4394">
        <v>0.58813879810919201</v>
      </c>
      <c r="H4394">
        <v>0.53310734970153095</v>
      </c>
      <c r="I4394">
        <v>0.57177940366132995</v>
      </c>
      <c r="J4394">
        <v>0.38502445580501299</v>
      </c>
      <c r="K4394">
        <v>0.338828911575902</v>
      </c>
      <c r="L4394">
        <v>505.95700139485803</v>
      </c>
      <c r="M4394">
        <v>8.2538494046866795</v>
      </c>
      <c r="N4394">
        <v>63.3186919210723</v>
      </c>
      <c r="O4394">
        <v>58.017117785552102</v>
      </c>
      <c r="P4394">
        <v>-3.1482751345203799E-2</v>
      </c>
      <c r="Q4394">
        <v>0.11570875144538199</v>
      </c>
      <c r="R4394">
        <v>0.918965272833559</v>
      </c>
      <c r="S4394" t="s">
        <v>10705</v>
      </c>
      <c r="T4394" t="s">
        <v>12620</v>
      </c>
      <c r="U4394" t="s">
        <v>12620</v>
      </c>
      <c r="V4394" t="s">
        <v>12620</v>
      </c>
      <c r="W4394" t="s">
        <v>16962</v>
      </c>
      <c r="X4394">
        <v>3</v>
      </c>
      <c r="Y4394" t="s">
        <v>23076</v>
      </c>
      <c r="Z4394" t="s">
        <v>29341</v>
      </c>
      <c r="AA4394">
        <v>0.71998202050077431</v>
      </c>
      <c r="AB4394" t="str">
        <f>HYPERLINK("Melting_Curves/meltCurve_Q8WUZ0_BCL7C.pdf", "Melting_Curves/meltCurve_Q8WUZ0_BCL7C.pdf")</f>
        <v>Melting_Curves/meltCurve_Q8WUZ0_BCL7C.pdf</v>
      </c>
    </row>
    <row r="4395" spans="1:28" x14ac:dyDescent="0.25">
      <c r="A4395" t="s">
        <v>4399</v>
      </c>
      <c r="B4395">
        <v>0.99987803227770999</v>
      </c>
      <c r="C4395">
        <v>0.87028027507570704</v>
      </c>
      <c r="D4395">
        <v>0.82014625121002505</v>
      </c>
      <c r="E4395">
        <v>0.57862583678412405</v>
      </c>
      <c r="F4395">
        <v>0.404907320043775</v>
      </c>
      <c r="G4395">
        <v>0.23087392835249501</v>
      </c>
      <c r="H4395">
        <v>0.15550115543050799</v>
      </c>
      <c r="I4395">
        <v>0.13458578512837899</v>
      </c>
      <c r="J4395">
        <v>9.2280070954475296E-2</v>
      </c>
      <c r="K4395">
        <v>6.1227816624749701E-2</v>
      </c>
      <c r="L4395">
        <v>633.21060617708702</v>
      </c>
      <c r="M4395">
        <v>12.438900052554599</v>
      </c>
      <c r="N4395">
        <v>51.290197048180701</v>
      </c>
      <c r="O4395">
        <v>49.643685855221598</v>
      </c>
      <c r="P4395">
        <v>-5.98647346464765E-2</v>
      </c>
      <c r="Q4395">
        <v>4.4519064602648699E-2</v>
      </c>
      <c r="R4395">
        <v>0.99634985976321999</v>
      </c>
      <c r="S4395" t="s">
        <v>10706</v>
      </c>
      <c r="T4395" t="s">
        <v>12620</v>
      </c>
      <c r="U4395" t="s">
        <v>12620</v>
      </c>
      <c r="V4395" t="s">
        <v>12620</v>
      </c>
      <c r="W4395" t="s">
        <v>16963</v>
      </c>
      <c r="X4395">
        <v>8</v>
      </c>
      <c r="Y4395" t="s">
        <v>23077</v>
      </c>
      <c r="Z4395" t="s">
        <v>29342</v>
      </c>
      <c r="AA4395">
        <v>0.42159523091433471</v>
      </c>
      <c r="AB4395" t="str">
        <f>HYPERLINK("Melting_Curves/meltCurve_Q8WV22_NSMCE1.pdf", "Melting_Curves/meltCurve_Q8WV22_NSMCE1.pdf")</f>
        <v>Melting_Curves/meltCurve_Q8WV22_NSMCE1.pdf</v>
      </c>
    </row>
    <row r="4396" spans="1:28" x14ac:dyDescent="0.25">
      <c r="A4396" t="s">
        <v>4400</v>
      </c>
      <c r="B4396">
        <v>0.99987803227770999</v>
      </c>
      <c r="C4396">
        <v>0.98613222934189604</v>
      </c>
      <c r="D4396">
        <v>1.0032153094754499</v>
      </c>
      <c r="E4396">
        <v>0.87334620712824396</v>
      </c>
      <c r="F4396">
        <v>0.80060308374580702</v>
      </c>
      <c r="G4396">
        <v>0.56425585880870799</v>
      </c>
      <c r="H4396">
        <v>0.33648331289173</v>
      </c>
      <c r="I4396">
        <v>0.28493912934065402</v>
      </c>
      <c r="J4396">
        <v>0.24551539523673699</v>
      </c>
      <c r="K4396">
        <v>0.18842896969939499</v>
      </c>
      <c r="L4396">
        <v>896.42243091353203</v>
      </c>
      <c r="M4396">
        <v>15.8542746031729</v>
      </c>
      <c r="N4396">
        <v>57.974717443653297</v>
      </c>
      <c r="O4396">
        <v>55.664742447537698</v>
      </c>
      <c r="P4396">
        <v>-5.9664094310045601E-2</v>
      </c>
      <c r="Q4396">
        <v>0.16213959760219099</v>
      </c>
      <c r="R4396">
        <v>0.99677881896567699</v>
      </c>
      <c r="S4396" t="s">
        <v>10707</v>
      </c>
      <c r="T4396" t="s">
        <v>12620</v>
      </c>
      <c r="U4396" t="s">
        <v>12620</v>
      </c>
      <c r="V4396" t="s">
        <v>12620</v>
      </c>
      <c r="W4396" t="s">
        <v>16964</v>
      </c>
      <c r="X4396">
        <v>3</v>
      </c>
      <c r="Y4396" t="s">
        <v>23078</v>
      </c>
      <c r="Z4396" t="s">
        <v>29343</v>
      </c>
      <c r="AA4396">
        <v>0.63757157137101628</v>
      </c>
      <c r="AB4396" t="str">
        <f>HYPERLINK("Melting_Curves/meltCurve_Q8WV41_SNX33.pdf", "Melting_Curves/meltCurve_Q8WV41_SNX33.pdf")</f>
        <v>Melting_Curves/meltCurve_Q8WV41_SNX33.pdf</v>
      </c>
    </row>
    <row r="4397" spans="1:28" x14ac:dyDescent="0.25">
      <c r="A4397" t="s">
        <v>4401</v>
      </c>
      <c r="B4397">
        <v>0.99987803227770999</v>
      </c>
      <c r="C4397">
        <v>0.61858723739633603</v>
      </c>
      <c r="D4397">
        <v>0.64721058680675103</v>
      </c>
      <c r="E4397">
        <v>0.33210618608336701</v>
      </c>
      <c r="F4397">
        <v>0.24396050338505801</v>
      </c>
      <c r="G4397">
        <v>0.19715160963440301</v>
      </c>
      <c r="H4397">
        <v>0.13069179351665899</v>
      </c>
      <c r="I4397">
        <v>0.11322404143110899</v>
      </c>
      <c r="J4397">
        <v>0.12108870388217401</v>
      </c>
      <c r="K4397">
        <v>0.109517498549645</v>
      </c>
      <c r="L4397">
        <v>584.63856943373298</v>
      </c>
      <c r="M4397">
        <v>12.624783050504799</v>
      </c>
      <c r="N4397">
        <v>47.120560547959101</v>
      </c>
      <c r="O4397">
        <v>45.192982958067901</v>
      </c>
      <c r="P4397">
        <v>-6.3025254861984695E-2</v>
      </c>
      <c r="Q4397">
        <v>9.7731357995996193E-2</v>
      </c>
      <c r="R4397">
        <v>0.95363381051359497</v>
      </c>
      <c r="S4397" t="s">
        <v>10708</v>
      </c>
      <c r="T4397" t="s">
        <v>12620</v>
      </c>
      <c r="U4397" t="s">
        <v>12620</v>
      </c>
      <c r="V4397" t="s">
        <v>12620</v>
      </c>
      <c r="W4397" t="s">
        <v>16965</v>
      </c>
      <c r="X4397">
        <v>1</v>
      </c>
      <c r="Y4397" t="s">
        <v>23079</v>
      </c>
      <c r="Z4397" t="s">
        <v>29344</v>
      </c>
      <c r="AA4397">
        <v>0.32381938038367758</v>
      </c>
      <c r="AB4397" t="str">
        <f>HYPERLINK("Melting_Curves/meltCurve_Q8WV74_NUDT8.pdf", "Melting_Curves/meltCurve_Q8WV74_NUDT8.pdf")</f>
        <v>Melting_Curves/meltCurve_Q8WV74_NUDT8.pdf</v>
      </c>
    </row>
    <row r="4398" spans="1:28" x14ac:dyDescent="0.25">
      <c r="A4398" t="s">
        <v>4402</v>
      </c>
      <c r="B4398">
        <v>0.99987803227770999</v>
      </c>
      <c r="C4398">
        <v>0.85076922431292601</v>
      </c>
      <c r="D4398">
        <v>0.84546011630331397</v>
      </c>
      <c r="E4398">
        <v>0.55054145021818401</v>
      </c>
      <c r="F4398">
        <v>0.352722359308073</v>
      </c>
      <c r="G4398">
        <v>0.13551357449691301</v>
      </c>
      <c r="H4398">
        <v>8.6798685291056901E-2</v>
      </c>
      <c r="I4398">
        <v>6.9103815415117398E-2</v>
      </c>
      <c r="J4398">
        <v>7.3203833520133793E-2</v>
      </c>
      <c r="K4398">
        <v>4.6843714923379701E-2</v>
      </c>
      <c r="L4398">
        <v>762.32802906647396</v>
      </c>
      <c r="M4398">
        <v>15.1327763625078</v>
      </c>
      <c r="N4398">
        <v>50.580669825991897</v>
      </c>
      <c r="O4398">
        <v>49.520814108526999</v>
      </c>
      <c r="P4398">
        <v>-7.4133949047996098E-2</v>
      </c>
      <c r="Q4398">
        <v>2.9704754600516699E-2</v>
      </c>
      <c r="R4398">
        <v>0.99185991823661102</v>
      </c>
      <c r="S4398" t="s">
        <v>10709</v>
      </c>
      <c r="T4398" t="s">
        <v>12620</v>
      </c>
      <c r="U4398" t="s">
        <v>12620</v>
      </c>
      <c r="V4398" t="s">
        <v>12620</v>
      </c>
      <c r="W4398" t="s">
        <v>16966</v>
      </c>
      <c r="X4398">
        <v>4</v>
      </c>
      <c r="Y4398" t="s">
        <v>23080</v>
      </c>
      <c r="Z4398" t="s">
        <v>29345</v>
      </c>
      <c r="AA4398">
        <v>0.38781232038800412</v>
      </c>
      <c r="AB4398" t="str">
        <f>HYPERLINK("Melting_Curves/meltCurve_Q8WV92_MITD1.pdf", "Melting_Curves/meltCurve_Q8WV92_MITD1.pdf")</f>
        <v>Melting_Curves/meltCurve_Q8WV92_MITD1.pdf</v>
      </c>
    </row>
    <row r="4399" spans="1:28" x14ac:dyDescent="0.25">
      <c r="A4399" t="s">
        <v>4403</v>
      </c>
      <c r="B4399">
        <v>0.99987803227770999</v>
      </c>
      <c r="C4399">
        <v>0.85742538582660199</v>
      </c>
      <c r="D4399">
        <v>0.90334837782572897</v>
      </c>
      <c r="E4399">
        <v>0.73938188287119599</v>
      </c>
      <c r="F4399">
        <v>0.63299612826094798</v>
      </c>
      <c r="G4399">
        <v>0.57381979668114902</v>
      </c>
      <c r="H4399">
        <v>0.48126858155432201</v>
      </c>
      <c r="I4399">
        <v>0.40153684489485197</v>
      </c>
      <c r="J4399">
        <v>0.31592894602267002</v>
      </c>
      <c r="K4399">
        <v>0.28965670249023401</v>
      </c>
      <c r="L4399">
        <v>370.53121816967399</v>
      </c>
      <c r="M4399">
        <v>6.3400697495862204</v>
      </c>
      <c r="N4399">
        <v>59.243118724606902</v>
      </c>
      <c r="O4399">
        <v>53.438398384650398</v>
      </c>
      <c r="P4399">
        <v>-2.85188490498102E-2</v>
      </c>
      <c r="Q4399">
        <v>4.1043824790650302E-2</v>
      </c>
      <c r="R4399">
        <v>0.98075051266649205</v>
      </c>
      <c r="S4399" t="s">
        <v>10710</v>
      </c>
      <c r="T4399" t="s">
        <v>12620</v>
      </c>
      <c r="U4399" t="s">
        <v>12620</v>
      </c>
      <c r="V4399" t="s">
        <v>12620</v>
      </c>
      <c r="W4399" t="s">
        <v>16967</v>
      </c>
      <c r="X4399">
        <v>3</v>
      </c>
      <c r="Y4399" t="s">
        <v>23081</v>
      </c>
      <c r="Z4399" t="s">
        <v>29346</v>
      </c>
      <c r="AA4399">
        <v>0.61992592490655574</v>
      </c>
      <c r="AB4399" t="str">
        <f>HYPERLINK("Melting_Curves/meltCurve_Q8WVB3_HEXDC.pdf", "Melting_Curves/meltCurve_Q8WVB3_HEXDC.pdf")</f>
        <v>Melting_Curves/meltCurve_Q8WVB3_HEXDC.pdf</v>
      </c>
    </row>
    <row r="4400" spans="1:28" x14ac:dyDescent="0.25">
      <c r="A4400" t="s">
        <v>4404</v>
      </c>
      <c r="B4400">
        <v>0.99987803227770999</v>
      </c>
      <c r="C4400">
        <v>0.82543150139049504</v>
      </c>
      <c r="D4400">
        <v>0.87930595452597704</v>
      </c>
      <c r="E4400">
        <v>0.78389529028577698</v>
      </c>
      <c r="F4400">
        <v>0.82164028749528195</v>
      </c>
      <c r="G4400">
        <v>0.60807659815161796</v>
      </c>
      <c r="H4400">
        <v>0.63196636118892902</v>
      </c>
      <c r="I4400">
        <v>0.62106474735953698</v>
      </c>
      <c r="J4400">
        <v>0.62368909071633505</v>
      </c>
      <c r="K4400">
        <v>0.48690777114262002</v>
      </c>
      <c r="L4400">
        <v>280.46299068440101</v>
      </c>
      <c r="M4400">
        <v>4.7158470030541899</v>
      </c>
      <c r="O4400">
        <v>51.170899230101398</v>
      </c>
      <c r="P4400">
        <v>-1.60546591409855E-2</v>
      </c>
      <c r="Q4400">
        <v>0.30834458275881799</v>
      </c>
      <c r="R4400">
        <v>0.87044252921210596</v>
      </c>
      <c r="S4400" t="s">
        <v>10711</v>
      </c>
      <c r="T4400" t="s">
        <v>12620</v>
      </c>
      <c r="U4400" t="s">
        <v>12620</v>
      </c>
      <c r="V4400" t="s">
        <v>12620</v>
      </c>
      <c r="W4400" t="s">
        <v>16968</v>
      </c>
      <c r="X4400">
        <v>3</v>
      </c>
      <c r="Y4400" t="s">
        <v>23082</v>
      </c>
      <c r="Z4400" t="s">
        <v>29347</v>
      </c>
      <c r="AA4400">
        <v>0.72718682267568358</v>
      </c>
      <c r="AB4400" t="str">
        <f>HYPERLINK("Melting_Curves/meltCurve_Q8WVB6_CHTF18.pdf", "Melting_Curves/meltCurve_Q8WVB6_CHTF18.pdf")</f>
        <v>Melting_Curves/meltCurve_Q8WVB6_CHTF18.pdf</v>
      </c>
    </row>
    <row r="4401" spans="1:28" x14ac:dyDescent="0.25">
      <c r="A4401" t="s">
        <v>4405</v>
      </c>
      <c r="B4401">
        <v>0.99987803227770999</v>
      </c>
      <c r="C4401">
        <v>1.0541801574443601</v>
      </c>
      <c r="D4401">
        <v>0.96196117823565497</v>
      </c>
      <c r="E4401">
        <v>1.1528247420553199</v>
      </c>
      <c r="F4401">
        <v>0.99747466867026402</v>
      </c>
      <c r="G4401">
        <v>0.81562286025872299</v>
      </c>
      <c r="H4401">
        <v>0.961744075443702</v>
      </c>
      <c r="I4401">
        <v>0.99535709874826495</v>
      </c>
      <c r="J4401">
        <v>1.04859768141862</v>
      </c>
      <c r="K4401">
        <v>0.833943125584098</v>
      </c>
      <c r="L4401">
        <v>13423.2591767336</v>
      </c>
      <c r="M4401">
        <v>250</v>
      </c>
      <c r="O4401">
        <v>53.689598628721399</v>
      </c>
      <c r="P4401">
        <v>-8.0261138837295895E-2</v>
      </c>
      <c r="Q4401">
        <v>0.93105298413355297</v>
      </c>
      <c r="R4401">
        <v>0.22885241043096199</v>
      </c>
      <c r="S4401" t="s">
        <v>10712</v>
      </c>
      <c r="T4401" t="s">
        <v>12620</v>
      </c>
      <c r="U4401" t="s">
        <v>12620</v>
      </c>
      <c r="V4401" t="s">
        <v>12620</v>
      </c>
      <c r="W4401" t="s">
        <v>16969</v>
      </c>
      <c r="X4401">
        <v>17</v>
      </c>
      <c r="Y4401" t="s">
        <v>23083</v>
      </c>
      <c r="Z4401" t="s">
        <v>29348</v>
      </c>
      <c r="AA4401">
        <v>0.96252928167788321</v>
      </c>
      <c r="AB4401" t="str">
        <f>HYPERLINK("Melting_Curves/meltCurve_Q8WVC0_LEO1.pdf", "Melting_Curves/meltCurve_Q8WVC0_LEO1.pdf")</f>
        <v>Melting_Curves/meltCurve_Q8WVC0_LEO1.pdf</v>
      </c>
    </row>
    <row r="4402" spans="1:28" x14ac:dyDescent="0.25">
      <c r="A4402" t="s">
        <v>4406</v>
      </c>
      <c r="B4402">
        <v>0.99987803227770999</v>
      </c>
      <c r="C4402">
        <v>0.86154690212657103</v>
      </c>
      <c r="D4402">
        <v>1.0091876854520101</v>
      </c>
      <c r="E4402">
        <v>0.85578946012102597</v>
      </c>
      <c r="F4402">
        <v>0.95906264192778601</v>
      </c>
      <c r="G4402">
        <v>0.78907191706898305</v>
      </c>
      <c r="H4402">
        <v>0.76110123157494403</v>
      </c>
      <c r="I4402">
        <v>0.82932439285946302</v>
      </c>
      <c r="J4402">
        <v>0.70792824424261802</v>
      </c>
      <c r="K4402">
        <v>0.59418405389981199</v>
      </c>
      <c r="L4402">
        <v>309.341062919183</v>
      </c>
      <c r="M4402">
        <v>3.7938952308110299</v>
      </c>
      <c r="O4402">
        <v>65.785724912864595</v>
      </c>
      <c r="P4402">
        <v>-1.4636905842839399E-2</v>
      </c>
      <c r="Q4402">
        <v>0</v>
      </c>
      <c r="R4402">
        <v>0.75106926887258596</v>
      </c>
      <c r="S4402" t="s">
        <v>10713</v>
      </c>
      <c r="T4402" t="s">
        <v>12620</v>
      </c>
      <c r="U4402" t="s">
        <v>12620</v>
      </c>
      <c r="V4402" t="s">
        <v>12620</v>
      </c>
      <c r="W4402" t="s">
        <v>16970</v>
      </c>
      <c r="X4402">
        <v>6</v>
      </c>
      <c r="Y4402" t="s">
        <v>23084</v>
      </c>
      <c r="Z4402" t="s">
        <v>29349</v>
      </c>
      <c r="AA4402">
        <v>0.84583888418078401</v>
      </c>
      <c r="AB4402" t="str">
        <f>HYPERLINK("Melting_Curves/meltCurve_Q8WVC2_RPS21.pdf", "Melting_Curves/meltCurve_Q8WVC2_RPS21.pdf")</f>
        <v>Melting_Curves/meltCurve_Q8WVC2_RPS21.pdf</v>
      </c>
    </row>
    <row r="4403" spans="1:28" x14ac:dyDescent="0.25">
      <c r="A4403" t="s">
        <v>4407</v>
      </c>
      <c r="B4403">
        <v>0.99987803227770999</v>
      </c>
      <c r="C4403">
        <v>0.95323665628903997</v>
      </c>
      <c r="D4403">
        <v>1.0072849248731099</v>
      </c>
      <c r="E4403">
        <v>0.71620450392563895</v>
      </c>
      <c r="F4403">
        <v>0.66873094563442503</v>
      </c>
      <c r="G4403">
        <v>0.47382718363465698</v>
      </c>
      <c r="H4403">
        <v>0.34929373214971998</v>
      </c>
      <c r="I4403">
        <v>0.39497431285939799</v>
      </c>
      <c r="J4403">
        <v>0.315849734781251</v>
      </c>
      <c r="K4403">
        <v>0.199511988988399</v>
      </c>
      <c r="L4403">
        <v>677.41634914765802</v>
      </c>
      <c r="M4403">
        <v>12.599357648897</v>
      </c>
      <c r="N4403">
        <v>56.523798204611403</v>
      </c>
      <c r="O4403">
        <v>52.465436817784003</v>
      </c>
      <c r="P4403">
        <v>-4.6260758907935198E-2</v>
      </c>
      <c r="Q4403">
        <v>0.22960938431716399</v>
      </c>
      <c r="R4403">
        <v>0.96973903929041805</v>
      </c>
      <c r="S4403" t="s">
        <v>10714</v>
      </c>
      <c r="T4403" t="s">
        <v>12620</v>
      </c>
      <c r="U4403" t="s">
        <v>12620</v>
      </c>
      <c r="V4403" t="s">
        <v>12620</v>
      </c>
      <c r="W4403" t="s">
        <v>16971</v>
      </c>
      <c r="X4403">
        <v>2</v>
      </c>
      <c r="Y4403" t="s">
        <v>23085</v>
      </c>
      <c r="Z4403" t="s">
        <v>29350</v>
      </c>
      <c r="AA4403">
        <v>0.60269585706406947</v>
      </c>
      <c r="AB4403" t="str">
        <f>HYPERLINK("Melting_Curves/meltCurve_Q8WVD3_RNF138.pdf", "Melting_Curves/meltCurve_Q8WVD3_RNF138.pdf")</f>
        <v>Melting_Curves/meltCurve_Q8WVD3_RNF138.pdf</v>
      </c>
    </row>
    <row r="4404" spans="1:28" x14ac:dyDescent="0.25">
      <c r="A4404" t="s">
        <v>4408</v>
      </c>
      <c r="B4404">
        <v>0.99987803227770999</v>
      </c>
      <c r="C4404">
        <v>0.37282686467867998</v>
      </c>
      <c r="D4404">
        <v>1.07761536243582</v>
      </c>
      <c r="E4404">
        <v>0.74249797619489699</v>
      </c>
      <c r="F4404">
        <v>0.77845658837699305</v>
      </c>
      <c r="G4404">
        <v>0.40109141579215102</v>
      </c>
      <c r="H4404">
        <v>0.17283014739307001</v>
      </c>
      <c r="I4404">
        <v>0.15055624832826001</v>
      </c>
      <c r="J4404">
        <v>9.7190854820382103E-2</v>
      </c>
      <c r="K4404">
        <v>7.7019688813474804E-2</v>
      </c>
      <c r="L4404">
        <v>670.365184948766</v>
      </c>
      <c r="M4404">
        <v>12.099095319716399</v>
      </c>
      <c r="N4404">
        <v>55.406223955219097</v>
      </c>
      <c r="O4404">
        <v>53.9577907759816</v>
      </c>
      <c r="P4404">
        <v>-5.60712376121155E-2</v>
      </c>
      <c r="Q4404">
        <v>0</v>
      </c>
      <c r="R4404">
        <v>0.68681345313113995</v>
      </c>
      <c r="S4404" t="s">
        <v>10715</v>
      </c>
      <c r="T4404" t="s">
        <v>12620</v>
      </c>
      <c r="U4404" t="s">
        <v>12620</v>
      </c>
      <c r="V4404" t="s">
        <v>12620</v>
      </c>
      <c r="W4404" t="s">
        <v>16972</v>
      </c>
      <c r="X4404">
        <v>9</v>
      </c>
      <c r="Y4404" t="s">
        <v>23086</v>
      </c>
      <c r="Z4404" t="s">
        <v>29351</v>
      </c>
      <c r="AA4404">
        <v>0.53569254621435947</v>
      </c>
      <c r="AB4404" t="str">
        <f>HYPERLINK("Melting_Curves/meltCurve_Q8WVJ2_NUDCD2.pdf", "Melting_Curves/meltCurve_Q8WVJ2_NUDCD2.pdf")</f>
        <v>Melting_Curves/meltCurve_Q8WVJ2_NUDCD2.pdf</v>
      </c>
    </row>
    <row r="4405" spans="1:28" x14ac:dyDescent="0.25">
      <c r="A4405" t="s">
        <v>4409</v>
      </c>
      <c r="B4405">
        <v>0.99987803227770999</v>
      </c>
      <c r="C4405">
        <v>0.97107134454317501</v>
      </c>
      <c r="D4405">
        <v>1.06996687186409</v>
      </c>
      <c r="E4405">
        <v>0.98707969993635503</v>
      </c>
      <c r="F4405">
        <v>1.0182069546885899</v>
      </c>
      <c r="G4405">
        <v>0.85130435945162997</v>
      </c>
      <c r="H4405">
        <v>0.88259819260702999</v>
      </c>
      <c r="I4405">
        <v>0.839867832476063</v>
      </c>
      <c r="J4405">
        <v>0.78625691463817704</v>
      </c>
      <c r="K4405">
        <v>0.69711886128160105</v>
      </c>
      <c r="L4405">
        <v>599.70440720501597</v>
      </c>
      <c r="M4405">
        <v>8.4454255735029307</v>
      </c>
      <c r="O4405">
        <v>67.363350790741904</v>
      </c>
      <c r="P4405">
        <v>-1.9301392761160299E-2</v>
      </c>
      <c r="Q4405">
        <v>0.38475222864376901</v>
      </c>
      <c r="R4405">
        <v>0.86925854450844098</v>
      </c>
      <c r="S4405" t="s">
        <v>10716</v>
      </c>
      <c r="T4405" t="s">
        <v>12620</v>
      </c>
      <c r="U4405" t="s">
        <v>12620</v>
      </c>
      <c r="V4405" t="s">
        <v>12620</v>
      </c>
      <c r="W4405" t="s">
        <v>16973</v>
      </c>
      <c r="X4405">
        <v>4</v>
      </c>
      <c r="Y4405" t="s">
        <v>23087</v>
      </c>
      <c r="Z4405" t="s">
        <v>29352</v>
      </c>
      <c r="AA4405">
        <v>0.91523956483898927</v>
      </c>
      <c r="AB4405" t="str">
        <f>HYPERLINK("Melting_Curves/meltCurve_Q8WVK2_SNRNP27.pdf", "Melting_Curves/meltCurve_Q8WVK2_SNRNP27.pdf")</f>
        <v>Melting_Curves/meltCurve_Q8WVK2_SNRNP27.pdf</v>
      </c>
    </row>
    <row r="4406" spans="1:28" x14ac:dyDescent="0.25">
      <c r="A4406" t="s">
        <v>4410</v>
      </c>
      <c r="B4406">
        <v>0.99987803227770999</v>
      </c>
      <c r="C4406">
        <v>1.2566701107580101</v>
      </c>
      <c r="D4406">
        <v>1.1379364725480301</v>
      </c>
      <c r="E4406">
        <v>0.71414482424311498</v>
      </c>
      <c r="F4406">
        <v>0.336775070150934</v>
      </c>
      <c r="G4406">
        <v>0.586726718853536</v>
      </c>
      <c r="H4406">
        <v>0.197018666302783</v>
      </c>
      <c r="I4406">
        <v>0.342129184047614</v>
      </c>
      <c r="J4406">
        <v>5.4477979973405498E-2</v>
      </c>
      <c r="K4406">
        <v>5.1483020648928901E-2</v>
      </c>
      <c r="L4406">
        <v>874.95826195520306</v>
      </c>
      <c r="M4406">
        <v>16.5530451641981</v>
      </c>
      <c r="N4406">
        <v>53.927077838277903</v>
      </c>
      <c r="O4406">
        <v>52.104461219853697</v>
      </c>
      <c r="P4406">
        <v>-6.8316577320857205E-2</v>
      </c>
      <c r="Q4406">
        <v>0.13989126748696101</v>
      </c>
      <c r="R4406">
        <v>0.84300573134288104</v>
      </c>
      <c r="S4406" t="s">
        <v>10717</v>
      </c>
      <c r="T4406" t="s">
        <v>12620</v>
      </c>
      <c r="U4406" t="s">
        <v>12620</v>
      </c>
      <c r="V4406" t="s">
        <v>12620</v>
      </c>
      <c r="W4406" t="s">
        <v>16974</v>
      </c>
      <c r="X4406">
        <v>2</v>
      </c>
      <c r="Y4406" t="s">
        <v>23088</v>
      </c>
      <c r="Z4406" t="s">
        <v>29353</v>
      </c>
      <c r="AA4406">
        <v>0.52463801380055763</v>
      </c>
      <c r="AB4406" t="str">
        <f>HYPERLINK("Melting_Curves/meltCurve_Q8WVM0_TFB1M.pdf", "Melting_Curves/meltCurve_Q8WVM0_TFB1M.pdf")</f>
        <v>Melting_Curves/meltCurve_Q8WVM0_TFB1M.pdf</v>
      </c>
    </row>
    <row r="4407" spans="1:28" x14ac:dyDescent="0.25">
      <c r="A4407" t="s">
        <v>4411</v>
      </c>
      <c r="B4407">
        <v>0.99987803227770999</v>
      </c>
      <c r="C4407">
        <v>1.00203334120587</v>
      </c>
      <c r="D4407">
        <v>1.0940041182091</v>
      </c>
      <c r="E4407">
        <v>0.68633145204962898</v>
      </c>
      <c r="F4407">
        <v>0.27876645896060898</v>
      </c>
      <c r="G4407">
        <v>0.14171488522932699</v>
      </c>
      <c r="H4407">
        <v>7.7535156930184701E-2</v>
      </c>
      <c r="I4407">
        <v>6.5831214133299801E-2</v>
      </c>
      <c r="J4407">
        <v>5.6034378857413997E-2</v>
      </c>
      <c r="K4407">
        <v>3.8702683957404303E-2</v>
      </c>
      <c r="L4407">
        <v>1801.03375972718</v>
      </c>
      <c r="M4407">
        <v>35.251292147967398</v>
      </c>
      <c r="N4407">
        <v>51.311386841177999</v>
      </c>
      <c r="O4407">
        <v>50.9277044105567</v>
      </c>
      <c r="P4407">
        <v>-0.16090410567832</v>
      </c>
      <c r="Q4407">
        <v>7.0167620912361603E-2</v>
      </c>
      <c r="R4407">
        <v>0.99084119344654098</v>
      </c>
      <c r="S4407" t="s">
        <v>10718</v>
      </c>
      <c r="T4407" t="s">
        <v>12620</v>
      </c>
      <c r="U4407" t="s">
        <v>12620</v>
      </c>
      <c r="V4407" t="s">
        <v>12620</v>
      </c>
      <c r="W4407" t="s">
        <v>16975</v>
      </c>
      <c r="X4407">
        <v>7</v>
      </c>
      <c r="Y4407" t="s">
        <v>23089</v>
      </c>
      <c r="Z4407" t="s">
        <v>29354</v>
      </c>
      <c r="AA4407">
        <v>0.41817042427427548</v>
      </c>
      <c r="AB4407" t="str">
        <f>HYPERLINK("Melting_Curves/meltCurve_Q8WVM8_SCFD1.pdf", "Melting_Curves/meltCurve_Q8WVM8_SCFD1.pdf")</f>
        <v>Melting_Curves/meltCurve_Q8WVM8_SCFD1.pdf</v>
      </c>
    </row>
    <row r="4408" spans="1:28" x14ac:dyDescent="0.25">
      <c r="A4408" t="s">
        <v>4412</v>
      </c>
      <c r="B4408">
        <v>0.99987803227770999</v>
      </c>
      <c r="C4408">
        <v>0.93653764351670199</v>
      </c>
      <c r="D4408">
        <v>0.92504154161192098</v>
      </c>
      <c r="E4408">
        <v>0.77173316894126698</v>
      </c>
      <c r="F4408">
        <v>0.49243212612331799</v>
      </c>
      <c r="G4408">
        <v>0.26947474066728999</v>
      </c>
      <c r="H4408">
        <v>0.22298828557371</v>
      </c>
      <c r="I4408">
        <v>0.21058489432396499</v>
      </c>
      <c r="J4408">
        <v>0.189027571058904</v>
      </c>
      <c r="K4408">
        <v>0.16025466312046199</v>
      </c>
      <c r="L4408">
        <v>1090.76475792819</v>
      </c>
      <c r="M4408">
        <v>21.007030108646301</v>
      </c>
      <c r="N4408">
        <v>53.02391860777</v>
      </c>
      <c r="O4408">
        <v>51.460134446658898</v>
      </c>
      <c r="P4408">
        <v>-8.4029989465962504E-2</v>
      </c>
      <c r="Q4408">
        <v>0.17664157472918099</v>
      </c>
      <c r="R4408">
        <v>0.99519680078491302</v>
      </c>
      <c r="S4408" t="s">
        <v>10719</v>
      </c>
      <c r="T4408" t="s">
        <v>12620</v>
      </c>
      <c r="U4408" t="s">
        <v>12620</v>
      </c>
      <c r="V4408" t="s">
        <v>12620</v>
      </c>
      <c r="W4408" t="s">
        <v>16976</v>
      </c>
      <c r="X4408">
        <v>3</v>
      </c>
      <c r="Y4408" t="s">
        <v>23090</v>
      </c>
      <c r="Z4408" t="s">
        <v>29355</v>
      </c>
      <c r="AA4408">
        <v>0.51431858852491807</v>
      </c>
      <c r="AB4408" t="str">
        <f>HYPERLINK("Melting_Curves/meltCurve_Q8WVP5_TNFAIP8L1.pdf", "Melting_Curves/meltCurve_Q8WVP5_TNFAIP8L1.pdf")</f>
        <v>Melting_Curves/meltCurve_Q8WVP5_TNFAIP8L1.pdf</v>
      </c>
    </row>
    <row r="4409" spans="1:28" x14ac:dyDescent="0.25">
      <c r="A4409" t="s">
        <v>4413</v>
      </c>
      <c r="B4409">
        <v>0.99987803227770999</v>
      </c>
      <c r="C4409">
        <v>0.84090453590884495</v>
      </c>
      <c r="D4409">
        <v>0.96811292788916903</v>
      </c>
      <c r="E4409">
        <v>0.82117276783430904</v>
      </c>
      <c r="F4409">
        <v>1.0829255464862799</v>
      </c>
      <c r="G4409">
        <v>0.78522322911533804</v>
      </c>
      <c r="H4409">
        <v>1.04534039589789</v>
      </c>
      <c r="I4409">
        <v>1.10585880491223</v>
      </c>
      <c r="J4409">
        <v>1.13748888692022</v>
      </c>
      <c r="K4409">
        <v>1.0856151352263901</v>
      </c>
      <c r="L4409">
        <v>9861.0839920913295</v>
      </c>
      <c r="M4409">
        <v>161.30638209097501</v>
      </c>
      <c r="O4409">
        <v>61.123233889566599</v>
      </c>
      <c r="P4409">
        <v>7.2364753515153604E-2</v>
      </c>
      <c r="Q4409">
        <v>1.10968364639183</v>
      </c>
      <c r="R4409">
        <v>0.24468635197304001</v>
      </c>
      <c r="S4409" t="s">
        <v>10720</v>
      </c>
      <c r="T4409" t="s">
        <v>12620</v>
      </c>
      <c r="U4409" t="s">
        <v>12620</v>
      </c>
      <c r="V4409" t="s">
        <v>12620</v>
      </c>
      <c r="W4409" t="s">
        <v>16977</v>
      </c>
      <c r="X4409">
        <v>2</v>
      </c>
      <c r="Y4409" t="s">
        <v>23091</v>
      </c>
      <c r="Z4409" t="s">
        <v>29356</v>
      </c>
      <c r="AA4409">
        <v>1.032391893659794</v>
      </c>
      <c r="AB4409" t="str">
        <f>HYPERLINK("Melting_Curves/meltCurve_Q8WVS4_WDR60.pdf", "Melting_Curves/meltCurve_Q8WVS4_WDR60.pdf")</f>
        <v>Melting_Curves/meltCurve_Q8WVS4_WDR60.pdf</v>
      </c>
    </row>
    <row r="4410" spans="1:28" x14ac:dyDescent="0.25">
      <c r="A4410" t="s">
        <v>4414</v>
      </c>
      <c r="B4410">
        <v>0.99987803227770999</v>
      </c>
      <c r="C4410">
        <v>0.77475718695110696</v>
      </c>
      <c r="D4410">
        <v>0.63542399822130802</v>
      </c>
      <c r="E4410">
        <v>0.62339494928263905</v>
      </c>
      <c r="F4410">
        <v>0.35096355110481697</v>
      </c>
      <c r="G4410">
        <v>0.27454832227611298</v>
      </c>
      <c r="H4410">
        <v>0.21345988718637299</v>
      </c>
      <c r="I4410">
        <v>0.19048401218765601</v>
      </c>
      <c r="J4410">
        <v>0.186533510500665</v>
      </c>
      <c r="K4410">
        <v>0.13914581181143601</v>
      </c>
      <c r="L4410">
        <v>484.79076441478401</v>
      </c>
      <c r="M4410">
        <v>9.8672541693033295</v>
      </c>
      <c r="N4410">
        <v>50.338973480520103</v>
      </c>
      <c r="O4410">
        <v>47.240956313615897</v>
      </c>
      <c r="P4410">
        <v>-4.6738008156920703E-2</v>
      </c>
      <c r="Q4410">
        <v>0.105397320202783</v>
      </c>
      <c r="R4410">
        <v>0.96407315399864202</v>
      </c>
      <c r="S4410" t="s">
        <v>10721</v>
      </c>
      <c r="T4410" t="s">
        <v>12620</v>
      </c>
      <c r="U4410" t="s">
        <v>12620</v>
      </c>
      <c r="V4410" t="s">
        <v>12620</v>
      </c>
      <c r="W4410" t="s">
        <v>16978</v>
      </c>
      <c r="X4410">
        <v>8</v>
      </c>
      <c r="Y4410" t="s">
        <v>23092</v>
      </c>
      <c r="Z4410" t="s">
        <v>29357</v>
      </c>
      <c r="AA4410">
        <v>0.42187801530180241</v>
      </c>
      <c r="AB4410" t="str">
        <f>HYPERLINK("Melting_Curves/meltCurve_Q8WVT3_TRAPPC12.pdf", "Melting_Curves/meltCurve_Q8WVT3_TRAPPC12.pdf")</f>
        <v>Melting_Curves/meltCurve_Q8WVT3_TRAPPC12.pdf</v>
      </c>
    </row>
    <row r="4411" spans="1:28" x14ac:dyDescent="0.25">
      <c r="A4411" t="s">
        <v>4415</v>
      </c>
      <c r="B4411">
        <v>0.99987803227770999</v>
      </c>
      <c r="C4411">
        <v>0.978844948436982</v>
      </c>
      <c r="D4411">
        <v>0.93222234394936099</v>
      </c>
      <c r="E4411">
        <v>0.74758936317624702</v>
      </c>
      <c r="F4411">
        <v>0.62204490712354898</v>
      </c>
      <c r="G4411">
        <v>0.46621649882775901</v>
      </c>
      <c r="H4411">
        <v>0.37856269864051101</v>
      </c>
      <c r="I4411">
        <v>0.33740303944848199</v>
      </c>
      <c r="J4411">
        <v>0.288456117187459</v>
      </c>
      <c r="K4411">
        <v>0.22244625433819901</v>
      </c>
      <c r="L4411">
        <v>648.76425559202096</v>
      </c>
      <c r="M4411">
        <v>12.1141783360947</v>
      </c>
      <c r="N4411">
        <v>56.181197813877297</v>
      </c>
      <c r="O4411">
        <v>52.157447451015699</v>
      </c>
      <c r="P4411">
        <v>-4.5520196734620898E-2</v>
      </c>
      <c r="Q4411">
        <v>0.216235520401036</v>
      </c>
      <c r="R4411">
        <v>0.99505300264543595</v>
      </c>
      <c r="S4411" t="s">
        <v>10722</v>
      </c>
      <c r="T4411" t="s">
        <v>12620</v>
      </c>
      <c r="U4411" t="s">
        <v>12620</v>
      </c>
      <c r="V4411" t="s">
        <v>12620</v>
      </c>
      <c r="W4411" t="s">
        <v>16979</v>
      </c>
      <c r="X4411">
        <v>7</v>
      </c>
      <c r="Y4411" t="s">
        <v>23093</v>
      </c>
      <c r="Z4411" t="s">
        <v>29358</v>
      </c>
      <c r="AA4411">
        <v>0.59145728317760016</v>
      </c>
      <c r="AB4411" t="str">
        <f>HYPERLINK("Melting_Curves/meltCurve_Q8WVV4_POF1B.pdf", "Melting_Curves/meltCurve_Q8WVV4_POF1B.pdf")</f>
        <v>Melting_Curves/meltCurve_Q8WVV4_POF1B.pdf</v>
      </c>
    </row>
    <row r="4412" spans="1:28" x14ac:dyDescent="0.25">
      <c r="A4412" t="s">
        <v>4416</v>
      </c>
      <c r="B4412">
        <v>0.99987803227770999</v>
      </c>
      <c r="C4412">
        <v>0.80443786371777903</v>
      </c>
      <c r="D4412">
        <v>0.84194320840465597</v>
      </c>
      <c r="E4412">
        <v>0.48114329216699903</v>
      </c>
      <c r="F4412">
        <v>0.432879459063228</v>
      </c>
      <c r="G4412">
        <v>0.29554671944087901</v>
      </c>
      <c r="H4412">
        <v>0.32151514161524303</v>
      </c>
      <c r="I4412">
        <v>0.34558593618191202</v>
      </c>
      <c r="J4412">
        <v>0.29927228950226697</v>
      </c>
      <c r="K4412">
        <v>0.23300612450087699</v>
      </c>
      <c r="L4412">
        <v>746.89439603707604</v>
      </c>
      <c r="M4412">
        <v>15.565892965110599</v>
      </c>
      <c r="N4412">
        <v>50.619980012482102</v>
      </c>
      <c r="O4412">
        <v>47.211747524025</v>
      </c>
      <c r="P4412">
        <v>-5.95345029965016E-2</v>
      </c>
      <c r="Q4412">
        <v>0.27778446660091699</v>
      </c>
      <c r="R4412">
        <v>0.95854975245698903</v>
      </c>
      <c r="S4412" t="s">
        <v>10723</v>
      </c>
      <c r="T4412" t="s">
        <v>12620</v>
      </c>
      <c r="U4412" t="s">
        <v>12620</v>
      </c>
      <c r="V4412" t="s">
        <v>12620</v>
      </c>
      <c r="W4412" t="s">
        <v>16980</v>
      </c>
      <c r="X4412">
        <v>12</v>
      </c>
      <c r="Y4412" t="s">
        <v>23094</v>
      </c>
      <c r="Z4412" t="s">
        <v>29359</v>
      </c>
      <c r="AA4412">
        <v>0.48723586408332081</v>
      </c>
      <c r="AB4412" t="str">
        <f>HYPERLINK("Melting_Curves/meltCurve_Q8WVV9_4_HNRPLL.pdf", "Melting_Curves/meltCurve_Q8WVV9_4_HNRPLL.pdf")</f>
        <v>Melting_Curves/meltCurve_Q8WVV9_4_HNRPLL.pdf</v>
      </c>
    </row>
    <row r="4413" spans="1:28" x14ac:dyDescent="0.25">
      <c r="A4413" t="s">
        <v>4417</v>
      </c>
      <c r="B4413">
        <v>0.99987803227770999</v>
      </c>
      <c r="C4413">
        <v>0.88102628871067601</v>
      </c>
      <c r="D4413">
        <v>0.97052095891937595</v>
      </c>
      <c r="E4413">
        <v>0.59501455813007498</v>
      </c>
      <c r="F4413">
        <v>0.187662872201495</v>
      </c>
      <c r="G4413">
        <v>0.12957387127463599</v>
      </c>
      <c r="H4413">
        <v>8.0131929463444398E-2</v>
      </c>
      <c r="I4413">
        <v>7.2031879826511602E-2</v>
      </c>
      <c r="J4413">
        <v>5.3041704850601702E-2</v>
      </c>
      <c r="K4413">
        <v>3.7323345180043398E-2</v>
      </c>
      <c r="L4413">
        <v>1754.48044173678</v>
      </c>
      <c r="M4413">
        <v>34.855335257184599</v>
      </c>
      <c r="N4413">
        <v>50.548229522783799</v>
      </c>
      <c r="O4413">
        <v>50.171239576992903</v>
      </c>
      <c r="P4413">
        <v>-0.16186355202717301</v>
      </c>
      <c r="Q4413">
        <v>6.8049025398647905E-2</v>
      </c>
      <c r="R4413">
        <v>0.98864696967065402</v>
      </c>
      <c r="S4413" t="s">
        <v>10724</v>
      </c>
      <c r="T4413" t="s">
        <v>12620</v>
      </c>
      <c r="U4413" t="s">
        <v>12620</v>
      </c>
      <c r="V4413" t="s">
        <v>12620</v>
      </c>
      <c r="W4413" t="s">
        <v>16981</v>
      </c>
      <c r="X4413">
        <v>12</v>
      </c>
      <c r="Y4413" t="s">
        <v>23095</v>
      </c>
      <c r="Z4413" t="s">
        <v>29360</v>
      </c>
      <c r="AA4413">
        <v>0.39342111860597279</v>
      </c>
      <c r="AB4413" t="str">
        <f>HYPERLINK("Melting_Curves/meltCurve_Q8WVY7_UBLCP1.pdf", "Melting_Curves/meltCurve_Q8WVY7_UBLCP1.pdf")</f>
        <v>Melting_Curves/meltCurve_Q8WVY7_UBLCP1.pdf</v>
      </c>
    </row>
    <row r="4414" spans="1:28" x14ac:dyDescent="0.25">
      <c r="A4414" t="s">
        <v>4418</v>
      </c>
      <c r="B4414">
        <v>0.99987803227770999</v>
      </c>
      <c r="C4414">
        <v>0.87325862450567504</v>
      </c>
      <c r="D4414">
        <v>1.02960380298095</v>
      </c>
      <c r="E4414">
        <v>0.95781611510355902</v>
      </c>
      <c r="F4414">
        <v>1.2342931541203299</v>
      </c>
      <c r="G4414">
        <v>1.0778699949950401</v>
      </c>
      <c r="H4414">
        <v>0.78514429532614105</v>
      </c>
      <c r="I4414">
        <v>0.64302107681653498</v>
      </c>
      <c r="J4414">
        <v>0.29835105795663602</v>
      </c>
      <c r="K4414">
        <v>0.18372647297491701</v>
      </c>
      <c r="L4414">
        <v>1884.96491301828</v>
      </c>
      <c r="M4414">
        <v>29.2226224301419</v>
      </c>
      <c r="N4414">
        <v>64.962920869824799</v>
      </c>
      <c r="O4414">
        <v>64.203821526077803</v>
      </c>
      <c r="P4414">
        <v>-0.103169223139276</v>
      </c>
      <c r="Q4414">
        <v>9.3331172568964199E-2</v>
      </c>
      <c r="R4414">
        <v>0.91237694090398902</v>
      </c>
      <c r="S4414" t="s">
        <v>10725</v>
      </c>
      <c r="T4414" t="s">
        <v>12620</v>
      </c>
      <c r="U4414" t="s">
        <v>12620</v>
      </c>
      <c r="V4414" t="s">
        <v>12620</v>
      </c>
      <c r="W4414" t="s">
        <v>16982</v>
      </c>
      <c r="X4414">
        <v>4</v>
      </c>
      <c r="Y4414" t="s">
        <v>23096</v>
      </c>
      <c r="Z4414" t="s">
        <v>29361</v>
      </c>
      <c r="AA4414">
        <v>0.83332701154657007</v>
      </c>
      <c r="AB4414" t="str">
        <f>HYPERLINK("Melting_Curves/meltCurve_Q8WW01_TSEN15.pdf", "Melting_Curves/meltCurve_Q8WW01_TSEN15.pdf")</f>
        <v>Melting_Curves/meltCurve_Q8WW01_TSEN15.pdf</v>
      </c>
    </row>
    <row r="4415" spans="1:28" x14ac:dyDescent="0.25">
      <c r="A4415" t="s">
        <v>4419</v>
      </c>
      <c r="B4415">
        <v>0.99987803227770999</v>
      </c>
      <c r="C4415">
        <v>0.77458349582624297</v>
      </c>
      <c r="D4415">
        <v>1.0411269699421399</v>
      </c>
      <c r="E4415">
        <v>0.84407803115466895</v>
      </c>
      <c r="F4415">
        <v>1.2280760414663501</v>
      </c>
      <c r="G4415">
        <v>1.0398260329270701</v>
      </c>
      <c r="H4415">
        <v>1.1423545520499401</v>
      </c>
      <c r="I4415">
        <v>1.10541579908223</v>
      </c>
      <c r="J4415">
        <v>1.14790543234519</v>
      </c>
      <c r="K4415">
        <v>1.01875382073639</v>
      </c>
      <c r="L4415">
        <v>3549.3383223098099</v>
      </c>
      <c r="M4415">
        <v>68.797689162896901</v>
      </c>
      <c r="O4415">
        <v>51.547415844185998</v>
      </c>
      <c r="P4415">
        <v>3.6865827772538197E-2</v>
      </c>
      <c r="Q4415">
        <v>1.11048845729276</v>
      </c>
      <c r="R4415">
        <v>0.33910871660241598</v>
      </c>
      <c r="S4415" t="s">
        <v>10726</v>
      </c>
      <c r="T4415" t="s">
        <v>12620</v>
      </c>
      <c r="U4415" t="s">
        <v>12620</v>
      </c>
      <c r="V4415" t="s">
        <v>12620</v>
      </c>
      <c r="W4415" t="s">
        <v>16983</v>
      </c>
      <c r="X4415">
        <v>12</v>
      </c>
      <c r="Y4415" t="s">
        <v>23097</v>
      </c>
      <c r="Z4415" t="s">
        <v>29362</v>
      </c>
      <c r="AA4415">
        <v>1.0676671180429129</v>
      </c>
      <c r="AB4415" t="str">
        <f>HYPERLINK("Melting_Curves/meltCurve_Q8WW12_PCNP.pdf", "Melting_Curves/meltCurve_Q8WW12_PCNP.pdf")</f>
        <v>Melting_Curves/meltCurve_Q8WW12_PCNP.pdf</v>
      </c>
    </row>
    <row r="4416" spans="1:28" x14ac:dyDescent="0.25">
      <c r="A4416" t="s">
        <v>4420</v>
      </c>
      <c r="B4416">
        <v>0.99987803227770999</v>
      </c>
      <c r="C4416">
        <v>0.93591569704656297</v>
      </c>
      <c r="D4416">
        <v>0.913276179726074</v>
      </c>
      <c r="E4416">
        <v>0.83204595264761005</v>
      </c>
      <c r="F4416">
        <v>0.82711064859511696</v>
      </c>
      <c r="G4416">
        <v>0.84383204717134297</v>
      </c>
      <c r="H4416">
        <v>0.610845771434953</v>
      </c>
      <c r="I4416">
        <v>0.382135031814404</v>
      </c>
      <c r="J4416">
        <v>0.223099280236013</v>
      </c>
      <c r="K4416">
        <v>8.2623034780616805E-2</v>
      </c>
      <c r="L4416">
        <v>943.474973731825</v>
      </c>
      <c r="M4416">
        <v>15.2297830617755</v>
      </c>
      <c r="N4416">
        <v>61.949337703864302</v>
      </c>
      <c r="O4416">
        <v>60.910728577388298</v>
      </c>
      <c r="P4416">
        <v>-6.2514578730039599E-2</v>
      </c>
      <c r="Q4416">
        <v>0</v>
      </c>
      <c r="R4416">
        <v>0.94584538456301404</v>
      </c>
      <c r="S4416" t="s">
        <v>10727</v>
      </c>
      <c r="T4416" t="s">
        <v>12620</v>
      </c>
      <c r="U4416" t="s">
        <v>12620</v>
      </c>
      <c r="V4416" t="s">
        <v>12620</v>
      </c>
      <c r="W4416" t="s">
        <v>16984</v>
      </c>
      <c r="X4416">
        <v>1</v>
      </c>
      <c r="Y4416" t="s">
        <v>23098</v>
      </c>
      <c r="Z4416" t="s">
        <v>29363</v>
      </c>
      <c r="AA4416">
        <v>0.72956019533663974</v>
      </c>
      <c r="AB4416" t="str">
        <f>HYPERLINK("Melting_Curves/meltCurve_Q8WW35_TCTEX1D2.pdf", "Melting_Curves/meltCurve_Q8WW35_TCTEX1D2.pdf")</f>
        <v>Melting_Curves/meltCurve_Q8WW35_TCTEX1D2.pdf</v>
      </c>
    </row>
    <row r="4417" spans="1:28" x14ac:dyDescent="0.25">
      <c r="A4417" t="s">
        <v>4421</v>
      </c>
      <c r="B4417">
        <v>0.99987803227770999</v>
      </c>
      <c r="C4417">
        <v>0.77561538004990604</v>
      </c>
      <c r="D4417">
        <v>0.90941802582572695</v>
      </c>
      <c r="E4417">
        <v>0.65252489827604998</v>
      </c>
      <c r="F4417">
        <v>0.467250977250452</v>
      </c>
      <c r="G4417">
        <v>0.114052628442546</v>
      </c>
      <c r="H4417">
        <v>0.14763985267055399</v>
      </c>
      <c r="I4417">
        <v>7.2677144432031507E-2</v>
      </c>
      <c r="J4417">
        <v>4.39404997653602E-2</v>
      </c>
      <c r="K4417">
        <v>2.9108046167535699E-2</v>
      </c>
      <c r="L4417">
        <v>733.41574533785797</v>
      </c>
      <c r="M4417">
        <v>14.1361901377179</v>
      </c>
      <c r="N4417">
        <v>51.882125720896397</v>
      </c>
      <c r="O4417">
        <v>50.876987568300301</v>
      </c>
      <c r="P4417">
        <v>-6.9471444458014606E-2</v>
      </c>
      <c r="Q4417">
        <v>0</v>
      </c>
      <c r="R4417">
        <v>0.96390888187497603</v>
      </c>
      <c r="S4417" t="s">
        <v>10728</v>
      </c>
      <c r="T4417" t="s">
        <v>12620</v>
      </c>
      <c r="U4417" t="s">
        <v>12620</v>
      </c>
      <c r="V4417" t="s">
        <v>12620</v>
      </c>
      <c r="W4417" t="s">
        <v>16985</v>
      </c>
      <c r="X4417">
        <v>8</v>
      </c>
      <c r="Y4417" t="s">
        <v>23099</v>
      </c>
      <c r="Z4417" t="s">
        <v>29364</v>
      </c>
      <c r="AA4417">
        <v>0.42062589883460683</v>
      </c>
      <c r="AB4417" t="str">
        <f>HYPERLINK("Melting_Curves/meltCurve_Q8WW59_SPRYD4.pdf", "Melting_Curves/meltCurve_Q8WW59_SPRYD4.pdf")</f>
        <v>Melting_Curves/meltCurve_Q8WW59_SPRYD4.pdf</v>
      </c>
    </row>
    <row r="4418" spans="1:28" x14ac:dyDescent="0.25">
      <c r="A4418" t="s">
        <v>4422</v>
      </c>
      <c r="B4418">
        <v>0.99987803227770999</v>
      </c>
      <c r="C4418">
        <v>1.0205340309569999</v>
      </c>
      <c r="D4418">
        <v>0.98205894889343404</v>
      </c>
      <c r="E4418">
        <v>0.80013310146199501</v>
      </c>
      <c r="F4418">
        <v>0.44488608342205599</v>
      </c>
      <c r="G4418">
        <v>0.23837715793240699</v>
      </c>
      <c r="H4418">
        <v>0.162207404306178</v>
      </c>
      <c r="I4418">
        <v>0.149843142804679</v>
      </c>
      <c r="J4418">
        <v>0.12189447889904199</v>
      </c>
      <c r="K4418">
        <v>6.0956419186121498E-2</v>
      </c>
      <c r="L4418">
        <v>1328.54655894282</v>
      </c>
      <c r="M4418">
        <v>25.4569006773288</v>
      </c>
      <c r="N4418">
        <v>52.746657296378999</v>
      </c>
      <c r="O4418">
        <v>51.869224884824398</v>
      </c>
      <c r="P4418">
        <v>-0.108201804704465</v>
      </c>
      <c r="Q4418">
        <v>0.118152900333983</v>
      </c>
      <c r="R4418">
        <v>0.99519746675090903</v>
      </c>
      <c r="S4418" t="s">
        <v>10729</v>
      </c>
      <c r="T4418" t="s">
        <v>12620</v>
      </c>
      <c r="U4418" t="s">
        <v>12620</v>
      </c>
      <c r="V4418" t="s">
        <v>12620</v>
      </c>
      <c r="W4418" t="s">
        <v>16986</v>
      </c>
      <c r="X4418">
        <v>6</v>
      </c>
      <c r="Y4418" t="s">
        <v>23100</v>
      </c>
      <c r="Z4418" t="s">
        <v>29365</v>
      </c>
      <c r="AA4418">
        <v>0.48420928769807431</v>
      </c>
      <c r="AB4418" t="str">
        <f>HYPERLINK("Melting_Curves/meltCurve_Q8WWH5_TRUB1.pdf", "Melting_Curves/meltCurve_Q8WWH5_TRUB1.pdf")</f>
        <v>Melting_Curves/meltCurve_Q8WWH5_TRUB1.pdf</v>
      </c>
    </row>
    <row r="4419" spans="1:28" x14ac:dyDescent="0.25">
      <c r="A4419" t="s">
        <v>4423</v>
      </c>
      <c r="B4419">
        <v>0.99987803227770999</v>
      </c>
      <c r="C4419">
        <v>1.0305054855356599</v>
      </c>
      <c r="D4419">
        <v>1.0404242992428401</v>
      </c>
      <c r="E4419">
        <v>1.0549898863899001</v>
      </c>
      <c r="F4419">
        <v>0.96967615823170805</v>
      </c>
      <c r="G4419">
        <v>0.81115295941927301</v>
      </c>
      <c r="H4419">
        <v>0.59645868907573196</v>
      </c>
      <c r="I4419">
        <v>0.51712719248185801</v>
      </c>
      <c r="J4419">
        <v>0.44855637990438602</v>
      </c>
      <c r="K4419">
        <v>0.40128205372949599</v>
      </c>
      <c r="L4419">
        <v>1355.35333293281</v>
      </c>
      <c r="M4419">
        <v>22.9039966374872</v>
      </c>
      <c r="N4419">
        <v>63.761773676529899</v>
      </c>
      <c r="O4419">
        <v>58.729842053796901</v>
      </c>
      <c r="P4419">
        <v>-5.8135487091743397E-2</v>
      </c>
      <c r="Q4419">
        <v>0.40373316523118702</v>
      </c>
      <c r="R4419">
        <v>0.98769940493324704</v>
      </c>
      <c r="S4419" t="s">
        <v>10730</v>
      </c>
      <c r="T4419" t="s">
        <v>12620</v>
      </c>
      <c r="U4419" t="s">
        <v>12620</v>
      </c>
      <c r="V4419" t="s">
        <v>12620</v>
      </c>
      <c r="W4419" t="s">
        <v>13300</v>
      </c>
      <c r="X4419">
        <v>35</v>
      </c>
      <c r="Y4419" t="s">
        <v>19544</v>
      </c>
      <c r="Z4419" t="s">
        <v>29366</v>
      </c>
      <c r="AA4419">
        <v>0.79013121815674081</v>
      </c>
      <c r="AB4419" t="str">
        <f>HYPERLINK("Melting_Curves/meltCurve_Q8WWM7_ATXN2L.pdf", "Melting_Curves/meltCurve_Q8WWM7_ATXN2L.pdf")</f>
        <v>Melting_Curves/meltCurve_Q8WWM7_ATXN2L.pdf</v>
      </c>
    </row>
    <row r="4420" spans="1:28" x14ac:dyDescent="0.25">
      <c r="A4420" t="s">
        <v>4424</v>
      </c>
      <c r="B4420">
        <v>0.99987803227770999</v>
      </c>
      <c r="C4420">
        <v>0.85754344356402001</v>
      </c>
      <c r="D4420">
        <v>0.61953042944727199</v>
      </c>
      <c r="E4420">
        <v>0.62638534496984599</v>
      </c>
      <c r="F4420">
        <v>0.82359147876427896</v>
      </c>
      <c r="G4420">
        <v>0.44451795477264999</v>
      </c>
      <c r="H4420">
        <v>0.71245341479759805</v>
      </c>
      <c r="I4420">
        <v>0.55719084144230502</v>
      </c>
      <c r="J4420">
        <v>0.35929593868224202</v>
      </c>
      <c r="K4420">
        <v>0.40342191418262202</v>
      </c>
      <c r="L4420">
        <v>213.90664405433199</v>
      </c>
      <c r="M4420">
        <v>3.3631877962696599</v>
      </c>
      <c r="N4420">
        <v>63.6023514954015</v>
      </c>
      <c r="O4420">
        <v>49.109573564579698</v>
      </c>
      <c r="P4420">
        <v>-1.7498446300428599E-2</v>
      </c>
      <c r="Q4420">
        <v>0</v>
      </c>
      <c r="R4420">
        <v>0.63682513247263794</v>
      </c>
      <c r="S4420" t="s">
        <v>10731</v>
      </c>
      <c r="T4420" t="s">
        <v>12620</v>
      </c>
      <c r="U4420" t="s">
        <v>12620</v>
      </c>
      <c r="V4420" t="s">
        <v>12620</v>
      </c>
      <c r="W4420" t="s">
        <v>16987</v>
      </c>
      <c r="X4420">
        <v>2</v>
      </c>
      <c r="Y4420" t="s">
        <v>23101</v>
      </c>
      <c r="Z4420" t="s">
        <v>29367</v>
      </c>
      <c r="AA4420">
        <v>0.63756827194740595</v>
      </c>
      <c r="AB4420" t="str">
        <f>HYPERLINK("Melting_Curves/meltCurve_Q8WWN8_ARAP3.pdf", "Melting_Curves/meltCurve_Q8WWN8_ARAP3.pdf")</f>
        <v>Melting_Curves/meltCurve_Q8WWN8_ARAP3.pdf</v>
      </c>
    </row>
    <row r="4421" spans="1:28" x14ac:dyDescent="0.25">
      <c r="A4421" t="s">
        <v>4425</v>
      </c>
      <c r="B4421">
        <v>0.99987803227770999</v>
      </c>
      <c r="C4421">
        <v>0.73776967038628505</v>
      </c>
      <c r="D4421">
        <v>0.43968548407132302</v>
      </c>
      <c r="E4421">
        <v>0.21385671156369301</v>
      </c>
      <c r="F4421">
        <v>0.121303788406723</v>
      </c>
      <c r="G4421">
        <v>7.9663592387529306E-2</v>
      </c>
      <c r="H4421">
        <v>6.5662038932246106E-2</v>
      </c>
      <c r="I4421">
        <v>4.7928197345649799E-2</v>
      </c>
      <c r="J4421">
        <v>5.5090993756146699E-2</v>
      </c>
      <c r="K4421">
        <v>4.8135577310450699E-2</v>
      </c>
      <c r="L4421">
        <v>886.66961207182396</v>
      </c>
      <c r="M4421">
        <v>19.591226151864099</v>
      </c>
      <c r="N4421">
        <v>45.548895026149502</v>
      </c>
      <c r="O4421">
        <v>44.794869109411401</v>
      </c>
      <c r="P4421">
        <v>-0.102922996173768</v>
      </c>
      <c r="Q4421">
        <v>5.8709395002125499E-2</v>
      </c>
      <c r="R4421">
        <v>0.99366783585471197</v>
      </c>
      <c r="S4421" t="s">
        <v>10732</v>
      </c>
      <c r="T4421" t="s">
        <v>12620</v>
      </c>
      <c r="U4421" t="s">
        <v>12620</v>
      </c>
      <c r="V4421" t="s">
        <v>12620</v>
      </c>
      <c r="W4421" t="s">
        <v>16988</v>
      </c>
      <c r="X4421">
        <v>2</v>
      </c>
      <c r="Y4421" t="s">
        <v>23102</v>
      </c>
      <c r="Z4421" t="s">
        <v>29368</v>
      </c>
      <c r="AA4421">
        <v>0.2399637675843479</v>
      </c>
      <c r="AB4421" t="str">
        <f>HYPERLINK("Melting_Curves/meltCurve_Q8WWV3_RTN4IP1.pdf", "Melting_Curves/meltCurve_Q8WWV3_RTN4IP1.pdf")</f>
        <v>Melting_Curves/meltCurve_Q8WWV3_RTN4IP1.pdf</v>
      </c>
    </row>
    <row r="4422" spans="1:28" x14ac:dyDescent="0.25">
      <c r="A4422" t="s">
        <v>4426</v>
      </c>
      <c r="B4422">
        <v>0.99987803227770999</v>
      </c>
      <c r="C4422">
        <v>0.90388391801652901</v>
      </c>
      <c r="D4422">
        <v>0.98747281421151001</v>
      </c>
      <c r="E4422">
        <v>0.88995872577378199</v>
      </c>
      <c r="F4422">
        <v>1.06490374057764</v>
      </c>
      <c r="G4422">
        <v>1.36492633570843</v>
      </c>
      <c r="H4422">
        <v>0.867858582319181</v>
      </c>
      <c r="I4422">
        <v>1.2066922560148201</v>
      </c>
      <c r="J4422">
        <v>0.82279638273743905</v>
      </c>
      <c r="K4422">
        <v>0.581132621427219</v>
      </c>
      <c r="L4422">
        <v>15000</v>
      </c>
      <c r="M4422">
        <v>223.57000730246699</v>
      </c>
      <c r="O4422">
        <v>67.087706118767201</v>
      </c>
      <c r="P4422">
        <v>-0.34900419250996301</v>
      </c>
      <c r="Q4422">
        <v>0.58109064427692303</v>
      </c>
      <c r="R4422">
        <v>0.47373418016230501</v>
      </c>
      <c r="S4422" t="s">
        <v>10733</v>
      </c>
      <c r="T4422" t="s">
        <v>12620</v>
      </c>
      <c r="U4422" t="s">
        <v>12620</v>
      </c>
      <c r="V4422" t="s">
        <v>12620</v>
      </c>
      <c r="W4422" t="s">
        <v>16989</v>
      </c>
      <c r="X4422">
        <v>5</v>
      </c>
      <c r="Y4422" t="s">
        <v>23103</v>
      </c>
      <c r="Z4422" t="s">
        <v>29369</v>
      </c>
      <c r="AA4422">
        <v>0.95947002934447456</v>
      </c>
      <c r="AB4422" t="str">
        <f>HYPERLINK("Melting_Curves/meltCurve_Q8WWX9_SELM.pdf", "Melting_Curves/meltCurve_Q8WWX9_SELM.pdf")</f>
        <v>Melting_Curves/meltCurve_Q8WWX9_SELM.pdf</v>
      </c>
    </row>
    <row r="4423" spans="1:28" x14ac:dyDescent="0.25">
      <c r="A4423" t="s">
        <v>4427</v>
      </c>
      <c r="B4423">
        <v>0.99987803227770999</v>
      </c>
      <c r="C4423">
        <v>0.90598853031082205</v>
      </c>
      <c r="D4423">
        <v>0.70724797832307196</v>
      </c>
      <c r="E4423">
        <v>0.46832055212364798</v>
      </c>
      <c r="F4423">
        <v>0.34488736847406798</v>
      </c>
      <c r="G4423">
        <v>0.217615400011308</v>
      </c>
      <c r="H4423">
        <v>0.149720079958644</v>
      </c>
      <c r="I4423">
        <v>0.124675446732652</v>
      </c>
      <c r="J4423">
        <v>9.2597240036978307E-2</v>
      </c>
      <c r="K4423">
        <v>6.9525182838708705E-2</v>
      </c>
      <c r="L4423">
        <v>651.63392933783302</v>
      </c>
      <c r="M4423">
        <v>13.258620884999701</v>
      </c>
      <c r="N4423">
        <v>49.7523618602469</v>
      </c>
      <c r="O4423">
        <v>48.070233953406003</v>
      </c>
      <c r="P4423">
        <v>-6.3835652292788703E-2</v>
      </c>
      <c r="Q4423">
        <v>7.4385131287661402E-2</v>
      </c>
      <c r="R4423">
        <v>0.99585749894938302</v>
      </c>
      <c r="S4423" t="s">
        <v>10734</v>
      </c>
      <c r="T4423" t="s">
        <v>12620</v>
      </c>
      <c r="U4423" t="s">
        <v>12620</v>
      </c>
      <c r="V4423" t="s">
        <v>12620</v>
      </c>
      <c r="W4423" t="s">
        <v>16990</v>
      </c>
      <c r="X4423">
        <v>11</v>
      </c>
      <c r="Y4423" t="s">
        <v>23104</v>
      </c>
      <c r="Z4423" t="s">
        <v>29370</v>
      </c>
      <c r="AA4423">
        <v>0.38505384534399162</v>
      </c>
      <c r="AB4423" t="str">
        <f>HYPERLINK("Melting_Curves/meltCurve_Q8WWY3_PRPF31.pdf", "Melting_Curves/meltCurve_Q8WWY3_PRPF31.pdf")</f>
        <v>Melting_Curves/meltCurve_Q8WWY3_PRPF31.pdf</v>
      </c>
    </row>
    <row r="4424" spans="1:28" x14ac:dyDescent="0.25">
      <c r="A4424" t="s">
        <v>4428</v>
      </c>
      <c r="B4424">
        <v>0.99987803227770999</v>
      </c>
      <c r="C4424">
        <v>0.82379662662256903</v>
      </c>
      <c r="D4424">
        <v>0.93592383883646602</v>
      </c>
      <c r="E4424">
        <v>0.84412660710769905</v>
      </c>
      <c r="F4424">
        <v>1.1129751679415101</v>
      </c>
      <c r="G4424">
        <v>0.75004587851638505</v>
      </c>
      <c r="H4424">
        <v>0.79179237393416102</v>
      </c>
      <c r="I4424">
        <v>0.73845401310275205</v>
      </c>
      <c r="J4424">
        <v>0.63307537227421296</v>
      </c>
      <c r="K4424">
        <v>0.45377311971412998</v>
      </c>
      <c r="L4424">
        <v>542.35320114258502</v>
      </c>
      <c r="M4424">
        <v>7.6858791602944603</v>
      </c>
      <c r="O4424">
        <v>66.264371283745206</v>
      </c>
      <c r="P4424">
        <v>-2.9035100085653701E-2</v>
      </c>
      <c r="Q4424">
        <v>0</v>
      </c>
      <c r="R4424">
        <v>0.68280666922850397</v>
      </c>
      <c r="S4424" t="s">
        <v>10735</v>
      </c>
      <c r="T4424" t="s">
        <v>12620</v>
      </c>
      <c r="U4424" t="s">
        <v>12620</v>
      </c>
      <c r="V4424" t="s">
        <v>12620</v>
      </c>
      <c r="W4424" t="s">
        <v>16991</v>
      </c>
      <c r="X4424">
        <v>2</v>
      </c>
      <c r="Y4424" t="s">
        <v>23105</v>
      </c>
      <c r="Z4424" t="s">
        <v>29371</v>
      </c>
      <c r="AA4424">
        <v>0.84429928690130895</v>
      </c>
      <c r="AB4424" t="str">
        <f>HYPERLINK("Melting_Curves/meltCurve_Q8WWZ3_2_EDARADD.pdf", "Melting_Curves/meltCurve_Q8WWZ3_2_EDARADD.pdf")</f>
        <v>Melting_Curves/meltCurve_Q8WWZ3_2_EDARADD.pdf</v>
      </c>
    </row>
    <row r="4425" spans="1:28" x14ac:dyDescent="0.25">
      <c r="A4425" t="s">
        <v>4429</v>
      </c>
      <c r="B4425">
        <v>0.99987803227770999</v>
      </c>
      <c r="C4425">
        <v>1.10491610017092</v>
      </c>
      <c r="D4425">
        <v>1.12622795929582</v>
      </c>
      <c r="E4425">
        <v>1.06581910610749</v>
      </c>
      <c r="F4425">
        <v>0.63621357700932202</v>
      </c>
      <c r="G4425">
        <v>0.23211435020354501</v>
      </c>
      <c r="H4425">
        <v>0.133888372946324</v>
      </c>
      <c r="I4425">
        <v>0.10361706194956501</v>
      </c>
      <c r="J4425">
        <v>6.8557154497790804E-2</v>
      </c>
      <c r="K4425">
        <v>5.3541926991874801E-2</v>
      </c>
      <c r="L4425">
        <v>2104.7626557497902</v>
      </c>
      <c r="M4425">
        <v>39.116648125793503</v>
      </c>
      <c r="N4425">
        <v>54.0987869856042</v>
      </c>
      <c r="O4425">
        <v>53.667292561587601</v>
      </c>
      <c r="P4425">
        <v>-0.16490579547069401</v>
      </c>
      <c r="Q4425">
        <v>9.5011811833975293E-2</v>
      </c>
      <c r="R4425">
        <v>0.977474255842672</v>
      </c>
      <c r="S4425" t="s">
        <v>10736</v>
      </c>
      <c r="T4425" t="s">
        <v>12620</v>
      </c>
      <c r="U4425" t="s">
        <v>12620</v>
      </c>
      <c r="V4425" t="s">
        <v>12620</v>
      </c>
      <c r="W4425" t="s">
        <v>16992</v>
      </c>
      <c r="X4425">
        <v>17</v>
      </c>
      <c r="Y4425" t="s">
        <v>23106</v>
      </c>
      <c r="Z4425" t="s">
        <v>29372</v>
      </c>
      <c r="AA4425">
        <v>0.51504098829576428</v>
      </c>
      <c r="AB4425" t="str">
        <f>HYPERLINK("Melting_Curves/meltCurve_Q8WX92_NELFB.pdf", "Melting_Curves/meltCurve_Q8WX92_NELFB.pdf")</f>
        <v>Melting_Curves/meltCurve_Q8WX92_NELFB.pdf</v>
      </c>
    </row>
    <row r="4426" spans="1:28" x14ac:dyDescent="0.25">
      <c r="A4426" t="s">
        <v>4430</v>
      </c>
      <c r="B4426">
        <v>0.99987803227770999</v>
      </c>
      <c r="C4426">
        <v>0.92111735761940705</v>
      </c>
      <c r="D4426">
        <v>1.0482666435164301</v>
      </c>
      <c r="E4426">
        <v>0.85366807626956298</v>
      </c>
      <c r="F4426">
        <v>0.61245127590327797</v>
      </c>
      <c r="G4426">
        <v>0.33783371505938697</v>
      </c>
      <c r="H4426">
        <v>0.25990085739667601</v>
      </c>
      <c r="I4426">
        <v>0.242283219427809</v>
      </c>
      <c r="J4426">
        <v>0.21550008080310501</v>
      </c>
      <c r="K4426">
        <v>0.18472755693133799</v>
      </c>
      <c r="L4426">
        <v>1301.2985983035601</v>
      </c>
      <c r="M4426">
        <v>24.496747179047698</v>
      </c>
      <c r="N4426">
        <v>54.346752673514899</v>
      </c>
      <c r="O4426">
        <v>52.771077277864897</v>
      </c>
      <c r="P4426">
        <v>-9.14258048433398E-2</v>
      </c>
      <c r="Q4426">
        <v>0.212210858402825</v>
      </c>
      <c r="R4426">
        <v>0.98984449514424699</v>
      </c>
      <c r="S4426" t="s">
        <v>10737</v>
      </c>
      <c r="T4426" t="s">
        <v>12620</v>
      </c>
      <c r="U4426" t="s">
        <v>12620</v>
      </c>
      <c r="V4426" t="s">
        <v>12620</v>
      </c>
      <c r="W4426" t="s">
        <v>16993</v>
      </c>
      <c r="X4426">
        <v>38</v>
      </c>
      <c r="Y4426" t="s">
        <v>23107</v>
      </c>
      <c r="Z4426" t="s">
        <v>29373</v>
      </c>
      <c r="AA4426">
        <v>0.56431088864088019</v>
      </c>
      <c r="AB4426" t="str">
        <f>HYPERLINK("Melting_Curves/meltCurve_Q8WX93_3_PALLD.pdf", "Melting_Curves/meltCurve_Q8WX93_3_PALLD.pdf")</f>
        <v>Melting_Curves/meltCurve_Q8WX93_3_PALLD.pdf</v>
      </c>
    </row>
    <row r="4427" spans="1:28" x14ac:dyDescent="0.25">
      <c r="A4427" t="s">
        <v>4431</v>
      </c>
      <c r="B4427">
        <v>0.99987803227770999</v>
      </c>
      <c r="C4427">
        <v>1.0417723142995501</v>
      </c>
      <c r="D4427">
        <v>0.61719415182440096</v>
      </c>
      <c r="E4427">
        <v>0.44525615272458802</v>
      </c>
      <c r="F4427">
        <v>0.25835044252494599</v>
      </c>
      <c r="G4427">
        <v>0.16756743651978501</v>
      </c>
      <c r="H4427">
        <v>0.11878386124783</v>
      </c>
      <c r="I4427">
        <v>9.7699520934562301E-2</v>
      </c>
      <c r="J4427">
        <v>9.3829651128731095E-2</v>
      </c>
      <c r="K4427">
        <v>7.1303331587272797E-2</v>
      </c>
      <c r="L4427">
        <v>841.04958306677895</v>
      </c>
      <c r="M4427">
        <v>17.4320434062126</v>
      </c>
      <c r="N4427">
        <v>48.809915564936603</v>
      </c>
      <c r="O4427">
        <v>47.625830053516303</v>
      </c>
      <c r="P4427">
        <v>-8.3181847906648204E-2</v>
      </c>
      <c r="Q4427">
        <v>9.1011265103357303E-2</v>
      </c>
      <c r="R4427">
        <v>0.97372673463680004</v>
      </c>
      <c r="S4427" t="s">
        <v>10738</v>
      </c>
      <c r="T4427" t="s">
        <v>12620</v>
      </c>
      <c r="U4427" t="s">
        <v>12620</v>
      </c>
      <c r="V4427" t="s">
        <v>12620</v>
      </c>
      <c r="W4427" t="s">
        <v>16994</v>
      </c>
      <c r="X4427">
        <v>6</v>
      </c>
      <c r="Y4427" t="s">
        <v>23108</v>
      </c>
      <c r="Z4427" t="s">
        <v>29374</v>
      </c>
      <c r="AA4427">
        <v>0.35800897675183108</v>
      </c>
      <c r="AB4427" t="str">
        <f>HYPERLINK("Melting_Curves/meltCurve_Q8WXA3_2_RUFY2.pdf", "Melting_Curves/meltCurve_Q8WXA3_2_RUFY2.pdf")</f>
        <v>Melting_Curves/meltCurve_Q8WXA3_2_RUFY2.pdf</v>
      </c>
    </row>
    <row r="4428" spans="1:28" x14ac:dyDescent="0.25">
      <c r="A4428" t="s">
        <v>4432</v>
      </c>
      <c r="B4428">
        <v>0.99987803227770999</v>
      </c>
      <c r="C4428">
        <v>1.05933972499506</v>
      </c>
      <c r="D4428">
        <v>0.99055689336965302</v>
      </c>
      <c r="E4428">
        <v>1.0915270779464701</v>
      </c>
      <c r="F4428">
        <v>0.80113891299078899</v>
      </c>
      <c r="G4428">
        <v>0.39833965296309898</v>
      </c>
      <c r="H4428">
        <v>0.218210290702362</v>
      </c>
      <c r="I4428">
        <v>0.19638558477208901</v>
      </c>
      <c r="J4428">
        <v>0.16593893987059199</v>
      </c>
      <c r="K4428">
        <v>0.115671492842941</v>
      </c>
      <c r="L4428">
        <v>1788.7830825507599</v>
      </c>
      <c r="M4428">
        <v>32.334586325088701</v>
      </c>
      <c r="N4428">
        <v>55.9904564975241</v>
      </c>
      <c r="O4428">
        <v>55.110735258375399</v>
      </c>
      <c r="P4428">
        <v>-0.123165653947616</v>
      </c>
      <c r="Q4428">
        <v>0.16031498126886001</v>
      </c>
      <c r="R4428">
        <v>0.98621467717574296</v>
      </c>
      <c r="S4428" t="s">
        <v>10739</v>
      </c>
      <c r="T4428" t="s">
        <v>12620</v>
      </c>
      <c r="U4428" t="s">
        <v>12620</v>
      </c>
      <c r="V4428" t="s">
        <v>12620</v>
      </c>
      <c r="W4428" t="s">
        <v>16995</v>
      </c>
      <c r="X4428">
        <v>8</v>
      </c>
      <c r="Y4428" t="s">
        <v>23109</v>
      </c>
      <c r="Z4428" t="s">
        <v>29375</v>
      </c>
      <c r="AA4428">
        <v>0.59398734269591469</v>
      </c>
      <c r="AB4428" t="str">
        <f>HYPERLINK("Melting_Curves/meltCurve_Q8WXA9_2_SREK1.pdf", "Melting_Curves/meltCurve_Q8WXA9_2_SREK1.pdf")</f>
        <v>Melting_Curves/meltCurve_Q8WXA9_2_SREK1.pdf</v>
      </c>
    </row>
    <row r="4429" spans="1:28" x14ac:dyDescent="0.25">
      <c r="A4429" t="s">
        <v>4433</v>
      </c>
      <c r="B4429">
        <v>0.99987803227770999</v>
      </c>
      <c r="C4429">
        <v>1.0616904872288999</v>
      </c>
      <c r="D4429">
        <v>0.96917842817276401</v>
      </c>
      <c r="E4429">
        <v>0.94137626533673202</v>
      </c>
      <c r="F4429">
        <v>1.0196568519292999</v>
      </c>
      <c r="G4429">
        <v>0.64150955856161396</v>
      </c>
      <c r="H4429">
        <v>0.36943769126676501</v>
      </c>
      <c r="I4429">
        <v>0.243740606762094</v>
      </c>
      <c r="J4429">
        <v>0.18937980613080399</v>
      </c>
      <c r="K4429">
        <v>0.147259992998865</v>
      </c>
      <c r="L4429">
        <v>1524.8720836614</v>
      </c>
      <c r="M4429">
        <v>26.254640627233702</v>
      </c>
      <c r="N4429">
        <v>58.955752286816598</v>
      </c>
      <c r="O4429">
        <v>57.7462872343066</v>
      </c>
      <c r="P4429">
        <v>-9.5313063800864101E-2</v>
      </c>
      <c r="Q4429">
        <v>0.16145650766219699</v>
      </c>
      <c r="R4429">
        <v>0.98741260197938996</v>
      </c>
      <c r="S4429" t="s">
        <v>10740</v>
      </c>
      <c r="T4429" t="s">
        <v>12620</v>
      </c>
      <c r="U4429" t="s">
        <v>12620</v>
      </c>
      <c r="V4429" t="s">
        <v>12620</v>
      </c>
      <c r="W4429" t="s">
        <v>16996</v>
      </c>
      <c r="X4429">
        <v>3</v>
      </c>
      <c r="Y4429" t="s">
        <v>23110</v>
      </c>
      <c r="Z4429" t="s">
        <v>29376</v>
      </c>
      <c r="AA4429">
        <v>0.67360103842761332</v>
      </c>
      <c r="AB4429" t="str">
        <f>HYPERLINK("Melting_Curves/meltCurve_Q8WXB1_METTL21A.pdf", "Melting_Curves/meltCurve_Q8WXB1_METTL21A.pdf")</f>
        <v>Melting_Curves/meltCurve_Q8WXB1_METTL21A.pdf</v>
      </c>
    </row>
    <row r="4430" spans="1:28" x14ac:dyDescent="0.25">
      <c r="A4430" t="s">
        <v>4434</v>
      </c>
      <c r="B4430">
        <v>0.99987803227770999</v>
      </c>
      <c r="C4430">
        <v>0.96923662503770003</v>
      </c>
      <c r="D4430">
        <v>1.0401997295921399</v>
      </c>
      <c r="E4430">
        <v>0.98939373415578702</v>
      </c>
      <c r="F4430">
        <v>1.08636825325231</v>
      </c>
      <c r="G4430">
        <v>0.891444819020482</v>
      </c>
      <c r="H4430">
        <v>0.86426365382343995</v>
      </c>
      <c r="I4430">
        <v>0.82713852202610505</v>
      </c>
      <c r="J4430">
        <v>0.61504110524379396</v>
      </c>
      <c r="K4430">
        <v>0.472587801442233</v>
      </c>
      <c r="L4430">
        <v>1018.4445674237101</v>
      </c>
      <c r="M4430">
        <v>14.6539181046245</v>
      </c>
      <c r="N4430">
        <v>69.499801014710201</v>
      </c>
      <c r="O4430">
        <v>68.244018594432404</v>
      </c>
      <c r="P4430">
        <v>-5.36880028420414E-2</v>
      </c>
      <c r="Q4430">
        <v>0</v>
      </c>
      <c r="R4430">
        <v>0.94149851967538101</v>
      </c>
      <c r="S4430" t="s">
        <v>10741</v>
      </c>
      <c r="T4430" t="s">
        <v>12620</v>
      </c>
      <c r="U4430" t="s">
        <v>12620</v>
      </c>
      <c r="V4430" t="s">
        <v>12620</v>
      </c>
      <c r="W4430" t="s">
        <v>16997</v>
      </c>
      <c r="X4430">
        <v>5</v>
      </c>
      <c r="Y4430" t="s">
        <v>23111</v>
      </c>
      <c r="Z4430" t="s">
        <v>29377</v>
      </c>
      <c r="AA4430">
        <v>0.89648456232327089</v>
      </c>
      <c r="AB4430" t="str">
        <f>HYPERLINK("Melting_Curves/meltCurve_Q8WXD5_GEMIN6.pdf", "Melting_Curves/meltCurve_Q8WXD5_GEMIN6.pdf")</f>
        <v>Melting_Curves/meltCurve_Q8WXD5_GEMIN6.pdf</v>
      </c>
    </row>
    <row r="4431" spans="1:28" x14ac:dyDescent="0.25">
      <c r="A4431" t="s">
        <v>4435</v>
      </c>
      <c r="B4431">
        <v>0.99987803227770999</v>
      </c>
      <c r="C4431">
        <v>0.94926014137729797</v>
      </c>
      <c r="D4431">
        <v>0.89331724690290704</v>
      </c>
      <c r="E4431">
        <v>0.83841378547927503</v>
      </c>
      <c r="F4431">
        <v>0.948709802880219</v>
      </c>
      <c r="G4431">
        <v>0.62595363568843299</v>
      </c>
      <c r="H4431">
        <v>0.90487522069880899</v>
      </c>
      <c r="I4431">
        <v>1.11520882163777</v>
      </c>
      <c r="J4431">
        <v>0.606524670266962</v>
      </c>
      <c r="K4431">
        <v>0.43594531922868301</v>
      </c>
      <c r="L4431">
        <v>375.08629617356002</v>
      </c>
      <c r="M4431">
        <v>4.8425769631220303</v>
      </c>
      <c r="O4431">
        <v>67.086368428595307</v>
      </c>
      <c r="P4431">
        <v>-1.8169385183504101E-2</v>
      </c>
      <c r="Q4431">
        <v>0</v>
      </c>
      <c r="R4431">
        <v>0.32083901252506902</v>
      </c>
      <c r="S4431" t="s">
        <v>10742</v>
      </c>
      <c r="T4431" t="s">
        <v>12620</v>
      </c>
      <c r="U4431" t="s">
        <v>12620</v>
      </c>
      <c r="V4431" t="s">
        <v>12620</v>
      </c>
      <c r="W4431" t="s">
        <v>16998</v>
      </c>
      <c r="X4431">
        <v>14</v>
      </c>
      <c r="Y4431" t="s">
        <v>23112</v>
      </c>
      <c r="Z4431" t="s">
        <v>29378</v>
      </c>
      <c r="AA4431">
        <v>0.8529856821330597</v>
      </c>
      <c r="AB4431" t="str">
        <f>HYPERLINK("Melting_Curves/meltCurve_Q8WXE0_CASKIN2.pdf", "Melting_Curves/meltCurve_Q8WXE0_CASKIN2.pdf")</f>
        <v>Melting_Curves/meltCurve_Q8WXE0_CASKIN2.pdf</v>
      </c>
    </row>
    <row r="4432" spans="1:28" x14ac:dyDescent="0.25">
      <c r="A4432" t="s">
        <v>4436</v>
      </c>
      <c r="B4432">
        <v>0.99987803227770999</v>
      </c>
      <c r="C4432">
        <v>1.0345233791658399</v>
      </c>
      <c r="D4432">
        <v>0.78407590667423499</v>
      </c>
      <c r="E4432">
        <v>0.86100222230281698</v>
      </c>
      <c r="F4432">
        <v>0.64297452103429598</v>
      </c>
      <c r="G4432">
        <v>0.36582889162976501</v>
      </c>
      <c r="H4432">
        <v>0.18066120564786101</v>
      </c>
      <c r="I4432">
        <v>0.16188009552263799</v>
      </c>
      <c r="J4432">
        <v>0.11646453115192899</v>
      </c>
      <c r="K4432">
        <v>5.81557375737322E-2</v>
      </c>
      <c r="L4432">
        <v>751.19709513603505</v>
      </c>
      <c r="M4432">
        <v>13.6952899557769</v>
      </c>
      <c r="N4432">
        <v>55.010699889354299</v>
      </c>
      <c r="O4432">
        <v>53.720924525253103</v>
      </c>
      <c r="P4432">
        <v>-6.2498566157557597E-2</v>
      </c>
      <c r="Q4432">
        <v>1.95176125034884E-2</v>
      </c>
      <c r="R4432">
        <v>0.97526207517563801</v>
      </c>
      <c r="S4432" t="s">
        <v>10743</v>
      </c>
      <c r="T4432" t="s">
        <v>12620</v>
      </c>
      <c r="U4432" t="s">
        <v>12620</v>
      </c>
      <c r="V4432" t="s">
        <v>12620</v>
      </c>
      <c r="W4432" t="s">
        <v>16999</v>
      </c>
      <c r="X4432">
        <v>2</v>
      </c>
      <c r="Y4432" t="s">
        <v>23113</v>
      </c>
      <c r="Z4432" t="s">
        <v>29379</v>
      </c>
      <c r="AA4432">
        <v>0.52583970395842927</v>
      </c>
      <c r="AB4432" t="str">
        <f>HYPERLINK("Melting_Curves/meltCurve_Q8WXE1_2_ATRIP.pdf", "Melting_Curves/meltCurve_Q8WXE1_2_ATRIP.pdf")</f>
        <v>Melting_Curves/meltCurve_Q8WXE1_2_ATRIP.pdf</v>
      </c>
    </row>
    <row r="4433" spans="1:28" x14ac:dyDescent="0.25">
      <c r="A4433" t="s">
        <v>4437</v>
      </c>
      <c r="B4433">
        <v>0.99987803227770999</v>
      </c>
      <c r="C4433">
        <v>0.99936228857931197</v>
      </c>
      <c r="D4433">
        <v>1.02603165121233</v>
      </c>
      <c r="E4433">
        <v>0.87000612735419902</v>
      </c>
      <c r="F4433">
        <v>0.70346740410396302</v>
      </c>
      <c r="G4433">
        <v>0.465073919203562</v>
      </c>
      <c r="H4433">
        <v>0.35250217496387698</v>
      </c>
      <c r="I4433">
        <v>0.29688756532411498</v>
      </c>
      <c r="J4433">
        <v>0.27650562367774301</v>
      </c>
      <c r="K4433">
        <v>0.220111028380613</v>
      </c>
      <c r="L4433">
        <v>995.89616128062903</v>
      </c>
      <c r="M4433">
        <v>18.2936645075416</v>
      </c>
      <c r="N4433">
        <v>56.456219776729498</v>
      </c>
      <c r="O4433">
        <v>53.801396714128998</v>
      </c>
      <c r="P4433">
        <v>-6.46163006232333E-2</v>
      </c>
      <c r="Q4433">
        <v>0.23989297930214301</v>
      </c>
      <c r="R4433">
        <v>0.99544581516214803</v>
      </c>
      <c r="S4433" t="s">
        <v>10744</v>
      </c>
      <c r="T4433" t="s">
        <v>12620</v>
      </c>
      <c r="U4433" t="s">
        <v>12620</v>
      </c>
      <c r="V4433" t="s">
        <v>12620</v>
      </c>
      <c r="W4433" t="s">
        <v>17000</v>
      </c>
      <c r="X4433">
        <v>18</v>
      </c>
      <c r="Y4433" t="s">
        <v>23114</v>
      </c>
      <c r="Z4433" t="s">
        <v>29380</v>
      </c>
      <c r="AA4433">
        <v>0.61746808749166537</v>
      </c>
      <c r="AB4433" t="str">
        <f>HYPERLINK("Melting_Curves/meltCurve_Q8WXF1_PSPC1.pdf", "Melting_Curves/meltCurve_Q8WXF1_PSPC1.pdf")</f>
        <v>Melting_Curves/meltCurve_Q8WXF1_PSPC1.pdf</v>
      </c>
    </row>
    <row r="4434" spans="1:28" x14ac:dyDescent="0.25">
      <c r="A4434" t="s">
        <v>4438</v>
      </c>
      <c r="B4434">
        <v>0.99987803227770999</v>
      </c>
      <c r="C4434">
        <v>1.0002942006314199</v>
      </c>
      <c r="D4434">
        <v>0.92849460132119899</v>
      </c>
      <c r="E4434">
        <v>0.60044078369348897</v>
      </c>
      <c r="F4434">
        <v>0.38228022508524201</v>
      </c>
      <c r="G4434">
        <v>0.20725749664536</v>
      </c>
      <c r="H4434">
        <v>0.208767873426493</v>
      </c>
      <c r="I4434">
        <v>0.156830286417043</v>
      </c>
      <c r="J4434">
        <v>0.16571834515865</v>
      </c>
      <c r="K4434">
        <v>0.148717296851679</v>
      </c>
      <c r="L4434">
        <v>1151.4340932799701</v>
      </c>
      <c r="M4434">
        <v>22.8552647973736</v>
      </c>
      <c r="N4434">
        <v>51.260241487213797</v>
      </c>
      <c r="O4434">
        <v>49.998453551373402</v>
      </c>
      <c r="P4434">
        <v>-9.5722628437960797E-2</v>
      </c>
      <c r="Q4434">
        <v>0.162400173021477</v>
      </c>
      <c r="R4434">
        <v>0.99804429383878401</v>
      </c>
      <c r="S4434" t="s">
        <v>10745</v>
      </c>
      <c r="T4434" t="s">
        <v>12620</v>
      </c>
      <c r="U4434" t="s">
        <v>12620</v>
      </c>
      <c r="V4434" t="s">
        <v>12620</v>
      </c>
      <c r="W4434" t="s">
        <v>17001</v>
      </c>
      <c r="X4434">
        <v>3</v>
      </c>
      <c r="Y4434" t="s">
        <v>23115</v>
      </c>
      <c r="Z4434" t="s">
        <v>29381</v>
      </c>
      <c r="AA4434">
        <v>0.46117204748134177</v>
      </c>
      <c r="AB4434" t="str">
        <f>HYPERLINK("Melting_Curves/meltCurve_Q8WXI2_5_CNKSR2.pdf", "Melting_Curves/meltCurve_Q8WXI2_5_CNKSR2.pdf")</f>
        <v>Melting_Curves/meltCurve_Q8WXI2_5_CNKSR2.pdf</v>
      </c>
    </row>
    <row r="4435" spans="1:28" x14ac:dyDescent="0.25">
      <c r="A4435" t="s">
        <v>4439</v>
      </c>
      <c r="B4435">
        <v>0.99987803227770999</v>
      </c>
      <c r="C4435">
        <v>0.97243764767547702</v>
      </c>
      <c r="D4435">
        <v>0.64440312109405595</v>
      </c>
      <c r="E4435">
        <v>0.60124841297442499</v>
      </c>
      <c r="F4435">
        <v>0.217329515936134</v>
      </c>
      <c r="G4435">
        <v>0.15038292487277799</v>
      </c>
      <c r="H4435">
        <v>0.109210741449143</v>
      </c>
      <c r="I4435">
        <v>7.4217699066420201E-2</v>
      </c>
      <c r="J4435">
        <v>7.8205370019464801E-2</v>
      </c>
      <c r="K4435">
        <v>6.56321375716446E-2</v>
      </c>
      <c r="L4435">
        <v>747.25923493712196</v>
      </c>
      <c r="M4435">
        <v>15.157027256382699</v>
      </c>
      <c r="N4435">
        <v>49.651300364064298</v>
      </c>
      <c r="O4435">
        <v>48.466879095839602</v>
      </c>
      <c r="P4435">
        <v>-7.4226952821290396E-2</v>
      </c>
      <c r="Q4435">
        <v>5.0684568061484199E-2</v>
      </c>
      <c r="R4435">
        <v>0.96866003479986196</v>
      </c>
      <c r="S4435" t="s">
        <v>10746</v>
      </c>
      <c r="T4435" t="s">
        <v>12620</v>
      </c>
      <c r="U4435" t="s">
        <v>12620</v>
      </c>
      <c r="V4435" t="s">
        <v>12620</v>
      </c>
      <c r="W4435" t="s">
        <v>17002</v>
      </c>
      <c r="X4435">
        <v>3</v>
      </c>
      <c r="Y4435" t="s">
        <v>23116</v>
      </c>
      <c r="Z4435" t="s">
        <v>29382</v>
      </c>
      <c r="AA4435">
        <v>0.36774184823143402</v>
      </c>
      <c r="AB4435" t="str">
        <f>HYPERLINK("Melting_Curves/meltCurve_Q8WXI4_2_ACOT11.pdf", "Melting_Curves/meltCurve_Q8WXI4_2_ACOT11.pdf")</f>
        <v>Melting_Curves/meltCurve_Q8WXI4_2_ACOT11.pdf</v>
      </c>
    </row>
    <row r="4436" spans="1:28" x14ac:dyDescent="0.25">
      <c r="A4436" t="s">
        <v>4440</v>
      </c>
      <c r="B4436">
        <v>0.99987803227770999</v>
      </c>
      <c r="C4436">
        <v>0.93883908878865296</v>
      </c>
      <c r="D4436">
        <v>0.85225905219590004</v>
      </c>
      <c r="E4436">
        <v>0.78844843076099702</v>
      </c>
      <c r="F4436">
        <v>0.81791885966669498</v>
      </c>
      <c r="G4436">
        <v>0.55421216509063298</v>
      </c>
      <c r="H4436">
        <v>0.61604763621623704</v>
      </c>
      <c r="I4436">
        <v>0.63504478367394201</v>
      </c>
      <c r="J4436">
        <v>0.63232788825824404</v>
      </c>
      <c r="K4436">
        <v>0.511621305146717</v>
      </c>
      <c r="L4436">
        <v>506.962705933476</v>
      </c>
      <c r="M4436">
        <v>9.9098552469689807</v>
      </c>
      <c r="O4436">
        <v>49.204980160276001</v>
      </c>
      <c r="P4436">
        <v>-2.3311709339195099E-2</v>
      </c>
      <c r="Q4436">
        <v>0.53723853061953897</v>
      </c>
      <c r="R4436">
        <v>0.88567765725294301</v>
      </c>
      <c r="S4436" t="s">
        <v>10747</v>
      </c>
      <c r="T4436" t="s">
        <v>12620</v>
      </c>
      <c r="U4436" t="s">
        <v>12620</v>
      </c>
      <c r="V4436" t="s">
        <v>12620</v>
      </c>
      <c r="W4436" t="s">
        <v>17003</v>
      </c>
      <c r="X4436">
        <v>17</v>
      </c>
      <c r="Y4436" t="s">
        <v>23117</v>
      </c>
      <c r="Z4436" t="s">
        <v>29383</v>
      </c>
      <c r="AA4436">
        <v>0.72853970433729642</v>
      </c>
      <c r="AB4436" t="str">
        <f>HYPERLINK("Melting_Curves/meltCurve_Q8WXI9_GATAD2B.pdf", "Melting_Curves/meltCurve_Q8WXI9_GATAD2B.pdf")</f>
        <v>Melting_Curves/meltCurve_Q8WXI9_GATAD2B.pdf</v>
      </c>
    </row>
    <row r="4437" spans="1:28" x14ac:dyDescent="0.25">
      <c r="A4437" t="s">
        <v>4441</v>
      </c>
      <c r="B4437">
        <v>0.99987803227770999</v>
      </c>
      <c r="C4437">
        <v>0.94004759489191203</v>
      </c>
      <c r="D4437">
        <v>0.55650239216837105</v>
      </c>
      <c r="E4437">
        <v>0.44224700238893799</v>
      </c>
      <c r="F4437">
        <v>0.32159374595152102</v>
      </c>
      <c r="G4437">
        <v>0.23440810015418301</v>
      </c>
      <c r="H4437">
        <v>0.17594990376724701</v>
      </c>
      <c r="I4437">
        <v>0.15583767530199899</v>
      </c>
      <c r="J4437">
        <v>0.11893721208323101</v>
      </c>
      <c r="K4437">
        <v>9.9940482510758905E-2</v>
      </c>
      <c r="L4437">
        <v>683.447747536468</v>
      </c>
      <c r="M4437">
        <v>14.3502889977393</v>
      </c>
      <c r="N4437">
        <v>48.627339861305799</v>
      </c>
      <c r="O4437">
        <v>46.729848585725001</v>
      </c>
      <c r="P4437">
        <v>-6.6960296852420706E-2</v>
      </c>
      <c r="Q4437">
        <v>0.12791483902259701</v>
      </c>
      <c r="R4437">
        <v>0.97131249295672595</v>
      </c>
      <c r="S4437" t="s">
        <v>10748</v>
      </c>
      <c r="T4437" t="s">
        <v>12620</v>
      </c>
      <c r="U4437" t="s">
        <v>12620</v>
      </c>
      <c r="V4437" t="s">
        <v>12620</v>
      </c>
      <c r="W4437" t="s">
        <v>17004</v>
      </c>
      <c r="X4437">
        <v>3</v>
      </c>
      <c r="Y4437" t="s">
        <v>23118</v>
      </c>
      <c r="Z4437" t="s">
        <v>29384</v>
      </c>
      <c r="AA4437">
        <v>0.37457211228718412</v>
      </c>
      <c r="AB4437" t="str">
        <f>HYPERLINK("Melting_Curves/meltCurve_Q8WXW3_PIBF1.pdf", "Melting_Curves/meltCurve_Q8WXW3_PIBF1.pdf")</f>
        <v>Melting_Curves/meltCurve_Q8WXW3_PIBF1.pdf</v>
      </c>
    </row>
    <row r="4438" spans="1:28" x14ac:dyDescent="0.25">
      <c r="A4438" t="s">
        <v>4442</v>
      </c>
      <c r="B4438">
        <v>0.99987803227770999</v>
      </c>
      <c r="C4438">
        <v>0.91086937996779005</v>
      </c>
      <c r="D4438">
        <v>1.0988383466003999</v>
      </c>
      <c r="E4438">
        <v>0.98970800998400099</v>
      </c>
      <c r="F4438">
        <v>1.13623171726754</v>
      </c>
      <c r="G4438">
        <v>0.72720041294323901</v>
      </c>
      <c r="H4438">
        <v>0.46644206525648502</v>
      </c>
      <c r="I4438">
        <v>0.380424288258775</v>
      </c>
      <c r="J4438">
        <v>0.31467660029807798</v>
      </c>
      <c r="K4438">
        <v>0.25398183496898202</v>
      </c>
      <c r="L4438">
        <v>1850.51416139091</v>
      </c>
      <c r="M4438">
        <v>31.6756034434719</v>
      </c>
      <c r="N4438">
        <v>60.1492860441899</v>
      </c>
      <c r="O4438">
        <v>58.189434895302</v>
      </c>
      <c r="P4438">
        <v>-9.5427270797312697E-2</v>
      </c>
      <c r="Q4438">
        <v>0.29878782590181202</v>
      </c>
      <c r="R4438">
        <v>0.95154273125350997</v>
      </c>
      <c r="S4438" t="s">
        <v>10749</v>
      </c>
      <c r="T4438" t="s">
        <v>12620</v>
      </c>
      <c r="U4438" t="s">
        <v>12620</v>
      </c>
      <c r="V4438" t="s">
        <v>12620</v>
      </c>
      <c r="W4438" t="s">
        <v>17005</v>
      </c>
      <c r="X4438">
        <v>20</v>
      </c>
      <c r="Y4438" t="s">
        <v>23119</v>
      </c>
      <c r="Z4438" t="s">
        <v>29385</v>
      </c>
      <c r="AA4438">
        <v>0.73353652360536004</v>
      </c>
      <c r="AB4438" t="str">
        <f>HYPERLINK("Melting_Curves/meltCurve_Q8WXX5_DNAJC9.pdf", "Melting_Curves/meltCurve_Q8WXX5_DNAJC9.pdf")</f>
        <v>Melting_Curves/meltCurve_Q8WXX5_DNAJC9.pdf</v>
      </c>
    </row>
    <row r="4439" spans="1:28" x14ac:dyDescent="0.25">
      <c r="A4439" t="s">
        <v>4443</v>
      </c>
      <c r="B4439">
        <v>0.99987803227770999</v>
      </c>
      <c r="C4439">
        <v>1.0266575040685499</v>
      </c>
      <c r="D4439">
        <v>0.76912020987769003</v>
      </c>
      <c r="E4439">
        <v>0.63012037690651801</v>
      </c>
      <c r="F4439">
        <v>0.32535016445412601</v>
      </c>
      <c r="G4439">
        <v>0.19968536616732399</v>
      </c>
      <c r="H4439">
        <v>0.122444293658759</v>
      </c>
      <c r="I4439">
        <v>0.102453486451223</v>
      </c>
      <c r="J4439">
        <v>7.3510794200129306E-2</v>
      </c>
      <c r="K4439">
        <v>5.6396736416310697E-2</v>
      </c>
      <c r="L4439">
        <v>819.63363262038399</v>
      </c>
      <c r="M4439">
        <v>16.196833818206098</v>
      </c>
      <c r="N4439">
        <v>51.001482973330297</v>
      </c>
      <c r="O4439">
        <v>49.852019206999401</v>
      </c>
      <c r="P4439">
        <v>-7.6420477426730804E-2</v>
      </c>
      <c r="Q4439">
        <v>5.9216114804981901E-2</v>
      </c>
      <c r="R4439">
        <v>0.98789902531278495</v>
      </c>
      <c r="S4439" t="s">
        <v>10750</v>
      </c>
      <c r="T4439" t="s">
        <v>12620</v>
      </c>
      <c r="U4439" t="s">
        <v>12620</v>
      </c>
      <c r="V4439" t="s">
        <v>12620</v>
      </c>
      <c r="W4439" t="s">
        <v>17006</v>
      </c>
      <c r="X4439">
        <v>7</v>
      </c>
      <c r="Y4439" t="s">
        <v>23120</v>
      </c>
      <c r="Z4439" t="s">
        <v>29386</v>
      </c>
      <c r="AA4439">
        <v>0.41103553008095789</v>
      </c>
      <c r="AB4439" t="str">
        <f>HYPERLINK("Melting_Curves/meltCurve_Q8WYA0_IFT81.pdf", "Melting_Curves/meltCurve_Q8WYA0_IFT81.pdf")</f>
        <v>Melting_Curves/meltCurve_Q8WYA0_IFT81.pdf</v>
      </c>
    </row>
    <row r="4440" spans="1:28" x14ac:dyDescent="0.25">
      <c r="A4440" t="s">
        <v>4444</v>
      </c>
      <c r="B4440">
        <v>0.99987803227770999</v>
      </c>
      <c r="C4440">
        <v>0.84592028783592899</v>
      </c>
      <c r="D4440">
        <v>0.48585742283963201</v>
      </c>
      <c r="E4440">
        <v>0.38017776027670902</v>
      </c>
      <c r="F4440">
        <v>0.23621085833024499</v>
      </c>
      <c r="G4440">
        <v>0.137999292433065</v>
      </c>
      <c r="H4440">
        <v>0.10124345293798701</v>
      </c>
      <c r="I4440">
        <v>7.4596005207357999E-2</v>
      </c>
      <c r="J4440">
        <v>6.0217329309018998E-2</v>
      </c>
      <c r="K4440">
        <v>3.9146246983499597E-2</v>
      </c>
      <c r="L4440">
        <v>671.15086658966095</v>
      </c>
      <c r="M4440">
        <v>14.316183312927199</v>
      </c>
      <c r="N4440">
        <v>47.2942534337528</v>
      </c>
      <c r="O4440">
        <v>45.994312882646298</v>
      </c>
      <c r="P4440">
        <v>-7.3244441095787594E-2</v>
      </c>
      <c r="Q4440">
        <v>5.8850001967768503E-2</v>
      </c>
      <c r="R4440">
        <v>0.97835310200061598</v>
      </c>
      <c r="S4440" t="s">
        <v>10751</v>
      </c>
      <c r="T4440" t="s">
        <v>12620</v>
      </c>
      <c r="U4440" t="s">
        <v>12620</v>
      </c>
      <c r="V4440" t="s">
        <v>12620</v>
      </c>
      <c r="W4440" t="s">
        <v>17007</v>
      </c>
      <c r="X4440">
        <v>10</v>
      </c>
      <c r="Y4440" t="s">
        <v>23121</v>
      </c>
      <c r="Z4440" t="s">
        <v>29387</v>
      </c>
      <c r="AA4440">
        <v>0.30304940257758672</v>
      </c>
      <c r="AB4440" t="str">
        <f>HYPERLINK("Melting_Curves/meltCurve_Q8WYA6_CTNNBL1.pdf", "Melting_Curves/meltCurve_Q8WYA6_CTNNBL1.pdf")</f>
        <v>Melting_Curves/meltCurve_Q8WYA6_CTNNBL1.pdf</v>
      </c>
    </row>
    <row r="4441" spans="1:28" x14ac:dyDescent="0.25">
      <c r="A4441" t="s">
        <v>4445</v>
      </c>
      <c r="B4441">
        <v>0.99987803227770999</v>
      </c>
      <c r="C4441">
        <v>0.99411330977187795</v>
      </c>
      <c r="D4441">
        <v>0.91698655818015695</v>
      </c>
      <c r="E4441">
        <v>0.79689836706870698</v>
      </c>
      <c r="F4441">
        <v>0.69026662733251798</v>
      </c>
      <c r="G4441">
        <v>0.53341220037092096</v>
      </c>
      <c r="H4441">
        <v>0.44906322756155298</v>
      </c>
      <c r="I4441">
        <v>0.381276725917014</v>
      </c>
      <c r="J4441">
        <v>0.42195289465830299</v>
      </c>
      <c r="K4441">
        <v>0.34860164756753598</v>
      </c>
      <c r="L4441">
        <v>705.00074072634095</v>
      </c>
      <c r="M4441">
        <v>13.239116553030501</v>
      </c>
      <c r="N4441">
        <v>58.312915683921503</v>
      </c>
      <c r="O4441">
        <v>52.080362640447298</v>
      </c>
      <c r="P4441">
        <v>-4.1852407792258801E-2</v>
      </c>
      <c r="Q4441">
        <v>0.34154822892328501</v>
      </c>
      <c r="R4441">
        <v>0.99455769729674903</v>
      </c>
      <c r="S4441" t="s">
        <v>10752</v>
      </c>
      <c r="T4441" t="s">
        <v>12620</v>
      </c>
      <c r="U4441" t="s">
        <v>12620</v>
      </c>
      <c r="V4441" t="s">
        <v>12620</v>
      </c>
      <c r="W4441" t="s">
        <v>17008</v>
      </c>
      <c r="X4441">
        <v>8</v>
      </c>
      <c r="Y4441" t="s">
        <v>23122</v>
      </c>
      <c r="Z4441" t="s">
        <v>29388</v>
      </c>
      <c r="AA4441">
        <v>0.64883046265832778</v>
      </c>
      <c r="AB4441" t="str">
        <f>HYPERLINK("Melting_Curves/meltCurve_Q8WYL5_SSH1.pdf", "Melting_Curves/meltCurve_Q8WYL5_SSH1.pdf")</f>
        <v>Melting_Curves/meltCurve_Q8WYL5_SSH1.pdf</v>
      </c>
    </row>
    <row r="4442" spans="1:28" x14ac:dyDescent="0.25">
      <c r="A4442" t="s">
        <v>4446</v>
      </c>
      <c r="B4442">
        <v>0.99987803227770999</v>
      </c>
      <c r="C4442">
        <v>1.0400577534919599</v>
      </c>
      <c r="D4442">
        <v>1.0892032037147901</v>
      </c>
      <c r="E4442">
        <v>0.87294723896711501</v>
      </c>
      <c r="F4442">
        <v>0.73930815465479904</v>
      </c>
      <c r="G4442">
        <v>0.29550533896176401</v>
      </c>
      <c r="H4442">
        <v>0.184127722813057</v>
      </c>
      <c r="I4442">
        <v>0.155272761588441</v>
      </c>
      <c r="J4442">
        <v>0.107552042106712</v>
      </c>
      <c r="K4442">
        <v>8.3142325333448702E-2</v>
      </c>
      <c r="L4442">
        <v>1423.9043909663401</v>
      </c>
      <c r="M4442">
        <v>26.134215282862201</v>
      </c>
      <c r="N4442">
        <v>55.000162994154799</v>
      </c>
      <c r="O4442">
        <v>54.168289520045903</v>
      </c>
      <c r="P4442">
        <v>-0.10750668717780799</v>
      </c>
      <c r="Q4442">
        <v>0.108695232450274</v>
      </c>
      <c r="R4442">
        <v>0.989544167665658</v>
      </c>
      <c r="S4442" t="s">
        <v>10753</v>
      </c>
      <c r="T4442" t="s">
        <v>12620</v>
      </c>
      <c r="U4442" t="s">
        <v>12620</v>
      </c>
      <c r="V4442" t="s">
        <v>12620</v>
      </c>
      <c r="W4442" t="s">
        <v>17009</v>
      </c>
      <c r="X4442">
        <v>4</v>
      </c>
      <c r="Y4442" t="s">
        <v>23123</v>
      </c>
      <c r="Z4442" t="s">
        <v>29389</v>
      </c>
      <c r="AA4442">
        <v>0.54664361898721792</v>
      </c>
      <c r="AB4442" t="str">
        <f>HYPERLINK("Melting_Curves/meltCurve_Q8WYP3_RIN2.pdf", "Melting_Curves/meltCurve_Q8WYP3_RIN2.pdf")</f>
        <v>Melting_Curves/meltCurve_Q8WYP3_RIN2.pdf</v>
      </c>
    </row>
    <row r="4443" spans="1:28" x14ac:dyDescent="0.25">
      <c r="A4443" t="s">
        <v>4447</v>
      </c>
      <c r="B4443">
        <v>0.99987803227770999</v>
      </c>
      <c r="C4443">
        <v>0.96369613979882895</v>
      </c>
      <c r="D4443">
        <v>0.86239130119344098</v>
      </c>
      <c r="E4443">
        <v>0.673192950324213</v>
      </c>
      <c r="F4443">
        <v>0.64084957392750697</v>
      </c>
      <c r="G4443">
        <v>0.52829610363104496</v>
      </c>
      <c r="H4443">
        <v>0.51067575902669804</v>
      </c>
      <c r="I4443">
        <v>0.477956438743667</v>
      </c>
      <c r="J4443">
        <v>0.45346631059057402</v>
      </c>
      <c r="K4443">
        <v>0.38877731888966199</v>
      </c>
      <c r="L4443">
        <v>622.268596599842</v>
      </c>
      <c r="M4443">
        <v>12.3898247987457</v>
      </c>
      <c r="N4443">
        <v>59.033659856636199</v>
      </c>
      <c r="O4443">
        <v>48.969593656090503</v>
      </c>
      <c r="P4443">
        <v>-3.6612358017971303E-2</v>
      </c>
      <c r="Q4443">
        <v>0.42129591361394098</v>
      </c>
      <c r="R4443">
        <v>0.982704529587904</v>
      </c>
      <c r="S4443" t="s">
        <v>10754</v>
      </c>
      <c r="T4443" t="s">
        <v>12620</v>
      </c>
      <c r="U4443" t="s">
        <v>12620</v>
      </c>
      <c r="V4443" t="s">
        <v>12620</v>
      </c>
      <c r="W4443" t="s">
        <v>17010</v>
      </c>
      <c r="X4443">
        <v>11</v>
      </c>
      <c r="Y4443" t="s">
        <v>23124</v>
      </c>
      <c r="Z4443" t="s">
        <v>29390</v>
      </c>
      <c r="AA4443">
        <v>0.63733545744115006</v>
      </c>
      <c r="AB4443" t="str">
        <f>HYPERLINK("Melting_Curves/meltCurve_Q8WYP5_AHCTF1.pdf", "Melting_Curves/meltCurve_Q8WYP5_AHCTF1.pdf")</f>
        <v>Melting_Curves/meltCurve_Q8WYP5_AHCTF1.pdf</v>
      </c>
    </row>
    <row r="4444" spans="1:28" x14ac:dyDescent="0.25">
      <c r="A4444" t="s">
        <v>4448</v>
      </c>
      <c r="B4444">
        <v>0.99987803227770999</v>
      </c>
      <c r="C4444">
        <v>0.88414401797443098</v>
      </c>
      <c r="D4444">
        <v>0.95770977848143601</v>
      </c>
      <c r="E4444">
        <v>0.81794941173256097</v>
      </c>
      <c r="F4444">
        <v>0.76639203435338998</v>
      </c>
      <c r="G4444">
        <v>0.684623785590319</v>
      </c>
      <c r="H4444">
        <v>0.75630394332066297</v>
      </c>
      <c r="I4444">
        <v>0.64962910289137499</v>
      </c>
      <c r="J4444">
        <v>0.714910583177366</v>
      </c>
      <c r="K4444">
        <v>0.56441393264427797</v>
      </c>
      <c r="L4444">
        <v>415.46082039540499</v>
      </c>
      <c r="M4444">
        <v>7.9064065122981297</v>
      </c>
      <c r="O4444">
        <v>49.504569910253899</v>
      </c>
      <c r="P4444">
        <v>-1.6660698574075299E-2</v>
      </c>
      <c r="Q4444">
        <v>0.58322042664682605</v>
      </c>
      <c r="R4444">
        <v>0.85494104689794403</v>
      </c>
      <c r="S4444" t="s">
        <v>10755</v>
      </c>
      <c r="T4444" t="s">
        <v>12620</v>
      </c>
      <c r="U4444" t="s">
        <v>12620</v>
      </c>
      <c r="V4444" t="s">
        <v>12620</v>
      </c>
      <c r="W4444" t="s">
        <v>17011</v>
      </c>
      <c r="X4444">
        <v>9</v>
      </c>
      <c r="Y4444" t="s">
        <v>23125</v>
      </c>
      <c r="Z4444" t="s">
        <v>29391</v>
      </c>
      <c r="AA4444">
        <v>0.77588554742296545</v>
      </c>
      <c r="AB4444" t="str">
        <f>HYPERLINK("Melting_Curves/meltCurve_Q8WZ73_3_RFFL.pdf", "Melting_Curves/meltCurve_Q8WZ73_3_RFFL.pdf")</f>
        <v>Melting_Curves/meltCurve_Q8WZ73_3_RFFL.pdf</v>
      </c>
    </row>
    <row r="4445" spans="1:28" x14ac:dyDescent="0.25">
      <c r="A4445" t="s">
        <v>4449</v>
      </c>
      <c r="B4445">
        <v>0.99987803227770999</v>
      </c>
      <c r="C4445">
        <v>0.91947084005643598</v>
      </c>
      <c r="D4445">
        <v>1.0185419028404701</v>
      </c>
      <c r="E4445">
        <v>0.55627976158249304</v>
      </c>
      <c r="F4445">
        <v>0.20052967756152301</v>
      </c>
      <c r="G4445">
        <v>0.12864235188648099</v>
      </c>
      <c r="H4445">
        <v>0.10386632747265601</v>
      </c>
      <c r="I4445">
        <v>0.11715484421129101</v>
      </c>
      <c r="J4445">
        <v>6.3924476511695194E-2</v>
      </c>
      <c r="K4445">
        <v>4.51538771449434E-2</v>
      </c>
      <c r="L4445">
        <v>1946.5861186324801</v>
      </c>
      <c r="M4445">
        <v>38.8389032394008</v>
      </c>
      <c r="N4445">
        <v>50.380322490848101</v>
      </c>
      <c r="O4445">
        <v>49.9871753660018</v>
      </c>
      <c r="P4445">
        <v>-0.17655385900262999</v>
      </c>
      <c r="Q4445">
        <v>9.10754664886681E-2</v>
      </c>
      <c r="R4445">
        <v>0.99155901244983202</v>
      </c>
      <c r="S4445" t="s">
        <v>10756</v>
      </c>
      <c r="T4445" t="s">
        <v>12620</v>
      </c>
      <c r="U4445" t="s">
        <v>12620</v>
      </c>
      <c r="V4445" t="s">
        <v>12620</v>
      </c>
      <c r="W4445" t="s">
        <v>17012</v>
      </c>
      <c r="X4445">
        <v>5</v>
      </c>
      <c r="Y4445" t="s">
        <v>23126</v>
      </c>
      <c r="Z4445" t="s">
        <v>29392</v>
      </c>
      <c r="AA4445">
        <v>0.40101333093707059</v>
      </c>
      <c r="AB4445" t="str">
        <f>HYPERLINK("Melting_Curves/meltCurve_Q8WZ82_OVCA2.pdf", "Melting_Curves/meltCurve_Q8WZ82_OVCA2.pdf")</f>
        <v>Melting_Curves/meltCurve_Q8WZ82_OVCA2.pdf</v>
      </c>
    </row>
    <row r="4446" spans="1:28" x14ac:dyDescent="0.25">
      <c r="A4446" t="s">
        <v>4450</v>
      </c>
      <c r="B4446">
        <v>0.99987803227770999</v>
      </c>
      <c r="C4446">
        <v>0.79828895267705602</v>
      </c>
      <c r="D4446">
        <v>0.960583421728053</v>
      </c>
      <c r="E4446">
        <v>0.80659483910694796</v>
      </c>
      <c r="F4446">
        <v>1.0669508150234901</v>
      </c>
      <c r="G4446">
        <v>0.85071247310242204</v>
      </c>
      <c r="H4446">
        <v>0.94124516449052797</v>
      </c>
      <c r="I4446">
        <v>0.93763331128979699</v>
      </c>
      <c r="J4446">
        <v>0.91989032613020805</v>
      </c>
      <c r="K4446">
        <v>0.70723837878146401</v>
      </c>
      <c r="L4446">
        <v>111.061593114541</v>
      </c>
      <c r="M4446">
        <v>1.0000000000000001E-5</v>
      </c>
      <c r="O4446">
        <v>46.2880007783425</v>
      </c>
      <c r="P4446">
        <v>-3.3979963619946599E-3</v>
      </c>
      <c r="Q4446">
        <v>0.14080381484868601</v>
      </c>
      <c r="R4446">
        <v>7.1928293105332303E-2</v>
      </c>
      <c r="S4446" t="s">
        <v>10757</v>
      </c>
      <c r="T4446" t="s">
        <v>12620</v>
      </c>
      <c r="U4446" t="s">
        <v>12620</v>
      </c>
      <c r="V4446" t="s">
        <v>12620</v>
      </c>
      <c r="W4446" t="s">
        <v>17013</v>
      </c>
      <c r="X4446">
        <v>9</v>
      </c>
      <c r="Y4446" t="s">
        <v>23127</v>
      </c>
      <c r="Z4446" t="s">
        <v>29393</v>
      </c>
      <c r="AA4446">
        <v>0.90022163470841121</v>
      </c>
      <c r="AB4446" t="str">
        <f>HYPERLINK("Melting_Curves/meltCurve_Q8WZA0_LZIC.pdf", "Melting_Curves/meltCurve_Q8WZA0_LZIC.pdf")</f>
        <v>Melting_Curves/meltCurve_Q8WZA0_LZIC.pdf</v>
      </c>
    </row>
    <row r="4447" spans="1:28" x14ac:dyDescent="0.25">
      <c r="A4447" t="s">
        <v>4451</v>
      </c>
      <c r="B4447">
        <v>0.99987803227770999</v>
      </c>
      <c r="C4447">
        <v>0.96385477529723795</v>
      </c>
      <c r="D4447">
        <v>1.03799503856371</v>
      </c>
      <c r="E4447">
        <v>0.93356307058756605</v>
      </c>
      <c r="F4447">
        <v>0.55080847650331699</v>
      </c>
      <c r="G4447">
        <v>0.219366098066864</v>
      </c>
      <c r="H4447">
        <v>0.15828718904677</v>
      </c>
      <c r="I4447">
        <v>0.13649507162708399</v>
      </c>
      <c r="J4447">
        <v>0.126122134078993</v>
      </c>
      <c r="K4447">
        <v>9.3488343019997297E-2</v>
      </c>
      <c r="L4447">
        <v>1921.10718082625</v>
      </c>
      <c r="M4447">
        <v>36.239942585556399</v>
      </c>
      <c r="N4447">
        <v>53.456950492030401</v>
      </c>
      <c r="O4447">
        <v>52.850129007301703</v>
      </c>
      <c r="P4447">
        <v>-0.149055594326578</v>
      </c>
      <c r="Q4447">
        <v>0.130508210805902</v>
      </c>
      <c r="R4447">
        <v>0.99605608873345797</v>
      </c>
      <c r="S4447" t="s">
        <v>10758</v>
      </c>
      <c r="T4447" t="s">
        <v>12620</v>
      </c>
      <c r="U4447" t="s">
        <v>12620</v>
      </c>
      <c r="V4447" t="s">
        <v>12620</v>
      </c>
      <c r="W4447" t="s">
        <v>17014</v>
      </c>
      <c r="X4447">
        <v>18</v>
      </c>
      <c r="Y4447" t="s">
        <v>23128</v>
      </c>
      <c r="Z4447" t="s">
        <v>29394</v>
      </c>
      <c r="AA4447">
        <v>0.51147831193585491</v>
      </c>
      <c r="AB4447" t="str">
        <f>HYPERLINK("Melting_Curves/meltCurve_Q8WZA9_IRGQ.pdf", "Melting_Curves/meltCurve_Q8WZA9_IRGQ.pdf")</f>
        <v>Melting_Curves/meltCurve_Q8WZA9_IRGQ.pdf</v>
      </c>
    </row>
    <row r="4448" spans="1:28" x14ac:dyDescent="0.25">
      <c r="A4448" t="s">
        <v>4452</v>
      </c>
      <c r="B4448">
        <v>0.99987803227770999</v>
      </c>
      <c r="C4448">
        <v>1.0478680337975099</v>
      </c>
      <c r="D4448">
        <v>0.90805883308031599</v>
      </c>
      <c r="E4448">
        <v>1.23375286583062</v>
      </c>
      <c r="F4448">
        <v>0.89540974359430803</v>
      </c>
      <c r="G4448">
        <v>0.80241741332692895</v>
      </c>
      <c r="H4448">
        <v>0.74706906183245902</v>
      </c>
      <c r="I4448">
        <v>0.432957874283528</v>
      </c>
      <c r="J4448">
        <v>0.26433810622419102</v>
      </c>
      <c r="K4448">
        <v>0.122584280793645</v>
      </c>
      <c r="L4448">
        <v>1186.94168168638</v>
      </c>
      <c r="M4448">
        <v>18.7381873923845</v>
      </c>
      <c r="N4448">
        <v>63.343466342129197</v>
      </c>
      <c r="O4448">
        <v>62.635252856350199</v>
      </c>
      <c r="P4448">
        <v>-7.4794045671548903E-2</v>
      </c>
      <c r="Q4448">
        <v>0</v>
      </c>
      <c r="R4448">
        <v>0.92380989595664498</v>
      </c>
      <c r="S4448" t="s">
        <v>10759</v>
      </c>
      <c r="T4448" t="s">
        <v>12620</v>
      </c>
      <c r="U4448" t="s">
        <v>12620</v>
      </c>
      <c r="V4448" t="s">
        <v>12620</v>
      </c>
      <c r="W4448" t="s">
        <v>17015</v>
      </c>
      <c r="X4448">
        <v>13</v>
      </c>
      <c r="Y4448" t="s">
        <v>23129</v>
      </c>
      <c r="Z4448" t="s">
        <v>29395</v>
      </c>
      <c r="AA4448">
        <v>0.77408862744330287</v>
      </c>
      <c r="AB4448" t="str">
        <f>HYPERLINK("Melting_Curves/meltCurve_Q92466_DDB2.pdf", "Melting_Curves/meltCurve_Q92466_DDB2.pdf")</f>
        <v>Melting_Curves/meltCurve_Q92466_DDB2.pdf</v>
      </c>
    </row>
    <row r="4449" spans="1:28" x14ac:dyDescent="0.25">
      <c r="A4449" t="s">
        <v>4453</v>
      </c>
      <c r="B4449">
        <v>0.99987803227770999</v>
      </c>
      <c r="C4449">
        <v>1.07683645795199</v>
      </c>
      <c r="D4449">
        <v>0.94482912568776301</v>
      </c>
      <c r="E4449">
        <v>0.75004130203587105</v>
      </c>
      <c r="F4449">
        <v>0.240278273061825</v>
      </c>
      <c r="G4449">
        <v>0.15960770595332899</v>
      </c>
      <c r="H4449">
        <v>0.12352948319785</v>
      </c>
      <c r="I4449">
        <v>0.11294743533874101</v>
      </c>
      <c r="J4449">
        <v>7.1650325934835501E-2</v>
      </c>
      <c r="K4449">
        <v>5.15581995441068E-2</v>
      </c>
      <c r="L4449">
        <v>2205.8874656149201</v>
      </c>
      <c r="M4449">
        <v>43.205207966826997</v>
      </c>
      <c r="N4449">
        <v>51.320657720499398</v>
      </c>
      <c r="O4449">
        <v>50.947039573663602</v>
      </c>
      <c r="P4449">
        <v>-0.19084143739325701</v>
      </c>
      <c r="Q4449">
        <v>9.98500510584657E-2</v>
      </c>
      <c r="R4449">
        <v>0.99123451303078103</v>
      </c>
      <c r="S4449" t="s">
        <v>10760</v>
      </c>
      <c r="T4449" t="s">
        <v>12620</v>
      </c>
      <c r="U4449" t="s">
        <v>12620</v>
      </c>
      <c r="V4449" t="s">
        <v>12620</v>
      </c>
      <c r="W4449" t="s">
        <v>17016</v>
      </c>
      <c r="X4449">
        <v>26</v>
      </c>
      <c r="Y4449" t="s">
        <v>23130</v>
      </c>
      <c r="Z4449" t="s">
        <v>29396</v>
      </c>
      <c r="AA4449">
        <v>0.43430672375728452</v>
      </c>
      <c r="AB4449" t="str">
        <f>HYPERLINK("Melting_Curves/meltCurve_Q92499_DDX1.pdf", "Melting_Curves/meltCurve_Q92499_DDX1.pdf")</f>
        <v>Melting_Curves/meltCurve_Q92499_DDX1.pdf</v>
      </c>
    </row>
    <row r="4450" spans="1:28" x14ac:dyDescent="0.25">
      <c r="A4450" t="s">
        <v>4454</v>
      </c>
      <c r="B4450">
        <v>0.99987803227770999</v>
      </c>
      <c r="C4450">
        <v>0.88665062313115195</v>
      </c>
      <c r="D4450">
        <v>0.77510163109083197</v>
      </c>
      <c r="E4450">
        <v>0.48184358768677699</v>
      </c>
      <c r="F4450">
        <v>0.34437839652938401</v>
      </c>
      <c r="G4450">
        <v>0.24199215014002301</v>
      </c>
      <c r="H4450">
        <v>0.15332213490977201</v>
      </c>
      <c r="I4450">
        <v>0.114089002088558</v>
      </c>
      <c r="J4450">
        <v>5.5081354249639898E-2</v>
      </c>
      <c r="K4450">
        <v>4.1755760781265902E-2</v>
      </c>
      <c r="L4450">
        <v>627.17997901019203</v>
      </c>
      <c r="M4450">
        <v>12.5568760714209</v>
      </c>
      <c r="N4450">
        <v>50.286199068910001</v>
      </c>
      <c r="O4450">
        <v>48.731141207390898</v>
      </c>
      <c r="P4450">
        <v>-6.1816818758071899E-2</v>
      </c>
      <c r="Q4450">
        <v>4.0590979392245499E-2</v>
      </c>
      <c r="R4450">
        <v>0.99445476653944997</v>
      </c>
      <c r="S4450" t="s">
        <v>10761</v>
      </c>
      <c r="T4450" t="s">
        <v>12620</v>
      </c>
      <c r="U4450" t="s">
        <v>12620</v>
      </c>
      <c r="V4450" t="s">
        <v>12620</v>
      </c>
      <c r="W4450" t="s">
        <v>17017</v>
      </c>
      <c r="X4450">
        <v>5</v>
      </c>
      <c r="Y4450" t="s">
        <v>23131</v>
      </c>
      <c r="Z4450" t="s">
        <v>29397</v>
      </c>
      <c r="AA4450">
        <v>0.38969857353820619</v>
      </c>
      <c r="AB4450" t="str">
        <f>HYPERLINK("Melting_Curves/meltCurve_Q92503_3_SEC14L1.pdf", "Melting_Curves/meltCurve_Q92503_3_SEC14L1.pdf")</f>
        <v>Melting_Curves/meltCurve_Q92503_3_SEC14L1.pdf</v>
      </c>
    </row>
    <row r="4451" spans="1:28" x14ac:dyDescent="0.25">
      <c r="A4451" t="s">
        <v>4455</v>
      </c>
      <c r="B4451">
        <v>0.99987803227770999</v>
      </c>
      <c r="C4451">
        <v>1.0170834732381</v>
      </c>
      <c r="D4451">
        <v>0.99107290408379001</v>
      </c>
      <c r="E4451">
        <v>0.96712563231389703</v>
      </c>
      <c r="F4451">
        <v>0.96738627485630901</v>
      </c>
      <c r="G4451">
        <v>0.76313912947659301</v>
      </c>
      <c r="H4451">
        <v>0.88731571712379997</v>
      </c>
      <c r="I4451">
        <v>0.65604036034803903</v>
      </c>
      <c r="J4451">
        <v>0.55659408520153397</v>
      </c>
      <c r="K4451">
        <v>0.248642960962459</v>
      </c>
      <c r="L4451">
        <v>1006.62642135599</v>
      </c>
      <c r="M4451">
        <v>15.077552984803001</v>
      </c>
      <c r="N4451">
        <v>66.763263844711801</v>
      </c>
      <c r="O4451">
        <v>65.621835833773105</v>
      </c>
      <c r="P4451">
        <v>-5.74467402224067E-2</v>
      </c>
      <c r="Q4451">
        <v>0</v>
      </c>
      <c r="R4451">
        <v>0.916978226141417</v>
      </c>
      <c r="S4451" t="s">
        <v>10762</v>
      </c>
      <c r="T4451" t="s">
        <v>12620</v>
      </c>
      <c r="U4451" t="s">
        <v>12620</v>
      </c>
      <c r="V4451" t="s">
        <v>12620</v>
      </c>
      <c r="W4451" t="s">
        <v>17018</v>
      </c>
      <c r="X4451">
        <v>6</v>
      </c>
      <c r="Y4451" t="s">
        <v>23132</v>
      </c>
      <c r="Z4451" t="s">
        <v>29398</v>
      </c>
      <c r="AA4451">
        <v>0.84771602543368418</v>
      </c>
      <c r="AB4451" t="str">
        <f>HYPERLINK("Melting_Curves/meltCurve_Q92506_HSD17B8.pdf", "Melting_Curves/meltCurve_Q92506_HSD17B8.pdf")</f>
        <v>Melting_Curves/meltCurve_Q92506_HSD17B8.pdf</v>
      </c>
    </row>
    <row r="4452" spans="1:28" x14ac:dyDescent="0.25">
      <c r="A4452" t="s">
        <v>4456</v>
      </c>
      <c r="B4452">
        <v>0.99987803227770999</v>
      </c>
      <c r="C4452">
        <v>1.1416871225912699</v>
      </c>
      <c r="D4452">
        <v>1.0700544449645999</v>
      </c>
      <c r="E4452">
        <v>0.89669475022466205</v>
      </c>
      <c r="F4452">
        <v>0.61170922843272302</v>
      </c>
      <c r="G4452">
        <v>0.418409627727369</v>
      </c>
      <c r="H4452">
        <v>0.32198997508385202</v>
      </c>
      <c r="I4452">
        <v>0.293832211871696</v>
      </c>
      <c r="J4452">
        <v>0.25252665804938101</v>
      </c>
      <c r="K4452">
        <v>0.200618927408415</v>
      </c>
      <c r="L4452">
        <v>1288.6429602072501</v>
      </c>
      <c r="M4452">
        <v>24.159147885737699</v>
      </c>
      <c r="N4452">
        <v>54.971762641842197</v>
      </c>
      <c r="O4452">
        <v>52.978322829773703</v>
      </c>
      <c r="P4452">
        <v>-8.4826480748846494E-2</v>
      </c>
      <c r="Q4452">
        <v>0.25595133414811999</v>
      </c>
      <c r="R4452">
        <v>0.97062518785530205</v>
      </c>
      <c r="S4452" t="s">
        <v>10763</v>
      </c>
      <c r="T4452" t="s">
        <v>12620</v>
      </c>
      <c r="U4452" t="s">
        <v>12620</v>
      </c>
      <c r="V4452" t="s">
        <v>12620</v>
      </c>
      <c r="W4452" t="s">
        <v>17019</v>
      </c>
      <c r="X4452">
        <v>4</v>
      </c>
      <c r="Y4452" t="s">
        <v>23133</v>
      </c>
      <c r="Z4452" t="s">
        <v>29399</v>
      </c>
      <c r="AA4452">
        <v>0.59411256338344409</v>
      </c>
      <c r="AB4452" t="str">
        <f>HYPERLINK("Melting_Curves/meltCurve_Q92522_H1FX.pdf", "Melting_Curves/meltCurve_Q92522_H1FX.pdf")</f>
        <v>Melting_Curves/meltCurve_Q92522_H1FX.pdf</v>
      </c>
    </row>
    <row r="4453" spans="1:28" x14ac:dyDescent="0.25">
      <c r="A4453" t="s">
        <v>4457</v>
      </c>
      <c r="B4453">
        <v>0.99987803227770999</v>
      </c>
      <c r="C4453">
        <v>1.0084261846276501</v>
      </c>
      <c r="D4453">
        <v>1.04814386556491</v>
      </c>
      <c r="E4453">
        <v>0.96376372847165603</v>
      </c>
      <c r="F4453">
        <v>0.68342309494005304</v>
      </c>
      <c r="G4453">
        <v>0.41295309388983997</v>
      </c>
      <c r="H4453">
        <v>0.23365843214051399</v>
      </c>
      <c r="I4453">
        <v>0.15058050224817601</v>
      </c>
      <c r="J4453">
        <v>0.10353141978387601</v>
      </c>
      <c r="K4453">
        <v>6.0647931208875301E-2</v>
      </c>
      <c r="L4453">
        <v>1108.07288373662</v>
      </c>
      <c r="M4453">
        <v>20.000222995340899</v>
      </c>
      <c r="N4453">
        <v>55.8713463875714</v>
      </c>
      <c r="O4453">
        <v>54.858068277191201</v>
      </c>
      <c r="P4453">
        <v>-8.4114127009574893E-2</v>
      </c>
      <c r="Q4453">
        <v>7.7172623133678703E-2</v>
      </c>
      <c r="R4453">
        <v>0.99216171742076398</v>
      </c>
      <c r="S4453" t="s">
        <v>10764</v>
      </c>
      <c r="T4453" t="s">
        <v>12620</v>
      </c>
      <c r="U4453" t="s">
        <v>12620</v>
      </c>
      <c r="V4453" t="s">
        <v>12620</v>
      </c>
      <c r="W4453" t="s">
        <v>17020</v>
      </c>
      <c r="X4453">
        <v>6</v>
      </c>
      <c r="Y4453" t="s">
        <v>23134</v>
      </c>
      <c r="Z4453" t="s">
        <v>29400</v>
      </c>
      <c r="AA4453">
        <v>0.56312937335716917</v>
      </c>
      <c r="AB4453" t="str">
        <f>HYPERLINK("Melting_Curves/meltCurve_Q92526_CCT6B.pdf", "Melting_Curves/meltCurve_Q92526_CCT6B.pdf")</f>
        <v>Melting_Curves/meltCurve_Q92526_CCT6B.pdf</v>
      </c>
    </row>
    <row r="4454" spans="1:28" x14ac:dyDescent="0.25">
      <c r="A4454" t="s">
        <v>4458</v>
      </c>
      <c r="B4454">
        <v>0.99987803227770999</v>
      </c>
      <c r="C4454">
        <v>1.20784576981914</v>
      </c>
      <c r="D4454">
        <v>0.84366202504639998</v>
      </c>
      <c r="E4454">
        <v>0.82703846834187</v>
      </c>
      <c r="F4454">
        <v>0.32185938590643798</v>
      </c>
      <c r="G4454">
        <v>0.20317321829598001</v>
      </c>
      <c r="H4454">
        <v>0.12358746685288099</v>
      </c>
      <c r="I4454">
        <v>9.9762155635741895E-2</v>
      </c>
      <c r="J4454">
        <v>7.3840419267143895E-2</v>
      </c>
      <c r="K4454">
        <v>4.9474591060436598E-2</v>
      </c>
      <c r="L4454">
        <v>1825.61716798455</v>
      </c>
      <c r="M4454">
        <v>35.334812964319497</v>
      </c>
      <c r="N4454">
        <v>51.9871762433852</v>
      </c>
      <c r="O4454">
        <v>51.501605108274198</v>
      </c>
      <c r="P4454">
        <v>-0.15471591634229601</v>
      </c>
      <c r="Q4454">
        <v>9.7989808036223106E-2</v>
      </c>
      <c r="R4454">
        <v>0.95702417477950996</v>
      </c>
      <c r="S4454" t="s">
        <v>10765</v>
      </c>
      <c r="T4454" t="s">
        <v>12620</v>
      </c>
      <c r="U4454" t="s">
        <v>12620</v>
      </c>
      <c r="V4454" t="s">
        <v>12620</v>
      </c>
      <c r="W4454" t="s">
        <v>17021</v>
      </c>
      <c r="X4454">
        <v>39</v>
      </c>
      <c r="Y4454" t="s">
        <v>23135</v>
      </c>
      <c r="Z4454" t="s">
        <v>29401</v>
      </c>
      <c r="AA4454">
        <v>0.45289113097724781</v>
      </c>
      <c r="AB4454" t="str">
        <f>HYPERLINK("Melting_Curves/meltCurve_Q92538_GBF1.pdf", "Melting_Curves/meltCurve_Q92538_GBF1.pdf")</f>
        <v>Melting_Curves/meltCurve_Q92538_GBF1.pdf</v>
      </c>
    </row>
    <row r="4455" spans="1:28" x14ac:dyDescent="0.25">
      <c r="A4455" t="s">
        <v>4459</v>
      </c>
      <c r="B4455">
        <v>0.99987803227770999</v>
      </c>
      <c r="C4455">
        <v>1.0881463950479799</v>
      </c>
      <c r="D4455">
        <v>0.79980421319889605</v>
      </c>
      <c r="E4455">
        <v>0.70975168960494806</v>
      </c>
      <c r="F4455">
        <v>0.41249940750404201</v>
      </c>
      <c r="G4455">
        <v>0.168316067047836</v>
      </c>
      <c r="H4455">
        <v>0.119264807518479</v>
      </c>
      <c r="I4455">
        <v>9.1882056653359995E-2</v>
      </c>
      <c r="J4455">
        <v>9.0713563213893705E-2</v>
      </c>
      <c r="K4455">
        <v>6.9710693453130704E-2</v>
      </c>
      <c r="L4455">
        <v>954.29268956544104</v>
      </c>
      <c r="M4455">
        <v>18.516666075640298</v>
      </c>
      <c r="N4455">
        <v>51.922680548314503</v>
      </c>
      <c r="O4455">
        <v>50.947147681056101</v>
      </c>
      <c r="P4455">
        <v>-8.5027397272284505E-2</v>
      </c>
      <c r="Q4455">
        <v>6.4256552734224301E-2</v>
      </c>
      <c r="R4455">
        <v>0.98148997286264295</v>
      </c>
      <c r="S4455" t="s">
        <v>10766</v>
      </c>
      <c r="T4455" t="s">
        <v>12620</v>
      </c>
      <c r="U4455" t="s">
        <v>12620</v>
      </c>
      <c r="V4455" t="s">
        <v>12620</v>
      </c>
      <c r="W4455" t="s">
        <v>17022</v>
      </c>
      <c r="X4455">
        <v>8</v>
      </c>
      <c r="Y4455" t="s">
        <v>23136</v>
      </c>
      <c r="Z4455" t="s">
        <v>29402</v>
      </c>
      <c r="AA4455">
        <v>0.43901454807222801</v>
      </c>
      <c r="AB4455" t="str">
        <f>HYPERLINK("Melting_Curves/meltCurve_Q92540_2_SMG7.pdf", "Melting_Curves/meltCurve_Q92540_2_SMG7.pdf")</f>
        <v>Melting_Curves/meltCurve_Q92540_2_SMG7.pdf</v>
      </c>
    </row>
    <row r="4456" spans="1:28" x14ac:dyDescent="0.25">
      <c r="A4456" t="s">
        <v>4460</v>
      </c>
      <c r="B4456">
        <v>0.99987803227770999</v>
      </c>
      <c r="C4456">
        <v>0.95228992624615705</v>
      </c>
      <c r="D4456">
        <v>1.0341552274616499</v>
      </c>
      <c r="E4456">
        <v>0.91139269732704697</v>
      </c>
      <c r="F4456">
        <v>0.647380124046529</v>
      </c>
      <c r="G4456">
        <v>0.39285002418613602</v>
      </c>
      <c r="H4456">
        <v>0.322075201288896</v>
      </c>
      <c r="I4456">
        <v>0.28855194922643901</v>
      </c>
      <c r="J4456">
        <v>0.25416309161755501</v>
      </c>
      <c r="K4456">
        <v>0.20111927521655101</v>
      </c>
      <c r="L4456">
        <v>1311.4722392933099</v>
      </c>
      <c r="M4456">
        <v>24.4930280687758</v>
      </c>
      <c r="N4456">
        <v>55.111780928008201</v>
      </c>
      <c r="O4456">
        <v>53.191615630892699</v>
      </c>
      <c r="P4456">
        <v>-8.6244317736148102E-2</v>
      </c>
      <c r="Q4456">
        <v>0.25082230404490602</v>
      </c>
      <c r="R4456">
        <v>0.99052185525665204</v>
      </c>
      <c r="S4456" t="s">
        <v>10767</v>
      </c>
      <c r="T4456" t="s">
        <v>12620</v>
      </c>
      <c r="U4456" t="s">
        <v>12620</v>
      </c>
      <c r="V4456" t="s">
        <v>12620</v>
      </c>
      <c r="W4456" t="s">
        <v>17023</v>
      </c>
      <c r="X4456">
        <v>24</v>
      </c>
      <c r="Y4456" t="s">
        <v>23137</v>
      </c>
      <c r="Z4456" t="s">
        <v>29403</v>
      </c>
      <c r="AA4456">
        <v>0.59625547733958773</v>
      </c>
      <c r="AB4456" t="str">
        <f>HYPERLINK("Melting_Curves/meltCurve_Q92541_RTF1.pdf", "Melting_Curves/meltCurve_Q92541_RTF1.pdf")</f>
        <v>Melting_Curves/meltCurve_Q92541_RTF1.pdf</v>
      </c>
    </row>
    <row r="4457" spans="1:28" x14ac:dyDescent="0.25">
      <c r="A4457" t="s">
        <v>4461</v>
      </c>
      <c r="B4457">
        <v>0.99987803227770999</v>
      </c>
      <c r="C4457">
        <v>0.83763752848069495</v>
      </c>
      <c r="D4457">
        <v>1.0574362712490999</v>
      </c>
      <c r="E4457">
        <v>0.86770095328178898</v>
      </c>
      <c r="F4457">
        <v>1.05564076692122</v>
      </c>
      <c r="G4457">
        <v>0.85905154959519903</v>
      </c>
      <c r="H4457">
        <v>1.06956900723932</v>
      </c>
      <c r="I4457">
        <v>1.0148593812909099</v>
      </c>
      <c r="J4457">
        <v>0.82162567562994804</v>
      </c>
      <c r="K4457">
        <v>0.783162704390863</v>
      </c>
      <c r="L4457">
        <v>15000</v>
      </c>
      <c r="M4457">
        <v>225.41405901788499</v>
      </c>
      <c r="O4457">
        <v>66.538975933553601</v>
      </c>
      <c r="P4457">
        <v>-0.18365511395686801</v>
      </c>
      <c r="Q4457">
        <v>0.78315066673879297</v>
      </c>
      <c r="R4457">
        <v>0.33987078999245701</v>
      </c>
      <c r="S4457" t="s">
        <v>10768</v>
      </c>
      <c r="T4457" t="s">
        <v>12620</v>
      </c>
      <c r="U4457" t="s">
        <v>12620</v>
      </c>
      <c r="V4457" t="s">
        <v>12620</v>
      </c>
      <c r="W4457" t="s">
        <v>17024</v>
      </c>
      <c r="X4457">
        <v>1</v>
      </c>
      <c r="Y4457" t="s">
        <v>23138</v>
      </c>
      <c r="Z4457" t="s">
        <v>29404</v>
      </c>
      <c r="AA4457">
        <v>0.9750515760386036</v>
      </c>
      <c r="AB4457" t="str">
        <f>HYPERLINK("Melting_Curves/meltCurve_Q92545_TMEM131.pdf", "Melting_Curves/meltCurve_Q92545_TMEM131.pdf")</f>
        <v>Melting_Curves/meltCurve_Q92545_TMEM131.pdf</v>
      </c>
    </row>
    <row r="4458" spans="1:28" x14ac:dyDescent="0.25">
      <c r="A4458" t="s">
        <v>4462</v>
      </c>
      <c r="B4458">
        <v>0.99987803227770999</v>
      </c>
      <c r="C4458">
        <v>0.88004163558258497</v>
      </c>
      <c r="D4458">
        <v>0.82386764466288198</v>
      </c>
      <c r="E4458">
        <v>0.55945009642076404</v>
      </c>
      <c r="F4458">
        <v>0.41118587690263703</v>
      </c>
      <c r="G4458">
        <v>0.26128146254261603</v>
      </c>
      <c r="H4458">
        <v>0.177157667236129</v>
      </c>
      <c r="I4458">
        <v>0.15736026330597699</v>
      </c>
      <c r="J4458">
        <v>0.12822380140836101</v>
      </c>
      <c r="K4458">
        <v>0.101894561976922</v>
      </c>
      <c r="L4458">
        <v>651.62868715168997</v>
      </c>
      <c r="M4458">
        <v>12.908476217627699</v>
      </c>
      <c r="N4458">
        <v>51.266572134474998</v>
      </c>
      <c r="O4458">
        <v>49.315226195192999</v>
      </c>
      <c r="P4458">
        <v>-5.9575258769124603E-2</v>
      </c>
      <c r="Q4458">
        <v>8.9765897164041694E-2</v>
      </c>
      <c r="R4458">
        <v>0.99690661262098301</v>
      </c>
      <c r="S4458" t="s">
        <v>10769</v>
      </c>
      <c r="T4458" t="s">
        <v>12620</v>
      </c>
      <c r="U4458" t="s">
        <v>12620</v>
      </c>
      <c r="V4458" t="s">
        <v>12620</v>
      </c>
      <c r="W4458" t="s">
        <v>17025</v>
      </c>
      <c r="X4458">
        <v>8</v>
      </c>
      <c r="Y4458" t="s">
        <v>23139</v>
      </c>
      <c r="Z4458" t="s">
        <v>29405</v>
      </c>
      <c r="AA4458">
        <v>0.43513691956714168</v>
      </c>
      <c r="AB4458" t="str">
        <f>HYPERLINK("Melting_Curves/meltCurve_Q92547_TOPBP1.pdf", "Melting_Curves/meltCurve_Q92547_TOPBP1.pdf")</f>
        <v>Melting_Curves/meltCurve_Q92547_TOPBP1.pdf</v>
      </c>
    </row>
    <row r="4459" spans="1:28" x14ac:dyDescent="0.25">
      <c r="A4459" t="s">
        <v>4463</v>
      </c>
      <c r="B4459">
        <v>0.99987803227770999</v>
      </c>
      <c r="C4459">
        <v>0.84623548429254103</v>
      </c>
      <c r="D4459">
        <v>0.96282206547724103</v>
      </c>
      <c r="E4459">
        <v>0.77320394670152903</v>
      </c>
      <c r="F4459">
        <v>0.910657901222372</v>
      </c>
      <c r="G4459">
        <v>0.59258483517780602</v>
      </c>
      <c r="H4459">
        <v>0.72648248105982505</v>
      </c>
      <c r="I4459">
        <v>0.57477017631729899</v>
      </c>
      <c r="J4459">
        <v>0.75145097719218201</v>
      </c>
      <c r="K4459">
        <v>0.65804643295037801</v>
      </c>
      <c r="L4459">
        <v>495.87930834174398</v>
      </c>
      <c r="M4459">
        <v>9.8134754888542606</v>
      </c>
      <c r="O4459">
        <v>48.566275052242702</v>
      </c>
      <c r="P4459">
        <v>-1.8669162624209701E-2</v>
      </c>
      <c r="Q4459">
        <v>0.63062299848831105</v>
      </c>
      <c r="R4459">
        <v>0.63889029197199998</v>
      </c>
      <c r="S4459" t="s">
        <v>10770</v>
      </c>
      <c r="T4459" t="s">
        <v>12620</v>
      </c>
      <c r="U4459" t="s">
        <v>12620</v>
      </c>
      <c r="V4459" t="s">
        <v>12620</v>
      </c>
      <c r="W4459" t="s">
        <v>17026</v>
      </c>
      <c r="X4459">
        <v>7</v>
      </c>
      <c r="Y4459" t="s">
        <v>23140</v>
      </c>
      <c r="Z4459" t="s">
        <v>29406</v>
      </c>
      <c r="AA4459">
        <v>0.77665993368457154</v>
      </c>
      <c r="AB4459" t="str">
        <f>HYPERLINK("Melting_Curves/meltCurve_Q92552_MRPS27.pdf", "Melting_Curves/meltCurve_Q92552_MRPS27.pdf")</f>
        <v>Melting_Curves/meltCurve_Q92552_MRPS27.pdf</v>
      </c>
    </row>
    <row r="4460" spans="1:28" x14ac:dyDescent="0.25">
      <c r="A4460" t="s">
        <v>4464</v>
      </c>
      <c r="B4460">
        <v>0.99987803227770999</v>
      </c>
      <c r="C4460">
        <v>1.0742851451245199</v>
      </c>
      <c r="D4460">
        <v>1.02280190312524</v>
      </c>
      <c r="E4460">
        <v>1.2251055646417199</v>
      </c>
      <c r="F4460">
        <v>1.0049877335622299</v>
      </c>
      <c r="G4460">
        <v>0.75104186910114601</v>
      </c>
      <c r="H4460">
        <v>0.70699236511249997</v>
      </c>
      <c r="I4460">
        <v>0.70845970607268605</v>
      </c>
      <c r="J4460">
        <v>0.47678270802540001</v>
      </c>
      <c r="K4460">
        <v>0.31022985134955</v>
      </c>
      <c r="L4460">
        <v>833.45111302491603</v>
      </c>
      <c r="M4460">
        <v>12.5555861813191</v>
      </c>
      <c r="N4460">
        <v>66.3809212335984</v>
      </c>
      <c r="O4460">
        <v>64.764494180848104</v>
      </c>
      <c r="P4460">
        <v>-4.8476120073048599E-2</v>
      </c>
      <c r="Q4460">
        <v>0</v>
      </c>
      <c r="R4460">
        <v>0.86931130599851902</v>
      </c>
      <c r="S4460" t="s">
        <v>10771</v>
      </c>
      <c r="T4460" t="s">
        <v>12620</v>
      </c>
      <c r="U4460" t="s">
        <v>12620</v>
      </c>
      <c r="V4460" t="s">
        <v>12620</v>
      </c>
      <c r="W4460" t="s">
        <v>17027</v>
      </c>
      <c r="X4460">
        <v>5</v>
      </c>
      <c r="Y4460" t="s">
        <v>23141</v>
      </c>
      <c r="Z4460" t="s">
        <v>29407</v>
      </c>
      <c r="AA4460">
        <v>0.8262512566505098</v>
      </c>
      <c r="AB4460" t="str">
        <f>HYPERLINK("Melting_Curves/meltCurve_Q92558_WASF1.pdf", "Melting_Curves/meltCurve_Q92558_WASF1.pdf")</f>
        <v>Melting_Curves/meltCurve_Q92558_WASF1.pdf</v>
      </c>
    </row>
    <row r="4461" spans="1:28" x14ac:dyDescent="0.25">
      <c r="A4461" t="s">
        <v>4465</v>
      </c>
      <c r="B4461">
        <v>0.99987803227770999</v>
      </c>
      <c r="C4461">
        <v>0.87303495878272996</v>
      </c>
      <c r="D4461">
        <v>0.90921538158625104</v>
      </c>
      <c r="E4461">
        <v>0.79030721711194696</v>
      </c>
      <c r="F4461">
        <v>0.87283818268369895</v>
      </c>
      <c r="G4461">
        <v>0.43007579657841499</v>
      </c>
      <c r="H4461">
        <v>0.51407732583980303</v>
      </c>
      <c r="I4461">
        <v>0.59352151269478404</v>
      </c>
      <c r="J4461">
        <v>0.646232111607418</v>
      </c>
      <c r="K4461">
        <v>0.60594457149502901</v>
      </c>
      <c r="L4461">
        <v>786.89509840019298</v>
      </c>
      <c r="M4461">
        <v>15.526195202251699</v>
      </c>
      <c r="O4461">
        <v>49.863341358490302</v>
      </c>
      <c r="P4461">
        <v>-3.44337704305821E-2</v>
      </c>
      <c r="Q4461">
        <v>0.55769425664022099</v>
      </c>
      <c r="R4461">
        <v>0.72403481404508097</v>
      </c>
      <c r="S4461" t="s">
        <v>10772</v>
      </c>
      <c r="T4461" t="s">
        <v>12620</v>
      </c>
      <c r="U4461" t="s">
        <v>12620</v>
      </c>
      <c r="V4461" t="s">
        <v>12620</v>
      </c>
      <c r="W4461" t="s">
        <v>17028</v>
      </c>
      <c r="X4461">
        <v>1</v>
      </c>
      <c r="Y4461" t="s">
        <v>23142</v>
      </c>
      <c r="Z4461" t="s">
        <v>29408</v>
      </c>
      <c r="AA4461">
        <v>0.72491347192634714</v>
      </c>
      <c r="AB4461" t="str">
        <f>HYPERLINK("Melting_Curves/meltCurve_Q92567_2_FAM168A.pdf", "Melting_Curves/meltCurve_Q92567_2_FAM168A.pdf")</f>
        <v>Melting_Curves/meltCurve_Q92567_2_FAM168A.pdf</v>
      </c>
    </row>
    <row r="4462" spans="1:28" x14ac:dyDescent="0.25">
      <c r="A4462" t="s">
        <v>4466</v>
      </c>
      <c r="B4462">
        <v>0.99987803227770999</v>
      </c>
      <c r="C4462">
        <v>1.17584981927031</v>
      </c>
      <c r="D4462">
        <v>0.93519189591557506</v>
      </c>
      <c r="E4462">
        <v>1.23090063864319</v>
      </c>
      <c r="F4462">
        <v>0.48085153127372199</v>
      </c>
      <c r="G4462">
        <v>0.36251941307983898</v>
      </c>
      <c r="H4462">
        <v>0.18569652240536</v>
      </c>
      <c r="I4462">
        <v>0.16052004487497701</v>
      </c>
      <c r="J4462">
        <v>0.12216907247126001</v>
      </c>
      <c r="K4462">
        <v>9.6484620953618705E-2</v>
      </c>
      <c r="L4462">
        <v>13220.1108858797</v>
      </c>
      <c r="M4462">
        <v>250</v>
      </c>
      <c r="N4462">
        <v>52.978677252903097</v>
      </c>
      <c r="O4462">
        <v>52.877064987671403</v>
      </c>
      <c r="P4462">
        <v>-0.96275460733430596</v>
      </c>
      <c r="Q4462">
        <v>0.185477877619041</v>
      </c>
      <c r="R4462">
        <v>0.93082005312888105</v>
      </c>
      <c r="S4462" t="s">
        <v>10773</v>
      </c>
      <c r="T4462" t="s">
        <v>12620</v>
      </c>
      <c r="U4462" t="s">
        <v>12620</v>
      </c>
      <c r="V4462" t="s">
        <v>12620</v>
      </c>
      <c r="W4462" t="s">
        <v>17029</v>
      </c>
      <c r="X4462">
        <v>6</v>
      </c>
      <c r="Y4462" t="s">
        <v>23143</v>
      </c>
      <c r="Z4462" t="s">
        <v>29409</v>
      </c>
      <c r="AA4462">
        <v>0.53526700922874981</v>
      </c>
      <c r="AB4462" t="str">
        <f>HYPERLINK("Melting_Curves/meltCurve_Q92572_AP3S1.pdf", "Melting_Curves/meltCurve_Q92572_AP3S1.pdf")</f>
        <v>Melting_Curves/meltCurve_Q92572_AP3S1.pdf</v>
      </c>
    </row>
    <row r="4463" spans="1:28" x14ac:dyDescent="0.25">
      <c r="A4463" t="s">
        <v>4467</v>
      </c>
      <c r="B4463">
        <v>0.99987803227770999</v>
      </c>
      <c r="C4463">
        <v>0.75597611688469102</v>
      </c>
      <c r="D4463">
        <v>0.59080931977661</v>
      </c>
      <c r="E4463">
        <v>0.55000476711770396</v>
      </c>
      <c r="F4463">
        <v>0.47435139839262902</v>
      </c>
      <c r="G4463">
        <v>0.31729104178647599</v>
      </c>
      <c r="H4463">
        <v>0.271127504926437</v>
      </c>
      <c r="I4463">
        <v>0.26222190243272397</v>
      </c>
      <c r="J4463">
        <v>0.37663586584756897</v>
      </c>
      <c r="K4463">
        <v>0.255338303695541</v>
      </c>
      <c r="L4463">
        <v>531.81519163160601</v>
      </c>
      <c r="M4463">
        <v>11.4159142346842</v>
      </c>
      <c r="N4463">
        <v>49.957832085496698</v>
      </c>
      <c r="O4463">
        <v>45.224649729730203</v>
      </c>
      <c r="P4463">
        <v>-4.6167202750718297E-2</v>
      </c>
      <c r="Q4463">
        <v>0.26863989160588603</v>
      </c>
      <c r="R4463">
        <v>0.93546051601174895</v>
      </c>
      <c r="S4463" t="s">
        <v>10774</v>
      </c>
      <c r="T4463" t="s">
        <v>12620</v>
      </c>
      <c r="U4463" t="s">
        <v>12620</v>
      </c>
      <c r="V4463" t="s">
        <v>12620</v>
      </c>
      <c r="W4463" t="s">
        <v>17030</v>
      </c>
      <c r="X4463">
        <v>2</v>
      </c>
      <c r="Y4463" t="s">
        <v>23144</v>
      </c>
      <c r="Z4463" t="s">
        <v>29410</v>
      </c>
      <c r="AA4463">
        <v>0.46389536390514802</v>
      </c>
      <c r="AB4463" t="str">
        <f>HYPERLINK("Melting_Curves/meltCurve_Q92575_UBXN4.pdf", "Melting_Curves/meltCurve_Q92575_UBXN4.pdf")</f>
        <v>Melting_Curves/meltCurve_Q92575_UBXN4.pdf</v>
      </c>
    </row>
    <row r="4464" spans="1:28" x14ac:dyDescent="0.25">
      <c r="A4464" t="s">
        <v>4468</v>
      </c>
      <c r="B4464">
        <v>0.99987803227770999</v>
      </c>
      <c r="C4464">
        <v>0.90618882421285496</v>
      </c>
      <c r="D4464">
        <v>0.987813726282328</v>
      </c>
      <c r="E4464">
        <v>0.91369323462702501</v>
      </c>
      <c r="F4464">
        <v>1.0016154156614601</v>
      </c>
      <c r="G4464">
        <v>0.78154444648444199</v>
      </c>
      <c r="H4464">
        <v>0.74354755864785904</v>
      </c>
      <c r="I4464">
        <v>0.63750266560443203</v>
      </c>
      <c r="J4464">
        <v>0.59839672406075595</v>
      </c>
      <c r="K4464">
        <v>0.447510518211932</v>
      </c>
      <c r="L4464">
        <v>533.094690718783</v>
      </c>
      <c r="M4464">
        <v>7.7205498371030803</v>
      </c>
      <c r="N4464">
        <v>69.048798591306806</v>
      </c>
      <c r="O4464">
        <v>64.8747197149643</v>
      </c>
      <c r="P4464">
        <v>-2.9790188226176802E-2</v>
      </c>
      <c r="Q4464">
        <v>0</v>
      </c>
      <c r="R4464">
        <v>0.93405001930058895</v>
      </c>
      <c r="S4464" t="s">
        <v>10775</v>
      </c>
      <c r="T4464" t="s">
        <v>12620</v>
      </c>
      <c r="U4464" t="s">
        <v>12620</v>
      </c>
      <c r="V4464" t="s">
        <v>12620</v>
      </c>
      <c r="W4464" t="s">
        <v>17031</v>
      </c>
      <c r="X4464">
        <v>25</v>
      </c>
      <c r="Y4464" t="s">
        <v>23145</v>
      </c>
      <c r="Z4464" t="s">
        <v>29411</v>
      </c>
      <c r="AA4464">
        <v>0.82296323540488958</v>
      </c>
      <c r="AB4464" t="str">
        <f>HYPERLINK("Melting_Curves/meltCurve_Q92576_2_PHF3.pdf", "Melting_Curves/meltCurve_Q92576_2_PHF3.pdf")</f>
        <v>Melting_Curves/meltCurve_Q92576_2_PHF3.pdf</v>
      </c>
    </row>
    <row r="4465" spans="1:28" x14ac:dyDescent="0.25">
      <c r="A4465" t="s">
        <v>4469</v>
      </c>
      <c r="B4465">
        <v>0.99987803227770999</v>
      </c>
      <c r="C4465">
        <v>0.96015747950654695</v>
      </c>
      <c r="D4465">
        <v>1.63218718584766</v>
      </c>
      <c r="E4465">
        <v>0.89950271203945797</v>
      </c>
      <c r="F4465">
        <v>1.04347507318634</v>
      </c>
      <c r="G4465">
        <v>0.84030002678124205</v>
      </c>
      <c r="H4465">
        <v>0.87185604275419204</v>
      </c>
      <c r="I4465">
        <v>0.79357552834832401</v>
      </c>
      <c r="J4465">
        <v>0.70277892643211104</v>
      </c>
      <c r="K4465">
        <v>0.66637901123571897</v>
      </c>
      <c r="L4465">
        <v>962.05102085235899</v>
      </c>
      <c r="M4465">
        <v>15.3351889277486</v>
      </c>
      <c r="O4465">
        <v>61.697096506974397</v>
      </c>
      <c r="P4465">
        <v>-2.45868204000474E-2</v>
      </c>
      <c r="Q4465">
        <v>0.604362251677517</v>
      </c>
      <c r="R4465">
        <v>0.35794002386345303</v>
      </c>
      <c r="S4465" t="s">
        <v>10776</v>
      </c>
      <c r="T4465" t="s">
        <v>12620</v>
      </c>
      <c r="U4465" t="s">
        <v>12620</v>
      </c>
      <c r="V4465" t="s">
        <v>12620</v>
      </c>
      <c r="W4465" t="s">
        <v>17032</v>
      </c>
      <c r="X4465">
        <v>8</v>
      </c>
      <c r="Y4465" t="s">
        <v>23146</v>
      </c>
      <c r="Z4465" t="s">
        <v>29412</v>
      </c>
      <c r="AA4465">
        <v>0.90158593437909451</v>
      </c>
      <c r="AB4465" t="str">
        <f>HYPERLINK("Melting_Curves/meltCurve_Q92585_MAML1.pdf", "Melting_Curves/meltCurve_Q92585_MAML1.pdf")</f>
        <v>Melting_Curves/meltCurve_Q92585_MAML1.pdf</v>
      </c>
    </row>
    <row r="4466" spans="1:28" x14ac:dyDescent="0.25">
      <c r="A4466" t="s">
        <v>4470</v>
      </c>
      <c r="B4466">
        <v>0.99987803227770999</v>
      </c>
      <c r="C4466">
        <v>0.83156545850750097</v>
      </c>
      <c r="D4466">
        <v>1.04366563168437</v>
      </c>
      <c r="E4466">
        <v>0.85356289992248302</v>
      </c>
      <c r="F4466">
        <v>0.88707129514401994</v>
      </c>
      <c r="G4466">
        <v>0.28701268506438299</v>
      </c>
      <c r="H4466">
        <v>0.20097024016047901</v>
      </c>
      <c r="I4466">
        <v>0.16512137453342099</v>
      </c>
      <c r="J4466">
        <v>0.14619204576720299</v>
      </c>
      <c r="K4466">
        <v>0.122116427857253</v>
      </c>
      <c r="L4466">
        <v>2373.6728257249702</v>
      </c>
      <c r="M4466">
        <v>43.165425417893999</v>
      </c>
      <c r="N4466">
        <v>55.456027830727798</v>
      </c>
      <c r="O4466">
        <v>54.872510207280598</v>
      </c>
      <c r="P4466">
        <v>-0.16675433987854801</v>
      </c>
      <c r="Q4466">
        <v>0.15207923372019999</v>
      </c>
      <c r="R4466">
        <v>0.96327100793535103</v>
      </c>
      <c r="S4466" t="s">
        <v>10777</v>
      </c>
      <c r="T4466" t="s">
        <v>12620</v>
      </c>
      <c r="U4466" t="s">
        <v>12620</v>
      </c>
      <c r="V4466" t="s">
        <v>12620</v>
      </c>
      <c r="W4466" t="s">
        <v>17033</v>
      </c>
      <c r="X4466">
        <v>6</v>
      </c>
      <c r="Y4466" t="s">
        <v>23147</v>
      </c>
      <c r="Z4466" t="s">
        <v>29413</v>
      </c>
      <c r="AA4466">
        <v>0.5785199867247458</v>
      </c>
      <c r="AB4466" t="str">
        <f>HYPERLINK("Melting_Curves/meltCurve_Q92597_NDRG1.pdf", "Melting_Curves/meltCurve_Q92597_NDRG1.pdf")</f>
        <v>Melting_Curves/meltCurve_Q92597_NDRG1.pdf</v>
      </c>
    </row>
    <row r="4467" spans="1:28" x14ac:dyDescent="0.25">
      <c r="A4467" t="s">
        <v>4471</v>
      </c>
      <c r="B4467">
        <v>0.99987803227770999</v>
      </c>
      <c r="C4467">
        <v>1.1800336235547799</v>
      </c>
      <c r="D4467">
        <v>0.75796867298688098</v>
      </c>
      <c r="E4467">
        <v>0.75064713420115403</v>
      </c>
      <c r="F4467">
        <v>0.301761138268063</v>
      </c>
      <c r="G4467">
        <v>0.223783406070654</v>
      </c>
      <c r="H4467">
        <v>0.145739219540516</v>
      </c>
      <c r="I4467">
        <v>0.11853176022914599</v>
      </c>
      <c r="J4467">
        <v>0.112703599355348</v>
      </c>
      <c r="K4467">
        <v>7.8668095283533995E-2</v>
      </c>
      <c r="L4467">
        <v>1075.89038870171</v>
      </c>
      <c r="M4467">
        <v>21.075424727232399</v>
      </c>
      <c r="N4467">
        <v>51.606674695915103</v>
      </c>
      <c r="O4467">
        <v>50.596578874800201</v>
      </c>
      <c r="P4467">
        <v>-9.3541235786326504E-2</v>
      </c>
      <c r="Q4467">
        <v>0.10175163851470399</v>
      </c>
      <c r="R4467">
        <v>0.94574978887337402</v>
      </c>
      <c r="S4467" t="s">
        <v>10778</v>
      </c>
      <c r="T4467" t="s">
        <v>12620</v>
      </c>
      <c r="U4467" t="s">
        <v>12620</v>
      </c>
      <c r="V4467" t="s">
        <v>12620</v>
      </c>
      <c r="W4467" t="s">
        <v>17034</v>
      </c>
      <c r="X4467">
        <v>49</v>
      </c>
      <c r="Y4467" t="s">
        <v>23148</v>
      </c>
      <c r="Z4467" t="s">
        <v>29414</v>
      </c>
      <c r="AA4467">
        <v>0.44388905073968588</v>
      </c>
      <c r="AB4467" t="str">
        <f>HYPERLINK("Melting_Curves/meltCurve_Q92598_2_HSPH1.pdf", "Melting_Curves/meltCurve_Q92598_2_HSPH1.pdf")</f>
        <v>Melting_Curves/meltCurve_Q92598_2_HSPH1.pdf</v>
      </c>
    </row>
    <row r="4468" spans="1:28" x14ac:dyDescent="0.25">
      <c r="A4468" t="s">
        <v>4472</v>
      </c>
      <c r="B4468">
        <v>0.99987803227770999</v>
      </c>
      <c r="C4468">
        <v>1.12237585661966</v>
      </c>
      <c r="D4468">
        <v>0.96661817622254698</v>
      </c>
      <c r="E4468">
        <v>1.4081159658426099</v>
      </c>
      <c r="F4468">
        <v>1.1733092897049799</v>
      </c>
      <c r="G4468">
        <v>1.26459918997413</v>
      </c>
      <c r="H4468">
        <v>0.825903887750705</v>
      </c>
      <c r="I4468">
        <v>0.31322110850010598</v>
      </c>
      <c r="J4468">
        <v>0.116104341230304</v>
      </c>
      <c r="K4468">
        <v>9.1486133951574705E-2</v>
      </c>
      <c r="L4468">
        <v>3571.8856850232301</v>
      </c>
      <c r="M4468">
        <v>56.999120920338299</v>
      </c>
      <c r="N4468">
        <v>62.894478367226199</v>
      </c>
      <c r="O4468">
        <v>62.588637585458798</v>
      </c>
      <c r="P4468">
        <v>-0.20635149207235101</v>
      </c>
      <c r="Q4468">
        <v>9.3652604639397299E-2</v>
      </c>
      <c r="R4468">
        <v>0.86416435252490797</v>
      </c>
      <c r="S4468" t="s">
        <v>10779</v>
      </c>
      <c r="T4468" t="s">
        <v>12620</v>
      </c>
      <c r="U4468" t="s">
        <v>12620</v>
      </c>
      <c r="V4468" t="s">
        <v>12620</v>
      </c>
      <c r="W4468" t="s">
        <v>17035</v>
      </c>
      <c r="X4468">
        <v>18</v>
      </c>
      <c r="Y4468" t="s">
        <v>23149</v>
      </c>
      <c r="Z4468" t="s">
        <v>29415</v>
      </c>
      <c r="AA4468">
        <v>0.78023245935879026</v>
      </c>
      <c r="AB4468" t="str">
        <f>HYPERLINK("Melting_Curves/meltCurve_Q92599_2_SEPT8.pdf", "Melting_Curves/meltCurve_Q92599_2_SEPT8.pdf")</f>
        <v>Melting_Curves/meltCurve_Q92599_2_SEPT8.pdf</v>
      </c>
    </row>
    <row r="4469" spans="1:28" x14ac:dyDescent="0.25">
      <c r="A4469" t="s">
        <v>4473</v>
      </c>
      <c r="B4469">
        <v>0.99987803227770999</v>
      </c>
      <c r="C4469">
        <v>1.24334146091251</v>
      </c>
      <c r="D4469">
        <v>0.92785403613779804</v>
      </c>
      <c r="E4469">
        <v>1.2793439286978501</v>
      </c>
      <c r="F4469">
        <v>0.45232468805613002</v>
      </c>
      <c r="G4469">
        <v>0.27122659456095599</v>
      </c>
      <c r="H4469">
        <v>0.17999103096597299</v>
      </c>
      <c r="I4469">
        <v>0.13398498908230999</v>
      </c>
      <c r="J4469">
        <v>0.10397224620042</v>
      </c>
      <c r="K4469">
        <v>7.9848216461249399E-2</v>
      </c>
      <c r="L4469">
        <v>13217.8374127384</v>
      </c>
      <c r="M4469">
        <v>250</v>
      </c>
      <c r="N4469">
        <v>52.949207346166403</v>
      </c>
      <c r="O4469">
        <v>52.8679791661433</v>
      </c>
      <c r="P4469">
        <v>-1.00036410712303</v>
      </c>
      <c r="Q4469">
        <v>0.15380454678842501</v>
      </c>
      <c r="R4469">
        <v>0.92391082390877199</v>
      </c>
      <c r="S4469" t="s">
        <v>10780</v>
      </c>
      <c r="T4469" t="s">
        <v>12620</v>
      </c>
      <c r="U4469" t="s">
        <v>12620</v>
      </c>
      <c r="V4469" t="s">
        <v>12620</v>
      </c>
      <c r="W4469" t="s">
        <v>17036</v>
      </c>
      <c r="X4469">
        <v>5</v>
      </c>
      <c r="Y4469" t="s">
        <v>23150</v>
      </c>
      <c r="Z4469" t="s">
        <v>29416</v>
      </c>
      <c r="AA4469">
        <v>0.51693898228481894</v>
      </c>
      <c r="AB4469" t="str">
        <f>HYPERLINK("Melting_Curves/meltCurve_Q92600_RQCD1.pdf", "Melting_Curves/meltCurve_Q92600_RQCD1.pdf")</f>
        <v>Melting_Curves/meltCurve_Q92600_RQCD1.pdf</v>
      </c>
    </row>
    <row r="4470" spans="1:28" x14ac:dyDescent="0.25">
      <c r="A4470" t="s">
        <v>4474</v>
      </c>
      <c r="B4470">
        <v>0.99987803227770999</v>
      </c>
      <c r="C4470">
        <v>1.0142733586472701</v>
      </c>
      <c r="D4470">
        <v>1.0102427062778001</v>
      </c>
      <c r="E4470">
        <v>1.0630762049388101</v>
      </c>
      <c r="F4470">
        <v>0.76737973643818702</v>
      </c>
      <c r="G4470">
        <v>0.413273892970906</v>
      </c>
      <c r="H4470">
        <v>0.360227488864162</v>
      </c>
      <c r="I4470">
        <v>0.33573722288810798</v>
      </c>
      <c r="J4470">
        <v>0.27033377066747</v>
      </c>
      <c r="K4470">
        <v>0.251294505629099</v>
      </c>
      <c r="L4470">
        <v>2029.6808683228601</v>
      </c>
      <c r="M4470">
        <v>37.415450400443397</v>
      </c>
      <c r="N4470">
        <v>55.626382824244601</v>
      </c>
      <c r="O4470">
        <v>54.092865277781698</v>
      </c>
      <c r="P4470">
        <v>-0.120652951690083</v>
      </c>
      <c r="Q4470">
        <v>0.30227260756910102</v>
      </c>
      <c r="R4470">
        <v>0.98523228734647195</v>
      </c>
      <c r="S4470" t="s">
        <v>10781</v>
      </c>
      <c r="T4470" t="s">
        <v>12620</v>
      </c>
      <c r="U4470" t="s">
        <v>12620</v>
      </c>
      <c r="V4470" t="s">
        <v>12620</v>
      </c>
      <c r="W4470" t="s">
        <v>17037</v>
      </c>
      <c r="X4470">
        <v>26</v>
      </c>
      <c r="Y4470" t="s">
        <v>23151</v>
      </c>
      <c r="Z4470" t="s">
        <v>29417</v>
      </c>
      <c r="AA4470">
        <v>0.63660800745480273</v>
      </c>
      <c r="AB4470" t="str">
        <f>HYPERLINK("Melting_Curves/meltCurve_Q92609_TBC1D5.pdf", "Melting_Curves/meltCurve_Q92609_TBC1D5.pdf")</f>
        <v>Melting_Curves/meltCurve_Q92609_TBC1D5.pdf</v>
      </c>
    </row>
    <row r="4471" spans="1:28" x14ac:dyDescent="0.25">
      <c r="A4471" t="s">
        <v>4475</v>
      </c>
      <c r="B4471">
        <v>0.99987803227770999</v>
      </c>
      <c r="C4471">
        <v>0.90674092438600296</v>
      </c>
      <c r="D4471">
        <v>1.1042364313956201</v>
      </c>
      <c r="E4471">
        <v>0.87853813884419296</v>
      </c>
      <c r="F4471">
        <v>0.84997951756794299</v>
      </c>
      <c r="G4471">
        <v>0.71044760491435199</v>
      </c>
      <c r="H4471">
        <v>0.755270624875929</v>
      </c>
      <c r="I4471">
        <v>0.66048882436205603</v>
      </c>
      <c r="J4471">
        <v>0.78118175540227996</v>
      </c>
      <c r="K4471">
        <v>0.62519600065967096</v>
      </c>
      <c r="L4471">
        <v>1268.05648692773</v>
      </c>
      <c r="M4471">
        <v>24.266157062301101</v>
      </c>
      <c r="O4471">
        <v>51.905173558450997</v>
      </c>
      <c r="P4471">
        <v>-3.5258588484428997E-2</v>
      </c>
      <c r="Q4471">
        <v>0.698332917118624</v>
      </c>
      <c r="R4471">
        <v>0.80037089894764502</v>
      </c>
      <c r="S4471" t="s">
        <v>10782</v>
      </c>
      <c r="T4471" t="s">
        <v>12620</v>
      </c>
      <c r="U4471" t="s">
        <v>12620</v>
      </c>
      <c r="V4471" t="s">
        <v>12620</v>
      </c>
      <c r="W4471" t="s">
        <v>17038</v>
      </c>
      <c r="X4471">
        <v>3</v>
      </c>
      <c r="Y4471" t="s">
        <v>23152</v>
      </c>
      <c r="Z4471" t="s">
        <v>29418</v>
      </c>
      <c r="AA4471">
        <v>0.82449763193016923</v>
      </c>
      <c r="AB4471" t="str">
        <f>HYPERLINK("Melting_Curves/meltCurve_Q92610_ZNF592.pdf", "Melting_Curves/meltCurve_Q92610_ZNF592.pdf")</f>
        <v>Melting_Curves/meltCurve_Q92610_ZNF592.pdf</v>
      </c>
    </row>
    <row r="4472" spans="1:28" x14ac:dyDescent="0.25">
      <c r="A4472" t="s">
        <v>4476</v>
      </c>
      <c r="B4472">
        <v>0.99987803227770999</v>
      </c>
      <c r="C4472">
        <v>0.95051303929008202</v>
      </c>
      <c r="D4472">
        <v>0.91017051652549397</v>
      </c>
      <c r="E4472">
        <v>0.90781834062557998</v>
      </c>
      <c r="F4472">
        <v>0.83496483684735501</v>
      </c>
      <c r="G4472">
        <v>0.63723811735864</v>
      </c>
      <c r="H4472">
        <v>0.630683447104884</v>
      </c>
      <c r="I4472">
        <v>0.61828565680242498</v>
      </c>
      <c r="J4472">
        <v>0.48671805417037201</v>
      </c>
      <c r="K4472">
        <v>0.43909853610025701</v>
      </c>
      <c r="L4472">
        <v>421.683592206681</v>
      </c>
      <c r="M4472">
        <v>6.7950220857664396</v>
      </c>
      <c r="N4472">
        <v>67.085845974298906</v>
      </c>
      <c r="O4472">
        <v>57.3480448228459</v>
      </c>
      <c r="P4472">
        <v>-2.3760132911505898E-2</v>
      </c>
      <c r="Q4472">
        <v>0.19953923676587601</v>
      </c>
      <c r="R4472">
        <v>0.96369042505754998</v>
      </c>
      <c r="S4472" t="s">
        <v>10783</v>
      </c>
      <c r="T4472" t="s">
        <v>12620</v>
      </c>
      <c r="U4472" t="s">
        <v>12620</v>
      </c>
      <c r="V4472" t="s">
        <v>12620</v>
      </c>
      <c r="W4472" t="s">
        <v>17039</v>
      </c>
      <c r="X4472">
        <v>5</v>
      </c>
      <c r="Y4472" t="s">
        <v>23153</v>
      </c>
      <c r="Z4472" t="s">
        <v>29419</v>
      </c>
      <c r="AA4472">
        <v>0.74724173919177028</v>
      </c>
      <c r="AB4472" t="str">
        <f>HYPERLINK("Melting_Curves/meltCurve_Q92614_3_MYO18A.pdf", "Melting_Curves/meltCurve_Q92614_3_MYO18A.pdf")</f>
        <v>Melting_Curves/meltCurve_Q92614_3_MYO18A.pdf</v>
      </c>
    </row>
    <row r="4473" spans="1:28" x14ac:dyDescent="0.25">
      <c r="A4473" t="s">
        <v>4477</v>
      </c>
      <c r="B4473">
        <v>0.99987803227770999</v>
      </c>
      <c r="C4473">
        <v>0.87508704182859398</v>
      </c>
      <c r="D4473">
        <v>1.01605163026717</v>
      </c>
      <c r="E4473">
        <v>0.89695056383889904</v>
      </c>
      <c r="F4473">
        <v>1.1043981904906599</v>
      </c>
      <c r="G4473">
        <v>0.985472190964781</v>
      </c>
      <c r="H4473">
        <v>0.96790579182692005</v>
      </c>
      <c r="I4473">
        <v>0.94164851431749697</v>
      </c>
      <c r="J4473">
        <v>1.00563276749144</v>
      </c>
      <c r="K4473">
        <v>0.80495301907487804</v>
      </c>
      <c r="L4473">
        <v>15000</v>
      </c>
      <c r="M4473">
        <v>212.86816704964801</v>
      </c>
      <c r="Q4473">
        <v>0</v>
      </c>
      <c r="R4473">
        <v>0.342221679299263</v>
      </c>
      <c r="S4473" t="s">
        <v>10784</v>
      </c>
      <c r="T4473" t="s">
        <v>12620</v>
      </c>
      <c r="U4473" t="s">
        <v>12620</v>
      </c>
      <c r="V4473" t="s">
        <v>12620</v>
      </c>
      <c r="W4473" t="s">
        <v>17040</v>
      </c>
      <c r="X4473">
        <v>8</v>
      </c>
      <c r="Y4473" t="s">
        <v>19465</v>
      </c>
      <c r="Z4473" t="s">
        <v>29420</v>
      </c>
      <c r="AA4473">
        <v>0.99766037769520677</v>
      </c>
      <c r="AB4473" t="str">
        <f>HYPERLINK("Melting_Curves/meltCurve_Q92615_LARP4B.pdf", "Melting_Curves/meltCurve_Q92615_LARP4B.pdf")</f>
        <v>Melting_Curves/meltCurve_Q92615_LARP4B.pdf</v>
      </c>
    </row>
    <row r="4474" spans="1:28" x14ac:dyDescent="0.25">
      <c r="A4474" t="s">
        <v>4478</v>
      </c>
      <c r="B4474">
        <v>0.99987803227770999</v>
      </c>
      <c r="C4474">
        <v>0.53331286872834704</v>
      </c>
      <c r="D4474">
        <v>0.33802175642916299</v>
      </c>
      <c r="E4474">
        <v>0.30965664779330498</v>
      </c>
      <c r="F4474">
        <v>0.168855913781673</v>
      </c>
      <c r="G4474">
        <v>8.2225652489986895E-2</v>
      </c>
      <c r="H4474">
        <v>5.4083556882423098E-2</v>
      </c>
      <c r="I4474">
        <v>4.9008668791286902E-2</v>
      </c>
      <c r="J4474">
        <v>3.9782269575722701E-2</v>
      </c>
      <c r="K4474">
        <v>3.06144082350518E-2</v>
      </c>
      <c r="L4474">
        <v>683.61579000197003</v>
      </c>
      <c r="M4474">
        <v>15.4566526532516</v>
      </c>
      <c r="N4474">
        <v>44.581120487050001</v>
      </c>
      <c r="O4474">
        <v>43.507466661401303</v>
      </c>
      <c r="P4474">
        <v>-8.37055019426199E-2</v>
      </c>
      <c r="Q4474">
        <v>5.7626214130138097E-2</v>
      </c>
      <c r="R4474">
        <v>0.93552796678823602</v>
      </c>
      <c r="S4474" t="s">
        <v>10785</v>
      </c>
      <c r="T4474" t="s">
        <v>12620</v>
      </c>
      <c r="U4474" t="s">
        <v>12620</v>
      </c>
      <c r="V4474" t="s">
        <v>12620</v>
      </c>
      <c r="W4474" t="s">
        <v>17041</v>
      </c>
      <c r="X4474">
        <v>60</v>
      </c>
      <c r="Y4474" t="s">
        <v>23154</v>
      </c>
      <c r="Z4474" t="s">
        <v>29421</v>
      </c>
      <c r="AA4474">
        <v>0.2216099565703577</v>
      </c>
      <c r="AB4474" t="str">
        <f>HYPERLINK("Melting_Curves/meltCurve_Q92616_GCN1L1.pdf", "Melting_Curves/meltCurve_Q92616_GCN1L1.pdf")</f>
        <v>Melting_Curves/meltCurve_Q92616_GCN1L1.pdf</v>
      </c>
    </row>
    <row r="4475" spans="1:28" x14ac:dyDescent="0.25">
      <c r="A4475" t="s">
        <v>4479</v>
      </c>
      <c r="B4475">
        <v>0.99987803227770999</v>
      </c>
      <c r="C4475">
        <v>1.03719618517136</v>
      </c>
      <c r="D4475">
        <v>0.93410097434694195</v>
      </c>
      <c r="E4475">
        <v>0.92423780325680904</v>
      </c>
      <c r="F4475">
        <v>0.46981047193102998</v>
      </c>
      <c r="G4475">
        <v>0.28452707528932702</v>
      </c>
      <c r="H4475">
        <v>0.23825334326005301</v>
      </c>
      <c r="I4475">
        <v>0.220555009379165</v>
      </c>
      <c r="J4475">
        <v>0.18332257330907401</v>
      </c>
      <c r="K4475">
        <v>0.14668689480531999</v>
      </c>
      <c r="L4475">
        <v>2308.08920855107</v>
      </c>
      <c r="M4475">
        <v>44.174464446152903</v>
      </c>
      <c r="N4475">
        <v>52.896272838683103</v>
      </c>
      <c r="O4475">
        <v>52.142659284936599</v>
      </c>
      <c r="P4475">
        <v>-0.16759704777630599</v>
      </c>
      <c r="Q4475">
        <v>0.20868818933848801</v>
      </c>
      <c r="R4475">
        <v>0.98876755568645203</v>
      </c>
      <c r="S4475" t="s">
        <v>10786</v>
      </c>
      <c r="T4475" t="s">
        <v>12620</v>
      </c>
      <c r="U4475" t="s">
        <v>12620</v>
      </c>
      <c r="V4475" t="s">
        <v>12620</v>
      </c>
      <c r="W4475" t="s">
        <v>17042</v>
      </c>
      <c r="X4475">
        <v>28</v>
      </c>
      <c r="Y4475" t="s">
        <v>23155</v>
      </c>
      <c r="Z4475" t="s">
        <v>29422</v>
      </c>
      <c r="AA4475">
        <v>0.53413075671311483</v>
      </c>
      <c r="AB4475" t="str">
        <f>HYPERLINK("Melting_Curves/meltCurve_Q92620_DHX38.pdf", "Melting_Curves/meltCurve_Q92620_DHX38.pdf")</f>
        <v>Melting_Curves/meltCurve_Q92620_DHX38.pdf</v>
      </c>
    </row>
    <row r="4476" spans="1:28" x14ac:dyDescent="0.25">
      <c r="A4476" t="s">
        <v>4480</v>
      </c>
      <c r="B4476">
        <v>0.99987803227770999</v>
      </c>
      <c r="C4476">
        <v>1.00364385343649</v>
      </c>
      <c r="D4476">
        <v>0.80378951005173804</v>
      </c>
      <c r="E4476">
        <v>0.83702672592968297</v>
      </c>
      <c r="F4476">
        <v>0.266194566751081</v>
      </c>
      <c r="G4476">
        <v>0.17108019582518899</v>
      </c>
      <c r="H4476">
        <v>0.131593628455837</v>
      </c>
      <c r="I4476">
        <v>0.129869989929534</v>
      </c>
      <c r="J4476">
        <v>9.6629674375202701E-2</v>
      </c>
      <c r="K4476">
        <v>7.2135260404434701E-2</v>
      </c>
      <c r="L4476">
        <v>2574.7447614274001</v>
      </c>
      <c r="M4476">
        <v>50.091908817279602</v>
      </c>
      <c r="N4476">
        <v>51.676566089736397</v>
      </c>
      <c r="O4476">
        <v>51.318690122183</v>
      </c>
      <c r="P4476">
        <v>-0.215370493073713</v>
      </c>
      <c r="Q4476">
        <v>0.11742055553443601</v>
      </c>
      <c r="R4476">
        <v>0.97078485998634101</v>
      </c>
      <c r="S4476" t="s">
        <v>10787</v>
      </c>
      <c r="T4476" t="s">
        <v>12620</v>
      </c>
      <c r="U4476" t="s">
        <v>12620</v>
      </c>
      <c r="V4476" t="s">
        <v>12620</v>
      </c>
      <c r="W4476" t="s">
        <v>17043</v>
      </c>
      <c r="X4476">
        <v>21</v>
      </c>
      <c r="Y4476" t="s">
        <v>23156</v>
      </c>
      <c r="Z4476" t="s">
        <v>29423</v>
      </c>
      <c r="AA4476">
        <v>0.45480647462997159</v>
      </c>
      <c r="AB4476" t="str">
        <f>HYPERLINK("Melting_Curves/meltCurve_Q92621_NUP205.pdf", "Melting_Curves/meltCurve_Q92621_NUP205.pdf")</f>
        <v>Melting_Curves/meltCurve_Q92621_NUP205.pdf</v>
      </c>
    </row>
    <row r="4477" spans="1:28" x14ac:dyDescent="0.25">
      <c r="A4477" t="s">
        <v>4481</v>
      </c>
      <c r="B4477">
        <v>0.99987803227770999</v>
      </c>
      <c r="C4477">
        <v>0.87869832833745598</v>
      </c>
      <c r="D4477">
        <v>0.94655501857856705</v>
      </c>
      <c r="E4477">
        <v>0.72742245340296796</v>
      </c>
      <c r="F4477">
        <v>0.85653772029643305</v>
      </c>
      <c r="G4477">
        <v>0.42390150615592798</v>
      </c>
      <c r="H4477">
        <v>0.19368449895343701</v>
      </c>
      <c r="I4477">
        <v>0.12497732778744899</v>
      </c>
      <c r="J4477">
        <v>0.104045037209932</v>
      </c>
      <c r="K4477">
        <v>7.4599085001774298E-2</v>
      </c>
      <c r="L4477">
        <v>820.46328510425701</v>
      </c>
      <c r="M4477">
        <v>14.6071640410635</v>
      </c>
      <c r="N4477">
        <v>56.168552285946397</v>
      </c>
      <c r="O4477">
        <v>55.147338181641302</v>
      </c>
      <c r="P4477">
        <v>-6.6226239607132004E-2</v>
      </c>
      <c r="Q4477">
        <v>0</v>
      </c>
      <c r="R4477">
        <v>0.95803072042226201</v>
      </c>
      <c r="S4477" t="s">
        <v>10788</v>
      </c>
      <c r="T4477" t="s">
        <v>12620</v>
      </c>
      <c r="U4477" t="s">
        <v>12620</v>
      </c>
      <c r="V4477" t="s">
        <v>12620</v>
      </c>
      <c r="W4477" t="s">
        <v>17044</v>
      </c>
      <c r="X4477">
        <v>3</v>
      </c>
      <c r="Y4477" t="s">
        <v>23157</v>
      </c>
      <c r="Z4477" t="s">
        <v>29424</v>
      </c>
      <c r="AA4477">
        <v>0.55676361981275102</v>
      </c>
      <c r="AB4477" t="str">
        <f>HYPERLINK("Melting_Curves/meltCurve_Q92623_TTC9.pdf", "Melting_Curves/meltCurve_Q92623_TTC9.pdf")</f>
        <v>Melting_Curves/meltCurve_Q92623_TTC9.pdf</v>
      </c>
    </row>
    <row r="4478" spans="1:28" x14ac:dyDescent="0.25">
      <c r="A4478" t="s">
        <v>4482</v>
      </c>
      <c r="B4478">
        <v>0.99987803227770999</v>
      </c>
      <c r="C4478">
        <v>1.01762160240084</v>
      </c>
      <c r="D4478">
        <v>0.91224131511162898</v>
      </c>
      <c r="E4478">
        <v>0.94482419827696396</v>
      </c>
      <c r="F4478">
        <v>0.55486710584691501</v>
      </c>
      <c r="G4478">
        <v>0.34201447276390401</v>
      </c>
      <c r="H4478">
        <v>0.17521293630958701</v>
      </c>
      <c r="I4478">
        <v>0.16155219979711999</v>
      </c>
      <c r="J4478">
        <v>0.109626023775185</v>
      </c>
      <c r="K4478">
        <v>6.3942772075819498E-2</v>
      </c>
      <c r="L4478">
        <v>1136.82908012698</v>
      </c>
      <c r="M4478">
        <v>21.1018720433621</v>
      </c>
      <c r="N4478">
        <v>54.435629729465099</v>
      </c>
      <c r="O4478">
        <v>53.396554835247997</v>
      </c>
      <c r="P4478">
        <v>-8.9125971379543895E-2</v>
      </c>
      <c r="Q4478">
        <v>9.7919890350630798E-2</v>
      </c>
      <c r="R4478">
        <v>0.98516057716800498</v>
      </c>
      <c r="S4478" t="s">
        <v>10789</v>
      </c>
      <c r="T4478" t="s">
        <v>12620</v>
      </c>
      <c r="U4478" t="s">
        <v>12620</v>
      </c>
      <c r="V4478" t="s">
        <v>12620</v>
      </c>
      <c r="W4478" t="s">
        <v>17045</v>
      </c>
      <c r="X4478">
        <v>3</v>
      </c>
      <c r="Y4478" t="s">
        <v>23158</v>
      </c>
      <c r="Z4478" t="s">
        <v>29425</v>
      </c>
      <c r="AA4478">
        <v>0.52632559444350668</v>
      </c>
      <c r="AB4478" t="str">
        <f>HYPERLINK("Melting_Curves/meltCurve_Q92624_APPBP2.pdf", "Melting_Curves/meltCurve_Q92624_APPBP2.pdf")</f>
        <v>Melting_Curves/meltCurve_Q92624_APPBP2.pdf</v>
      </c>
    </row>
    <row r="4479" spans="1:28" x14ac:dyDescent="0.25">
      <c r="A4479" t="s">
        <v>4483</v>
      </c>
      <c r="B4479">
        <v>0.99987803227770999</v>
      </c>
      <c r="C4479">
        <v>0.89706599575657697</v>
      </c>
      <c r="D4479">
        <v>0.80392529143162805</v>
      </c>
      <c r="E4479">
        <v>0.46393986356178002</v>
      </c>
      <c r="F4479">
        <v>0.359437941867571</v>
      </c>
      <c r="G4479">
        <v>0.23515631219390601</v>
      </c>
      <c r="H4479">
        <v>0.16521361661446801</v>
      </c>
      <c r="I4479">
        <v>0.13913492761319801</v>
      </c>
      <c r="J4479">
        <v>0.110722109839025</v>
      </c>
      <c r="K4479">
        <v>8.4651044278601803E-2</v>
      </c>
      <c r="L4479">
        <v>720.070006193219</v>
      </c>
      <c r="M4479">
        <v>14.5719481960091</v>
      </c>
      <c r="N4479">
        <v>50.175088508570703</v>
      </c>
      <c r="O4479">
        <v>48.5121584202967</v>
      </c>
      <c r="P4479">
        <v>-6.7662939259795302E-2</v>
      </c>
      <c r="Q4479">
        <v>9.9062424057315399E-2</v>
      </c>
      <c r="R4479">
        <v>0.99453838918369297</v>
      </c>
      <c r="S4479" t="s">
        <v>10790</v>
      </c>
      <c r="T4479" t="s">
        <v>12620</v>
      </c>
      <c r="U4479" t="s">
        <v>12620</v>
      </c>
      <c r="V4479" t="s">
        <v>12620</v>
      </c>
      <c r="W4479" t="s">
        <v>17046</v>
      </c>
      <c r="X4479">
        <v>6</v>
      </c>
      <c r="Y4479" t="s">
        <v>23159</v>
      </c>
      <c r="Z4479" t="s">
        <v>29426</v>
      </c>
      <c r="AA4479">
        <v>0.40489649454642168</v>
      </c>
      <c r="AB4479" t="str">
        <f>HYPERLINK("Melting_Curves/meltCurve_Q92625_ANKS1A.pdf", "Melting_Curves/meltCurve_Q92625_ANKS1A.pdf")</f>
        <v>Melting_Curves/meltCurve_Q92625_ANKS1A.pdf</v>
      </c>
    </row>
    <row r="4480" spans="1:28" x14ac:dyDescent="0.25">
      <c r="A4480" t="s">
        <v>4484</v>
      </c>
      <c r="B4480">
        <v>0.99987803227770999</v>
      </c>
      <c r="C4480">
        <v>0.99283300140250097</v>
      </c>
      <c r="D4480">
        <v>0.96800607194955302</v>
      </c>
      <c r="E4480">
        <v>0.85933815360251098</v>
      </c>
      <c r="F4480">
        <v>0.80268464351658297</v>
      </c>
      <c r="G4480">
        <v>0.58289144032189899</v>
      </c>
      <c r="H4480">
        <v>0.46836164062139601</v>
      </c>
      <c r="I4480">
        <v>0.486663469445619</v>
      </c>
      <c r="J4480">
        <v>0.338348812915027</v>
      </c>
      <c r="K4480">
        <v>0.303710723002795</v>
      </c>
      <c r="L4480">
        <v>652.04079868480699</v>
      </c>
      <c r="M4480">
        <v>11.437430111903099</v>
      </c>
      <c r="N4480">
        <v>60.5142587219568</v>
      </c>
      <c r="O4480">
        <v>55.350100744521001</v>
      </c>
      <c r="P4480">
        <v>-3.9158761044203703E-2</v>
      </c>
      <c r="Q4480">
        <v>0.24220304380056101</v>
      </c>
      <c r="R4480">
        <v>0.98595289344110404</v>
      </c>
      <c r="S4480" t="s">
        <v>10791</v>
      </c>
      <c r="T4480" t="s">
        <v>12620</v>
      </c>
      <c r="U4480" t="s">
        <v>12620</v>
      </c>
      <c r="V4480" t="s">
        <v>12620</v>
      </c>
      <c r="W4480" t="s">
        <v>17047</v>
      </c>
      <c r="X4480">
        <v>1</v>
      </c>
      <c r="Y4480" t="s">
        <v>23160</v>
      </c>
      <c r="Z4480" t="s">
        <v>29427</v>
      </c>
      <c r="AA4480">
        <v>0.68451299545570166</v>
      </c>
      <c r="AB4480" t="str">
        <f>HYPERLINK("Melting_Curves/meltCurve_Q92629_3_SGCD.pdf", "Melting_Curves/meltCurve_Q92629_3_SGCD.pdf")</f>
        <v>Melting_Curves/meltCurve_Q92629_3_SGCD.pdf</v>
      </c>
    </row>
    <row r="4481" spans="1:28" x14ac:dyDescent="0.25">
      <c r="A4481" t="s">
        <v>4485</v>
      </c>
      <c r="B4481">
        <v>0.99987803227770999</v>
      </c>
      <c r="C4481">
        <v>1.08145009481766</v>
      </c>
      <c r="D4481">
        <v>1.0616845167095901</v>
      </c>
      <c r="E4481">
        <v>1.0512611760723001</v>
      </c>
      <c r="F4481">
        <v>0.81649540305127799</v>
      </c>
      <c r="G4481">
        <v>0.23323585420665299</v>
      </c>
      <c r="H4481">
        <v>0.11137822826312301</v>
      </c>
      <c r="I4481">
        <v>9.7251591777091695E-2</v>
      </c>
      <c r="J4481">
        <v>8.2533423229101496E-2</v>
      </c>
      <c r="K4481">
        <v>4.7244732701633901E-2</v>
      </c>
      <c r="L4481">
        <v>2349.7254212163498</v>
      </c>
      <c r="M4481">
        <v>42.867514838364002</v>
      </c>
      <c r="N4481">
        <v>55.041789253645803</v>
      </c>
      <c r="O4481">
        <v>54.694781903675903</v>
      </c>
      <c r="P4481">
        <v>-0.179992204335156</v>
      </c>
      <c r="Q4481">
        <v>8.1391288696325101E-2</v>
      </c>
      <c r="R4481">
        <v>0.991830212074156</v>
      </c>
      <c r="S4481" t="s">
        <v>10792</v>
      </c>
      <c r="T4481" t="s">
        <v>12620</v>
      </c>
      <c r="U4481" t="s">
        <v>12620</v>
      </c>
      <c r="V4481" t="s">
        <v>12620</v>
      </c>
      <c r="W4481" t="s">
        <v>17048</v>
      </c>
      <c r="X4481">
        <v>6</v>
      </c>
      <c r="Y4481" t="s">
        <v>23161</v>
      </c>
      <c r="Z4481" t="s">
        <v>29428</v>
      </c>
      <c r="AA4481">
        <v>0.53801148904552298</v>
      </c>
      <c r="AB4481" t="str">
        <f>HYPERLINK("Melting_Curves/meltCurve_Q92636_NSMAF.pdf", "Melting_Curves/meltCurve_Q92636_NSMAF.pdf")</f>
        <v>Melting_Curves/meltCurve_Q92636_NSMAF.pdf</v>
      </c>
    </row>
    <row r="4482" spans="1:28" x14ac:dyDescent="0.25">
      <c r="A4482" t="s">
        <v>4486</v>
      </c>
      <c r="B4482">
        <v>0.99987803227770999</v>
      </c>
      <c r="C4482">
        <v>1.10143020519811</v>
      </c>
      <c r="D4482">
        <v>1.0513543098028499</v>
      </c>
      <c r="E4482">
        <v>1.01030823053935</v>
      </c>
      <c r="F4482">
        <v>0.92578260196277495</v>
      </c>
      <c r="G4482">
        <v>0.69482111986481798</v>
      </c>
      <c r="H4482">
        <v>0.40980310238075202</v>
      </c>
      <c r="I4482">
        <v>0.31449825959840999</v>
      </c>
      <c r="J4482">
        <v>0.29270294309508599</v>
      </c>
      <c r="K4482">
        <v>0.18894029888650599</v>
      </c>
      <c r="L4482">
        <v>1332.8694256845599</v>
      </c>
      <c r="M4482">
        <v>22.9012255153289</v>
      </c>
      <c r="N4482">
        <v>59.666577534878897</v>
      </c>
      <c r="O4482">
        <v>57.762465954632297</v>
      </c>
      <c r="P4482">
        <v>-7.7795398777671901E-2</v>
      </c>
      <c r="Q4482">
        <v>0.21513921248752399</v>
      </c>
      <c r="R4482">
        <v>0.98506481608521501</v>
      </c>
      <c r="S4482" t="s">
        <v>10793</v>
      </c>
      <c r="T4482" t="s">
        <v>12620</v>
      </c>
      <c r="U4482" t="s">
        <v>12620</v>
      </c>
      <c r="V4482" t="s">
        <v>12620</v>
      </c>
      <c r="W4482" t="s">
        <v>17049</v>
      </c>
      <c r="X4482">
        <v>2</v>
      </c>
      <c r="Y4482" t="s">
        <v>23162</v>
      </c>
      <c r="Z4482" t="s">
        <v>29429</v>
      </c>
      <c r="AA4482">
        <v>0.69886978468542438</v>
      </c>
      <c r="AB4482" t="str">
        <f>HYPERLINK("Melting_Curves/meltCurve_Q92664_2_GTF3A.pdf", "Melting_Curves/meltCurve_Q92664_2_GTF3A.pdf")</f>
        <v>Melting_Curves/meltCurve_Q92664_2_GTF3A.pdf</v>
      </c>
    </row>
    <row r="4483" spans="1:28" x14ac:dyDescent="0.25">
      <c r="A4483" t="s">
        <v>4487</v>
      </c>
      <c r="B4483">
        <v>0.99987803227770999</v>
      </c>
      <c r="C4483">
        <v>0.94680326079750998</v>
      </c>
      <c r="D4483">
        <v>1.11263748141883</v>
      </c>
      <c r="E4483">
        <v>1.1081873571594401</v>
      </c>
      <c r="F4483">
        <v>0.93128531398882997</v>
      </c>
      <c r="G4483">
        <v>0.69325764534518397</v>
      </c>
      <c r="H4483">
        <v>0.61822839482083802</v>
      </c>
      <c r="I4483">
        <v>0.803948047814107</v>
      </c>
      <c r="J4483">
        <v>0.55528787393794299</v>
      </c>
      <c r="K4483">
        <v>0.49211973581854301</v>
      </c>
      <c r="L4483">
        <v>2407.6095016792901</v>
      </c>
      <c r="M4483">
        <v>43.6263998711959</v>
      </c>
      <c r="O4483">
        <v>55.071423324338099</v>
      </c>
      <c r="P4483">
        <v>-7.6144268690155198E-2</v>
      </c>
      <c r="Q4483">
        <v>0.61552034303677505</v>
      </c>
      <c r="R4483">
        <v>0.82233023378796</v>
      </c>
      <c r="S4483" t="s">
        <v>10794</v>
      </c>
      <c r="T4483" t="s">
        <v>12620</v>
      </c>
      <c r="U4483" t="s">
        <v>12620</v>
      </c>
      <c r="V4483" t="s">
        <v>12620</v>
      </c>
      <c r="W4483" t="s">
        <v>17050</v>
      </c>
      <c r="X4483">
        <v>1</v>
      </c>
      <c r="Y4483" t="s">
        <v>23163</v>
      </c>
      <c r="Z4483" t="s">
        <v>29430</v>
      </c>
      <c r="AA4483">
        <v>0.81138544297781623</v>
      </c>
      <c r="AB4483" t="str">
        <f>HYPERLINK("Melting_Curves/meltCurve_Q92665_MRPS31.pdf", "Melting_Curves/meltCurve_Q92665_MRPS31.pdf")</f>
        <v>Melting_Curves/meltCurve_Q92665_MRPS31.pdf</v>
      </c>
    </row>
    <row r="4484" spans="1:28" x14ac:dyDescent="0.25">
      <c r="A4484" t="s">
        <v>4488</v>
      </c>
      <c r="B4484">
        <v>0.99987803227770999</v>
      </c>
      <c r="C4484">
        <v>0.90445882816953804</v>
      </c>
      <c r="D4484">
        <v>0.91138650281214595</v>
      </c>
      <c r="E4484">
        <v>0.81385770497967302</v>
      </c>
      <c r="F4484">
        <v>0.72305450877827304</v>
      </c>
      <c r="G4484">
        <v>0.559221976227952</v>
      </c>
      <c r="H4484">
        <v>0.54332675547120202</v>
      </c>
      <c r="I4484">
        <v>0.472268936209574</v>
      </c>
      <c r="J4484">
        <v>0.466824553124424</v>
      </c>
      <c r="K4484">
        <v>0.40767382675512198</v>
      </c>
      <c r="L4484">
        <v>517.30950968194804</v>
      </c>
      <c r="M4484">
        <v>9.5653878289592704</v>
      </c>
      <c r="N4484">
        <v>62.291529657007501</v>
      </c>
      <c r="O4484">
        <v>51.876089461435797</v>
      </c>
      <c r="P4484">
        <v>-2.95987245680134E-2</v>
      </c>
      <c r="Q4484">
        <v>0.35827723246027998</v>
      </c>
      <c r="R4484">
        <v>0.98518786081117204</v>
      </c>
      <c r="S4484" t="s">
        <v>10795</v>
      </c>
      <c r="T4484" t="s">
        <v>12620</v>
      </c>
      <c r="U4484" t="s">
        <v>12620</v>
      </c>
      <c r="V4484" t="s">
        <v>12620</v>
      </c>
      <c r="W4484" t="s">
        <v>17051</v>
      </c>
      <c r="X4484">
        <v>7</v>
      </c>
      <c r="Y4484" t="s">
        <v>23164</v>
      </c>
      <c r="Z4484" t="s">
        <v>29431</v>
      </c>
      <c r="AA4484">
        <v>0.67920111803539729</v>
      </c>
      <c r="AB4484" t="str">
        <f>HYPERLINK("Melting_Curves/meltCurve_Q92667_AKAP1.pdf", "Melting_Curves/meltCurve_Q92667_AKAP1.pdf")</f>
        <v>Melting_Curves/meltCurve_Q92667_AKAP1.pdf</v>
      </c>
    </row>
    <row r="4485" spans="1:28" x14ac:dyDescent="0.25">
      <c r="A4485" t="s">
        <v>4489</v>
      </c>
      <c r="B4485">
        <v>0.99987803227770999</v>
      </c>
      <c r="C4485">
        <v>0.75843726303126702</v>
      </c>
      <c r="D4485">
        <v>0.96607349084805105</v>
      </c>
      <c r="E4485">
        <v>0.71845724744929595</v>
      </c>
      <c r="F4485">
        <v>1.1053714865905599</v>
      </c>
      <c r="G4485">
        <v>0.74184842758303104</v>
      </c>
      <c r="H4485">
        <v>1.03694041084498</v>
      </c>
      <c r="I4485">
        <v>1.09570556999306</v>
      </c>
      <c r="J4485">
        <v>1.5150144563412999</v>
      </c>
      <c r="K4485">
        <v>1.2896192072694199</v>
      </c>
      <c r="L4485">
        <v>15000</v>
      </c>
      <c r="M4485">
        <v>233.211439042623</v>
      </c>
      <c r="O4485">
        <v>64.314584825140003</v>
      </c>
      <c r="P4485">
        <v>0.36471644733821801</v>
      </c>
      <c r="Q4485">
        <v>1.4023230943196101</v>
      </c>
      <c r="R4485">
        <v>0.57391664621852501</v>
      </c>
      <c r="S4485" t="s">
        <v>10796</v>
      </c>
      <c r="T4485" t="s">
        <v>12620</v>
      </c>
      <c r="U4485" t="s">
        <v>12620</v>
      </c>
      <c r="V4485" t="s">
        <v>12620</v>
      </c>
      <c r="W4485" t="s">
        <v>17052</v>
      </c>
      <c r="X4485">
        <v>2</v>
      </c>
      <c r="Y4485" t="s">
        <v>23165</v>
      </c>
      <c r="Z4485" t="s">
        <v>29432</v>
      </c>
      <c r="AA4485">
        <v>1.0761301698289121</v>
      </c>
      <c r="AB4485" t="str">
        <f>HYPERLINK("Melting_Curves/meltCurve_Q92686_NRGN.pdf", "Melting_Curves/meltCurve_Q92686_NRGN.pdf")</f>
        <v>Melting_Curves/meltCurve_Q92686_NRGN.pdf</v>
      </c>
    </row>
    <row r="4486" spans="1:28" x14ac:dyDescent="0.25">
      <c r="A4486" t="s">
        <v>4490</v>
      </c>
      <c r="B4486">
        <v>0.99987803227770999</v>
      </c>
      <c r="C4486">
        <v>0.95290707378664197</v>
      </c>
      <c r="D4486">
        <v>1.0677893387237301</v>
      </c>
      <c r="E4486">
        <v>1.00818192116006</v>
      </c>
      <c r="F4486">
        <v>1.0957875758510101</v>
      </c>
      <c r="G4486">
        <v>0.78657074405886296</v>
      </c>
      <c r="H4486">
        <v>0.51697760528098002</v>
      </c>
      <c r="I4486">
        <v>0.20516116334153001</v>
      </c>
      <c r="J4486">
        <v>0.137159208350696</v>
      </c>
      <c r="K4486">
        <v>0.106137041406818</v>
      </c>
      <c r="L4486">
        <v>1642.4155547815999</v>
      </c>
      <c r="M4486">
        <v>27.1987915045477</v>
      </c>
      <c r="N4486">
        <v>60.751042940662998</v>
      </c>
      <c r="O4486">
        <v>60.062015095330302</v>
      </c>
      <c r="P4486">
        <v>-0.104669104514604</v>
      </c>
      <c r="Q4486">
        <v>7.5462379474334706E-2</v>
      </c>
      <c r="R4486">
        <v>0.98185743001847803</v>
      </c>
      <c r="S4486" t="s">
        <v>10797</v>
      </c>
      <c r="T4486" t="s">
        <v>12620</v>
      </c>
      <c r="U4486" t="s">
        <v>12620</v>
      </c>
      <c r="V4486" t="s">
        <v>12620</v>
      </c>
      <c r="W4486" t="s">
        <v>17053</v>
      </c>
      <c r="X4486">
        <v>12</v>
      </c>
      <c r="Y4486" t="s">
        <v>23166</v>
      </c>
      <c r="Z4486" t="s">
        <v>29433</v>
      </c>
      <c r="AA4486">
        <v>0.70975943636719885</v>
      </c>
      <c r="AB4486" t="str">
        <f>HYPERLINK("Melting_Curves/meltCurve_Q92688_2_ANP32B.pdf", "Melting_Curves/meltCurve_Q92688_2_ANP32B.pdf")</f>
        <v>Melting_Curves/meltCurve_Q92688_2_ANP32B.pdf</v>
      </c>
    </row>
    <row r="4487" spans="1:28" x14ac:dyDescent="0.25">
      <c r="A4487" t="s">
        <v>4491</v>
      </c>
      <c r="B4487">
        <v>0.99987803227770999</v>
      </c>
      <c r="C4487">
        <v>0.909961743374752</v>
      </c>
      <c r="D4487">
        <v>0.937793029959474</v>
      </c>
      <c r="E4487">
        <v>0.88409614082962096</v>
      </c>
      <c r="F4487">
        <v>0.93114485422661197</v>
      </c>
      <c r="G4487">
        <v>0.68583219000977602</v>
      </c>
      <c r="H4487">
        <v>0.61629341754106204</v>
      </c>
      <c r="I4487">
        <v>0.50918283060128999</v>
      </c>
      <c r="J4487">
        <v>0.445021274717392</v>
      </c>
      <c r="K4487">
        <v>0.35681469306450497</v>
      </c>
      <c r="L4487">
        <v>488.36020265333099</v>
      </c>
      <c r="M4487">
        <v>7.5539926492578902</v>
      </c>
      <c r="N4487">
        <v>64.649281572286498</v>
      </c>
      <c r="O4487">
        <v>60.584598630407697</v>
      </c>
      <c r="P4487">
        <v>-3.12148998451976E-2</v>
      </c>
      <c r="Q4487">
        <v>0</v>
      </c>
      <c r="R4487">
        <v>0.96732338145525398</v>
      </c>
      <c r="S4487" t="s">
        <v>10798</v>
      </c>
      <c r="T4487" t="s">
        <v>12620</v>
      </c>
      <c r="U4487" t="s">
        <v>12620</v>
      </c>
      <c r="V4487" t="s">
        <v>12620</v>
      </c>
      <c r="W4487" t="s">
        <v>17054</v>
      </c>
      <c r="X4487">
        <v>8</v>
      </c>
      <c r="Y4487" t="s">
        <v>23167</v>
      </c>
      <c r="Z4487" t="s">
        <v>29434</v>
      </c>
      <c r="AA4487">
        <v>0.74523713204331099</v>
      </c>
      <c r="AB4487" t="str">
        <f>HYPERLINK("Melting_Curves/meltCurve_Q92692_PVRL2.pdf", "Melting_Curves/meltCurve_Q92692_PVRL2.pdf")</f>
        <v>Melting_Curves/meltCurve_Q92692_PVRL2.pdf</v>
      </c>
    </row>
    <row r="4488" spans="1:28" x14ac:dyDescent="0.25">
      <c r="A4488" t="s">
        <v>4492</v>
      </c>
      <c r="B4488">
        <v>0.99987803227770999</v>
      </c>
      <c r="C4488">
        <v>1.1683153814304601</v>
      </c>
      <c r="D4488">
        <v>1.03274103938513</v>
      </c>
      <c r="E4488">
        <v>1.0980610356240701</v>
      </c>
      <c r="F4488">
        <v>0.66418649265708396</v>
      </c>
      <c r="G4488">
        <v>0.242583842714024</v>
      </c>
      <c r="H4488">
        <v>0.14667301488884299</v>
      </c>
      <c r="I4488">
        <v>0.10949283830111101</v>
      </c>
      <c r="J4488">
        <v>8.3927738297198407E-2</v>
      </c>
      <c r="K4488">
        <v>5.9402823175903403E-2</v>
      </c>
      <c r="L4488">
        <v>2142.3291056204998</v>
      </c>
      <c r="M4488">
        <v>39.693129170657798</v>
      </c>
      <c r="N4488">
        <v>54.291266134542703</v>
      </c>
      <c r="O4488">
        <v>53.8358426063689</v>
      </c>
      <c r="P4488">
        <v>-0.165155693822611</v>
      </c>
      <c r="Q4488">
        <v>0.103998386777245</v>
      </c>
      <c r="R4488">
        <v>0.97309800874466001</v>
      </c>
      <c r="S4488" t="s">
        <v>10799</v>
      </c>
      <c r="T4488" t="s">
        <v>12620</v>
      </c>
      <c r="U4488" t="s">
        <v>12620</v>
      </c>
      <c r="V4488" t="s">
        <v>12620</v>
      </c>
      <c r="W4488" t="s">
        <v>17055</v>
      </c>
      <c r="X4488">
        <v>14</v>
      </c>
      <c r="Y4488" t="s">
        <v>23168</v>
      </c>
      <c r="Z4488" t="s">
        <v>29435</v>
      </c>
      <c r="AA4488">
        <v>0.52469269404044894</v>
      </c>
      <c r="AB4488" t="str">
        <f>HYPERLINK("Melting_Curves/meltCurve_Q92696_RABGGTA.pdf", "Melting_Curves/meltCurve_Q92696_RABGGTA.pdf")</f>
        <v>Melting_Curves/meltCurve_Q92696_RABGGTA.pdf</v>
      </c>
    </row>
    <row r="4489" spans="1:28" x14ac:dyDescent="0.25">
      <c r="A4489" t="s">
        <v>4493</v>
      </c>
      <c r="B4489">
        <v>0.99987803227770999</v>
      </c>
      <c r="C4489">
        <v>1.04232258022415</v>
      </c>
      <c r="D4489">
        <v>0.90769807847860495</v>
      </c>
      <c r="E4489">
        <v>1.0171682666878701</v>
      </c>
      <c r="F4489">
        <v>0.79762579001309997</v>
      </c>
      <c r="G4489">
        <v>0.97109107518795201</v>
      </c>
      <c r="H4489">
        <v>1.05462203166346</v>
      </c>
      <c r="I4489">
        <v>0.99882839723294403</v>
      </c>
      <c r="J4489">
        <v>0.89163378589463704</v>
      </c>
      <c r="K4489">
        <v>0.49387747833247903</v>
      </c>
      <c r="L4489">
        <v>7388.7627986080697</v>
      </c>
      <c r="M4489">
        <v>108.937484056881</v>
      </c>
      <c r="N4489">
        <v>69.790288598526104</v>
      </c>
      <c r="O4489">
        <v>67.802867491606193</v>
      </c>
      <c r="P4489">
        <v>-0.210190059327623</v>
      </c>
      <c r="Q4489">
        <v>0.47670948203818903</v>
      </c>
      <c r="R4489">
        <v>0.78297438910263895</v>
      </c>
      <c r="S4489" t="s">
        <v>10800</v>
      </c>
      <c r="T4489" t="s">
        <v>12620</v>
      </c>
      <c r="U4489" t="s">
        <v>12620</v>
      </c>
      <c r="V4489" t="s">
        <v>12620</v>
      </c>
      <c r="W4489" t="s">
        <v>17056</v>
      </c>
      <c r="X4489">
        <v>15</v>
      </c>
      <c r="Y4489" t="s">
        <v>23169</v>
      </c>
      <c r="Z4489" t="s">
        <v>29436</v>
      </c>
      <c r="AA4489">
        <v>0.96200880791256982</v>
      </c>
      <c r="AB4489" t="str">
        <f>HYPERLINK("Melting_Curves/meltCurve_Q92734_2_TFG.pdf", "Melting_Curves/meltCurve_Q92734_2_TFG.pdf")</f>
        <v>Melting_Curves/meltCurve_Q92734_2_TFG.pdf</v>
      </c>
    </row>
    <row r="4490" spans="1:28" x14ac:dyDescent="0.25">
      <c r="A4490" t="s">
        <v>4494</v>
      </c>
      <c r="B4490">
        <v>0.99987803227770999</v>
      </c>
      <c r="C4490">
        <v>0.87024543347939098</v>
      </c>
      <c r="D4490">
        <v>0.93806306915278403</v>
      </c>
      <c r="E4490">
        <v>0.82032469146558296</v>
      </c>
      <c r="F4490">
        <v>1.0099060392816399</v>
      </c>
      <c r="G4490">
        <v>0.76169422475168203</v>
      </c>
      <c r="H4490">
        <v>0.785979794220524</v>
      </c>
      <c r="I4490">
        <v>0.68691137804684299</v>
      </c>
      <c r="J4490">
        <v>0.80400564351497605</v>
      </c>
      <c r="K4490">
        <v>0.66975724501671396</v>
      </c>
      <c r="L4490">
        <v>218.35153747403899</v>
      </c>
      <c r="M4490">
        <v>2.2959620856455198</v>
      </c>
      <c r="O4490">
        <v>61.253702962921203</v>
      </c>
      <c r="P4490">
        <v>-9.9691764978847297E-3</v>
      </c>
      <c r="Q4490">
        <v>0</v>
      </c>
      <c r="R4490">
        <v>0.61592044265364099</v>
      </c>
      <c r="S4490" t="s">
        <v>10801</v>
      </c>
      <c r="T4490" t="s">
        <v>12620</v>
      </c>
      <c r="U4490" t="s">
        <v>12620</v>
      </c>
      <c r="V4490" t="s">
        <v>12620</v>
      </c>
      <c r="W4490" t="s">
        <v>17057</v>
      </c>
      <c r="X4490">
        <v>4</v>
      </c>
      <c r="Y4490" t="s">
        <v>23170</v>
      </c>
      <c r="Z4490" t="s">
        <v>29437</v>
      </c>
      <c r="AA4490">
        <v>0.83723542667378126</v>
      </c>
      <c r="AB4490" t="str">
        <f>HYPERLINK("Melting_Curves/meltCurve_Q92738_USP6NL.pdf", "Melting_Curves/meltCurve_Q92738_USP6NL.pdf")</f>
        <v>Melting_Curves/meltCurve_Q92738_USP6NL.pdf</v>
      </c>
    </row>
    <row r="4491" spans="1:28" x14ac:dyDescent="0.25">
      <c r="A4491" t="s">
        <v>4495</v>
      </c>
      <c r="B4491">
        <v>0.99987803227770999</v>
      </c>
      <c r="C4491">
        <v>1.09948870597561</v>
      </c>
      <c r="D4491">
        <v>0.97702654083719298</v>
      </c>
      <c r="E4491">
        <v>1.3024588716473899</v>
      </c>
      <c r="F4491">
        <v>1.1139979257702799</v>
      </c>
      <c r="G4491">
        <v>1.1426757327597199</v>
      </c>
      <c r="H4491">
        <v>0.87532930559625899</v>
      </c>
      <c r="I4491">
        <v>0.32940617806096101</v>
      </c>
      <c r="J4491">
        <v>0.105470612945128</v>
      </c>
      <c r="K4491">
        <v>9.4273110432794294E-2</v>
      </c>
      <c r="L4491">
        <v>3836.9006255377099</v>
      </c>
      <c r="M4491">
        <v>60.995559219079198</v>
      </c>
      <c r="N4491">
        <v>63.107778830062003</v>
      </c>
      <c r="O4491">
        <v>62.8370924410277</v>
      </c>
      <c r="P4491">
        <v>-0.22104013586931801</v>
      </c>
      <c r="Q4491">
        <v>8.9146065317445095E-2</v>
      </c>
      <c r="R4491">
        <v>0.92605805647597295</v>
      </c>
      <c r="S4491" t="s">
        <v>10802</v>
      </c>
      <c r="T4491" t="s">
        <v>12620</v>
      </c>
      <c r="U4491" t="s">
        <v>12620</v>
      </c>
      <c r="V4491" t="s">
        <v>12620</v>
      </c>
      <c r="W4491" t="s">
        <v>17058</v>
      </c>
      <c r="X4491">
        <v>14</v>
      </c>
      <c r="Y4491" t="s">
        <v>23171</v>
      </c>
      <c r="Z4491" t="s">
        <v>29438</v>
      </c>
      <c r="AA4491">
        <v>0.78618269217483361</v>
      </c>
      <c r="AB4491" t="str">
        <f>HYPERLINK("Melting_Curves/meltCurve_Q92747_ARPC1A.pdf", "Melting_Curves/meltCurve_Q92747_ARPC1A.pdf")</f>
        <v>Melting_Curves/meltCurve_Q92747_ARPC1A.pdf</v>
      </c>
    </row>
    <row r="4492" spans="1:28" x14ac:dyDescent="0.25">
      <c r="A4492" t="s">
        <v>4496</v>
      </c>
      <c r="B4492">
        <v>0.99987803227770999</v>
      </c>
      <c r="C4492">
        <v>1.04762924459303</v>
      </c>
      <c r="D4492">
        <v>1.06035659175435</v>
      </c>
      <c r="E4492">
        <v>1.0932837339699599</v>
      </c>
      <c r="F4492">
        <v>1.0161005913512999</v>
      </c>
      <c r="G4492">
        <v>0.90896249984074695</v>
      </c>
      <c r="H4492">
        <v>0.75315976236234305</v>
      </c>
      <c r="I4492">
        <v>0.68477908476356797</v>
      </c>
      <c r="J4492">
        <v>0.48792095723242301</v>
      </c>
      <c r="K4492">
        <v>0.38752715641727797</v>
      </c>
      <c r="L4492">
        <v>1082.6663819788</v>
      </c>
      <c r="M4492">
        <v>16.7379179986347</v>
      </c>
      <c r="N4492">
        <v>66.976011494041799</v>
      </c>
      <c r="O4492">
        <v>63.781311163584697</v>
      </c>
      <c r="P4492">
        <v>-5.1303535710885702E-2</v>
      </c>
      <c r="Q4492">
        <v>0.218064708616341</v>
      </c>
      <c r="R4492">
        <v>0.96430661540294704</v>
      </c>
      <c r="S4492" t="s">
        <v>10803</v>
      </c>
      <c r="T4492" t="s">
        <v>12620</v>
      </c>
      <c r="U4492" t="s">
        <v>12620</v>
      </c>
      <c r="V4492" t="s">
        <v>12620</v>
      </c>
      <c r="W4492" t="s">
        <v>17059</v>
      </c>
      <c r="X4492">
        <v>16</v>
      </c>
      <c r="Y4492" t="s">
        <v>23172</v>
      </c>
      <c r="Z4492" t="s">
        <v>29439</v>
      </c>
      <c r="AA4492">
        <v>0.84803162539367638</v>
      </c>
      <c r="AB4492" t="str">
        <f>HYPERLINK("Melting_Curves/meltCurve_Q92783_2_STAM.pdf", "Melting_Curves/meltCurve_Q92783_2_STAM.pdf")</f>
        <v>Melting_Curves/meltCurve_Q92783_2_STAM.pdf</v>
      </c>
    </row>
    <row r="4493" spans="1:28" x14ac:dyDescent="0.25">
      <c r="A4493" t="s">
        <v>4497</v>
      </c>
      <c r="B4493">
        <v>0.99987803227770999</v>
      </c>
      <c r="C4493">
        <v>0.92671831873321098</v>
      </c>
      <c r="D4493">
        <v>1.00738598555555</v>
      </c>
      <c r="E4493">
        <v>0.86409656394700496</v>
      </c>
      <c r="F4493">
        <v>1.02934049558843</v>
      </c>
      <c r="G4493">
        <v>0.87767474271439705</v>
      </c>
      <c r="H4493">
        <v>0.67647367515093204</v>
      </c>
      <c r="I4493">
        <v>0.78830206843331097</v>
      </c>
      <c r="J4493">
        <v>0.66947773969265101</v>
      </c>
      <c r="K4493">
        <v>0.51333323300598999</v>
      </c>
      <c r="L4493">
        <v>510.31636121563099</v>
      </c>
      <c r="M4493">
        <v>7.0721965793914698</v>
      </c>
      <c r="O4493">
        <v>67.054954897430605</v>
      </c>
      <c r="P4493">
        <v>-2.6414240954926199E-2</v>
      </c>
      <c r="Q4493">
        <v>0</v>
      </c>
      <c r="R4493">
        <v>0.83017573441301096</v>
      </c>
      <c r="S4493" t="s">
        <v>10804</v>
      </c>
      <c r="T4493" t="s">
        <v>12620</v>
      </c>
      <c r="U4493" t="s">
        <v>12620</v>
      </c>
      <c r="V4493" t="s">
        <v>12620</v>
      </c>
      <c r="W4493" t="s">
        <v>17060</v>
      </c>
      <c r="X4493">
        <v>7</v>
      </c>
      <c r="Y4493" t="s">
        <v>23173</v>
      </c>
      <c r="Z4493" t="s">
        <v>29440</v>
      </c>
      <c r="AA4493">
        <v>0.85397421348257951</v>
      </c>
      <c r="AB4493" t="str">
        <f>HYPERLINK("Melting_Curves/meltCurve_Q92785_DPF2.pdf", "Melting_Curves/meltCurve_Q92785_DPF2.pdf")</f>
        <v>Melting_Curves/meltCurve_Q92785_DPF2.pdf</v>
      </c>
    </row>
    <row r="4494" spans="1:28" x14ac:dyDescent="0.25">
      <c r="A4494" t="s">
        <v>4498</v>
      </c>
      <c r="B4494">
        <v>0.99987803227770999</v>
      </c>
      <c r="C4494">
        <v>1.10790391309268</v>
      </c>
      <c r="D4494">
        <v>0.92622954034643901</v>
      </c>
      <c r="E4494">
        <v>0.93363597781293395</v>
      </c>
      <c r="F4494">
        <v>0.53560739557972403</v>
      </c>
      <c r="G4494">
        <v>0.26590839001102001</v>
      </c>
      <c r="H4494">
        <v>0.220866041950397</v>
      </c>
      <c r="I4494">
        <v>0.20788074472999199</v>
      </c>
      <c r="J4494">
        <v>0.162549364549468</v>
      </c>
      <c r="K4494">
        <v>0.12255280424864</v>
      </c>
      <c r="L4494">
        <v>1881.50624311007</v>
      </c>
      <c r="M4494">
        <v>35.661486839534497</v>
      </c>
      <c r="N4494">
        <v>53.435236882229397</v>
      </c>
      <c r="O4494">
        <v>52.595083850373399</v>
      </c>
      <c r="P4494">
        <v>-0.13876907929222601</v>
      </c>
      <c r="Q4494">
        <v>0.18135228893389799</v>
      </c>
      <c r="R4494">
        <v>0.98290012081387201</v>
      </c>
      <c r="S4494" t="s">
        <v>10805</v>
      </c>
      <c r="T4494" t="s">
        <v>12620</v>
      </c>
      <c r="U4494" t="s">
        <v>12620</v>
      </c>
      <c r="V4494" t="s">
        <v>12620</v>
      </c>
      <c r="W4494" t="s">
        <v>17061</v>
      </c>
      <c r="X4494">
        <v>28</v>
      </c>
      <c r="Y4494" t="s">
        <v>23174</v>
      </c>
      <c r="Z4494" t="s">
        <v>29441</v>
      </c>
      <c r="AA4494">
        <v>0.53330958408241869</v>
      </c>
      <c r="AB4494" t="str">
        <f>HYPERLINK("Melting_Curves/meltCurve_Q92793_CREBBP.pdf", "Melting_Curves/meltCurve_Q92793_CREBBP.pdf")</f>
        <v>Melting_Curves/meltCurve_Q92793_CREBBP.pdf</v>
      </c>
    </row>
    <row r="4495" spans="1:28" x14ac:dyDescent="0.25">
      <c r="A4495" t="s">
        <v>4499</v>
      </c>
      <c r="B4495">
        <v>0.99987803227770999</v>
      </c>
      <c r="C4495">
        <v>1.0678618997518901</v>
      </c>
      <c r="D4495">
        <v>0.76566579137139601</v>
      </c>
      <c r="E4495">
        <v>0.57151130473516898</v>
      </c>
      <c r="F4495">
        <v>0.34258040005677398</v>
      </c>
      <c r="G4495">
        <v>0.24185599698486701</v>
      </c>
      <c r="H4495">
        <v>0.160559442409028</v>
      </c>
      <c r="I4495">
        <v>0.139590867372126</v>
      </c>
      <c r="J4495">
        <v>0.12798733787523001</v>
      </c>
      <c r="K4495">
        <v>9.7492926225857507E-2</v>
      </c>
      <c r="L4495">
        <v>852.26261745143495</v>
      </c>
      <c r="M4495">
        <v>17.058684178807901</v>
      </c>
      <c r="N4495">
        <v>50.749573632594398</v>
      </c>
      <c r="O4495">
        <v>49.289212623772002</v>
      </c>
      <c r="P4495">
        <v>-7.6450699068653302E-2</v>
      </c>
      <c r="Q4495">
        <v>0.11646994470366701</v>
      </c>
      <c r="R4495">
        <v>0.98340141932484804</v>
      </c>
      <c r="S4495" t="s">
        <v>10806</v>
      </c>
      <c r="T4495" t="s">
        <v>12620</v>
      </c>
      <c r="U4495" t="s">
        <v>12620</v>
      </c>
      <c r="V4495" t="s">
        <v>12620</v>
      </c>
      <c r="W4495" t="s">
        <v>17062</v>
      </c>
      <c r="X4495">
        <v>21</v>
      </c>
      <c r="Y4495" t="s">
        <v>23175</v>
      </c>
      <c r="Z4495" t="s">
        <v>29442</v>
      </c>
      <c r="AA4495">
        <v>0.426503393547777</v>
      </c>
      <c r="AB4495" t="str">
        <f>HYPERLINK("Melting_Curves/meltCurve_Q92797_SYMPK.pdf", "Melting_Curves/meltCurve_Q92797_SYMPK.pdf")</f>
        <v>Melting_Curves/meltCurve_Q92797_SYMPK.pdf</v>
      </c>
    </row>
    <row r="4496" spans="1:28" x14ac:dyDescent="0.25">
      <c r="A4496" t="s">
        <v>4500</v>
      </c>
      <c r="B4496">
        <v>0.99987803227770999</v>
      </c>
      <c r="C4496">
        <v>0.933902555621279</v>
      </c>
      <c r="D4496">
        <v>0.95061511828535095</v>
      </c>
      <c r="E4496">
        <v>0.89724044549980198</v>
      </c>
      <c r="F4496">
        <v>1.0404728389728899</v>
      </c>
      <c r="G4496">
        <v>0.80045133533754398</v>
      </c>
      <c r="H4496">
        <v>0.79105459352244101</v>
      </c>
      <c r="I4496">
        <v>0.71400106890689796</v>
      </c>
      <c r="J4496">
        <v>0.87019295992189105</v>
      </c>
      <c r="K4496">
        <v>0.74861248950716996</v>
      </c>
      <c r="L4496">
        <v>14117.3977061268</v>
      </c>
      <c r="M4496">
        <v>250</v>
      </c>
      <c r="O4496">
        <v>56.4659772341356</v>
      </c>
      <c r="P4496">
        <v>-0.242441049084408</v>
      </c>
      <c r="Q4496">
        <v>0.78096526847000702</v>
      </c>
      <c r="R4496">
        <v>0.69583727003372497</v>
      </c>
      <c r="S4496" t="s">
        <v>10807</v>
      </c>
      <c r="T4496" t="s">
        <v>12620</v>
      </c>
      <c r="U4496" t="s">
        <v>12620</v>
      </c>
      <c r="V4496" t="s">
        <v>12620</v>
      </c>
      <c r="W4496" t="s">
        <v>17063</v>
      </c>
      <c r="X4496">
        <v>9</v>
      </c>
      <c r="Y4496" t="s">
        <v>23176</v>
      </c>
      <c r="Z4496" t="s">
        <v>29443</v>
      </c>
      <c r="AA4496">
        <v>0.90123405567958947</v>
      </c>
      <c r="AB4496" t="str">
        <f>HYPERLINK("Melting_Curves/meltCurve_Q92804_2_TAF15.pdf", "Melting_Curves/meltCurve_Q92804_2_TAF15.pdf")</f>
        <v>Melting_Curves/meltCurve_Q92804_2_TAF15.pdf</v>
      </c>
    </row>
    <row r="4497" spans="1:28" x14ac:dyDescent="0.25">
      <c r="A4497" t="s">
        <v>4501</v>
      </c>
      <c r="B4497">
        <v>0.99987803227770999</v>
      </c>
      <c r="C4497">
        <v>1.00991946491502</v>
      </c>
      <c r="D4497">
        <v>0.96922641455807601</v>
      </c>
      <c r="E4497">
        <v>0.72366580863628205</v>
      </c>
      <c r="F4497">
        <v>0.68573706722345396</v>
      </c>
      <c r="G4497">
        <v>0.57989996317479697</v>
      </c>
      <c r="H4497">
        <v>0.45574078288296299</v>
      </c>
      <c r="I4497">
        <v>0.38626665598155402</v>
      </c>
      <c r="J4497">
        <v>0.37954772686802402</v>
      </c>
      <c r="K4497">
        <v>0.299209899529087</v>
      </c>
      <c r="L4497">
        <v>594.12771995557603</v>
      </c>
      <c r="M4497">
        <v>10.905096936067199</v>
      </c>
      <c r="N4497">
        <v>58.699538808792497</v>
      </c>
      <c r="O4497">
        <v>52.745666762016597</v>
      </c>
      <c r="P4497">
        <v>-3.76610698252101E-2</v>
      </c>
      <c r="Q4497">
        <v>0.27161956266611698</v>
      </c>
      <c r="R4497">
        <v>0.97902532552555999</v>
      </c>
      <c r="S4497" t="s">
        <v>10808</v>
      </c>
      <c r="T4497" t="s">
        <v>12620</v>
      </c>
      <c r="U4497" t="s">
        <v>12620</v>
      </c>
      <c r="V4497" t="s">
        <v>12620</v>
      </c>
      <c r="W4497" t="s">
        <v>17064</v>
      </c>
      <c r="X4497">
        <v>16</v>
      </c>
      <c r="Y4497" t="s">
        <v>23177</v>
      </c>
      <c r="Z4497" t="s">
        <v>29444</v>
      </c>
      <c r="AA4497">
        <v>0.64268432573625689</v>
      </c>
      <c r="AB4497" t="str">
        <f>HYPERLINK("Melting_Curves/meltCurve_Q92805_GOLGA1.pdf", "Melting_Curves/meltCurve_Q92805_GOLGA1.pdf")</f>
        <v>Melting_Curves/meltCurve_Q92805_GOLGA1.pdf</v>
      </c>
    </row>
    <row r="4498" spans="1:28" x14ac:dyDescent="0.25">
      <c r="A4498" t="s">
        <v>4502</v>
      </c>
      <c r="B4498">
        <v>0.99987803227770999</v>
      </c>
      <c r="C4498">
        <v>1.4419534405096699</v>
      </c>
      <c r="D4498">
        <v>0.95935114871651594</v>
      </c>
      <c r="E4498">
        <v>1.6047620937379301</v>
      </c>
      <c r="F4498">
        <v>1.2253628024947301</v>
      </c>
      <c r="G4498">
        <v>0.45355448256207198</v>
      </c>
      <c r="H4498">
        <v>0.20254433107516601</v>
      </c>
      <c r="I4498">
        <v>0.199294472436787</v>
      </c>
      <c r="J4498">
        <v>0.12361015056264001</v>
      </c>
      <c r="K4498">
        <v>8.5715023548767297E-2</v>
      </c>
      <c r="S4498" t="s">
        <v>10809</v>
      </c>
      <c r="T4498" t="s">
        <v>12620</v>
      </c>
      <c r="U4498" t="s">
        <v>12621</v>
      </c>
      <c r="V4498" t="s">
        <v>12620</v>
      </c>
      <c r="W4498" t="s">
        <v>17065</v>
      </c>
      <c r="X4498">
        <v>4</v>
      </c>
      <c r="Y4498" t="s">
        <v>23178</v>
      </c>
      <c r="Z4498" t="s">
        <v>29445</v>
      </c>
      <c r="AB4498" t="str">
        <f>HYPERLINK("Melting_Curves/meltCurve_Q92817_EVPL.pdf", "Melting_Curves/meltCurve_Q92817_EVPL.pdf")</f>
        <v>Melting_Curves/meltCurve_Q92817_EVPL.pdf</v>
      </c>
    </row>
    <row r="4499" spans="1:28" x14ac:dyDescent="0.25">
      <c r="A4499" t="s">
        <v>4503</v>
      </c>
      <c r="B4499">
        <v>0.99987803227770999</v>
      </c>
      <c r="C4499">
        <v>0.96878977583627501</v>
      </c>
      <c r="D4499">
        <v>0.86085139841563196</v>
      </c>
      <c r="E4499">
        <v>0.94555287194659299</v>
      </c>
      <c r="F4499">
        <v>0.96543404995958104</v>
      </c>
      <c r="G4499">
        <v>1.0693591289078399</v>
      </c>
      <c r="H4499">
        <v>1.01150973642624</v>
      </c>
      <c r="I4499">
        <v>0.681685025253707</v>
      </c>
      <c r="J4499">
        <v>0.27202291575138698</v>
      </c>
      <c r="K4499">
        <v>8.9927792353980199E-2</v>
      </c>
      <c r="L4499">
        <v>3107.6489367862901</v>
      </c>
      <c r="M4499">
        <v>47.799136554031101</v>
      </c>
      <c r="N4499">
        <v>65.224432470523894</v>
      </c>
      <c r="O4499">
        <v>64.901258427701904</v>
      </c>
      <c r="P4499">
        <v>-0.171009599290329</v>
      </c>
      <c r="Q4499">
        <v>7.1219470527104395E-2</v>
      </c>
      <c r="R4499">
        <v>0.96812716597697102</v>
      </c>
      <c r="S4499" t="s">
        <v>10810</v>
      </c>
      <c r="T4499" t="s">
        <v>12620</v>
      </c>
      <c r="U4499" t="s">
        <v>12620</v>
      </c>
      <c r="V4499" t="s">
        <v>12620</v>
      </c>
      <c r="W4499" t="s">
        <v>17066</v>
      </c>
      <c r="X4499">
        <v>7</v>
      </c>
      <c r="Y4499" t="s">
        <v>23179</v>
      </c>
      <c r="Z4499" t="s">
        <v>29446</v>
      </c>
      <c r="AA4499">
        <v>0.8469020660985469</v>
      </c>
      <c r="AB4499" t="str">
        <f>HYPERLINK("Melting_Curves/meltCurve_Q92820_GGH.pdf", "Melting_Curves/meltCurve_Q92820_GGH.pdf")</f>
        <v>Melting_Curves/meltCurve_Q92820_GGH.pdf</v>
      </c>
    </row>
    <row r="4500" spans="1:28" x14ac:dyDescent="0.25">
      <c r="A4500" t="s">
        <v>4504</v>
      </c>
      <c r="B4500">
        <v>0.99987803227770999</v>
      </c>
      <c r="C4500">
        <v>0.90771487579094601</v>
      </c>
      <c r="D4500">
        <v>0.95686854078956796</v>
      </c>
      <c r="E4500">
        <v>0.88941284478176996</v>
      </c>
      <c r="F4500">
        <v>0.999230277068199</v>
      </c>
      <c r="G4500">
        <v>0.65667556084227097</v>
      </c>
      <c r="H4500">
        <v>0.47620051764101601</v>
      </c>
      <c r="I4500">
        <v>0.40635204725934199</v>
      </c>
      <c r="J4500">
        <v>0.37963651573328999</v>
      </c>
      <c r="K4500">
        <v>0.29053644104512899</v>
      </c>
      <c r="L4500">
        <v>1279.84878792523</v>
      </c>
      <c r="M4500">
        <v>22.240177505161501</v>
      </c>
      <c r="N4500">
        <v>60.3296338675325</v>
      </c>
      <c r="O4500">
        <v>57.087520548442697</v>
      </c>
      <c r="P4500">
        <v>-6.6155541919049599E-2</v>
      </c>
      <c r="Q4500">
        <v>0.32076554985411698</v>
      </c>
      <c r="R4500">
        <v>0.95882289464123904</v>
      </c>
      <c r="S4500" t="s">
        <v>10811</v>
      </c>
      <c r="T4500" t="s">
        <v>12620</v>
      </c>
      <c r="U4500" t="s">
        <v>12620</v>
      </c>
      <c r="V4500" t="s">
        <v>12620</v>
      </c>
      <c r="W4500" t="s">
        <v>17067</v>
      </c>
      <c r="X4500">
        <v>7</v>
      </c>
      <c r="Y4500" t="s">
        <v>23180</v>
      </c>
      <c r="Z4500" t="s">
        <v>29447</v>
      </c>
      <c r="AA4500">
        <v>0.72510822698826516</v>
      </c>
      <c r="AB4500" t="str">
        <f>HYPERLINK("Melting_Curves/meltCurve_Q92834_4_RPGR.pdf", "Melting_Curves/meltCurve_Q92834_4_RPGR.pdf")</f>
        <v>Melting_Curves/meltCurve_Q92834_4_RPGR.pdf</v>
      </c>
    </row>
    <row r="4501" spans="1:28" x14ac:dyDescent="0.25">
      <c r="A4501" t="s">
        <v>4505</v>
      </c>
      <c r="B4501">
        <v>0.99987803227770999</v>
      </c>
      <c r="C4501">
        <v>0.97646113293114001</v>
      </c>
      <c r="D4501">
        <v>1.0427034119141001</v>
      </c>
      <c r="E4501">
        <v>0.78157066063772196</v>
      </c>
      <c r="F4501">
        <v>0.24834076626840801</v>
      </c>
      <c r="G4501">
        <v>0.17556225748711499</v>
      </c>
      <c r="H4501">
        <v>0.13190590628042201</v>
      </c>
      <c r="I4501">
        <v>0.11907552046467999</v>
      </c>
      <c r="J4501">
        <v>0.108481003680074</v>
      </c>
      <c r="K4501">
        <v>8.5563962192494902E-2</v>
      </c>
      <c r="L4501">
        <v>2535.4034444342901</v>
      </c>
      <c r="M4501">
        <v>49.599635407026199</v>
      </c>
      <c r="N4501">
        <v>51.408641522139597</v>
      </c>
      <c r="O4501">
        <v>51.034516427998199</v>
      </c>
      <c r="P4501">
        <v>-0.21321127722489999</v>
      </c>
      <c r="Q4501">
        <v>0.122483903960569</v>
      </c>
      <c r="R4501">
        <v>0.995886047954465</v>
      </c>
      <c r="S4501" t="s">
        <v>10812</v>
      </c>
      <c r="T4501" t="s">
        <v>12620</v>
      </c>
      <c r="U4501" t="s">
        <v>12620</v>
      </c>
      <c r="V4501" t="s">
        <v>12620</v>
      </c>
      <c r="W4501" t="s">
        <v>17068</v>
      </c>
      <c r="X4501">
        <v>32</v>
      </c>
      <c r="Y4501" t="s">
        <v>23181</v>
      </c>
      <c r="Z4501" t="s">
        <v>29448</v>
      </c>
      <c r="AA4501">
        <v>0.44968406733112032</v>
      </c>
      <c r="AB4501" t="str">
        <f>HYPERLINK("Melting_Curves/meltCurve_Q92841_DDX17.pdf", "Melting_Curves/meltCurve_Q92841_DDX17.pdf")</f>
        <v>Melting_Curves/meltCurve_Q92841_DDX17.pdf</v>
      </c>
    </row>
    <row r="4502" spans="1:28" x14ac:dyDescent="0.25">
      <c r="A4502" t="s">
        <v>4506</v>
      </c>
      <c r="B4502">
        <v>0.99987803227770999</v>
      </c>
      <c r="C4502">
        <v>0.97794662836101098</v>
      </c>
      <c r="D4502">
        <v>1.0676176546517799</v>
      </c>
      <c r="E4502">
        <v>0.94286820958166395</v>
      </c>
      <c r="F4502">
        <v>0.81749184236115902</v>
      </c>
      <c r="G4502">
        <v>0.56911877594906701</v>
      </c>
      <c r="H4502">
        <v>0.52056996182084903</v>
      </c>
      <c r="I4502">
        <v>0.47482697319754202</v>
      </c>
      <c r="J4502">
        <v>0.38582797318731898</v>
      </c>
      <c r="K4502">
        <v>0.309346413431066</v>
      </c>
      <c r="L4502">
        <v>936.77978539976698</v>
      </c>
      <c r="M4502">
        <v>16.711204989092099</v>
      </c>
      <c r="N4502">
        <v>60.268404297036</v>
      </c>
      <c r="O4502">
        <v>55.272714593004899</v>
      </c>
      <c r="P4502">
        <v>-4.9552002540571301E-2</v>
      </c>
      <c r="Q4502">
        <v>0.34446550969599399</v>
      </c>
      <c r="R4502">
        <v>0.97313129630122797</v>
      </c>
      <c r="S4502" t="s">
        <v>10813</v>
      </c>
      <c r="T4502" t="s">
        <v>12620</v>
      </c>
      <c r="U4502" t="s">
        <v>12620</v>
      </c>
      <c r="V4502" t="s">
        <v>12620</v>
      </c>
      <c r="W4502" t="s">
        <v>17069</v>
      </c>
      <c r="X4502">
        <v>6</v>
      </c>
      <c r="Y4502" t="s">
        <v>23182</v>
      </c>
      <c r="Z4502" t="s">
        <v>29449</v>
      </c>
      <c r="AA4502">
        <v>0.70577963651786879</v>
      </c>
      <c r="AB4502" t="str">
        <f>HYPERLINK("Melting_Curves/meltCurve_Q92843_2_BCL2L2.pdf", "Melting_Curves/meltCurve_Q92843_2_BCL2L2.pdf")</f>
        <v>Melting_Curves/meltCurve_Q92843_2_BCL2L2.pdf</v>
      </c>
    </row>
    <row r="4503" spans="1:28" x14ac:dyDescent="0.25">
      <c r="A4503" t="s">
        <v>4507</v>
      </c>
      <c r="B4503">
        <v>0.99987803227770999</v>
      </c>
      <c r="C4503">
        <v>0.93300247718525298</v>
      </c>
      <c r="D4503">
        <v>0.93966033157791795</v>
      </c>
      <c r="E4503">
        <v>0.75587881478220098</v>
      </c>
      <c r="F4503">
        <v>0.90885894937581801</v>
      </c>
      <c r="G4503">
        <v>0.87228537713235899</v>
      </c>
      <c r="H4503">
        <v>1.0826181022691399</v>
      </c>
      <c r="I4503">
        <v>1.1124007270901399</v>
      </c>
      <c r="J4503">
        <v>1.1493138042330699</v>
      </c>
      <c r="K4503">
        <v>0.92647389348654496</v>
      </c>
      <c r="L4503">
        <v>1.0000000000000001E-5</v>
      </c>
      <c r="M4503">
        <v>19.067919239355302</v>
      </c>
      <c r="Q4503">
        <v>0.96803705079520497</v>
      </c>
      <c r="R4503">
        <v>0</v>
      </c>
      <c r="S4503" t="s">
        <v>10814</v>
      </c>
      <c r="T4503" t="s">
        <v>12620</v>
      </c>
      <c r="U4503" t="s">
        <v>12620</v>
      </c>
      <c r="V4503" t="s">
        <v>12620</v>
      </c>
      <c r="W4503" t="s">
        <v>17070</v>
      </c>
      <c r="X4503">
        <v>11</v>
      </c>
      <c r="Y4503" t="s">
        <v>23183</v>
      </c>
      <c r="Z4503" t="s">
        <v>29450</v>
      </c>
      <c r="AA4503">
        <v>0.96803705096252757</v>
      </c>
      <c r="AB4503" t="str">
        <f>HYPERLINK("Melting_Curves/meltCurve_Q92844_TANK.pdf", "Melting_Curves/meltCurve_Q92844_TANK.pdf")</f>
        <v>Melting_Curves/meltCurve_Q92844_TANK.pdf</v>
      </c>
    </row>
    <row r="4504" spans="1:28" x14ac:dyDescent="0.25">
      <c r="A4504" t="s">
        <v>4508</v>
      </c>
      <c r="B4504">
        <v>0.99987803227770999</v>
      </c>
      <c r="C4504">
        <v>1.1693192766585201</v>
      </c>
      <c r="D4504">
        <v>0.75483976260542995</v>
      </c>
      <c r="E4504">
        <v>0.47477138893318899</v>
      </c>
      <c r="F4504">
        <v>0.226324222490389</v>
      </c>
      <c r="G4504">
        <v>0.16236116465025699</v>
      </c>
      <c r="H4504">
        <v>0.11084675040722999</v>
      </c>
      <c r="I4504">
        <v>6.7593738814382007E-2</v>
      </c>
      <c r="J4504">
        <v>4.63672152127853E-2</v>
      </c>
      <c r="K4504">
        <v>3.2002570681416702E-2</v>
      </c>
      <c r="L4504">
        <v>1065.85370341564</v>
      </c>
      <c r="M4504">
        <v>21.6242361823974</v>
      </c>
      <c r="N4504">
        <v>49.621572182933903</v>
      </c>
      <c r="O4504">
        <v>48.874053834381101</v>
      </c>
      <c r="P4504">
        <v>-0.103168960355772</v>
      </c>
      <c r="Q4504">
        <v>6.7312289268082706E-2</v>
      </c>
      <c r="R4504">
        <v>0.96672385681656203</v>
      </c>
      <c r="S4504" t="s">
        <v>10815</v>
      </c>
      <c r="T4504" t="s">
        <v>12620</v>
      </c>
      <c r="U4504" t="s">
        <v>12620</v>
      </c>
      <c r="V4504" t="s">
        <v>12620</v>
      </c>
      <c r="W4504" t="s">
        <v>17071</v>
      </c>
      <c r="X4504">
        <v>5</v>
      </c>
      <c r="Y4504" t="s">
        <v>23184</v>
      </c>
      <c r="Z4504" t="s">
        <v>29451</v>
      </c>
      <c r="AA4504">
        <v>0.36725992769663612</v>
      </c>
      <c r="AB4504" t="str">
        <f>HYPERLINK("Melting_Curves/meltCurve_Q92845_2_KIFAP3.pdf", "Melting_Curves/meltCurve_Q92845_2_KIFAP3.pdf")</f>
        <v>Melting_Curves/meltCurve_Q92845_2_KIFAP3.pdf</v>
      </c>
    </row>
    <row r="4505" spans="1:28" x14ac:dyDescent="0.25">
      <c r="A4505" t="s">
        <v>4509</v>
      </c>
      <c r="B4505">
        <v>0.99987803227770999</v>
      </c>
      <c r="C4505">
        <v>0.89560454366407605</v>
      </c>
      <c r="D4505">
        <v>0.90982063738718</v>
      </c>
      <c r="E4505">
        <v>0.64316518446751503</v>
      </c>
      <c r="F4505">
        <v>0.23994162752475201</v>
      </c>
      <c r="G4505">
        <v>0.14664925502300599</v>
      </c>
      <c r="H4505">
        <v>0.108307183884247</v>
      </c>
      <c r="I4505">
        <v>0.103725142548053</v>
      </c>
      <c r="J4505">
        <v>5.7698876709952697E-2</v>
      </c>
      <c r="K4505">
        <v>4.33404589253008E-2</v>
      </c>
      <c r="L4505">
        <v>1308.45274427446</v>
      </c>
      <c r="M4505">
        <v>25.881310368326499</v>
      </c>
      <c r="N4505">
        <v>50.8709519997198</v>
      </c>
      <c r="O4505">
        <v>50.256955901087998</v>
      </c>
      <c r="P4505">
        <v>-0.11921237276034299</v>
      </c>
      <c r="Q4505">
        <v>7.4052766602816705E-2</v>
      </c>
      <c r="R4505">
        <v>0.98819135231785005</v>
      </c>
      <c r="S4505" t="s">
        <v>10816</v>
      </c>
      <c r="T4505" t="s">
        <v>12620</v>
      </c>
      <c r="U4505" t="s">
        <v>12620</v>
      </c>
      <c r="V4505" t="s">
        <v>12620</v>
      </c>
      <c r="W4505" t="s">
        <v>17072</v>
      </c>
      <c r="X4505">
        <v>3</v>
      </c>
      <c r="Y4505" t="s">
        <v>23185</v>
      </c>
      <c r="Z4505" t="s">
        <v>29452</v>
      </c>
      <c r="AA4505">
        <v>0.40762936951907308</v>
      </c>
      <c r="AB4505" t="str">
        <f>HYPERLINK("Melting_Curves/meltCurve_Q92851_4_CASP10.pdf", "Melting_Curves/meltCurve_Q92851_4_CASP10.pdf")</f>
        <v>Melting_Curves/meltCurve_Q92851_4_CASP10.pdf</v>
      </c>
    </row>
    <row r="4506" spans="1:28" x14ac:dyDescent="0.25">
      <c r="A4506" t="s">
        <v>4510</v>
      </c>
      <c r="B4506">
        <v>0.99987803227770999</v>
      </c>
      <c r="C4506">
        <v>1.0168183719308099</v>
      </c>
      <c r="D4506">
        <v>0.97880412039364795</v>
      </c>
      <c r="E4506">
        <v>0.81714758663142195</v>
      </c>
      <c r="F4506">
        <v>0.80025469134692095</v>
      </c>
      <c r="G4506">
        <v>0.533022759587228</v>
      </c>
      <c r="H4506">
        <v>0.42922651043986199</v>
      </c>
      <c r="I4506">
        <v>0.43141628179410901</v>
      </c>
      <c r="J4506">
        <v>0.29761323051531602</v>
      </c>
      <c r="K4506">
        <v>0.22881310688176201</v>
      </c>
      <c r="L4506">
        <v>651.99707270923</v>
      </c>
      <c r="M4506">
        <v>11.4499170269752</v>
      </c>
      <c r="N4506">
        <v>59.187916851686602</v>
      </c>
      <c r="O4506">
        <v>55.289471064144998</v>
      </c>
      <c r="P4506">
        <v>-4.2667243257181298E-2</v>
      </c>
      <c r="Q4506">
        <v>0.176110141128833</v>
      </c>
      <c r="R4506">
        <v>0.98100651742748401</v>
      </c>
      <c r="S4506" t="s">
        <v>10817</v>
      </c>
      <c r="T4506" t="s">
        <v>12620</v>
      </c>
      <c r="U4506" t="s">
        <v>12620</v>
      </c>
      <c r="V4506" t="s">
        <v>12620</v>
      </c>
      <c r="W4506" t="s">
        <v>17073</v>
      </c>
      <c r="X4506">
        <v>4</v>
      </c>
      <c r="Y4506" t="s">
        <v>23186</v>
      </c>
      <c r="Z4506" t="s">
        <v>29453</v>
      </c>
      <c r="AA4506">
        <v>0.65541786367731725</v>
      </c>
      <c r="AB4506" t="str">
        <f>HYPERLINK("Melting_Curves/meltCurve_Q92859_3_NEO1.pdf", "Melting_Curves/meltCurve_Q92859_3_NEO1.pdf")</f>
        <v>Melting_Curves/meltCurve_Q92859_3_NEO1.pdf</v>
      </c>
    </row>
    <row r="4507" spans="1:28" x14ac:dyDescent="0.25">
      <c r="A4507" t="s">
        <v>4511</v>
      </c>
      <c r="B4507">
        <v>0.99987803227770999</v>
      </c>
      <c r="C4507">
        <v>0.897842551296132</v>
      </c>
      <c r="D4507">
        <v>0.89931200487026997</v>
      </c>
      <c r="E4507">
        <v>0.63761175999597797</v>
      </c>
      <c r="F4507">
        <v>0.37517343590186603</v>
      </c>
      <c r="G4507">
        <v>0.25162429538254</v>
      </c>
      <c r="H4507">
        <v>0.174542540730659</v>
      </c>
      <c r="I4507">
        <v>0.17129444619805401</v>
      </c>
      <c r="J4507">
        <v>0.211051976513598</v>
      </c>
      <c r="K4507">
        <v>0.18507934327225001</v>
      </c>
      <c r="L4507">
        <v>1005.83153711057</v>
      </c>
      <c r="M4507">
        <v>19.9809112307615</v>
      </c>
      <c r="N4507">
        <v>51.441742902148498</v>
      </c>
      <c r="O4507">
        <v>49.843527429872701</v>
      </c>
      <c r="P4507">
        <v>-8.2770747312168394E-2</v>
      </c>
      <c r="Q4507">
        <v>0.17412150172434601</v>
      </c>
      <c r="R4507">
        <v>0.99166604065465502</v>
      </c>
      <c r="S4507" t="s">
        <v>10818</v>
      </c>
      <c r="T4507" t="s">
        <v>12620</v>
      </c>
      <c r="U4507" t="s">
        <v>12620</v>
      </c>
      <c r="V4507" t="s">
        <v>12620</v>
      </c>
      <c r="W4507" t="s">
        <v>17074</v>
      </c>
      <c r="X4507">
        <v>5</v>
      </c>
      <c r="Y4507" t="s">
        <v>23187</v>
      </c>
      <c r="Z4507" t="s">
        <v>29454</v>
      </c>
      <c r="AA4507">
        <v>0.4702691823645177</v>
      </c>
      <c r="AB4507" t="str">
        <f>HYPERLINK("Melting_Curves/meltCurve_Q92871_PMM1.pdf", "Melting_Curves/meltCurve_Q92871_PMM1.pdf")</f>
        <v>Melting_Curves/meltCurve_Q92871_PMM1.pdf</v>
      </c>
    </row>
    <row r="4508" spans="1:28" x14ac:dyDescent="0.25">
      <c r="A4508" t="s">
        <v>4512</v>
      </c>
      <c r="B4508">
        <v>0.99987803227770999</v>
      </c>
      <c r="C4508">
        <v>1.13192826419071</v>
      </c>
      <c r="D4508">
        <v>0.68678790408345503</v>
      </c>
      <c r="E4508">
        <v>0.63914792789163499</v>
      </c>
      <c r="F4508">
        <v>0.47163177780773302</v>
      </c>
      <c r="G4508">
        <v>0.40530947237367698</v>
      </c>
      <c r="H4508">
        <v>0.25083653152799601</v>
      </c>
      <c r="I4508">
        <v>0.17466344158223901</v>
      </c>
      <c r="J4508">
        <v>0.12941758656147501</v>
      </c>
      <c r="K4508">
        <v>7.9048212752387895E-2</v>
      </c>
      <c r="L4508">
        <v>553.65725494006097</v>
      </c>
      <c r="M4508">
        <v>10.5173356280528</v>
      </c>
      <c r="N4508">
        <v>53.122481213536901</v>
      </c>
      <c r="O4508">
        <v>50.8460473824708</v>
      </c>
      <c r="P4508">
        <v>-4.9386817058129202E-2</v>
      </c>
      <c r="Q4508">
        <v>4.5341057622650602E-2</v>
      </c>
      <c r="R4508">
        <v>0.93869194264750699</v>
      </c>
      <c r="S4508" t="s">
        <v>10819</v>
      </c>
      <c r="T4508" t="s">
        <v>12620</v>
      </c>
      <c r="U4508" t="s">
        <v>12620</v>
      </c>
      <c r="V4508" t="s">
        <v>12620</v>
      </c>
      <c r="W4508" t="s">
        <v>17075</v>
      </c>
      <c r="X4508">
        <v>61</v>
      </c>
      <c r="Y4508" t="s">
        <v>23188</v>
      </c>
      <c r="Z4508" t="s">
        <v>29455</v>
      </c>
      <c r="AA4508">
        <v>0.47994128988852869</v>
      </c>
      <c r="AB4508" t="str">
        <f>HYPERLINK("Melting_Curves/meltCurve_Q92878_RAD50.pdf", "Melting_Curves/meltCurve_Q92878_RAD50.pdf")</f>
        <v>Melting_Curves/meltCurve_Q92878_RAD50.pdf</v>
      </c>
    </row>
    <row r="4509" spans="1:28" x14ac:dyDescent="0.25">
      <c r="A4509" t="s">
        <v>4513</v>
      </c>
      <c r="B4509">
        <v>0.99987803227770999</v>
      </c>
      <c r="C4509">
        <v>0.95151429061739701</v>
      </c>
      <c r="D4509">
        <v>0.99348774374101201</v>
      </c>
      <c r="E4509">
        <v>0.65479956789155103</v>
      </c>
      <c r="F4509">
        <v>0.39618612424669303</v>
      </c>
      <c r="G4509">
        <v>0.237274343366568</v>
      </c>
      <c r="H4509">
        <v>0.185290461316447</v>
      </c>
      <c r="I4509">
        <v>0.166427961531322</v>
      </c>
      <c r="J4509">
        <v>0.13020121268019</v>
      </c>
      <c r="K4509">
        <v>9.1232903609118093E-2</v>
      </c>
      <c r="L4509">
        <v>1158.2945270217199</v>
      </c>
      <c r="M4509">
        <v>22.6642748172086</v>
      </c>
      <c r="N4509">
        <v>51.842284501172202</v>
      </c>
      <c r="O4509">
        <v>50.7137220917256</v>
      </c>
      <c r="P4509">
        <v>-9.6365055197071406E-2</v>
      </c>
      <c r="Q4509">
        <v>0.13750865503887799</v>
      </c>
      <c r="R4509">
        <v>0.99288137776313801</v>
      </c>
      <c r="S4509" t="s">
        <v>10820</v>
      </c>
      <c r="T4509" t="s">
        <v>12620</v>
      </c>
      <c r="U4509" t="s">
        <v>12620</v>
      </c>
      <c r="V4509" t="s">
        <v>12620</v>
      </c>
      <c r="W4509" t="s">
        <v>17076</v>
      </c>
      <c r="X4509">
        <v>13</v>
      </c>
      <c r="Y4509" t="s">
        <v>23189</v>
      </c>
      <c r="Z4509" t="s">
        <v>29456</v>
      </c>
      <c r="AA4509">
        <v>0.46626233092643421</v>
      </c>
      <c r="AB4509" t="str">
        <f>HYPERLINK("Melting_Curves/meltCurve_Q92879_2_CELF1.pdf", "Melting_Curves/meltCurve_Q92879_2_CELF1.pdf")</f>
        <v>Melting_Curves/meltCurve_Q92879_2_CELF1.pdf</v>
      </c>
    </row>
    <row r="4510" spans="1:28" x14ac:dyDescent="0.25">
      <c r="A4510" t="s">
        <v>4514</v>
      </c>
      <c r="B4510">
        <v>0.99987803227770999</v>
      </c>
      <c r="C4510">
        <v>1.1401699754090899</v>
      </c>
      <c r="D4510">
        <v>1.0915295628630299</v>
      </c>
      <c r="E4510">
        <v>1.1974247743700701</v>
      </c>
      <c r="F4510">
        <v>1.0115714217332199</v>
      </c>
      <c r="G4510">
        <v>0.49279586561021599</v>
      </c>
      <c r="H4510">
        <v>0.35723615702496703</v>
      </c>
      <c r="I4510">
        <v>0.31301850246687202</v>
      </c>
      <c r="J4510">
        <v>0.28876753012272899</v>
      </c>
      <c r="K4510">
        <v>0.20916259717445501</v>
      </c>
      <c r="L4510">
        <v>4359.0004006786703</v>
      </c>
      <c r="M4510">
        <v>77.386123894489003</v>
      </c>
      <c r="N4510">
        <v>56.971070053819197</v>
      </c>
      <c r="O4510">
        <v>56.290355889394199</v>
      </c>
      <c r="P4510">
        <v>-0.24358236173241399</v>
      </c>
      <c r="Q4510">
        <v>0.29127683240911001</v>
      </c>
      <c r="R4510">
        <v>0.94760016985186102</v>
      </c>
      <c r="S4510" t="s">
        <v>10821</v>
      </c>
      <c r="T4510" t="s">
        <v>12620</v>
      </c>
      <c r="U4510" t="s">
        <v>12620</v>
      </c>
      <c r="V4510" t="s">
        <v>12620</v>
      </c>
      <c r="W4510" t="s">
        <v>17077</v>
      </c>
      <c r="X4510">
        <v>5</v>
      </c>
      <c r="Y4510" t="s">
        <v>23190</v>
      </c>
      <c r="Z4510" t="s">
        <v>29457</v>
      </c>
      <c r="AA4510">
        <v>0.67774235707715236</v>
      </c>
      <c r="AB4510" t="str">
        <f>HYPERLINK("Melting_Curves/meltCurve_Q92882_OSTF1.pdf", "Melting_Curves/meltCurve_Q92882_OSTF1.pdf")</f>
        <v>Melting_Curves/meltCurve_Q92882_OSTF1.pdf</v>
      </c>
    </row>
    <row r="4511" spans="1:28" x14ac:dyDescent="0.25">
      <c r="A4511" t="s">
        <v>4515</v>
      </c>
      <c r="B4511">
        <v>0.99987803227770999</v>
      </c>
      <c r="C4511">
        <v>1.0559380335355799</v>
      </c>
      <c r="D4511">
        <v>0.92766080665872397</v>
      </c>
      <c r="E4511">
        <v>0.70722463344133302</v>
      </c>
      <c r="F4511">
        <v>0.31324387378144503</v>
      </c>
      <c r="G4511">
        <v>0.226016444831696</v>
      </c>
      <c r="H4511">
        <v>0.16029760718580799</v>
      </c>
      <c r="I4511">
        <v>0.123648777664127</v>
      </c>
      <c r="J4511">
        <v>0.123472360510995</v>
      </c>
      <c r="K4511">
        <v>9.1737794079280205E-2</v>
      </c>
      <c r="L4511">
        <v>1438.3075165021401</v>
      </c>
      <c r="M4511">
        <v>28.210364084142402</v>
      </c>
      <c r="N4511">
        <v>51.532045205515203</v>
      </c>
      <c r="O4511">
        <v>50.730939132047403</v>
      </c>
      <c r="P4511">
        <v>-0.121033683861104</v>
      </c>
      <c r="Q4511">
        <v>0.12938362702641301</v>
      </c>
      <c r="R4511">
        <v>0.99186361161131198</v>
      </c>
      <c r="S4511" t="s">
        <v>10822</v>
      </c>
      <c r="T4511" t="s">
        <v>12620</v>
      </c>
      <c r="U4511" t="s">
        <v>12620</v>
      </c>
      <c r="V4511" t="s">
        <v>12620</v>
      </c>
      <c r="W4511" t="s">
        <v>17078</v>
      </c>
      <c r="X4511">
        <v>10</v>
      </c>
      <c r="Y4511" t="s">
        <v>23191</v>
      </c>
      <c r="Z4511" t="s">
        <v>29458</v>
      </c>
      <c r="AA4511">
        <v>0.45436521077095099</v>
      </c>
      <c r="AB4511" t="str">
        <f>HYPERLINK("Melting_Curves/meltCurve_Q92889_ERCC4.pdf", "Melting_Curves/meltCurve_Q92889_ERCC4.pdf")</f>
        <v>Melting_Curves/meltCurve_Q92889_ERCC4.pdf</v>
      </c>
    </row>
    <row r="4512" spans="1:28" x14ac:dyDescent="0.25">
      <c r="A4512" t="s">
        <v>4516</v>
      </c>
      <c r="B4512">
        <v>0.99987803227770999</v>
      </c>
      <c r="C4512">
        <v>0.98788578059000698</v>
      </c>
      <c r="D4512">
        <v>0.99793924881047302</v>
      </c>
      <c r="E4512">
        <v>1.0469578576771701</v>
      </c>
      <c r="F4512">
        <v>1.0742423593322601</v>
      </c>
      <c r="G4512">
        <v>1.04455267160753</v>
      </c>
      <c r="H4512">
        <v>0.63885470492471097</v>
      </c>
      <c r="I4512">
        <v>0.372575359648388</v>
      </c>
      <c r="J4512">
        <v>0.16418542595793001</v>
      </c>
      <c r="K4512">
        <v>0.104407290278708</v>
      </c>
      <c r="L4512">
        <v>2139.8605550880402</v>
      </c>
      <c r="M4512">
        <v>34.463041296194902</v>
      </c>
      <c r="N4512">
        <v>62.493083869318397</v>
      </c>
      <c r="O4512">
        <v>61.883511787782901</v>
      </c>
      <c r="P4512">
        <v>-0.12539576372761399</v>
      </c>
      <c r="Q4512">
        <v>9.9336470764851303E-2</v>
      </c>
      <c r="R4512">
        <v>0.98627898104946798</v>
      </c>
      <c r="S4512" t="s">
        <v>10823</v>
      </c>
      <c r="T4512" t="s">
        <v>12620</v>
      </c>
      <c r="U4512" t="s">
        <v>12620</v>
      </c>
      <c r="V4512" t="s">
        <v>12620</v>
      </c>
      <c r="W4512" t="s">
        <v>17079</v>
      </c>
      <c r="X4512">
        <v>15</v>
      </c>
      <c r="Y4512" t="s">
        <v>23192</v>
      </c>
      <c r="Z4512" t="s">
        <v>29459</v>
      </c>
      <c r="AA4512">
        <v>0.76630615243919942</v>
      </c>
      <c r="AB4512" t="str">
        <f>HYPERLINK("Melting_Curves/meltCurve_Q92890_UFD1L.pdf", "Melting_Curves/meltCurve_Q92890_UFD1L.pdf")</f>
        <v>Melting_Curves/meltCurve_Q92890_UFD1L.pdf</v>
      </c>
    </row>
    <row r="4513" spans="1:28" x14ac:dyDescent="0.25">
      <c r="A4513" t="s">
        <v>4517</v>
      </c>
      <c r="B4513">
        <v>0.99987803227770999</v>
      </c>
      <c r="C4513">
        <v>1.09404623757471</v>
      </c>
      <c r="D4513">
        <v>1.0378791022915901</v>
      </c>
      <c r="E4513">
        <v>1.0460666412552999</v>
      </c>
      <c r="F4513">
        <v>0.81694175203936104</v>
      </c>
      <c r="G4513">
        <v>0.48662130838527501</v>
      </c>
      <c r="H4513">
        <v>0.27577576294894102</v>
      </c>
      <c r="I4513">
        <v>0.197410128829236</v>
      </c>
      <c r="J4513">
        <v>0.13448288175013501</v>
      </c>
      <c r="K4513">
        <v>9.5221154693642895E-2</v>
      </c>
      <c r="L4513">
        <v>1335.2420652588901</v>
      </c>
      <c r="M4513">
        <v>23.670546926466599</v>
      </c>
      <c r="N4513">
        <v>57.071321079693</v>
      </c>
      <c r="O4513">
        <v>56.011444635842203</v>
      </c>
      <c r="P4513">
        <v>-9.2970556429883597E-2</v>
      </c>
      <c r="Q4513">
        <v>0.120032466081835</v>
      </c>
      <c r="R4513">
        <v>0.98618593871320204</v>
      </c>
      <c r="S4513" t="s">
        <v>10824</v>
      </c>
      <c r="T4513" t="s">
        <v>12620</v>
      </c>
      <c r="U4513" t="s">
        <v>12620</v>
      </c>
      <c r="V4513" t="s">
        <v>12620</v>
      </c>
      <c r="W4513" t="s">
        <v>17080</v>
      </c>
      <c r="X4513">
        <v>35</v>
      </c>
      <c r="Y4513" t="s">
        <v>23193</v>
      </c>
      <c r="Z4513" t="s">
        <v>29460</v>
      </c>
      <c r="AA4513">
        <v>0.61011188656845106</v>
      </c>
      <c r="AB4513" t="str">
        <f>HYPERLINK("Melting_Curves/meltCurve_Q92900_UPF1.pdf", "Melting_Curves/meltCurve_Q92900_UPF1.pdf")</f>
        <v>Melting_Curves/meltCurve_Q92900_UPF1.pdf</v>
      </c>
    </row>
    <row r="4514" spans="1:28" x14ac:dyDescent="0.25">
      <c r="A4514" t="s">
        <v>4518</v>
      </c>
      <c r="B4514">
        <v>0.99987803227770999</v>
      </c>
      <c r="C4514">
        <v>1.1927360723621301</v>
      </c>
      <c r="D4514">
        <v>0.89802631868585603</v>
      </c>
      <c r="E4514">
        <v>1.1164027963983101</v>
      </c>
      <c r="F4514">
        <v>0.64654283000676105</v>
      </c>
      <c r="G4514">
        <v>0.35770614509201998</v>
      </c>
      <c r="H4514">
        <v>0.26869728952335498</v>
      </c>
      <c r="I4514">
        <v>0.23128031724501799</v>
      </c>
      <c r="J4514">
        <v>0.15804055980783399</v>
      </c>
      <c r="K4514">
        <v>0.11381608323918301</v>
      </c>
      <c r="L4514">
        <v>1795.1773022335301</v>
      </c>
      <c r="M4514">
        <v>33.229794405014403</v>
      </c>
      <c r="N4514">
        <v>54.823924943380703</v>
      </c>
      <c r="O4514">
        <v>53.828616696643699</v>
      </c>
      <c r="P4514">
        <v>-0.124658960556725</v>
      </c>
      <c r="Q4514">
        <v>0.192268459820155</v>
      </c>
      <c r="R4514">
        <v>0.94067939849812698</v>
      </c>
      <c r="S4514" t="s">
        <v>10825</v>
      </c>
      <c r="T4514" t="s">
        <v>12620</v>
      </c>
      <c r="U4514" t="s">
        <v>12620</v>
      </c>
      <c r="V4514" t="s">
        <v>12620</v>
      </c>
      <c r="W4514" t="s">
        <v>17081</v>
      </c>
      <c r="X4514">
        <v>2</v>
      </c>
      <c r="Y4514" t="s">
        <v>23194</v>
      </c>
      <c r="Z4514" t="s">
        <v>29461</v>
      </c>
      <c r="AA4514">
        <v>0.57418142141433259</v>
      </c>
      <c r="AB4514" t="str">
        <f>HYPERLINK("Melting_Curves/meltCurve_Q92902_2_HPS1.pdf", "Melting_Curves/meltCurve_Q92902_2_HPS1.pdf")</f>
        <v>Melting_Curves/meltCurve_Q92902_2_HPS1.pdf</v>
      </c>
    </row>
    <row r="4515" spans="1:28" x14ac:dyDescent="0.25">
      <c r="A4515" t="s">
        <v>4519</v>
      </c>
      <c r="B4515">
        <v>0.99987803227770999</v>
      </c>
      <c r="C4515">
        <v>0.98449078031489501</v>
      </c>
      <c r="D4515">
        <v>0.86896404600680999</v>
      </c>
      <c r="E4515">
        <v>1.2591527858832201</v>
      </c>
      <c r="F4515">
        <v>0.96415715851659101</v>
      </c>
      <c r="G4515">
        <v>0.96145380295528304</v>
      </c>
      <c r="H4515">
        <v>0.216903558147619</v>
      </c>
      <c r="I4515">
        <v>9.0984766994335095E-2</v>
      </c>
      <c r="J4515">
        <v>5.1246163774124699E-2</v>
      </c>
      <c r="K4515">
        <v>3.8389270493734598E-2</v>
      </c>
      <c r="L4515">
        <v>4012.2967113616501</v>
      </c>
      <c r="M4515">
        <v>67.338172685387406</v>
      </c>
      <c r="N4515">
        <v>59.690015682965303</v>
      </c>
      <c r="O4515">
        <v>59.531798104881702</v>
      </c>
      <c r="P4515">
        <v>-0.26688453747627</v>
      </c>
      <c r="Q4515">
        <v>5.62195763022637E-2</v>
      </c>
      <c r="R4515">
        <v>0.95825541819583604</v>
      </c>
      <c r="S4515" t="s">
        <v>10826</v>
      </c>
      <c r="T4515" t="s">
        <v>12620</v>
      </c>
      <c r="U4515" t="s">
        <v>12620</v>
      </c>
      <c r="V4515" t="s">
        <v>12620</v>
      </c>
      <c r="W4515" t="s">
        <v>17082</v>
      </c>
      <c r="X4515">
        <v>8</v>
      </c>
      <c r="Y4515" t="s">
        <v>23195</v>
      </c>
      <c r="Z4515" t="s">
        <v>29462</v>
      </c>
      <c r="AA4515">
        <v>0.67369072209211922</v>
      </c>
      <c r="AB4515" t="str">
        <f>HYPERLINK("Melting_Curves/meltCurve_Q92905_COPS5.pdf", "Melting_Curves/meltCurve_Q92905_COPS5.pdf")</f>
        <v>Melting_Curves/meltCurve_Q92905_COPS5.pdf</v>
      </c>
    </row>
    <row r="4516" spans="1:28" x14ac:dyDescent="0.25">
      <c r="A4516" t="s">
        <v>4520</v>
      </c>
      <c r="B4516">
        <v>0.99987803227770999</v>
      </c>
      <c r="C4516">
        <v>0.91039289665793699</v>
      </c>
      <c r="D4516">
        <v>1.0078897632814201</v>
      </c>
      <c r="E4516">
        <v>0.758711917314281</v>
      </c>
      <c r="F4516">
        <v>0.56360062605333106</v>
      </c>
      <c r="G4516">
        <v>0.38733529788413501</v>
      </c>
      <c r="H4516">
        <v>0.32060786355216497</v>
      </c>
      <c r="I4516">
        <v>0.309877323341615</v>
      </c>
      <c r="J4516">
        <v>0.250019321005722</v>
      </c>
      <c r="K4516">
        <v>0.212528813509546</v>
      </c>
      <c r="L4516">
        <v>933.86338315431306</v>
      </c>
      <c r="M4516">
        <v>17.854191811838099</v>
      </c>
      <c r="N4516">
        <v>54.350814769431302</v>
      </c>
      <c r="O4516">
        <v>51.662066310444203</v>
      </c>
      <c r="P4516">
        <v>-6.5263038291723294E-2</v>
      </c>
      <c r="Q4516">
        <v>0.24467000646543699</v>
      </c>
      <c r="R4516">
        <v>0.98467010649609998</v>
      </c>
      <c r="S4516" t="s">
        <v>10827</v>
      </c>
      <c r="T4516" t="s">
        <v>12620</v>
      </c>
      <c r="U4516" t="s">
        <v>12620</v>
      </c>
      <c r="V4516" t="s">
        <v>12620</v>
      </c>
      <c r="W4516" t="s">
        <v>17083</v>
      </c>
      <c r="X4516">
        <v>18</v>
      </c>
      <c r="Y4516" t="s">
        <v>23196</v>
      </c>
      <c r="Z4516" t="s">
        <v>29463</v>
      </c>
      <c r="AA4516">
        <v>0.56716652386215627</v>
      </c>
      <c r="AB4516" t="str">
        <f>HYPERLINK("Melting_Curves/meltCurve_Q92917_GPKOW.pdf", "Melting_Curves/meltCurve_Q92917_GPKOW.pdf")</f>
        <v>Melting_Curves/meltCurve_Q92917_GPKOW.pdf</v>
      </c>
    </row>
    <row r="4517" spans="1:28" x14ac:dyDescent="0.25">
      <c r="A4517" t="s">
        <v>4521</v>
      </c>
      <c r="B4517">
        <v>0.99987803227770999</v>
      </c>
      <c r="C4517">
        <v>1.0587208956726599</v>
      </c>
      <c r="D4517">
        <v>0.83103325813954199</v>
      </c>
      <c r="E4517">
        <v>0.63600769370683097</v>
      </c>
      <c r="F4517">
        <v>0.26655662906259397</v>
      </c>
      <c r="G4517">
        <v>0.17375053449776701</v>
      </c>
      <c r="H4517">
        <v>9.9702524470999601E-2</v>
      </c>
      <c r="I4517">
        <v>9.3538565876242499E-2</v>
      </c>
      <c r="J4517">
        <v>6.6676497498274798E-2</v>
      </c>
      <c r="K4517">
        <v>4.9852395545679898E-2</v>
      </c>
      <c r="L4517">
        <v>1074.5955550727399</v>
      </c>
      <c r="M4517">
        <v>21.273993651363099</v>
      </c>
      <c r="N4517">
        <v>50.864397426766701</v>
      </c>
      <c r="O4517">
        <v>50.072201329270598</v>
      </c>
      <c r="P4517">
        <v>-9.8944249295479805E-2</v>
      </c>
      <c r="Q4517">
        <v>6.8490843920131897E-2</v>
      </c>
      <c r="R4517">
        <v>0.98827971951489602</v>
      </c>
      <c r="S4517" t="s">
        <v>10828</v>
      </c>
      <c r="T4517" t="s">
        <v>12620</v>
      </c>
      <c r="U4517" t="s">
        <v>12620</v>
      </c>
      <c r="V4517" t="s">
        <v>12620</v>
      </c>
      <c r="W4517" t="s">
        <v>17084</v>
      </c>
      <c r="X4517">
        <v>19</v>
      </c>
      <c r="Y4517" t="s">
        <v>23197</v>
      </c>
      <c r="Z4517" t="s">
        <v>29464</v>
      </c>
      <c r="AA4517">
        <v>0.40639279372012821</v>
      </c>
      <c r="AB4517" t="str">
        <f>HYPERLINK("Melting_Curves/meltCurve_Q92922_SMARCC1.pdf", "Melting_Curves/meltCurve_Q92922_SMARCC1.pdf")</f>
        <v>Melting_Curves/meltCurve_Q92922_SMARCC1.pdf</v>
      </c>
    </row>
    <row r="4518" spans="1:28" x14ac:dyDescent="0.25">
      <c r="A4518" t="s">
        <v>4522</v>
      </c>
      <c r="B4518">
        <v>0.99987803227770999</v>
      </c>
      <c r="C4518">
        <v>1.00886170582194</v>
      </c>
      <c r="D4518">
        <v>0.871296868396367</v>
      </c>
      <c r="E4518">
        <v>0.77623490291045505</v>
      </c>
      <c r="F4518">
        <v>0.625429452813973</v>
      </c>
      <c r="G4518">
        <v>0.44659512640888599</v>
      </c>
      <c r="H4518">
        <v>0.21430588915474399</v>
      </c>
      <c r="I4518">
        <v>0.10696349415159299</v>
      </c>
      <c r="J4518">
        <v>3.2954447871206403E-2</v>
      </c>
      <c r="K4518">
        <v>1.61227323577007E-2</v>
      </c>
      <c r="L4518">
        <v>742.83302349191695</v>
      </c>
      <c r="M4518">
        <v>13.4973868522474</v>
      </c>
      <c r="N4518">
        <v>55.035321398581097</v>
      </c>
      <c r="O4518">
        <v>53.869380868369298</v>
      </c>
      <c r="P4518">
        <v>-6.2648979479865793E-2</v>
      </c>
      <c r="Q4518">
        <v>0</v>
      </c>
      <c r="R4518">
        <v>0.99064044294480003</v>
      </c>
      <c r="S4518" t="s">
        <v>10829</v>
      </c>
      <c r="T4518" t="s">
        <v>12620</v>
      </c>
      <c r="U4518" t="s">
        <v>12620</v>
      </c>
      <c r="V4518" t="s">
        <v>12620</v>
      </c>
      <c r="W4518" t="s">
        <v>17085</v>
      </c>
      <c r="X4518">
        <v>6</v>
      </c>
      <c r="Y4518" t="s">
        <v>23198</v>
      </c>
      <c r="Z4518" t="s">
        <v>29465</v>
      </c>
      <c r="AA4518">
        <v>0.52248090135263936</v>
      </c>
      <c r="AB4518" t="str">
        <f>HYPERLINK("Melting_Curves/meltCurve_Q92930_RAB8B.pdf", "Melting_Curves/meltCurve_Q92930_RAB8B.pdf")</f>
        <v>Melting_Curves/meltCurve_Q92930_RAB8B.pdf</v>
      </c>
    </row>
    <row r="4519" spans="1:28" x14ac:dyDescent="0.25">
      <c r="A4519" t="s">
        <v>4523</v>
      </c>
      <c r="B4519">
        <v>0.99987803227770999</v>
      </c>
      <c r="C4519">
        <v>0.86133982377240004</v>
      </c>
      <c r="D4519">
        <v>0.97160180363538595</v>
      </c>
      <c r="E4519">
        <v>0.81232770406632104</v>
      </c>
      <c r="F4519">
        <v>0.95943647481198602</v>
      </c>
      <c r="G4519">
        <v>0.53078657141405405</v>
      </c>
      <c r="H4519">
        <v>0.53613693896623604</v>
      </c>
      <c r="I4519">
        <v>0.558208823119141</v>
      </c>
      <c r="J4519">
        <v>0.593902147995783</v>
      </c>
      <c r="K4519">
        <v>0.52598046679409505</v>
      </c>
      <c r="L4519">
        <v>12825.2066192851</v>
      </c>
      <c r="M4519">
        <v>239.670695196205</v>
      </c>
      <c r="O4519">
        <v>53.508058733512399</v>
      </c>
      <c r="P4519">
        <v>-0.50502100441021103</v>
      </c>
      <c r="Q4519">
        <v>0.549002960113948</v>
      </c>
      <c r="R4519">
        <v>0.84413000387034698</v>
      </c>
      <c r="S4519" t="s">
        <v>10830</v>
      </c>
      <c r="T4519" t="s">
        <v>12620</v>
      </c>
      <c r="U4519" t="s">
        <v>12620</v>
      </c>
      <c r="V4519" t="s">
        <v>12620</v>
      </c>
      <c r="W4519" t="s">
        <v>17086</v>
      </c>
      <c r="X4519">
        <v>3</v>
      </c>
      <c r="Y4519" t="s">
        <v>23199</v>
      </c>
      <c r="Z4519" t="s">
        <v>29466</v>
      </c>
      <c r="AA4519">
        <v>0.75217487342196387</v>
      </c>
      <c r="AB4519" t="str">
        <f>HYPERLINK("Melting_Curves/meltCurve_Q92934_BAD.pdf", "Melting_Curves/meltCurve_Q92934_BAD.pdf")</f>
        <v>Melting_Curves/meltCurve_Q92934_BAD.pdf</v>
      </c>
    </row>
    <row r="4520" spans="1:28" x14ac:dyDescent="0.25">
      <c r="A4520" t="s">
        <v>4524</v>
      </c>
      <c r="B4520">
        <v>0.99987803227770999</v>
      </c>
      <c r="C4520">
        <v>0.94947839631911102</v>
      </c>
      <c r="D4520">
        <v>1.0480482091484999</v>
      </c>
      <c r="E4520">
        <v>0.99165794112657502</v>
      </c>
      <c r="F4520">
        <v>1.0792874668568699</v>
      </c>
      <c r="G4520">
        <v>0.97143900458652599</v>
      </c>
      <c r="H4520">
        <v>1.07781201137004</v>
      </c>
      <c r="I4520">
        <v>0.97674605284023797</v>
      </c>
      <c r="J4520">
        <v>0.985919474151706</v>
      </c>
      <c r="K4520">
        <v>0.77140505051220398</v>
      </c>
      <c r="L4520">
        <v>4561.3694701799004</v>
      </c>
      <c r="M4520">
        <v>63.945749530204097</v>
      </c>
      <c r="Q4520">
        <v>0</v>
      </c>
      <c r="R4520">
        <v>0.72991422827763097</v>
      </c>
      <c r="S4520" t="s">
        <v>10831</v>
      </c>
      <c r="T4520" t="s">
        <v>12620</v>
      </c>
      <c r="U4520" t="s">
        <v>12620</v>
      </c>
      <c r="V4520" t="s">
        <v>12620</v>
      </c>
      <c r="W4520" t="s">
        <v>17087</v>
      </c>
      <c r="X4520">
        <v>41</v>
      </c>
      <c r="Y4520" t="s">
        <v>23200</v>
      </c>
      <c r="Z4520" t="s">
        <v>29467</v>
      </c>
      <c r="AA4520">
        <v>0.99100022777477137</v>
      </c>
      <c r="AB4520" t="str">
        <f>HYPERLINK("Melting_Curves/meltCurve_Q92945_KHSRP.pdf", "Melting_Curves/meltCurve_Q92945_KHSRP.pdf")</f>
        <v>Melting_Curves/meltCurve_Q92945_KHSRP.pdf</v>
      </c>
    </row>
    <row r="4521" spans="1:28" x14ac:dyDescent="0.25">
      <c r="A4521" t="s">
        <v>4525</v>
      </c>
      <c r="B4521">
        <v>0.99987803227770999</v>
      </c>
      <c r="C4521">
        <v>0.75180163717204695</v>
      </c>
      <c r="D4521">
        <v>0.32272778606520502</v>
      </c>
      <c r="E4521">
        <v>0.31586640795730703</v>
      </c>
      <c r="F4521">
        <v>0.17154331984882501</v>
      </c>
      <c r="G4521">
        <v>0.13914608448162699</v>
      </c>
      <c r="H4521">
        <v>8.8945287231353906E-2</v>
      </c>
      <c r="I4521">
        <v>6.0191828754267401E-2</v>
      </c>
      <c r="J4521">
        <v>3.1233646336860599E-2</v>
      </c>
      <c r="K4521">
        <v>3.7580808404241203E-2</v>
      </c>
      <c r="L4521">
        <v>852.825488415329</v>
      </c>
      <c r="M4521">
        <v>19.009412655626399</v>
      </c>
      <c r="N4521">
        <v>45.297685679604299</v>
      </c>
      <c r="O4521">
        <v>44.375689745076798</v>
      </c>
      <c r="P4521">
        <v>-9.81745083783888E-2</v>
      </c>
      <c r="Q4521">
        <v>8.33197681026904E-2</v>
      </c>
      <c r="R4521">
        <v>0.95580312258500699</v>
      </c>
      <c r="S4521" t="s">
        <v>10832</v>
      </c>
      <c r="T4521" t="s">
        <v>12620</v>
      </c>
      <c r="U4521" t="s">
        <v>12620</v>
      </c>
      <c r="V4521" t="s">
        <v>12620</v>
      </c>
      <c r="W4521" t="s">
        <v>17088</v>
      </c>
      <c r="X4521">
        <v>1</v>
      </c>
      <c r="Y4521" t="s">
        <v>23201</v>
      </c>
      <c r="Z4521" t="s">
        <v>29468</v>
      </c>
      <c r="AA4521">
        <v>0.2496586928625909</v>
      </c>
      <c r="AB4521" t="str">
        <f>HYPERLINK("Melting_Curves/meltCurve_Q92947_GCDH.pdf", "Melting_Curves/meltCurve_Q92947_GCDH.pdf")</f>
        <v>Melting_Curves/meltCurve_Q92947_GCDH.pdf</v>
      </c>
    </row>
    <row r="4522" spans="1:28" x14ac:dyDescent="0.25">
      <c r="A4522" t="s">
        <v>4526</v>
      </c>
      <c r="B4522">
        <v>0.99987803227770999</v>
      </c>
      <c r="C4522">
        <v>0.73138855721888496</v>
      </c>
      <c r="D4522">
        <v>0.651632342645179</v>
      </c>
      <c r="E4522">
        <v>0.28927817620709401</v>
      </c>
      <c r="F4522">
        <v>0.15042326948227699</v>
      </c>
      <c r="G4522">
        <v>0.101848798085656</v>
      </c>
      <c r="H4522">
        <v>4.9972317661545002E-2</v>
      </c>
      <c r="I4522">
        <v>3.9095600712061099E-2</v>
      </c>
      <c r="J4522">
        <v>3.1756561343243499E-2</v>
      </c>
      <c r="K4522">
        <v>2.5291984960022201E-2</v>
      </c>
      <c r="L4522">
        <v>716.65484832964296</v>
      </c>
      <c r="M4522">
        <v>15.232553985693601</v>
      </c>
      <c r="N4522">
        <v>47.178863183771</v>
      </c>
      <c r="O4522">
        <v>46.259089493240303</v>
      </c>
      <c r="P4522">
        <v>-8.0621187336929606E-2</v>
      </c>
      <c r="Q4522">
        <v>2.0753178300430299E-2</v>
      </c>
      <c r="R4522">
        <v>0.98640661865689006</v>
      </c>
      <c r="S4522" t="s">
        <v>10833</v>
      </c>
      <c r="T4522" t="s">
        <v>12620</v>
      </c>
      <c r="U4522" t="s">
        <v>12620</v>
      </c>
      <c r="V4522" t="s">
        <v>12620</v>
      </c>
      <c r="W4522" t="s">
        <v>17089</v>
      </c>
      <c r="X4522">
        <v>1</v>
      </c>
      <c r="Y4522" t="s">
        <v>23202</v>
      </c>
      <c r="Z4522" t="s">
        <v>29469</v>
      </c>
      <c r="AA4522">
        <v>0.27649675617776209</v>
      </c>
      <c r="AB4522" t="str">
        <f>HYPERLINK("Melting_Curves/meltCurve_Q92963_2_RIT1.pdf", "Melting_Curves/meltCurve_Q92963_2_RIT1.pdf")</f>
        <v>Melting_Curves/meltCurve_Q92963_2_RIT1.pdf</v>
      </c>
    </row>
    <row r="4523" spans="1:28" x14ac:dyDescent="0.25">
      <c r="A4523" t="s">
        <v>4527</v>
      </c>
      <c r="B4523">
        <v>0.99987803227770999</v>
      </c>
      <c r="C4523">
        <v>1.1437434469652401</v>
      </c>
      <c r="D4523">
        <v>1.0299942438591101</v>
      </c>
      <c r="E4523">
        <v>1.1512100063650399</v>
      </c>
      <c r="F4523">
        <v>0.78121510273985395</v>
      </c>
      <c r="G4523">
        <v>0.45703062003086797</v>
      </c>
      <c r="H4523">
        <v>0.18410975446389599</v>
      </c>
      <c r="I4523">
        <v>0.114284244037355</v>
      </c>
      <c r="J4523">
        <v>8.5568518942512897E-2</v>
      </c>
      <c r="K4523">
        <v>6.1848701849167999E-2</v>
      </c>
      <c r="L4523">
        <v>1551.5636504628999</v>
      </c>
      <c r="M4523">
        <v>27.6209426156265</v>
      </c>
      <c r="N4523">
        <v>56.513819100339603</v>
      </c>
      <c r="O4523">
        <v>55.881498550012303</v>
      </c>
      <c r="P4523">
        <v>-0.114101087998846</v>
      </c>
      <c r="Q4523">
        <v>7.6631101296372101E-2</v>
      </c>
      <c r="R4523">
        <v>0.96935795939934</v>
      </c>
      <c r="S4523" t="s">
        <v>10834</v>
      </c>
      <c r="T4523" t="s">
        <v>12620</v>
      </c>
      <c r="U4523" t="s">
        <v>12620</v>
      </c>
      <c r="V4523" t="s">
        <v>12620</v>
      </c>
      <c r="W4523" t="s">
        <v>17090</v>
      </c>
      <c r="X4523">
        <v>27</v>
      </c>
      <c r="Y4523" t="s">
        <v>23203</v>
      </c>
      <c r="Z4523" t="s">
        <v>29470</v>
      </c>
      <c r="AA4523">
        <v>0.58157222360135896</v>
      </c>
      <c r="AB4523" t="str">
        <f>HYPERLINK("Melting_Curves/meltCurve_Q92973_2_TNPO1.pdf", "Melting_Curves/meltCurve_Q92973_2_TNPO1.pdf")</f>
        <v>Melting_Curves/meltCurve_Q92973_2_TNPO1.pdf</v>
      </c>
    </row>
    <row r="4524" spans="1:28" x14ac:dyDescent="0.25">
      <c r="A4524" t="s">
        <v>4528</v>
      </c>
      <c r="B4524">
        <v>0.99987803227770999</v>
      </c>
      <c r="C4524">
        <v>0.86980992078757002</v>
      </c>
      <c r="D4524">
        <v>0.828042236734432</v>
      </c>
      <c r="E4524">
        <v>0.65991544758881704</v>
      </c>
      <c r="F4524">
        <v>0.65854652636408895</v>
      </c>
      <c r="G4524">
        <v>0.42893241534277998</v>
      </c>
      <c r="H4524">
        <v>0.45989659853756099</v>
      </c>
      <c r="I4524">
        <v>0.41731907478985902</v>
      </c>
      <c r="J4524">
        <v>0.40536885302338699</v>
      </c>
      <c r="K4524">
        <v>0.30256683950910201</v>
      </c>
      <c r="L4524">
        <v>470.03870021646298</v>
      </c>
      <c r="M4524">
        <v>9.1455400831152005</v>
      </c>
      <c r="N4524">
        <v>56.952116804447598</v>
      </c>
      <c r="O4524">
        <v>49.117020433236803</v>
      </c>
      <c r="P4524">
        <v>-3.2833170696771899E-2</v>
      </c>
      <c r="Q4524">
        <v>0.29514668753168</v>
      </c>
      <c r="R4524">
        <v>0.96411599765359601</v>
      </c>
      <c r="S4524" t="s">
        <v>10835</v>
      </c>
      <c r="T4524" t="s">
        <v>12620</v>
      </c>
      <c r="U4524" t="s">
        <v>12620</v>
      </c>
      <c r="V4524" t="s">
        <v>12620</v>
      </c>
      <c r="W4524" t="s">
        <v>17091</v>
      </c>
      <c r="X4524">
        <v>15</v>
      </c>
      <c r="Y4524" t="s">
        <v>23204</v>
      </c>
      <c r="Z4524" t="s">
        <v>29471</v>
      </c>
      <c r="AA4524">
        <v>0.59420410266582901</v>
      </c>
      <c r="AB4524" t="str">
        <f>HYPERLINK("Melting_Curves/meltCurve_Q92974_3_ARHGEF2.pdf", "Melting_Curves/meltCurve_Q92974_3_ARHGEF2.pdf")</f>
        <v>Melting_Curves/meltCurve_Q92974_3_ARHGEF2.pdf</v>
      </c>
    </row>
    <row r="4525" spans="1:28" x14ac:dyDescent="0.25">
      <c r="A4525" t="s">
        <v>4529</v>
      </c>
      <c r="B4525">
        <v>0.99987803227770999</v>
      </c>
      <c r="C4525">
        <v>0.92591520163276197</v>
      </c>
      <c r="D4525">
        <v>0.88112774436108499</v>
      </c>
      <c r="E4525">
        <v>0.66395157079297995</v>
      </c>
      <c r="F4525">
        <v>0.48687753125951699</v>
      </c>
      <c r="G4525">
        <v>0.29917344919830602</v>
      </c>
      <c r="H4525">
        <v>0.24493166181957399</v>
      </c>
      <c r="I4525">
        <v>0.18172532506494299</v>
      </c>
      <c r="J4525">
        <v>0.163507078251143</v>
      </c>
      <c r="K4525">
        <v>0.13034101740790899</v>
      </c>
      <c r="L4525">
        <v>710.06945838852801</v>
      </c>
      <c r="M4525">
        <v>13.725721552964</v>
      </c>
      <c r="N4525">
        <v>52.810827829500703</v>
      </c>
      <c r="O4525">
        <v>50.671722234213803</v>
      </c>
      <c r="P4525">
        <v>-5.9453399967408803E-2</v>
      </c>
      <c r="Q4525">
        <v>0.12218076595687399</v>
      </c>
      <c r="R4525">
        <v>0.99785069430076501</v>
      </c>
      <c r="S4525" t="s">
        <v>10836</v>
      </c>
      <c r="T4525" t="s">
        <v>12620</v>
      </c>
      <c r="U4525" t="s">
        <v>12620</v>
      </c>
      <c r="V4525" t="s">
        <v>12620</v>
      </c>
      <c r="W4525" t="s">
        <v>17092</v>
      </c>
      <c r="X4525">
        <v>5</v>
      </c>
      <c r="Y4525" t="s">
        <v>23205</v>
      </c>
      <c r="Z4525" t="s">
        <v>29472</v>
      </c>
      <c r="AA4525">
        <v>0.48814923482318612</v>
      </c>
      <c r="AB4525" t="str">
        <f>HYPERLINK("Melting_Curves/meltCurve_Q92979_EMG1.pdf", "Melting_Curves/meltCurve_Q92979_EMG1.pdf")</f>
        <v>Melting_Curves/meltCurve_Q92979_EMG1.pdf</v>
      </c>
    </row>
    <row r="4526" spans="1:28" x14ac:dyDescent="0.25">
      <c r="A4526" t="s">
        <v>4530</v>
      </c>
      <c r="B4526">
        <v>0.99987803227770999</v>
      </c>
      <c r="C4526">
        <v>1.0105725626429301</v>
      </c>
      <c r="D4526">
        <v>0.82406431511314804</v>
      </c>
      <c r="E4526">
        <v>0.89357191422826898</v>
      </c>
      <c r="F4526">
        <v>0.69029378270558395</v>
      </c>
      <c r="G4526">
        <v>0.444234737627622</v>
      </c>
      <c r="H4526">
        <v>0.198833653414343</v>
      </c>
      <c r="I4526">
        <v>0.191355574169675</v>
      </c>
      <c r="J4526">
        <v>9.0504935412108897E-2</v>
      </c>
      <c r="K4526">
        <v>6.99279039485219E-2</v>
      </c>
      <c r="L4526">
        <v>769.82849286347198</v>
      </c>
      <c r="M4526">
        <v>13.7605074877214</v>
      </c>
      <c r="N4526">
        <v>55.990613286999597</v>
      </c>
      <c r="O4526">
        <v>54.802948490917203</v>
      </c>
      <c r="P4526">
        <v>-6.2429932803572501E-2</v>
      </c>
      <c r="Q4526">
        <v>5.6005836294877502E-3</v>
      </c>
      <c r="R4526">
        <v>0.98212823484178602</v>
      </c>
      <c r="S4526" t="s">
        <v>10837</v>
      </c>
      <c r="T4526" t="s">
        <v>12620</v>
      </c>
      <c r="U4526" t="s">
        <v>12620</v>
      </c>
      <c r="V4526" t="s">
        <v>12620</v>
      </c>
      <c r="W4526" t="s">
        <v>17093</v>
      </c>
      <c r="X4526">
        <v>6</v>
      </c>
      <c r="Y4526" t="s">
        <v>23206</v>
      </c>
      <c r="Z4526" t="s">
        <v>29473</v>
      </c>
      <c r="AA4526">
        <v>0.55308179056513185</v>
      </c>
      <c r="AB4526" t="str">
        <f>HYPERLINK("Melting_Curves/meltCurve_Q92989_2_CLP1.pdf", "Melting_Curves/meltCurve_Q92989_2_CLP1.pdf")</f>
        <v>Melting_Curves/meltCurve_Q92989_2_CLP1.pdf</v>
      </c>
    </row>
    <row r="4527" spans="1:28" x14ac:dyDescent="0.25">
      <c r="A4527" t="s">
        <v>4531</v>
      </c>
      <c r="B4527">
        <v>0.99987803227770999</v>
      </c>
      <c r="C4527">
        <v>1.26843356267178</v>
      </c>
      <c r="D4527">
        <v>0.92080192396434501</v>
      </c>
      <c r="E4527">
        <v>1.0081328256953199</v>
      </c>
      <c r="F4527">
        <v>0.404191603742871</v>
      </c>
      <c r="G4527">
        <v>0.28434688747578502</v>
      </c>
      <c r="H4527">
        <v>0.16053761853543699</v>
      </c>
      <c r="I4527">
        <v>0.120986351545621</v>
      </c>
      <c r="J4527">
        <v>9.508498325558E-2</v>
      </c>
      <c r="K4527">
        <v>5.8471146275614803E-2</v>
      </c>
      <c r="L4527">
        <v>13206.1128067349</v>
      </c>
      <c r="M4527">
        <v>250</v>
      </c>
      <c r="N4527">
        <v>52.896253720137103</v>
      </c>
      <c r="O4527">
        <v>52.821092069667998</v>
      </c>
      <c r="P4527">
        <v>-1.01298898639815</v>
      </c>
      <c r="Q4527">
        <v>0.14388539111471699</v>
      </c>
      <c r="R4527">
        <v>0.94398491635441295</v>
      </c>
      <c r="S4527" t="s">
        <v>10838</v>
      </c>
      <c r="T4527" t="s">
        <v>12620</v>
      </c>
      <c r="U4527" t="s">
        <v>12620</v>
      </c>
      <c r="V4527" t="s">
        <v>12620</v>
      </c>
      <c r="W4527" t="s">
        <v>17094</v>
      </c>
      <c r="X4527">
        <v>9</v>
      </c>
      <c r="Y4527" t="s">
        <v>23207</v>
      </c>
      <c r="Z4527" t="s">
        <v>29474</v>
      </c>
      <c r="AA4527">
        <v>0.50993809302983051</v>
      </c>
      <c r="AB4527" t="str">
        <f>HYPERLINK("Melting_Curves/meltCurve_Q92990_GLMN.pdf", "Melting_Curves/meltCurve_Q92990_GLMN.pdf")</f>
        <v>Melting_Curves/meltCurve_Q92990_GLMN.pdf</v>
      </c>
    </row>
    <row r="4528" spans="1:28" x14ac:dyDescent="0.25">
      <c r="A4528" t="s">
        <v>4532</v>
      </c>
      <c r="B4528">
        <v>0.99987803227770999</v>
      </c>
      <c r="C4528">
        <v>0.89030751284433596</v>
      </c>
      <c r="D4528">
        <v>0.74849217876506502</v>
      </c>
      <c r="E4528">
        <v>0.55063521763133805</v>
      </c>
      <c r="F4528">
        <v>0.48011034322975299</v>
      </c>
      <c r="G4528">
        <v>0.45285123084819001</v>
      </c>
      <c r="H4528">
        <v>0.387919673290888</v>
      </c>
      <c r="I4528">
        <v>0.36695988659692402</v>
      </c>
      <c r="J4528">
        <v>0.32470241150402401</v>
      </c>
      <c r="K4528">
        <v>0.23401142361268401</v>
      </c>
      <c r="L4528">
        <v>570.82146887446095</v>
      </c>
      <c r="M4528">
        <v>11.745085020088</v>
      </c>
      <c r="N4528">
        <v>52.609205716704302</v>
      </c>
      <c r="O4528">
        <v>47.2561310704479</v>
      </c>
      <c r="P4528">
        <v>-4.3775204181433901E-2</v>
      </c>
      <c r="Q4528">
        <v>0.29566942064969298</v>
      </c>
      <c r="R4528">
        <v>0.97268401052349895</v>
      </c>
      <c r="S4528" t="s">
        <v>10839</v>
      </c>
      <c r="T4528" t="s">
        <v>12620</v>
      </c>
      <c r="U4528" t="s">
        <v>12620</v>
      </c>
      <c r="V4528" t="s">
        <v>12620</v>
      </c>
      <c r="W4528" t="s">
        <v>17095</v>
      </c>
      <c r="X4528">
        <v>5</v>
      </c>
      <c r="Y4528" t="s">
        <v>23208</v>
      </c>
      <c r="Z4528" t="s">
        <v>29475</v>
      </c>
      <c r="AA4528">
        <v>0.52510418659806279</v>
      </c>
      <c r="AB4528" t="str">
        <f>HYPERLINK("Melting_Curves/meltCurve_Q92994_5_BRF1.pdf", "Melting_Curves/meltCurve_Q92994_5_BRF1.pdf")</f>
        <v>Melting_Curves/meltCurve_Q92994_5_BRF1.pdf</v>
      </c>
    </row>
    <row r="4529" spans="1:28" x14ac:dyDescent="0.25">
      <c r="A4529" t="s">
        <v>4533</v>
      </c>
      <c r="B4529">
        <v>0.99987803227770999</v>
      </c>
      <c r="C4529">
        <v>1.0736044832807401</v>
      </c>
      <c r="D4529">
        <v>0.93058334041027901</v>
      </c>
      <c r="E4529">
        <v>0.720473033513509</v>
      </c>
      <c r="F4529">
        <v>0.26272383922725601</v>
      </c>
      <c r="G4529">
        <v>0.16523041362598201</v>
      </c>
      <c r="H4529">
        <v>0.12209039860788599</v>
      </c>
      <c r="I4529">
        <v>0.108385352244429</v>
      </c>
      <c r="J4529">
        <v>7.6667067843115305E-2</v>
      </c>
      <c r="K4529">
        <v>5.9860705096017798E-2</v>
      </c>
      <c r="L4529">
        <v>1819.3377197045299</v>
      </c>
      <c r="M4529">
        <v>35.669552621036203</v>
      </c>
      <c r="N4529">
        <v>51.321626942503997</v>
      </c>
      <c r="O4529">
        <v>50.845822717808304</v>
      </c>
      <c r="P4529">
        <v>-0.15807637879498099</v>
      </c>
      <c r="Q4529">
        <v>9.8671370493246605E-2</v>
      </c>
      <c r="R4529">
        <v>0.99164759684818304</v>
      </c>
      <c r="S4529" t="s">
        <v>10840</v>
      </c>
      <c r="T4529" t="s">
        <v>12620</v>
      </c>
      <c r="U4529" t="s">
        <v>12620</v>
      </c>
      <c r="V4529" t="s">
        <v>12620</v>
      </c>
      <c r="W4529" t="s">
        <v>17096</v>
      </c>
      <c r="X4529">
        <v>7</v>
      </c>
      <c r="Y4529" t="s">
        <v>23209</v>
      </c>
      <c r="Z4529" t="s">
        <v>29476</v>
      </c>
      <c r="AA4529">
        <v>0.43332146106030078</v>
      </c>
      <c r="AB4529" t="str">
        <f>HYPERLINK("Melting_Curves/meltCurve_Q92995_2_USP13.pdf", "Melting_Curves/meltCurve_Q92995_2_USP13.pdf")</f>
        <v>Melting_Curves/meltCurve_Q92995_2_USP13.pdf</v>
      </c>
    </row>
    <row r="4530" spans="1:28" x14ac:dyDescent="0.25">
      <c r="A4530" t="s">
        <v>4534</v>
      </c>
      <c r="B4530">
        <v>0.99987803227770999</v>
      </c>
      <c r="C4530">
        <v>0.84265512729467196</v>
      </c>
      <c r="D4530">
        <v>0.70985440131520305</v>
      </c>
      <c r="E4530">
        <v>0.94793285862125998</v>
      </c>
      <c r="F4530">
        <v>0.34059874843209098</v>
      </c>
      <c r="G4530">
        <v>0.22672520859353201</v>
      </c>
      <c r="H4530">
        <v>0.15910918059902701</v>
      </c>
      <c r="I4530">
        <v>0.118408846356925</v>
      </c>
      <c r="J4530">
        <v>0.105994394907884</v>
      </c>
      <c r="K4530">
        <v>8.0708333034489099E-2</v>
      </c>
      <c r="L4530">
        <v>750.87112034956601</v>
      </c>
      <c r="M4530">
        <v>14.3722262059502</v>
      </c>
      <c r="N4530">
        <v>52.612321586544503</v>
      </c>
      <c r="O4530">
        <v>51.264377174754898</v>
      </c>
      <c r="P4530">
        <v>-6.6747457614666203E-2</v>
      </c>
      <c r="Q4530">
        <v>4.77861890824244E-2</v>
      </c>
      <c r="R4530">
        <v>0.89108438588917505</v>
      </c>
      <c r="S4530" t="s">
        <v>10841</v>
      </c>
      <c r="T4530" t="s">
        <v>12620</v>
      </c>
      <c r="U4530" t="s">
        <v>12620</v>
      </c>
      <c r="V4530" t="s">
        <v>12620</v>
      </c>
      <c r="W4530" t="s">
        <v>17097</v>
      </c>
      <c r="X4530">
        <v>56</v>
      </c>
      <c r="Y4530" t="s">
        <v>23210</v>
      </c>
      <c r="Z4530" t="s">
        <v>29477</v>
      </c>
      <c r="AA4530">
        <v>0.45891031497639428</v>
      </c>
      <c r="AB4530" t="str">
        <f>HYPERLINK("Melting_Curves/meltCurve_Q93008_USP9X.pdf", "Melting_Curves/meltCurve_Q93008_USP9X.pdf")</f>
        <v>Melting_Curves/meltCurve_Q93008_USP9X.pdf</v>
      </c>
    </row>
    <row r="4531" spans="1:28" x14ac:dyDescent="0.25">
      <c r="A4531" t="s">
        <v>4535</v>
      </c>
      <c r="B4531">
        <v>0.99987803227770999</v>
      </c>
      <c r="C4531">
        <v>1.1849124883909801</v>
      </c>
      <c r="D4531">
        <v>0.96026345338915997</v>
      </c>
      <c r="E4531">
        <v>1.2529337848878199</v>
      </c>
      <c r="F4531">
        <v>0.93597561256528605</v>
      </c>
      <c r="G4531">
        <v>0.90473922244081995</v>
      </c>
      <c r="H4531">
        <v>0.19453161974048799</v>
      </c>
      <c r="I4531">
        <v>0.17084092689758701</v>
      </c>
      <c r="J4531">
        <v>0.103026780462134</v>
      </c>
      <c r="K4531">
        <v>8.1598460996277197E-2</v>
      </c>
      <c r="L4531">
        <v>3744.72658846388</v>
      </c>
      <c r="M4531">
        <v>63.617103586806898</v>
      </c>
      <c r="N4531">
        <v>59.105579080312097</v>
      </c>
      <c r="O4531">
        <v>58.8054367964723</v>
      </c>
      <c r="P4531">
        <v>-0.23943897614975901</v>
      </c>
      <c r="Q4531">
        <v>0.114684058328858</v>
      </c>
      <c r="R4531">
        <v>0.94790531795453503</v>
      </c>
      <c r="S4531" t="s">
        <v>10842</v>
      </c>
      <c r="T4531" t="s">
        <v>12620</v>
      </c>
      <c r="U4531" t="s">
        <v>12620</v>
      </c>
      <c r="V4531" t="s">
        <v>12620</v>
      </c>
      <c r="W4531" t="s">
        <v>17098</v>
      </c>
      <c r="X4531">
        <v>26</v>
      </c>
      <c r="Y4531" t="s">
        <v>23211</v>
      </c>
      <c r="Z4531" t="s">
        <v>29478</v>
      </c>
      <c r="AA4531">
        <v>0.67277183561361831</v>
      </c>
      <c r="AB4531" t="str">
        <f>HYPERLINK("Melting_Curves/meltCurve_Q93034_CUL5.pdf", "Melting_Curves/meltCurve_Q93034_CUL5.pdf")</f>
        <v>Melting_Curves/meltCurve_Q93034_CUL5.pdf</v>
      </c>
    </row>
    <row r="4532" spans="1:28" x14ac:dyDescent="0.25">
      <c r="A4532" t="s">
        <v>4536</v>
      </c>
      <c r="B4532">
        <v>0.99987803227770999</v>
      </c>
      <c r="C4532">
        <v>0.90220655866876198</v>
      </c>
      <c r="D4532">
        <v>1.03348942601367</v>
      </c>
      <c r="E4532">
        <v>0.93221493743137196</v>
      </c>
      <c r="F4532">
        <v>1.05876555789937</v>
      </c>
      <c r="G4532">
        <v>0.95627995317743397</v>
      </c>
      <c r="H4532">
        <v>0.99554323673220801</v>
      </c>
      <c r="I4532">
        <v>0.89704886774710801</v>
      </c>
      <c r="J4532">
        <v>0.78267088694636699</v>
      </c>
      <c r="K4532">
        <v>0.58629858856347405</v>
      </c>
      <c r="L4532">
        <v>1558.0506643358799</v>
      </c>
      <c r="M4532">
        <v>22.225350953382801</v>
      </c>
      <c r="O4532">
        <v>69.542284531949804</v>
      </c>
      <c r="P4532">
        <v>-6.7106682218458294E-2</v>
      </c>
      <c r="Q4532">
        <v>0.16012090110916799</v>
      </c>
      <c r="R4532">
        <v>0.88044873174859595</v>
      </c>
      <c r="S4532" t="s">
        <v>10843</v>
      </c>
      <c r="T4532" t="s">
        <v>12620</v>
      </c>
      <c r="U4532" t="s">
        <v>12620</v>
      </c>
      <c r="V4532" t="s">
        <v>12620</v>
      </c>
      <c r="W4532" t="s">
        <v>17099</v>
      </c>
      <c r="X4532">
        <v>36</v>
      </c>
      <c r="Y4532" t="s">
        <v>19115</v>
      </c>
      <c r="Z4532" t="s">
        <v>29479</v>
      </c>
      <c r="AA4532">
        <v>0.94593225942313619</v>
      </c>
      <c r="AB4532" t="str">
        <f>HYPERLINK("Melting_Curves/meltCurve_Q93052_LPP.pdf", "Melting_Curves/meltCurve_Q93052_LPP.pdf")</f>
        <v>Melting_Curves/meltCurve_Q93052_LPP.pdf</v>
      </c>
    </row>
    <row r="4533" spans="1:28" x14ac:dyDescent="0.25">
      <c r="A4533" t="s">
        <v>4537</v>
      </c>
      <c r="B4533">
        <v>0.99987803227770999</v>
      </c>
      <c r="C4533">
        <v>0.90729592987716401</v>
      </c>
      <c r="D4533">
        <v>0.92967704329739298</v>
      </c>
      <c r="E4533">
        <v>0.761870113785031</v>
      </c>
      <c r="F4533">
        <v>0.65843284921435097</v>
      </c>
      <c r="G4533">
        <v>0.56336879471259804</v>
      </c>
      <c r="H4533">
        <v>0.453286798836946</v>
      </c>
      <c r="I4533">
        <v>0.49526964193560402</v>
      </c>
      <c r="J4533">
        <v>0.349013887451946</v>
      </c>
      <c r="K4533">
        <v>0.27523004465596501</v>
      </c>
      <c r="L4533">
        <v>427.758597954327</v>
      </c>
      <c r="M4533">
        <v>7.5048591503734201</v>
      </c>
      <c r="N4533">
        <v>59.738053907473997</v>
      </c>
      <c r="O4533">
        <v>53.371712357939501</v>
      </c>
      <c r="P4533">
        <v>-3.0077107084116698E-2</v>
      </c>
      <c r="Q4533">
        <v>0.145637532869553</v>
      </c>
      <c r="R4533">
        <v>0.97301361185659896</v>
      </c>
      <c r="S4533" t="s">
        <v>10844</v>
      </c>
      <c r="T4533" t="s">
        <v>12620</v>
      </c>
      <c r="U4533" t="s">
        <v>12620</v>
      </c>
      <c r="V4533" t="s">
        <v>12620</v>
      </c>
      <c r="W4533" t="s">
        <v>17100</v>
      </c>
      <c r="X4533">
        <v>7</v>
      </c>
      <c r="Y4533" t="s">
        <v>23212</v>
      </c>
      <c r="Z4533" t="s">
        <v>29480</v>
      </c>
      <c r="AA4533">
        <v>0.63860187302717153</v>
      </c>
      <c r="AB4533" t="str">
        <f>HYPERLINK("Melting_Curves/meltCurve_Q93062_4_RBPMS.pdf", "Melting_Curves/meltCurve_Q93062_4_RBPMS.pdf")</f>
        <v>Melting_Curves/meltCurve_Q93062_4_RBPMS.pdf</v>
      </c>
    </row>
    <row r="4534" spans="1:28" x14ac:dyDescent="0.25">
      <c r="A4534" t="s">
        <v>4538</v>
      </c>
      <c r="B4534">
        <v>0.99987803227770999</v>
      </c>
      <c r="C4534">
        <v>1.08481917799619</v>
      </c>
      <c r="D4534">
        <v>1.03251548956714</v>
      </c>
      <c r="E4534">
        <v>1.13947107908052</v>
      </c>
      <c r="F4534">
        <v>0.82539149886700303</v>
      </c>
      <c r="G4534">
        <v>0.45886181369877799</v>
      </c>
      <c r="H4534">
        <v>0.233041294491905</v>
      </c>
      <c r="I4534">
        <v>0.188924695063131</v>
      </c>
      <c r="J4534">
        <v>0.15181744357107699</v>
      </c>
      <c r="K4534">
        <v>0.11680528858929599</v>
      </c>
      <c r="L4534">
        <v>1719.11785927805</v>
      </c>
      <c r="M4534">
        <v>30.7213944505888</v>
      </c>
      <c r="N4534">
        <v>56.614594056817303</v>
      </c>
      <c r="O4534">
        <v>55.722841474986403</v>
      </c>
      <c r="P4534">
        <v>-0.117184298917989</v>
      </c>
      <c r="Q4534">
        <v>0.149803968934732</v>
      </c>
      <c r="R4534">
        <v>0.97713313890657905</v>
      </c>
      <c r="S4534" t="s">
        <v>10845</v>
      </c>
      <c r="T4534" t="s">
        <v>12620</v>
      </c>
      <c r="U4534" t="s">
        <v>12620</v>
      </c>
      <c r="V4534" t="s">
        <v>12620</v>
      </c>
      <c r="W4534" t="s">
        <v>17101</v>
      </c>
      <c r="X4534">
        <v>4</v>
      </c>
      <c r="Y4534" t="s">
        <v>23213</v>
      </c>
      <c r="Z4534" t="s">
        <v>29481</v>
      </c>
      <c r="AA4534">
        <v>0.60748675679540198</v>
      </c>
      <c r="AB4534" t="str">
        <f>HYPERLINK("Melting_Curves/meltCurve_Q93073_2_SECISBP2L.pdf", "Melting_Curves/meltCurve_Q93073_2_SECISBP2L.pdf")</f>
        <v>Melting_Curves/meltCurve_Q93073_2_SECISBP2L.pdf</v>
      </c>
    </row>
    <row r="4535" spans="1:28" x14ac:dyDescent="0.25">
      <c r="A4535" t="s">
        <v>4539</v>
      </c>
      <c r="B4535">
        <v>0.99987803227770999</v>
      </c>
      <c r="C4535">
        <v>0.87485637166325403</v>
      </c>
      <c r="D4535">
        <v>0.947243733787972</v>
      </c>
      <c r="E4535">
        <v>0.89119296690038097</v>
      </c>
      <c r="F4535">
        <v>0.88312179205112995</v>
      </c>
      <c r="G4535">
        <v>0.55631620515338798</v>
      </c>
      <c r="H4535">
        <v>0.66763706424591696</v>
      </c>
      <c r="I4535">
        <v>0.659226409499027</v>
      </c>
      <c r="J4535">
        <v>0.83670701044787998</v>
      </c>
      <c r="K4535">
        <v>0.72339584210962304</v>
      </c>
      <c r="L4535">
        <v>2004.99490467386</v>
      </c>
      <c r="M4535">
        <v>38.152479339491499</v>
      </c>
      <c r="O4535">
        <v>52.408395626915699</v>
      </c>
      <c r="P4535">
        <v>-5.60361382107471E-2</v>
      </c>
      <c r="Q4535">
        <v>0.69210316893253399</v>
      </c>
      <c r="R4535">
        <v>0.60586071162659605</v>
      </c>
      <c r="S4535" t="s">
        <v>10846</v>
      </c>
      <c r="T4535" t="s">
        <v>12620</v>
      </c>
      <c r="U4535" t="s">
        <v>12620</v>
      </c>
      <c r="V4535" t="s">
        <v>12620</v>
      </c>
      <c r="W4535" t="s">
        <v>17102</v>
      </c>
      <c r="X4535">
        <v>6</v>
      </c>
      <c r="Y4535" t="s">
        <v>23214</v>
      </c>
      <c r="Z4535" t="s">
        <v>29482</v>
      </c>
      <c r="AA4535">
        <v>0.82215765130509244</v>
      </c>
      <c r="AB4535" t="str">
        <f>HYPERLINK("Melting_Curves/meltCurve_Q93074_3_MED12.pdf", "Melting_Curves/meltCurve_Q93074_3_MED12.pdf")</f>
        <v>Melting_Curves/meltCurve_Q93074_3_MED12.pdf</v>
      </c>
    </row>
    <row r="4536" spans="1:28" x14ac:dyDescent="0.25">
      <c r="A4536" t="s">
        <v>4540</v>
      </c>
      <c r="B4536">
        <v>0.99987803227770999</v>
      </c>
      <c r="C4536">
        <v>1.09168338966283</v>
      </c>
      <c r="D4536">
        <v>0.96835117436766405</v>
      </c>
      <c r="E4536">
        <v>0.67858714983614199</v>
      </c>
      <c r="F4536">
        <v>0.33710935710976497</v>
      </c>
      <c r="G4536">
        <v>0.20591392620013199</v>
      </c>
      <c r="H4536">
        <v>0.11833439898106</v>
      </c>
      <c r="I4536">
        <v>0.12013631141766801</v>
      </c>
      <c r="J4536">
        <v>8.6849506046975403E-2</v>
      </c>
      <c r="K4536">
        <v>7.56338367791594E-2</v>
      </c>
      <c r="L4536">
        <v>1363.4564848886801</v>
      </c>
      <c r="M4536">
        <v>26.676741326593501</v>
      </c>
      <c r="N4536">
        <v>51.561675423237801</v>
      </c>
      <c r="O4536">
        <v>50.825692841119398</v>
      </c>
      <c r="P4536">
        <v>-0.117554224695677</v>
      </c>
      <c r="Q4536">
        <v>0.104131533743386</v>
      </c>
      <c r="R4536">
        <v>0.99150679660199204</v>
      </c>
      <c r="S4536" t="s">
        <v>10847</v>
      </c>
      <c r="T4536" t="s">
        <v>12620</v>
      </c>
      <c r="U4536" t="s">
        <v>12620</v>
      </c>
      <c r="V4536" t="s">
        <v>12620</v>
      </c>
      <c r="W4536" t="s">
        <v>17103</v>
      </c>
      <c r="X4536">
        <v>5</v>
      </c>
      <c r="Y4536" t="s">
        <v>23215</v>
      </c>
      <c r="Z4536" t="s">
        <v>29483</v>
      </c>
      <c r="AA4536">
        <v>0.44304004443931622</v>
      </c>
      <c r="AB4536" t="str">
        <f>HYPERLINK("Melting_Curves/meltCurve_Q93077_HIST1H2AC.pdf", "Melting_Curves/meltCurve_Q93077_HIST1H2AC.pdf")</f>
        <v>Melting_Curves/meltCurve_Q93077_HIST1H2AC.pdf</v>
      </c>
    </row>
    <row r="4537" spans="1:28" x14ac:dyDescent="0.25">
      <c r="A4537" t="s">
        <v>4541</v>
      </c>
      <c r="B4537">
        <v>0.99987803227770999</v>
      </c>
      <c r="C4537">
        <v>0.73712414470598298</v>
      </c>
      <c r="D4537">
        <v>0.89657106404690001</v>
      </c>
      <c r="E4537">
        <v>0.65233937018628596</v>
      </c>
      <c r="F4537">
        <v>0.60910633117161495</v>
      </c>
      <c r="G4537">
        <v>0.306764429349552</v>
      </c>
      <c r="H4537">
        <v>0.212167544755194</v>
      </c>
      <c r="I4537">
        <v>7.6854976706942996E-2</v>
      </c>
      <c r="J4537">
        <v>4.4154667097512701E-2</v>
      </c>
      <c r="K4537">
        <v>3.50747891298493E-2</v>
      </c>
      <c r="L4537">
        <v>600.91119054108299</v>
      </c>
      <c r="M4537">
        <v>11.2805672575386</v>
      </c>
      <c r="N4537">
        <v>53.269588420142398</v>
      </c>
      <c r="O4537">
        <v>51.677870331523401</v>
      </c>
      <c r="P4537">
        <v>-5.4588264309199101E-2</v>
      </c>
      <c r="Q4537">
        <v>0</v>
      </c>
      <c r="R4537">
        <v>0.95112228948411404</v>
      </c>
      <c r="S4537" t="s">
        <v>10848</v>
      </c>
      <c r="T4537" t="s">
        <v>12620</v>
      </c>
      <c r="U4537" t="s">
        <v>12620</v>
      </c>
      <c r="V4537" t="s">
        <v>12620</v>
      </c>
      <c r="W4537" t="s">
        <v>17104</v>
      </c>
      <c r="X4537">
        <v>4</v>
      </c>
      <c r="Y4537" t="s">
        <v>23216</v>
      </c>
      <c r="Z4537" t="s">
        <v>29484</v>
      </c>
      <c r="AA4537">
        <v>0.47201145595484711</v>
      </c>
      <c r="AB4537" t="str">
        <f>HYPERLINK("Melting_Curves/meltCurve_Q93096_PTP4A1.pdf", "Melting_Curves/meltCurve_Q93096_PTP4A1.pdf")</f>
        <v>Melting_Curves/meltCurve_Q93096_PTP4A1.pdf</v>
      </c>
    </row>
    <row r="4538" spans="1:28" x14ac:dyDescent="0.25">
      <c r="A4538" t="s">
        <v>4542</v>
      </c>
      <c r="B4538">
        <v>0.99987803227770999</v>
      </c>
      <c r="C4538">
        <v>1.0306922703488199</v>
      </c>
      <c r="D4538">
        <v>0.94407516396230096</v>
      </c>
      <c r="E4538">
        <v>1.2262874999867901</v>
      </c>
      <c r="F4538">
        <v>0.92050571018778704</v>
      </c>
      <c r="G4538">
        <v>1.08822173654915</v>
      </c>
      <c r="H4538">
        <v>1.0625152126187201</v>
      </c>
      <c r="I4538">
        <v>0.77850818340828998</v>
      </c>
      <c r="J4538">
        <v>0.31238451769394798</v>
      </c>
      <c r="K4538">
        <v>9.9152697532939094E-2</v>
      </c>
      <c r="L4538">
        <v>3439.8388992318301</v>
      </c>
      <c r="M4538">
        <v>52.462254533349402</v>
      </c>
      <c r="N4538">
        <v>65.765558684859997</v>
      </c>
      <c r="O4538">
        <v>65.472820186328804</v>
      </c>
      <c r="P4538">
        <v>-0.18570891889246499</v>
      </c>
      <c r="Q4538">
        <v>7.2942774433267299E-2</v>
      </c>
      <c r="R4538">
        <v>0.93462622814659801</v>
      </c>
      <c r="S4538" t="s">
        <v>10849</v>
      </c>
      <c r="T4538" t="s">
        <v>12620</v>
      </c>
      <c r="U4538" t="s">
        <v>12620</v>
      </c>
      <c r="V4538" t="s">
        <v>12620</v>
      </c>
      <c r="W4538" t="s">
        <v>17105</v>
      </c>
      <c r="X4538">
        <v>9</v>
      </c>
      <c r="Y4538" t="s">
        <v>23217</v>
      </c>
      <c r="Z4538" t="s">
        <v>29485</v>
      </c>
      <c r="AA4538">
        <v>0.8638442195920486</v>
      </c>
      <c r="AB4538" t="str">
        <f>HYPERLINK("Melting_Curves/meltCurve_Q93099_HGD.pdf", "Melting_Curves/meltCurve_Q93099_HGD.pdf")</f>
        <v>Melting_Curves/meltCurve_Q93099_HGD.pdf</v>
      </c>
    </row>
    <row r="4539" spans="1:28" x14ac:dyDescent="0.25">
      <c r="A4539" t="s">
        <v>4543</v>
      </c>
      <c r="B4539">
        <v>0.99987803227770999</v>
      </c>
      <c r="C4539">
        <v>0.96141092924761995</v>
      </c>
      <c r="D4539">
        <v>0.73397881412472699</v>
      </c>
      <c r="E4539">
        <v>0.495520653745114</v>
      </c>
      <c r="F4539">
        <v>0.31694876675589101</v>
      </c>
      <c r="G4539">
        <v>0.192637468317292</v>
      </c>
      <c r="H4539">
        <v>0.111565721838027</v>
      </c>
      <c r="I4539">
        <v>8.2587319827470806E-2</v>
      </c>
      <c r="J4539">
        <v>6.2965704474486905E-2</v>
      </c>
      <c r="K4539">
        <v>4.4257791696983802E-2</v>
      </c>
      <c r="L4539">
        <v>724.82674398505503</v>
      </c>
      <c r="M4539">
        <v>14.604248878338501</v>
      </c>
      <c r="N4539">
        <v>49.966329689804802</v>
      </c>
      <c r="O4539">
        <v>48.728511070459298</v>
      </c>
      <c r="P4539">
        <v>-7.1439243815965101E-2</v>
      </c>
      <c r="Q4539">
        <v>4.6650770125332398E-2</v>
      </c>
      <c r="R4539">
        <v>0.99584378180532496</v>
      </c>
      <c r="S4539" t="s">
        <v>10850</v>
      </c>
      <c r="T4539" t="s">
        <v>12620</v>
      </c>
      <c r="U4539" t="s">
        <v>12620</v>
      </c>
      <c r="V4539" t="s">
        <v>12620</v>
      </c>
      <c r="W4539" t="s">
        <v>17106</v>
      </c>
      <c r="X4539">
        <v>8</v>
      </c>
      <c r="Y4539" t="s">
        <v>23218</v>
      </c>
      <c r="Z4539" t="s">
        <v>29486</v>
      </c>
      <c r="AA4539">
        <v>0.37686162035562532</v>
      </c>
      <c r="AB4539" t="str">
        <f>HYPERLINK("Melting_Curves/meltCurve_Q93100_4_PHKB.pdf", "Melting_Curves/meltCurve_Q93100_4_PHKB.pdf")</f>
        <v>Melting_Curves/meltCurve_Q93100_4_PHKB.pdf</v>
      </c>
    </row>
    <row r="4540" spans="1:28" x14ac:dyDescent="0.25">
      <c r="A4540" t="s">
        <v>4544</v>
      </c>
      <c r="B4540">
        <v>0.99987803227770999</v>
      </c>
      <c r="C4540">
        <v>0.89997538262142096</v>
      </c>
      <c r="D4540">
        <v>0.98570000902777599</v>
      </c>
      <c r="E4540">
        <v>0.874092093025718</v>
      </c>
      <c r="F4540">
        <v>0.89576543943444797</v>
      </c>
      <c r="G4540">
        <v>0.66194799759213296</v>
      </c>
      <c r="H4540">
        <v>0.763063979291841</v>
      </c>
      <c r="I4540">
        <v>0.68029610190347001</v>
      </c>
      <c r="J4540">
        <v>0.80988741351008198</v>
      </c>
      <c r="K4540">
        <v>0.72493257852401005</v>
      </c>
      <c r="L4540">
        <v>999.166013688509</v>
      </c>
      <c r="M4540">
        <v>19.4660893468753</v>
      </c>
      <c r="O4540">
        <v>50.7960575929553</v>
      </c>
      <c r="P4540">
        <v>-2.6193050772644701E-2</v>
      </c>
      <c r="Q4540">
        <v>0.72661061357439305</v>
      </c>
      <c r="R4540">
        <v>0.73610028910550496</v>
      </c>
      <c r="S4540" t="s">
        <v>10851</v>
      </c>
      <c r="T4540" t="s">
        <v>12620</v>
      </c>
      <c r="U4540" t="s">
        <v>12620</v>
      </c>
      <c r="V4540" t="s">
        <v>12620</v>
      </c>
      <c r="W4540" t="s">
        <v>17107</v>
      </c>
      <c r="X4540">
        <v>9</v>
      </c>
      <c r="Y4540" t="s">
        <v>23219</v>
      </c>
      <c r="Z4540" t="s">
        <v>29487</v>
      </c>
      <c r="AA4540">
        <v>0.83383254094611248</v>
      </c>
      <c r="AB4540" t="str">
        <f>HYPERLINK("Melting_Curves/meltCurve_Q969E4_TCEAL3.pdf", "Melting_Curves/meltCurve_Q969E4_TCEAL3.pdf")</f>
        <v>Melting_Curves/meltCurve_Q969E4_TCEAL3.pdf</v>
      </c>
    </row>
    <row r="4541" spans="1:28" x14ac:dyDescent="0.25">
      <c r="A4541" t="s">
        <v>4545</v>
      </c>
      <c r="B4541">
        <v>0.99987803227770999</v>
      </c>
      <c r="C4541">
        <v>0.85812407013708603</v>
      </c>
      <c r="D4541">
        <v>1.11898117870828</v>
      </c>
      <c r="E4541">
        <v>0.85544577337110705</v>
      </c>
      <c r="F4541">
        <v>1.1664866514687</v>
      </c>
      <c r="G4541">
        <v>0.74265133366493796</v>
      </c>
      <c r="H4541">
        <v>0.96051272502266105</v>
      </c>
      <c r="I4541">
        <v>0.94269244460887003</v>
      </c>
      <c r="J4541">
        <v>1.36850773304582</v>
      </c>
      <c r="K4541">
        <v>1.1494833942452101</v>
      </c>
      <c r="L4541">
        <v>7779.4979875958197</v>
      </c>
      <c r="M4541">
        <v>119.094389760361</v>
      </c>
      <c r="O4541">
        <v>65.303704917712906</v>
      </c>
      <c r="P4541">
        <v>0.117662769869695</v>
      </c>
      <c r="Q4541">
        <v>1.2580747853513601</v>
      </c>
      <c r="R4541">
        <v>0.40676029526648599</v>
      </c>
      <c r="S4541" t="s">
        <v>10852</v>
      </c>
      <c r="T4541" t="s">
        <v>12620</v>
      </c>
      <c r="U4541" t="s">
        <v>12620</v>
      </c>
      <c r="V4541" t="s">
        <v>12620</v>
      </c>
      <c r="W4541" t="s">
        <v>17108</v>
      </c>
      <c r="X4541">
        <v>3</v>
      </c>
      <c r="Y4541" t="s">
        <v>23220</v>
      </c>
      <c r="Z4541" t="s">
        <v>29488</v>
      </c>
      <c r="AA4541">
        <v>1.0401128924366849</v>
      </c>
      <c r="AB4541" t="str">
        <f>HYPERLINK("Melting_Curves/meltCurve_Q969E8_TSR2.pdf", "Melting_Curves/meltCurve_Q969E8_TSR2.pdf")</f>
        <v>Melting_Curves/meltCurve_Q969E8_TSR2.pdf</v>
      </c>
    </row>
    <row r="4542" spans="1:28" x14ac:dyDescent="0.25">
      <c r="A4542" t="s">
        <v>4546</v>
      </c>
      <c r="B4542">
        <v>0.99987803227770999</v>
      </c>
      <c r="C4542">
        <v>1.00340093968344</v>
      </c>
      <c r="D4542">
        <v>0.72063439665560203</v>
      </c>
      <c r="E4542">
        <v>0.46366662981712498</v>
      </c>
      <c r="F4542">
        <v>0.27652872263874001</v>
      </c>
      <c r="G4542">
        <v>0.181869981567607</v>
      </c>
      <c r="H4542">
        <v>0.11580871924992001</v>
      </c>
      <c r="I4542">
        <v>0.10427409800288499</v>
      </c>
      <c r="J4542">
        <v>7.8992730912725698E-2</v>
      </c>
      <c r="K4542">
        <v>5.2695574680834301E-2</v>
      </c>
      <c r="L4542">
        <v>834.93519703277798</v>
      </c>
      <c r="M4542">
        <v>17.043278922608899</v>
      </c>
      <c r="N4542">
        <v>49.478576347435002</v>
      </c>
      <c r="O4542">
        <v>48.3295896973259</v>
      </c>
      <c r="P4542">
        <v>-8.1327488004909507E-2</v>
      </c>
      <c r="Q4542">
        <v>7.7575660953184106E-2</v>
      </c>
      <c r="R4542">
        <v>0.99143563962727399</v>
      </c>
      <c r="S4542" t="s">
        <v>10853</v>
      </c>
      <c r="T4542" t="s">
        <v>12620</v>
      </c>
      <c r="U4542" t="s">
        <v>12620</v>
      </c>
      <c r="V4542" t="s">
        <v>12620</v>
      </c>
      <c r="W4542" t="s">
        <v>17109</v>
      </c>
      <c r="X4542">
        <v>7</v>
      </c>
      <c r="Y4542" t="s">
        <v>23221</v>
      </c>
      <c r="Z4542" t="s">
        <v>29489</v>
      </c>
      <c r="AA4542">
        <v>0.37177527405812621</v>
      </c>
      <c r="AB4542" t="str">
        <f>HYPERLINK("Melting_Curves/meltCurve_Q969F9_HPS3.pdf", "Melting_Curves/meltCurve_Q969F9_HPS3.pdf")</f>
        <v>Melting_Curves/meltCurve_Q969F9_HPS3.pdf</v>
      </c>
    </row>
    <row r="4543" spans="1:28" x14ac:dyDescent="0.25">
      <c r="A4543" t="s">
        <v>4547</v>
      </c>
      <c r="B4543">
        <v>0.99987803227770999</v>
      </c>
      <c r="C4543">
        <v>1.02948081401476</v>
      </c>
      <c r="D4543">
        <v>0.91057347251750698</v>
      </c>
      <c r="E4543">
        <v>0.72618175742125501</v>
      </c>
      <c r="F4543">
        <v>0.438947736247084</v>
      </c>
      <c r="G4543">
        <v>0.32247346936393601</v>
      </c>
      <c r="H4543">
        <v>0.21191310749881201</v>
      </c>
      <c r="I4543">
        <v>0.176136177359247</v>
      </c>
      <c r="J4543">
        <v>0.15821001542091401</v>
      </c>
      <c r="K4543">
        <v>0.110584084754768</v>
      </c>
      <c r="L4543">
        <v>918.75611311301702</v>
      </c>
      <c r="M4543">
        <v>17.723358351625301</v>
      </c>
      <c r="N4543">
        <v>52.814403449254002</v>
      </c>
      <c r="O4543">
        <v>51.1922717550557</v>
      </c>
      <c r="P4543">
        <v>-7.4473200538845805E-2</v>
      </c>
      <c r="Q4543">
        <v>0.13960947910503799</v>
      </c>
      <c r="R4543">
        <v>0.99302801080380398</v>
      </c>
      <c r="S4543" t="s">
        <v>10854</v>
      </c>
      <c r="T4543" t="s">
        <v>12620</v>
      </c>
      <c r="U4543" t="s">
        <v>12620</v>
      </c>
      <c r="V4543" t="s">
        <v>12620</v>
      </c>
      <c r="W4543" t="s">
        <v>17110</v>
      </c>
      <c r="X4543">
        <v>8</v>
      </c>
      <c r="Y4543" t="s">
        <v>23222</v>
      </c>
      <c r="Z4543" t="s">
        <v>29490</v>
      </c>
      <c r="AA4543">
        <v>0.49387521266768841</v>
      </c>
      <c r="AB4543" t="str">
        <f>HYPERLINK("Melting_Curves/meltCurve_Q969G3_2_SMARCE1.pdf", "Melting_Curves/meltCurve_Q969G3_2_SMARCE1.pdf")</f>
        <v>Melting_Curves/meltCurve_Q969G3_2_SMARCE1.pdf</v>
      </c>
    </row>
    <row r="4544" spans="1:28" x14ac:dyDescent="0.25">
      <c r="A4544" t="s">
        <v>4548</v>
      </c>
      <c r="B4544">
        <v>0.99987803227770999</v>
      </c>
      <c r="C4544">
        <v>0.63319734357504698</v>
      </c>
      <c r="D4544">
        <v>0.88885414201833102</v>
      </c>
      <c r="E4544">
        <v>0.61060650257846905</v>
      </c>
      <c r="F4544">
        <v>0.29268695460232202</v>
      </c>
      <c r="G4544">
        <v>9.0506154554299195E-2</v>
      </c>
      <c r="H4544">
        <v>3.8266550161551803E-2</v>
      </c>
      <c r="I4544">
        <v>6.0559998941239999E-2</v>
      </c>
      <c r="J4544">
        <v>3.43082373903731E-2</v>
      </c>
      <c r="K4544">
        <v>4.16003188173086E-2</v>
      </c>
      <c r="L4544">
        <v>701.29253667695502</v>
      </c>
      <c r="M4544">
        <v>13.9487600484266</v>
      </c>
      <c r="N4544">
        <v>50.276334227476902</v>
      </c>
      <c r="O4544">
        <v>49.276809409288703</v>
      </c>
      <c r="P4544">
        <v>-7.0776866041462605E-2</v>
      </c>
      <c r="Q4544">
        <v>0</v>
      </c>
      <c r="R4544">
        <v>0.91648860917536101</v>
      </c>
      <c r="S4544" t="s">
        <v>10855</v>
      </c>
      <c r="T4544" t="s">
        <v>12620</v>
      </c>
      <c r="U4544" t="s">
        <v>12620</v>
      </c>
      <c r="V4544" t="s">
        <v>12620</v>
      </c>
      <c r="W4544" t="s">
        <v>17111</v>
      </c>
      <c r="X4544">
        <v>5</v>
      </c>
      <c r="Y4544" t="s">
        <v>23223</v>
      </c>
      <c r="Z4544" t="s">
        <v>29491</v>
      </c>
      <c r="AA4544">
        <v>0.36930402913662019</v>
      </c>
      <c r="AB4544" t="str">
        <f>HYPERLINK("Melting_Curves/meltCurve_Q969G6_RFK.pdf", "Melting_Curves/meltCurve_Q969G6_RFK.pdf")</f>
        <v>Melting_Curves/meltCurve_Q969G6_RFK.pdf</v>
      </c>
    </row>
    <row r="4545" spans="1:28" x14ac:dyDescent="0.25">
      <c r="A4545" t="s">
        <v>4549</v>
      </c>
      <c r="B4545">
        <v>0.99987803227770999</v>
      </c>
      <c r="C4545">
        <v>0.89264109546095105</v>
      </c>
      <c r="D4545">
        <v>0.87051979701322002</v>
      </c>
      <c r="E4545">
        <v>1.3230519477191101</v>
      </c>
      <c r="F4545">
        <v>1.0502615635025001</v>
      </c>
      <c r="G4545">
        <v>0.73836692049596397</v>
      </c>
      <c r="H4545">
        <v>0.56181901757723096</v>
      </c>
      <c r="I4545">
        <v>0.47127082023320399</v>
      </c>
      <c r="J4545">
        <v>0.292625564302467</v>
      </c>
      <c r="K4545">
        <v>0.110656291269772</v>
      </c>
      <c r="L4545">
        <v>1064.6421393841999</v>
      </c>
      <c r="M4545">
        <v>17.060520097731398</v>
      </c>
      <c r="N4545">
        <v>62.586582985720597</v>
      </c>
      <c r="O4545">
        <v>61.5653850977709</v>
      </c>
      <c r="P4545">
        <v>-6.7599028629369604E-2</v>
      </c>
      <c r="Q4545">
        <v>2.4295484897839701E-2</v>
      </c>
      <c r="R4545">
        <v>0.863595282582579</v>
      </c>
      <c r="S4545" t="s">
        <v>10856</v>
      </c>
      <c r="T4545" t="s">
        <v>12620</v>
      </c>
      <c r="U4545" t="s">
        <v>12620</v>
      </c>
      <c r="V4545" t="s">
        <v>12620</v>
      </c>
      <c r="W4545" t="s">
        <v>17112</v>
      </c>
      <c r="X4545">
        <v>2</v>
      </c>
      <c r="Y4545" t="s">
        <v>23224</v>
      </c>
      <c r="Z4545" t="s">
        <v>29492</v>
      </c>
      <c r="AA4545">
        <v>0.75146839384015851</v>
      </c>
      <c r="AB4545" t="str">
        <f>HYPERLINK("Melting_Curves/meltCurve_Q969H6_2_POP5.pdf", "Melting_Curves/meltCurve_Q969H6_2_POP5.pdf")</f>
        <v>Melting_Curves/meltCurve_Q969H6_2_POP5.pdf</v>
      </c>
    </row>
    <row r="4546" spans="1:28" x14ac:dyDescent="0.25">
      <c r="A4546" t="s">
        <v>4550</v>
      </c>
      <c r="B4546">
        <v>0.99987803227770999</v>
      </c>
      <c r="C4546">
        <v>0.71227646833320901</v>
      </c>
      <c r="D4546">
        <v>0.96628670384424198</v>
      </c>
      <c r="E4546">
        <v>0.62940950422437603</v>
      </c>
      <c r="F4546">
        <v>1.03778047192628</v>
      </c>
      <c r="G4546">
        <v>0.50717667625706797</v>
      </c>
      <c r="H4546">
        <v>0.84601676176320895</v>
      </c>
      <c r="I4546">
        <v>0.59399966588211595</v>
      </c>
      <c r="J4546">
        <v>0.25031858692555198</v>
      </c>
      <c r="K4546">
        <v>7.7329035840633498E-2</v>
      </c>
      <c r="L4546">
        <v>568.53765246538705</v>
      </c>
      <c r="M4546">
        <v>9.0807526449347993</v>
      </c>
      <c r="N4546">
        <v>62.609078110906999</v>
      </c>
      <c r="O4546">
        <v>59.796759785422203</v>
      </c>
      <c r="P4546">
        <v>-3.7991723487392999E-2</v>
      </c>
      <c r="Q4546">
        <v>0</v>
      </c>
      <c r="R4546">
        <v>0.58263599480082695</v>
      </c>
      <c r="S4546" t="s">
        <v>10857</v>
      </c>
      <c r="T4546" t="s">
        <v>12620</v>
      </c>
      <c r="U4546" t="s">
        <v>12620</v>
      </c>
      <c r="V4546" t="s">
        <v>12620</v>
      </c>
      <c r="W4546" t="s">
        <v>17113</v>
      </c>
      <c r="X4546">
        <v>4</v>
      </c>
      <c r="Y4546" t="s">
        <v>23225</v>
      </c>
      <c r="Z4546" t="s">
        <v>29493</v>
      </c>
      <c r="AA4546">
        <v>0.71963070433502607</v>
      </c>
      <c r="AB4546" t="str">
        <f>HYPERLINK("Melting_Curves/meltCurve_Q969H8_C19orf10.pdf", "Melting_Curves/meltCurve_Q969H8_C19orf10.pdf")</f>
        <v>Melting_Curves/meltCurve_Q969H8_C19orf10.pdf</v>
      </c>
    </row>
    <row r="4547" spans="1:28" x14ac:dyDescent="0.25">
      <c r="A4547" t="s">
        <v>4551</v>
      </c>
      <c r="B4547">
        <v>0.99987803227770999</v>
      </c>
      <c r="C4547">
        <v>0.97597595441480001</v>
      </c>
      <c r="D4547">
        <v>1.20272696943284</v>
      </c>
      <c r="E4547">
        <v>0.78075884208671498</v>
      </c>
      <c r="F4547">
        <v>0.64144050116351203</v>
      </c>
      <c r="G4547">
        <v>0.35852143547627402</v>
      </c>
      <c r="H4547">
        <v>0.27795636458309397</v>
      </c>
      <c r="I4547">
        <v>0.23156966662415501</v>
      </c>
      <c r="J4547">
        <v>0.20938266426135299</v>
      </c>
      <c r="K4547">
        <v>0.17579877416985501</v>
      </c>
      <c r="L4547">
        <v>1201.07777056857</v>
      </c>
      <c r="M4547">
        <v>22.5297864600014</v>
      </c>
      <c r="N4547">
        <v>54.590734315670097</v>
      </c>
      <c r="O4547">
        <v>52.895987882300098</v>
      </c>
      <c r="P4547">
        <v>-8.4633864211566698E-2</v>
      </c>
      <c r="Q4547">
        <v>0.20519425878319</v>
      </c>
      <c r="R4547">
        <v>0.95608794253115703</v>
      </c>
      <c r="S4547" t="s">
        <v>10858</v>
      </c>
      <c r="T4547" t="s">
        <v>12620</v>
      </c>
      <c r="U4547" t="s">
        <v>12620</v>
      </c>
      <c r="V4547" t="s">
        <v>12620</v>
      </c>
      <c r="W4547" t="s">
        <v>17114</v>
      </c>
      <c r="X4547">
        <v>6</v>
      </c>
      <c r="Y4547" t="s">
        <v>23226</v>
      </c>
      <c r="Z4547" t="s">
        <v>29494</v>
      </c>
      <c r="AA4547">
        <v>0.56670638872916868</v>
      </c>
      <c r="AB4547" t="str">
        <f>HYPERLINK("Melting_Curves/meltCurve_Q969K3_RNF34.pdf", "Melting_Curves/meltCurve_Q969K3_RNF34.pdf")</f>
        <v>Melting_Curves/meltCurve_Q969K3_RNF34.pdf</v>
      </c>
    </row>
    <row r="4548" spans="1:28" x14ac:dyDescent="0.25">
      <c r="A4548" t="s">
        <v>4552</v>
      </c>
      <c r="B4548">
        <v>0.99987803227770999</v>
      </c>
      <c r="C4548">
        <v>0.81589333996047197</v>
      </c>
      <c r="D4548">
        <v>1.02252975957367</v>
      </c>
      <c r="E4548">
        <v>0.82325477576713102</v>
      </c>
      <c r="F4548">
        <v>0.938210413995055</v>
      </c>
      <c r="G4548">
        <v>0.84957337890876805</v>
      </c>
      <c r="H4548">
        <v>0.87609965545717705</v>
      </c>
      <c r="I4548">
        <v>0.85446581562343205</v>
      </c>
      <c r="J4548">
        <v>0.90036133778553895</v>
      </c>
      <c r="K4548">
        <v>0.81667820099887101</v>
      </c>
      <c r="L4548">
        <v>243.10142232324</v>
      </c>
      <c r="M4548">
        <v>5.2161551220798401</v>
      </c>
      <c r="O4548">
        <v>41.067771329196901</v>
      </c>
      <c r="P4548">
        <v>-5.5209474803427699E-3</v>
      </c>
      <c r="Q4548">
        <v>0.82704629399184804</v>
      </c>
      <c r="R4548">
        <v>0.21172849479528999</v>
      </c>
      <c r="S4548" t="s">
        <v>10859</v>
      </c>
      <c r="T4548" t="s">
        <v>12620</v>
      </c>
      <c r="U4548" t="s">
        <v>12620</v>
      </c>
      <c r="V4548" t="s">
        <v>12620</v>
      </c>
      <c r="W4548" t="s">
        <v>17115</v>
      </c>
      <c r="X4548">
        <v>1</v>
      </c>
      <c r="Y4548" t="s">
        <v>23227</v>
      </c>
      <c r="Z4548" t="s">
        <v>29495</v>
      </c>
      <c r="AA4548">
        <v>0.88783232685770153</v>
      </c>
      <c r="AB4548" t="str">
        <f>HYPERLINK("Melting_Curves/meltCurve_Q969M3_YIPF5.pdf", "Melting_Curves/meltCurve_Q969M3_YIPF5.pdf")</f>
        <v>Melting_Curves/meltCurve_Q969M3_YIPF5.pdf</v>
      </c>
    </row>
    <row r="4549" spans="1:28" x14ac:dyDescent="0.25">
      <c r="A4549" t="s">
        <v>4553</v>
      </c>
      <c r="B4549">
        <v>0.99987803227770999</v>
      </c>
      <c r="C4549">
        <v>1.3731671977880699</v>
      </c>
      <c r="D4549">
        <v>1.1650410041290999</v>
      </c>
      <c r="E4549">
        <v>1.25815350405808</v>
      </c>
      <c r="F4549">
        <v>0.78613678827943401</v>
      </c>
      <c r="G4549">
        <v>0.453049792148493</v>
      </c>
      <c r="H4549">
        <v>0.30093029787818099</v>
      </c>
      <c r="I4549">
        <v>0.239245139634119</v>
      </c>
      <c r="J4549">
        <v>0.248598411339118</v>
      </c>
      <c r="K4549">
        <v>0.19026034152575499</v>
      </c>
      <c r="L4549">
        <v>1943.13900238467</v>
      </c>
      <c r="M4549">
        <v>35.143534651823401</v>
      </c>
      <c r="N4549">
        <v>56.3220343614773</v>
      </c>
      <c r="O4549">
        <v>55.113393509894102</v>
      </c>
      <c r="P4549">
        <v>-0.12160996537594899</v>
      </c>
      <c r="Q4549">
        <v>0.23714959355208401</v>
      </c>
      <c r="R4549">
        <v>0.87188163722041501</v>
      </c>
      <c r="S4549" t="s">
        <v>10860</v>
      </c>
      <c r="T4549" t="s">
        <v>12620</v>
      </c>
      <c r="U4549" t="s">
        <v>12620</v>
      </c>
      <c r="V4549" t="s">
        <v>12620</v>
      </c>
      <c r="W4549" t="s">
        <v>17116</v>
      </c>
      <c r="X4549">
        <v>9</v>
      </c>
      <c r="Y4549" t="s">
        <v>23228</v>
      </c>
      <c r="Z4549" t="s">
        <v>29496</v>
      </c>
      <c r="AA4549">
        <v>0.62973245996572846</v>
      </c>
      <c r="AB4549" t="str">
        <f>HYPERLINK("Melting_Curves/meltCurve_Q969Q0_RPL36AL.pdf", "Melting_Curves/meltCurve_Q969Q0_RPL36AL.pdf")</f>
        <v>Melting_Curves/meltCurve_Q969Q0_RPL36AL.pdf</v>
      </c>
    </row>
    <row r="4550" spans="1:28" x14ac:dyDescent="0.25">
      <c r="A4550" t="s">
        <v>4554</v>
      </c>
      <c r="B4550">
        <v>0.99987803227770999</v>
      </c>
      <c r="C4550">
        <v>0.79865718566103305</v>
      </c>
      <c r="D4550">
        <v>0.99794840157626197</v>
      </c>
      <c r="E4550">
        <v>0.80487314810282895</v>
      </c>
      <c r="F4550">
        <v>1.0151324168356</v>
      </c>
      <c r="G4550">
        <v>0.69371502949830899</v>
      </c>
      <c r="H4550">
        <v>0.70631295826857499</v>
      </c>
      <c r="I4550">
        <v>0.56576846764885103</v>
      </c>
      <c r="J4550">
        <v>0.63611507942784995</v>
      </c>
      <c r="K4550">
        <v>0.504059786234481</v>
      </c>
      <c r="L4550">
        <v>336.82203993419603</v>
      </c>
      <c r="M4550">
        <v>4.72153748001812</v>
      </c>
      <c r="O4550">
        <v>61.398429527537097</v>
      </c>
      <c r="P4550">
        <v>-1.9368133078395099E-2</v>
      </c>
      <c r="Q4550">
        <v>0</v>
      </c>
      <c r="R4550">
        <v>0.73213473501622395</v>
      </c>
      <c r="S4550" t="s">
        <v>10861</v>
      </c>
      <c r="T4550" t="s">
        <v>12620</v>
      </c>
      <c r="U4550" t="s">
        <v>12620</v>
      </c>
      <c r="V4550" t="s">
        <v>12620</v>
      </c>
      <c r="W4550" t="s">
        <v>17117</v>
      </c>
      <c r="X4550">
        <v>4</v>
      </c>
      <c r="Y4550" t="s">
        <v>23229</v>
      </c>
      <c r="Z4550" t="s">
        <v>29497</v>
      </c>
      <c r="AA4550">
        <v>0.7837193197305321</v>
      </c>
      <c r="AB4550" t="str">
        <f>HYPERLINK("Melting_Curves/meltCurve_Q969R8_ITFG2.pdf", "Melting_Curves/meltCurve_Q969R8_ITFG2.pdf")</f>
        <v>Melting_Curves/meltCurve_Q969R8_ITFG2.pdf</v>
      </c>
    </row>
    <row r="4551" spans="1:28" x14ac:dyDescent="0.25">
      <c r="A4551" t="s">
        <v>4555</v>
      </c>
      <c r="B4551">
        <v>0.99987803227770999</v>
      </c>
      <c r="C4551">
        <v>0.856350085353627</v>
      </c>
      <c r="D4551">
        <v>0.81937463722366399</v>
      </c>
      <c r="E4551">
        <v>0.47435524893069497</v>
      </c>
      <c r="F4551">
        <v>0.38497738543801502</v>
      </c>
      <c r="G4551">
        <v>0.27039843264212599</v>
      </c>
      <c r="H4551">
        <v>0.257266865157733</v>
      </c>
      <c r="I4551">
        <v>0.20831316347200901</v>
      </c>
      <c r="J4551">
        <v>0.14854948405451199</v>
      </c>
      <c r="K4551">
        <v>0.118342943154769</v>
      </c>
      <c r="L4551">
        <v>673.09264308434501</v>
      </c>
      <c r="M4551">
        <v>13.6839065531485</v>
      </c>
      <c r="N4551">
        <v>50.493919696790698</v>
      </c>
      <c r="O4551">
        <v>48.173813616369699</v>
      </c>
      <c r="P4551">
        <v>-6.0443169166567903E-2</v>
      </c>
      <c r="Q4551">
        <v>0.14896917971936499</v>
      </c>
      <c r="R4551">
        <v>0.983933649309776</v>
      </c>
      <c r="S4551" t="s">
        <v>10862</v>
      </c>
      <c r="T4551" t="s">
        <v>12620</v>
      </c>
      <c r="U4551" t="s">
        <v>12620</v>
      </c>
      <c r="V4551" t="s">
        <v>12620</v>
      </c>
      <c r="W4551" t="s">
        <v>17118</v>
      </c>
      <c r="X4551">
        <v>7</v>
      </c>
      <c r="Y4551" t="s">
        <v>23230</v>
      </c>
      <c r="Z4551" t="s">
        <v>29498</v>
      </c>
      <c r="AA4551">
        <v>0.4342903344424664</v>
      </c>
      <c r="AB4551" t="str">
        <f>HYPERLINK("Melting_Curves/meltCurve_Q969S3_ZNF622.pdf", "Melting_Curves/meltCurve_Q969S3_ZNF622.pdf")</f>
        <v>Melting_Curves/meltCurve_Q969S3_ZNF622.pdf</v>
      </c>
    </row>
    <row r="4552" spans="1:28" x14ac:dyDescent="0.25">
      <c r="A4552" t="s">
        <v>4556</v>
      </c>
      <c r="B4552">
        <v>0.99987803227770999</v>
      </c>
      <c r="C4552">
        <v>0.89887098020156397</v>
      </c>
      <c r="D4552">
        <v>0.54502497540955497</v>
      </c>
      <c r="E4552">
        <v>0.42024946452932899</v>
      </c>
      <c r="F4552">
        <v>0.30107022998063898</v>
      </c>
      <c r="G4552">
        <v>0.150141469689099</v>
      </c>
      <c r="H4552">
        <v>8.4747274018165106E-2</v>
      </c>
      <c r="I4552">
        <v>7.8269363107292905E-2</v>
      </c>
      <c r="J4552">
        <v>6.4493940572703606E-2</v>
      </c>
      <c r="K4552">
        <v>5.4978639692466497E-2</v>
      </c>
      <c r="L4552">
        <v>641.07121721365604</v>
      </c>
      <c r="M4552">
        <v>13.3741089390887</v>
      </c>
      <c r="N4552">
        <v>48.299463182145097</v>
      </c>
      <c r="O4552">
        <v>46.900121524715999</v>
      </c>
      <c r="P4552">
        <v>-6.7868344528979399E-2</v>
      </c>
      <c r="Q4552">
        <v>4.8151861091611702E-2</v>
      </c>
      <c r="R4552">
        <v>0.97965173916132497</v>
      </c>
      <c r="S4552" t="s">
        <v>10863</v>
      </c>
      <c r="T4552" t="s">
        <v>12620</v>
      </c>
      <c r="U4552" t="s">
        <v>12620</v>
      </c>
      <c r="V4552" t="s">
        <v>12620</v>
      </c>
      <c r="W4552" t="s">
        <v>17119</v>
      </c>
      <c r="X4552">
        <v>5</v>
      </c>
      <c r="Y4552" t="s">
        <v>23231</v>
      </c>
      <c r="Z4552" t="s">
        <v>29499</v>
      </c>
      <c r="AA4552">
        <v>0.3305603674933642</v>
      </c>
      <c r="AB4552" t="str">
        <f>HYPERLINK("Melting_Curves/meltCurve_Q969S9_3_GFM2.pdf", "Melting_Curves/meltCurve_Q969S9_3_GFM2.pdf")</f>
        <v>Melting_Curves/meltCurve_Q969S9_3_GFM2.pdf</v>
      </c>
    </row>
    <row r="4553" spans="1:28" x14ac:dyDescent="0.25">
      <c r="A4553" t="s">
        <v>4557</v>
      </c>
      <c r="B4553">
        <v>0.99987803227770999</v>
      </c>
      <c r="C4553">
        <v>0.88100727593341799</v>
      </c>
      <c r="D4553">
        <v>0.99456064420343804</v>
      </c>
      <c r="E4553">
        <v>0.65391410254911597</v>
      </c>
      <c r="F4553">
        <v>0.202600370358862</v>
      </c>
      <c r="G4553">
        <v>0.14431411674245101</v>
      </c>
      <c r="H4553">
        <v>8.5381886284506506E-2</v>
      </c>
      <c r="I4553">
        <v>6.8962796967735801E-2</v>
      </c>
      <c r="J4553">
        <v>4.6999808098100899E-2</v>
      </c>
      <c r="K4553">
        <v>3.4270556372268501E-2</v>
      </c>
      <c r="L4553">
        <v>1935.15640045347</v>
      </c>
      <c r="M4553">
        <v>38.1968918637332</v>
      </c>
      <c r="N4553">
        <v>50.865984311637199</v>
      </c>
      <c r="O4553">
        <v>50.5243829027986</v>
      </c>
      <c r="P4553">
        <v>-0.17562058620607701</v>
      </c>
      <c r="Q4553">
        <v>7.0803674821406398E-2</v>
      </c>
      <c r="R4553">
        <v>0.987302364156043</v>
      </c>
      <c r="S4553" t="s">
        <v>10864</v>
      </c>
      <c r="T4553" t="s">
        <v>12620</v>
      </c>
      <c r="U4553" t="s">
        <v>12620</v>
      </c>
      <c r="V4553" t="s">
        <v>12620</v>
      </c>
      <c r="W4553" t="s">
        <v>17120</v>
      </c>
      <c r="X4553">
        <v>8</v>
      </c>
      <c r="Y4553" t="s">
        <v>23232</v>
      </c>
      <c r="Z4553" t="s">
        <v>29500</v>
      </c>
      <c r="AA4553">
        <v>0.40463198440897408</v>
      </c>
      <c r="AB4553" t="str">
        <f>HYPERLINK("Melting_Curves/meltCurve_Q969T7_2_NT5C3B.pdf", "Melting_Curves/meltCurve_Q969T7_2_NT5C3B.pdf")</f>
        <v>Melting_Curves/meltCurve_Q969T7_2_NT5C3B.pdf</v>
      </c>
    </row>
    <row r="4554" spans="1:28" x14ac:dyDescent="0.25">
      <c r="A4554" t="s">
        <v>4558</v>
      </c>
      <c r="B4554">
        <v>0.99987803227770999</v>
      </c>
      <c r="C4554">
        <v>0.96587833823709202</v>
      </c>
      <c r="D4554">
        <v>1.00818311534257</v>
      </c>
      <c r="E4554">
        <v>0.711084857300611</v>
      </c>
      <c r="F4554">
        <v>0.32438863593596001</v>
      </c>
      <c r="G4554">
        <v>0.12984086232314801</v>
      </c>
      <c r="H4554">
        <v>8.4441982539490201E-2</v>
      </c>
      <c r="I4554">
        <v>7.8237805577920802E-2</v>
      </c>
      <c r="J4554">
        <v>3.8738233490915E-2</v>
      </c>
      <c r="K4554">
        <v>3.3117721156670499E-2</v>
      </c>
      <c r="L4554">
        <v>1526.1235882426299</v>
      </c>
      <c r="M4554">
        <v>29.692507152301101</v>
      </c>
      <c r="N4554">
        <v>51.6174095109509</v>
      </c>
      <c r="O4554">
        <v>51.166157923149399</v>
      </c>
      <c r="P4554">
        <v>-0.13646343987885901</v>
      </c>
      <c r="Q4554">
        <v>5.9390641547030998E-2</v>
      </c>
      <c r="R4554">
        <v>0.99728300218473098</v>
      </c>
      <c r="S4554" t="s">
        <v>10865</v>
      </c>
      <c r="T4554" t="s">
        <v>12620</v>
      </c>
      <c r="U4554" t="s">
        <v>12620</v>
      </c>
      <c r="V4554" t="s">
        <v>12620</v>
      </c>
      <c r="W4554" t="s">
        <v>17121</v>
      </c>
      <c r="X4554">
        <v>2</v>
      </c>
      <c r="Y4554" t="s">
        <v>23233</v>
      </c>
      <c r="Z4554" t="s">
        <v>29501</v>
      </c>
      <c r="AA4554">
        <v>0.42282299861017331</v>
      </c>
      <c r="AB4554" t="str">
        <f>HYPERLINK("Melting_Curves/meltCurve_Q969U6_FBXW5.pdf", "Melting_Curves/meltCurve_Q969U6_FBXW5.pdf")</f>
        <v>Melting_Curves/meltCurve_Q969U6_FBXW5.pdf</v>
      </c>
    </row>
    <row r="4555" spans="1:28" x14ac:dyDescent="0.25">
      <c r="A4555" t="s">
        <v>4559</v>
      </c>
      <c r="B4555">
        <v>0.99987803227770999</v>
      </c>
      <c r="C4555">
        <v>1.0259083527412101</v>
      </c>
      <c r="D4555">
        <v>1.03007492849513</v>
      </c>
      <c r="E4555">
        <v>1.1703922825600701</v>
      </c>
      <c r="F4555">
        <v>1.1547809337975901</v>
      </c>
      <c r="G4555">
        <v>0.86217351166012302</v>
      </c>
      <c r="H4555">
        <v>0.74578110691405997</v>
      </c>
      <c r="I4555">
        <v>0.320868866634068</v>
      </c>
      <c r="J4555">
        <v>0.11281502752870901</v>
      </c>
      <c r="K4555">
        <v>7.2073902252996799E-2</v>
      </c>
      <c r="L4555">
        <v>2142.3197351106201</v>
      </c>
      <c r="M4555">
        <v>34.261420353084503</v>
      </c>
      <c r="N4555">
        <v>62.657917336517301</v>
      </c>
      <c r="O4555">
        <v>62.316755565961103</v>
      </c>
      <c r="P4555">
        <v>-0.13275855327758701</v>
      </c>
      <c r="Q4555">
        <v>3.4126291530001497E-2</v>
      </c>
      <c r="R4555">
        <v>0.95817104831211697</v>
      </c>
      <c r="S4555" t="s">
        <v>10866</v>
      </c>
      <c r="T4555" t="s">
        <v>12620</v>
      </c>
      <c r="U4555" t="s">
        <v>12620</v>
      </c>
      <c r="V4555" t="s">
        <v>12620</v>
      </c>
      <c r="W4555" t="s">
        <v>17122</v>
      </c>
      <c r="X4555">
        <v>8</v>
      </c>
      <c r="Y4555" t="s">
        <v>23234</v>
      </c>
      <c r="Z4555" t="s">
        <v>29502</v>
      </c>
      <c r="AA4555">
        <v>0.76314956482842922</v>
      </c>
      <c r="AB4555" t="str">
        <f>HYPERLINK("Melting_Curves/meltCurve_Q969U7_PSMG2.pdf", "Melting_Curves/meltCurve_Q969U7_PSMG2.pdf")</f>
        <v>Melting_Curves/meltCurve_Q969U7_PSMG2.pdf</v>
      </c>
    </row>
    <row r="4556" spans="1:28" x14ac:dyDescent="0.25">
      <c r="A4556" t="s">
        <v>4560</v>
      </c>
      <c r="B4556">
        <v>0.99987803227770999</v>
      </c>
      <c r="C4556">
        <v>0.86962659637407003</v>
      </c>
      <c r="D4556">
        <v>0.915045060628357</v>
      </c>
      <c r="E4556">
        <v>0.85940085739217098</v>
      </c>
      <c r="F4556">
        <v>0.94828256663202803</v>
      </c>
      <c r="G4556">
        <v>0.54836742931139904</v>
      </c>
      <c r="H4556">
        <v>0.64569068860961598</v>
      </c>
      <c r="I4556">
        <v>0.67704910309899302</v>
      </c>
      <c r="J4556">
        <v>0.73339425455074503</v>
      </c>
      <c r="K4556">
        <v>0.54154004190460403</v>
      </c>
      <c r="L4556">
        <v>470.55573785368102</v>
      </c>
      <c r="M4556">
        <v>8.7552597014753495</v>
      </c>
      <c r="O4556">
        <v>51.162769391421897</v>
      </c>
      <c r="P4556">
        <v>-1.8967145864362801E-2</v>
      </c>
      <c r="Q4556">
        <v>0.55700678149756799</v>
      </c>
      <c r="R4556">
        <v>0.67346854832564595</v>
      </c>
      <c r="S4556" t="s">
        <v>10867</v>
      </c>
      <c r="T4556" t="s">
        <v>12620</v>
      </c>
      <c r="U4556" t="s">
        <v>12620</v>
      </c>
      <c r="V4556" t="s">
        <v>12620</v>
      </c>
      <c r="W4556" t="s">
        <v>17123</v>
      </c>
      <c r="X4556">
        <v>1</v>
      </c>
      <c r="Y4556" t="s">
        <v>23235</v>
      </c>
      <c r="Z4556" t="s">
        <v>29503</v>
      </c>
      <c r="AA4556">
        <v>0.77509520060376369</v>
      </c>
      <c r="AB4556" t="str">
        <f>HYPERLINK("Melting_Curves/meltCurve_Q969V5_MUL1.pdf", "Melting_Curves/meltCurve_Q969V5_MUL1.pdf")</f>
        <v>Melting_Curves/meltCurve_Q969V5_MUL1.pdf</v>
      </c>
    </row>
    <row r="4557" spans="1:28" x14ac:dyDescent="0.25">
      <c r="A4557" t="s">
        <v>4561</v>
      </c>
      <c r="B4557">
        <v>0.99987803227770999</v>
      </c>
      <c r="C4557">
        <v>0.78148712906763196</v>
      </c>
      <c r="D4557">
        <v>1.0288975868473</v>
      </c>
      <c r="E4557">
        <v>0.90084692246706199</v>
      </c>
      <c r="F4557">
        <v>1.0978684968541601</v>
      </c>
      <c r="G4557">
        <v>1.21971498444906</v>
      </c>
      <c r="H4557">
        <v>1.09075197985373</v>
      </c>
      <c r="I4557">
        <v>1.0587262638696999</v>
      </c>
      <c r="J4557">
        <v>1.0462131563224899</v>
      </c>
      <c r="K4557">
        <v>0.88876489072189802</v>
      </c>
      <c r="L4557">
        <v>15000</v>
      </c>
      <c r="M4557">
        <v>212.20748731830099</v>
      </c>
      <c r="Q4557">
        <v>0</v>
      </c>
      <c r="R4557">
        <v>7.8567364765122702E-2</v>
      </c>
      <c r="S4557" t="s">
        <v>10868</v>
      </c>
      <c r="T4557" t="s">
        <v>12620</v>
      </c>
      <c r="U4557" t="s">
        <v>12620</v>
      </c>
      <c r="V4557" t="s">
        <v>12620</v>
      </c>
      <c r="W4557" t="s">
        <v>17124</v>
      </c>
      <c r="X4557">
        <v>3</v>
      </c>
      <c r="Y4557" t="s">
        <v>23236</v>
      </c>
      <c r="Z4557" t="s">
        <v>29504</v>
      </c>
      <c r="AA4557">
        <v>0.99872817305478956</v>
      </c>
      <c r="AB4557" t="str">
        <f>HYPERLINK("Melting_Curves/meltCurve_Q969W3_2_FAM104A.pdf", "Melting_Curves/meltCurve_Q969W3_2_FAM104A.pdf")</f>
        <v>Melting_Curves/meltCurve_Q969W3_2_FAM104A.pdf</v>
      </c>
    </row>
    <row r="4558" spans="1:28" x14ac:dyDescent="0.25">
      <c r="A4558" t="s">
        <v>4562</v>
      </c>
      <c r="B4558">
        <v>0.99987803227770999</v>
      </c>
      <c r="C4558">
        <v>1.05507990481095</v>
      </c>
      <c r="D4558">
        <v>1.04012608281367</v>
      </c>
      <c r="E4558">
        <v>0.78074935343232299</v>
      </c>
      <c r="F4558">
        <v>0.73742709458771505</v>
      </c>
      <c r="G4558">
        <v>0.39914250434183801</v>
      </c>
      <c r="H4558">
        <v>0.25968982797748502</v>
      </c>
      <c r="I4558">
        <v>0.30199032820122002</v>
      </c>
      <c r="J4558">
        <v>0.16642370980333199</v>
      </c>
      <c r="K4558">
        <v>5.1234642003737403E-2</v>
      </c>
      <c r="L4558">
        <v>825.60097436758394</v>
      </c>
      <c r="M4558">
        <v>14.9083717032801</v>
      </c>
      <c r="N4558">
        <v>56.116671378581202</v>
      </c>
      <c r="O4558">
        <v>54.410601535034203</v>
      </c>
      <c r="P4558">
        <v>-6.2405630292030501E-2</v>
      </c>
      <c r="Q4558">
        <v>8.9055030200104301E-2</v>
      </c>
      <c r="R4558">
        <v>0.97204238460150205</v>
      </c>
      <c r="S4558" t="s">
        <v>10869</v>
      </c>
      <c r="T4558" t="s">
        <v>12620</v>
      </c>
      <c r="U4558" t="s">
        <v>12620</v>
      </c>
      <c r="V4558" t="s">
        <v>12620</v>
      </c>
      <c r="W4558" t="s">
        <v>17125</v>
      </c>
      <c r="X4558">
        <v>1</v>
      </c>
      <c r="Y4558" t="s">
        <v>23237</v>
      </c>
      <c r="Z4558" t="s">
        <v>29505</v>
      </c>
      <c r="AA4558">
        <v>0.57318978261594045</v>
      </c>
      <c r="AB4558" t="str">
        <f>HYPERLINK("Melting_Curves/meltCurve_Q969X6_CIRH1A.pdf", "Melting_Curves/meltCurve_Q969X6_CIRH1A.pdf")</f>
        <v>Melting_Curves/meltCurve_Q969X6_CIRH1A.pdf</v>
      </c>
    </row>
    <row r="4559" spans="1:28" x14ac:dyDescent="0.25">
      <c r="A4559" t="s">
        <v>4563</v>
      </c>
      <c r="B4559">
        <v>0.99987803227770999</v>
      </c>
      <c r="C4559">
        <v>1.0959298363282299</v>
      </c>
      <c r="D4559">
        <v>0.85847814405988199</v>
      </c>
      <c r="E4559">
        <v>0.68815229419201296</v>
      </c>
      <c r="F4559">
        <v>0.74411581858812603</v>
      </c>
      <c r="G4559">
        <v>0.49097122190220499</v>
      </c>
      <c r="H4559">
        <v>0.20087464140261799</v>
      </c>
      <c r="I4559">
        <v>0.13576065664967599</v>
      </c>
      <c r="J4559">
        <v>8.80699704671324E-2</v>
      </c>
      <c r="K4559">
        <v>0</v>
      </c>
      <c r="L4559">
        <v>729.46818079439799</v>
      </c>
      <c r="M4559">
        <v>13.1065030254605</v>
      </c>
      <c r="N4559">
        <v>55.656970298555699</v>
      </c>
      <c r="O4559">
        <v>54.409113230064598</v>
      </c>
      <c r="P4559">
        <v>-6.0232309315648103E-2</v>
      </c>
      <c r="Q4559">
        <v>0</v>
      </c>
      <c r="R4559">
        <v>0.96294682028210299</v>
      </c>
      <c r="S4559" t="s">
        <v>10870</v>
      </c>
      <c r="T4559" t="s">
        <v>12620</v>
      </c>
      <c r="U4559" t="s">
        <v>12620</v>
      </c>
      <c r="V4559" t="s">
        <v>12620</v>
      </c>
      <c r="W4559" t="s">
        <v>17126</v>
      </c>
      <c r="X4559">
        <v>2</v>
      </c>
      <c r="Y4559" t="s">
        <v>23238</v>
      </c>
      <c r="Z4559" t="s">
        <v>29506</v>
      </c>
      <c r="AA4559">
        <v>0.5422994513855276</v>
      </c>
      <c r="AB4559" t="str">
        <f>HYPERLINK("Melting_Curves/meltCurve_Q969Y2_3_GTPBP3.pdf", "Melting_Curves/meltCurve_Q969Y2_3_GTPBP3.pdf")</f>
        <v>Melting_Curves/meltCurve_Q969Y2_3_GTPBP3.pdf</v>
      </c>
    </row>
    <row r="4560" spans="1:28" x14ac:dyDescent="0.25">
      <c r="A4560" t="s">
        <v>4564</v>
      </c>
      <c r="B4560">
        <v>0.99987803227770999</v>
      </c>
      <c r="C4560">
        <v>0.80242804530545297</v>
      </c>
      <c r="D4560">
        <v>0.53212927140775701</v>
      </c>
      <c r="E4560">
        <v>0.31027324921623201</v>
      </c>
      <c r="F4560">
        <v>0.180216889566753</v>
      </c>
      <c r="G4560">
        <v>0.103417249155156</v>
      </c>
      <c r="H4560">
        <v>7.4613849265540794E-2</v>
      </c>
      <c r="I4560">
        <v>6.6204706713101302E-2</v>
      </c>
      <c r="J4560">
        <v>5.31164129204756E-2</v>
      </c>
      <c r="K4560">
        <v>4.1438897921047699E-2</v>
      </c>
      <c r="L4560">
        <v>750.96616557923903</v>
      </c>
      <c r="M4560">
        <v>16.143551904897201</v>
      </c>
      <c r="N4560">
        <v>46.843793256675902</v>
      </c>
      <c r="O4560">
        <v>45.821769702230199</v>
      </c>
      <c r="P4560">
        <v>-8.3407512736510606E-2</v>
      </c>
      <c r="Q4560">
        <v>5.3097511002751001E-2</v>
      </c>
      <c r="R4560">
        <v>0.99395798909898503</v>
      </c>
      <c r="S4560" t="s">
        <v>10871</v>
      </c>
      <c r="T4560" t="s">
        <v>12620</v>
      </c>
      <c r="U4560" t="s">
        <v>12620</v>
      </c>
      <c r="V4560" t="s">
        <v>12620</v>
      </c>
      <c r="W4560" t="s">
        <v>17127</v>
      </c>
      <c r="X4560">
        <v>12</v>
      </c>
      <c r="Y4560" t="s">
        <v>23239</v>
      </c>
      <c r="Z4560" t="s">
        <v>29507</v>
      </c>
      <c r="AA4560">
        <v>0.28157399304011288</v>
      </c>
      <c r="AB4560" t="str">
        <f>HYPERLINK("Melting_Curves/meltCurve_Q969Z0_TBRG4.pdf", "Melting_Curves/meltCurve_Q969Z0_TBRG4.pdf")</f>
        <v>Melting_Curves/meltCurve_Q969Z0_TBRG4.pdf</v>
      </c>
    </row>
    <row r="4561" spans="1:28" x14ac:dyDescent="0.25">
      <c r="A4561" t="s">
        <v>4565</v>
      </c>
      <c r="B4561">
        <v>0.99987803227770999</v>
      </c>
      <c r="C4561">
        <v>0.89167514663136704</v>
      </c>
      <c r="D4561">
        <v>1.01812257052813</v>
      </c>
      <c r="E4561">
        <v>0.88109603844402196</v>
      </c>
      <c r="F4561">
        <v>0.98236622390636197</v>
      </c>
      <c r="G4561">
        <v>0.70504425102168999</v>
      </c>
      <c r="H4561">
        <v>0.85014575589021102</v>
      </c>
      <c r="I4561">
        <v>0.80335568865071005</v>
      </c>
      <c r="J4561">
        <v>0.87795038211947496</v>
      </c>
      <c r="K4561">
        <v>0.65996665902013996</v>
      </c>
      <c r="L4561">
        <v>238.56577676969999</v>
      </c>
      <c r="M4561">
        <v>2.37718081957598</v>
      </c>
      <c r="O4561">
        <v>65.888410283971993</v>
      </c>
      <c r="P4561">
        <v>-9.54649228693066E-3</v>
      </c>
      <c r="Q4561">
        <v>0</v>
      </c>
      <c r="R4561">
        <v>0.50533269210118503</v>
      </c>
      <c r="S4561" t="s">
        <v>10872</v>
      </c>
      <c r="T4561" t="s">
        <v>12620</v>
      </c>
      <c r="U4561" t="s">
        <v>12620</v>
      </c>
      <c r="V4561" t="s">
        <v>12620</v>
      </c>
      <c r="W4561" t="s">
        <v>17128</v>
      </c>
      <c r="X4561">
        <v>8</v>
      </c>
      <c r="Y4561" t="s">
        <v>23240</v>
      </c>
      <c r="Z4561" t="s">
        <v>29508</v>
      </c>
      <c r="AA4561">
        <v>0.86931683780377833</v>
      </c>
      <c r="AB4561" t="str">
        <f>HYPERLINK("Melting_Curves/meltCurve_Q96A00_PPP1R14A.pdf", "Melting_Curves/meltCurve_Q96A00_PPP1R14A.pdf")</f>
        <v>Melting_Curves/meltCurve_Q96A00_PPP1R14A.pdf</v>
      </c>
    </row>
    <row r="4562" spans="1:28" x14ac:dyDescent="0.25">
      <c r="A4562" t="s">
        <v>4566</v>
      </c>
      <c r="B4562">
        <v>0.99987803227770999</v>
      </c>
      <c r="C4562">
        <v>1.03850497873561</v>
      </c>
      <c r="D4562">
        <v>1.1371642674209099</v>
      </c>
      <c r="E4562">
        <v>1.13161877028004</v>
      </c>
      <c r="F4562">
        <v>1.0956976150801501</v>
      </c>
      <c r="G4562">
        <v>0.90581964171289397</v>
      </c>
      <c r="H4562">
        <v>0.92816096486282895</v>
      </c>
      <c r="I4562">
        <v>0.84413878106956497</v>
      </c>
      <c r="J4562">
        <v>0.79121336070173698</v>
      </c>
      <c r="K4562">
        <v>0.63825014903498301</v>
      </c>
      <c r="L4562">
        <v>978.936778696641</v>
      </c>
      <c r="M4562">
        <v>13.680675870276399</v>
      </c>
      <c r="Q4562">
        <v>0.16837952337909601</v>
      </c>
      <c r="R4562">
        <v>0.76734562717532395</v>
      </c>
      <c r="S4562" t="s">
        <v>10873</v>
      </c>
      <c r="T4562" t="s">
        <v>12620</v>
      </c>
      <c r="U4562" t="s">
        <v>12620</v>
      </c>
      <c r="V4562" t="s">
        <v>12620</v>
      </c>
      <c r="W4562" t="s">
        <v>17129</v>
      </c>
      <c r="X4562">
        <v>13</v>
      </c>
      <c r="Y4562" t="s">
        <v>23241</v>
      </c>
      <c r="Z4562" t="s">
        <v>29509</v>
      </c>
      <c r="AA4562">
        <v>0.93363854518759359</v>
      </c>
      <c r="AB4562" t="str">
        <f>HYPERLINK("Melting_Curves/meltCurve_Q96A19_CCDC102A.pdf", "Melting_Curves/meltCurve_Q96A19_CCDC102A.pdf")</f>
        <v>Melting_Curves/meltCurve_Q96A19_CCDC102A.pdf</v>
      </c>
    </row>
    <row r="4563" spans="1:28" x14ac:dyDescent="0.25">
      <c r="A4563" t="s">
        <v>4567</v>
      </c>
      <c r="B4563">
        <v>0.99987803227770999</v>
      </c>
      <c r="C4563">
        <v>0.85898983733565204</v>
      </c>
      <c r="D4563">
        <v>1.0387234151039499</v>
      </c>
      <c r="E4563">
        <v>0.94281878312959499</v>
      </c>
      <c r="F4563">
        <v>1.03619962123408</v>
      </c>
      <c r="G4563">
        <v>0.81577709126999298</v>
      </c>
      <c r="H4563">
        <v>0.88636929954746402</v>
      </c>
      <c r="I4563">
        <v>0.86559811501311301</v>
      </c>
      <c r="J4563">
        <v>0.71731538428014396</v>
      </c>
      <c r="K4563">
        <v>0.51702690604464896</v>
      </c>
      <c r="L4563">
        <v>852.75133508463603</v>
      </c>
      <c r="M4563">
        <v>11.9339247364576</v>
      </c>
      <c r="O4563">
        <v>69.538291215268799</v>
      </c>
      <c r="P4563">
        <v>-4.2914715109342902E-2</v>
      </c>
      <c r="Q4563">
        <v>0</v>
      </c>
      <c r="R4563">
        <v>0.77005500427301898</v>
      </c>
      <c r="S4563" t="s">
        <v>10874</v>
      </c>
      <c r="T4563" t="s">
        <v>12620</v>
      </c>
      <c r="U4563" t="s">
        <v>12620</v>
      </c>
      <c r="V4563" t="s">
        <v>12620</v>
      </c>
      <c r="W4563" t="s">
        <v>17130</v>
      </c>
      <c r="X4563">
        <v>3</v>
      </c>
      <c r="Y4563" t="s">
        <v>23242</v>
      </c>
      <c r="Z4563" t="s">
        <v>29510</v>
      </c>
      <c r="AA4563">
        <v>0.90626246288520562</v>
      </c>
      <c r="AB4563" t="str">
        <f>HYPERLINK("Melting_Curves/meltCurve_Q96A37_3_RNF166.pdf", "Melting_Curves/meltCurve_Q96A37_3_RNF166.pdf")</f>
        <v>Melting_Curves/meltCurve_Q96A37_3_RNF166.pdf</v>
      </c>
    </row>
    <row r="4564" spans="1:28" x14ac:dyDescent="0.25">
      <c r="A4564" t="s">
        <v>4568</v>
      </c>
      <c r="B4564">
        <v>0.99987803227770999</v>
      </c>
      <c r="C4564">
        <v>0.96321165125458097</v>
      </c>
      <c r="D4564">
        <v>1.2773397928841099</v>
      </c>
      <c r="E4564">
        <v>0.769472471646651</v>
      </c>
      <c r="F4564">
        <v>1.1507960152736501</v>
      </c>
      <c r="G4564">
        <v>0.85248234785923604</v>
      </c>
      <c r="H4564">
        <v>0.98203239891166205</v>
      </c>
      <c r="I4564">
        <v>1.608455085885</v>
      </c>
      <c r="J4564">
        <v>1.1261708092062901</v>
      </c>
      <c r="K4564">
        <v>0.82779016730686505</v>
      </c>
      <c r="L4564">
        <v>7523.6639230699802</v>
      </c>
      <c r="M4564">
        <v>121.697158768273</v>
      </c>
      <c r="O4564">
        <v>61.806141435449803</v>
      </c>
      <c r="P4564">
        <v>9.0385278287641105E-2</v>
      </c>
      <c r="Q4564">
        <v>1.1836153271986301</v>
      </c>
      <c r="R4564">
        <v>0.124588044334884</v>
      </c>
      <c r="S4564" t="s">
        <v>10875</v>
      </c>
      <c r="T4564" t="s">
        <v>12620</v>
      </c>
      <c r="U4564" t="s">
        <v>12620</v>
      </c>
      <c r="V4564" t="s">
        <v>12620</v>
      </c>
      <c r="W4564" t="s">
        <v>17131</v>
      </c>
      <c r="X4564">
        <v>2</v>
      </c>
      <c r="Y4564" t="s">
        <v>23243</v>
      </c>
      <c r="Z4564" t="s">
        <v>29511</v>
      </c>
      <c r="AA4564">
        <v>1.049964270515247</v>
      </c>
      <c r="AB4564" t="str">
        <f>HYPERLINK("Melting_Curves/meltCurve_Q96A46_SLC25A28.pdf", "Melting_Curves/meltCurve_Q96A46_SLC25A28.pdf")</f>
        <v>Melting_Curves/meltCurve_Q96A46_SLC25A28.pdf</v>
      </c>
    </row>
    <row r="4565" spans="1:28" x14ac:dyDescent="0.25">
      <c r="A4565" t="s">
        <v>4569</v>
      </c>
      <c r="B4565">
        <v>0.99987803227770999</v>
      </c>
      <c r="C4565">
        <v>0.94794329934684995</v>
      </c>
      <c r="D4565">
        <v>1.1747453717232199</v>
      </c>
      <c r="E4565">
        <v>1.1031110905285999</v>
      </c>
      <c r="F4565">
        <v>1.29113972340099</v>
      </c>
      <c r="G4565">
        <v>1.0800720418152301</v>
      </c>
      <c r="H4565">
        <v>0.83964129709233104</v>
      </c>
      <c r="I4565">
        <v>0.72648938420376896</v>
      </c>
      <c r="J4565">
        <v>0.41078053869488501</v>
      </c>
      <c r="K4565">
        <v>0.29475999769592298</v>
      </c>
      <c r="L4565">
        <v>1997.7910844128601</v>
      </c>
      <c r="M4565">
        <v>30.780743347940401</v>
      </c>
      <c r="N4565">
        <v>66.091252011132198</v>
      </c>
      <c r="O4565">
        <v>64.631828269936506</v>
      </c>
      <c r="P4565">
        <v>-9.3775832656336003E-2</v>
      </c>
      <c r="Q4565">
        <v>0.21238191852942201</v>
      </c>
      <c r="R4565">
        <v>0.84960930973837101</v>
      </c>
      <c r="S4565" t="s">
        <v>10876</v>
      </c>
      <c r="T4565" t="s">
        <v>12620</v>
      </c>
      <c r="U4565" t="s">
        <v>12620</v>
      </c>
      <c r="V4565" t="s">
        <v>12620</v>
      </c>
      <c r="W4565" t="s">
        <v>17132</v>
      </c>
      <c r="X4565">
        <v>16</v>
      </c>
      <c r="Y4565" t="s">
        <v>23244</v>
      </c>
      <c r="Z4565" t="s">
        <v>29512</v>
      </c>
      <c r="AA4565">
        <v>0.86517899151946109</v>
      </c>
      <c r="AB4565" t="str">
        <f>HYPERLINK("Melting_Curves/meltCurve_Q96A49_SYAP1.pdf", "Melting_Curves/meltCurve_Q96A49_SYAP1.pdf")</f>
        <v>Melting_Curves/meltCurve_Q96A49_SYAP1.pdf</v>
      </c>
    </row>
    <row r="4566" spans="1:28" x14ac:dyDescent="0.25">
      <c r="A4566" t="s">
        <v>4570</v>
      </c>
      <c r="B4566">
        <v>0.99987803227770999</v>
      </c>
      <c r="C4566">
        <v>1.0128572547899199</v>
      </c>
      <c r="D4566">
        <v>0.91632200975754097</v>
      </c>
      <c r="E4566">
        <v>0.83150439537586296</v>
      </c>
      <c r="F4566">
        <v>0.33975935031786098</v>
      </c>
      <c r="G4566">
        <v>0.22911057020785999</v>
      </c>
      <c r="H4566">
        <v>0.158035710831919</v>
      </c>
      <c r="I4566">
        <v>0.116141477529629</v>
      </c>
      <c r="J4566">
        <v>8.5938588308633906E-2</v>
      </c>
      <c r="K4566">
        <v>5.8933186532110403E-2</v>
      </c>
      <c r="L4566">
        <v>1877.1252143414599</v>
      </c>
      <c r="M4566">
        <v>36.309259905751702</v>
      </c>
      <c r="N4566">
        <v>52.086568199897101</v>
      </c>
      <c r="O4566">
        <v>51.542185378878798</v>
      </c>
      <c r="P4566">
        <v>-0.15523300801287601</v>
      </c>
      <c r="Q4566">
        <v>0.11856933746541801</v>
      </c>
      <c r="R4566">
        <v>0.98658002299465297</v>
      </c>
      <c r="S4566" t="s">
        <v>10877</v>
      </c>
      <c r="T4566" t="s">
        <v>12620</v>
      </c>
      <c r="U4566" t="s">
        <v>12620</v>
      </c>
      <c r="V4566" t="s">
        <v>12620</v>
      </c>
      <c r="W4566" t="s">
        <v>17133</v>
      </c>
      <c r="X4566">
        <v>21</v>
      </c>
      <c r="Y4566" t="s">
        <v>23245</v>
      </c>
      <c r="Z4566" t="s">
        <v>29513</v>
      </c>
      <c r="AA4566">
        <v>0.4661013365183036</v>
      </c>
      <c r="AB4566" t="str">
        <f>HYPERLINK("Melting_Curves/meltCurve_Q96A65_EXOC4.pdf", "Melting_Curves/meltCurve_Q96A65_EXOC4.pdf")</f>
        <v>Melting_Curves/meltCurve_Q96A65_EXOC4.pdf</v>
      </c>
    </row>
    <row r="4567" spans="1:28" x14ac:dyDescent="0.25">
      <c r="A4567" t="s">
        <v>4571</v>
      </c>
      <c r="B4567">
        <v>0.99987803227770999</v>
      </c>
      <c r="C4567">
        <v>0.86290188446002303</v>
      </c>
      <c r="D4567">
        <v>0.95815017553739301</v>
      </c>
      <c r="E4567">
        <v>0.65670072290582604</v>
      </c>
      <c r="F4567">
        <v>0.338123807808757</v>
      </c>
      <c r="G4567">
        <v>0.16533696508941401</v>
      </c>
      <c r="H4567">
        <v>0.13851062176259901</v>
      </c>
      <c r="I4567">
        <v>0.15825756255531701</v>
      </c>
      <c r="J4567">
        <v>8.8072556059816301E-2</v>
      </c>
      <c r="K4567">
        <v>6.1537255744326003E-2</v>
      </c>
      <c r="L4567">
        <v>1203.4150374081901</v>
      </c>
      <c r="M4567">
        <v>23.641283596038399</v>
      </c>
      <c r="N4567">
        <v>51.3976060353218</v>
      </c>
      <c r="O4567">
        <v>50.543092688829397</v>
      </c>
      <c r="P4567">
        <v>-0.105043455467403</v>
      </c>
      <c r="Q4567">
        <v>0.10171833167781801</v>
      </c>
      <c r="R4567">
        <v>0.98359803789274702</v>
      </c>
      <c r="S4567" t="s">
        <v>10878</v>
      </c>
      <c r="T4567" t="s">
        <v>12620</v>
      </c>
      <c r="U4567" t="s">
        <v>12620</v>
      </c>
      <c r="V4567" t="s">
        <v>12620</v>
      </c>
      <c r="W4567" t="s">
        <v>17134</v>
      </c>
      <c r="X4567">
        <v>9</v>
      </c>
      <c r="Y4567" t="s">
        <v>23246</v>
      </c>
      <c r="Z4567" t="s">
        <v>29514</v>
      </c>
      <c r="AA4567">
        <v>0.43723383760243578</v>
      </c>
      <c r="AB4567" t="str">
        <f>HYPERLINK("Melting_Curves/meltCurve_Q96A72_MAGOHB.pdf", "Melting_Curves/meltCurve_Q96A72_MAGOHB.pdf")</f>
        <v>Melting_Curves/meltCurve_Q96A72_MAGOHB.pdf</v>
      </c>
    </row>
    <row r="4568" spans="1:28" x14ac:dyDescent="0.25">
      <c r="A4568" t="s">
        <v>4572</v>
      </c>
      <c r="B4568">
        <v>0.99987803227770999</v>
      </c>
      <c r="C4568">
        <v>0.86312382552868205</v>
      </c>
      <c r="D4568">
        <v>1.0206510966614799</v>
      </c>
      <c r="E4568">
        <v>0.87232292300476799</v>
      </c>
      <c r="F4568">
        <v>1.0265555711104599</v>
      </c>
      <c r="G4568">
        <v>0.80382171021858995</v>
      </c>
      <c r="H4568">
        <v>0.74842473769207696</v>
      </c>
      <c r="I4568">
        <v>0.76494608374597295</v>
      </c>
      <c r="J4568">
        <v>0.66131460832123101</v>
      </c>
      <c r="K4568">
        <v>0.54957976720220703</v>
      </c>
      <c r="L4568">
        <v>441.48678451998597</v>
      </c>
      <c r="M4568">
        <v>5.9842662559583504</v>
      </c>
      <c r="O4568">
        <v>66.800261903468495</v>
      </c>
      <c r="P4568">
        <v>-2.2469326938112599E-2</v>
      </c>
      <c r="Q4568">
        <v>0</v>
      </c>
      <c r="R4568">
        <v>0.80982568410448297</v>
      </c>
      <c r="S4568" t="s">
        <v>10879</v>
      </c>
      <c r="T4568" t="s">
        <v>12620</v>
      </c>
      <c r="U4568" t="s">
        <v>12620</v>
      </c>
      <c r="V4568" t="s">
        <v>12620</v>
      </c>
      <c r="W4568" t="s">
        <v>17135</v>
      </c>
      <c r="X4568">
        <v>3</v>
      </c>
      <c r="Y4568" t="s">
        <v>23247</v>
      </c>
      <c r="Z4568" t="s">
        <v>29515</v>
      </c>
      <c r="AA4568">
        <v>0.84898127997863859</v>
      </c>
      <c r="AB4568" t="str">
        <f>HYPERLINK("Melting_Curves/meltCurve_Q96A73_KIAA1191.pdf", "Melting_Curves/meltCurve_Q96A73_KIAA1191.pdf")</f>
        <v>Melting_Curves/meltCurve_Q96A73_KIAA1191.pdf</v>
      </c>
    </row>
    <row r="4569" spans="1:28" x14ac:dyDescent="0.25">
      <c r="A4569" t="s">
        <v>4573</v>
      </c>
      <c r="B4569">
        <v>0.99987803227770999</v>
      </c>
      <c r="C4569">
        <v>0.91998685525826895</v>
      </c>
      <c r="D4569">
        <v>0.88891642178339103</v>
      </c>
      <c r="E4569">
        <v>0.70956369072452896</v>
      </c>
      <c r="F4569">
        <v>0.58117985115312498</v>
      </c>
      <c r="G4569">
        <v>0.41334710257311802</v>
      </c>
      <c r="H4569">
        <v>0.268887104855008</v>
      </c>
      <c r="I4569">
        <v>0.26245746395774</v>
      </c>
      <c r="J4569">
        <v>0.122488116500344</v>
      </c>
      <c r="K4569">
        <v>0.101418681247158</v>
      </c>
      <c r="L4569">
        <v>527.40949178649998</v>
      </c>
      <c r="M4569">
        <v>9.5946330252586698</v>
      </c>
      <c r="N4569">
        <v>54.969219790535099</v>
      </c>
      <c r="O4569">
        <v>52.7404523415643</v>
      </c>
      <c r="P4569">
        <v>-4.5506331259355E-2</v>
      </c>
      <c r="Q4569">
        <v>0</v>
      </c>
      <c r="R4569">
        <v>0.99416774543380504</v>
      </c>
      <c r="S4569" t="s">
        <v>10880</v>
      </c>
      <c r="T4569" t="s">
        <v>12620</v>
      </c>
      <c r="U4569" t="s">
        <v>12620</v>
      </c>
      <c r="V4569" t="s">
        <v>12620</v>
      </c>
      <c r="W4569" t="s">
        <v>17136</v>
      </c>
      <c r="X4569">
        <v>3</v>
      </c>
      <c r="Y4569" t="s">
        <v>23248</v>
      </c>
      <c r="Z4569" t="s">
        <v>29516</v>
      </c>
      <c r="AA4569">
        <v>0.52538369500679172</v>
      </c>
      <c r="AB4569" t="str">
        <f>HYPERLINK("Melting_Curves/meltCurve_Q96AB3_ISOC2.pdf", "Melting_Curves/meltCurve_Q96AB3_ISOC2.pdf")</f>
        <v>Melting_Curves/meltCurve_Q96AB3_ISOC2.pdf</v>
      </c>
    </row>
    <row r="4570" spans="1:28" x14ac:dyDescent="0.25">
      <c r="A4570" t="s">
        <v>4574</v>
      </c>
      <c r="B4570">
        <v>0.99987803227770999</v>
      </c>
      <c r="C4570">
        <v>0.92544033767381295</v>
      </c>
      <c r="D4570">
        <v>0.98099854666878095</v>
      </c>
      <c r="E4570">
        <v>0.701939490093898</v>
      </c>
      <c r="F4570">
        <v>0.28612016954555303</v>
      </c>
      <c r="G4570">
        <v>0.109639203176931</v>
      </c>
      <c r="H4570">
        <v>7.8610399804379602E-2</v>
      </c>
      <c r="I4570">
        <v>0.101943455454736</v>
      </c>
      <c r="J4570">
        <v>5.4416551139372202E-2</v>
      </c>
      <c r="K4570">
        <v>4.4301236384750801E-2</v>
      </c>
      <c r="L4570">
        <v>1673.4643331633499</v>
      </c>
      <c r="M4570">
        <v>32.733354956098502</v>
      </c>
      <c r="N4570">
        <v>51.359287550947798</v>
      </c>
      <c r="O4570">
        <v>50.934456299373601</v>
      </c>
      <c r="P4570">
        <v>-0.1494838440772</v>
      </c>
      <c r="Q4570">
        <v>6.9592098814603404E-2</v>
      </c>
      <c r="R4570">
        <v>0.99539794153804395</v>
      </c>
      <c r="S4570" t="s">
        <v>10881</v>
      </c>
      <c r="T4570" t="s">
        <v>12620</v>
      </c>
      <c r="U4570" t="s">
        <v>12620</v>
      </c>
      <c r="V4570" t="s">
        <v>12620</v>
      </c>
      <c r="W4570" t="s">
        <v>17137</v>
      </c>
      <c r="X4570">
        <v>4</v>
      </c>
      <c r="Y4570" t="s">
        <v>23249</v>
      </c>
      <c r="Z4570" t="s">
        <v>29517</v>
      </c>
      <c r="AA4570">
        <v>0.41951295426896801</v>
      </c>
      <c r="AB4570" t="str">
        <f>HYPERLINK("Melting_Curves/meltCurve_Q96AB6_NTAN1.pdf", "Melting_Curves/meltCurve_Q96AB6_NTAN1.pdf")</f>
        <v>Melting_Curves/meltCurve_Q96AB6_NTAN1.pdf</v>
      </c>
    </row>
    <row r="4571" spans="1:28" x14ac:dyDescent="0.25">
      <c r="A4571" t="s">
        <v>4575</v>
      </c>
      <c r="B4571">
        <v>0.99987803227770999</v>
      </c>
      <c r="C4571">
        <v>0.95625139414657401</v>
      </c>
      <c r="D4571">
        <v>1.04571591491736</v>
      </c>
      <c r="E4571">
        <v>1.0251809911601699</v>
      </c>
      <c r="F4571">
        <v>1.0725056880159001</v>
      </c>
      <c r="G4571">
        <v>0.82165925968069498</v>
      </c>
      <c r="H4571">
        <v>0.197965946497076</v>
      </c>
      <c r="I4571">
        <v>0.117885804758044</v>
      </c>
      <c r="J4571">
        <v>7.2764047025223794E-2</v>
      </c>
      <c r="K4571">
        <v>4.9642365208643201E-2</v>
      </c>
      <c r="L4571">
        <v>2863.8661183396698</v>
      </c>
      <c r="M4571">
        <v>48.782318281739101</v>
      </c>
      <c r="N4571">
        <v>58.897172925391203</v>
      </c>
      <c r="O4571">
        <v>58.608649249162603</v>
      </c>
      <c r="P4571">
        <v>-0.192926445430528</v>
      </c>
      <c r="Q4571">
        <v>7.28486805011406E-2</v>
      </c>
      <c r="R4571">
        <v>0.99366262135566197</v>
      </c>
      <c r="S4571" t="s">
        <v>10882</v>
      </c>
      <c r="T4571" t="s">
        <v>12620</v>
      </c>
      <c r="U4571" t="s">
        <v>12620</v>
      </c>
      <c r="V4571" t="s">
        <v>12620</v>
      </c>
      <c r="W4571" t="s">
        <v>17138</v>
      </c>
      <c r="X4571">
        <v>30</v>
      </c>
      <c r="Y4571" t="s">
        <v>23250</v>
      </c>
      <c r="Z4571" t="s">
        <v>29518</v>
      </c>
      <c r="AA4571">
        <v>0.65349271686637922</v>
      </c>
      <c r="AB4571" t="str">
        <f>HYPERLINK("Melting_Curves/meltCurve_Q96AC1_FERMT2.pdf", "Melting_Curves/meltCurve_Q96AC1_FERMT2.pdf")</f>
        <v>Melting_Curves/meltCurve_Q96AC1_FERMT2.pdf</v>
      </c>
    </row>
    <row r="4572" spans="1:28" x14ac:dyDescent="0.25">
      <c r="A4572" t="s">
        <v>4576</v>
      </c>
      <c r="B4572">
        <v>0.99987803227770999</v>
      </c>
      <c r="C4572">
        <v>0.94647957811809502</v>
      </c>
      <c r="D4572">
        <v>1.0479205793484001</v>
      </c>
      <c r="E4572">
        <v>0.97347617588448998</v>
      </c>
      <c r="F4572">
        <v>1.1056791159860699</v>
      </c>
      <c r="G4572">
        <v>1.0117064403134901</v>
      </c>
      <c r="H4572">
        <v>1.1464953240329401</v>
      </c>
      <c r="I4572">
        <v>1.0762098322751401</v>
      </c>
      <c r="J4572">
        <v>1.0679110846522799</v>
      </c>
      <c r="K4572">
        <v>0.85083433464740799</v>
      </c>
      <c r="L4572">
        <v>15000</v>
      </c>
      <c r="M4572">
        <v>212.54450405522201</v>
      </c>
      <c r="Q4572">
        <v>0</v>
      </c>
      <c r="R4572">
        <v>0.25865822859382198</v>
      </c>
      <c r="S4572" t="s">
        <v>10883</v>
      </c>
      <c r="T4572" t="s">
        <v>12620</v>
      </c>
      <c r="U4572" t="s">
        <v>12620</v>
      </c>
      <c r="V4572" t="s">
        <v>12620</v>
      </c>
      <c r="W4572" t="s">
        <v>17139</v>
      </c>
      <c r="X4572">
        <v>40</v>
      </c>
      <c r="Y4572" t="s">
        <v>23251</v>
      </c>
      <c r="Z4572" t="s">
        <v>29519</v>
      </c>
      <c r="AA4572">
        <v>0.99825796551130885</v>
      </c>
      <c r="AB4572" t="str">
        <f>HYPERLINK("Melting_Curves/meltCurve_Q96AE4_FUBP1.pdf", "Melting_Curves/meltCurve_Q96AE4_FUBP1.pdf")</f>
        <v>Melting_Curves/meltCurve_Q96AE4_FUBP1.pdf</v>
      </c>
    </row>
    <row r="4573" spans="1:28" x14ac:dyDescent="0.25">
      <c r="A4573" t="s">
        <v>4577</v>
      </c>
      <c r="B4573">
        <v>0.99987803227770999</v>
      </c>
      <c r="C4573">
        <v>0.91489389312967795</v>
      </c>
      <c r="D4573">
        <v>0.94483627723576302</v>
      </c>
      <c r="E4573">
        <v>0.80174850843076095</v>
      </c>
      <c r="F4573">
        <v>0.92715551360709703</v>
      </c>
      <c r="G4573">
        <v>0.75814750481434701</v>
      </c>
      <c r="H4573">
        <v>0.78578490000646894</v>
      </c>
      <c r="I4573">
        <v>0.69003074282221399</v>
      </c>
      <c r="J4573">
        <v>0.66334926437478703</v>
      </c>
      <c r="K4573">
        <v>0.51141892869319105</v>
      </c>
      <c r="L4573">
        <v>316.68465604043098</v>
      </c>
      <c r="M4573">
        <v>4.2062210078510196</v>
      </c>
      <c r="O4573">
        <v>62.771582445850001</v>
      </c>
      <c r="P4573">
        <v>-1.6935103973290001E-2</v>
      </c>
      <c r="Q4573">
        <v>0</v>
      </c>
      <c r="R4573">
        <v>0.86904055243157796</v>
      </c>
      <c r="S4573" t="s">
        <v>10884</v>
      </c>
      <c r="T4573" t="s">
        <v>12620</v>
      </c>
      <c r="U4573" t="s">
        <v>12620</v>
      </c>
      <c r="V4573" t="s">
        <v>12620</v>
      </c>
      <c r="W4573" t="s">
        <v>17140</v>
      </c>
      <c r="X4573">
        <v>40</v>
      </c>
      <c r="Y4573" t="s">
        <v>23251</v>
      </c>
      <c r="Z4573" t="s">
        <v>29520</v>
      </c>
      <c r="AA4573">
        <v>0.80844713580641714</v>
      </c>
      <c r="AB4573" t="str">
        <f>HYPERLINK("Melting_Curves/meltCurve_Q96AE4_2_FUBP1.pdf", "Melting_Curves/meltCurve_Q96AE4_2_FUBP1.pdf")</f>
        <v>Melting_Curves/meltCurve_Q96AE4_2_FUBP1.pdf</v>
      </c>
    </row>
    <row r="4574" spans="1:28" x14ac:dyDescent="0.25">
      <c r="A4574" t="s">
        <v>4578</v>
      </c>
      <c r="B4574">
        <v>0.99987803227770999</v>
      </c>
      <c r="C4574">
        <v>0.87544991888311396</v>
      </c>
      <c r="D4574">
        <v>1.01277849422355</v>
      </c>
      <c r="E4574">
        <v>0.81834912696362205</v>
      </c>
      <c r="F4574">
        <v>0.88332140994268205</v>
      </c>
      <c r="G4574">
        <v>0.457472086336142</v>
      </c>
      <c r="H4574">
        <v>0.35329410352094498</v>
      </c>
      <c r="I4574">
        <v>0.35115623601572099</v>
      </c>
      <c r="J4574">
        <v>0.20747416119852799</v>
      </c>
      <c r="K4574">
        <v>0.17469824605036199</v>
      </c>
      <c r="L4574">
        <v>863.42098311796701</v>
      </c>
      <c r="M4574">
        <v>15.3267989828749</v>
      </c>
      <c r="N4574">
        <v>57.771266571167402</v>
      </c>
      <c r="O4574">
        <v>55.401192207636903</v>
      </c>
      <c r="P4574">
        <v>-5.8205175698275498E-2</v>
      </c>
      <c r="Q4574">
        <v>0.158510071212564</v>
      </c>
      <c r="R4574">
        <v>0.95204323137652502</v>
      </c>
      <c r="S4574" t="s">
        <v>10885</v>
      </c>
      <c r="T4574" t="s">
        <v>12620</v>
      </c>
      <c r="U4574" t="s">
        <v>12620</v>
      </c>
      <c r="V4574" t="s">
        <v>12620</v>
      </c>
      <c r="W4574" t="s">
        <v>17141</v>
      </c>
      <c r="X4574">
        <v>10</v>
      </c>
      <c r="Y4574" t="s">
        <v>23252</v>
      </c>
      <c r="Z4574" t="s">
        <v>29521</v>
      </c>
      <c r="AA4574">
        <v>0.63086133015646384</v>
      </c>
      <c r="AB4574" t="str">
        <f>HYPERLINK("Melting_Curves/meltCurve_Q96AG4_LRRC59.pdf", "Melting_Curves/meltCurve_Q96AG4_LRRC59.pdf")</f>
        <v>Melting_Curves/meltCurve_Q96AG4_LRRC59.pdf</v>
      </c>
    </row>
    <row r="4575" spans="1:28" x14ac:dyDescent="0.25">
      <c r="A4575" t="s">
        <v>4579</v>
      </c>
      <c r="B4575">
        <v>0.99987803227770999</v>
      </c>
      <c r="C4575">
        <v>0.88404560415565203</v>
      </c>
      <c r="D4575">
        <v>0.92699298446897704</v>
      </c>
      <c r="E4575">
        <v>0.795758737739374</v>
      </c>
      <c r="F4575">
        <v>0.92976198171866997</v>
      </c>
      <c r="G4575">
        <v>0.65345356546800903</v>
      </c>
      <c r="H4575">
        <v>0.80625795128668298</v>
      </c>
      <c r="I4575">
        <v>0.76708197764129504</v>
      </c>
      <c r="J4575">
        <v>1.06001218431342</v>
      </c>
      <c r="K4575">
        <v>0.79171639474477995</v>
      </c>
      <c r="L4575">
        <v>813.97187632268503</v>
      </c>
      <c r="M4575">
        <v>18.643269440287799</v>
      </c>
      <c r="O4575">
        <v>43.167328799704897</v>
      </c>
      <c r="P4575">
        <v>-1.8451308043577499E-2</v>
      </c>
      <c r="Q4575">
        <v>0.82911592480169105</v>
      </c>
      <c r="R4575">
        <v>0.19139544276832501</v>
      </c>
      <c r="S4575" t="s">
        <v>10886</v>
      </c>
      <c r="T4575" t="s">
        <v>12620</v>
      </c>
      <c r="U4575" t="s">
        <v>12620</v>
      </c>
      <c r="V4575" t="s">
        <v>12620</v>
      </c>
      <c r="W4575" t="s">
        <v>17142</v>
      </c>
      <c r="X4575">
        <v>4</v>
      </c>
      <c r="Y4575" t="s">
        <v>23253</v>
      </c>
      <c r="Z4575" t="s">
        <v>29522</v>
      </c>
      <c r="AA4575">
        <v>0.85408642967352766</v>
      </c>
      <c r="AB4575" t="str">
        <f>HYPERLINK("Melting_Curves/meltCurve_Q96AJ9_1_VTI1A.pdf", "Melting_Curves/meltCurve_Q96AJ9_1_VTI1A.pdf")</f>
        <v>Melting_Curves/meltCurve_Q96AJ9_1_VTI1A.pdf</v>
      </c>
    </row>
    <row r="4576" spans="1:28" x14ac:dyDescent="0.25">
      <c r="A4576" t="s">
        <v>4580</v>
      </c>
      <c r="B4576">
        <v>0.99987803227770999</v>
      </c>
      <c r="C4576">
        <v>1.04451815078012</v>
      </c>
      <c r="D4576">
        <v>1.0403078777175001</v>
      </c>
      <c r="E4576">
        <v>0.78471355827815004</v>
      </c>
      <c r="F4576">
        <v>0.65737598958020005</v>
      </c>
      <c r="G4576">
        <v>0.40325258476703302</v>
      </c>
      <c r="H4576">
        <v>0.34286316145069601</v>
      </c>
      <c r="I4576">
        <v>0.343026349133636</v>
      </c>
      <c r="J4576">
        <v>0.34187410097343202</v>
      </c>
      <c r="K4576">
        <v>0.284011429782418</v>
      </c>
      <c r="L4576">
        <v>1170.7412755984201</v>
      </c>
      <c r="M4576">
        <v>22.269445591043102</v>
      </c>
      <c r="N4576">
        <v>55.0156587723773</v>
      </c>
      <c r="O4576">
        <v>52.153226884658999</v>
      </c>
      <c r="P4576">
        <v>-7.3223475015629799E-2</v>
      </c>
      <c r="Q4576">
        <v>0.31408094318146501</v>
      </c>
      <c r="R4576">
        <v>0.98646662350582204</v>
      </c>
      <c r="S4576" t="s">
        <v>10887</v>
      </c>
      <c r="T4576" t="s">
        <v>12620</v>
      </c>
      <c r="U4576" t="s">
        <v>12620</v>
      </c>
      <c r="V4576" t="s">
        <v>12620</v>
      </c>
      <c r="W4576" t="s">
        <v>17143</v>
      </c>
      <c r="X4576">
        <v>4</v>
      </c>
      <c r="Y4576" t="s">
        <v>23254</v>
      </c>
      <c r="Z4576" t="s">
        <v>29523</v>
      </c>
      <c r="AA4576">
        <v>0.6093282868589408</v>
      </c>
      <c r="AB4576" t="str">
        <f>HYPERLINK("Melting_Curves/meltCurve_Q96AP0_2_ACD.pdf", "Melting_Curves/meltCurve_Q96AP0_2_ACD.pdf")</f>
        <v>Melting_Curves/meltCurve_Q96AP0_2_ACD.pdf</v>
      </c>
    </row>
    <row r="4577" spans="1:28" x14ac:dyDescent="0.25">
      <c r="A4577" t="s">
        <v>4581</v>
      </c>
      <c r="B4577">
        <v>0.99987803227770999</v>
      </c>
      <c r="C4577">
        <v>0.76422478590328702</v>
      </c>
      <c r="D4577">
        <v>0.93567710804757298</v>
      </c>
      <c r="E4577">
        <v>0.78364359624040003</v>
      </c>
      <c r="F4577">
        <v>1.0156172007777</v>
      </c>
      <c r="G4577">
        <v>0.77703120414698001</v>
      </c>
      <c r="H4577">
        <v>0.95294212156199098</v>
      </c>
      <c r="I4577">
        <v>0.86507000643087795</v>
      </c>
      <c r="J4577">
        <v>1.0813443561554399</v>
      </c>
      <c r="K4577">
        <v>0.901453144569894</v>
      </c>
      <c r="L4577">
        <v>10222.6481966383</v>
      </c>
      <c r="M4577">
        <v>250</v>
      </c>
      <c r="O4577">
        <v>40.887976071474803</v>
      </c>
      <c r="P4577">
        <v>-0.156762195567275</v>
      </c>
      <c r="Q4577">
        <v>0.89744497772913501</v>
      </c>
      <c r="R4577">
        <v>8.7410449398149598E-2</v>
      </c>
      <c r="S4577" t="s">
        <v>10888</v>
      </c>
      <c r="T4577" t="s">
        <v>12620</v>
      </c>
      <c r="U4577" t="s">
        <v>12620</v>
      </c>
      <c r="V4577" t="s">
        <v>12620</v>
      </c>
      <c r="W4577" t="s">
        <v>17144</v>
      </c>
      <c r="X4577">
        <v>11</v>
      </c>
      <c r="Y4577" t="s">
        <v>23255</v>
      </c>
      <c r="Z4577" t="s">
        <v>29524</v>
      </c>
      <c r="AA4577">
        <v>0.90049885624114234</v>
      </c>
      <c r="AB4577" t="str">
        <f>HYPERLINK("Melting_Curves/meltCurve_Q96AT1_KIAA1143.pdf", "Melting_Curves/meltCurve_Q96AT1_KIAA1143.pdf")</f>
        <v>Melting_Curves/meltCurve_Q96AT1_KIAA1143.pdf</v>
      </c>
    </row>
    <row r="4578" spans="1:28" x14ac:dyDescent="0.25">
      <c r="A4578" t="s">
        <v>4582</v>
      </c>
      <c r="B4578">
        <v>0.99987803227770999</v>
      </c>
      <c r="C4578">
        <v>1.03693110545019</v>
      </c>
      <c r="D4578">
        <v>1.00206200408852</v>
      </c>
      <c r="E4578">
        <v>1.0013821866147301</v>
      </c>
      <c r="F4578">
        <v>0.88001264680565405</v>
      </c>
      <c r="G4578">
        <v>0.52322917868001195</v>
      </c>
      <c r="H4578">
        <v>0.30046633594254302</v>
      </c>
      <c r="I4578">
        <v>0.19153115073103899</v>
      </c>
      <c r="J4578">
        <v>0.118752747139384</v>
      </c>
      <c r="K4578">
        <v>8.8916881758453303E-2</v>
      </c>
      <c r="L4578">
        <v>1273.43529469389</v>
      </c>
      <c r="M4578">
        <v>22.2895598260612</v>
      </c>
      <c r="N4578">
        <v>57.674972493272698</v>
      </c>
      <c r="O4578">
        <v>56.677584733320401</v>
      </c>
      <c r="P4578">
        <v>-8.9005946126398394E-2</v>
      </c>
      <c r="Q4578">
        <v>9.4726997687442402E-2</v>
      </c>
      <c r="R4578">
        <v>0.99592739833371502</v>
      </c>
      <c r="S4578" t="s">
        <v>10889</v>
      </c>
      <c r="T4578" t="s">
        <v>12620</v>
      </c>
      <c r="U4578" t="s">
        <v>12620</v>
      </c>
      <c r="V4578" t="s">
        <v>12620</v>
      </c>
      <c r="W4578" t="s">
        <v>17145</v>
      </c>
      <c r="X4578">
        <v>7</v>
      </c>
      <c r="Y4578" t="s">
        <v>23256</v>
      </c>
      <c r="Z4578" t="s">
        <v>29525</v>
      </c>
      <c r="AA4578">
        <v>0.62127083520770754</v>
      </c>
      <c r="AB4578" t="str">
        <f>HYPERLINK("Melting_Curves/meltCurve_Q96AT9_RPE.pdf", "Melting_Curves/meltCurve_Q96AT9_RPE.pdf")</f>
        <v>Melting_Curves/meltCurve_Q96AT9_RPE.pdf</v>
      </c>
    </row>
    <row r="4579" spans="1:28" x14ac:dyDescent="0.25">
      <c r="A4579" t="s">
        <v>4583</v>
      </c>
      <c r="B4579">
        <v>0.99987803227770999</v>
      </c>
      <c r="C4579">
        <v>0.95660679535533499</v>
      </c>
      <c r="D4579">
        <v>0.80879093634133703</v>
      </c>
      <c r="E4579">
        <v>0.69820286779365304</v>
      </c>
      <c r="F4579">
        <v>0.28675033016016399</v>
      </c>
      <c r="G4579">
        <v>0.18479275672029899</v>
      </c>
      <c r="H4579">
        <v>0.10812476022539801</v>
      </c>
      <c r="I4579">
        <v>8.9404995285041006E-2</v>
      </c>
      <c r="J4579">
        <v>7.3271180382836504E-2</v>
      </c>
      <c r="K4579">
        <v>6.1733958277912199E-2</v>
      </c>
      <c r="L4579">
        <v>924.33454166729496</v>
      </c>
      <c r="M4579">
        <v>18.177618387600099</v>
      </c>
      <c r="N4579">
        <v>51.204513475417798</v>
      </c>
      <c r="O4579">
        <v>50.246733631088297</v>
      </c>
      <c r="P4579">
        <v>-8.5100329749034406E-2</v>
      </c>
      <c r="Q4579">
        <v>5.9104717199356803E-2</v>
      </c>
      <c r="R4579">
        <v>0.98508000288577302</v>
      </c>
      <c r="S4579" t="s">
        <v>10890</v>
      </c>
      <c r="T4579" t="s">
        <v>12620</v>
      </c>
      <c r="U4579" t="s">
        <v>12620</v>
      </c>
      <c r="V4579" t="s">
        <v>12620</v>
      </c>
      <c r="W4579" t="s">
        <v>17146</v>
      </c>
      <c r="X4579">
        <v>10</v>
      </c>
      <c r="Y4579" t="s">
        <v>23257</v>
      </c>
      <c r="Z4579" t="s">
        <v>29526</v>
      </c>
      <c r="AA4579">
        <v>0.41499941254271738</v>
      </c>
      <c r="AB4579" t="str">
        <f>HYPERLINK("Melting_Curves/meltCurve_Q96AX1_VPS33A.pdf", "Melting_Curves/meltCurve_Q96AX1_VPS33A.pdf")</f>
        <v>Melting_Curves/meltCurve_Q96AX1_VPS33A.pdf</v>
      </c>
    </row>
    <row r="4580" spans="1:28" x14ac:dyDescent="0.25">
      <c r="A4580" t="s">
        <v>4584</v>
      </c>
      <c r="B4580">
        <v>0.99987803227770999</v>
      </c>
      <c r="C4580">
        <v>0.78466556760142703</v>
      </c>
      <c r="D4580">
        <v>0.97887966001599003</v>
      </c>
      <c r="E4580">
        <v>0.75683348470968603</v>
      </c>
      <c r="F4580">
        <v>0.88267977957445498</v>
      </c>
      <c r="G4580">
        <v>0.74899131202634195</v>
      </c>
      <c r="H4580">
        <v>0.80241984758713303</v>
      </c>
      <c r="I4580">
        <v>0.75183911929359004</v>
      </c>
      <c r="J4580">
        <v>0.79184040772219699</v>
      </c>
      <c r="K4580">
        <v>0.68520546677382899</v>
      </c>
      <c r="L4580">
        <v>239.09651894356</v>
      </c>
      <c r="M4580">
        <v>4.5415018158828699</v>
      </c>
      <c r="O4580">
        <v>44.854982511848398</v>
      </c>
      <c r="P4580">
        <v>-9.0275906491744003E-3</v>
      </c>
      <c r="Q4580">
        <v>0.64634923875793404</v>
      </c>
      <c r="R4580">
        <v>0.491403097870796</v>
      </c>
      <c r="S4580" t="s">
        <v>10891</v>
      </c>
      <c r="T4580" t="s">
        <v>12620</v>
      </c>
      <c r="U4580" t="s">
        <v>12620</v>
      </c>
      <c r="V4580" t="s">
        <v>12620</v>
      </c>
      <c r="W4580" t="s">
        <v>17147</v>
      </c>
      <c r="X4580">
        <v>1</v>
      </c>
      <c r="Y4580" t="s">
        <v>23258</v>
      </c>
      <c r="Z4580" t="s">
        <v>29527</v>
      </c>
      <c r="AA4580">
        <v>0.81591092270983301</v>
      </c>
      <c r="AB4580" t="str">
        <f>HYPERLINK("Melting_Curves/meltCurve_Q96AY2_EME1.pdf", "Melting_Curves/meltCurve_Q96AY2_EME1.pdf")</f>
        <v>Melting_Curves/meltCurve_Q96AY2_EME1.pdf</v>
      </c>
    </row>
    <row r="4581" spans="1:28" x14ac:dyDescent="0.25">
      <c r="A4581" t="s">
        <v>4585</v>
      </c>
      <c r="B4581">
        <v>0.99987803227770999</v>
      </c>
      <c r="C4581">
        <v>0.96006790302845602</v>
      </c>
      <c r="D4581">
        <v>0.953530740897091</v>
      </c>
      <c r="E4581">
        <v>0.92673747113949401</v>
      </c>
      <c r="F4581">
        <v>0.87302515235856504</v>
      </c>
      <c r="G4581">
        <v>0.71459006855792895</v>
      </c>
      <c r="H4581">
        <v>0.77925808787843698</v>
      </c>
      <c r="I4581">
        <v>0.729933408811549</v>
      </c>
      <c r="J4581">
        <v>0.66027951272196495</v>
      </c>
      <c r="K4581">
        <v>0.498329046745287</v>
      </c>
      <c r="L4581">
        <v>362.75400727706398</v>
      </c>
      <c r="M4581">
        <v>4.92411543125914</v>
      </c>
      <c r="O4581">
        <v>64.064437017801296</v>
      </c>
      <c r="P4581">
        <v>-1.93395525512618E-2</v>
      </c>
      <c r="Q4581">
        <v>0</v>
      </c>
      <c r="R4581">
        <v>0.91408785026198502</v>
      </c>
      <c r="S4581" t="s">
        <v>10892</v>
      </c>
      <c r="T4581" t="s">
        <v>12620</v>
      </c>
      <c r="U4581" t="s">
        <v>12620</v>
      </c>
      <c r="V4581" t="s">
        <v>12620</v>
      </c>
      <c r="W4581" t="s">
        <v>17148</v>
      </c>
      <c r="X4581">
        <v>20</v>
      </c>
      <c r="Y4581" t="s">
        <v>23259</v>
      </c>
      <c r="Z4581" t="s">
        <v>29528</v>
      </c>
      <c r="AA4581">
        <v>0.81747430100554996</v>
      </c>
      <c r="AB4581" t="str">
        <f>HYPERLINK("Melting_Curves/meltCurve_Q96AY3_FKBP10.pdf", "Melting_Curves/meltCurve_Q96AY3_FKBP10.pdf")</f>
        <v>Melting_Curves/meltCurve_Q96AY3_FKBP10.pdf</v>
      </c>
    </row>
    <row r="4582" spans="1:28" x14ac:dyDescent="0.25">
      <c r="A4582" t="s">
        <v>4586</v>
      </c>
      <c r="B4582">
        <v>0.99987803227770999</v>
      </c>
      <c r="C4582">
        <v>0.89289444202479396</v>
      </c>
      <c r="D4582">
        <v>0.83922954903879698</v>
      </c>
      <c r="E4582">
        <v>0.69271043568909796</v>
      </c>
      <c r="F4582">
        <v>0.76897168401479199</v>
      </c>
      <c r="G4582">
        <v>0.59449233876033902</v>
      </c>
      <c r="H4582">
        <v>0.68303353194514804</v>
      </c>
      <c r="I4582">
        <v>0.63213074303637695</v>
      </c>
      <c r="J4582">
        <v>0.56982633760188295</v>
      </c>
      <c r="K4582">
        <v>0.47013673994099198</v>
      </c>
      <c r="L4582">
        <v>350.39300125640699</v>
      </c>
      <c r="M4582">
        <v>6.7058912827873103</v>
      </c>
      <c r="O4582">
        <v>48.193163924222297</v>
      </c>
      <c r="P4582">
        <v>-1.88591606112632E-2</v>
      </c>
      <c r="Q4582">
        <v>0.459033403725708</v>
      </c>
      <c r="R4582">
        <v>0.87334211734938105</v>
      </c>
      <c r="S4582" t="s">
        <v>10893</v>
      </c>
      <c r="T4582" t="s">
        <v>12620</v>
      </c>
      <c r="U4582" t="s">
        <v>12620</v>
      </c>
      <c r="V4582" t="s">
        <v>12620</v>
      </c>
      <c r="W4582" t="s">
        <v>17149</v>
      </c>
      <c r="X4582">
        <v>4</v>
      </c>
      <c r="Y4582" t="s">
        <v>23260</v>
      </c>
      <c r="Z4582" t="s">
        <v>29529</v>
      </c>
      <c r="AA4582">
        <v>0.70799493873882036</v>
      </c>
      <c r="AB4582" t="str">
        <f>HYPERLINK("Melting_Curves/meltCurve_Q96AY4_TTC28.pdf", "Melting_Curves/meltCurve_Q96AY4_TTC28.pdf")</f>
        <v>Melting_Curves/meltCurve_Q96AY4_TTC28.pdf</v>
      </c>
    </row>
    <row r="4583" spans="1:28" x14ac:dyDescent="0.25">
      <c r="A4583" t="s">
        <v>4587</v>
      </c>
      <c r="B4583">
        <v>0.99987803227770999</v>
      </c>
      <c r="C4583">
        <v>0.87577447007472897</v>
      </c>
      <c r="D4583">
        <v>1.0091236703414601</v>
      </c>
      <c r="E4583">
        <v>0.87652529443984395</v>
      </c>
      <c r="F4583">
        <v>0.97510061835448403</v>
      </c>
      <c r="G4583">
        <v>0.79392837619654399</v>
      </c>
      <c r="H4583">
        <v>0.77751586167084397</v>
      </c>
      <c r="I4583">
        <v>0.74617193965876605</v>
      </c>
      <c r="J4583">
        <v>0.69088799937531198</v>
      </c>
      <c r="K4583">
        <v>0.63018983993050404</v>
      </c>
      <c r="L4583">
        <v>330.88976380908002</v>
      </c>
      <c r="M4583">
        <v>4.1560377266350503</v>
      </c>
      <c r="O4583">
        <v>66.140884956028401</v>
      </c>
      <c r="P4583">
        <v>-1.58874888803179E-2</v>
      </c>
      <c r="Q4583">
        <v>0</v>
      </c>
      <c r="R4583">
        <v>0.84514728605367595</v>
      </c>
      <c r="S4583" t="s">
        <v>10894</v>
      </c>
      <c r="T4583" t="s">
        <v>12620</v>
      </c>
      <c r="U4583" t="s">
        <v>12620</v>
      </c>
      <c r="V4583" t="s">
        <v>12620</v>
      </c>
      <c r="W4583" t="s">
        <v>17150</v>
      </c>
      <c r="X4583">
        <v>8</v>
      </c>
      <c r="Y4583" t="s">
        <v>23261</v>
      </c>
      <c r="Z4583" t="s">
        <v>29530</v>
      </c>
      <c r="AA4583">
        <v>0.84627212972888399</v>
      </c>
      <c r="AB4583" t="str">
        <f>HYPERLINK("Melting_Curves/meltCurve_Q96B01_2_RAD51AP1.pdf", "Melting_Curves/meltCurve_Q96B01_2_RAD51AP1.pdf")</f>
        <v>Melting_Curves/meltCurve_Q96B01_2_RAD51AP1.pdf</v>
      </c>
    </row>
    <row r="4584" spans="1:28" x14ac:dyDescent="0.25">
      <c r="A4584" t="s">
        <v>4588</v>
      </c>
      <c r="B4584">
        <v>0.99987803227770999</v>
      </c>
      <c r="C4584">
        <v>0.85680367627815801</v>
      </c>
      <c r="D4584">
        <v>1.0564800631218401</v>
      </c>
      <c r="E4584">
        <v>0.75105850862178603</v>
      </c>
      <c r="F4584">
        <v>0.70128290686988204</v>
      </c>
      <c r="G4584">
        <v>0.28920130368796998</v>
      </c>
      <c r="H4584">
        <v>0.20289998900297501</v>
      </c>
      <c r="I4584">
        <v>0.16157786323779999</v>
      </c>
      <c r="J4584">
        <v>0.111979465351046</v>
      </c>
      <c r="K4584">
        <v>7.4885024576278797E-2</v>
      </c>
      <c r="L4584">
        <v>962.78363246197796</v>
      </c>
      <c r="M4584">
        <v>17.785139476607998</v>
      </c>
      <c r="N4584">
        <v>54.662343993328598</v>
      </c>
      <c r="O4584">
        <v>53.463668859040503</v>
      </c>
      <c r="P4584">
        <v>-7.6603160796794995E-2</v>
      </c>
      <c r="Q4584">
        <v>7.8944510743091306E-2</v>
      </c>
      <c r="R4584">
        <v>0.968344882338805</v>
      </c>
      <c r="S4584" t="s">
        <v>10895</v>
      </c>
      <c r="T4584" t="s">
        <v>12620</v>
      </c>
      <c r="U4584" t="s">
        <v>12620</v>
      </c>
      <c r="V4584" t="s">
        <v>12620</v>
      </c>
      <c r="W4584" t="s">
        <v>17151</v>
      </c>
      <c r="X4584">
        <v>2</v>
      </c>
      <c r="Y4584" t="s">
        <v>23262</v>
      </c>
      <c r="Z4584" t="s">
        <v>29531</v>
      </c>
      <c r="AA4584">
        <v>0.52782970125502404</v>
      </c>
      <c r="AB4584" t="str">
        <f>HYPERLINK("Melting_Curves/meltCurve_Q96B02_2_UBE2W.pdf", "Melting_Curves/meltCurve_Q96B02_2_UBE2W.pdf")</f>
        <v>Melting_Curves/meltCurve_Q96B02_2_UBE2W.pdf</v>
      </c>
    </row>
    <row r="4585" spans="1:28" x14ac:dyDescent="0.25">
      <c r="A4585" t="s">
        <v>4589</v>
      </c>
      <c r="B4585">
        <v>0.99987803227770999</v>
      </c>
      <c r="C4585">
        <v>0.82701149408375296</v>
      </c>
      <c r="D4585">
        <v>0.96435621500976498</v>
      </c>
      <c r="E4585">
        <v>0.92364436728451604</v>
      </c>
      <c r="F4585">
        <v>1.18277649447987</v>
      </c>
      <c r="G4585">
        <v>1.2487619417975799</v>
      </c>
      <c r="H4585">
        <v>1.2416426909413201</v>
      </c>
      <c r="I4585">
        <v>1.3137268653660099</v>
      </c>
      <c r="J4585">
        <v>1.1740800784752401</v>
      </c>
      <c r="K4585">
        <v>0.92514354345910699</v>
      </c>
      <c r="L4585">
        <v>12374.6288792001</v>
      </c>
      <c r="M4585">
        <v>238.77658731435901</v>
      </c>
      <c r="O4585">
        <v>51.821499533371401</v>
      </c>
      <c r="P4585">
        <v>0.20869422802680801</v>
      </c>
      <c r="Q4585">
        <v>1.1811709923429901</v>
      </c>
      <c r="R4585">
        <v>0.50768254101973997</v>
      </c>
      <c r="S4585" t="s">
        <v>10896</v>
      </c>
      <c r="T4585" t="s">
        <v>12620</v>
      </c>
      <c r="U4585" t="s">
        <v>12620</v>
      </c>
      <c r="V4585" t="s">
        <v>12620</v>
      </c>
      <c r="W4585" t="s">
        <v>17152</v>
      </c>
      <c r="X4585">
        <v>8</v>
      </c>
      <c r="Y4585" t="s">
        <v>23263</v>
      </c>
      <c r="Z4585" t="s">
        <v>29532</v>
      </c>
      <c r="AA4585">
        <v>1.109740546993085</v>
      </c>
      <c r="AB4585" t="str">
        <f>HYPERLINK("Melting_Curves/meltCurve_Q96B23_2_C18orf25.pdf", "Melting_Curves/meltCurve_Q96B23_2_C18orf25.pdf")</f>
        <v>Melting_Curves/meltCurve_Q96B23_2_C18orf25.pdf</v>
      </c>
    </row>
    <row r="4586" spans="1:28" x14ac:dyDescent="0.25">
      <c r="A4586" t="s">
        <v>4590</v>
      </c>
      <c r="B4586">
        <v>0.99987803227770999</v>
      </c>
      <c r="C4586">
        <v>1.14897311342293</v>
      </c>
      <c r="D4586">
        <v>1.2768019876913901</v>
      </c>
      <c r="E4586">
        <v>1.64346794977532</v>
      </c>
      <c r="F4586">
        <v>1.2488300438197999</v>
      </c>
      <c r="G4586">
        <v>0.459031173688491</v>
      </c>
      <c r="H4586">
        <v>0.19038584321055799</v>
      </c>
      <c r="I4586">
        <v>0.121140152810378</v>
      </c>
      <c r="J4586">
        <v>9.3591963214048807E-2</v>
      </c>
      <c r="K4586">
        <v>6.7224987361922894E-2</v>
      </c>
      <c r="L4586">
        <v>13251.0089362823</v>
      </c>
      <c r="M4586">
        <v>232.935478983282</v>
      </c>
      <c r="N4586">
        <v>56.952897720212597</v>
      </c>
      <c r="O4586">
        <v>56.882842821548103</v>
      </c>
      <c r="P4586">
        <v>-0.90286082514816501</v>
      </c>
      <c r="Q4586">
        <v>0.118085568974212</v>
      </c>
      <c r="R4586">
        <v>0.81945965942148602</v>
      </c>
      <c r="S4586" t="s">
        <v>10897</v>
      </c>
      <c r="T4586" t="s">
        <v>12620</v>
      </c>
      <c r="U4586" t="s">
        <v>12620</v>
      </c>
      <c r="V4586" t="s">
        <v>12620</v>
      </c>
      <c r="W4586" t="s">
        <v>17153</v>
      </c>
      <c r="X4586">
        <v>6</v>
      </c>
      <c r="Y4586" t="s">
        <v>23264</v>
      </c>
      <c r="Z4586" t="s">
        <v>29533</v>
      </c>
      <c r="AA4586">
        <v>0.61461767813191848</v>
      </c>
      <c r="AB4586" t="str">
        <f>HYPERLINK("Melting_Curves/meltCurve_Q96B26_EXOSC8.pdf", "Melting_Curves/meltCurve_Q96B26_EXOSC8.pdf")</f>
        <v>Melting_Curves/meltCurve_Q96B26_EXOSC8.pdf</v>
      </c>
    </row>
    <row r="4587" spans="1:28" x14ac:dyDescent="0.25">
      <c r="A4587" t="s">
        <v>4591</v>
      </c>
      <c r="B4587">
        <v>0.99987803227770999</v>
      </c>
      <c r="C4587">
        <v>0.93369932558656998</v>
      </c>
      <c r="D4587">
        <v>0.98770110434231295</v>
      </c>
      <c r="E4587">
        <v>0.92185246715704094</v>
      </c>
      <c r="F4587">
        <v>1.01251267740545</v>
      </c>
      <c r="G4587">
        <v>0.78077058800910404</v>
      </c>
      <c r="H4587">
        <v>0.81056359478463103</v>
      </c>
      <c r="I4587">
        <v>0.87041865160658305</v>
      </c>
      <c r="J4587">
        <v>0.761246334285541</v>
      </c>
      <c r="K4587">
        <v>0.64941477468114495</v>
      </c>
      <c r="L4587">
        <v>363.54818245567498</v>
      </c>
      <c r="M4587">
        <v>4.3747732903221603</v>
      </c>
      <c r="Q4587">
        <v>0</v>
      </c>
      <c r="R4587">
        <v>0.75829435262198397</v>
      </c>
      <c r="S4587" t="s">
        <v>10898</v>
      </c>
      <c r="T4587" t="s">
        <v>12620</v>
      </c>
      <c r="U4587" t="s">
        <v>12620</v>
      </c>
      <c r="V4587" t="s">
        <v>12620</v>
      </c>
      <c r="W4587" t="s">
        <v>17154</v>
      </c>
      <c r="X4587">
        <v>6</v>
      </c>
      <c r="Y4587" t="s">
        <v>23265</v>
      </c>
      <c r="Z4587" t="s">
        <v>29534</v>
      </c>
      <c r="AA4587">
        <v>0.88175366860676574</v>
      </c>
      <c r="AB4587" t="str">
        <f>HYPERLINK("Melting_Curves/meltCurve_Q96B36_AKT1S1.pdf", "Melting_Curves/meltCurve_Q96B36_AKT1S1.pdf")</f>
        <v>Melting_Curves/meltCurve_Q96B36_AKT1S1.pdf</v>
      </c>
    </row>
    <row r="4588" spans="1:28" x14ac:dyDescent="0.25">
      <c r="A4588" t="s">
        <v>4592</v>
      </c>
      <c r="B4588">
        <v>0.99987803227770999</v>
      </c>
      <c r="C4588">
        <v>0.95047269287423897</v>
      </c>
      <c r="D4588">
        <v>1.08489824315251</v>
      </c>
      <c r="E4588">
        <v>1.0162330548612299</v>
      </c>
      <c r="F4588">
        <v>1.0943462031487301</v>
      </c>
      <c r="G4588">
        <v>1.01230009356717</v>
      </c>
      <c r="H4588">
        <v>1.03414595007207</v>
      </c>
      <c r="I4588">
        <v>1.1036133353836399</v>
      </c>
      <c r="J4588">
        <v>0.79444033771520495</v>
      </c>
      <c r="K4588">
        <v>0.71202939920636599</v>
      </c>
      <c r="L4588">
        <v>15000</v>
      </c>
      <c r="M4588">
        <v>224.79370885953301</v>
      </c>
      <c r="O4588">
        <v>66.7225652769242</v>
      </c>
      <c r="P4588">
        <v>-0.24257068958856601</v>
      </c>
      <c r="Q4588">
        <v>0.71200371057919098</v>
      </c>
      <c r="R4588">
        <v>0.79703134598563197</v>
      </c>
      <c r="S4588" t="s">
        <v>10899</v>
      </c>
      <c r="T4588" t="s">
        <v>12620</v>
      </c>
      <c r="U4588" t="s">
        <v>12620</v>
      </c>
      <c r="V4588" t="s">
        <v>12620</v>
      </c>
      <c r="W4588" t="s">
        <v>17155</v>
      </c>
      <c r="X4588">
        <v>4</v>
      </c>
      <c r="Y4588" t="s">
        <v>23266</v>
      </c>
      <c r="Z4588" t="s">
        <v>29535</v>
      </c>
      <c r="AA4588">
        <v>0.96862935633031233</v>
      </c>
      <c r="AB4588" t="str">
        <f>HYPERLINK("Melting_Curves/meltCurve_Q96B45_C10orf32.pdf", "Melting_Curves/meltCurve_Q96B45_C10orf32.pdf")</f>
        <v>Melting_Curves/meltCurve_Q96B45_C10orf32.pdf</v>
      </c>
    </row>
    <row r="4589" spans="1:28" x14ac:dyDescent="0.25">
      <c r="A4589" t="s">
        <v>4593</v>
      </c>
      <c r="B4589">
        <v>0.99987803227770999</v>
      </c>
      <c r="C4589">
        <v>1.1095446682421499</v>
      </c>
      <c r="D4589">
        <v>0.96824325699864899</v>
      </c>
      <c r="E4589">
        <v>1.1516768059917299</v>
      </c>
      <c r="F4589">
        <v>0.95458370510716195</v>
      </c>
      <c r="G4589">
        <v>1.0531607268190999</v>
      </c>
      <c r="H4589">
        <v>1.1711459653315399</v>
      </c>
      <c r="I4589">
        <v>1.0890480401193701</v>
      </c>
      <c r="J4589">
        <v>1.07892912764432</v>
      </c>
      <c r="K4589">
        <v>0.85214504866309204</v>
      </c>
      <c r="L4589">
        <v>15000</v>
      </c>
      <c r="M4589">
        <v>212.53413052422599</v>
      </c>
      <c r="Q4589">
        <v>0</v>
      </c>
      <c r="R4589">
        <v>3.9951777764095503E-2</v>
      </c>
      <c r="S4589" t="s">
        <v>10900</v>
      </c>
      <c r="T4589" t="s">
        <v>12620</v>
      </c>
      <c r="U4589" t="s">
        <v>12620</v>
      </c>
      <c r="V4589" t="s">
        <v>12620</v>
      </c>
      <c r="W4589" t="s">
        <v>17156</v>
      </c>
      <c r="X4589">
        <v>31</v>
      </c>
      <c r="Y4589" t="s">
        <v>23267</v>
      </c>
      <c r="Z4589" t="s">
        <v>29536</v>
      </c>
      <c r="AA4589">
        <v>0.99827457274896203</v>
      </c>
      <c r="AB4589" t="str">
        <f>HYPERLINK("Melting_Curves/meltCurve_Q96B97_SH3KBP1.pdf", "Melting_Curves/meltCurve_Q96B97_SH3KBP1.pdf")</f>
        <v>Melting_Curves/meltCurve_Q96B97_SH3KBP1.pdf</v>
      </c>
    </row>
    <row r="4590" spans="1:28" x14ac:dyDescent="0.25">
      <c r="A4590" t="s">
        <v>4594</v>
      </c>
      <c r="B4590">
        <v>0.99987803227770999</v>
      </c>
      <c r="C4590">
        <v>0.99099295940151599</v>
      </c>
      <c r="D4590">
        <v>0.97038717233343097</v>
      </c>
      <c r="E4590">
        <v>0.74394079677962199</v>
      </c>
      <c r="F4590">
        <v>0.49198143432324798</v>
      </c>
      <c r="G4590">
        <v>0.33609334848530498</v>
      </c>
      <c r="H4590">
        <v>0.26197111638755899</v>
      </c>
      <c r="I4590">
        <v>0.229646452637008</v>
      </c>
      <c r="J4590">
        <v>0.161110736498355</v>
      </c>
      <c r="K4590">
        <v>0.14239685202628299</v>
      </c>
      <c r="L4590">
        <v>953.15140506158696</v>
      </c>
      <c r="M4590">
        <v>18.2736172519791</v>
      </c>
      <c r="N4590">
        <v>53.392993276924599</v>
      </c>
      <c r="O4590">
        <v>51.547380326489602</v>
      </c>
      <c r="P4590">
        <v>-7.3373510557667707E-2</v>
      </c>
      <c r="Q4590">
        <v>0.17213221268081</v>
      </c>
      <c r="R4590">
        <v>0.99384851210242198</v>
      </c>
      <c r="S4590" t="s">
        <v>10901</v>
      </c>
      <c r="T4590" t="s">
        <v>12620</v>
      </c>
      <c r="U4590" t="s">
        <v>12620</v>
      </c>
      <c r="V4590" t="s">
        <v>12620</v>
      </c>
      <c r="W4590" t="s">
        <v>17157</v>
      </c>
      <c r="X4590">
        <v>2</v>
      </c>
      <c r="Y4590" t="s">
        <v>23268</v>
      </c>
      <c r="Z4590" t="s">
        <v>29537</v>
      </c>
      <c r="AA4590">
        <v>0.52109200258285782</v>
      </c>
      <c r="AB4590" t="str">
        <f>HYPERLINK("Melting_Curves/meltCurve_Q96BD5_2_PHF21A.pdf", "Melting_Curves/meltCurve_Q96BD5_2_PHF21A.pdf")</f>
        <v>Melting_Curves/meltCurve_Q96BD5_2_PHF21A.pdf</v>
      </c>
    </row>
    <row r="4591" spans="1:28" x14ac:dyDescent="0.25">
      <c r="A4591" t="s">
        <v>4595</v>
      </c>
      <c r="B4591">
        <v>0.99987803227770999</v>
      </c>
      <c r="C4591">
        <v>0.93187426335079904</v>
      </c>
      <c r="D4591">
        <v>0.99389589292445002</v>
      </c>
      <c r="E4591">
        <v>0.74927665938349597</v>
      </c>
      <c r="F4591">
        <v>0.56876958516678</v>
      </c>
      <c r="G4591">
        <v>0.34706675046012597</v>
      </c>
      <c r="H4591">
        <v>0.207516350430758</v>
      </c>
      <c r="I4591">
        <v>0.182171739985547</v>
      </c>
      <c r="J4591">
        <v>0.17754315932547299</v>
      </c>
      <c r="K4591">
        <v>0.137576032110065</v>
      </c>
      <c r="L4591">
        <v>907.749864452265</v>
      </c>
      <c r="M4591">
        <v>17.136490632847501</v>
      </c>
      <c r="N4591">
        <v>53.987841962565099</v>
      </c>
      <c r="O4591">
        <v>52.266171584678403</v>
      </c>
      <c r="P4591">
        <v>-7.0673297169146998E-2</v>
      </c>
      <c r="Q4591">
        <v>0.137839464513002</v>
      </c>
      <c r="R4591">
        <v>0.99416102662806405</v>
      </c>
      <c r="S4591" t="s">
        <v>10902</v>
      </c>
      <c r="T4591" t="s">
        <v>12620</v>
      </c>
      <c r="U4591" t="s">
        <v>12620</v>
      </c>
      <c r="V4591" t="s">
        <v>12620</v>
      </c>
      <c r="W4591" t="s">
        <v>17158</v>
      </c>
      <c r="X4591">
        <v>4</v>
      </c>
      <c r="Y4591" t="s">
        <v>23269</v>
      </c>
      <c r="Z4591" t="s">
        <v>29538</v>
      </c>
      <c r="AA4591">
        <v>0.52589406150522289</v>
      </c>
      <c r="AB4591" t="str">
        <f>HYPERLINK("Melting_Curves/meltCurve_Q96BF6_NACC2.pdf", "Melting_Curves/meltCurve_Q96BF6_NACC2.pdf")</f>
        <v>Melting_Curves/meltCurve_Q96BF6_NACC2.pdf</v>
      </c>
    </row>
    <row r="4592" spans="1:28" x14ac:dyDescent="0.25">
      <c r="A4592" t="s">
        <v>4596</v>
      </c>
      <c r="B4592">
        <v>0.99987803227770999</v>
      </c>
      <c r="C4592">
        <v>0.99420694411318999</v>
      </c>
      <c r="D4592">
        <v>1.02824628434161</v>
      </c>
      <c r="E4592">
        <v>1.0294635567842001</v>
      </c>
      <c r="F4592">
        <v>1.1547288624827401</v>
      </c>
      <c r="G4592">
        <v>1.05252315440445</v>
      </c>
      <c r="H4592">
        <v>0.87582356925804905</v>
      </c>
      <c r="I4592">
        <v>0.73935481889817201</v>
      </c>
      <c r="J4592">
        <v>0.56049761385623298</v>
      </c>
      <c r="K4592">
        <v>0.35844228872030498</v>
      </c>
      <c r="L4592">
        <v>1586.2309659304201</v>
      </c>
      <c r="M4592">
        <v>23.987721341606299</v>
      </c>
      <c r="N4592">
        <v>67.5680207770328</v>
      </c>
      <c r="O4592">
        <v>65.6723603563659</v>
      </c>
      <c r="P4592">
        <v>-7.3031032500941603E-2</v>
      </c>
      <c r="Q4592">
        <v>0.20025012952714399</v>
      </c>
      <c r="R4592">
        <v>0.94259030206717298</v>
      </c>
      <c r="S4592" t="s">
        <v>10903</v>
      </c>
      <c r="T4592" t="s">
        <v>12620</v>
      </c>
      <c r="U4592" t="s">
        <v>12620</v>
      </c>
      <c r="V4592" t="s">
        <v>12620</v>
      </c>
      <c r="W4592" t="s">
        <v>17159</v>
      </c>
      <c r="X4592">
        <v>8</v>
      </c>
      <c r="Y4592" t="s">
        <v>23270</v>
      </c>
      <c r="Z4592" t="s">
        <v>29539</v>
      </c>
      <c r="AA4592">
        <v>0.88559289231978155</v>
      </c>
      <c r="AB4592" t="str">
        <f>HYPERLINK("Melting_Curves/meltCurve_Q96BH1_RNF25.pdf", "Melting_Curves/meltCurve_Q96BH1_RNF25.pdf")</f>
        <v>Melting_Curves/meltCurve_Q96BH1_RNF25.pdf</v>
      </c>
    </row>
    <row r="4593" spans="1:28" x14ac:dyDescent="0.25">
      <c r="A4593" t="s">
        <v>4597</v>
      </c>
      <c r="B4593">
        <v>0.99987803227770999</v>
      </c>
      <c r="C4593">
        <v>0.40435197872369699</v>
      </c>
      <c r="D4593">
        <v>1.2994673715465599</v>
      </c>
      <c r="E4593">
        <v>0.57317329425456298</v>
      </c>
      <c r="F4593">
        <v>0.69307117345097202</v>
      </c>
      <c r="G4593">
        <v>0.39971765106731699</v>
      </c>
      <c r="H4593">
        <v>0.11205689616987199</v>
      </c>
      <c r="I4593">
        <v>7.8285080872696894E-2</v>
      </c>
      <c r="J4593">
        <v>6.3832999426735801E-2</v>
      </c>
      <c r="K4593">
        <v>5.1616368890198903E-2</v>
      </c>
      <c r="L4593">
        <v>741.26682939086902</v>
      </c>
      <c r="M4593">
        <v>13.629878404465799</v>
      </c>
      <c r="N4593">
        <v>54.385432424350803</v>
      </c>
      <c r="O4593">
        <v>53.254798141598201</v>
      </c>
      <c r="P4593">
        <v>-6.3993688760670603E-2</v>
      </c>
      <c r="Q4593">
        <v>0</v>
      </c>
      <c r="R4593">
        <v>0.68357177352099796</v>
      </c>
      <c r="S4593" t="s">
        <v>10904</v>
      </c>
      <c r="T4593" t="s">
        <v>12620</v>
      </c>
      <c r="U4593" t="s">
        <v>12620</v>
      </c>
      <c r="V4593" t="s">
        <v>12620</v>
      </c>
      <c r="W4593" t="s">
        <v>17160</v>
      </c>
      <c r="X4593">
        <v>13</v>
      </c>
      <c r="Y4593" t="s">
        <v>23271</v>
      </c>
      <c r="Z4593" t="s">
        <v>29540</v>
      </c>
      <c r="AA4593">
        <v>0.50182490981711869</v>
      </c>
      <c r="AB4593" t="str">
        <f>HYPERLINK("Melting_Curves/meltCurve_Q96BJ3_AIDA.pdf", "Melting_Curves/meltCurve_Q96BJ3_AIDA.pdf")</f>
        <v>Melting_Curves/meltCurve_Q96BJ3_AIDA.pdf</v>
      </c>
    </row>
    <row r="4594" spans="1:28" x14ac:dyDescent="0.25">
      <c r="A4594" t="s">
        <v>4598</v>
      </c>
      <c r="B4594">
        <v>0.99987803227770999</v>
      </c>
      <c r="C4594">
        <v>0.80061571223568295</v>
      </c>
      <c r="D4594">
        <v>0.88897705356023504</v>
      </c>
      <c r="E4594">
        <v>0.83481699974635903</v>
      </c>
      <c r="F4594">
        <v>1.0016396116033399</v>
      </c>
      <c r="G4594">
        <v>0.73687788986803804</v>
      </c>
      <c r="H4594">
        <v>0.71043264418441499</v>
      </c>
      <c r="I4594">
        <v>0.6288846802111</v>
      </c>
      <c r="J4594">
        <v>0.66068538901887497</v>
      </c>
      <c r="K4594">
        <v>0.57392589226985702</v>
      </c>
      <c r="L4594">
        <v>257.96613404965001</v>
      </c>
      <c r="M4594">
        <v>3.3123899213499901</v>
      </c>
      <c r="O4594">
        <v>59.773700214140703</v>
      </c>
      <c r="P4594">
        <v>-1.41737387157558E-2</v>
      </c>
      <c r="Q4594">
        <v>0</v>
      </c>
      <c r="R4594">
        <v>0.71444135840727896</v>
      </c>
      <c r="S4594" t="s">
        <v>10905</v>
      </c>
      <c r="T4594" t="s">
        <v>12620</v>
      </c>
      <c r="U4594" t="s">
        <v>12620</v>
      </c>
      <c r="V4594" t="s">
        <v>12620</v>
      </c>
      <c r="W4594" t="s">
        <v>17161</v>
      </c>
      <c r="X4594">
        <v>5</v>
      </c>
      <c r="Y4594" t="s">
        <v>23272</v>
      </c>
      <c r="Z4594" t="s">
        <v>29541</v>
      </c>
      <c r="AA4594">
        <v>0.79093303758249323</v>
      </c>
      <c r="AB4594" t="str">
        <f>HYPERLINK("Melting_Curves/meltCurve_Q96BK5_PINX1.pdf", "Melting_Curves/meltCurve_Q96BK5_PINX1.pdf")</f>
        <v>Melting_Curves/meltCurve_Q96BK5_PINX1.pdf</v>
      </c>
    </row>
    <row r="4595" spans="1:28" x14ac:dyDescent="0.25">
      <c r="A4595" t="s">
        <v>4599</v>
      </c>
      <c r="B4595">
        <v>0.99987803227770999</v>
      </c>
      <c r="C4595">
        <v>0.85629117628210205</v>
      </c>
      <c r="D4595">
        <v>0.95102424593417101</v>
      </c>
      <c r="E4595">
        <v>0.79616002702215705</v>
      </c>
      <c r="F4595">
        <v>0.64607307062664399</v>
      </c>
      <c r="G4595">
        <v>0.20298355766492901</v>
      </c>
      <c r="H4595">
        <v>0.15613059480601901</v>
      </c>
      <c r="I4595">
        <v>0.12597233792373999</v>
      </c>
      <c r="J4595">
        <v>0.107451496376235</v>
      </c>
      <c r="K4595">
        <v>7.4624412685548897E-2</v>
      </c>
      <c r="L4595">
        <v>1152.7611019168401</v>
      </c>
      <c r="M4595">
        <v>21.574676247613599</v>
      </c>
      <c r="N4595">
        <v>53.880224383697801</v>
      </c>
      <c r="O4595">
        <v>52.978538169008402</v>
      </c>
      <c r="P4595">
        <v>-9.3433881347875294E-2</v>
      </c>
      <c r="Q4595">
        <v>8.2281607183597893E-2</v>
      </c>
      <c r="R4595">
        <v>0.97757735912519095</v>
      </c>
      <c r="S4595" t="s">
        <v>10906</v>
      </c>
      <c r="T4595" t="s">
        <v>12620</v>
      </c>
      <c r="U4595" t="s">
        <v>12620</v>
      </c>
      <c r="V4595" t="s">
        <v>12620</v>
      </c>
      <c r="W4595" t="s">
        <v>17162</v>
      </c>
      <c r="X4595">
        <v>12</v>
      </c>
      <c r="Y4595" t="s">
        <v>23273</v>
      </c>
      <c r="Z4595" t="s">
        <v>29542</v>
      </c>
      <c r="AA4595">
        <v>0.50419653793365826</v>
      </c>
      <c r="AB4595" t="str">
        <f>HYPERLINK("Melting_Curves/meltCurve_Q96BN8_FAM105B.pdf", "Melting_Curves/meltCurve_Q96BN8_FAM105B.pdf")</f>
        <v>Melting_Curves/meltCurve_Q96BN8_FAM105B.pdf</v>
      </c>
    </row>
    <row r="4596" spans="1:28" x14ac:dyDescent="0.25">
      <c r="A4596" t="s">
        <v>4600</v>
      </c>
      <c r="B4596">
        <v>0.99987803227770999</v>
      </c>
      <c r="C4596">
        <v>1.00772895510018</v>
      </c>
      <c r="D4596">
        <v>1.06693037635104</v>
      </c>
      <c r="E4596">
        <v>0.90219179077301004</v>
      </c>
      <c r="F4596">
        <v>0.85369221535560003</v>
      </c>
      <c r="G4596">
        <v>0.69385294892898597</v>
      </c>
      <c r="H4596">
        <v>0.60263715063740197</v>
      </c>
      <c r="I4596">
        <v>0.64864894901401404</v>
      </c>
      <c r="J4596">
        <v>0.47173114102575697</v>
      </c>
      <c r="K4596">
        <v>0.416289181261639</v>
      </c>
      <c r="L4596">
        <v>632.187779117226</v>
      </c>
      <c r="M4596">
        <v>10.651457917923899</v>
      </c>
      <c r="N4596">
        <v>66.425246543806693</v>
      </c>
      <c r="O4596">
        <v>57.374872762404003</v>
      </c>
      <c r="P4596">
        <v>-3.0682563239770099E-2</v>
      </c>
      <c r="Q4596">
        <v>0.33915680361362199</v>
      </c>
      <c r="R4596">
        <v>0.95043417771233296</v>
      </c>
      <c r="S4596" t="s">
        <v>10907</v>
      </c>
      <c r="T4596" t="s">
        <v>12620</v>
      </c>
      <c r="U4596" t="s">
        <v>12620</v>
      </c>
      <c r="V4596" t="s">
        <v>12620</v>
      </c>
      <c r="W4596" t="s">
        <v>17163</v>
      </c>
      <c r="X4596">
        <v>1</v>
      </c>
      <c r="Y4596" t="s">
        <v>23274</v>
      </c>
      <c r="Z4596" t="s">
        <v>29543</v>
      </c>
      <c r="AA4596">
        <v>0.76738106858221689</v>
      </c>
      <c r="AB4596" t="str">
        <f>HYPERLINK("Melting_Curves/meltCurve_Q96BP2_CHCHD1.pdf", "Melting_Curves/meltCurve_Q96BP2_CHCHD1.pdf")</f>
        <v>Melting_Curves/meltCurve_Q96BP2_CHCHD1.pdf</v>
      </c>
    </row>
    <row r="4597" spans="1:28" x14ac:dyDescent="0.25">
      <c r="A4597" t="s">
        <v>4601</v>
      </c>
      <c r="B4597">
        <v>0.99987803227770999</v>
      </c>
      <c r="C4597">
        <v>0.90586804247380703</v>
      </c>
      <c r="D4597">
        <v>0.92569203394641497</v>
      </c>
      <c r="E4597">
        <v>0.76481063039163699</v>
      </c>
      <c r="F4597">
        <v>0.24773109120641801</v>
      </c>
      <c r="G4597">
        <v>0.177970358294465</v>
      </c>
      <c r="H4597">
        <v>9.5492742694108804E-2</v>
      </c>
      <c r="I4597">
        <v>9.3752985045412907E-2</v>
      </c>
      <c r="J4597">
        <v>6.0568914941429602E-2</v>
      </c>
      <c r="K4597">
        <v>4.2713455569257999E-2</v>
      </c>
      <c r="L4597">
        <v>2074.9081830386799</v>
      </c>
      <c r="M4597">
        <v>40.530823118311602</v>
      </c>
      <c r="N4597">
        <v>51.438046760556603</v>
      </c>
      <c r="O4597">
        <v>51.069190092463998</v>
      </c>
      <c r="P4597">
        <v>-0.18101511704828699</v>
      </c>
      <c r="Q4597">
        <v>8.7679300022687007E-2</v>
      </c>
      <c r="R4597">
        <v>0.985236011950825</v>
      </c>
      <c r="S4597" t="s">
        <v>10908</v>
      </c>
      <c r="T4597" t="s">
        <v>12620</v>
      </c>
      <c r="U4597" t="s">
        <v>12620</v>
      </c>
      <c r="V4597" t="s">
        <v>12620</v>
      </c>
      <c r="W4597" t="s">
        <v>17164</v>
      </c>
      <c r="X4597">
        <v>10</v>
      </c>
      <c r="Y4597" t="s">
        <v>23275</v>
      </c>
      <c r="Z4597" t="s">
        <v>29544</v>
      </c>
      <c r="AA4597">
        <v>0.43121983559848148</v>
      </c>
      <c r="AB4597" t="str">
        <f>HYPERLINK("Melting_Curves/meltCurve_Q96BP3_PPWD1.pdf", "Melting_Curves/meltCurve_Q96BP3_PPWD1.pdf")</f>
        <v>Melting_Curves/meltCurve_Q96BP3_PPWD1.pdf</v>
      </c>
    </row>
    <row r="4598" spans="1:28" x14ac:dyDescent="0.25">
      <c r="A4598" t="s">
        <v>4602</v>
      </c>
      <c r="B4598">
        <v>0.99987803227770999</v>
      </c>
      <c r="C4598">
        <v>0.86453087043186105</v>
      </c>
      <c r="D4598">
        <v>0.96113160646770901</v>
      </c>
      <c r="E4598">
        <v>0.83567417259402799</v>
      </c>
      <c r="F4598">
        <v>0.89261487518090699</v>
      </c>
      <c r="G4598">
        <v>0.64116156911128297</v>
      </c>
      <c r="H4598">
        <v>0.77398164745875597</v>
      </c>
      <c r="I4598">
        <v>0.66403164458417097</v>
      </c>
      <c r="J4598">
        <v>0.75584336673371799</v>
      </c>
      <c r="K4598">
        <v>0.59717748689533201</v>
      </c>
      <c r="L4598">
        <v>357.09432859892098</v>
      </c>
      <c r="M4598">
        <v>6.4124898999368698</v>
      </c>
      <c r="O4598">
        <v>51.011618251682201</v>
      </c>
      <c r="P4598">
        <v>-1.3918084131197399E-2</v>
      </c>
      <c r="Q4598">
        <v>0.55825100414774298</v>
      </c>
      <c r="R4598">
        <v>0.72846493903430998</v>
      </c>
      <c r="S4598" t="s">
        <v>10909</v>
      </c>
      <c r="T4598" t="s">
        <v>12620</v>
      </c>
      <c r="U4598" t="s">
        <v>12620</v>
      </c>
      <c r="V4598" t="s">
        <v>12620</v>
      </c>
      <c r="W4598" t="s">
        <v>17165</v>
      </c>
      <c r="X4598">
        <v>11</v>
      </c>
      <c r="Y4598" t="s">
        <v>23276</v>
      </c>
      <c r="Z4598" t="s">
        <v>29545</v>
      </c>
      <c r="AA4598">
        <v>0.79790211541257017</v>
      </c>
      <c r="AB4598" t="str">
        <f>HYPERLINK("Melting_Curves/meltCurve_Q96BR5_SELRC1.pdf", "Melting_Curves/meltCurve_Q96BR5_SELRC1.pdf")</f>
        <v>Melting_Curves/meltCurve_Q96BR5_SELRC1.pdf</v>
      </c>
    </row>
    <row r="4599" spans="1:28" x14ac:dyDescent="0.25">
      <c r="A4599" t="s">
        <v>4603</v>
      </c>
      <c r="B4599">
        <v>0.99987803227770999</v>
      </c>
      <c r="C4599">
        <v>0.87635567882131604</v>
      </c>
      <c r="D4599">
        <v>1.0419073909577301</v>
      </c>
      <c r="E4599">
        <v>0.86671158044079699</v>
      </c>
      <c r="F4599">
        <v>0.99487140175072797</v>
      </c>
      <c r="G4599">
        <v>0.71350142987036702</v>
      </c>
      <c r="H4599">
        <v>0.411089764895962</v>
      </c>
      <c r="I4599">
        <v>0.26318980117694801</v>
      </c>
      <c r="J4599">
        <v>0.15379803627205199</v>
      </c>
      <c r="K4599">
        <v>0.10965761022416801</v>
      </c>
      <c r="L4599">
        <v>1200.5775916303801</v>
      </c>
      <c r="M4599">
        <v>20.1917061360095</v>
      </c>
      <c r="N4599">
        <v>59.9073859814158</v>
      </c>
      <c r="O4599">
        <v>58.884950476271598</v>
      </c>
      <c r="P4599">
        <v>-7.9715271491562795E-2</v>
      </c>
      <c r="Q4599">
        <v>7.0136382871065897E-2</v>
      </c>
      <c r="R4599">
        <v>0.97176256404947903</v>
      </c>
      <c r="S4599" t="s">
        <v>10910</v>
      </c>
      <c r="T4599" t="s">
        <v>12620</v>
      </c>
      <c r="U4599" t="s">
        <v>12620</v>
      </c>
      <c r="V4599" t="s">
        <v>12620</v>
      </c>
      <c r="W4599" t="s">
        <v>17166</v>
      </c>
      <c r="X4599">
        <v>11</v>
      </c>
      <c r="Y4599" t="s">
        <v>23277</v>
      </c>
      <c r="Z4599" t="s">
        <v>29546</v>
      </c>
      <c r="AA4599">
        <v>0.68192878550932412</v>
      </c>
      <c r="AB4599" t="str">
        <f>HYPERLINK("Melting_Curves/meltCurve_Q96BS2_TESC.pdf", "Melting_Curves/meltCurve_Q96BS2_TESC.pdf")</f>
        <v>Melting_Curves/meltCurve_Q96BS2_TESC.pdf</v>
      </c>
    </row>
    <row r="4600" spans="1:28" x14ac:dyDescent="0.25">
      <c r="A4600" t="s">
        <v>4604</v>
      </c>
      <c r="B4600">
        <v>0.99987803227770999</v>
      </c>
      <c r="C4600">
        <v>1.2771070699972</v>
      </c>
      <c r="D4600">
        <v>0.95928502587793596</v>
      </c>
      <c r="E4600">
        <v>0.68909438270301804</v>
      </c>
      <c r="F4600">
        <v>0.35848761737736401</v>
      </c>
      <c r="G4600">
        <v>0.23444620596704099</v>
      </c>
      <c r="H4600">
        <v>0.16510836644851301</v>
      </c>
      <c r="I4600">
        <v>0.14404688340813801</v>
      </c>
      <c r="J4600">
        <v>0.14727279274435801</v>
      </c>
      <c r="K4600">
        <v>0.107960844672398</v>
      </c>
      <c r="L4600">
        <v>1463.3279921527401</v>
      </c>
      <c r="M4600">
        <v>28.673857924466201</v>
      </c>
      <c r="N4600">
        <v>51.663049733769299</v>
      </c>
      <c r="O4600">
        <v>50.787237225401398</v>
      </c>
      <c r="P4600">
        <v>-0.120336677010424</v>
      </c>
      <c r="Q4600">
        <v>0.14744368643052</v>
      </c>
      <c r="R4600">
        <v>0.95145108573213799</v>
      </c>
      <c r="S4600" t="s">
        <v>10911</v>
      </c>
      <c r="T4600" t="s">
        <v>12620</v>
      </c>
      <c r="U4600" t="s">
        <v>12620</v>
      </c>
      <c r="V4600" t="s">
        <v>12620</v>
      </c>
      <c r="W4600" t="s">
        <v>17167</v>
      </c>
      <c r="X4600">
        <v>3</v>
      </c>
      <c r="Y4600" t="s">
        <v>23278</v>
      </c>
      <c r="Z4600" t="s">
        <v>29547</v>
      </c>
      <c r="AA4600">
        <v>0.46687110175093538</v>
      </c>
      <c r="AB4600" t="str">
        <f>HYPERLINK("Melting_Curves/meltCurve_Q96BT7_ALKBH8.pdf", "Melting_Curves/meltCurve_Q96BT7_ALKBH8.pdf")</f>
        <v>Melting_Curves/meltCurve_Q96BT7_ALKBH8.pdf</v>
      </c>
    </row>
    <row r="4601" spans="1:28" x14ac:dyDescent="0.25">
      <c r="A4601" t="s">
        <v>4605</v>
      </c>
      <c r="B4601">
        <v>0.99987803227770999</v>
      </c>
      <c r="C4601">
        <v>0.98442994308365495</v>
      </c>
      <c r="D4601">
        <v>0.68280469885190997</v>
      </c>
      <c r="E4601">
        <v>0.70166055603543498</v>
      </c>
      <c r="F4601">
        <v>0.54583980950024202</v>
      </c>
      <c r="G4601">
        <v>0.48715724939015798</v>
      </c>
      <c r="H4601">
        <v>0.343800442103466</v>
      </c>
      <c r="I4601">
        <v>0.24917721194442399</v>
      </c>
      <c r="J4601">
        <v>0.13451838464337901</v>
      </c>
      <c r="K4601">
        <v>9.6715827769166707E-2</v>
      </c>
      <c r="L4601">
        <v>443.49666598921698</v>
      </c>
      <c r="M4601">
        <v>8.0979770341678297</v>
      </c>
      <c r="N4601">
        <v>54.766352609236598</v>
      </c>
      <c r="O4601">
        <v>51.7300217578005</v>
      </c>
      <c r="P4601">
        <v>-3.9178061938525001E-2</v>
      </c>
      <c r="Q4601">
        <v>0</v>
      </c>
      <c r="R4601">
        <v>0.95676512680885895</v>
      </c>
      <c r="S4601" t="s">
        <v>10912</v>
      </c>
      <c r="T4601" t="s">
        <v>12620</v>
      </c>
      <c r="U4601" t="s">
        <v>12620</v>
      </c>
      <c r="V4601" t="s">
        <v>12620</v>
      </c>
      <c r="W4601" t="s">
        <v>17168</v>
      </c>
      <c r="X4601">
        <v>3</v>
      </c>
      <c r="Y4601" t="s">
        <v>23279</v>
      </c>
      <c r="Z4601" t="s">
        <v>29548</v>
      </c>
      <c r="AA4601">
        <v>0.52097226730183388</v>
      </c>
      <c r="AB4601" t="str">
        <f>HYPERLINK("Melting_Curves/meltCurve_Q96BW1_UPRT.pdf", "Melting_Curves/meltCurve_Q96BW1_UPRT.pdf")</f>
        <v>Melting_Curves/meltCurve_Q96BW1_UPRT.pdf</v>
      </c>
    </row>
    <row r="4602" spans="1:28" x14ac:dyDescent="0.25">
      <c r="A4602" t="s">
        <v>4606</v>
      </c>
      <c r="B4602">
        <v>0.99987803227770999</v>
      </c>
      <c r="C4602">
        <v>1.0923081690740899</v>
      </c>
      <c r="D4602">
        <v>1.03694380060775</v>
      </c>
      <c r="E4602">
        <v>1.0640175492945301</v>
      </c>
      <c r="F4602">
        <v>1.0434013272693199</v>
      </c>
      <c r="G4602">
        <v>1.08465017235631</v>
      </c>
      <c r="H4602">
        <v>0.95247160426022803</v>
      </c>
      <c r="I4602">
        <v>0.53450254015490595</v>
      </c>
      <c r="J4602">
        <v>0.146252695132779</v>
      </c>
      <c r="K4602">
        <v>8.9978425026213102E-2</v>
      </c>
      <c r="L4602">
        <v>3834.8461070143499</v>
      </c>
      <c r="M4602">
        <v>59.955827784742297</v>
      </c>
      <c r="N4602">
        <v>64.165944036675697</v>
      </c>
      <c r="O4602">
        <v>63.890149214709197</v>
      </c>
      <c r="P4602">
        <v>-0.214179189488962</v>
      </c>
      <c r="Q4602">
        <v>8.7065578319732495E-2</v>
      </c>
      <c r="R4602">
        <v>0.983658316473075</v>
      </c>
      <c r="S4602" t="s">
        <v>10913</v>
      </c>
      <c r="T4602" t="s">
        <v>12620</v>
      </c>
      <c r="U4602" t="s">
        <v>12620</v>
      </c>
      <c r="V4602" t="s">
        <v>12620</v>
      </c>
      <c r="W4602" t="s">
        <v>17169</v>
      </c>
      <c r="X4602">
        <v>11</v>
      </c>
      <c r="Y4602" t="s">
        <v>23280</v>
      </c>
      <c r="Z4602" t="s">
        <v>29549</v>
      </c>
      <c r="AA4602">
        <v>0.81779193459513999</v>
      </c>
      <c r="AB4602" t="str">
        <f>HYPERLINK("Melting_Curves/meltCurve_Q96BW5_2_PTER.pdf", "Melting_Curves/meltCurve_Q96BW5_2_PTER.pdf")</f>
        <v>Melting_Curves/meltCurve_Q96BW5_2_PTER.pdf</v>
      </c>
    </row>
    <row r="4603" spans="1:28" x14ac:dyDescent="0.25">
      <c r="A4603" t="s">
        <v>4607</v>
      </c>
      <c r="B4603">
        <v>0.99987803227770999</v>
      </c>
      <c r="C4603">
        <v>0.83068993141909497</v>
      </c>
      <c r="D4603">
        <v>1.02960625411801</v>
      </c>
      <c r="E4603">
        <v>0.87591407464031601</v>
      </c>
      <c r="F4603">
        <v>0.99941403155326403</v>
      </c>
      <c r="G4603">
        <v>0.250020737529908</v>
      </c>
      <c r="H4603">
        <v>6.0341815876248699E-2</v>
      </c>
      <c r="I4603">
        <v>4.0467685311696998E-2</v>
      </c>
      <c r="J4603">
        <v>3.1539144544635099E-2</v>
      </c>
      <c r="K4603">
        <v>2.39940612285446E-2</v>
      </c>
      <c r="L4603">
        <v>4947.6877063146403</v>
      </c>
      <c r="M4603">
        <v>88.067352287521203</v>
      </c>
      <c r="N4603">
        <v>56.232320245050097</v>
      </c>
      <c r="O4603">
        <v>56.151775356487498</v>
      </c>
      <c r="P4603">
        <v>-0.37687874501096003</v>
      </c>
      <c r="Q4603">
        <v>3.8807994117194301E-2</v>
      </c>
      <c r="R4603">
        <v>0.97648446491955998</v>
      </c>
      <c r="S4603" t="s">
        <v>10914</v>
      </c>
      <c r="T4603" t="s">
        <v>12620</v>
      </c>
      <c r="U4603" t="s">
        <v>12620</v>
      </c>
      <c r="V4603" t="s">
        <v>12620</v>
      </c>
      <c r="W4603" t="s">
        <v>17170</v>
      </c>
      <c r="X4603">
        <v>5</v>
      </c>
      <c r="Y4603" t="s">
        <v>23281</v>
      </c>
      <c r="Z4603" t="s">
        <v>29550</v>
      </c>
      <c r="AA4603">
        <v>0.55799900624906662</v>
      </c>
      <c r="AB4603" t="str">
        <f>HYPERLINK("Melting_Curves/meltCurve_Q96BX8_MOB3A.pdf", "Melting_Curves/meltCurve_Q96BX8_MOB3A.pdf")</f>
        <v>Melting_Curves/meltCurve_Q96BX8_MOB3A.pdf</v>
      </c>
    </row>
    <row r="4604" spans="1:28" x14ac:dyDescent="0.25">
      <c r="A4604" t="s">
        <v>4608</v>
      </c>
      <c r="B4604">
        <v>0.99987803227770999</v>
      </c>
      <c r="C4604">
        <v>0.90755888323254197</v>
      </c>
      <c r="D4604">
        <v>0.79126754084344697</v>
      </c>
      <c r="E4604">
        <v>1.2704270469229499</v>
      </c>
      <c r="F4604">
        <v>0.54260948285185195</v>
      </c>
      <c r="G4604">
        <v>0.206080037800008</v>
      </c>
      <c r="H4604">
        <v>0.115910333394548</v>
      </c>
      <c r="I4604">
        <v>9.2994914520637101E-2</v>
      </c>
      <c r="J4604">
        <v>6.9107002858550801E-2</v>
      </c>
      <c r="K4604">
        <v>5.1306683288847403E-2</v>
      </c>
      <c r="L4604">
        <v>13247.4044398273</v>
      </c>
      <c r="M4604">
        <v>250</v>
      </c>
      <c r="N4604">
        <v>53.040751322762603</v>
      </c>
      <c r="O4604">
        <v>52.986236923384503</v>
      </c>
      <c r="P4604">
        <v>-1.0532456792006499</v>
      </c>
      <c r="Q4604">
        <v>0.107079770005056</v>
      </c>
      <c r="R4604">
        <v>0.92569817627640305</v>
      </c>
      <c r="S4604" t="s">
        <v>10915</v>
      </c>
      <c r="T4604" t="s">
        <v>12620</v>
      </c>
      <c r="U4604" t="s">
        <v>12620</v>
      </c>
      <c r="V4604" t="s">
        <v>12620</v>
      </c>
      <c r="W4604" t="s">
        <v>17171</v>
      </c>
      <c r="X4604">
        <v>26</v>
      </c>
      <c r="Y4604" t="s">
        <v>23282</v>
      </c>
      <c r="Z4604" t="s">
        <v>29551</v>
      </c>
      <c r="AA4604">
        <v>0.49378589054706679</v>
      </c>
      <c r="AB4604" t="str">
        <f>HYPERLINK("Melting_Curves/meltCurve_Q96BY6_DOCK10.pdf", "Melting_Curves/meltCurve_Q96BY6_DOCK10.pdf")</f>
        <v>Melting_Curves/meltCurve_Q96BY6_DOCK10.pdf</v>
      </c>
    </row>
    <row r="4605" spans="1:28" x14ac:dyDescent="0.25">
      <c r="A4605" t="s">
        <v>4609</v>
      </c>
      <c r="B4605">
        <v>0.99987803227770999</v>
      </c>
      <c r="C4605">
        <v>1.0711765823999999</v>
      </c>
      <c r="D4605">
        <v>0.934145574963828</v>
      </c>
      <c r="E4605">
        <v>1.1428866524613599</v>
      </c>
      <c r="F4605">
        <v>0.83780573372558798</v>
      </c>
      <c r="G4605">
        <v>0.855501769337359</v>
      </c>
      <c r="H4605">
        <v>0.56151825405840505</v>
      </c>
      <c r="I4605">
        <v>0.354878023415585</v>
      </c>
      <c r="J4605">
        <v>0.29616820941184102</v>
      </c>
      <c r="K4605">
        <v>0.19545165694954</v>
      </c>
      <c r="L4605">
        <v>1192.04939029001</v>
      </c>
      <c r="M4605">
        <v>19.595817144926599</v>
      </c>
      <c r="N4605">
        <v>61.920932542985902</v>
      </c>
      <c r="O4605">
        <v>60.208949692236601</v>
      </c>
      <c r="P4605">
        <v>-6.9507447202585698E-2</v>
      </c>
      <c r="Q4605">
        <v>0.14577233718459701</v>
      </c>
      <c r="R4605">
        <v>0.95333469983858699</v>
      </c>
      <c r="S4605" t="s">
        <v>10916</v>
      </c>
      <c r="T4605" t="s">
        <v>12620</v>
      </c>
      <c r="U4605" t="s">
        <v>12620</v>
      </c>
      <c r="V4605" t="s">
        <v>12620</v>
      </c>
      <c r="W4605" t="s">
        <v>17172</v>
      </c>
      <c r="X4605">
        <v>20</v>
      </c>
      <c r="Y4605" t="s">
        <v>23283</v>
      </c>
      <c r="Z4605" t="s">
        <v>29552</v>
      </c>
      <c r="AA4605">
        <v>0.74442494503647294</v>
      </c>
      <c r="AB4605" t="str">
        <f>HYPERLINK("Melting_Curves/meltCurve_Q96BY7_ATG2B.pdf", "Melting_Curves/meltCurve_Q96BY7_ATG2B.pdf")</f>
        <v>Melting_Curves/meltCurve_Q96BY7_ATG2B.pdf</v>
      </c>
    </row>
    <row r="4606" spans="1:28" x14ac:dyDescent="0.25">
      <c r="A4606" t="s">
        <v>4610</v>
      </c>
      <c r="B4606">
        <v>0.99987803227770999</v>
      </c>
      <c r="C4606">
        <v>0.93196341454631104</v>
      </c>
      <c r="D4606">
        <v>1.0988880391935101</v>
      </c>
      <c r="E4606">
        <v>0.86081800598555502</v>
      </c>
      <c r="F4606">
        <v>1.03554982290329</v>
      </c>
      <c r="G4606">
        <v>0.57743157585409899</v>
      </c>
      <c r="H4606">
        <v>0.80197949535108004</v>
      </c>
      <c r="I4606">
        <v>0.83904511883468302</v>
      </c>
      <c r="J4606">
        <v>0.87229937555432802</v>
      </c>
      <c r="K4606">
        <v>0.75558900033309995</v>
      </c>
      <c r="L4606">
        <v>5006.7404688326696</v>
      </c>
      <c r="M4606">
        <v>91.858260112182705</v>
      </c>
      <c r="O4606">
        <v>54.479226855083397</v>
      </c>
      <c r="P4606">
        <v>-9.7014814219528497E-2</v>
      </c>
      <c r="Q4606">
        <v>0.76985004122087997</v>
      </c>
      <c r="R4606">
        <v>0.55209009514823004</v>
      </c>
      <c r="S4606" t="s">
        <v>10917</v>
      </c>
      <c r="T4606" t="s">
        <v>12620</v>
      </c>
      <c r="U4606" t="s">
        <v>12620</v>
      </c>
      <c r="V4606" t="s">
        <v>12620</v>
      </c>
      <c r="W4606" t="s">
        <v>17173</v>
      </c>
      <c r="X4606">
        <v>6</v>
      </c>
      <c r="Y4606" t="s">
        <v>23284</v>
      </c>
      <c r="Z4606" t="s">
        <v>29553</v>
      </c>
      <c r="AA4606">
        <v>0.88129134585008395</v>
      </c>
      <c r="AB4606" t="str">
        <f>HYPERLINK("Melting_Curves/meltCurve_Q96BZ8_LENG1.pdf", "Melting_Curves/meltCurve_Q96BZ8_LENG1.pdf")</f>
        <v>Melting_Curves/meltCurve_Q96BZ8_LENG1.pdf</v>
      </c>
    </row>
    <row r="4607" spans="1:28" x14ac:dyDescent="0.25">
      <c r="A4607" t="s">
        <v>4611</v>
      </c>
      <c r="B4607">
        <v>0.99987803227770999</v>
      </c>
      <c r="C4607">
        <v>0.85845359232359397</v>
      </c>
      <c r="D4607">
        <v>1.0270038481650201</v>
      </c>
      <c r="E4607">
        <v>0.868931399944192</v>
      </c>
      <c r="F4607">
        <v>0.95099720078030303</v>
      </c>
      <c r="G4607">
        <v>0.64011241352547599</v>
      </c>
      <c r="H4607">
        <v>0.72357002341086296</v>
      </c>
      <c r="I4607">
        <v>0.69541282537219795</v>
      </c>
      <c r="J4607">
        <v>0.73633727649882397</v>
      </c>
      <c r="K4607">
        <v>0.63509035418265702</v>
      </c>
      <c r="L4607">
        <v>12817.6527411877</v>
      </c>
      <c r="M4607">
        <v>240.155063266338</v>
      </c>
      <c r="O4607">
        <v>53.368701001764499</v>
      </c>
      <c r="P4607">
        <v>-0.35312633731613702</v>
      </c>
      <c r="Q4607">
        <v>0.68610457274879899</v>
      </c>
      <c r="R4607">
        <v>0.75965389525041205</v>
      </c>
      <c r="S4607" t="s">
        <v>10918</v>
      </c>
      <c r="T4607" t="s">
        <v>12620</v>
      </c>
      <c r="U4607" t="s">
        <v>12620</v>
      </c>
      <c r="V4607" t="s">
        <v>12620</v>
      </c>
      <c r="W4607" t="s">
        <v>17174</v>
      </c>
      <c r="X4607">
        <v>15</v>
      </c>
      <c r="Y4607" t="s">
        <v>23285</v>
      </c>
      <c r="Z4607" t="s">
        <v>29554</v>
      </c>
      <c r="AA4607">
        <v>0.82605430360106669</v>
      </c>
      <c r="AB4607" t="str">
        <f>HYPERLINK("Melting_Curves/meltCurve_Q96C01_FAM136A.pdf", "Melting_Curves/meltCurve_Q96C01_FAM136A.pdf")</f>
        <v>Melting_Curves/meltCurve_Q96C01_FAM136A.pdf</v>
      </c>
    </row>
    <row r="4608" spans="1:28" x14ac:dyDescent="0.25">
      <c r="A4608" t="s">
        <v>4612</v>
      </c>
      <c r="B4608">
        <v>0.99987803227770999</v>
      </c>
      <c r="C4608">
        <v>0.74256167954726005</v>
      </c>
      <c r="D4608">
        <v>1.22389006046088</v>
      </c>
      <c r="E4608">
        <v>0.90869604831275697</v>
      </c>
      <c r="F4608">
        <v>0.87123751933953697</v>
      </c>
      <c r="G4608">
        <v>0.46705736657727298</v>
      </c>
      <c r="H4608">
        <v>0.54661091275170404</v>
      </c>
      <c r="I4608">
        <v>0.26568062692795502</v>
      </c>
      <c r="J4608">
        <v>0.23085485374393599</v>
      </c>
      <c r="K4608">
        <v>0.15193710639955399</v>
      </c>
      <c r="L4608">
        <v>837.12888979511001</v>
      </c>
      <c r="M4608">
        <v>14.420103357273399</v>
      </c>
      <c r="N4608">
        <v>59.074781853918601</v>
      </c>
      <c r="O4608">
        <v>56.970708306608799</v>
      </c>
      <c r="P4608">
        <v>-5.6300525938739999E-2</v>
      </c>
      <c r="Q4608">
        <v>0.110380091429112</v>
      </c>
      <c r="R4608">
        <v>0.85834838118717605</v>
      </c>
      <c r="S4608" t="s">
        <v>10919</v>
      </c>
      <c r="T4608" t="s">
        <v>12620</v>
      </c>
      <c r="U4608" t="s">
        <v>12620</v>
      </c>
      <c r="V4608" t="s">
        <v>12620</v>
      </c>
      <c r="W4608" t="s">
        <v>17175</v>
      </c>
      <c r="X4608">
        <v>24</v>
      </c>
      <c r="Y4608" t="s">
        <v>23286</v>
      </c>
      <c r="Z4608" t="s">
        <v>29555</v>
      </c>
      <c r="AA4608">
        <v>0.65758267977296514</v>
      </c>
      <c r="AB4608" t="str">
        <f>HYPERLINK("Melting_Curves/meltCurve_Q96C19_EFHD2.pdf", "Melting_Curves/meltCurve_Q96C19_EFHD2.pdf")</f>
        <v>Melting_Curves/meltCurve_Q96C19_EFHD2.pdf</v>
      </c>
    </row>
    <row r="4609" spans="1:28" x14ac:dyDescent="0.25">
      <c r="A4609" t="s">
        <v>4613</v>
      </c>
      <c r="B4609">
        <v>0.99987803227770999</v>
      </c>
      <c r="C4609">
        <v>0.69183043857145998</v>
      </c>
      <c r="D4609">
        <v>0.88722707096952802</v>
      </c>
      <c r="E4609">
        <v>0.73710190880166004</v>
      </c>
      <c r="F4609">
        <v>0.43483852875615903</v>
      </c>
      <c r="G4609">
        <v>0.114657667603779</v>
      </c>
      <c r="H4609">
        <v>6.1926101860640202E-2</v>
      </c>
      <c r="I4609">
        <v>5.1308940016504601E-2</v>
      </c>
      <c r="J4609">
        <v>3.6185602236441898E-2</v>
      </c>
      <c r="K4609">
        <v>2.7282793454746601E-2</v>
      </c>
      <c r="L4609">
        <v>845.48907799296705</v>
      </c>
      <c r="M4609">
        <v>16.267799072388598</v>
      </c>
      <c r="N4609">
        <v>51.973186339999401</v>
      </c>
      <c r="O4609">
        <v>51.206838058655698</v>
      </c>
      <c r="P4609">
        <v>-7.9427841823550199E-2</v>
      </c>
      <c r="Q4609">
        <v>0</v>
      </c>
      <c r="R4609">
        <v>0.93466707847999697</v>
      </c>
      <c r="S4609" t="s">
        <v>10920</v>
      </c>
      <c r="T4609" t="s">
        <v>12620</v>
      </c>
      <c r="U4609" t="s">
        <v>12620</v>
      </c>
      <c r="V4609" t="s">
        <v>12620</v>
      </c>
      <c r="W4609" t="s">
        <v>17176</v>
      </c>
      <c r="X4609">
        <v>13</v>
      </c>
      <c r="Y4609" t="s">
        <v>23287</v>
      </c>
      <c r="Z4609" t="s">
        <v>29556</v>
      </c>
      <c r="AA4609">
        <v>0.41880150049460302</v>
      </c>
      <c r="AB4609" t="str">
        <f>HYPERLINK("Melting_Curves/meltCurve_Q96C23_GALM.pdf", "Melting_Curves/meltCurve_Q96C23_GALM.pdf")</f>
        <v>Melting_Curves/meltCurve_Q96C23_GALM.pdf</v>
      </c>
    </row>
    <row r="4610" spans="1:28" x14ac:dyDescent="0.25">
      <c r="A4610" t="s">
        <v>4614</v>
      </c>
      <c r="B4610">
        <v>0.99987803227770999</v>
      </c>
      <c r="C4610">
        <v>0.78747591279526696</v>
      </c>
      <c r="D4610">
        <v>0.71229604025164595</v>
      </c>
      <c r="E4610">
        <v>0.56243043314684504</v>
      </c>
      <c r="F4610">
        <v>0.44938043307231201</v>
      </c>
      <c r="G4610">
        <v>0.31983967442918698</v>
      </c>
      <c r="H4610">
        <v>0.33797521807602499</v>
      </c>
      <c r="I4610">
        <v>0.27732434021904501</v>
      </c>
      <c r="J4610">
        <v>0.29865872968007501</v>
      </c>
      <c r="K4610">
        <v>0.16306857428909399</v>
      </c>
      <c r="L4610">
        <v>492.87619962501998</v>
      </c>
      <c r="M4610">
        <v>10.103634141613799</v>
      </c>
      <c r="N4610">
        <v>51.396848797389197</v>
      </c>
      <c r="O4610">
        <v>46.986754210613398</v>
      </c>
      <c r="P4610">
        <v>-4.2975047256327198E-2</v>
      </c>
      <c r="Q4610">
        <v>0.20095523461071399</v>
      </c>
      <c r="R4610">
        <v>0.96905766790580095</v>
      </c>
      <c r="S4610" t="s">
        <v>10921</v>
      </c>
      <c r="T4610" t="s">
        <v>12620</v>
      </c>
      <c r="U4610" t="s">
        <v>12620</v>
      </c>
      <c r="V4610" t="s">
        <v>12620</v>
      </c>
      <c r="W4610" t="s">
        <v>17177</v>
      </c>
      <c r="X4610">
        <v>1</v>
      </c>
      <c r="Y4610" t="s">
        <v>23288</v>
      </c>
      <c r="Z4610" t="s">
        <v>29557</v>
      </c>
      <c r="AA4610">
        <v>0.47404231362516608</v>
      </c>
      <c r="AB4610" t="str">
        <f>HYPERLINK("Melting_Curves/meltCurve_Q96C24_SYTL4.pdf", "Melting_Curves/meltCurve_Q96C24_SYTL4.pdf")</f>
        <v>Melting_Curves/meltCurve_Q96C24_SYTL4.pdf</v>
      </c>
    </row>
    <row r="4611" spans="1:28" x14ac:dyDescent="0.25">
      <c r="A4611" t="s">
        <v>4615</v>
      </c>
      <c r="B4611">
        <v>0.99987803227770999</v>
      </c>
      <c r="C4611">
        <v>0.98582453105684698</v>
      </c>
      <c r="D4611">
        <v>0.89313986082299202</v>
      </c>
      <c r="E4611">
        <v>0.88262153892297401</v>
      </c>
      <c r="F4611">
        <v>0.77002493459836496</v>
      </c>
      <c r="G4611">
        <v>0.65192483815376701</v>
      </c>
      <c r="H4611">
        <v>0.43478376386927903</v>
      </c>
      <c r="I4611">
        <v>0.452804636553091</v>
      </c>
      <c r="J4611">
        <v>0.26662237651943499</v>
      </c>
      <c r="K4611">
        <v>0.16355575278166001</v>
      </c>
      <c r="L4611">
        <v>561.72516738440595</v>
      </c>
      <c r="M4611">
        <v>9.3183325571450499</v>
      </c>
      <c r="N4611">
        <v>60.281717967478201</v>
      </c>
      <c r="O4611">
        <v>57.700741397355799</v>
      </c>
      <c r="P4611">
        <v>-4.0399238654588297E-2</v>
      </c>
      <c r="Q4611">
        <v>0</v>
      </c>
      <c r="R4611">
        <v>0.981527029259888</v>
      </c>
      <c r="S4611" t="s">
        <v>10922</v>
      </c>
      <c r="T4611" t="s">
        <v>12620</v>
      </c>
      <c r="U4611" t="s">
        <v>12620</v>
      </c>
      <c r="V4611" t="s">
        <v>12620</v>
      </c>
      <c r="W4611" t="s">
        <v>17178</v>
      </c>
      <c r="X4611">
        <v>2</v>
      </c>
      <c r="Y4611" t="s">
        <v>23289</v>
      </c>
      <c r="Z4611" t="s">
        <v>29558</v>
      </c>
      <c r="AA4611">
        <v>0.66651662646792476</v>
      </c>
      <c r="AB4611" t="str">
        <f>HYPERLINK("Melting_Curves/meltCurve_Q96C34_2_RUNDC1.pdf", "Melting_Curves/meltCurve_Q96C34_2_RUNDC1.pdf")</f>
        <v>Melting_Curves/meltCurve_Q96C34_2_RUNDC1.pdf</v>
      </c>
    </row>
    <row r="4612" spans="1:28" x14ac:dyDescent="0.25">
      <c r="A4612" t="s">
        <v>4616</v>
      </c>
      <c r="B4612">
        <v>0.99987803227770999</v>
      </c>
      <c r="C4612">
        <v>0.95053811471920802</v>
      </c>
      <c r="D4612">
        <v>0.81859240721606197</v>
      </c>
      <c r="E4612">
        <v>1.24356024195976</v>
      </c>
      <c r="F4612">
        <v>0.93745880760678402</v>
      </c>
      <c r="G4612">
        <v>0.91992203871398404</v>
      </c>
      <c r="H4612">
        <v>0.75707953903050595</v>
      </c>
      <c r="I4612">
        <v>0.40095158113900398</v>
      </c>
      <c r="J4612">
        <v>0.19132164800911999</v>
      </c>
      <c r="K4612">
        <v>8.5390461048121896E-2</v>
      </c>
      <c r="L4612">
        <v>1783.6090287137999</v>
      </c>
      <c r="M4612">
        <v>28.2731464836729</v>
      </c>
      <c r="N4612">
        <v>63.219791932455102</v>
      </c>
      <c r="O4612">
        <v>62.771858771431603</v>
      </c>
      <c r="P4612">
        <v>-0.10930829465023401</v>
      </c>
      <c r="Q4612">
        <v>2.92658491804411E-2</v>
      </c>
      <c r="R4612">
        <v>0.92192635774189502</v>
      </c>
      <c r="S4612" t="s">
        <v>10923</v>
      </c>
      <c r="T4612" t="s">
        <v>12620</v>
      </c>
      <c r="U4612" t="s">
        <v>12620</v>
      </c>
      <c r="V4612" t="s">
        <v>12620</v>
      </c>
      <c r="W4612" t="s">
        <v>17179</v>
      </c>
      <c r="X4612">
        <v>7</v>
      </c>
      <c r="Y4612" t="s">
        <v>23290</v>
      </c>
      <c r="Z4612" t="s">
        <v>29559</v>
      </c>
      <c r="AA4612">
        <v>0.77903126331630823</v>
      </c>
      <c r="AB4612" t="str">
        <f>HYPERLINK("Melting_Curves/meltCurve_Q96C36_PYCR2.pdf", "Melting_Curves/meltCurve_Q96C36_PYCR2.pdf")</f>
        <v>Melting_Curves/meltCurve_Q96C36_PYCR2.pdf</v>
      </c>
    </row>
    <row r="4613" spans="1:28" x14ac:dyDescent="0.25">
      <c r="A4613" t="s">
        <v>4617</v>
      </c>
      <c r="B4613">
        <v>0.99987803227770999</v>
      </c>
      <c r="C4613">
        <v>0.89016567118434597</v>
      </c>
      <c r="D4613">
        <v>1.09350474102788</v>
      </c>
      <c r="E4613">
        <v>0.87049826612269698</v>
      </c>
      <c r="F4613">
        <v>1.1027611539770601</v>
      </c>
      <c r="G4613">
        <v>0.81183947902180398</v>
      </c>
      <c r="H4613">
        <v>0.83626195448748097</v>
      </c>
      <c r="I4613">
        <v>0.93869209164239698</v>
      </c>
      <c r="J4613">
        <v>0.76499491027010702</v>
      </c>
      <c r="K4613">
        <v>0.66879591508173697</v>
      </c>
      <c r="L4613">
        <v>524.34126648935705</v>
      </c>
      <c r="M4613">
        <v>6.6343549733748803</v>
      </c>
      <c r="Q4613">
        <v>0</v>
      </c>
      <c r="R4613">
        <v>0.52978707681983195</v>
      </c>
      <c r="S4613" t="s">
        <v>10924</v>
      </c>
      <c r="T4613" t="s">
        <v>12620</v>
      </c>
      <c r="U4613" t="s">
        <v>12620</v>
      </c>
      <c r="V4613" t="s">
        <v>12620</v>
      </c>
      <c r="W4613" t="s">
        <v>13081</v>
      </c>
      <c r="X4613">
        <v>8</v>
      </c>
      <c r="Y4613" t="s">
        <v>19330</v>
      </c>
      <c r="Z4613" t="s">
        <v>29560</v>
      </c>
      <c r="AA4613">
        <v>0.91306491829191216</v>
      </c>
      <c r="AB4613" t="str">
        <f>HYPERLINK("Melting_Curves/meltCurve_Q96C57_C12orf43.pdf", "Melting_Curves/meltCurve_Q96C57_C12orf43.pdf")</f>
        <v>Melting_Curves/meltCurve_Q96C57_C12orf43.pdf</v>
      </c>
    </row>
    <row r="4614" spans="1:28" x14ac:dyDescent="0.25">
      <c r="A4614" t="s">
        <v>4618</v>
      </c>
      <c r="B4614">
        <v>0.99987803227770999</v>
      </c>
      <c r="C4614">
        <v>1.0620669630689901</v>
      </c>
      <c r="D4614">
        <v>1.06263558220298</v>
      </c>
      <c r="E4614">
        <v>1.0194657883604299</v>
      </c>
      <c r="F4614">
        <v>0.99376701174308602</v>
      </c>
      <c r="G4614">
        <v>0.75356337710288501</v>
      </c>
      <c r="H4614">
        <v>0.26437368265018102</v>
      </c>
      <c r="I4614">
        <v>0.196784520603248</v>
      </c>
      <c r="J4614">
        <v>0.110324166817046</v>
      </c>
      <c r="K4614">
        <v>7.6568935758088E-2</v>
      </c>
      <c r="L4614">
        <v>2042.1471555027299</v>
      </c>
      <c r="M4614">
        <v>34.864157370212098</v>
      </c>
      <c r="N4614">
        <v>58.964947935663098</v>
      </c>
      <c r="O4614">
        <v>58.382695762287703</v>
      </c>
      <c r="P4614">
        <v>-0.133899894816434</v>
      </c>
      <c r="Q4614">
        <v>0.103100791866771</v>
      </c>
      <c r="R4614">
        <v>0.99285214312247605</v>
      </c>
      <c r="S4614" t="s">
        <v>10925</v>
      </c>
      <c r="T4614" t="s">
        <v>12620</v>
      </c>
      <c r="U4614" t="s">
        <v>12620</v>
      </c>
      <c r="V4614" t="s">
        <v>12620</v>
      </c>
      <c r="W4614" t="s">
        <v>17180</v>
      </c>
      <c r="X4614">
        <v>13</v>
      </c>
      <c r="Y4614" t="s">
        <v>23291</v>
      </c>
      <c r="Z4614" t="s">
        <v>29561</v>
      </c>
      <c r="AA4614">
        <v>0.66294756114725473</v>
      </c>
      <c r="AB4614" t="str">
        <f>HYPERLINK("Melting_Curves/meltCurve_Q96C86_DCPS.pdf", "Melting_Curves/meltCurve_Q96C86_DCPS.pdf")</f>
        <v>Melting_Curves/meltCurve_Q96C86_DCPS.pdf</v>
      </c>
    </row>
    <row r="4615" spans="1:28" x14ac:dyDescent="0.25">
      <c r="A4615" t="s">
        <v>4619</v>
      </c>
      <c r="B4615">
        <v>0.99987803227770999</v>
      </c>
      <c r="C4615">
        <v>0.84840232245245295</v>
      </c>
      <c r="D4615">
        <v>0.936873432968931</v>
      </c>
      <c r="E4615">
        <v>0.87512824982301995</v>
      </c>
      <c r="F4615">
        <v>0.94415745728417799</v>
      </c>
      <c r="G4615">
        <v>0.72142729499074998</v>
      </c>
      <c r="H4615">
        <v>0.78314230292944398</v>
      </c>
      <c r="I4615">
        <v>0.74081360373906702</v>
      </c>
      <c r="J4615">
        <v>0.77625408829827003</v>
      </c>
      <c r="K4615">
        <v>0.64380007059845001</v>
      </c>
      <c r="L4615">
        <v>213.816967497013</v>
      </c>
      <c r="M4615">
        <v>2.2756654907398999</v>
      </c>
      <c r="O4615">
        <v>60.216138712302602</v>
      </c>
      <c r="P4615">
        <v>-1.0065101852761001E-2</v>
      </c>
      <c r="Q4615">
        <v>0</v>
      </c>
      <c r="R4615">
        <v>0.71358619446123095</v>
      </c>
      <c r="S4615" t="s">
        <v>10926</v>
      </c>
      <c r="T4615" t="s">
        <v>12620</v>
      </c>
      <c r="U4615" t="s">
        <v>12620</v>
      </c>
      <c r="V4615" t="s">
        <v>12620</v>
      </c>
      <c r="W4615" t="s">
        <v>17181</v>
      </c>
      <c r="X4615">
        <v>4</v>
      </c>
      <c r="Y4615" t="s">
        <v>23292</v>
      </c>
      <c r="Z4615" t="s">
        <v>29562</v>
      </c>
      <c r="AA4615">
        <v>0.82943889939313886</v>
      </c>
      <c r="AB4615" t="str">
        <f>HYPERLINK("Melting_Curves/meltCurve_Q96C90_PPP1R14B.pdf", "Melting_Curves/meltCurve_Q96C90_PPP1R14B.pdf")</f>
        <v>Melting_Curves/meltCurve_Q96C90_PPP1R14B.pdf</v>
      </c>
    </row>
    <row r="4616" spans="1:28" x14ac:dyDescent="0.25">
      <c r="A4616" t="s">
        <v>4620</v>
      </c>
      <c r="B4616">
        <v>0.99987803227770999</v>
      </c>
      <c r="C4616">
        <v>0.80778386411955305</v>
      </c>
      <c r="D4616">
        <v>0.95067237007452199</v>
      </c>
      <c r="E4616">
        <v>0.78001527613571897</v>
      </c>
      <c r="F4616">
        <v>0.94190681294411704</v>
      </c>
      <c r="G4616">
        <v>0.70536319808699499</v>
      </c>
      <c r="H4616">
        <v>0.68268412537688306</v>
      </c>
      <c r="I4616">
        <v>0.65513392174516605</v>
      </c>
      <c r="J4616">
        <v>0.66475166920436402</v>
      </c>
      <c r="K4616">
        <v>0.54064618218924099</v>
      </c>
      <c r="L4616">
        <v>248.364026201043</v>
      </c>
      <c r="M4616">
        <v>3.23297504156454</v>
      </c>
      <c r="O4616">
        <v>58.389099966672497</v>
      </c>
      <c r="P4616">
        <v>-1.41859669837472E-2</v>
      </c>
      <c r="Q4616">
        <v>0</v>
      </c>
      <c r="R4616">
        <v>0.76478922522729398</v>
      </c>
      <c r="S4616" t="s">
        <v>10927</v>
      </c>
      <c r="T4616" t="s">
        <v>12620</v>
      </c>
      <c r="U4616" t="s">
        <v>12620</v>
      </c>
      <c r="V4616" t="s">
        <v>12620</v>
      </c>
      <c r="W4616" t="s">
        <v>17182</v>
      </c>
      <c r="X4616">
        <v>7</v>
      </c>
      <c r="Y4616" t="s">
        <v>23293</v>
      </c>
      <c r="Z4616" t="s">
        <v>29563</v>
      </c>
      <c r="AA4616">
        <v>0.77712582307452871</v>
      </c>
      <c r="AB4616" t="str">
        <f>HYPERLINK("Melting_Curves/meltCurve_Q96CB8_INTS12.pdf", "Melting_Curves/meltCurve_Q96CB8_INTS12.pdf")</f>
        <v>Melting_Curves/meltCurve_Q96CB8_INTS12.pdf</v>
      </c>
    </row>
    <row r="4617" spans="1:28" x14ac:dyDescent="0.25">
      <c r="A4617" t="s">
        <v>4621</v>
      </c>
      <c r="B4617">
        <v>0.99987803227770999</v>
      </c>
      <c r="C4617">
        <v>0.93372185272670705</v>
      </c>
      <c r="D4617">
        <v>0.937013435208922</v>
      </c>
      <c r="E4617">
        <v>0.777703256105862</v>
      </c>
      <c r="F4617">
        <v>0.63513363428964298</v>
      </c>
      <c r="G4617">
        <v>0.22059870839846801</v>
      </c>
      <c r="H4617">
        <v>6.9648293779781906E-2</v>
      </c>
      <c r="I4617">
        <v>5.5399131303693602E-2</v>
      </c>
      <c r="J4617">
        <v>3.5860101725021E-2</v>
      </c>
      <c r="K4617">
        <v>2.6613696120990699E-2</v>
      </c>
      <c r="L4617">
        <v>1046.32871651301</v>
      </c>
      <c r="M4617">
        <v>19.447113717071002</v>
      </c>
      <c r="N4617">
        <v>53.824465121044298</v>
      </c>
      <c r="O4617">
        <v>53.244571400704601</v>
      </c>
      <c r="P4617">
        <v>-9.0974098138184106E-2</v>
      </c>
      <c r="Q4617">
        <v>3.71833750762779E-3</v>
      </c>
      <c r="R4617">
        <v>0.99292512220868401</v>
      </c>
      <c r="S4617" t="s">
        <v>10928</v>
      </c>
      <c r="T4617" t="s">
        <v>12620</v>
      </c>
      <c r="U4617" t="s">
        <v>12620</v>
      </c>
      <c r="V4617" t="s">
        <v>12620</v>
      </c>
      <c r="W4617" t="s">
        <v>17183</v>
      </c>
      <c r="X4617">
        <v>3</v>
      </c>
      <c r="Y4617" t="s">
        <v>23294</v>
      </c>
      <c r="Z4617" t="s">
        <v>29564</v>
      </c>
      <c r="AA4617">
        <v>0.47634357302029001</v>
      </c>
      <c r="AB4617" t="str">
        <f>HYPERLINK("Melting_Curves/meltCurve_Q96CD0_FBXL8.pdf", "Melting_Curves/meltCurve_Q96CD0_FBXL8.pdf")</f>
        <v>Melting_Curves/meltCurve_Q96CD0_FBXL8.pdf</v>
      </c>
    </row>
    <row r="4618" spans="1:28" x14ac:dyDescent="0.25">
      <c r="A4618" t="s">
        <v>4622</v>
      </c>
      <c r="B4618">
        <v>0.99987803227770999</v>
      </c>
      <c r="C4618">
        <v>1.03882317436444</v>
      </c>
      <c r="D4618">
        <v>1.0743494746031199</v>
      </c>
      <c r="E4618">
        <v>0.95340979985724394</v>
      </c>
      <c r="F4618">
        <v>0.92044162620991699</v>
      </c>
      <c r="G4618">
        <v>0.83757375003527301</v>
      </c>
      <c r="H4618">
        <v>0.87909045255584595</v>
      </c>
      <c r="I4618">
        <v>0.88158724651250997</v>
      </c>
      <c r="J4618">
        <v>0.73235285482321</v>
      </c>
      <c r="K4618">
        <v>0.53866255572667698</v>
      </c>
      <c r="L4618">
        <v>716.36105728958205</v>
      </c>
      <c r="M4618">
        <v>9.8370234336467792</v>
      </c>
      <c r="Q4618">
        <v>0</v>
      </c>
      <c r="R4618">
        <v>0.84774116892824503</v>
      </c>
      <c r="S4618" t="s">
        <v>10929</v>
      </c>
      <c r="T4618" t="s">
        <v>12620</v>
      </c>
      <c r="U4618" t="s">
        <v>12620</v>
      </c>
      <c r="V4618" t="s">
        <v>12620</v>
      </c>
      <c r="W4618" t="s">
        <v>17184</v>
      </c>
      <c r="X4618">
        <v>6</v>
      </c>
      <c r="Y4618" t="s">
        <v>23295</v>
      </c>
      <c r="Z4618" t="s">
        <v>29565</v>
      </c>
      <c r="AA4618">
        <v>0.90287110023926731</v>
      </c>
      <c r="AB4618" t="str">
        <f>HYPERLINK("Melting_Curves/meltCurve_Q96CD2_PPCDC.pdf", "Melting_Curves/meltCurve_Q96CD2_PPCDC.pdf")</f>
        <v>Melting_Curves/meltCurve_Q96CD2_PPCDC.pdf</v>
      </c>
    </row>
    <row r="4619" spans="1:28" x14ac:dyDescent="0.25">
      <c r="A4619" t="s">
        <v>4623</v>
      </c>
      <c r="B4619">
        <v>0.99987803227770999</v>
      </c>
      <c r="C4619">
        <v>0.96812798101716602</v>
      </c>
      <c r="D4619">
        <v>1.09300022197352</v>
      </c>
      <c r="E4619">
        <v>0.92523097535878596</v>
      </c>
      <c r="F4619">
        <v>1.07337823347823</v>
      </c>
      <c r="G4619">
        <v>0.808779194833676</v>
      </c>
      <c r="H4619">
        <v>0.75156547078409397</v>
      </c>
      <c r="I4619">
        <v>0.75501914478778198</v>
      </c>
      <c r="J4619">
        <v>0.643268447948389</v>
      </c>
      <c r="K4619">
        <v>0.56457867845551502</v>
      </c>
      <c r="L4619">
        <v>845.6655464639</v>
      </c>
      <c r="M4619">
        <v>13.6484590538359</v>
      </c>
      <c r="O4619">
        <v>60.675761338997198</v>
      </c>
      <c r="P4619">
        <v>-2.7916694019457899E-2</v>
      </c>
      <c r="Q4619">
        <v>0.50364522937961997</v>
      </c>
      <c r="R4619">
        <v>0.87169377272716497</v>
      </c>
      <c r="S4619" t="s">
        <v>10930</v>
      </c>
      <c r="T4619" t="s">
        <v>12620</v>
      </c>
      <c r="U4619" t="s">
        <v>12620</v>
      </c>
      <c r="V4619" t="s">
        <v>12620</v>
      </c>
      <c r="W4619" t="s">
        <v>17185</v>
      </c>
      <c r="X4619">
        <v>7</v>
      </c>
      <c r="Y4619" t="s">
        <v>23296</v>
      </c>
      <c r="Z4619" t="s">
        <v>29566</v>
      </c>
      <c r="AA4619">
        <v>0.86415518066897978</v>
      </c>
      <c r="AB4619" t="str">
        <f>HYPERLINK("Melting_Curves/meltCurve_Q96CF2_CHMP4C.pdf", "Melting_Curves/meltCurve_Q96CF2_CHMP4C.pdf")</f>
        <v>Melting_Curves/meltCurve_Q96CF2_CHMP4C.pdf</v>
      </c>
    </row>
    <row r="4620" spans="1:28" x14ac:dyDescent="0.25">
      <c r="A4620" t="s">
        <v>4624</v>
      </c>
      <c r="B4620">
        <v>0.99987803227770999</v>
      </c>
      <c r="C4620">
        <v>0.84542780057810596</v>
      </c>
      <c r="D4620">
        <v>0.90767232240843898</v>
      </c>
      <c r="E4620">
        <v>0.72838475789943002</v>
      </c>
      <c r="F4620">
        <v>0.80846182594459504</v>
      </c>
      <c r="G4620">
        <v>0.56153688447220795</v>
      </c>
      <c r="H4620">
        <v>0.31455017977920102</v>
      </c>
      <c r="I4620">
        <v>0.142479373263244</v>
      </c>
      <c r="J4620">
        <v>0.110174947350791</v>
      </c>
      <c r="K4620">
        <v>6.9560194158356597E-2</v>
      </c>
      <c r="L4620">
        <v>697.31716308376997</v>
      </c>
      <c r="M4620">
        <v>12.2363331295156</v>
      </c>
      <c r="N4620">
        <v>56.9874262876709</v>
      </c>
      <c r="O4620">
        <v>55.529478538756898</v>
      </c>
      <c r="P4620">
        <v>-5.5101657578545599E-2</v>
      </c>
      <c r="Q4620">
        <v>0</v>
      </c>
      <c r="R4620">
        <v>0.95466563211224997</v>
      </c>
      <c r="S4620" t="s">
        <v>10931</v>
      </c>
      <c r="T4620" t="s">
        <v>12620</v>
      </c>
      <c r="U4620" t="s">
        <v>12620</v>
      </c>
      <c r="V4620" t="s">
        <v>12620</v>
      </c>
      <c r="W4620" t="s">
        <v>17186</v>
      </c>
      <c r="X4620">
        <v>2</v>
      </c>
      <c r="Y4620" t="s">
        <v>23297</v>
      </c>
      <c r="Z4620" t="s">
        <v>29567</v>
      </c>
      <c r="AA4620">
        <v>0.58312712094038699</v>
      </c>
      <c r="AB4620" t="str">
        <f>HYPERLINK("Melting_Curves/meltCurve_Q96CG3_TIFA.pdf", "Melting_Curves/meltCurve_Q96CG3_TIFA.pdf")</f>
        <v>Melting_Curves/meltCurve_Q96CG3_TIFA.pdf</v>
      </c>
    </row>
    <row r="4621" spans="1:28" x14ac:dyDescent="0.25">
      <c r="A4621" t="s">
        <v>4625</v>
      </c>
      <c r="B4621">
        <v>0.99987803227770999</v>
      </c>
      <c r="C4621">
        <v>0.95410229627034904</v>
      </c>
      <c r="D4621">
        <v>0.82628930861993199</v>
      </c>
      <c r="E4621">
        <v>0.75357859809170302</v>
      </c>
      <c r="F4621">
        <v>0.60133782350958698</v>
      </c>
      <c r="G4621">
        <v>0.33500896333352198</v>
      </c>
      <c r="H4621">
        <v>0.30622057120000801</v>
      </c>
      <c r="I4621">
        <v>0.29394696936350301</v>
      </c>
      <c r="J4621">
        <v>0.281731786846041</v>
      </c>
      <c r="K4621">
        <v>0.20587529846178901</v>
      </c>
      <c r="L4621">
        <v>681.48612622187795</v>
      </c>
      <c r="M4621">
        <v>13.0447948482658</v>
      </c>
      <c r="N4621">
        <v>54.428274362586997</v>
      </c>
      <c r="O4621">
        <v>51.0600158781589</v>
      </c>
      <c r="P4621">
        <v>-5.0854316270981199E-2</v>
      </c>
      <c r="Q4621">
        <v>0.203921665181341</v>
      </c>
      <c r="R4621">
        <v>0.98387296519478495</v>
      </c>
      <c r="S4621" t="s">
        <v>10932</v>
      </c>
      <c r="T4621" t="s">
        <v>12620</v>
      </c>
      <c r="U4621" t="s">
        <v>12620</v>
      </c>
      <c r="V4621" t="s">
        <v>12620</v>
      </c>
      <c r="W4621" t="s">
        <v>17187</v>
      </c>
      <c r="X4621">
        <v>4</v>
      </c>
      <c r="Y4621" t="s">
        <v>23298</v>
      </c>
      <c r="Z4621" t="s">
        <v>29568</v>
      </c>
      <c r="AA4621">
        <v>0.55028683723768546</v>
      </c>
      <c r="AB4621" t="str">
        <f>HYPERLINK("Melting_Curves/meltCurve_Q96CN5_LRRC45.pdf", "Melting_Curves/meltCurve_Q96CN5_LRRC45.pdf")</f>
        <v>Melting_Curves/meltCurve_Q96CN5_LRRC45.pdf</v>
      </c>
    </row>
    <row r="4622" spans="1:28" x14ac:dyDescent="0.25">
      <c r="A4622" t="s">
        <v>4626</v>
      </c>
      <c r="B4622">
        <v>0.99987803227770999</v>
      </c>
      <c r="C4622">
        <v>1.25396662687945</v>
      </c>
      <c r="D4622">
        <v>1.102755219716</v>
      </c>
      <c r="E4622">
        <v>1.2403317033922201</v>
      </c>
      <c r="F4622">
        <v>1.0579300775259</v>
      </c>
      <c r="G4622">
        <v>1.0608460723578199</v>
      </c>
      <c r="H4622">
        <v>0.232783186758316</v>
      </c>
      <c r="I4622">
        <v>0.118845203620166</v>
      </c>
      <c r="J4622">
        <v>6.4476020757494798E-2</v>
      </c>
      <c r="K4622">
        <v>5.5012075467586102E-2</v>
      </c>
      <c r="L4622">
        <v>10630.1888620881</v>
      </c>
      <c r="M4622">
        <v>175.875138781457</v>
      </c>
      <c r="N4622">
        <v>60.501182656155798</v>
      </c>
      <c r="O4622">
        <v>60.433865654949997</v>
      </c>
      <c r="P4622">
        <v>-0.669770379865263</v>
      </c>
      <c r="Q4622">
        <v>7.9419337858805797E-2</v>
      </c>
      <c r="R4622">
        <v>0.94268251683445403</v>
      </c>
      <c r="S4622" t="s">
        <v>10933</v>
      </c>
      <c r="T4622" t="s">
        <v>12620</v>
      </c>
      <c r="U4622" t="s">
        <v>12620</v>
      </c>
      <c r="V4622" t="s">
        <v>12620</v>
      </c>
      <c r="W4622" t="s">
        <v>17188</v>
      </c>
      <c r="X4622">
        <v>8</v>
      </c>
      <c r="Y4622" t="s">
        <v>23299</v>
      </c>
      <c r="Z4622" t="s">
        <v>29569</v>
      </c>
      <c r="AA4622">
        <v>0.70689053388917056</v>
      </c>
      <c r="AB4622" t="str">
        <f>HYPERLINK("Melting_Curves/meltCurve_Q96CN7_ISOC1.pdf", "Melting_Curves/meltCurve_Q96CN7_ISOC1.pdf")</f>
        <v>Melting_Curves/meltCurve_Q96CN7_ISOC1.pdf</v>
      </c>
    </row>
    <row r="4623" spans="1:28" x14ac:dyDescent="0.25">
      <c r="A4623" t="s">
        <v>4627</v>
      </c>
      <c r="B4623">
        <v>0.99987803227770999</v>
      </c>
      <c r="C4623">
        <v>1.0530991474520099</v>
      </c>
      <c r="D4623">
        <v>0.95611284496583304</v>
      </c>
      <c r="E4623">
        <v>0.62934398244927403</v>
      </c>
      <c r="F4623">
        <v>0.400513468877431</v>
      </c>
      <c r="G4623">
        <v>0.308589299660051</v>
      </c>
      <c r="H4623">
        <v>0.26547890979327898</v>
      </c>
      <c r="I4623">
        <v>0.231447747400503</v>
      </c>
      <c r="J4623">
        <v>0.221289992517643</v>
      </c>
      <c r="K4623">
        <v>0.162960810263614</v>
      </c>
      <c r="L4623">
        <v>1237.3863693906901</v>
      </c>
      <c r="M4623">
        <v>24.5542701729856</v>
      </c>
      <c r="N4623">
        <v>51.642769618780797</v>
      </c>
      <c r="O4623">
        <v>50.0632536461139</v>
      </c>
      <c r="P4623">
        <v>-9.5166270530184699E-2</v>
      </c>
      <c r="Q4623">
        <v>0.22388014617169399</v>
      </c>
      <c r="R4623">
        <v>0.98983431396337096</v>
      </c>
      <c r="S4623" t="s">
        <v>10934</v>
      </c>
      <c r="T4623" t="s">
        <v>12620</v>
      </c>
      <c r="U4623" t="s">
        <v>12620</v>
      </c>
      <c r="V4623" t="s">
        <v>12620</v>
      </c>
      <c r="W4623" t="s">
        <v>17189</v>
      </c>
      <c r="X4623">
        <v>13</v>
      </c>
      <c r="Y4623" t="s">
        <v>23300</v>
      </c>
      <c r="Z4623" t="s">
        <v>29570</v>
      </c>
      <c r="AA4623">
        <v>0.49999765996684198</v>
      </c>
      <c r="AB4623" t="str">
        <f>HYPERLINK("Melting_Curves/meltCurve_Q96CN9_GCC1.pdf", "Melting_Curves/meltCurve_Q96CN9_GCC1.pdf")</f>
        <v>Melting_Curves/meltCurve_Q96CN9_GCC1.pdf</v>
      </c>
    </row>
    <row r="4624" spans="1:28" x14ac:dyDescent="0.25">
      <c r="A4624" t="s">
        <v>4628</v>
      </c>
      <c r="B4624">
        <v>0.99987803227770999</v>
      </c>
      <c r="C4624">
        <v>0.75082544910515103</v>
      </c>
      <c r="D4624">
        <v>1.0038377310400499</v>
      </c>
      <c r="E4624">
        <v>0.78688845804055296</v>
      </c>
      <c r="F4624">
        <v>1.1049201565918001</v>
      </c>
      <c r="G4624">
        <v>0.87445375337978204</v>
      </c>
      <c r="H4624">
        <v>0.92009215652378396</v>
      </c>
      <c r="I4624">
        <v>0.90358243234529101</v>
      </c>
      <c r="J4624">
        <v>0.89032565480119796</v>
      </c>
      <c r="K4624">
        <v>0.81260131022719695</v>
      </c>
      <c r="L4624">
        <v>70.418914514910796</v>
      </c>
      <c r="M4624">
        <v>1.0000000000000001E-5</v>
      </c>
      <c r="Q4624">
        <v>0.55488964058592705</v>
      </c>
      <c r="R4624">
        <v>2.46845907442622E-2</v>
      </c>
      <c r="S4624" t="s">
        <v>10935</v>
      </c>
      <c r="T4624" t="s">
        <v>12620</v>
      </c>
      <c r="U4624" t="s">
        <v>12620</v>
      </c>
      <c r="V4624" t="s">
        <v>12620</v>
      </c>
      <c r="W4624" t="s">
        <v>17190</v>
      </c>
      <c r="X4624">
        <v>8</v>
      </c>
      <c r="Y4624" t="s">
        <v>23301</v>
      </c>
      <c r="Z4624" t="s">
        <v>29571</v>
      </c>
      <c r="AA4624">
        <v>0.90471833454274453</v>
      </c>
      <c r="AB4624" t="str">
        <f>HYPERLINK("Melting_Curves/meltCurve_Q96CP2_FLYWCH2.pdf", "Melting_Curves/meltCurve_Q96CP2_FLYWCH2.pdf")</f>
        <v>Melting_Curves/meltCurve_Q96CP2_FLYWCH2.pdf</v>
      </c>
    </row>
    <row r="4625" spans="1:28" x14ac:dyDescent="0.25">
      <c r="A4625" t="s">
        <v>4629</v>
      </c>
      <c r="B4625">
        <v>0.99987803227770999</v>
      </c>
      <c r="C4625">
        <v>1.0497103777010299</v>
      </c>
      <c r="D4625">
        <v>0.97672396256327099</v>
      </c>
      <c r="E4625">
        <v>0.988428644433203</v>
      </c>
      <c r="F4625">
        <v>0.84361417853591103</v>
      </c>
      <c r="G4625">
        <v>0.59716101805387001</v>
      </c>
      <c r="H4625">
        <v>0.59458363103923095</v>
      </c>
      <c r="I4625">
        <v>0.32637866993266401</v>
      </c>
      <c r="J4625">
        <v>0.21029918418643501</v>
      </c>
      <c r="K4625">
        <v>0.176620910716737</v>
      </c>
      <c r="L4625">
        <v>736.16672260127496</v>
      </c>
      <c r="M4625">
        <v>12.1222806534842</v>
      </c>
      <c r="N4625">
        <v>60.728401227251702</v>
      </c>
      <c r="O4625">
        <v>59.146643009869102</v>
      </c>
      <c r="P4625">
        <v>-5.1250120723027599E-2</v>
      </c>
      <c r="Q4625">
        <v>0</v>
      </c>
      <c r="R4625">
        <v>0.97332732414080403</v>
      </c>
      <c r="S4625" t="s">
        <v>10936</v>
      </c>
      <c r="T4625" t="s">
        <v>12620</v>
      </c>
      <c r="U4625" t="s">
        <v>12620</v>
      </c>
      <c r="V4625" t="s">
        <v>12620</v>
      </c>
      <c r="W4625" t="s">
        <v>17191</v>
      </c>
      <c r="X4625">
        <v>5</v>
      </c>
      <c r="Y4625" t="s">
        <v>23302</v>
      </c>
      <c r="Z4625" t="s">
        <v>29572</v>
      </c>
      <c r="AA4625">
        <v>0.68910292992032396</v>
      </c>
      <c r="AB4625" t="str">
        <f>HYPERLINK("Melting_Curves/meltCurve_Q96CP6_2_GRAMD1A.pdf", "Melting_Curves/meltCurve_Q96CP6_2_GRAMD1A.pdf")</f>
        <v>Melting_Curves/meltCurve_Q96CP6_2_GRAMD1A.pdf</v>
      </c>
    </row>
    <row r="4626" spans="1:28" x14ac:dyDescent="0.25">
      <c r="A4626" t="s">
        <v>4630</v>
      </c>
      <c r="B4626">
        <v>0.99987803227770999</v>
      </c>
      <c r="C4626">
        <v>0.95662050159801704</v>
      </c>
      <c r="D4626">
        <v>0.92259171207492496</v>
      </c>
      <c r="E4626">
        <v>0.87158078248189497</v>
      </c>
      <c r="F4626">
        <v>0.68820130880639296</v>
      </c>
      <c r="G4626">
        <v>0.48955905968690999</v>
      </c>
      <c r="H4626">
        <v>0.41517500950184899</v>
      </c>
      <c r="I4626">
        <v>0.40833998863908</v>
      </c>
      <c r="J4626">
        <v>0.25895325588652202</v>
      </c>
      <c r="K4626">
        <v>0.19681374745726599</v>
      </c>
      <c r="L4626">
        <v>581.76880538112198</v>
      </c>
      <c r="M4626">
        <v>10.2815056839401</v>
      </c>
      <c r="N4626">
        <v>58.205316843616799</v>
      </c>
      <c r="O4626">
        <v>54.568818779578301</v>
      </c>
      <c r="P4626">
        <v>-4.1256319416830799E-2</v>
      </c>
      <c r="Q4626">
        <v>0.124515611560172</v>
      </c>
      <c r="R4626">
        <v>0.98275454779515103</v>
      </c>
      <c r="S4626" t="s">
        <v>10937</v>
      </c>
      <c r="T4626" t="s">
        <v>12620</v>
      </c>
      <c r="U4626" t="s">
        <v>12620</v>
      </c>
      <c r="V4626" t="s">
        <v>12620</v>
      </c>
      <c r="W4626" t="s">
        <v>17192</v>
      </c>
      <c r="X4626">
        <v>4</v>
      </c>
      <c r="Y4626" t="s">
        <v>23303</v>
      </c>
      <c r="Z4626" t="s">
        <v>29573</v>
      </c>
      <c r="AA4626">
        <v>0.62444763678168491</v>
      </c>
      <c r="AB4626" t="str">
        <f>HYPERLINK("Melting_Curves/meltCurve_Q96CS2_HAUS1.pdf", "Melting_Curves/meltCurve_Q96CS2_HAUS1.pdf")</f>
        <v>Melting_Curves/meltCurve_Q96CS2_HAUS1.pdf</v>
      </c>
    </row>
    <row r="4627" spans="1:28" x14ac:dyDescent="0.25">
      <c r="A4627" t="s">
        <v>4631</v>
      </c>
      <c r="B4627">
        <v>0.99987803227770999</v>
      </c>
      <c r="C4627">
        <v>0.95170604812263604</v>
      </c>
      <c r="D4627">
        <v>0.93285757894087495</v>
      </c>
      <c r="E4627">
        <v>0.93016894458653498</v>
      </c>
      <c r="F4627">
        <v>0.90080102904080095</v>
      </c>
      <c r="G4627">
        <v>0.81230109017849605</v>
      </c>
      <c r="H4627">
        <v>0.50519160269954599</v>
      </c>
      <c r="I4627">
        <v>0.50604999104859005</v>
      </c>
      <c r="J4627">
        <v>0.36377003601253699</v>
      </c>
      <c r="K4627">
        <v>0.34497346481284002</v>
      </c>
      <c r="L4627">
        <v>867.55278570871099</v>
      </c>
      <c r="M4627">
        <v>14.504459912348</v>
      </c>
      <c r="N4627">
        <v>62.895562806973402</v>
      </c>
      <c r="O4627">
        <v>58.7103740850824</v>
      </c>
      <c r="P4627">
        <v>-4.6055462014926302E-2</v>
      </c>
      <c r="Q4627">
        <v>0.25440274740900198</v>
      </c>
      <c r="R4627">
        <v>0.97296899738500398</v>
      </c>
      <c r="S4627" t="s">
        <v>10938</v>
      </c>
      <c r="T4627" t="s">
        <v>12620</v>
      </c>
      <c r="U4627" t="s">
        <v>12620</v>
      </c>
      <c r="V4627" t="s">
        <v>12620</v>
      </c>
      <c r="W4627" t="s">
        <v>17193</v>
      </c>
      <c r="X4627">
        <v>3</v>
      </c>
      <c r="Y4627" t="s">
        <v>23304</v>
      </c>
      <c r="Z4627" t="s">
        <v>29574</v>
      </c>
      <c r="AA4627">
        <v>0.75217749326682914</v>
      </c>
      <c r="AB4627" t="str">
        <f>HYPERLINK("Melting_Curves/meltCurve_Q96CS3_FAF2.pdf", "Melting_Curves/meltCurve_Q96CS3_FAF2.pdf")</f>
        <v>Melting_Curves/meltCurve_Q96CS3_FAF2.pdf</v>
      </c>
    </row>
    <row r="4628" spans="1:28" x14ac:dyDescent="0.25">
      <c r="A4628" t="s">
        <v>4632</v>
      </c>
      <c r="B4628">
        <v>0.99987803227770999</v>
      </c>
      <c r="C4628">
        <v>0.90709643786027805</v>
      </c>
      <c r="D4628">
        <v>1.00804602567158</v>
      </c>
      <c r="E4628">
        <v>0.93316181894749595</v>
      </c>
      <c r="F4628">
        <v>0.99929238866676096</v>
      </c>
      <c r="G4628">
        <v>0.80221861549779805</v>
      </c>
      <c r="H4628">
        <v>0.90624438583169697</v>
      </c>
      <c r="I4628">
        <v>0.87748550712623397</v>
      </c>
      <c r="J4628">
        <v>0.96535231881960903</v>
      </c>
      <c r="K4628">
        <v>0.75033798610337099</v>
      </c>
      <c r="L4628">
        <v>222.43298476793399</v>
      </c>
      <c r="M4628">
        <v>1.56679742481257</v>
      </c>
      <c r="Q4628">
        <v>0</v>
      </c>
      <c r="R4628">
        <v>0.35378057313928801</v>
      </c>
      <c r="S4628" t="s">
        <v>10939</v>
      </c>
      <c r="T4628" t="s">
        <v>12620</v>
      </c>
      <c r="U4628" t="s">
        <v>12620</v>
      </c>
      <c r="V4628" t="s">
        <v>12620</v>
      </c>
      <c r="W4628" t="s">
        <v>17194</v>
      </c>
      <c r="X4628">
        <v>16</v>
      </c>
      <c r="Y4628" t="s">
        <v>23305</v>
      </c>
      <c r="Z4628" t="s">
        <v>29575</v>
      </c>
      <c r="AA4628">
        <v>0.9175440302406479</v>
      </c>
      <c r="AB4628" t="str">
        <f>HYPERLINK("Melting_Curves/meltCurve_Q96CT7_CCDC124.pdf", "Melting_Curves/meltCurve_Q96CT7_CCDC124.pdf")</f>
        <v>Melting_Curves/meltCurve_Q96CT7_CCDC124.pdf</v>
      </c>
    </row>
    <row r="4629" spans="1:28" x14ac:dyDescent="0.25">
      <c r="A4629" t="s">
        <v>4633</v>
      </c>
      <c r="B4629">
        <v>0.99987803227770999</v>
      </c>
      <c r="C4629">
        <v>0.96935723203304702</v>
      </c>
      <c r="D4629">
        <v>0.99454918605159104</v>
      </c>
      <c r="E4629">
        <v>0.94087379770924495</v>
      </c>
      <c r="F4629">
        <v>0.95160923446918699</v>
      </c>
      <c r="G4629">
        <v>0.77583106395668999</v>
      </c>
      <c r="H4629">
        <v>0.87313936017184202</v>
      </c>
      <c r="I4629">
        <v>0.80817065610560701</v>
      </c>
      <c r="J4629">
        <v>0.87667875701220899</v>
      </c>
      <c r="K4629">
        <v>0.69407870300312402</v>
      </c>
      <c r="L4629">
        <v>332.76280782400102</v>
      </c>
      <c r="M4629">
        <v>4.5675410200315101</v>
      </c>
      <c r="O4629">
        <v>62.165857793975697</v>
      </c>
      <c r="P4629">
        <v>-9.9673829378627704E-3</v>
      </c>
      <c r="Q4629">
        <v>0.46184022730902802</v>
      </c>
      <c r="R4629">
        <v>0.71454533843093304</v>
      </c>
      <c r="S4629" t="s">
        <v>10940</v>
      </c>
      <c r="T4629" t="s">
        <v>12620</v>
      </c>
      <c r="U4629" t="s">
        <v>12620</v>
      </c>
      <c r="V4629" t="s">
        <v>12620</v>
      </c>
      <c r="W4629" t="s">
        <v>17195</v>
      </c>
      <c r="X4629">
        <v>27</v>
      </c>
      <c r="Y4629" t="s">
        <v>23306</v>
      </c>
      <c r="Z4629" t="s">
        <v>29576</v>
      </c>
      <c r="AA4629">
        <v>0.89030663246223074</v>
      </c>
      <c r="AB4629" t="str">
        <f>HYPERLINK("Melting_Curves/meltCurve_Q96CV9_OPTN.pdf", "Melting_Curves/meltCurve_Q96CV9_OPTN.pdf")</f>
        <v>Melting_Curves/meltCurve_Q96CV9_OPTN.pdf</v>
      </c>
    </row>
    <row r="4630" spans="1:28" x14ac:dyDescent="0.25">
      <c r="A4630" t="s">
        <v>4634</v>
      </c>
      <c r="B4630">
        <v>0.99987803227770999</v>
      </c>
      <c r="C4630">
        <v>1.10814648481661</v>
      </c>
      <c r="D4630">
        <v>0.92162029641443299</v>
      </c>
      <c r="E4630">
        <v>1.2148998014402801</v>
      </c>
      <c r="F4630">
        <v>0.65999578379507495</v>
      </c>
      <c r="G4630">
        <v>0.30256289105121098</v>
      </c>
      <c r="H4630">
        <v>0.20772754063236901</v>
      </c>
      <c r="I4630">
        <v>0.108521886409966</v>
      </c>
      <c r="J4630">
        <v>7.5044166093706802E-2</v>
      </c>
      <c r="K4630">
        <v>5.4200363020192703E-2</v>
      </c>
      <c r="L4630">
        <v>1903.98624835084</v>
      </c>
      <c r="M4630">
        <v>34.991046950538603</v>
      </c>
      <c r="N4630">
        <v>54.800965246169703</v>
      </c>
      <c r="O4630">
        <v>54.236720365992298</v>
      </c>
      <c r="P4630">
        <v>-0.143614737521889</v>
      </c>
      <c r="Q4630">
        <v>0.10958196069113101</v>
      </c>
      <c r="R4630">
        <v>0.94757747874855802</v>
      </c>
      <c r="S4630" t="s">
        <v>10941</v>
      </c>
      <c r="T4630" t="s">
        <v>12620</v>
      </c>
      <c r="U4630" t="s">
        <v>12620</v>
      </c>
      <c r="V4630" t="s">
        <v>12620</v>
      </c>
      <c r="W4630" t="s">
        <v>17196</v>
      </c>
      <c r="X4630">
        <v>17</v>
      </c>
      <c r="Y4630" t="s">
        <v>23307</v>
      </c>
      <c r="Z4630" t="s">
        <v>29577</v>
      </c>
      <c r="AA4630">
        <v>0.54173980316972137</v>
      </c>
      <c r="AB4630" t="str">
        <f>HYPERLINK("Melting_Curves/meltCurve_Q96CW1_2_AP2M1.pdf", "Melting_Curves/meltCurve_Q96CW1_2_AP2M1.pdf")</f>
        <v>Melting_Curves/meltCurve_Q96CW1_2_AP2M1.pdf</v>
      </c>
    </row>
    <row r="4631" spans="1:28" x14ac:dyDescent="0.25">
      <c r="A4631" t="s">
        <v>4635</v>
      </c>
      <c r="B4631">
        <v>0.99987803227770999</v>
      </c>
      <c r="C4631">
        <v>0.97463701323542995</v>
      </c>
      <c r="D4631">
        <v>0.73859621997267</v>
      </c>
      <c r="E4631">
        <v>0.86513039833370597</v>
      </c>
      <c r="F4631">
        <v>0.720262694770616</v>
      </c>
      <c r="G4631">
        <v>0.505387380783484</v>
      </c>
      <c r="H4631">
        <v>0.30994385383033901</v>
      </c>
      <c r="I4631">
        <v>0.20165911339842901</v>
      </c>
      <c r="J4631">
        <v>0.161920184748754</v>
      </c>
      <c r="K4631">
        <v>0.112619133141272</v>
      </c>
      <c r="L4631">
        <v>597.90822464875498</v>
      </c>
      <c r="M4631">
        <v>10.536646798246901</v>
      </c>
      <c r="N4631">
        <v>56.745588794304403</v>
      </c>
      <c r="O4631">
        <v>54.815948297644098</v>
      </c>
      <c r="P4631">
        <v>-4.8073789845818803E-2</v>
      </c>
      <c r="Q4631">
        <v>0</v>
      </c>
      <c r="R4631">
        <v>0.96214974166113998</v>
      </c>
      <c r="S4631" t="s">
        <v>10942</v>
      </c>
      <c r="T4631" t="s">
        <v>12620</v>
      </c>
      <c r="U4631" t="s">
        <v>12620</v>
      </c>
      <c r="V4631" t="s">
        <v>12620</v>
      </c>
      <c r="W4631" t="s">
        <v>17197</v>
      </c>
      <c r="X4631">
        <v>5</v>
      </c>
      <c r="Y4631" t="s">
        <v>23308</v>
      </c>
      <c r="Z4631" t="s">
        <v>29578</v>
      </c>
      <c r="AA4631">
        <v>0.57574212329240793</v>
      </c>
      <c r="AB4631" t="str">
        <f>HYPERLINK("Melting_Curves/meltCurve_Q96CW5_2_TUBGCP3.pdf", "Melting_Curves/meltCurve_Q96CW5_2_TUBGCP3.pdf")</f>
        <v>Melting_Curves/meltCurve_Q96CW5_2_TUBGCP3.pdf</v>
      </c>
    </row>
    <row r="4632" spans="1:28" x14ac:dyDescent="0.25">
      <c r="A4632" t="s">
        <v>4636</v>
      </c>
      <c r="B4632">
        <v>0.99987803227770999</v>
      </c>
      <c r="C4632">
        <v>0.85144191326308605</v>
      </c>
      <c r="D4632">
        <v>1.0039553778714201</v>
      </c>
      <c r="E4632">
        <v>0.92973443256125698</v>
      </c>
      <c r="F4632">
        <v>1.13431744882311</v>
      </c>
      <c r="G4632">
        <v>0.83235151410779395</v>
      </c>
      <c r="H4632">
        <v>1.02497885386464</v>
      </c>
      <c r="I4632">
        <v>0.87959016413195001</v>
      </c>
      <c r="J4632">
        <v>1.03248544400335</v>
      </c>
      <c r="K4632">
        <v>0.90041913957151498</v>
      </c>
      <c r="L4632">
        <v>38.762087364540399</v>
      </c>
      <c r="M4632">
        <v>1.0000000000000001E-5</v>
      </c>
      <c r="Q4632">
        <v>0.87424072171535805</v>
      </c>
      <c r="R4632">
        <v>1.3480269422468901E-3</v>
      </c>
      <c r="S4632" t="s">
        <v>10943</v>
      </c>
      <c r="T4632" t="s">
        <v>12620</v>
      </c>
      <c r="U4632" t="s">
        <v>12620</v>
      </c>
      <c r="V4632" t="s">
        <v>12620</v>
      </c>
      <c r="W4632" t="s">
        <v>17198</v>
      </c>
      <c r="X4632">
        <v>5</v>
      </c>
      <c r="Y4632" t="s">
        <v>23309</v>
      </c>
      <c r="Z4632" t="s">
        <v>29579</v>
      </c>
      <c r="AA4632">
        <v>0.95884500860900423</v>
      </c>
      <c r="AB4632" t="str">
        <f>HYPERLINK("Melting_Curves/meltCurve_Q96CW6_SLC7A6OS.pdf", "Melting_Curves/meltCurve_Q96CW6_SLC7A6OS.pdf")</f>
        <v>Melting_Curves/meltCurve_Q96CW6_SLC7A6OS.pdf</v>
      </c>
    </row>
    <row r="4633" spans="1:28" x14ac:dyDescent="0.25">
      <c r="A4633" t="s">
        <v>4637</v>
      </c>
      <c r="B4633">
        <v>0.99987803227770999</v>
      </c>
      <c r="C4633">
        <v>1.0892516203154201</v>
      </c>
      <c r="D4633">
        <v>0.95079513078681599</v>
      </c>
      <c r="E4633">
        <v>0.993004162425981</v>
      </c>
      <c r="F4633">
        <v>0.645589602960978</v>
      </c>
      <c r="G4633">
        <v>0.65464384664734399</v>
      </c>
      <c r="H4633">
        <v>0.59684402214528398</v>
      </c>
      <c r="I4633">
        <v>0.362478205847241</v>
      </c>
      <c r="J4633">
        <v>0.15201207037839201</v>
      </c>
      <c r="K4633">
        <v>4.9102694270796998E-2</v>
      </c>
      <c r="L4633">
        <v>716.93294100466596</v>
      </c>
      <c r="M4633">
        <v>11.9495958442185</v>
      </c>
      <c r="N4633">
        <v>59.996417531244198</v>
      </c>
      <c r="O4633">
        <v>58.3902360942133</v>
      </c>
      <c r="P4633">
        <v>-5.11751822214132E-2</v>
      </c>
      <c r="Q4633">
        <v>0</v>
      </c>
      <c r="R4633">
        <v>0.92734747030564901</v>
      </c>
      <c r="S4633" t="s">
        <v>10944</v>
      </c>
      <c r="T4633" t="s">
        <v>12620</v>
      </c>
      <c r="U4633" t="s">
        <v>12620</v>
      </c>
      <c r="V4633" t="s">
        <v>12620</v>
      </c>
      <c r="W4633" t="s">
        <v>17199</v>
      </c>
      <c r="X4633">
        <v>1</v>
      </c>
      <c r="Y4633" t="s">
        <v>23310</v>
      </c>
      <c r="Z4633" t="s">
        <v>29580</v>
      </c>
      <c r="AA4633">
        <v>0.66882060601871518</v>
      </c>
      <c r="AB4633" t="str">
        <f>HYPERLINK("Melting_Curves/meltCurve_Q96CX2_KCTD12.pdf", "Melting_Curves/meltCurve_Q96CX2_KCTD12.pdf")</f>
        <v>Melting_Curves/meltCurve_Q96CX2_KCTD12.pdf</v>
      </c>
    </row>
    <row r="4634" spans="1:28" x14ac:dyDescent="0.25">
      <c r="A4634" t="s">
        <v>4638</v>
      </c>
      <c r="B4634">
        <v>0.99987803227770999</v>
      </c>
      <c r="C4634">
        <v>0.83825744194887697</v>
      </c>
      <c r="D4634">
        <v>0.813586367819085</v>
      </c>
      <c r="E4634">
        <v>0.47731258051179898</v>
      </c>
      <c r="F4634">
        <v>0.33692969052863903</v>
      </c>
      <c r="G4634">
        <v>0.210669692538654</v>
      </c>
      <c r="H4634">
        <v>0.16681319191702401</v>
      </c>
      <c r="I4634">
        <v>0.17431167889936899</v>
      </c>
      <c r="J4634">
        <v>7.7490999230299895E-2</v>
      </c>
      <c r="K4634">
        <v>4.1531433036242897E-2</v>
      </c>
      <c r="L4634">
        <v>659.48506491122203</v>
      </c>
      <c r="M4634">
        <v>13.304326837721799</v>
      </c>
      <c r="N4634">
        <v>50.142552297816501</v>
      </c>
      <c r="O4634">
        <v>48.489503669878303</v>
      </c>
      <c r="P4634">
        <v>-6.3764278138448996E-2</v>
      </c>
      <c r="Q4634">
        <v>7.0558701592158199E-2</v>
      </c>
      <c r="R4634">
        <v>0.98551084585543502</v>
      </c>
      <c r="S4634" t="s">
        <v>10945</v>
      </c>
      <c r="T4634" t="s">
        <v>12620</v>
      </c>
      <c r="U4634" t="s">
        <v>12620</v>
      </c>
      <c r="V4634" t="s">
        <v>12620</v>
      </c>
      <c r="W4634" t="s">
        <v>17200</v>
      </c>
      <c r="X4634">
        <v>2</v>
      </c>
      <c r="Y4634" t="s">
        <v>23311</v>
      </c>
      <c r="Z4634" t="s">
        <v>29581</v>
      </c>
      <c r="AA4634">
        <v>0.39482083844381621</v>
      </c>
      <c r="AB4634" t="str">
        <f>HYPERLINK("Melting_Curves/meltCurve_Q96CX6_LRRC58.pdf", "Melting_Curves/meltCurve_Q96CX6_LRRC58.pdf")</f>
        <v>Melting_Curves/meltCurve_Q96CX6_LRRC58.pdf</v>
      </c>
    </row>
    <row r="4635" spans="1:28" x14ac:dyDescent="0.25">
      <c r="A4635" t="s">
        <v>4639</v>
      </c>
      <c r="B4635">
        <v>0.99987803227770999</v>
      </c>
      <c r="C4635">
        <v>0.88046035854158999</v>
      </c>
      <c r="D4635">
        <v>0.94041676238674099</v>
      </c>
      <c r="E4635">
        <v>0.80229652385045003</v>
      </c>
      <c r="F4635">
        <v>0.98130813820724905</v>
      </c>
      <c r="G4635">
        <v>0.77228711973302799</v>
      </c>
      <c r="H4635">
        <v>0.87943202503292295</v>
      </c>
      <c r="I4635">
        <v>0.84438455049421202</v>
      </c>
      <c r="J4635">
        <v>1.0062768493452701</v>
      </c>
      <c r="K4635">
        <v>0.82543363073015796</v>
      </c>
      <c r="L4635">
        <v>10269.6160461249</v>
      </c>
      <c r="M4635">
        <v>250</v>
      </c>
      <c r="O4635">
        <v>41.075846001820999</v>
      </c>
      <c r="P4635">
        <v>-0.18051078544822299</v>
      </c>
      <c r="Q4635">
        <v>0.88136589893878803</v>
      </c>
      <c r="R4635">
        <v>0.19637470107027599</v>
      </c>
      <c r="S4635" t="s">
        <v>10946</v>
      </c>
      <c r="T4635" t="s">
        <v>12620</v>
      </c>
      <c r="U4635" t="s">
        <v>12620</v>
      </c>
      <c r="V4635" t="s">
        <v>12620</v>
      </c>
      <c r="W4635" t="s">
        <v>17201</v>
      </c>
      <c r="X4635">
        <v>7</v>
      </c>
      <c r="Y4635" t="s">
        <v>23312</v>
      </c>
      <c r="Z4635" t="s">
        <v>29582</v>
      </c>
      <c r="AA4635">
        <v>0.88563992812246728</v>
      </c>
      <c r="AB4635" t="str">
        <f>HYPERLINK("Melting_Curves/meltCurve_Q96D09_GPRASP2.pdf", "Melting_Curves/meltCurve_Q96D09_GPRASP2.pdf")</f>
        <v>Melting_Curves/meltCurve_Q96D09_GPRASP2.pdf</v>
      </c>
    </row>
    <row r="4636" spans="1:28" x14ac:dyDescent="0.25">
      <c r="A4636" t="s">
        <v>4640</v>
      </c>
      <c r="B4636">
        <v>0.99987803227770999</v>
      </c>
      <c r="C4636">
        <v>0.71170720117700903</v>
      </c>
      <c r="D4636">
        <v>0.86815835440065203</v>
      </c>
      <c r="E4636">
        <v>0.79438526925434305</v>
      </c>
      <c r="F4636">
        <v>0.34690272595201699</v>
      </c>
      <c r="G4636">
        <v>0.128930585350751</v>
      </c>
      <c r="H4636">
        <v>8.0914349743959404E-2</v>
      </c>
      <c r="I4636">
        <v>6.6701603651504196E-2</v>
      </c>
      <c r="J4636">
        <v>5.4909528450019798E-2</v>
      </c>
      <c r="K4636">
        <v>4.1445656229387097E-2</v>
      </c>
      <c r="S4636" t="s">
        <v>10947</v>
      </c>
      <c r="T4636" t="s">
        <v>12620</v>
      </c>
      <c r="U4636" t="s">
        <v>12621</v>
      </c>
      <c r="V4636" t="s">
        <v>12620</v>
      </c>
      <c r="W4636" t="s">
        <v>17202</v>
      </c>
      <c r="X4636">
        <v>19</v>
      </c>
      <c r="Y4636" t="s">
        <v>23313</v>
      </c>
      <c r="Z4636" t="s">
        <v>29583</v>
      </c>
      <c r="AB4636" t="str">
        <f>HYPERLINK("Melting_Curves/meltCurve_Q96D46_NMD3.pdf", "Melting_Curves/meltCurve_Q96D46_NMD3.pdf")</f>
        <v>Melting_Curves/meltCurve_Q96D46_NMD3.pdf</v>
      </c>
    </row>
    <row r="4637" spans="1:28" x14ac:dyDescent="0.25">
      <c r="A4637" t="s">
        <v>4641</v>
      </c>
      <c r="B4637">
        <v>0.99987803227770999</v>
      </c>
      <c r="C4637">
        <v>1.0211998545649801</v>
      </c>
      <c r="D4637">
        <v>0.87706799577623595</v>
      </c>
      <c r="E4637">
        <v>0.91297940580291603</v>
      </c>
      <c r="F4637">
        <v>0.57152348933756802</v>
      </c>
      <c r="G4637">
        <v>0.33895540035986499</v>
      </c>
      <c r="H4637">
        <v>0.19578289795019799</v>
      </c>
      <c r="I4637">
        <v>0.18766003411971399</v>
      </c>
      <c r="J4637">
        <v>0.12714030491574499</v>
      </c>
      <c r="K4637">
        <v>8.5023917987108497E-2</v>
      </c>
      <c r="L4637">
        <v>1042.59233565675</v>
      </c>
      <c r="M4637">
        <v>19.3819738833954</v>
      </c>
      <c r="N4637">
        <v>54.4900749127994</v>
      </c>
      <c r="O4637">
        <v>53.229047183780203</v>
      </c>
      <c r="P4637">
        <v>-8.1024474914827394E-2</v>
      </c>
      <c r="Q4637">
        <v>0.109957193239896</v>
      </c>
      <c r="R4637">
        <v>0.98500937602447303</v>
      </c>
      <c r="S4637" t="s">
        <v>10948</v>
      </c>
      <c r="T4637" t="s">
        <v>12620</v>
      </c>
      <c r="U4637" t="s">
        <v>12620</v>
      </c>
      <c r="V4637" t="s">
        <v>12620</v>
      </c>
      <c r="W4637" t="s">
        <v>17203</v>
      </c>
      <c r="X4637">
        <v>2</v>
      </c>
      <c r="Y4637" t="s">
        <v>23314</v>
      </c>
      <c r="Z4637" t="s">
        <v>29584</v>
      </c>
      <c r="AA4637">
        <v>0.53190018930111316</v>
      </c>
      <c r="AB4637" t="str">
        <f>HYPERLINK("Melting_Curves/meltCurve_Q96D53_ADCK4.pdf", "Melting_Curves/meltCurve_Q96D53_ADCK4.pdf")</f>
        <v>Melting_Curves/meltCurve_Q96D53_ADCK4.pdf</v>
      </c>
    </row>
    <row r="4638" spans="1:28" x14ac:dyDescent="0.25">
      <c r="A4638" t="s">
        <v>4642</v>
      </c>
      <c r="B4638">
        <v>0.99987803227770999</v>
      </c>
      <c r="C4638">
        <v>1.0452392997028199</v>
      </c>
      <c r="D4638">
        <v>0.94069258736089401</v>
      </c>
      <c r="E4638">
        <v>0.74663648082316103</v>
      </c>
      <c r="F4638">
        <v>0.63992778812238904</v>
      </c>
      <c r="G4638">
        <v>0.52158704686559398</v>
      </c>
      <c r="H4638">
        <v>0.55981518306808897</v>
      </c>
      <c r="I4638">
        <v>0.54958482044270496</v>
      </c>
      <c r="J4638">
        <v>0.51205703616825304</v>
      </c>
      <c r="K4638">
        <v>0.423607758418653</v>
      </c>
      <c r="L4638">
        <v>1085.2336222945901</v>
      </c>
      <c r="M4638">
        <v>21.606487725661999</v>
      </c>
      <c r="O4638">
        <v>49.802898221122803</v>
      </c>
      <c r="P4638">
        <v>-5.3854960971958098E-2</v>
      </c>
      <c r="Q4638">
        <v>0.503469718803501</v>
      </c>
      <c r="R4638">
        <v>0.96832587830632399</v>
      </c>
      <c r="S4638" t="s">
        <v>10949</v>
      </c>
      <c r="T4638" t="s">
        <v>12620</v>
      </c>
      <c r="U4638" t="s">
        <v>12620</v>
      </c>
      <c r="V4638" t="s">
        <v>12620</v>
      </c>
      <c r="W4638" t="s">
        <v>17204</v>
      </c>
      <c r="X4638">
        <v>12</v>
      </c>
      <c r="Y4638" t="s">
        <v>23315</v>
      </c>
      <c r="Z4638" t="s">
        <v>29585</v>
      </c>
      <c r="AA4638">
        <v>0.67868186642864103</v>
      </c>
      <c r="AB4638" t="str">
        <f>HYPERLINK("Melting_Curves/meltCurve_Q96D71_3_REPS1.pdf", "Melting_Curves/meltCurve_Q96D71_3_REPS1.pdf")</f>
        <v>Melting_Curves/meltCurve_Q96D71_3_REPS1.pdf</v>
      </c>
    </row>
    <row r="4639" spans="1:28" x14ac:dyDescent="0.25">
      <c r="A4639" t="s">
        <v>4643</v>
      </c>
      <c r="B4639">
        <v>0.99987803227770999</v>
      </c>
      <c r="C4639">
        <v>0.87808461550541295</v>
      </c>
      <c r="D4639">
        <v>0.99161839281370401</v>
      </c>
      <c r="E4639">
        <v>0.819219175208039</v>
      </c>
      <c r="F4639">
        <v>0.47568671261196799</v>
      </c>
      <c r="G4639">
        <v>0.12667779330210099</v>
      </c>
      <c r="H4639">
        <v>7.9887381827867504E-2</v>
      </c>
      <c r="I4639">
        <v>6.8007565851264301E-2</v>
      </c>
      <c r="J4639">
        <v>3.39320288211898E-2</v>
      </c>
      <c r="K4639">
        <v>2.4368458093133299E-2</v>
      </c>
      <c r="L4639">
        <v>1471.0023246452699</v>
      </c>
      <c r="M4639">
        <v>27.9591423809532</v>
      </c>
      <c r="N4639">
        <v>52.774995963424601</v>
      </c>
      <c r="O4639">
        <v>52.345634667397597</v>
      </c>
      <c r="P4639">
        <v>-0.12802755900971499</v>
      </c>
      <c r="Q4639">
        <v>4.1225952736250897E-2</v>
      </c>
      <c r="R4639">
        <v>0.99040331909391699</v>
      </c>
      <c r="S4639" t="s">
        <v>10950</v>
      </c>
      <c r="T4639" t="s">
        <v>12620</v>
      </c>
      <c r="U4639" t="s">
        <v>12620</v>
      </c>
      <c r="V4639" t="s">
        <v>12620</v>
      </c>
      <c r="W4639" t="s">
        <v>17205</v>
      </c>
      <c r="X4639">
        <v>3</v>
      </c>
      <c r="Y4639" t="s">
        <v>23316</v>
      </c>
      <c r="Z4639" t="s">
        <v>29586</v>
      </c>
      <c r="AA4639">
        <v>0.4514105563011015</v>
      </c>
      <c r="AB4639" t="str">
        <f>HYPERLINK("Melting_Curves/meltCurve_Q96DB5_RMDN1.pdf", "Melting_Curves/meltCurve_Q96DB5_RMDN1.pdf")</f>
        <v>Melting_Curves/meltCurve_Q96DB5_RMDN1.pdf</v>
      </c>
    </row>
    <row r="4640" spans="1:28" x14ac:dyDescent="0.25">
      <c r="A4640" t="s">
        <v>4644</v>
      </c>
      <c r="B4640">
        <v>0.99987803227770999</v>
      </c>
      <c r="C4640">
        <v>1.0077483173553099</v>
      </c>
      <c r="D4640">
        <v>1.34651123589383</v>
      </c>
      <c r="E4640">
        <v>1.1220636795924199</v>
      </c>
      <c r="F4640">
        <v>0.524486105110328</v>
      </c>
      <c r="G4640">
        <v>0.68834169915685295</v>
      </c>
      <c r="H4640">
        <v>0.68764484570334306</v>
      </c>
      <c r="I4640">
        <v>0.78467788094294599</v>
      </c>
      <c r="J4640">
        <v>0.48318256013177502</v>
      </c>
      <c r="K4640">
        <v>0.531738712356707</v>
      </c>
      <c r="L4640">
        <v>12872.755261062701</v>
      </c>
      <c r="M4640">
        <v>250</v>
      </c>
      <c r="O4640">
        <v>51.487717808679598</v>
      </c>
      <c r="P4640">
        <v>-0.46534008583511399</v>
      </c>
      <c r="Q4640">
        <v>0.61665115521266001</v>
      </c>
      <c r="R4640">
        <v>0.72608576035085604</v>
      </c>
      <c r="S4640" t="s">
        <v>10951</v>
      </c>
      <c r="T4640" t="s">
        <v>12620</v>
      </c>
      <c r="U4640" t="s">
        <v>12620</v>
      </c>
      <c r="V4640" t="s">
        <v>12620</v>
      </c>
      <c r="W4640" t="s">
        <v>17206</v>
      </c>
      <c r="X4640">
        <v>1</v>
      </c>
      <c r="Y4640" t="s">
        <v>23317</v>
      </c>
      <c r="Z4640" t="s">
        <v>29587</v>
      </c>
      <c r="AA4640">
        <v>0.76352145164959739</v>
      </c>
      <c r="AB4640" t="str">
        <f>HYPERLINK("Melting_Curves/meltCurve_Q96DC7_TMCO6.pdf", "Melting_Curves/meltCurve_Q96DC7_TMCO6.pdf")</f>
        <v>Melting_Curves/meltCurve_Q96DC7_TMCO6.pdf</v>
      </c>
    </row>
    <row r="4641" spans="1:28" x14ac:dyDescent="0.25">
      <c r="A4641" t="s">
        <v>4645</v>
      </c>
      <c r="B4641">
        <v>0.99987803227770999</v>
      </c>
      <c r="C4641">
        <v>0.95667697214951697</v>
      </c>
      <c r="D4641">
        <v>0.98648577508068902</v>
      </c>
      <c r="E4641">
        <v>0.82357590499862099</v>
      </c>
      <c r="F4641">
        <v>0.85062195400963103</v>
      </c>
      <c r="G4641">
        <v>0.52566949931617202</v>
      </c>
      <c r="H4641">
        <v>0.20085587628878801</v>
      </c>
      <c r="I4641">
        <v>0.14647855367125401</v>
      </c>
      <c r="J4641">
        <v>6.6726986113728501E-2</v>
      </c>
      <c r="K4641">
        <v>3.0826509828296399E-2</v>
      </c>
      <c r="L4641">
        <v>1009.08823267964</v>
      </c>
      <c r="M4641">
        <v>17.674963579487699</v>
      </c>
      <c r="N4641">
        <v>57.091390035129798</v>
      </c>
      <c r="O4641">
        <v>56.375613883151402</v>
      </c>
      <c r="P4641">
        <v>-7.8384504135571395E-2</v>
      </c>
      <c r="Q4641">
        <v>0</v>
      </c>
      <c r="R4641">
        <v>0.988554738444684</v>
      </c>
      <c r="S4641" t="s">
        <v>10952</v>
      </c>
      <c r="T4641" t="s">
        <v>12620</v>
      </c>
      <c r="U4641" t="s">
        <v>12620</v>
      </c>
      <c r="V4641" t="s">
        <v>12620</v>
      </c>
      <c r="W4641" t="s">
        <v>17207</v>
      </c>
      <c r="X4641">
        <v>9</v>
      </c>
      <c r="Y4641" t="s">
        <v>23318</v>
      </c>
      <c r="Z4641" t="s">
        <v>29588</v>
      </c>
      <c r="AA4641">
        <v>0.58356170647883387</v>
      </c>
      <c r="AB4641" t="str">
        <f>HYPERLINK("Melting_Curves/meltCurve_Q96DE0_NUDT16.pdf", "Melting_Curves/meltCurve_Q96DE0_NUDT16.pdf")</f>
        <v>Melting_Curves/meltCurve_Q96DE0_NUDT16.pdf</v>
      </c>
    </row>
    <row r="4642" spans="1:28" x14ac:dyDescent="0.25">
      <c r="A4642" t="s">
        <v>4646</v>
      </c>
      <c r="B4642">
        <v>0.99987803227770999</v>
      </c>
      <c r="C4642">
        <v>0.93571411729493104</v>
      </c>
      <c r="D4642">
        <v>1.08386486941439</v>
      </c>
      <c r="E4642">
        <v>1.1769943845059501</v>
      </c>
      <c r="F4642">
        <v>1.1519556671917901</v>
      </c>
      <c r="G4642">
        <v>1.29363020467292</v>
      </c>
      <c r="H4642">
        <v>1.1339993924181899</v>
      </c>
      <c r="I4642">
        <v>1.4564503975493299</v>
      </c>
      <c r="J4642">
        <v>0.70969822644834402</v>
      </c>
      <c r="K4642">
        <v>0.68591282040784596</v>
      </c>
      <c r="L4642">
        <v>15000</v>
      </c>
      <c r="M4642">
        <v>226.25098649782399</v>
      </c>
      <c r="O4642">
        <v>66.292882593998598</v>
      </c>
      <c r="P4642">
        <v>-0.26922384706264302</v>
      </c>
      <c r="Q4642">
        <v>0.68446329993123201</v>
      </c>
      <c r="R4642">
        <v>0.27490445260095397</v>
      </c>
      <c r="S4642" t="s">
        <v>10953</v>
      </c>
      <c r="T4642" t="s">
        <v>12620</v>
      </c>
      <c r="U4642" t="s">
        <v>12620</v>
      </c>
      <c r="V4642" t="s">
        <v>12620</v>
      </c>
      <c r="W4642" t="s">
        <v>17208</v>
      </c>
      <c r="X4642">
        <v>1</v>
      </c>
      <c r="Y4642" t="s">
        <v>23319</v>
      </c>
      <c r="Z4642" t="s">
        <v>29589</v>
      </c>
      <c r="AA4642">
        <v>0.9611081389861601</v>
      </c>
      <c r="AB4642" t="str">
        <f>HYPERLINK("Melting_Curves/meltCurve_Q96DE5_ANAPC16.pdf", "Melting_Curves/meltCurve_Q96DE5_ANAPC16.pdf")</f>
        <v>Melting_Curves/meltCurve_Q96DE5_ANAPC16.pdf</v>
      </c>
    </row>
    <row r="4643" spans="1:28" x14ac:dyDescent="0.25">
      <c r="A4643" t="s">
        <v>4647</v>
      </c>
      <c r="B4643">
        <v>0.99987803227770999</v>
      </c>
      <c r="C4643">
        <v>0.88755221115971095</v>
      </c>
      <c r="D4643">
        <v>1.02327033344748</v>
      </c>
      <c r="E4643">
        <v>0.85923123043205496</v>
      </c>
      <c r="F4643">
        <v>0.98975757408318299</v>
      </c>
      <c r="G4643">
        <v>0.65523016380696097</v>
      </c>
      <c r="H4643">
        <v>0.63507142854225496</v>
      </c>
      <c r="I4643">
        <v>0.76712911336336398</v>
      </c>
      <c r="J4643">
        <v>0.54173560261182196</v>
      </c>
      <c r="K4643">
        <v>0.49667977653942003</v>
      </c>
      <c r="L4643">
        <v>427.52402920403301</v>
      </c>
      <c r="M4643">
        <v>6.5373754098243904</v>
      </c>
      <c r="O4643">
        <v>60.0867758750151</v>
      </c>
      <c r="P4643">
        <v>-2.17639593926728E-2</v>
      </c>
      <c r="Q4643">
        <v>0.20174520057039499</v>
      </c>
      <c r="R4643">
        <v>0.79177276010435405</v>
      </c>
      <c r="S4643" t="s">
        <v>10954</v>
      </c>
      <c r="T4643" t="s">
        <v>12620</v>
      </c>
      <c r="U4643" t="s">
        <v>12620</v>
      </c>
      <c r="V4643" t="s">
        <v>12620</v>
      </c>
      <c r="W4643" t="s">
        <v>17209</v>
      </c>
      <c r="X4643">
        <v>5</v>
      </c>
      <c r="Y4643" t="s">
        <v>23320</v>
      </c>
      <c r="Z4643" t="s">
        <v>29590</v>
      </c>
      <c r="AA4643">
        <v>0.79472801510276869</v>
      </c>
      <c r="AB4643" t="str">
        <f>HYPERLINK("Melting_Curves/meltCurve_Q96DF8_DGCR14.pdf", "Melting_Curves/meltCurve_Q96DF8_DGCR14.pdf")</f>
        <v>Melting_Curves/meltCurve_Q96DF8_DGCR14.pdf</v>
      </c>
    </row>
    <row r="4644" spans="1:28" x14ac:dyDescent="0.25">
      <c r="A4644" t="s">
        <v>4648</v>
      </c>
      <c r="B4644">
        <v>0.99987803227770999</v>
      </c>
      <c r="C4644">
        <v>0.78470376243985296</v>
      </c>
      <c r="D4644">
        <v>0.93580577991853098</v>
      </c>
      <c r="E4644">
        <v>0.79341815748477595</v>
      </c>
      <c r="F4644">
        <v>0.83039381657975297</v>
      </c>
      <c r="G4644">
        <v>0.322385653412191</v>
      </c>
      <c r="H4644">
        <v>0.13882734505865599</v>
      </c>
      <c r="I4644">
        <v>0.100108250946604</v>
      </c>
      <c r="J4644">
        <v>8.7320140569749405E-2</v>
      </c>
      <c r="K4644">
        <v>6.2121961263263102E-2</v>
      </c>
      <c r="L4644">
        <v>1186.3182685397601</v>
      </c>
      <c r="M4644">
        <v>21.496307927856801</v>
      </c>
      <c r="N4644">
        <v>55.4481360634366</v>
      </c>
      <c r="O4644">
        <v>54.716111049983397</v>
      </c>
      <c r="P4644">
        <v>-9.3492625567277804E-2</v>
      </c>
      <c r="Q4644">
        <v>4.8128648570496597E-2</v>
      </c>
      <c r="R4644">
        <v>0.94601426233581498</v>
      </c>
      <c r="S4644" t="s">
        <v>10955</v>
      </c>
      <c r="T4644" t="s">
        <v>12620</v>
      </c>
      <c r="U4644" t="s">
        <v>12620</v>
      </c>
      <c r="V4644" t="s">
        <v>12620</v>
      </c>
      <c r="W4644" t="s">
        <v>17210</v>
      </c>
      <c r="X4644">
        <v>10</v>
      </c>
      <c r="Y4644" t="s">
        <v>23321</v>
      </c>
      <c r="Z4644" t="s">
        <v>29591</v>
      </c>
      <c r="AA4644">
        <v>0.54129841375803689</v>
      </c>
      <c r="AB4644" t="str">
        <f>HYPERLINK("Melting_Curves/meltCurve_Q96DG6_CMBL.pdf", "Melting_Curves/meltCurve_Q96DG6_CMBL.pdf")</f>
        <v>Melting_Curves/meltCurve_Q96DG6_CMBL.pdf</v>
      </c>
    </row>
    <row r="4645" spans="1:28" x14ac:dyDescent="0.25">
      <c r="A4645" t="s">
        <v>4649</v>
      </c>
      <c r="B4645">
        <v>0.99987803227770999</v>
      </c>
      <c r="C4645">
        <v>0.776566400509212</v>
      </c>
      <c r="D4645">
        <v>1.06694897603487</v>
      </c>
      <c r="E4645">
        <v>1.1761787998845601</v>
      </c>
      <c r="F4645">
        <v>0.819046596296368</v>
      </c>
      <c r="G4645">
        <v>0.31257737296702998</v>
      </c>
      <c r="H4645">
        <v>0.169495485706081</v>
      </c>
      <c r="I4645">
        <v>0.112518213977561</v>
      </c>
      <c r="J4645">
        <v>0.106458119189533</v>
      </c>
      <c r="K4645">
        <v>8.5271911268251302E-2</v>
      </c>
      <c r="L4645">
        <v>2202.8063415969</v>
      </c>
      <c r="M4645">
        <v>39.928147123141599</v>
      </c>
      <c r="N4645">
        <v>55.525456895838801</v>
      </c>
      <c r="O4645">
        <v>55.031431060023799</v>
      </c>
      <c r="P4645">
        <v>-0.160894027410626</v>
      </c>
      <c r="Q4645">
        <v>0.112985862828613</v>
      </c>
      <c r="R4645">
        <v>0.94732683777726201</v>
      </c>
      <c r="S4645" t="s">
        <v>10956</v>
      </c>
      <c r="T4645" t="s">
        <v>12620</v>
      </c>
      <c r="U4645" t="s">
        <v>12620</v>
      </c>
      <c r="V4645" t="s">
        <v>12620</v>
      </c>
      <c r="W4645" t="s">
        <v>17211</v>
      </c>
      <c r="X4645">
        <v>3</v>
      </c>
      <c r="Y4645" t="s">
        <v>23322</v>
      </c>
      <c r="Z4645" t="s">
        <v>29592</v>
      </c>
      <c r="AA4645">
        <v>0.56487842623974005</v>
      </c>
      <c r="AB4645" t="str">
        <f>HYPERLINK("Melting_Curves/meltCurve_Q96DI7_SNRNP40.pdf", "Melting_Curves/meltCurve_Q96DI7_SNRNP40.pdf")</f>
        <v>Melting_Curves/meltCurve_Q96DI7_SNRNP40.pdf</v>
      </c>
    </row>
    <row r="4646" spans="1:28" x14ac:dyDescent="0.25">
      <c r="A4646" t="s">
        <v>4650</v>
      </c>
      <c r="B4646">
        <v>0.99987803227770999</v>
      </c>
      <c r="C4646">
        <v>0.95861229785816304</v>
      </c>
      <c r="D4646">
        <v>0.98603817290413498</v>
      </c>
      <c r="E4646">
        <v>0.83953189967039998</v>
      </c>
      <c r="F4646">
        <v>0.94902785972535697</v>
      </c>
      <c r="G4646">
        <v>0.55953249589888598</v>
      </c>
      <c r="H4646">
        <v>0.56925134621239704</v>
      </c>
      <c r="I4646">
        <v>0.50687992929523495</v>
      </c>
      <c r="J4646">
        <v>0.49908911030585701</v>
      </c>
      <c r="K4646">
        <v>0.44343372762609301</v>
      </c>
      <c r="L4646">
        <v>1267.9003182807101</v>
      </c>
      <c r="M4646">
        <v>23.052592211573401</v>
      </c>
      <c r="N4646">
        <v>63.208713264837698</v>
      </c>
      <c r="O4646">
        <v>54.591483373491599</v>
      </c>
      <c r="P4646">
        <v>-5.5430088740800097E-2</v>
      </c>
      <c r="Q4646">
        <v>0.47494774785921801</v>
      </c>
      <c r="R4646">
        <v>0.92886344905447804</v>
      </c>
      <c r="S4646" t="s">
        <v>10957</v>
      </c>
      <c r="T4646" t="s">
        <v>12620</v>
      </c>
      <c r="U4646" t="s">
        <v>12620</v>
      </c>
      <c r="V4646" t="s">
        <v>12620</v>
      </c>
      <c r="W4646" t="s">
        <v>17212</v>
      </c>
      <c r="X4646">
        <v>3</v>
      </c>
      <c r="Y4646" t="s">
        <v>23323</v>
      </c>
      <c r="Z4646" t="s">
        <v>29593</v>
      </c>
      <c r="AA4646">
        <v>0.74306049333429258</v>
      </c>
      <c r="AB4646" t="str">
        <f>HYPERLINK("Melting_Curves/meltCurve_Q96DR7_ARHGEF26.pdf", "Melting_Curves/meltCurve_Q96DR7_ARHGEF26.pdf")</f>
        <v>Melting_Curves/meltCurve_Q96DR7_ARHGEF26.pdf</v>
      </c>
    </row>
    <row r="4647" spans="1:28" x14ac:dyDescent="0.25">
      <c r="A4647" t="s">
        <v>4651</v>
      </c>
      <c r="B4647">
        <v>0.99987803227770999</v>
      </c>
      <c r="C4647">
        <v>1.2142125672698401</v>
      </c>
      <c r="D4647">
        <v>1.07812866245159</v>
      </c>
      <c r="E4647">
        <v>1.01901258780983</v>
      </c>
      <c r="F4647">
        <v>0.404134298636185</v>
      </c>
      <c r="G4647">
        <v>0.20292680886379899</v>
      </c>
      <c r="H4647">
        <v>8.0671402457837896E-2</v>
      </c>
      <c r="I4647">
        <v>7.1064261358237693E-2</v>
      </c>
      <c r="J4647">
        <v>2.3965188355805599E-2</v>
      </c>
      <c r="K4647">
        <v>2.3639735668404101E-2</v>
      </c>
      <c r="L4647">
        <v>13217.656373653699</v>
      </c>
      <c r="M4647">
        <v>250</v>
      </c>
      <c r="N4647">
        <v>52.907740132339597</v>
      </c>
      <c r="O4647">
        <v>52.867217424581</v>
      </c>
      <c r="P4647">
        <v>-1.0870939280251199</v>
      </c>
      <c r="Q4647">
        <v>8.0453471445414301E-2</v>
      </c>
      <c r="R4647">
        <v>0.96750573347539304</v>
      </c>
      <c r="S4647" t="s">
        <v>10958</v>
      </c>
      <c r="T4647" t="s">
        <v>12620</v>
      </c>
      <c r="U4647" t="s">
        <v>12620</v>
      </c>
      <c r="V4647" t="s">
        <v>12620</v>
      </c>
      <c r="W4647" t="s">
        <v>17213</v>
      </c>
      <c r="X4647">
        <v>1</v>
      </c>
      <c r="Y4647" t="s">
        <v>23324</v>
      </c>
      <c r="Z4647" t="s">
        <v>29594</v>
      </c>
      <c r="AA4647">
        <v>0.4750434266539767</v>
      </c>
      <c r="AB4647" t="str">
        <f>HYPERLINK("Melting_Curves/meltCurve_Q96DT0_3_LGALS12.pdf", "Melting_Curves/meltCurve_Q96DT0_3_LGALS12.pdf")</f>
        <v>Melting_Curves/meltCurve_Q96DT0_3_LGALS12.pdf</v>
      </c>
    </row>
    <row r="4648" spans="1:28" x14ac:dyDescent="0.25">
      <c r="A4648" t="s">
        <v>4652</v>
      </c>
      <c r="B4648">
        <v>0.99987803227770999</v>
      </c>
      <c r="C4648">
        <v>1.11484192123781</v>
      </c>
      <c r="D4648">
        <v>1.02442837726886</v>
      </c>
      <c r="E4648">
        <v>1.20938349549449</v>
      </c>
      <c r="F4648">
        <v>1.14959025917087</v>
      </c>
      <c r="G4648">
        <v>1.05258462490182</v>
      </c>
      <c r="H4648">
        <v>0.86415552859775202</v>
      </c>
      <c r="I4648">
        <v>0.72110490008001304</v>
      </c>
      <c r="J4648">
        <v>0.62579907512433297</v>
      </c>
      <c r="K4648">
        <v>0.45745481890719603</v>
      </c>
      <c r="L4648">
        <v>1641.09050326953</v>
      </c>
      <c r="M4648">
        <v>25.3695463177514</v>
      </c>
      <c r="N4648">
        <v>69.223687330411295</v>
      </c>
      <c r="O4648">
        <v>64.289509335785993</v>
      </c>
      <c r="P4648">
        <v>-5.8683207976375197E-2</v>
      </c>
      <c r="Q4648">
        <v>0.405166063267694</v>
      </c>
      <c r="R4648">
        <v>0.837192680392849</v>
      </c>
      <c r="S4648" t="s">
        <v>10959</v>
      </c>
      <c r="T4648" t="s">
        <v>12620</v>
      </c>
      <c r="U4648" t="s">
        <v>12620</v>
      </c>
      <c r="V4648" t="s">
        <v>12620</v>
      </c>
      <c r="W4648" t="s">
        <v>17214</v>
      </c>
      <c r="X4648">
        <v>2</v>
      </c>
      <c r="Y4648" t="s">
        <v>23325</v>
      </c>
      <c r="Z4648" t="s">
        <v>29595</v>
      </c>
      <c r="AA4648">
        <v>0.89248467940410647</v>
      </c>
      <c r="AB4648" t="str">
        <f>HYPERLINK("Melting_Curves/meltCurve_Q96DT7_2_ZBTB10.pdf", "Melting_Curves/meltCurve_Q96DT7_2_ZBTB10.pdf")</f>
        <v>Melting_Curves/meltCurve_Q96DT7_2_ZBTB10.pdf</v>
      </c>
    </row>
    <row r="4649" spans="1:28" x14ac:dyDescent="0.25">
      <c r="A4649" t="s">
        <v>4653</v>
      </c>
      <c r="B4649">
        <v>0.99987803227770999</v>
      </c>
      <c r="C4649">
        <v>0.836309071062732</v>
      </c>
      <c r="D4649">
        <v>0.79455305521224495</v>
      </c>
      <c r="E4649">
        <v>0.61393252906932505</v>
      </c>
      <c r="F4649">
        <v>0.64711149485895403</v>
      </c>
      <c r="G4649">
        <v>0.58432108479085398</v>
      </c>
      <c r="H4649">
        <v>0.53501890963917298</v>
      </c>
      <c r="I4649">
        <v>0.57396036166752695</v>
      </c>
      <c r="J4649">
        <v>0.53255295389864599</v>
      </c>
      <c r="K4649">
        <v>0.43355305974838598</v>
      </c>
      <c r="L4649">
        <v>531.02374436621403</v>
      </c>
      <c r="M4649">
        <v>11.2969947855923</v>
      </c>
      <c r="O4649">
        <v>45.605067036374301</v>
      </c>
      <c r="P4649">
        <v>-3.0914956995695402E-2</v>
      </c>
      <c r="Q4649">
        <v>0.50094691128049496</v>
      </c>
      <c r="R4649">
        <v>0.92718899395481302</v>
      </c>
      <c r="S4649" t="s">
        <v>10960</v>
      </c>
      <c r="T4649" t="s">
        <v>12620</v>
      </c>
      <c r="U4649" t="s">
        <v>12620</v>
      </c>
      <c r="V4649" t="s">
        <v>12620</v>
      </c>
      <c r="W4649" t="s">
        <v>17215</v>
      </c>
      <c r="X4649">
        <v>5</v>
      </c>
      <c r="Y4649" t="s">
        <v>23326</v>
      </c>
      <c r="Z4649" t="s">
        <v>29596</v>
      </c>
      <c r="AA4649">
        <v>0.64082664470695905</v>
      </c>
      <c r="AB4649" t="str">
        <f>HYPERLINK("Melting_Curves/meltCurve_Q96DU7_ITPKC.pdf", "Melting_Curves/meltCurve_Q96DU7_ITPKC.pdf")</f>
        <v>Melting_Curves/meltCurve_Q96DU7_ITPKC.pdf</v>
      </c>
    </row>
    <row r="4650" spans="1:28" x14ac:dyDescent="0.25">
      <c r="A4650" t="s">
        <v>4654</v>
      </c>
      <c r="B4650">
        <v>0.99987803227770999</v>
      </c>
      <c r="C4650">
        <v>1.10236285815136</v>
      </c>
      <c r="D4650">
        <v>0.82834511778712605</v>
      </c>
      <c r="E4650">
        <v>0.72827109912604404</v>
      </c>
      <c r="F4650">
        <v>0.45145030136032799</v>
      </c>
      <c r="G4650">
        <v>0.18416050120128499</v>
      </c>
      <c r="H4650">
        <v>0.14167410673870601</v>
      </c>
      <c r="I4650">
        <v>6.2722203294369602E-2</v>
      </c>
      <c r="J4650">
        <v>0.10675642793272801</v>
      </c>
      <c r="K4650">
        <v>4.07214706626923E-2</v>
      </c>
      <c r="L4650">
        <v>957.17999931505904</v>
      </c>
      <c r="M4650">
        <v>18.395160065341798</v>
      </c>
      <c r="N4650">
        <v>52.366138354991698</v>
      </c>
      <c r="O4650">
        <v>51.431096430021398</v>
      </c>
      <c r="P4650">
        <v>-8.4501641556121304E-2</v>
      </c>
      <c r="Q4650">
        <v>5.5009045619124203E-2</v>
      </c>
      <c r="R4650">
        <v>0.98166384130531603</v>
      </c>
      <c r="S4650" t="s">
        <v>10961</v>
      </c>
      <c r="T4650" t="s">
        <v>12620</v>
      </c>
      <c r="U4650" t="s">
        <v>12620</v>
      </c>
      <c r="V4650" t="s">
        <v>12620</v>
      </c>
      <c r="W4650" t="s">
        <v>17216</v>
      </c>
      <c r="X4650">
        <v>2</v>
      </c>
      <c r="Y4650" t="s">
        <v>23327</v>
      </c>
      <c r="Z4650" t="s">
        <v>29597</v>
      </c>
      <c r="AA4650">
        <v>0.4492315222978675</v>
      </c>
      <c r="AB4650" t="str">
        <f>HYPERLINK("Melting_Curves/meltCurve_Q96DV4_MRPL38.pdf", "Melting_Curves/meltCurve_Q96DV4_MRPL38.pdf")</f>
        <v>Melting_Curves/meltCurve_Q96DV4_MRPL38.pdf</v>
      </c>
    </row>
    <row r="4651" spans="1:28" x14ac:dyDescent="0.25">
      <c r="A4651" t="s">
        <v>4655</v>
      </c>
      <c r="B4651">
        <v>0.99987803227770999</v>
      </c>
      <c r="C4651">
        <v>1.24734781363619</v>
      </c>
      <c r="D4651">
        <v>1.39248046539283</v>
      </c>
      <c r="E4651">
        <v>1.0820871401533301</v>
      </c>
      <c r="F4651">
        <v>1.26515087043838</v>
      </c>
      <c r="G4651">
        <v>0.95745397587349002</v>
      </c>
      <c r="H4651">
        <v>0.46192853583146498</v>
      </c>
      <c r="I4651">
        <v>0.67039271924375898</v>
      </c>
      <c r="J4651">
        <v>0.234240294790066</v>
      </c>
      <c r="K4651">
        <v>0.28421757718317198</v>
      </c>
      <c r="L4651">
        <v>1710.4236309430901</v>
      </c>
      <c r="M4651">
        <v>28.133070961112999</v>
      </c>
      <c r="N4651">
        <v>62.723977817075998</v>
      </c>
      <c r="O4651">
        <v>60.492934059601602</v>
      </c>
      <c r="P4651">
        <v>-8.2634778604793194E-2</v>
      </c>
      <c r="Q4651">
        <v>0.28926684984666001</v>
      </c>
      <c r="R4651">
        <v>0.74992649609616002</v>
      </c>
      <c r="S4651" t="s">
        <v>10962</v>
      </c>
      <c r="T4651" t="s">
        <v>12620</v>
      </c>
      <c r="U4651" t="s">
        <v>12620</v>
      </c>
      <c r="V4651" t="s">
        <v>12620</v>
      </c>
      <c r="W4651" t="s">
        <v>17217</v>
      </c>
      <c r="X4651">
        <v>1</v>
      </c>
      <c r="Y4651" t="s">
        <v>23328</v>
      </c>
      <c r="Z4651" t="s">
        <v>29598</v>
      </c>
      <c r="AA4651">
        <v>0.7862642261395405</v>
      </c>
      <c r="AB4651" t="str">
        <f>HYPERLINK("Melting_Curves/meltCurve_Q96DX4_RSPRY1.pdf", "Melting_Curves/meltCurve_Q96DX4_RSPRY1.pdf")</f>
        <v>Melting_Curves/meltCurve_Q96DX4_RSPRY1.pdf</v>
      </c>
    </row>
    <row r="4652" spans="1:28" x14ac:dyDescent="0.25">
      <c r="A4652" t="s">
        <v>4656</v>
      </c>
      <c r="B4652">
        <v>0.99987803227770999</v>
      </c>
      <c r="C4652">
        <v>0.927741473025538</v>
      </c>
      <c r="D4652">
        <v>0.73738911594824597</v>
      </c>
      <c r="E4652">
        <v>0.480586994214944</v>
      </c>
      <c r="F4652">
        <v>0.34065211952465302</v>
      </c>
      <c r="G4652">
        <v>0.243781114546438</v>
      </c>
      <c r="H4652">
        <v>0.186131864514784</v>
      </c>
      <c r="I4652">
        <v>0.14340652997077999</v>
      </c>
      <c r="J4652">
        <v>0.11322865549175801</v>
      </c>
      <c r="K4652">
        <v>7.2969769677053306E-2</v>
      </c>
      <c r="L4652">
        <v>688.12641922819205</v>
      </c>
      <c r="M4652">
        <v>13.9818251204729</v>
      </c>
      <c r="N4652">
        <v>50.013663551995599</v>
      </c>
      <c r="O4652">
        <v>48.241809338661298</v>
      </c>
      <c r="P4652">
        <v>-6.5222486947260697E-2</v>
      </c>
      <c r="Q4652">
        <v>9.9965187515001705E-2</v>
      </c>
      <c r="R4652">
        <v>0.99425206444893399</v>
      </c>
      <c r="S4652" t="s">
        <v>10963</v>
      </c>
      <c r="T4652" t="s">
        <v>12620</v>
      </c>
      <c r="U4652" t="s">
        <v>12620</v>
      </c>
      <c r="V4652" t="s">
        <v>12620</v>
      </c>
      <c r="W4652" t="s">
        <v>17218</v>
      </c>
      <c r="X4652">
        <v>10</v>
      </c>
      <c r="Y4652" t="s">
        <v>23329</v>
      </c>
      <c r="Z4652" t="s">
        <v>29599</v>
      </c>
      <c r="AA4652">
        <v>0.40151257064789841</v>
      </c>
      <c r="AB4652" t="str">
        <f>HYPERLINK("Melting_Curves/meltCurve_Q96DX5_ASB9.pdf", "Melting_Curves/meltCurve_Q96DX5_ASB9.pdf")</f>
        <v>Melting_Curves/meltCurve_Q96DX5_ASB9.pdf</v>
      </c>
    </row>
    <row r="4653" spans="1:28" x14ac:dyDescent="0.25">
      <c r="A4653" t="s">
        <v>4657</v>
      </c>
      <c r="B4653">
        <v>0.99987803227770999</v>
      </c>
      <c r="C4653">
        <v>0.77738893530715902</v>
      </c>
      <c r="D4653">
        <v>0.69375973214964703</v>
      </c>
      <c r="E4653">
        <v>0.45571961199005201</v>
      </c>
      <c r="F4653">
        <v>0.284847617246827</v>
      </c>
      <c r="G4653">
        <v>0.24733877758200801</v>
      </c>
      <c r="H4653">
        <v>0.163225604814001</v>
      </c>
      <c r="I4653">
        <v>6.0078050361869202E-2</v>
      </c>
      <c r="J4653">
        <v>6.1320615564256498E-2</v>
      </c>
      <c r="K4653">
        <v>4.5312954764329699E-2</v>
      </c>
      <c r="L4653">
        <v>531.75785344222004</v>
      </c>
      <c r="M4653">
        <v>10.835461213436901</v>
      </c>
      <c r="N4653">
        <v>49.253323819916297</v>
      </c>
      <c r="O4653">
        <v>47.492852249559299</v>
      </c>
      <c r="P4653">
        <v>-5.5964423496070198E-2</v>
      </c>
      <c r="Q4653">
        <v>1.9161219941778801E-2</v>
      </c>
      <c r="R4653">
        <v>0.98497043101058301</v>
      </c>
      <c r="S4653" t="s">
        <v>10964</v>
      </c>
      <c r="T4653" t="s">
        <v>12620</v>
      </c>
      <c r="U4653" t="s">
        <v>12620</v>
      </c>
      <c r="V4653" t="s">
        <v>12620</v>
      </c>
      <c r="W4653" t="s">
        <v>17219</v>
      </c>
      <c r="X4653">
        <v>8</v>
      </c>
      <c r="Y4653" t="s">
        <v>23329</v>
      </c>
      <c r="Z4653" t="s">
        <v>29600</v>
      </c>
      <c r="AA4653">
        <v>0.35816860454040877</v>
      </c>
      <c r="AB4653" t="str">
        <f>HYPERLINK("Melting_Curves/meltCurve_Q96DX5_2_ASB9.pdf", "Melting_Curves/meltCurve_Q96DX5_2_ASB9.pdf")</f>
        <v>Melting_Curves/meltCurve_Q96DX5_2_ASB9.pdf</v>
      </c>
    </row>
    <row r="4654" spans="1:28" x14ac:dyDescent="0.25">
      <c r="A4654" t="s">
        <v>4658</v>
      </c>
      <c r="B4654">
        <v>0.99987803227770999</v>
      </c>
      <c r="C4654">
        <v>0.92394108810212405</v>
      </c>
      <c r="D4654">
        <v>0.79528975941311897</v>
      </c>
      <c r="E4654">
        <v>0.82181832625954498</v>
      </c>
      <c r="F4654">
        <v>0.81315053805612003</v>
      </c>
      <c r="G4654">
        <v>0.69688516111663201</v>
      </c>
      <c r="H4654">
        <v>0.78898858717827902</v>
      </c>
      <c r="I4654">
        <v>0.74848898756573401</v>
      </c>
      <c r="J4654">
        <v>0.86008317946727797</v>
      </c>
      <c r="K4654">
        <v>0.68489053659796795</v>
      </c>
      <c r="L4654">
        <v>1647.8543640360399</v>
      </c>
      <c r="M4654">
        <v>37.729960755776503</v>
      </c>
      <c r="O4654">
        <v>43.552808950126398</v>
      </c>
      <c r="P4654">
        <v>-4.93077160633811E-2</v>
      </c>
      <c r="Q4654">
        <v>0.77233119368669001</v>
      </c>
      <c r="R4654">
        <v>0.69358871156885504</v>
      </c>
      <c r="S4654" t="s">
        <v>10965</v>
      </c>
      <c r="T4654" t="s">
        <v>12620</v>
      </c>
      <c r="U4654" t="s">
        <v>12620</v>
      </c>
      <c r="V4654" t="s">
        <v>12620</v>
      </c>
      <c r="W4654" t="s">
        <v>17220</v>
      </c>
      <c r="X4654">
        <v>4</v>
      </c>
      <c r="Y4654" t="s">
        <v>23330</v>
      </c>
      <c r="Z4654" t="s">
        <v>29601</v>
      </c>
      <c r="AA4654">
        <v>0.80121010917633584</v>
      </c>
      <c r="AB4654" t="str">
        <f>HYPERLINK("Melting_Curves/meltCurve_Q96DX7_TRIM44.pdf", "Melting_Curves/meltCurve_Q96DX7_TRIM44.pdf")</f>
        <v>Melting_Curves/meltCurve_Q96DX7_TRIM44.pdf</v>
      </c>
    </row>
    <row r="4655" spans="1:28" x14ac:dyDescent="0.25">
      <c r="A4655" t="s">
        <v>4659</v>
      </c>
      <c r="B4655">
        <v>0.99987803227770999</v>
      </c>
      <c r="C4655">
        <v>0.88271390180544695</v>
      </c>
      <c r="D4655">
        <v>0.75242429553956902</v>
      </c>
      <c r="E4655">
        <v>0.65591819704819498</v>
      </c>
      <c r="F4655">
        <v>0.56569951635499105</v>
      </c>
      <c r="G4655">
        <v>0.47359320318227999</v>
      </c>
      <c r="H4655">
        <v>0.35272556333670402</v>
      </c>
      <c r="I4655">
        <v>0.27456584937303802</v>
      </c>
      <c r="J4655">
        <v>0.213427308894509</v>
      </c>
      <c r="K4655">
        <v>0.152269798819126</v>
      </c>
      <c r="L4655">
        <v>389.39107896717002</v>
      </c>
      <c r="M4655">
        <v>7.0730091072295096</v>
      </c>
      <c r="N4655">
        <v>55.053100160950699</v>
      </c>
      <c r="O4655">
        <v>51.1604394454437</v>
      </c>
      <c r="P4655">
        <v>-3.4624567765350597E-2</v>
      </c>
      <c r="Q4655">
        <v>0</v>
      </c>
      <c r="R4655">
        <v>0.98779177622901404</v>
      </c>
      <c r="S4655" t="s">
        <v>10966</v>
      </c>
      <c r="T4655" t="s">
        <v>12620</v>
      </c>
      <c r="U4655" t="s">
        <v>12620</v>
      </c>
      <c r="V4655" t="s">
        <v>12620</v>
      </c>
      <c r="W4655" t="s">
        <v>17221</v>
      </c>
      <c r="X4655">
        <v>1</v>
      </c>
      <c r="Y4655" t="s">
        <v>23331</v>
      </c>
      <c r="Z4655" t="s">
        <v>29602</v>
      </c>
      <c r="AA4655">
        <v>0.52836735145933444</v>
      </c>
      <c r="AB4655" t="str">
        <f>HYPERLINK("Melting_Curves/meltCurve_Q96DZ1_2_ERLEC1.pdf", "Melting_Curves/meltCurve_Q96DZ1_2_ERLEC1.pdf")</f>
        <v>Melting_Curves/meltCurve_Q96DZ1_2_ERLEC1.pdf</v>
      </c>
    </row>
    <row r="4656" spans="1:28" x14ac:dyDescent="0.25">
      <c r="A4656" t="s">
        <v>4660</v>
      </c>
      <c r="B4656">
        <v>0.99987803227770999</v>
      </c>
      <c r="C4656">
        <v>0.94920951473989401</v>
      </c>
      <c r="D4656">
        <v>0.92507183292575701</v>
      </c>
      <c r="E4656">
        <v>0.84249978158593097</v>
      </c>
      <c r="F4656">
        <v>0.797568681979963</v>
      </c>
      <c r="G4656">
        <v>0.73181938064299001</v>
      </c>
      <c r="H4656">
        <v>0.767268534728619</v>
      </c>
      <c r="I4656">
        <v>0.771491077269019</v>
      </c>
      <c r="J4656">
        <v>0.78181133503564504</v>
      </c>
      <c r="K4656">
        <v>0.65165954890967503</v>
      </c>
      <c r="L4656">
        <v>641.76835818023403</v>
      </c>
      <c r="M4656">
        <v>13.121473186225799</v>
      </c>
      <c r="O4656">
        <v>47.815610049135699</v>
      </c>
      <c r="P4656">
        <v>-1.8869085404054999E-2</v>
      </c>
      <c r="Q4656">
        <v>0.72500553067968099</v>
      </c>
      <c r="R4656">
        <v>0.88766991162629405</v>
      </c>
      <c r="S4656" t="s">
        <v>10967</v>
      </c>
      <c r="T4656" t="s">
        <v>12620</v>
      </c>
      <c r="U4656" t="s">
        <v>12620</v>
      </c>
      <c r="V4656" t="s">
        <v>12620</v>
      </c>
      <c r="W4656" t="s">
        <v>17222</v>
      </c>
      <c r="X4656">
        <v>7</v>
      </c>
      <c r="Y4656" t="s">
        <v>23332</v>
      </c>
      <c r="Z4656" t="s">
        <v>29603</v>
      </c>
      <c r="AA4656">
        <v>0.81538111574121475</v>
      </c>
      <c r="AB4656" t="str">
        <f>HYPERLINK("Melting_Curves/meltCurve_Q96E09_FAM122A.pdf", "Melting_Curves/meltCurve_Q96E09_FAM122A.pdf")</f>
        <v>Melting_Curves/meltCurve_Q96E09_FAM122A.pdf</v>
      </c>
    </row>
    <row r="4657" spans="1:28" x14ac:dyDescent="0.25">
      <c r="A4657" t="s">
        <v>4661</v>
      </c>
      <c r="B4657">
        <v>0.99987803227770999</v>
      </c>
      <c r="C4657">
        <v>0.81468512518119396</v>
      </c>
      <c r="D4657">
        <v>0.92565931589272699</v>
      </c>
      <c r="E4657">
        <v>0.65071560683907703</v>
      </c>
      <c r="F4657">
        <v>0.50685643789671597</v>
      </c>
      <c r="G4657">
        <v>0.262361973504598</v>
      </c>
      <c r="H4657">
        <v>0.22911560163731001</v>
      </c>
      <c r="I4657">
        <v>0.18466672676287199</v>
      </c>
      <c r="J4657">
        <v>0.186957457665825</v>
      </c>
      <c r="K4657">
        <v>0.150668809099513</v>
      </c>
      <c r="L4657">
        <v>710.43228308310404</v>
      </c>
      <c r="M4657">
        <v>13.7954668189806</v>
      </c>
      <c r="N4657">
        <v>52.659142706221999</v>
      </c>
      <c r="O4657">
        <v>50.451594765638298</v>
      </c>
      <c r="P4657">
        <v>-5.9400350556149499E-2</v>
      </c>
      <c r="Q4657">
        <v>0.131186261902311</v>
      </c>
      <c r="R4657">
        <v>0.97384572258445501</v>
      </c>
      <c r="S4657" t="s">
        <v>10968</v>
      </c>
      <c r="T4657" t="s">
        <v>12620</v>
      </c>
      <c r="U4657" t="s">
        <v>12620</v>
      </c>
      <c r="V4657" t="s">
        <v>12620</v>
      </c>
      <c r="W4657" t="s">
        <v>17223</v>
      </c>
      <c r="X4657">
        <v>7</v>
      </c>
      <c r="Y4657" t="s">
        <v>23333</v>
      </c>
      <c r="Z4657" t="s">
        <v>29604</v>
      </c>
      <c r="AA4657">
        <v>0.48665341013144009</v>
      </c>
      <c r="AB4657" t="str">
        <f>HYPERLINK("Melting_Curves/meltCurve_Q96E11_3_MRRF.pdf", "Melting_Curves/meltCurve_Q96E11_3_MRRF.pdf")</f>
        <v>Melting_Curves/meltCurve_Q96E11_3_MRRF.pdf</v>
      </c>
    </row>
    <row r="4658" spans="1:28" x14ac:dyDescent="0.25">
      <c r="A4658" t="s">
        <v>4662</v>
      </c>
      <c r="B4658">
        <v>0.99987803227770999</v>
      </c>
      <c r="C4658">
        <v>0.80478347147083895</v>
      </c>
      <c r="D4658">
        <v>0.86688475012717503</v>
      </c>
      <c r="E4658">
        <v>0.62490158658128703</v>
      </c>
      <c r="F4658">
        <v>0.53761535988653397</v>
      </c>
      <c r="G4658">
        <v>0.33214419905686299</v>
      </c>
      <c r="H4658">
        <v>0.30878488265826798</v>
      </c>
      <c r="I4658">
        <v>0.227462889636836</v>
      </c>
      <c r="J4658">
        <v>0.210999999195467</v>
      </c>
      <c r="K4658">
        <v>0.190771242863257</v>
      </c>
      <c r="L4658">
        <v>519.46363320536898</v>
      </c>
      <c r="M4658">
        <v>10.039804131887299</v>
      </c>
      <c r="N4658">
        <v>53.302682056002503</v>
      </c>
      <c r="O4658">
        <v>49.813406358796797</v>
      </c>
      <c r="P4658">
        <v>-4.3985856615451298E-2</v>
      </c>
      <c r="Q4658">
        <v>0.127458594713908</v>
      </c>
      <c r="R4658">
        <v>0.97714997894466704</v>
      </c>
      <c r="S4658" t="s">
        <v>10969</v>
      </c>
      <c r="T4658" t="s">
        <v>12620</v>
      </c>
      <c r="U4658" t="s">
        <v>12620</v>
      </c>
      <c r="V4658" t="s">
        <v>12620</v>
      </c>
      <c r="W4658" t="s">
        <v>17224</v>
      </c>
      <c r="X4658">
        <v>5</v>
      </c>
      <c r="Y4658" t="s">
        <v>23334</v>
      </c>
      <c r="Z4658" t="s">
        <v>29605</v>
      </c>
      <c r="AA4658">
        <v>0.50272894623328213</v>
      </c>
      <c r="AB4658" t="str">
        <f>HYPERLINK("Melting_Curves/meltCurve_Q96E14_RMI2.pdf", "Melting_Curves/meltCurve_Q96E14_RMI2.pdf")</f>
        <v>Melting_Curves/meltCurve_Q96E14_RMI2.pdf</v>
      </c>
    </row>
    <row r="4659" spans="1:28" x14ac:dyDescent="0.25">
      <c r="A4659" t="s">
        <v>4663</v>
      </c>
      <c r="B4659">
        <v>0.99987803227770999</v>
      </c>
      <c r="C4659">
        <v>1.1028469627633499</v>
      </c>
      <c r="D4659">
        <v>1.0802119711934901</v>
      </c>
      <c r="E4659">
        <v>0.865664277485099</v>
      </c>
      <c r="F4659">
        <v>0.56901415306370196</v>
      </c>
      <c r="G4659">
        <v>0.35737596778020397</v>
      </c>
      <c r="H4659">
        <v>0.23994451844592701</v>
      </c>
      <c r="I4659">
        <v>0.194659560373244</v>
      </c>
      <c r="J4659">
        <v>0.16324250056727799</v>
      </c>
      <c r="K4659">
        <v>0.1117154920411</v>
      </c>
      <c r="L4659">
        <v>1207.6336145863199</v>
      </c>
      <c r="M4659">
        <v>22.606320980608501</v>
      </c>
      <c r="N4659">
        <v>54.344845585503101</v>
      </c>
      <c r="O4659">
        <v>53.007429904508598</v>
      </c>
      <c r="P4659">
        <v>-8.9598048260845206E-2</v>
      </c>
      <c r="Q4659">
        <v>0.159656885860676</v>
      </c>
      <c r="R4659">
        <v>0.98031505057138901</v>
      </c>
      <c r="S4659" t="s">
        <v>10970</v>
      </c>
      <c r="T4659" t="s">
        <v>12620</v>
      </c>
      <c r="U4659" t="s">
        <v>12620</v>
      </c>
      <c r="V4659" t="s">
        <v>12620</v>
      </c>
      <c r="W4659" t="s">
        <v>17225</v>
      </c>
      <c r="X4659">
        <v>22</v>
      </c>
      <c r="Y4659" t="s">
        <v>23335</v>
      </c>
      <c r="Z4659" t="s">
        <v>29606</v>
      </c>
      <c r="AA4659">
        <v>0.54489174116307892</v>
      </c>
      <c r="AB4659" t="str">
        <f>HYPERLINK("Melting_Curves/meltCurve_Q96EA4_SPDL1.pdf", "Melting_Curves/meltCurve_Q96EA4_SPDL1.pdf")</f>
        <v>Melting_Curves/meltCurve_Q96EA4_SPDL1.pdf</v>
      </c>
    </row>
    <row r="4660" spans="1:28" x14ac:dyDescent="0.25">
      <c r="A4660" t="s">
        <v>4664</v>
      </c>
      <c r="B4660">
        <v>0.99987803227770999</v>
      </c>
      <c r="C4660">
        <v>0.89935649570365195</v>
      </c>
      <c r="D4660">
        <v>0.90468000609203103</v>
      </c>
      <c r="E4660">
        <v>1.24754264588337</v>
      </c>
      <c r="F4660">
        <v>1.1933563601450801</v>
      </c>
      <c r="G4660">
        <v>1.0661164587612699</v>
      </c>
      <c r="H4660">
        <v>1.00336362917486</v>
      </c>
      <c r="I4660">
        <v>0.86204798081537803</v>
      </c>
      <c r="J4660">
        <v>0.55457052338415203</v>
      </c>
      <c r="K4660">
        <v>0.28655861271998501</v>
      </c>
      <c r="L4660">
        <v>2710.3054990401301</v>
      </c>
      <c r="M4660">
        <v>40.6615784181542</v>
      </c>
      <c r="N4660">
        <v>67.4256921128394</v>
      </c>
      <c r="O4660">
        <v>66.494606110571993</v>
      </c>
      <c r="P4660">
        <v>-0.12446789020218101</v>
      </c>
      <c r="Q4660">
        <v>0.18582358439247601</v>
      </c>
      <c r="R4660">
        <v>0.836502188463214</v>
      </c>
      <c r="S4660" t="s">
        <v>10971</v>
      </c>
      <c r="T4660" t="s">
        <v>12620</v>
      </c>
      <c r="U4660" t="s">
        <v>12620</v>
      </c>
      <c r="V4660" t="s">
        <v>12620</v>
      </c>
      <c r="W4660" t="s">
        <v>17226</v>
      </c>
      <c r="X4660">
        <v>9</v>
      </c>
      <c r="Y4660" t="s">
        <v>23336</v>
      </c>
      <c r="Z4660" t="s">
        <v>29607</v>
      </c>
      <c r="AA4660">
        <v>0.90590286082910365</v>
      </c>
      <c r="AB4660" t="str">
        <f>HYPERLINK("Melting_Curves/meltCurve_Q96EB1_ELP4.pdf", "Melting_Curves/meltCurve_Q96EB1_ELP4.pdf")</f>
        <v>Melting_Curves/meltCurve_Q96EB1_ELP4.pdf</v>
      </c>
    </row>
    <row r="4661" spans="1:28" x14ac:dyDescent="0.25">
      <c r="A4661" t="s">
        <v>4665</v>
      </c>
      <c r="B4661">
        <v>0.99987803227770999</v>
      </c>
      <c r="C4661">
        <v>1.01598760660025</v>
      </c>
      <c r="D4661">
        <v>0.90484208154273305</v>
      </c>
      <c r="E4661">
        <v>0.86849009732124804</v>
      </c>
      <c r="F4661">
        <v>0.47334475993067598</v>
      </c>
      <c r="G4661">
        <v>0.31306219770960902</v>
      </c>
      <c r="H4661">
        <v>0.21374379742163899</v>
      </c>
      <c r="I4661">
        <v>0.150129275255559</v>
      </c>
      <c r="J4661">
        <v>0.13785023960098999</v>
      </c>
      <c r="K4661">
        <v>9.1475213088673596E-2</v>
      </c>
      <c r="L4661">
        <v>1091.5891759751601</v>
      </c>
      <c r="M4661">
        <v>20.673819631885301</v>
      </c>
      <c r="N4661">
        <v>53.553680790705002</v>
      </c>
      <c r="O4661">
        <v>52.313980023588798</v>
      </c>
      <c r="P4661">
        <v>-8.6336860372506902E-2</v>
      </c>
      <c r="Q4661">
        <v>0.12614196913145501</v>
      </c>
      <c r="R4661">
        <v>0.986072173935297</v>
      </c>
      <c r="S4661" t="s">
        <v>10972</v>
      </c>
      <c r="T4661" t="s">
        <v>12620</v>
      </c>
      <c r="U4661" t="s">
        <v>12620</v>
      </c>
      <c r="V4661" t="s">
        <v>12620</v>
      </c>
      <c r="W4661" t="s">
        <v>17227</v>
      </c>
      <c r="X4661">
        <v>20</v>
      </c>
      <c r="Y4661" t="s">
        <v>23337</v>
      </c>
      <c r="Z4661" t="s">
        <v>29608</v>
      </c>
      <c r="AA4661">
        <v>0.5103683154416877</v>
      </c>
      <c r="AB4661" t="str">
        <f>HYPERLINK("Melting_Curves/meltCurve_Q96EB6_SIRT1.pdf", "Melting_Curves/meltCurve_Q96EB6_SIRT1.pdf")</f>
        <v>Melting_Curves/meltCurve_Q96EB6_SIRT1.pdf</v>
      </c>
    </row>
    <row r="4662" spans="1:28" x14ac:dyDescent="0.25">
      <c r="A4662" t="s">
        <v>4666</v>
      </c>
      <c r="B4662">
        <v>0.99987803227770999</v>
      </c>
      <c r="C4662">
        <v>1.0885481984707699</v>
      </c>
      <c r="D4662">
        <v>1.06588654161725</v>
      </c>
      <c r="E4662">
        <v>1.0298324952898099</v>
      </c>
      <c r="F4662">
        <v>1.14678280699186</v>
      </c>
      <c r="G4662">
        <v>0.78224391888773204</v>
      </c>
      <c r="H4662">
        <v>0.95798493306000099</v>
      </c>
      <c r="I4662">
        <v>0.774280216007315</v>
      </c>
      <c r="J4662">
        <v>0.63917558690991605</v>
      </c>
      <c r="K4662">
        <v>0.58092434703548501</v>
      </c>
      <c r="L4662">
        <v>1060.91755212265</v>
      </c>
      <c r="M4662">
        <v>16.015012321286999</v>
      </c>
      <c r="O4662">
        <v>65.238125138117198</v>
      </c>
      <c r="P4662">
        <v>-3.7639606733478603E-2</v>
      </c>
      <c r="Q4662">
        <v>0.38673903222766398</v>
      </c>
      <c r="R4662">
        <v>0.78346951079828098</v>
      </c>
      <c r="S4662" t="s">
        <v>10973</v>
      </c>
      <c r="T4662" t="s">
        <v>12620</v>
      </c>
      <c r="U4662" t="s">
        <v>12620</v>
      </c>
      <c r="V4662" t="s">
        <v>12620</v>
      </c>
      <c r="W4662" t="s">
        <v>17228</v>
      </c>
      <c r="X4662">
        <v>9</v>
      </c>
      <c r="Y4662" t="s">
        <v>23338</v>
      </c>
      <c r="Z4662" t="s">
        <v>29609</v>
      </c>
      <c r="AA4662">
        <v>0.90212789107604519</v>
      </c>
      <c r="AB4662" t="str">
        <f>HYPERLINK("Melting_Curves/meltCurve_Q96ED9_2_HOOK2.pdf", "Melting_Curves/meltCurve_Q96ED9_2_HOOK2.pdf")</f>
        <v>Melting_Curves/meltCurve_Q96ED9_2_HOOK2.pdf</v>
      </c>
    </row>
    <row r="4663" spans="1:28" x14ac:dyDescent="0.25">
      <c r="A4663" t="s">
        <v>4667</v>
      </c>
      <c r="B4663">
        <v>0.99987803227770999</v>
      </c>
      <c r="C4663">
        <v>1.03919343435501</v>
      </c>
      <c r="D4663">
        <v>0.95377580950784802</v>
      </c>
      <c r="E4663">
        <v>1.2176912526298</v>
      </c>
      <c r="F4663">
        <v>0.79412799077586904</v>
      </c>
      <c r="G4663">
        <v>0.45597181339554899</v>
      </c>
      <c r="H4663">
        <v>0.17153392221383901</v>
      </c>
      <c r="I4663">
        <v>0.121742230893507</v>
      </c>
      <c r="J4663">
        <v>9.6614112271229499E-2</v>
      </c>
      <c r="K4663">
        <v>6.4619276258614494E-2</v>
      </c>
      <c r="L4663">
        <v>1693.44953031974</v>
      </c>
      <c r="M4663">
        <v>30.153722952589</v>
      </c>
      <c r="N4663">
        <v>56.518779416426199</v>
      </c>
      <c r="O4663">
        <v>55.915277949866699</v>
      </c>
      <c r="P4663">
        <v>-0.12309241056309</v>
      </c>
      <c r="Q4663">
        <v>8.6984726418168595E-2</v>
      </c>
      <c r="R4663">
        <v>0.96380278555404497</v>
      </c>
      <c r="S4663" t="s">
        <v>10974</v>
      </c>
      <c r="T4663" t="s">
        <v>12620</v>
      </c>
      <c r="U4663" t="s">
        <v>12620</v>
      </c>
      <c r="V4663" t="s">
        <v>12620</v>
      </c>
      <c r="W4663" t="s">
        <v>17229</v>
      </c>
      <c r="X4663">
        <v>6</v>
      </c>
      <c r="Y4663" t="s">
        <v>23339</v>
      </c>
      <c r="Z4663" t="s">
        <v>29610</v>
      </c>
      <c r="AA4663">
        <v>0.58484591713876244</v>
      </c>
      <c r="AB4663" t="str">
        <f>HYPERLINK("Melting_Curves/meltCurve_Q96EE3_SEH1L.pdf", "Melting_Curves/meltCurve_Q96EE3_SEH1L.pdf")</f>
        <v>Melting_Curves/meltCurve_Q96EE3_SEH1L.pdf</v>
      </c>
    </row>
    <row r="4664" spans="1:28" x14ac:dyDescent="0.25">
      <c r="A4664" t="s">
        <v>4668</v>
      </c>
      <c r="B4664">
        <v>0.99987803227770999</v>
      </c>
      <c r="C4664">
        <v>0.76381582915639701</v>
      </c>
      <c r="D4664">
        <v>0.61025274104500205</v>
      </c>
      <c r="E4664">
        <v>0.25263620116197999</v>
      </c>
      <c r="F4664">
        <v>0.12900265144325801</v>
      </c>
      <c r="G4664">
        <v>8.8874830749855804E-2</v>
      </c>
      <c r="H4664">
        <v>6.3805843759078398E-2</v>
      </c>
      <c r="I4664">
        <v>7.1565066345992898E-2</v>
      </c>
      <c r="J4664">
        <v>3.4132081534794599E-2</v>
      </c>
      <c r="K4664">
        <v>2.4051971683802301E-2</v>
      </c>
      <c r="L4664">
        <v>806.37496864904699</v>
      </c>
      <c r="M4664">
        <v>17.307852844395001</v>
      </c>
      <c r="N4664">
        <v>46.810635498883698</v>
      </c>
      <c r="O4664">
        <v>45.981510734851398</v>
      </c>
      <c r="P4664">
        <v>-9.0423442415823896E-2</v>
      </c>
      <c r="Q4664">
        <v>3.9148967387057899E-2</v>
      </c>
      <c r="R4664">
        <v>0.99183459913476602</v>
      </c>
      <c r="S4664" t="s">
        <v>10975</v>
      </c>
      <c r="T4664" t="s">
        <v>12620</v>
      </c>
      <c r="U4664" t="s">
        <v>12620</v>
      </c>
      <c r="V4664" t="s">
        <v>12620</v>
      </c>
      <c r="W4664" t="s">
        <v>17230</v>
      </c>
      <c r="X4664">
        <v>5</v>
      </c>
      <c r="Y4664" t="s">
        <v>23340</v>
      </c>
      <c r="Z4664" t="s">
        <v>29611</v>
      </c>
      <c r="AA4664">
        <v>0.26997523278751429</v>
      </c>
      <c r="AB4664" t="str">
        <f>HYPERLINK("Melting_Curves/meltCurve_Q96EF6_FBXO17.pdf", "Melting_Curves/meltCurve_Q96EF6_FBXO17.pdf")</f>
        <v>Melting_Curves/meltCurve_Q96EF6_FBXO17.pdf</v>
      </c>
    </row>
    <row r="4665" spans="1:28" x14ac:dyDescent="0.25">
      <c r="A4665" t="s">
        <v>4669</v>
      </c>
      <c r="B4665">
        <v>0.99987803227770999</v>
      </c>
      <c r="C4665">
        <v>0.83892614865761295</v>
      </c>
      <c r="D4665">
        <v>0.87642285974757494</v>
      </c>
      <c r="E4665">
        <v>0.85275545157932497</v>
      </c>
      <c r="F4665">
        <v>0.82037902402910201</v>
      </c>
      <c r="G4665">
        <v>0.47603322264939202</v>
      </c>
      <c r="H4665">
        <v>0.280399287079939</v>
      </c>
      <c r="I4665">
        <v>0.20723057808815701</v>
      </c>
      <c r="J4665">
        <v>0.14308195184564801</v>
      </c>
      <c r="K4665">
        <v>8.1516790098683706E-2</v>
      </c>
      <c r="L4665">
        <v>726.10697257261199</v>
      </c>
      <c r="M4665">
        <v>12.7138884535504</v>
      </c>
      <c r="N4665">
        <v>57.111311634943903</v>
      </c>
      <c r="O4665">
        <v>55.753702798946101</v>
      </c>
      <c r="P4665">
        <v>-5.7020148551698603E-2</v>
      </c>
      <c r="Q4665">
        <v>0</v>
      </c>
      <c r="R4665">
        <v>0.96650969672584297</v>
      </c>
      <c r="S4665" t="s">
        <v>10976</v>
      </c>
      <c r="T4665" t="s">
        <v>12620</v>
      </c>
      <c r="U4665" t="s">
        <v>12620</v>
      </c>
      <c r="V4665" t="s">
        <v>12620</v>
      </c>
      <c r="W4665" t="s">
        <v>17231</v>
      </c>
      <c r="X4665">
        <v>2</v>
      </c>
      <c r="Y4665" t="s">
        <v>23341</v>
      </c>
      <c r="Z4665" t="s">
        <v>29612</v>
      </c>
      <c r="AA4665">
        <v>0.5867858725542876</v>
      </c>
      <c r="AB4665" t="str">
        <f>HYPERLINK("Melting_Curves/meltCurve_Q96EH3_MALSU1.pdf", "Melting_Curves/meltCurve_Q96EH3_MALSU1.pdf")</f>
        <v>Melting_Curves/meltCurve_Q96EH3_MALSU1.pdf</v>
      </c>
    </row>
    <row r="4666" spans="1:28" x14ac:dyDescent="0.25">
      <c r="A4666" t="s">
        <v>4670</v>
      </c>
      <c r="B4666">
        <v>0.99987803227770999</v>
      </c>
      <c r="C4666">
        <v>0.81615774822345799</v>
      </c>
      <c r="D4666">
        <v>0.98235813813529504</v>
      </c>
      <c r="E4666">
        <v>0.81635486330599905</v>
      </c>
      <c r="F4666">
        <v>1.0622256442812801</v>
      </c>
      <c r="G4666">
        <v>0.86920169177050999</v>
      </c>
      <c r="H4666">
        <v>0.97965017047745495</v>
      </c>
      <c r="I4666">
        <v>0.942095463770383</v>
      </c>
      <c r="J4666">
        <v>1.0303966008077901</v>
      </c>
      <c r="K4666">
        <v>0.85252061428235004</v>
      </c>
      <c r="L4666">
        <v>10218.392556733899</v>
      </c>
      <c r="M4666">
        <v>250</v>
      </c>
      <c r="O4666">
        <v>40.8709546044267</v>
      </c>
      <c r="P4666">
        <v>-0.110279007023798</v>
      </c>
      <c r="Q4666">
        <v>0.92788466747252496</v>
      </c>
      <c r="R4666">
        <v>6.3798016991868906E-2</v>
      </c>
      <c r="S4666" t="s">
        <v>10977</v>
      </c>
      <c r="T4666" t="s">
        <v>12620</v>
      </c>
      <c r="U4666" t="s">
        <v>12620</v>
      </c>
      <c r="V4666" t="s">
        <v>12620</v>
      </c>
      <c r="W4666" t="s">
        <v>17232</v>
      </c>
      <c r="X4666">
        <v>15</v>
      </c>
      <c r="Y4666" t="s">
        <v>23342</v>
      </c>
      <c r="Z4666" t="s">
        <v>29613</v>
      </c>
      <c r="AA4666">
        <v>0.92999135293708668</v>
      </c>
      <c r="AB4666" t="str">
        <f>HYPERLINK("Melting_Curves/meltCurve_Q96EI5_TCEAL4.pdf", "Melting_Curves/meltCurve_Q96EI5_TCEAL4.pdf")</f>
        <v>Melting_Curves/meltCurve_Q96EI5_TCEAL4.pdf</v>
      </c>
    </row>
    <row r="4667" spans="1:28" x14ac:dyDescent="0.25">
      <c r="A4667" t="s">
        <v>4671</v>
      </c>
      <c r="B4667">
        <v>0.99987803227770999</v>
      </c>
      <c r="C4667">
        <v>0.990333564937942</v>
      </c>
      <c r="D4667">
        <v>0.97451464714277203</v>
      </c>
      <c r="E4667">
        <v>0.88560727864502697</v>
      </c>
      <c r="F4667">
        <v>0.74494523169080595</v>
      </c>
      <c r="G4667">
        <v>0.61286840694974298</v>
      </c>
      <c r="H4667">
        <v>0.52691610559327395</v>
      </c>
      <c r="I4667">
        <v>0.50673620790686802</v>
      </c>
      <c r="J4667">
        <v>0.39887242464039502</v>
      </c>
      <c r="K4667">
        <v>0.327131440006249</v>
      </c>
      <c r="L4667">
        <v>591.18977515517497</v>
      </c>
      <c r="M4667">
        <v>10.3233568197666</v>
      </c>
      <c r="N4667">
        <v>61.767859441904797</v>
      </c>
      <c r="O4667">
        <v>55.243233867099001</v>
      </c>
      <c r="P4667">
        <v>-3.4383357155248699E-2</v>
      </c>
      <c r="Q4667">
        <v>0.264336121232147</v>
      </c>
      <c r="R4667">
        <v>0.98687907179592904</v>
      </c>
      <c r="S4667" t="s">
        <v>10978</v>
      </c>
      <c r="T4667" t="s">
        <v>12620</v>
      </c>
      <c r="U4667" t="s">
        <v>12620</v>
      </c>
      <c r="V4667" t="s">
        <v>12620</v>
      </c>
      <c r="W4667" t="s">
        <v>17233</v>
      </c>
      <c r="X4667">
        <v>1</v>
      </c>
      <c r="Y4667" t="s">
        <v>23343</v>
      </c>
      <c r="Z4667" t="s">
        <v>29614</v>
      </c>
      <c r="AA4667">
        <v>0.69857581488322906</v>
      </c>
      <c r="AB4667" t="str">
        <f>HYPERLINK("Melting_Curves/meltCurve_Q96EK4_THAP11.pdf", "Melting_Curves/meltCurve_Q96EK4_THAP11.pdf")</f>
        <v>Melting_Curves/meltCurve_Q96EK4_THAP11.pdf</v>
      </c>
    </row>
    <row r="4668" spans="1:28" x14ac:dyDescent="0.25">
      <c r="A4668" t="s">
        <v>4672</v>
      </c>
      <c r="B4668">
        <v>0.99987803227770999</v>
      </c>
      <c r="C4668">
        <v>0.987507109674432</v>
      </c>
      <c r="D4668">
        <v>0.51742381469106602</v>
      </c>
      <c r="E4668">
        <v>0.35321163100761199</v>
      </c>
      <c r="F4668">
        <v>0.20063650506329</v>
      </c>
      <c r="G4668">
        <v>0.13423356547998</v>
      </c>
      <c r="H4668">
        <v>9.2011589815356398E-2</v>
      </c>
      <c r="I4668">
        <v>7.8614949528962003E-2</v>
      </c>
      <c r="J4668">
        <v>6.5298977525121496E-2</v>
      </c>
      <c r="K4668">
        <v>4.91819444884583E-2</v>
      </c>
      <c r="L4668">
        <v>895.71214473492398</v>
      </c>
      <c r="M4668">
        <v>19.064671425847699</v>
      </c>
      <c r="N4668">
        <v>47.4162956492587</v>
      </c>
      <c r="O4668">
        <v>46.475054771469402</v>
      </c>
      <c r="P4668">
        <v>-9.4355642843014106E-2</v>
      </c>
      <c r="Q4668">
        <v>7.9971303457350207E-2</v>
      </c>
      <c r="R4668">
        <v>0.97323658000104896</v>
      </c>
      <c r="S4668" t="s">
        <v>10979</v>
      </c>
      <c r="T4668" t="s">
        <v>12620</v>
      </c>
      <c r="U4668" t="s">
        <v>12620</v>
      </c>
      <c r="V4668" t="s">
        <v>12620</v>
      </c>
      <c r="W4668" t="s">
        <v>17234</v>
      </c>
      <c r="X4668">
        <v>15</v>
      </c>
      <c r="Y4668" t="s">
        <v>23344</v>
      </c>
      <c r="Z4668" t="s">
        <v>29615</v>
      </c>
      <c r="AA4668">
        <v>0.30909820294288648</v>
      </c>
      <c r="AB4668" t="str">
        <f>HYPERLINK("Melting_Curves/meltCurve_Q96EK5_KIAA1279.pdf", "Melting_Curves/meltCurve_Q96EK5_KIAA1279.pdf")</f>
        <v>Melting_Curves/meltCurve_Q96EK5_KIAA1279.pdf</v>
      </c>
    </row>
    <row r="4669" spans="1:28" x14ac:dyDescent="0.25">
      <c r="A4669" t="s">
        <v>4673</v>
      </c>
      <c r="B4669">
        <v>0.99987803227770999</v>
      </c>
      <c r="C4669">
        <v>0.90378757676500399</v>
      </c>
      <c r="D4669">
        <v>1.0198652335127301</v>
      </c>
      <c r="E4669">
        <v>0.93650346336353996</v>
      </c>
      <c r="F4669">
        <v>1.09492567780197</v>
      </c>
      <c r="G4669">
        <v>0.92120842070583497</v>
      </c>
      <c r="H4669">
        <v>0.32671150538865101</v>
      </c>
      <c r="I4669">
        <v>0.21704208064174199</v>
      </c>
      <c r="J4669">
        <v>0.114742686523389</v>
      </c>
      <c r="K4669">
        <v>7.8507743863901996E-2</v>
      </c>
      <c r="L4669">
        <v>2828.3962603816499</v>
      </c>
      <c r="M4669">
        <v>47.433146314882897</v>
      </c>
      <c r="N4669">
        <v>59.972854156131</v>
      </c>
      <c r="O4669">
        <v>59.5234101512631</v>
      </c>
      <c r="P4669">
        <v>-0.17550872848470001</v>
      </c>
      <c r="Q4669">
        <v>0.119023895989435</v>
      </c>
      <c r="R4669">
        <v>0.98131561860448902</v>
      </c>
      <c r="S4669" t="s">
        <v>10980</v>
      </c>
      <c r="T4669" t="s">
        <v>12620</v>
      </c>
      <c r="U4669" t="s">
        <v>12620</v>
      </c>
      <c r="V4669" t="s">
        <v>12620</v>
      </c>
      <c r="W4669" t="s">
        <v>17235</v>
      </c>
      <c r="X4669">
        <v>12</v>
      </c>
      <c r="Y4669" t="s">
        <v>23345</v>
      </c>
      <c r="Z4669" t="s">
        <v>29616</v>
      </c>
      <c r="AA4669">
        <v>0.69797863087002454</v>
      </c>
      <c r="AB4669" t="str">
        <f>HYPERLINK("Melting_Curves/meltCurve_Q96EK6_GNPNAT1.pdf", "Melting_Curves/meltCurve_Q96EK6_GNPNAT1.pdf")</f>
        <v>Melting_Curves/meltCurve_Q96EK6_GNPNAT1.pdf</v>
      </c>
    </row>
    <row r="4670" spans="1:28" x14ac:dyDescent="0.25">
      <c r="A4670" t="s">
        <v>4674</v>
      </c>
      <c r="B4670">
        <v>0.99987803227770999</v>
      </c>
      <c r="C4670">
        <v>0.94458345575995395</v>
      </c>
      <c r="D4670">
        <v>0.76002832116402796</v>
      </c>
      <c r="E4670">
        <v>0.45798697638458602</v>
      </c>
      <c r="F4670">
        <v>0.30414009713415302</v>
      </c>
      <c r="G4670">
        <v>0.20534286851880901</v>
      </c>
      <c r="H4670">
        <v>0.193200539956216</v>
      </c>
      <c r="I4670">
        <v>0.17257300064960901</v>
      </c>
      <c r="J4670">
        <v>0.173823251098283</v>
      </c>
      <c r="K4670">
        <v>0.12694042986090201</v>
      </c>
      <c r="L4670">
        <v>899.04347655785296</v>
      </c>
      <c r="M4670">
        <v>18.563548365511199</v>
      </c>
      <c r="N4670">
        <v>49.441862974247996</v>
      </c>
      <c r="O4670">
        <v>47.879066062854903</v>
      </c>
      <c r="P4670">
        <v>-8.1621407890366704E-2</v>
      </c>
      <c r="Q4670">
        <v>0.157965736048258</v>
      </c>
      <c r="R4670">
        <v>0.99787722294603898</v>
      </c>
      <c r="S4670" t="s">
        <v>10981</v>
      </c>
      <c r="T4670" t="s">
        <v>12620</v>
      </c>
      <c r="U4670" t="s">
        <v>12620</v>
      </c>
      <c r="V4670" t="s">
        <v>12620</v>
      </c>
      <c r="W4670" t="s">
        <v>17236</v>
      </c>
      <c r="X4670">
        <v>5</v>
      </c>
      <c r="Y4670" t="s">
        <v>23346</v>
      </c>
      <c r="Z4670" t="s">
        <v>29617</v>
      </c>
      <c r="AA4670">
        <v>0.40845253889074062</v>
      </c>
      <c r="AB4670" t="str">
        <f>HYPERLINK("Melting_Curves/meltCurve_Q96EK7_FAM120B.pdf", "Melting_Curves/meltCurve_Q96EK7_FAM120B.pdf")</f>
        <v>Melting_Curves/meltCurve_Q96EK7_FAM120B.pdf</v>
      </c>
    </row>
    <row r="4671" spans="1:28" x14ac:dyDescent="0.25">
      <c r="A4671" t="s">
        <v>4675</v>
      </c>
      <c r="B4671">
        <v>0.99987803227770999</v>
      </c>
      <c r="C4671">
        <v>0.65672407977079506</v>
      </c>
      <c r="D4671">
        <v>0.67636511059946802</v>
      </c>
      <c r="E4671">
        <v>0.42423597434122901</v>
      </c>
      <c r="F4671">
        <v>0.36243071557231099</v>
      </c>
      <c r="G4671">
        <v>0.20659070189571599</v>
      </c>
      <c r="H4671">
        <v>0.210711706044624</v>
      </c>
      <c r="I4671">
        <v>0.16378997478409399</v>
      </c>
      <c r="J4671">
        <v>0.184819274900002</v>
      </c>
      <c r="K4671">
        <v>0.14354191985312201</v>
      </c>
      <c r="L4671">
        <v>521.31431114674604</v>
      </c>
      <c r="M4671">
        <v>11.0527960103047</v>
      </c>
      <c r="N4671">
        <v>48.5048214837432</v>
      </c>
      <c r="O4671">
        <v>45.700823595766401</v>
      </c>
      <c r="P4671">
        <v>-5.25304825793797E-2</v>
      </c>
      <c r="Q4671">
        <v>0.131481199223455</v>
      </c>
      <c r="R4671">
        <v>0.95571955804838604</v>
      </c>
      <c r="S4671" t="s">
        <v>10982</v>
      </c>
      <c r="T4671" t="s">
        <v>12620</v>
      </c>
      <c r="U4671" t="s">
        <v>12620</v>
      </c>
      <c r="V4671" t="s">
        <v>12620</v>
      </c>
      <c r="W4671" t="s">
        <v>17237</v>
      </c>
      <c r="X4671">
        <v>4</v>
      </c>
      <c r="Y4671" t="s">
        <v>23347</v>
      </c>
      <c r="Z4671" t="s">
        <v>29618</v>
      </c>
      <c r="AA4671">
        <v>0.3806072323950197</v>
      </c>
      <c r="AB4671" t="str">
        <f>HYPERLINK("Melting_Curves/meltCurve_Q96EK9_KTI12.pdf", "Melting_Curves/meltCurve_Q96EK9_KTI12.pdf")</f>
        <v>Melting_Curves/meltCurve_Q96EK9_KTI12.pdf</v>
      </c>
    </row>
    <row r="4672" spans="1:28" x14ac:dyDescent="0.25">
      <c r="A4672" t="s">
        <v>4676</v>
      </c>
      <c r="B4672">
        <v>0.99987803227770999</v>
      </c>
      <c r="C4672">
        <v>0.88236796782042104</v>
      </c>
      <c r="D4672">
        <v>0.98970470655384402</v>
      </c>
      <c r="E4672">
        <v>0.60627168431168599</v>
      </c>
      <c r="F4672">
        <v>0.37848956075717899</v>
      </c>
      <c r="G4672">
        <v>0.186043452726465</v>
      </c>
      <c r="H4672">
        <v>0.12609672188111501</v>
      </c>
      <c r="I4672">
        <v>0.110012135241234</v>
      </c>
      <c r="J4672">
        <v>8.8990257107788295E-2</v>
      </c>
      <c r="K4672">
        <v>8.2224620377968002E-2</v>
      </c>
      <c r="L4672">
        <v>1084.5129562827201</v>
      </c>
      <c r="M4672">
        <v>21.285853105934699</v>
      </c>
      <c r="N4672">
        <v>51.440817333121402</v>
      </c>
      <c r="O4672">
        <v>50.506646738477698</v>
      </c>
      <c r="P4672">
        <v>-9.5680253567638193E-2</v>
      </c>
      <c r="Q4672">
        <v>9.1910328942342606E-2</v>
      </c>
      <c r="R4672">
        <v>0.98754762576761701</v>
      </c>
      <c r="S4672" t="s">
        <v>10983</v>
      </c>
      <c r="T4672" t="s">
        <v>12620</v>
      </c>
      <c r="U4672" t="s">
        <v>12620</v>
      </c>
      <c r="V4672" t="s">
        <v>12620</v>
      </c>
      <c r="W4672" t="s">
        <v>17238</v>
      </c>
      <c r="X4672">
        <v>4</v>
      </c>
      <c r="Y4672" t="s">
        <v>23348</v>
      </c>
      <c r="Z4672" t="s">
        <v>29619</v>
      </c>
      <c r="AA4672">
        <v>0.434566081296833</v>
      </c>
      <c r="AB4672" t="str">
        <f>HYPERLINK("Melting_Curves/meltCurve_Q96EL3_MRPL53.pdf", "Melting_Curves/meltCurve_Q96EL3_MRPL53.pdf")</f>
        <v>Melting_Curves/meltCurve_Q96EL3_MRPL53.pdf</v>
      </c>
    </row>
    <row r="4673" spans="1:28" x14ac:dyDescent="0.25">
      <c r="A4673" t="s">
        <v>4677</v>
      </c>
      <c r="B4673">
        <v>0.99987803227770999</v>
      </c>
      <c r="C4673">
        <v>1.0216383921338399</v>
      </c>
      <c r="D4673">
        <v>1.0824491267435801</v>
      </c>
      <c r="E4673">
        <v>0.84190500574806004</v>
      </c>
      <c r="F4673">
        <v>0.65442753392614905</v>
      </c>
      <c r="G4673">
        <v>0.291200201574777</v>
      </c>
      <c r="H4673">
        <v>0.111679691195485</v>
      </c>
      <c r="I4673">
        <v>7.9775153187792894E-2</v>
      </c>
      <c r="J4673">
        <v>5.5477518415213499E-2</v>
      </c>
      <c r="K4673">
        <v>3.7750818242308998E-2</v>
      </c>
      <c r="L4673">
        <v>1209.76292042369</v>
      </c>
      <c r="M4673">
        <v>22.279155842986398</v>
      </c>
      <c r="N4673">
        <v>54.502378081951598</v>
      </c>
      <c r="O4673">
        <v>53.868414673589498</v>
      </c>
      <c r="P4673">
        <v>-9.9297766569621998E-2</v>
      </c>
      <c r="Q4673">
        <v>3.9658464858436299E-2</v>
      </c>
      <c r="R4673">
        <v>0.99331865844233203</v>
      </c>
      <c r="S4673" t="s">
        <v>10984</v>
      </c>
      <c r="T4673" t="s">
        <v>12620</v>
      </c>
      <c r="U4673" t="s">
        <v>12620</v>
      </c>
      <c r="V4673" t="s">
        <v>12620</v>
      </c>
      <c r="W4673" t="s">
        <v>17239</v>
      </c>
      <c r="X4673">
        <v>13</v>
      </c>
      <c r="Y4673" t="s">
        <v>23349</v>
      </c>
      <c r="Z4673" t="s">
        <v>29620</v>
      </c>
      <c r="AA4673">
        <v>0.50830832141114957</v>
      </c>
      <c r="AB4673" t="str">
        <f>HYPERLINK("Melting_Curves/meltCurve_Q96EM0_L3HYPDH.pdf", "Melting_Curves/meltCurve_Q96EM0_L3HYPDH.pdf")</f>
        <v>Melting_Curves/meltCurve_Q96EM0_L3HYPDH.pdf</v>
      </c>
    </row>
    <row r="4674" spans="1:28" x14ac:dyDescent="0.25">
      <c r="A4674" t="s">
        <v>4678</v>
      </c>
      <c r="B4674">
        <v>0.99987803227770999</v>
      </c>
      <c r="C4674">
        <v>1.00440938471438</v>
      </c>
      <c r="D4674">
        <v>0.96336954181135404</v>
      </c>
      <c r="E4674">
        <v>0.866300119870269</v>
      </c>
      <c r="F4674">
        <v>0.62707303159233496</v>
      </c>
      <c r="G4674">
        <v>0.49324151146685802</v>
      </c>
      <c r="H4674">
        <v>0.322972660673916</v>
      </c>
      <c r="I4674">
        <v>0.19308890050369601</v>
      </c>
      <c r="J4674">
        <v>0.11962006415288</v>
      </c>
      <c r="K4674">
        <v>4.9389377222443201E-2</v>
      </c>
      <c r="L4674">
        <v>700.64111074352297</v>
      </c>
      <c r="M4674">
        <v>12.392613478793001</v>
      </c>
      <c r="N4674">
        <v>56.536993596992097</v>
      </c>
      <c r="O4674">
        <v>55.125341311938698</v>
      </c>
      <c r="P4674">
        <v>-5.6213938752318102E-2</v>
      </c>
      <c r="Q4674">
        <v>0</v>
      </c>
      <c r="R4674">
        <v>0.99270375504869701</v>
      </c>
      <c r="S4674" t="s">
        <v>10985</v>
      </c>
      <c r="T4674" t="s">
        <v>12620</v>
      </c>
      <c r="U4674" t="s">
        <v>12620</v>
      </c>
      <c r="V4674" t="s">
        <v>12620</v>
      </c>
      <c r="W4674" t="s">
        <v>17240</v>
      </c>
      <c r="X4674">
        <v>11</v>
      </c>
      <c r="Y4674" t="s">
        <v>23350</v>
      </c>
      <c r="Z4674" t="s">
        <v>29621</v>
      </c>
      <c r="AA4674">
        <v>0.56964298974410721</v>
      </c>
      <c r="AB4674" t="str">
        <f>HYPERLINK("Melting_Curves/meltCurve_Q96EN8_MOCOS.pdf", "Melting_Curves/meltCurve_Q96EN8_MOCOS.pdf")</f>
        <v>Melting_Curves/meltCurve_Q96EN8_MOCOS.pdf</v>
      </c>
    </row>
    <row r="4675" spans="1:28" x14ac:dyDescent="0.25">
      <c r="A4675" t="s">
        <v>4679</v>
      </c>
      <c r="B4675">
        <v>0.99987803227770999</v>
      </c>
      <c r="C4675">
        <v>1.07039884731521</v>
      </c>
      <c r="D4675">
        <v>0.90225087542023696</v>
      </c>
      <c r="E4675">
        <v>0.847042338838916</v>
      </c>
      <c r="F4675">
        <v>0.47235700578745998</v>
      </c>
      <c r="G4675">
        <v>0.29747441561737498</v>
      </c>
      <c r="H4675">
        <v>0.24754687211485399</v>
      </c>
      <c r="I4675">
        <v>0.20975460838866999</v>
      </c>
      <c r="J4675">
        <v>0.186981440117513</v>
      </c>
      <c r="K4675">
        <v>0.15263992441312901</v>
      </c>
      <c r="L4675">
        <v>1362.60963994996</v>
      </c>
      <c r="M4675">
        <v>26.135487345049199</v>
      </c>
      <c r="N4675">
        <v>53.135455619574998</v>
      </c>
      <c r="O4675">
        <v>51.834015494994603</v>
      </c>
      <c r="P4675">
        <v>-0.10158576820276501</v>
      </c>
      <c r="Q4675">
        <v>0.194116589757103</v>
      </c>
      <c r="R4675">
        <v>0.98527097250205598</v>
      </c>
      <c r="S4675" t="s">
        <v>10986</v>
      </c>
      <c r="T4675" t="s">
        <v>12620</v>
      </c>
      <c r="U4675" t="s">
        <v>12620</v>
      </c>
      <c r="V4675" t="s">
        <v>12620</v>
      </c>
      <c r="W4675" t="s">
        <v>17241</v>
      </c>
      <c r="X4675">
        <v>8</v>
      </c>
      <c r="Y4675" t="s">
        <v>23351</v>
      </c>
      <c r="Z4675" t="s">
        <v>29622</v>
      </c>
      <c r="AA4675">
        <v>0.52689530942102958</v>
      </c>
      <c r="AB4675" t="str">
        <f>HYPERLINK("Melting_Curves/meltCurve_Q96EP0_RNF31.pdf", "Melting_Curves/meltCurve_Q96EP0_RNF31.pdf")</f>
        <v>Melting_Curves/meltCurve_Q96EP0_RNF31.pdf</v>
      </c>
    </row>
    <row r="4676" spans="1:28" x14ac:dyDescent="0.25">
      <c r="A4676" t="s">
        <v>4680</v>
      </c>
      <c r="B4676">
        <v>0.99987803227770999</v>
      </c>
      <c r="C4676">
        <v>0.92430734683280902</v>
      </c>
      <c r="D4676">
        <v>0.925741925298873</v>
      </c>
      <c r="E4676">
        <v>0.75084535036495403</v>
      </c>
      <c r="F4676">
        <v>0.71420178531067102</v>
      </c>
      <c r="G4676">
        <v>0.57278119083899404</v>
      </c>
      <c r="H4676">
        <v>0.55487672686934297</v>
      </c>
      <c r="I4676">
        <v>0.48580200822244102</v>
      </c>
      <c r="J4676">
        <v>0.512018319708472</v>
      </c>
      <c r="K4676">
        <v>0.41203428732232</v>
      </c>
      <c r="L4676">
        <v>536.76784603580199</v>
      </c>
      <c r="M4676">
        <v>10.1832121160143</v>
      </c>
      <c r="N4676">
        <v>63.340332918964599</v>
      </c>
      <c r="O4676">
        <v>50.799549977834303</v>
      </c>
      <c r="P4676">
        <v>-2.96079250616809E-2</v>
      </c>
      <c r="Q4676">
        <v>0.40946457260411001</v>
      </c>
      <c r="R4676">
        <v>0.97826498061704004</v>
      </c>
      <c r="S4676" t="s">
        <v>10987</v>
      </c>
      <c r="T4676" t="s">
        <v>12620</v>
      </c>
      <c r="U4676" t="s">
        <v>12620</v>
      </c>
      <c r="V4676" t="s">
        <v>12620</v>
      </c>
      <c r="W4676" t="s">
        <v>17242</v>
      </c>
      <c r="X4676">
        <v>4</v>
      </c>
      <c r="Y4676" t="s">
        <v>23352</v>
      </c>
      <c r="Z4676" t="s">
        <v>29623</v>
      </c>
      <c r="AA4676">
        <v>0.68016759787143455</v>
      </c>
      <c r="AB4676" t="str">
        <f>HYPERLINK("Melting_Curves/meltCurve_Q96EP1_2_CHFR.pdf", "Melting_Curves/meltCurve_Q96EP1_2_CHFR.pdf")</f>
        <v>Melting_Curves/meltCurve_Q96EP1_2_CHFR.pdf</v>
      </c>
    </row>
    <row r="4677" spans="1:28" x14ac:dyDescent="0.25">
      <c r="A4677" t="s">
        <v>4681</v>
      </c>
      <c r="B4677">
        <v>0.99987803227770999</v>
      </c>
      <c r="C4677">
        <v>0.88891504169565905</v>
      </c>
      <c r="D4677">
        <v>1.10885932731723</v>
      </c>
      <c r="E4677">
        <v>0.90082974021879703</v>
      </c>
      <c r="F4677">
        <v>1.0287965298211399</v>
      </c>
      <c r="G4677">
        <v>0.83105342151481099</v>
      </c>
      <c r="H4677">
        <v>0.69104183602063396</v>
      </c>
      <c r="I4677">
        <v>0.52145471659885401</v>
      </c>
      <c r="J4677">
        <v>0.32343163050311302</v>
      </c>
      <c r="K4677">
        <v>0.205671557606631</v>
      </c>
      <c r="L4677">
        <v>991.36590749770505</v>
      </c>
      <c r="M4677">
        <v>15.481369019508399</v>
      </c>
      <c r="N4677">
        <v>64.036062115079503</v>
      </c>
      <c r="O4677">
        <v>62.9961436526781</v>
      </c>
      <c r="P4677">
        <v>-6.1443248921854703E-2</v>
      </c>
      <c r="Q4677">
        <v>0</v>
      </c>
      <c r="R4677">
        <v>0.95449407297732503</v>
      </c>
      <c r="S4677" t="s">
        <v>10988</v>
      </c>
      <c r="T4677" t="s">
        <v>12620</v>
      </c>
      <c r="U4677" t="s">
        <v>12620</v>
      </c>
      <c r="V4677" t="s">
        <v>12620</v>
      </c>
      <c r="W4677" t="s">
        <v>17243</v>
      </c>
      <c r="X4677">
        <v>7</v>
      </c>
      <c r="Y4677" t="s">
        <v>23353</v>
      </c>
      <c r="Z4677" t="s">
        <v>29624</v>
      </c>
      <c r="AA4677">
        <v>0.78571127463788737</v>
      </c>
      <c r="AB4677" t="str">
        <f>HYPERLINK("Melting_Curves/meltCurve_Q96EP5_DAZAP1.pdf", "Melting_Curves/meltCurve_Q96EP5_DAZAP1.pdf")</f>
        <v>Melting_Curves/meltCurve_Q96EP5_DAZAP1.pdf</v>
      </c>
    </row>
    <row r="4678" spans="1:28" x14ac:dyDescent="0.25">
      <c r="A4678" t="s">
        <v>4682</v>
      </c>
      <c r="B4678">
        <v>0.99987803227770999</v>
      </c>
      <c r="C4678">
        <v>0.97567885174725399</v>
      </c>
      <c r="D4678">
        <v>1.04118715204332</v>
      </c>
      <c r="E4678">
        <v>1.06613997905688</v>
      </c>
      <c r="F4678">
        <v>1.1804852315832901</v>
      </c>
      <c r="G4678">
        <v>0.89707782496382205</v>
      </c>
      <c r="H4678">
        <v>0.65057810151690898</v>
      </c>
      <c r="I4678">
        <v>0.57014672173000502</v>
      </c>
      <c r="J4678">
        <v>0.425959025410732</v>
      </c>
      <c r="K4678">
        <v>0.28198809821947401</v>
      </c>
      <c r="L4678">
        <v>1360.9882064467299</v>
      </c>
      <c r="M4678">
        <v>21.8438955707806</v>
      </c>
      <c r="N4678">
        <v>64.459701042904996</v>
      </c>
      <c r="O4678">
        <v>61.790073754504</v>
      </c>
      <c r="P4678">
        <v>-6.5484293413098804E-2</v>
      </c>
      <c r="Q4678">
        <v>0.25907237742486899</v>
      </c>
      <c r="R4678">
        <v>0.93455766544289498</v>
      </c>
      <c r="S4678" t="s">
        <v>10989</v>
      </c>
      <c r="T4678" t="s">
        <v>12620</v>
      </c>
      <c r="U4678" t="s">
        <v>12620</v>
      </c>
      <c r="V4678" t="s">
        <v>12620</v>
      </c>
      <c r="W4678" t="s">
        <v>17244</v>
      </c>
      <c r="X4678">
        <v>3</v>
      </c>
      <c r="Y4678" t="s">
        <v>23354</v>
      </c>
      <c r="Z4678" t="s">
        <v>29625</v>
      </c>
      <c r="AA4678">
        <v>0.81221091786115485</v>
      </c>
      <c r="AB4678" t="str">
        <f>HYPERLINK("Melting_Curves/meltCurve_Q96EQ0_SGTB.pdf", "Melting_Curves/meltCurve_Q96EQ0_SGTB.pdf")</f>
        <v>Melting_Curves/meltCurve_Q96EQ0_SGTB.pdf</v>
      </c>
    </row>
    <row r="4679" spans="1:28" x14ac:dyDescent="0.25">
      <c r="A4679" t="s">
        <v>4683</v>
      </c>
      <c r="B4679">
        <v>0.99987803227770999</v>
      </c>
      <c r="C4679">
        <v>1.0053991317970601</v>
      </c>
      <c r="D4679">
        <v>1.00619103669275</v>
      </c>
      <c r="E4679">
        <v>0.93291668714210896</v>
      </c>
      <c r="F4679">
        <v>0.607453508727827</v>
      </c>
      <c r="G4679">
        <v>0.280337780855342</v>
      </c>
      <c r="H4679">
        <v>0.15166829355741401</v>
      </c>
      <c r="I4679">
        <v>0.117615346937327</v>
      </c>
      <c r="J4679">
        <v>7.9872547061787896E-2</v>
      </c>
      <c r="K4679">
        <v>4.6674195925082498E-2</v>
      </c>
      <c r="L4679">
        <v>1363.95814466723</v>
      </c>
      <c r="M4679">
        <v>25.288030738913399</v>
      </c>
      <c r="N4679">
        <v>54.315134608661801</v>
      </c>
      <c r="O4679">
        <v>53.603004406834103</v>
      </c>
      <c r="P4679">
        <v>-0.10842116061723001</v>
      </c>
      <c r="Q4679">
        <v>8.0731064553258097E-2</v>
      </c>
      <c r="R4679">
        <v>0.99641314848240004</v>
      </c>
      <c r="S4679" t="s">
        <v>10990</v>
      </c>
      <c r="T4679" t="s">
        <v>12620</v>
      </c>
      <c r="U4679" t="s">
        <v>12620</v>
      </c>
      <c r="V4679" t="s">
        <v>12620</v>
      </c>
      <c r="W4679" t="s">
        <v>13363</v>
      </c>
      <c r="X4679">
        <v>12</v>
      </c>
      <c r="Y4679" t="s">
        <v>19606</v>
      </c>
      <c r="Z4679" t="s">
        <v>29626</v>
      </c>
      <c r="AA4679">
        <v>0.51611863850415685</v>
      </c>
      <c r="AB4679" t="str">
        <f>HYPERLINK("Melting_Curves/meltCurve_Q96ER3_SAAL1.pdf", "Melting_Curves/meltCurve_Q96ER3_SAAL1.pdf")</f>
        <v>Melting_Curves/meltCurve_Q96ER3_SAAL1.pdf</v>
      </c>
    </row>
    <row r="4680" spans="1:28" x14ac:dyDescent="0.25">
      <c r="A4680" t="s">
        <v>4684</v>
      </c>
      <c r="B4680">
        <v>0.99987803227770999</v>
      </c>
      <c r="C4680">
        <v>1.0066806623261</v>
      </c>
      <c r="D4680">
        <v>1.01988327001276</v>
      </c>
      <c r="E4680">
        <v>1.0394170071696001</v>
      </c>
      <c r="F4680">
        <v>0.66523747529426502</v>
      </c>
      <c r="G4680">
        <v>0.23163831424342099</v>
      </c>
      <c r="H4680">
        <v>0.109722365976782</v>
      </c>
      <c r="I4680">
        <v>9.0074262291826607E-2</v>
      </c>
      <c r="J4680">
        <v>4.97280281655667E-2</v>
      </c>
      <c r="K4680">
        <v>4.3253422468382097E-2</v>
      </c>
      <c r="L4680">
        <v>1893.45985798076</v>
      </c>
      <c r="M4680">
        <v>34.976958174336197</v>
      </c>
      <c r="N4680">
        <v>54.371356126486099</v>
      </c>
      <c r="O4680">
        <v>53.958451805381102</v>
      </c>
      <c r="P4680">
        <v>-0.15060354715343599</v>
      </c>
      <c r="Q4680">
        <v>7.0667557096046996E-2</v>
      </c>
      <c r="R4680">
        <v>0.99357285236042503</v>
      </c>
      <c r="S4680" t="s">
        <v>10991</v>
      </c>
      <c r="T4680" t="s">
        <v>12620</v>
      </c>
      <c r="U4680" t="s">
        <v>12620</v>
      </c>
      <c r="V4680" t="s">
        <v>12620</v>
      </c>
      <c r="W4680" t="s">
        <v>17245</v>
      </c>
      <c r="X4680">
        <v>1</v>
      </c>
      <c r="Y4680" t="s">
        <v>23355</v>
      </c>
      <c r="Z4680" t="s">
        <v>29627</v>
      </c>
      <c r="AA4680">
        <v>0.51305296800429478</v>
      </c>
      <c r="AB4680" t="str">
        <f>HYPERLINK("Melting_Curves/meltCurve_Q96ES7_CCDC101.pdf", "Melting_Curves/meltCurve_Q96ES7_CCDC101.pdf")</f>
        <v>Melting_Curves/meltCurve_Q96ES7_CCDC101.pdf</v>
      </c>
    </row>
    <row r="4681" spans="1:28" x14ac:dyDescent="0.25">
      <c r="A4681" t="s">
        <v>4685</v>
      </c>
      <c r="B4681">
        <v>0.99987803227770999</v>
      </c>
      <c r="C4681">
        <v>0.838040151456378</v>
      </c>
      <c r="D4681">
        <v>1.1982248856019999</v>
      </c>
      <c r="E4681">
        <v>0.79000528461788799</v>
      </c>
      <c r="F4681">
        <v>0.91121332250701703</v>
      </c>
      <c r="G4681">
        <v>0.71723315756219996</v>
      </c>
      <c r="H4681">
        <v>0.71417396793229804</v>
      </c>
      <c r="I4681">
        <v>0.66199170816211195</v>
      </c>
      <c r="J4681">
        <v>0.61309857415000202</v>
      </c>
      <c r="K4681">
        <v>0.51731939172341701</v>
      </c>
      <c r="L4681">
        <v>514.82636937527104</v>
      </c>
      <c r="M4681">
        <v>8.5422961629817706</v>
      </c>
      <c r="O4681">
        <v>57.237500062713401</v>
      </c>
      <c r="P4681">
        <v>-2.1850078613865901E-2</v>
      </c>
      <c r="Q4681">
        <v>0.41489321748244101</v>
      </c>
      <c r="R4681">
        <v>0.71910562513071996</v>
      </c>
      <c r="S4681" t="s">
        <v>10992</v>
      </c>
      <c r="T4681" t="s">
        <v>12620</v>
      </c>
      <c r="U4681" t="s">
        <v>12620</v>
      </c>
      <c r="V4681" t="s">
        <v>12620</v>
      </c>
      <c r="W4681" t="s">
        <v>17246</v>
      </c>
      <c r="X4681">
        <v>16</v>
      </c>
      <c r="Y4681" t="s">
        <v>23356</v>
      </c>
      <c r="Z4681" t="s">
        <v>29628</v>
      </c>
      <c r="AA4681">
        <v>0.80198565359205098</v>
      </c>
      <c r="AB4681" t="str">
        <f>HYPERLINK("Melting_Curves/meltCurve_Q96EV2_RBM33.pdf", "Melting_Curves/meltCurve_Q96EV2_RBM33.pdf")</f>
        <v>Melting_Curves/meltCurve_Q96EV2_RBM33.pdf</v>
      </c>
    </row>
    <row r="4682" spans="1:28" x14ac:dyDescent="0.25">
      <c r="A4682" t="s">
        <v>4686</v>
      </c>
      <c r="B4682">
        <v>0.99987803227770999</v>
      </c>
      <c r="C4682">
        <v>1.1245367749951101</v>
      </c>
      <c r="D4682">
        <v>0.98324830774858496</v>
      </c>
      <c r="E4682">
        <v>1.0504804605738201</v>
      </c>
      <c r="F4682">
        <v>0.81710522838745603</v>
      </c>
      <c r="G4682">
        <v>0.70895751003998697</v>
      </c>
      <c r="H4682">
        <v>0.49891293446846602</v>
      </c>
      <c r="I4682">
        <v>0.364207201689074</v>
      </c>
      <c r="J4682">
        <v>0.33745227854690002</v>
      </c>
      <c r="K4682">
        <v>0.28087918783014598</v>
      </c>
      <c r="L4682">
        <v>1012.60999367862</v>
      </c>
      <c r="M4682">
        <v>17.3820992226747</v>
      </c>
      <c r="N4682">
        <v>60.694923635388299</v>
      </c>
      <c r="O4682">
        <v>57.501279289209201</v>
      </c>
      <c r="P4682">
        <v>-5.6581827089054001E-2</v>
      </c>
      <c r="Q4682">
        <v>0.25133510703615902</v>
      </c>
      <c r="R4682">
        <v>0.96827520706326697</v>
      </c>
      <c r="S4682" t="s">
        <v>10993</v>
      </c>
      <c r="T4682" t="s">
        <v>12620</v>
      </c>
      <c r="U4682" t="s">
        <v>12620</v>
      </c>
      <c r="V4682" t="s">
        <v>12620</v>
      </c>
      <c r="W4682" t="s">
        <v>17247</v>
      </c>
      <c r="X4682">
        <v>7</v>
      </c>
      <c r="Y4682" t="s">
        <v>23357</v>
      </c>
      <c r="Z4682" t="s">
        <v>29629</v>
      </c>
      <c r="AA4682">
        <v>0.71605289485171941</v>
      </c>
      <c r="AB4682" t="str">
        <f>HYPERLINK("Melting_Curves/meltCurve_Q96EV8_DTNBP1.pdf", "Melting_Curves/meltCurve_Q96EV8_DTNBP1.pdf")</f>
        <v>Melting_Curves/meltCurve_Q96EV8_DTNBP1.pdf</v>
      </c>
    </row>
    <row r="4683" spans="1:28" x14ac:dyDescent="0.25">
      <c r="A4683" t="s">
        <v>4687</v>
      </c>
      <c r="B4683">
        <v>0.99987803227770999</v>
      </c>
      <c r="C4683">
        <v>1.02412097081155</v>
      </c>
      <c r="D4683">
        <v>0.94505048098319899</v>
      </c>
      <c r="E4683">
        <v>0.64960353816196204</v>
      </c>
      <c r="F4683">
        <v>0.377807519667887</v>
      </c>
      <c r="G4683">
        <v>0.24404574876150301</v>
      </c>
      <c r="H4683">
        <v>0.21750493749539701</v>
      </c>
      <c r="I4683">
        <v>0.12018433155904901</v>
      </c>
      <c r="J4683">
        <v>9.5256835747304702E-2</v>
      </c>
      <c r="K4683">
        <v>7.2897578589578196E-2</v>
      </c>
      <c r="L4683">
        <v>1036.4673228327499</v>
      </c>
      <c r="M4683">
        <v>20.2636177262548</v>
      </c>
      <c r="N4683">
        <v>51.808940039746602</v>
      </c>
      <c r="O4683">
        <v>50.658844836635197</v>
      </c>
      <c r="P4683">
        <v>-8.8630992420319299E-2</v>
      </c>
      <c r="Q4683">
        <v>0.11372093448253</v>
      </c>
      <c r="R4683">
        <v>0.991167481352354</v>
      </c>
      <c r="S4683" t="s">
        <v>10994</v>
      </c>
      <c r="T4683" t="s">
        <v>12620</v>
      </c>
      <c r="U4683" t="s">
        <v>12620</v>
      </c>
      <c r="V4683" t="s">
        <v>12620</v>
      </c>
      <c r="W4683" t="s">
        <v>17248</v>
      </c>
      <c r="X4683">
        <v>2</v>
      </c>
      <c r="Y4683" t="s">
        <v>23358</v>
      </c>
      <c r="Z4683" t="s">
        <v>29630</v>
      </c>
      <c r="AA4683">
        <v>0.4550987398203078</v>
      </c>
      <c r="AB4683" t="str">
        <f>HYPERLINK("Melting_Curves/meltCurve_Q96EW2_HSPBAP1.pdf", "Melting_Curves/meltCurve_Q96EW2_HSPBAP1.pdf")</f>
        <v>Melting_Curves/meltCurve_Q96EW2_HSPBAP1.pdf</v>
      </c>
    </row>
    <row r="4684" spans="1:28" x14ac:dyDescent="0.25">
      <c r="A4684" t="s">
        <v>4688</v>
      </c>
      <c r="B4684">
        <v>0.99987803227770999</v>
      </c>
      <c r="C4684">
        <v>0.96770913961798999</v>
      </c>
      <c r="D4684">
        <v>0.86972677215014904</v>
      </c>
      <c r="E4684">
        <v>0.70059565788747902</v>
      </c>
      <c r="F4684">
        <v>0.445758321420059</v>
      </c>
      <c r="G4684">
        <v>0.27255646999081101</v>
      </c>
      <c r="H4684">
        <v>0.195485042180151</v>
      </c>
      <c r="I4684">
        <v>0.17961521186488899</v>
      </c>
      <c r="J4684">
        <v>0.141403454456004</v>
      </c>
      <c r="K4684">
        <v>0.124310190510343</v>
      </c>
      <c r="L4684">
        <v>839.02254173196502</v>
      </c>
      <c r="M4684">
        <v>16.276858635771301</v>
      </c>
      <c r="N4684">
        <v>52.474006445095803</v>
      </c>
      <c r="O4684">
        <v>50.7877428192784</v>
      </c>
      <c r="P4684">
        <v>-7.0115746406303706E-2</v>
      </c>
      <c r="Q4684">
        <v>0.124951813424743</v>
      </c>
      <c r="R4684">
        <v>0.997851978430632</v>
      </c>
      <c r="S4684" t="s">
        <v>10995</v>
      </c>
      <c r="T4684" t="s">
        <v>12620</v>
      </c>
      <c r="U4684" t="s">
        <v>12620</v>
      </c>
      <c r="V4684" t="s">
        <v>12620</v>
      </c>
      <c r="W4684" t="s">
        <v>17249</v>
      </c>
      <c r="X4684">
        <v>3</v>
      </c>
      <c r="Y4684" t="s">
        <v>23359</v>
      </c>
      <c r="Z4684" t="s">
        <v>29631</v>
      </c>
      <c r="AA4684">
        <v>0.47915167839582817</v>
      </c>
      <c r="AB4684" t="str">
        <f>HYPERLINK("Melting_Curves/meltCurve_Q96EX3_WDR34.pdf", "Melting_Curves/meltCurve_Q96EX3_WDR34.pdf")</f>
        <v>Melting_Curves/meltCurve_Q96EX3_WDR34.pdf</v>
      </c>
    </row>
    <row r="4685" spans="1:28" x14ac:dyDescent="0.25">
      <c r="A4685" t="s">
        <v>4689</v>
      </c>
      <c r="B4685">
        <v>0.99987803227770999</v>
      </c>
      <c r="C4685">
        <v>0.99022417269130403</v>
      </c>
      <c r="D4685">
        <v>0.92223979471638895</v>
      </c>
      <c r="E4685">
        <v>1.07516716801514</v>
      </c>
      <c r="F4685">
        <v>0.89976270597414498</v>
      </c>
      <c r="G4685">
        <v>0.58874567771603703</v>
      </c>
      <c r="H4685">
        <v>0.487737600350023</v>
      </c>
      <c r="I4685">
        <v>0.47283679285080998</v>
      </c>
      <c r="J4685">
        <v>0.37965564469994501</v>
      </c>
      <c r="K4685">
        <v>0.28128210210653198</v>
      </c>
      <c r="L4685">
        <v>1397.7147983346099</v>
      </c>
      <c r="M4685">
        <v>24.793072943102398</v>
      </c>
      <c r="N4685">
        <v>59.503355104266603</v>
      </c>
      <c r="O4685">
        <v>56.012293982214103</v>
      </c>
      <c r="P4685">
        <v>-7.0358602797442604E-2</v>
      </c>
      <c r="Q4685">
        <v>0.36419466289993702</v>
      </c>
      <c r="R4685">
        <v>0.95717718156202602</v>
      </c>
      <c r="S4685" t="s">
        <v>10996</v>
      </c>
      <c r="T4685" t="s">
        <v>12620</v>
      </c>
      <c r="U4685" t="s">
        <v>12620</v>
      </c>
      <c r="V4685" t="s">
        <v>12620</v>
      </c>
      <c r="W4685" t="s">
        <v>17250</v>
      </c>
      <c r="X4685">
        <v>1</v>
      </c>
      <c r="Y4685" t="s">
        <v>23360</v>
      </c>
      <c r="Z4685" t="s">
        <v>29632</v>
      </c>
      <c r="AA4685">
        <v>0.71712567172598896</v>
      </c>
      <c r="AB4685" t="str">
        <f>HYPERLINK("Melting_Curves/meltCurve_Q96EY1_2_DNAJA3.pdf", "Melting_Curves/meltCurve_Q96EY1_2_DNAJA3.pdf")</f>
        <v>Melting_Curves/meltCurve_Q96EY1_2_DNAJA3.pdf</v>
      </c>
    </row>
    <row r="4686" spans="1:28" x14ac:dyDescent="0.25">
      <c r="A4686" t="s">
        <v>4690</v>
      </c>
      <c r="B4686">
        <v>0.99987803227770999</v>
      </c>
      <c r="C4686">
        <v>1.0620069895977</v>
      </c>
      <c r="D4686">
        <v>1.01791378182569</v>
      </c>
      <c r="E4686">
        <v>1.01499612524158</v>
      </c>
      <c r="F4686">
        <v>0.798217464474132</v>
      </c>
      <c r="G4686">
        <v>0.47429572130215197</v>
      </c>
      <c r="H4686">
        <v>0.30202139292998997</v>
      </c>
      <c r="I4686">
        <v>0.231928837093312</v>
      </c>
      <c r="J4686">
        <v>0.199353051695283</v>
      </c>
      <c r="K4686">
        <v>0.16181842327950299</v>
      </c>
      <c r="L4686">
        <v>1369.3797386628601</v>
      </c>
      <c r="M4686">
        <v>24.5694896118363</v>
      </c>
      <c r="N4686">
        <v>56.813306064685399</v>
      </c>
      <c r="O4686">
        <v>55.369698066458596</v>
      </c>
      <c r="P4686">
        <v>-9.0262372512681696E-2</v>
      </c>
      <c r="Q4686">
        <v>0.18635234350312799</v>
      </c>
      <c r="R4686">
        <v>0.99209426491002495</v>
      </c>
      <c r="S4686" t="s">
        <v>10997</v>
      </c>
      <c r="T4686" t="s">
        <v>12620</v>
      </c>
      <c r="U4686" t="s">
        <v>12620</v>
      </c>
      <c r="V4686" t="s">
        <v>12620</v>
      </c>
      <c r="W4686" t="s">
        <v>17251</v>
      </c>
      <c r="X4686">
        <v>4</v>
      </c>
      <c r="Y4686" t="s">
        <v>23361</v>
      </c>
      <c r="Z4686" t="s">
        <v>29633</v>
      </c>
      <c r="AA4686">
        <v>0.62082258346223684</v>
      </c>
      <c r="AB4686" t="str">
        <f>HYPERLINK("Melting_Curves/meltCurve_Q96EY4_TMA16.pdf", "Melting_Curves/meltCurve_Q96EY4_TMA16.pdf")</f>
        <v>Melting_Curves/meltCurve_Q96EY4_TMA16.pdf</v>
      </c>
    </row>
    <row r="4687" spans="1:28" x14ac:dyDescent="0.25">
      <c r="A4687" t="s">
        <v>4691</v>
      </c>
      <c r="B4687">
        <v>0.99987803227770999</v>
      </c>
      <c r="C4687">
        <v>0.91502489260254605</v>
      </c>
      <c r="D4687">
        <v>0.95149763850032099</v>
      </c>
      <c r="E4687">
        <v>0.60943094152619304</v>
      </c>
      <c r="F4687">
        <v>0.42313000477155999</v>
      </c>
      <c r="G4687">
        <v>0.24363982945537099</v>
      </c>
      <c r="H4687">
        <v>0.19720122820541</v>
      </c>
      <c r="I4687">
        <v>0.192084580105187</v>
      </c>
      <c r="J4687">
        <v>0.142311800315543</v>
      </c>
      <c r="K4687">
        <v>0.120492135643504</v>
      </c>
      <c r="L4687">
        <v>953.74390628221101</v>
      </c>
      <c r="M4687">
        <v>18.7679438149448</v>
      </c>
      <c r="N4687">
        <v>51.765941361108403</v>
      </c>
      <c r="O4687">
        <v>50.251286766029303</v>
      </c>
      <c r="P4687">
        <v>-7.9792326034500302E-2</v>
      </c>
      <c r="Q4687">
        <v>0.14545753938727399</v>
      </c>
      <c r="R4687">
        <v>0.99165161570401095</v>
      </c>
      <c r="S4687" t="s">
        <v>10998</v>
      </c>
      <c r="T4687" t="s">
        <v>12620</v>
      </c>
      <c r="U4687" t="s">
        <v>12620</v>
      </c>
      <c r="V4687" t="s">
        <v>12620</v>
      </c>
      <c r="W4687" t="s">
        <v>17252</v>
      </c>
      <c r="X4687">
        <v>4</v>
      </c>
      <c r="Y4687" t="s">
        <v>23362</v>
      </c>
      <c r="Z4687" t="s">
        <v>29634</v>
      </c>
      <c r="AA4687">
        <v>0.46696146701667701</v>
      </c>
      <c r="AB4687" t="str">
        <f>HYPERLINK("Melting_Curves/meltCurve_Q96EY5_3_MVB12A.pdf", "Melting_Curves/meltCurve_Q96EY5_3_MVB12A.pdf")</f>
        <v>Melting_Curves/meltCurve_Q96EY5_3_MVB12A.pdf</v>
      </c>
    </row>
    <row r="4688" spans="1:28" x14ac:dyDescent="0.25">
      <c r="A4688" t="s">
        <v>4692</v>
      </c>
      <c r="B4688">
        <v>0.99987803227770999</v>
      </c>
      <c r="C4688">
        <v>0.89090481146728395</v>
      </c>
      <c r="D4688">
        <v>0.91911246054557805</v>
      </c>
      <c r="E4688">
        <v>0.79155606887083896</v>
      </c>
      <c r="F4688">
        <v>0.69145759626151604</v>
      </c>
      <c r="G4688">
        <v>0.25900802419283903</v>
      </c>
      <c r="H4688">
        <v>0.25548443731979598</v>
      </c>
      <c r="I4688">
        <v>0.20959451685616501</v>
      </c>
      <c r="J4688">
        <v>0.174513829581667</v>
      </c>
      <c r="K4688">
        <v>0.15687932733733401</v>
      </c>
      <c r="L4688">
        <v>997.555327617893</v>
      </c>
      <c r="M4688">
        <v>18.6732270670296</v>
      </c>
      <c r="N4688">
        <v>54.484051646279497</v>
      </c>
      <c r="O4688">
        <v>52.8203380119201</v>
      </c>
      <c r="P4688">
        <v>-7.4898128167467104E-2</v>
      </c>
      <c r="Q4688">
        <v>0.15258897633992499</v>
      </c>
      <c r="R4688">
        <v>0.97362280959820902</v>
      </c>
      <c r="S4688" t="s">
        <v>10999</v>
      </c>
      <c r="T4688" t="s">
        <v>12620</v>
      </c>
      <c r="U4688" t="s">
        <v>12620</v>
      </c>
      <c r="V4688" t="s">
        <v>12620</v>
      </c>
      <c r="W4688" t="s">
        <v>17253</v>
      </c>
      <c r="X4688">
        <v>1</v>
      </c>
      <c r="Y4688" t="s">
        <v>23363</v>
      </c>
      <c r="Z4688" t="s">
        <v>29635</v>
      </c>
      <c r="AA4688">
        <v>0.54469442586966532</v>
      </c>
      <c r="AB4688" t="str">
        <f>HYPERLINK("Melting_Curves/meltCurve_Q96EY7_PTCD3.pdf", "Melting_Curves/meltCurve_Q96EY7_PTCD3.pdf")</f>
        <v>Melting_Curves/meltCurve_Q96EY7_PTCD3.pdf</v>
      </c>
    </row>
    <row r="4689" spans="1:28" x14ac:dyDescent="0.25">
      <c r="A4689" t="s">
        <v>4693</v>
      </c>
      <c r="B4689">
        <v>0.99987803227770999</v>
      </c>
      <c r="C4689">
        <v>0.99636589452916702</v>
      </c>
      <c r="D4689">
        <v>1.0131703936084799</v>
      </c>
      <c r="E4689">
        <v>0.97450599380186398</v>
      </c>
      <c r="F4689">
        <v>1.0105173972111301</v>
      </c>
      <c r="G4689">
        <v>0.82657501117599796</v>
      </c>
      <c r="H4689">
        <v>0.65311246799472999</v>
      </c>
      <c r="I4689">
        <v>0.421884030688088</v>
      </c>
      <c r="J4689">
        <v>0.22936177742005301</v>
      </c>
      <c r="K4689">
        <v>0.13517712635022</v>
      </c>
      <c r="L4689">
        <v>1147.69836200797</v>
      </c>
      <c r="M4689">
        <v>18.266822514273599</v>
      </c>
      <c r="N4689">
        <v>62.829667458827203</v>
      </c>
      <c r="O4689">
        <v>62.0912010785052</v>
      </c>
      <c r="P4689">
        <v>-7.3551783784674293E-2</v>
      </c>
      <c r="Q4689">
        <v>0</v>
      </c>
      <c r="R4689">
        <v>0.99580879669089695</v>
      </c>
      <c r="S4689" t="s">
        <v>11000</v>
      </c>
      <c r="T4689" t="s">
        <v>12620</v>
      </c>
      <c r="U4689" t="s">
        <v>12620</v>
      </c>
      <c r="V4689" t="s">
        <v>12620</v>
      </c>
      <c r="W4689" t="s">
        <v>17254</v>
      </c>
      <c r="X4689">
        <v>8</v>
      </c>
      <c r="Y4689" t="s">
        <v>23364</v>
      </c>
      <c r="Z4689" t="s">
        <v>29636</v>
      </c>
      <c r="AA4689">
        <v>0.75897950380554446</v>
      </c>
      <c r="AB4689" t="str">
        <f>HYPERLINK("Melting_Curves/meltCurve_Q96EY8_MMAB.pdf", "Melting_Curves/meltCurve_Q96EY8_MMAB.pdf")</f>
        <v>Melting_Curves/meltCurve_Q96EY8_MMAB.pdf</v>
      </c>
    </row>
    <row r="4690" spans="1:28" x14ac:dyDescent="0.25">
      <c r="A4690" t="s">
        <v>4694</v>
      </c>
      <c r="B4690">
        <v>0.99987803227770999</v>
      </c>
      <c r="C4690">
        <v>1.09643211027349</v>
      </c>
      <c r="D4690">
        <v>0.92776867246412298</v>
      </c>
      <c r="E4690">
        <v>0.93686425477658297</v>
      </c>
      <c r="F4690">
        <v>0.76078473607286001</v>
      </c>
      <c r="G4690">
        <v>0.83245771122180801</v>
      </c>
      <c r="H4690">
        <v>0.461875067744833</v>
      </c>
      <c r="I4690">
        <v>0.33068068602622003</v>
      </c>
      <c r="J4690">
        <v>0.18589645104812799</v>
      </c>
      <c r="K4690">
        <v>0.129188074341377</v>
      </c>
      <c r="L4690">
        <v>850.24157773085301</v>
      </c>
      <c r="M4690">
        <v>14.000082131979401</v>
      </c>
      <c r="N4690">
        <v>60.731185077785199</v>
      </c>
      <c r="O4690">
        <v>59.532357948964801</v>
      </c>
      <c r="P4690">
        <v>-5.8799681444997698E-2</v>
      </c>
      <c r="Q4690">
        <v>0</v>
      </c>
      <c r="R4690">
        <v>0.96119221016428502</v>
      </c>
      <c r="S4690" t="s">
        <v>11001</v>
      </c>
      <c r="T4690" t="s">
        <v>12620</v>
      </c>
      <c r="U4690" t="s">
        <v>12620</v>
      </c>
      <c r="V4690" t="s">
        <v>12620</v>
      </c>
      <c r="W4690" t="s">
        <v>17255</v>
      </c>
      <c r="X4690">
        <v>6</v>
      </c>
      <c r="Y4690" t="s">
        <v>23365</v>
      </c>
      <c r="Z4690" t="s">
        <v>29637</v>
      </c>
      <c r="AA4690">
        <v>0.69332359838111612</v>
      </c>
      <c r="AB4690" t="str">
        <f>HYPERLINK("Melting_Curves/meltCurve_Q96EY9_ADAT3.pdf", "Melting_Curves/meltCurve_Q96EY9_ADAT3.pdf")</f>
        <v>Melting_Curves/meltCurve_Q96EY9_ADAT3.pdf</v>
      </c>
    </row>
    <row r="4691" spans="1:28" x14ac:dyDescent="0.25">
      <c r="A4691" t="s">
        <v>4695</v>
      </c>
      <c r="B4691">
        <v>0.99987803227770999</v>
      </c>
      <c r="C4691">
        <v>0.92853343013003597</v>
      </c>
      <c r="D4691">
        <v>1.0725091692031199</v>
      </c>
      <c r="E4691">
        <v>1.1077102918739801</v>
      </c>
      <c r="F4691">
        <v>1.32518616720587</v>
      </c>
      <c r="G4691">
        <v>1.26625298394877</v>
      </c>
      <c r="H4691">
        <v>1.3210352490179</v>
      </c>
      <c r="I4691">
        <v>1.3071081208774</v>
      </c>
      <c r="J4691">
        <v>1.2699394984477801</v>
      </c>
      <c r="K4691">
        <v>0.97677019322482495</v>
      </c>
      <c r="L4691">
        <v>12511.906615518599</v>
      </c>
      <c r="M4691">
        <v>250</v>
      </c>
      <c r="O4691">
        <v>50.044407275942</v>
      </c>
      <c r="P4691">
        <v>0.30520638096942598</v>
      </c>
      <c r="Q4691">
        <v>1.2443820394748499</v>
      </c>
      <c r="R4691">
        <v>0.55070308421018299</v>
      </c>
      <c r="S4691" t="s">
        <v>11002</v>
      </c>
      <c r="T4691" t="s">
        <v>12620</v>
      </c>
      <c r="U4691" t="s">
        <v>12620</v>
      </c>
      <c r="V4691" t="s">
        <v>12620</v>
      </c>
      <c r="W4691" t="s">
        <v>17256</v>
      </c>
      <c r="X4691">
        <v>5</v>
      </c>
      <c r="Y4691" t="s">
        <v>23366</v>
      </c>
      <c r="Z4691" t="s">
        <v>29638</v>
      </c>
      <c r="AA4691">
        <v>1.1625119264919279</v>
      </c>
      <c r="AB4691" t="str">
        <f>HYPERLINK("Melting_Curves/meltCurve_Q96F24_NRBF2.pdf", "Melting_Curves/meltCurve_Q96F24_NRBF2.pdf")</f>
        <v>Melting_Curves/meltCurve_Q96F24_NRBF2.pdf</v>
      </c>
    </row>
    <row r="4692" spans="1:28" x14ac:dyDescent="0.25">
      <c r="A4692" t="s">
        <v>4696</v>
      </c>
      <c r="B4692">
        <v>0.99987803227770999</v>
      </c>
      <c r="C4692">
        <v>1.11160845247004</v>
      </c>
      <c r="D4692">
        <v>0.99139040461755601</v>
      </c>
      <c r="E4692">
        <v>0.88896787632239804</v>
      </c>
      <c r="F4692">
        <v>0.54221632744816495</v>
      </c>
      <c r="G4692">
        <v>0.30715719531848701</v>
      </c>
      <c r="H4692">
        <v>0.21507747540214101</v>
      </c>
      <c r="I4692">
        <v>0.198560040217277</v>
      </c>
      <c r="J4692">
        <v>0.155072715227762</v>
      </c>
      <c r="K4692">
        <v>0.13261050751042</v>
      </c>
      <c r="L4692">
        <v>1425.0155783246</v>
      </c>
      <c r="M4692">
        <v>26.923256266691499</v>
      </c>
      <c r="N4692">
        <v>53.759513616338801</v>
      </c>
      <c r="O4692">
        <v>52.639380921327401</v>
      </c>
      <c r="P4692">
        <v>-0.106108552588227</v>
      </c>
      <c r="Q4692">
        <v>0.17016986342671001</v>
      </c>
      <c r="R4692">
        <v>0.987090051364927</v>
      </c>
      <c r="S4692" t="s">
        <v>11003</v>
      </c>
      <c r="T4692" t="s">
        <v>12620</v>
      </c>
      <c r="U4692" t="s">
        <v>12620</v>
      </c>
      <c r="V4692" t="s">
        <v>12620</v>
      </c>
      <c r="W4692" t="s">
        <v>17257</v>
      </c>
      <c r="X4692">
        <v>12</v>
      </c>
      <c r="Y4692" t="s">
        <v>23367</v>
      </c>
      <c r="Z4692" t="s">
        <v>29639</v>
      </c>
      <c r="AA4692">
        <v>0.53442632738507667</v>
      </c>
      <c r="AB4692" t="str">
        <f>HYPERLINK("Melting_Curves/meltCurve_Q96F44_3_TRIM11.pdf", "Melting_Curves/meltCurve_Q96F44_3_TRIM11.pdf")</f>
        <v>Melting_Curves/meltCurve_Q96F44_3_TRIM11.pdf</v>
      </c>
    </row>
    <row r="4693" spans="1:28" x14ac:dyDescent="0.25">
      <c r="A4693" t="s">
        <v>4697</v>
      </c>
      <c r="B4693">
        <v>0.99987803227770999</v>
      </c>
      <c r="C4693">
        <v>0.86559270897410301</v>
      </c>
      <c r="D4693">
        <v>1.0251786161232199</v>
      </c>
      <c r="E4693">
        <v>0.833316668726654</v>
      </c>
      <c r="F4693">
        <v>1.1105651713659299</v>
      </c>
      <c r="G4693">
        <v>1.07752692628475</v>
      </c>
      <c r="H4693">
        <v>1.0238514046201099</v>
      </c>
      <c r="I4693">
        <v>0.84883524245971598</v>
      </c>
      <c r="J4693">
        <v>0.87349768377181503</v>
      </c>
      <c r="K4693">
        <v>0.77849994052257099</v>
      </c>
      <c r="L4693">
        <v>15000</v>
      </c>
      <c r="M4693">
        <v>236.26395970042799</v>
      </c>
      <c r="O4693">
        <v>63.483763186591297</v>
      </c>
      <c r="P4693">
        <v>-0.161898537767941</v>
      </c>
      <c r="Q4693">
        <v>0.82599244640214498</v>
      </c>
      <c r="R4693">
        <v>0.42540894023405701</v>
      </c>
      <c r="S4693" t="s">
        <v>11004</v>
      </c>
      <c r="T4693" t="s">
        <v>12620</v>
      </c>
      <c r="U4693" t="s">
        <v>12620</v>
      </c>
      <c r="V4693" t="s">
        <v>12620</v>
      </c>
      <c r="W4693" t="s">
        <v>17258</v>
      </c>
      <c r="X4693">
        <v>1</v>
      </c>
      <c r="Y4693" t="s">
        <v>23368</v>
      </c>
      <c r="Z4693" t="s">
        <v>29640</v>
      </c>
      <c r="AA4693">
        <v>0.96225227893751042</v>
      </c>
      <c r="AB4693" t="str">
        <f>HYPERLINK("Melting_Curves/meltCurve_Q96F46_IL17RA.pdf", "Melting_Curves/meltCurve_Q96F46_IL17RA.pdf")</f>
        <v>Melting_Curves/meltCurve_Q96F46_IL17RA.pdf</v>
      </c>
    </row>
    <row r="4694" spans="1:28" x14ac:dyDescent="0.25">
      <c r="A4694" t="s">
        <v>4698</v>
      </c>
      <c r="B4694">
        <v>0.99987803227770999</v>
      </c>
      <c r="C4694">
        <v>0.93321690953821301</v>
      </c>
      <c r="D4694">
        <v>0.97409643958513603</v>
      </c>
      <c r="E4694">
        <v>1.08963601694185</v>
      </c>
      <c r="F4694">
        <v>1.23463913947837</v>
      </c>
      <c r="G4694">
        <v>1.13444121547039</v>
      </c>
      <c r="H4694">
        <v>1.1928305154799099</v>
      </c>
      <c r="I4694">
        <v>1.2148636468341201</v>
      </c>
      <c r="J4694">
        <v>1.07483369647475</v>
      </c>
      <c r="K4694">
        <v>0.93933973504200696</v>
      </c>
      <c r="L4694">
        <v>12462.3193983254</v>
      </c>
      <c r="M4694">
        <v>250</v>
      </c>
      <c r="O4694">
        <v>49.846088467875902</v>
      </c>
      <c r="P4694">
        <v>0.16528960520827199</v>
      </c>
      <c r="Q4694">
        <v>1.1318246420165701</v>
      </c>
      <c r="R4694">
        <v>0.42991043605085</v>
      </c>
      <c r="S4694" t="s">
        <v>11005</v>
      </c>
      <c r="T4694" t="s">
        <v>12620</v>
      </c>
      <c r="U4694" t="s">
        <v>12620</v>
      </c>
      <c r="V4694" t="s">
        <v>12620</v>
      </c>
      <c r="W4694" t="s">
        <v>17259</v>
      </c>
      <c r="X4694">
        <v>8</v>
      </c>
      <c r="Y4694" t="s">
        <v>23369</v>
      </c>
      <c r="Z4694" t="s">
        <v>29641</v>
      </c>
      <c r="AA4694">
        <v>1.0885338596145131</v>
      </c>
      <c r="AB4694" t="str">
        <f>HYPERLINK("Melting_Curves/meltCurve_Q96F63_CCDC97.pdf", "Melting_Curves/meltCurve_Q96F63_CCDC97.pdf")</f>
        <v>Melting_Curves/meltCurve_Q96F63_CCDC97.pdf</v>
      </c>
    </row>
    <row r="4695" spans="1:28" x14ac:dyDescent="0.25">
      <c r="A4695" t="s">
        <v>4699</v>
      </c>
      <c r="B4695">
        <v>0.99987803227770999</v>
      </c>
      <c r="C4695">
        <v>0.95778263672516095</v>
      </c>
      <c r="D4695">
        <v>0.90545399267244897</v>
      </c>
      <c r="E4695">
        <v>0.84812358354723005</v>
      </c>
      <c r="F4695">
        <v>0.69595224439522296</v>
      </c>
      <c r="G4695">
        <v>0.55621805191092599</v>
      </c>
      <c r="H4695">
        <v>0.67601461355443304</v>
      </c>
      <c r="I4695">
        <v>0.59887919388306798</v>
      </c>
      <c r="J4695">
        <v>0.58331951899255197</v>
      </c>
      <c r="K4695">
        <v>0.43908593428917903</v>
      </c>
      <c r="L4695">
        <v>612.38850712473595</v>
      </c>
      <c r="M4695">
        <v>11.820020249458301</v>
      </c>
      <c r="O4695">
        <v>50.3932010115997</v>
      </c>
      <c r="P4695">
        <v>-2.8572672998078402E-2</v>
      </c>
      <c r="Q4695">
        <v>0.51286001532175096</v>
      </c>
      <c r="R4695">
        <v>0.908279259393589</v>
      </c>
      <c r="S4695" t="s">
        <v>11006</v>
      </c>
      <c r="T4695" t="s">
        <v>12620</v>
      </c>
      <c r="U4695" t="s">
        <v>12620</v>
      </c>
      <c r="V4695" t="s">
        <v>12620</v>
      </c>
      <c r="W4695" t="s">
        <v>17260</v>
      </c>
      <c r="X4695">
        <v>11</v>
      </c>
      <c r="Y4695" t="s">
        <v>23370</v>
      </c>
      <c r="Z4695" t="s">
        <v>29642</v>
      </c>
      <c r="AA4695">
        <v>0.72002000546225886</v>
      </c>
      <c r="AB4695" t="str">
        <f>HYPERLINK("Melting_Curves/meltCurve_Q96F86_EDC3.pdf", "Melting_Curves/meltCurve_Q96F86_EDC3.pdf")</f>
        <v>Melting_Curves/meltCurve_Q96F86_EDC3.pdf</v>
      </c>
    </row>
    <row r="4696" spans="1:28" x14ac:dyDescent="0.25">
      <c r="A4696" t="s">
        <v>4700</v>
      </c>
      <c r="B4696">
        <v>0.99987803227770999</v>
      </c>
      <c r="C4696">
        <v>1.03670337292967</v>
      </c>
      <c r="D4696">
        <v>1.02700976763037</v>
      </c>
      <c r="E4696">
        <v>0.918943169355254</v>
      </c>
      <c r="F4696">
        <v>0.87600186759632803</v>
      </c>
      <c r="G4696">
        <v>0.59611233875045699</v>
      </c>
      <c r="H4696">
        <v>0.48649923162403003</v>
      </c>
      <c r="I4696">
        <v>0.42680766617851701</v>
      </c>
      <c r="J4696">
        <v>0.31829569683722397</v>
      </c>
      <c r="K4696">
        <v>0.33830836548589099</v>
      </c>
      <c r="L4696">
        <v>1022.86894286206</v>
      </c>
      <c r="M4696">
        <v>18.077932434043898</v>
      </c>
      <c r="N4696">
        <v>59.913836113098398</v>
      </c>
      <c r="O4696">
        <v>55.902360832084199</v>
      </c>
      <c r="P4696">
        <v>-5.5213439442509102E-2</v>
      </c>
      <c r="Q4696">
        <v>0.31708741290166798</v>
      </c>
      <c r="R4696">
        <v>0.988396037477559</v>
      </c>
      <c r="S4696" t="s">
        <v>11007</v>
      </c>
      <c r="T4696" t="s">
        <v>12620</v>
      </c>
      <c r="U4696" t="s">
        <v>12620</v>
      </c>
      <c r="V4696" t="s">
        <v>12620</v>
      </c>
      <c r="W4696" t="s">
        <v>17261</v>
      </c>
      <c r="X4696">
        <v>3</v>
      </c>
      <c r="Y4696" t="s">
        <v>23371</v>
      </c>
      <c r="Z4696" t="s">
        <v>29643</v>
      </c>
      <c r="AA4696">
        <v>0.70417526583955625</v>
      </c>
      <c r="AB4696" t="str">
        <f>HYPERLINK("Melting_Curves/meltCurve_Q96FF9_CDCA5.pdf", "Melting_Curves/meltCurve_Q96FF9_CDCA5.pdf")</f>
        <v>Melting_Curves/meltCurve_Q96FF9_CDCA5.pdf</v>
      </c>
    </row>
    <row r="4697" spans="1:28" x14ac:dyDescent="0.25">
      <c r="A4697" t="s">
        <v>4701</v>
      </c>
      <c r="B4697">
        <v>0.99987803227770999</v>
      </c>
      <c r="C4697">
        <v>1.1623428010393599</v>
      </c>
      <c r="D4697">
        <v>1.0318185488182501</v>
      </c>
      <c r="E4697">
        <v>1.0365163040613301</v>
      </c>
      <c r="F4697">
        <v>0.84703479153453798</v>
      </c>
      <c r="G4697">
        <v>0.72198344270728898</v>
      </c>
      <c r="H4697">
        <v>0.52386113313300997</v>
      </c>
      <c r="I4697">
        <v>0.47258101016446602</v>
      </c>
      <c r="J4697">
        <v>0.333493516519971</v>
      </c>
      <c r="K4697">
        <v>0.262751694863124</v>
      </c>
      <c r="L4697">
        <v>883.58440401747805</v>
      </c>
      <c r="M4697">
        <v>14.793588501771501</v>
      </c>
      <c r="N4697">
        <v>61.914996624140301</v>
      </c>
      <c r="O4697">
        <v>58.668008463783899</v>
      </c>
      <c r="P4697">
        <v>-5.0214387182934903E-2</v>
      </c>
      <c r="Q4697">
        <v>0.203529794580775</v>
      </c>
      <c r="R4697">
        <v>0.95632764888655397</v>
      </c>
      <c r="S4697" t="s">
        <v>11008</v>
      </c>
      <c r="T4697" t="s">
        <v>12620</v>
      </c>
      <c r="U4697" t="s">
        <v>12620</v>
      </c>
      <c r="V4697" t="s">
        <v>12620</v>
      </c>
      <c r="W4697" t="s">
        <v>17262</v>
      </c>
      <c r="X4697">
        <v>3</v>
      </c>
      <c r="Y4697" t="s">
        <v>23372</v>
      </c>
      <c r="Z4697" t="s">
        <v>29644</v>
      </c>
      <c r="AA4697">
        <v>0.73346931592208298</v>
      </c>
      <c r="AB4697" t="str">
        <f>HYPERLINK("Melting_Curves/meltCurve_Q96FH0_MEF2BNB.pdf", "Melting_Curves/meltCurve_Q96FH0_MEF2BNB.pdf")</f>
        <v>Melting_Curves/meltCurve_Q96FH0_MEF2BNB.pdf</v>
      </c>
    </row>
    <row r="4698" spans="1:28" x14ac:dyDescent="0.25">
      <c r="A4698" t="s">
        <v>4702</v>
      </c>
      <c r="B4698">
        <v>0.99987803227770999</v>
      </c>
      <c r="C4698">
        <v>0.87906951759306995</v>
      </c>
      <c r="D4698">
        <v>1.05333915827053</v>
      </c>
      <c r="E4698">
        <v>0.801871200405045</v>
      </c>
      <c r="F4698">
        <v>0.84271773524099802</v>
      </c>
      <c r="G4698">
        <v>0.35249672849618802</v>
      </c>
      <c r="H4698">
        <v>0.13845253657282799</v>
      </c>
      <c r="I4698">
        <v>0.120443260181369</v>
      </c>
      <c r="J4698">
        <v>6.21404604814009E-2</v>
      </c>
      <c r="K4698">
        <v>3.5296706641735898E-2</v>
      </c>
      <c r="L4698">
        <v>1256.6933698656801</v>
      </c>
      <c r="M4698">
        <v>22.622910748859098</v>
      </c>
      <c r="N4698">
        <v>55.755750798142103</v>
      </c>
      <c r="O4698">
        <v>55.121016571686503</v>
      </c>
      <c r="P4698">
        <v>-9.8490961344835398E-2</v>
      </c>
      <c r="Q4698">
        <v>4.0121336059546202E-2</v>
      </c>
      <c r="R4698">
        <v>0.97265440863573505</v>
      </c>
      <c r="S4698" t="s">
        <v>11009</v>
      </c>
      <c r="T4698" t="s">
        <v>12620</v>
      </c>
      <c r="U4698" t="s">
        <v>12620</v>
      </c>
      <c r="V4698" t="s">
        <v>12620</v>
      </c>
      <c r="W4698" t="s">
        <v>17263</v>
      </c>
      <c r="X4698">
        <v>6</v>
      </c>
      <c r="Y4698" t="s">
        <v>23373</v>
      </c>
      <c r="Z4698" t="s">
        <v>29645</v>
      </c>
      <c r="AA4698">
        <v>0.54808367438906613</v>
      </c>
      <c r="AB4698" t="str">
        <f>HYPERLINK("Melting_Curves/meltCurve_Q96FJ0_STAMBPL1.pdf", "Melting_Curves/meltCurve_Q96FJ0_STAMBPL1.pdf")</f>
        <v>Melting_Curves/meltCurve_Q96FJ0_STAMBPL1.pdf</v>
      </c>
    </row>
    <row r="4699" spans="1:28" x14ac:dyDescent="0.25">
      <c r="A4699" t="s">
        <v>4703</v>
      </c>
      <c r="B4699">
        <v>0.99987803227770999</v>
      </c>
      <c r="C4699">
        <v>1.14989901092501</v>
      </c>
      <c r="D4699">
        <v>1.0292797451221101</v>
      </c>
      <c r="E4699">
        <v>1.2928767218097701</v>
      </c>
      <c r="F4699">
        <v>0.99237778566972401</v>
      </c>
      <c r="G4699">
        <v>1.2031279134570501</v>
      </c>
      <c r="H4699">
        <v>0.59656526991720704</v>
      </c>
      <c r="I4699">
        <v>0.49247513679474902</v>
      </c>
      <c r="J4699">
        <v>0.24605388340852999</v>
      </c>
      <c r="K4699">
        <v>0.131977834011169</v>
      </c>
      <c r="L4699">
        <v>1983.7169382295001</v>
      </c>
      <c r="M4699">
        <v>31.771423083157199</v>
      </c>
      <c r="N4699">
        <v>63.108638904725098</v>
      </c>
      <c r="O4699">
        <v>62.191349269175298</v>
      </c>
      <c r="P4699">
        <v>-0.1093995390066</v>
      </c>
      <c r="Q4699">
        <v>0.14342273614936701</v>
      </c>
      <c r="R4699">
        <v>0.87534485279208096</v>
      </c>
      <c r="S4699" t="s">
        <v>11010</v>
      </c>
      <c r="T4699" t="s">
        <v>12620</v>
      </c>
      <c r="U4699" t="s">
        <v>12620</v>
      </c>
      <c r="V4699" t="s">
        <v>12620</v>
      </c>
      <c r="W4699" t="s">
        <v>17264</v>
      </c>
      <c r="X4699">
        <v>5</v>
      </c>
      <c r="Y4699" t="s">
        <v>23374</v>
      </c>
      <c r="Z4699" t="s">
        <v>29646</v>
      </c>
      <c r="AA4699">
        <v>0.78753176764371535</v>
      </c>
      <c r="AB4699" t="str">
        <f>HYPERLINK("Melting_Curves/meltCurve_Q96FJ2_DYNLL2.pdf", "Melting_Curves/meltCurve_Q96FJ2_DYNLL2.pdf")</f>
        <v>Melting_Curves/meltCurve_Q96FJ2_DYNLL2.pdf</v>
      </c>
    </row>
    <row r="4700" spans="1:28" x14ac:dyDescent="0.25">
      <c r="A4700" t="s">
        <v>4704</v>
      </c>
      <c r="B4700">
        <v>0.99987803227770999</v>
      </c>
      <c r="C4700">
        <v>0.940707039625157</v>
      </c>
      <c r="D4700">
        <v>1.04171592729622</v>
      </c>
      <c r="E4700">
        <v>0.93484206346916199</v>
      </c>
      <c r="F4700">
        <v>0.91900280798935796</v>
      </c>
      <c r="G4700">
        <v>0.49917066361722301</v>
      </c>
      <c r="H4700">
        <v>0.13857019188001299</v>
      </c>
      <c r="I4700">
        <v>0.10928345518615799</v>
      </c>
      <c r="J4700">
        <v>6.3316578428339099E-2</v>
      </c>
      <c r="K4700">
        <v>6.5610439650807803E-2</v>
      </c>
      <c r="L4700">
        <v>1816.8655708829101</v>
      </c>
      <c r="M4700">
        <v>32.0302498481893</v>
      </c>
      <c r="N4700">
        <v>56.968253080574399</v>
      </c>
      <c r="O4700">
        <v>56.503698275829599</v>
      </c>
      <c r="P4700">
        <v>-0.13260567620373701</v>
      </c>
      <c r="Q4700">
        <v>6.4300359557422596E-2</v>
      </c>
      <c r="R4700">
        <v>0.99481074769592504</v>
      </c>
      <c r="S4700" t="s">
        <v>11011</v>
      </c>
      <c r="T4700" t="s">
        <v>12620</v>
      </c>
      <c r="U4700" t="s">
        <v>12620</v>
      </c>
      <c r="V4700" t="s">
        <v>12620</v>
      </c>
      <c r="W4700" t="s">
        <v>17265</v>
      </c>
      <c r="X4700">
        <v>2</v>
      </c>
      <c r="Y4700" t="s">
        <v>23375</v>
      </c>
      <c r="Z4700" t="s">
        <v>29647</v>
      </c>
      <c r="AA4700">
        <v>0.59144592426483478</v>
      </c>
      <c r="AB4700" t="str">
        <f>HYPERLINK("Melting_Curves/meltCurve_Q96FK6_WDR89.pdf", "Melting_Curves/meltCurve_Q96FK6_WDR89.pdf")</f>
        <v>Melting_Curves/meltCurve_Q96FK6_WDR89.pdf</v>
      </c>
    </row>
    <row r="4701" spans="1:28" x14ac:dyDescent="0.25">
      <c r="A4701" t="s">
        <v>4705</v>
      </c>
      <c r="B4701">
        <v>0.99987803227770999</v>
      </c>
      <c r="C4701">
        <v>1.04852955304757</v>
      </c>
      <c r="D4701">
        <v>0.86314234302945103</v>
      </c>
      <c r="E4701">
        <v>0.93138652642219899</v>
      </c>
      <c r="F4701">
        <v>0.73685267374932795</v>
      </c>
      <c r="G4701">
        <v>0.63924084692829197</v>
      </c>
      <c r="H4701">
        <v>0.55010494874353399</v>
      </c>
      <c r="I4701">
        <v>0.42486112638680901</v>
      </c>
      <c r="J4701">
        <v>0.12598396037554699</v>
      </c>
      <c r="K4701">
        <v>0.103129539566754</v>
      </c>
      <c r="L4701">
        <v>669.77175748250397</v>
      </c>
      <c r="M4701">
        <v>11.1536066794981</v>
      </c>
      <c r="N4701">
        <v>60.049791692108997</v>
      </c>
      <c r="O4701">
        <v>58.216453711263703</v>
      </c>
      <c r="P4701">
        <v>-4.7912459422572197E-2</v>
      </c>
      <c r="Q4701">
        <v>0</v>
      </c>
      <c r="R4701">
        <v>0.94680533639119902</v>
      </c>
      <c r="S4701" t="s">
        <v>11012</v>
      </c>
      <c r="T4701" t="s">
        <v>12620</v>
      </c>
      <c r="U4701" t="s">
        <v>12620</v>
      </c>
      <c r="V4701" t="s">
        <v>12620</v>
      </c>
      <c r="W4701" t="s">
        <v>17266</v>
      </c>
      <c r="X4701">
        <v>4</v>
      </c>
      <c r="Y4701" t="s">
        <v>23376</v>
      </c>
      <c r="Z4701" t="s">
        <v>29648</v>
      </c>
      <c r="AA4701">
        <v>0.66811364586033772</v>
      </c>
      <c r="AB4701" t="str">
        <f>HYPERLINK("Melting_Curves/meltCurve_Q96FN9_DTD2.pdf", "Melting_Curves/meltCurve_Q96FN9_DTD2.pdf")</f>
        <v>Melting_Curves/meltCurve_Q96FN9_DTD2.pdf</v>
      </c>
    </row>
    <row r="4702" spans="1:28" x14ac:dyDescent="0.25">
      <c r="A4702" t="s">
        <v>4706</v>
      </c>
      <c r="B4702">
        <v>0.99987803227770999</v>
      </c>
      <c r="C4702">
        <v>0.86656345338414498</v>
      </c>
      <c r="D4702">
        <v>0.93216153883340402</v>
      </c>
      <c r="E4702">
        <v>0.78913106024498303</v>
      </c>
      <c r="F4702">
        <v>0.81126018108434905</v>
      </c>
      <c r="G4702">
        <v>0.51401685892035498</v>
      </c>
      <c r="H4702">
        <v>0.380698843586044</v>
      </c>
      <c r="I4702">
        <v>0.29634749837961499</v>
      </c>
      <c r="J4702">
        <v>0.214373854613925</v>
      </c>
      <c r="K4702">
        <v>0.143090538870802</v>
      </c>
      <c r="L4702">
        <v>568.78543891829895</v>
      </c>
      <c r="M4702">
        <v>9.7891743380730496</v>
      </c>
      <c r="N4702">
        <v>58.103514767317897</v>
      </c>
      <c r="O4702">
        <v>55.834459309095003</v>
      </c>
      <c r="P4702">
        <v>-4.3854367532431902E-2</v>
      </c>
      <c r="Q4702">
        <v>0</v>
      </c>
      <c r="R4702">
        <v>0.97590120190252805</v>
      </c>
      <c r="S4702" t="s">
        <v>11013</v>
      </c>
      <c r="T4702" t="s">
        <v>12620</v>
      </c>
      <c r="U4702" t="s">
        <v>12620</v>
      </c>
      <c r="V4702" t="s">
        <v>12620</v>
      </c>
      <c r="W4702" t="s">
        <v>17267</v>
      </c>
      <c r="X4702">
        <v>7</v>
      </c>
      <c r="Y4702" t="s">
        <v>23377</v>
      </c>
      <c r="Z4702" t="s">
        <v>29649</v>
      </c>
      <c r="AA4702">
        <v>0.61222613534082337</v>
      </c>
      <c r="AB4702" t="str">
        <f>HYPERLINK("Melting_Curves/meltCurve_Q96FQ6_S100A16.pdf", "Melting_Curves/meltCurve_Q96FQ6_S100A16.pdf")</f>
        <v>Melting_Curves/meltCurve_Q96FQ6_S100A16.pdf</v>
      </c>
    </row>
    <row r="4703" spans="1:28" x14ac:dyDescent="0.25">
      <c r="A4703" t="s">
        <v>4707</v>
      </c>
      <c r="B4703">
        <v>0.99987803227770999</v>
      </c>
      <c r="C4703">
        <v>0.85636892826172595</v>
      </c>
      <c r="D4703">
        <v>0.91019246645935903</v>
      </c>
      <c r="E4703">
        <v>0.72386433177572296</v>
      </c>
      <c r="F4703">
        <v>0.63997638722677197</v>
      </c>
      <c r="G4703">
        <v>0.49001802137800199</v>
      </c>
      <c r="H4703">
        <v>0.55322288402266295</v>
      </c>
      <c r="I4703">
        <v>0.49051499550219502</v>
      </c>
      <c r="J4703">
        <v>0.55565697997310404</v>
      </c>
      <c r="K4703">
        <v>0.48017299566923999</v>
      </c>
      <c r="L4703">
        <v>687.815658908827</v>
      </c>
      <c r="M4703">
        <v>13.972083919406099</v>
      </c>
      <c r="N4703">
        <v>69.014347392869993</v>
      </c>
      <c r="O4703">
        <v>48.252327230518098</v>
      </c>
      <c r="P4703">
        <v>-3.6859377032341503E-2</v>
      </c>
      <c r="Q4703">
        <v>0.49089525629904601</v>
      </c>
      <c r="R4703">
        <v>0.94209427233065302</v>
      </c>
      <c r="S4703" t="s">
        <v>11014</v>
      </c>
      <c r="T4703" t="s">
        <v>12620</v>
      </c>
      <c r="U4703" t="s">
        <v>12620</v>
      </c>
      <c r="V4703" t="s">
        <v>12620</v>
      </c>
      <c r="W4703" t="s">
        <v>17268</v>
      </c>
      <c r="X4703">
        <v>7</v>
      </c>
      <c r="Y4703" t="s">
        <v>23378</v>
      </c>
      <c r="Z4703" t="s">
        <v>29650</v>
      </c>
      <c r="AA4703">
        <v>0.66168075020813644</v>
      </c>
      <c r="AB4703" t="str">
        <f>HYPERLINK("Melting_Curves/meltCurve_Q96FS4_SIPA1.pdf", "Melting_Curves/meltCurve_Q96FS4_SIPA1.pdf")</f>
        <v>Melting_Curves/meltCurve_Q96FS4_SIPA1.pdf</v>
      </c>
    </row>
    <row r="4704" spans="1:28" x14ac:dyDescent="0.25">
      <c r="A4704" t="s">
        <v>4708</v>
      </c>
      <c r="B4704">
        <v>0.99987803227770999</v>
      </c>
      <c r="C4704">
        <v>0.90171054675445905</v>
      </c>
      <c r="D4704">
        <v>0.94207395851881903</v>
      </c>
      <c r="E4704">
        <v>1.0010105658730399</v>
      </c>
      <c r="F4704">
        <v>1.29265711227435</v>
      </c>
      <c r="G4704">
        <v>1.1666382189878901</v>
      </c>
      <c r="H4704">
        <v>1.0805896818198499</v>
      </c>
      <c r="I4704">
        <v>1.1375186990289201</v>
      </c>
      <c r="J4704">
        <v>1.0500491574848401</v>
      </c>
      <c r="K4704">
        <v>0.85860353414102897</v>
      </c>
      <c r="L4704">
        <v>15000</v>
      </c>
      <c r="M4704">
        <v>212.48193669328799</v>
      </c>
      <c r="Q4704">
        <v>0</v>
      </c>
      <c r="R4704">
        <v>9.2373972312110898E-3</v>
      </c>
      <c r="S4704" t="s">
        <v>11015</v>
      </c>
      <c r="T4704" t="s">
        <v>12620</v>
      </c>
      <c r="U4704" t="s">
        <v>12620</v>
      </c>
      <c r="V4704" t="s">
        <v>12620</v>
      </c>
      <c r="W4704" t="s">
        <v>17269</v>
      </c>
      <c r="X4704">
        <v>4</v>
      </c>
      <c r="Y4704" t="s">
        <v>23379</v>
      </c>
      <c r="Z4704" t="s">
        <v>29651</v>
      </c>
      <c r="AA4704">
        <v>0.99835593687193314</v>
      </c>
      <c r="AB4704" t="str">
        <f>HYPERLINK("Melting_Curves/meltCurve_Q96FT9_IFT43.pdf", "Melting_Curves/meltCurve_Q96FT9_IFT43.pdf")</f>
        <v>Melting_Curves/meltCurve_Q96FT9_IFT43.pdf</v>
      </c>
    </row>
    <row r="4705" spans="1:28" x14ac:dyDescent="0.25">
      <c r="A4705" t="s">
        <v>4709</v>
      </c>
      <c r="B4705">
        <v>0.99987803227770999</v>
      </c>
      <c r="C4705">
        <v>0.38868589894586297</v>
      </c>
      <c r="D4705">
        <v>1.1930449141070101</v>
      </c>
      <c r="E4705">
        <v>0.78841884854830102</v>
      </c>
      <c r="F4705">
        <v>0.48732889565847498</v>
      </c>
      <c r="G4705">
        <v>0.259325979524484</v>
      </c>
      <c r="H4705">
        <v>0.122354073108857</v>
      </c>
      <c r="I4705">
        <v>5.9490794493422101E-2</v>
      </c>
      <c r="J4705">
        <v>4.9200697992254003E-2</v>
      </c>
      <c r="K4705">
        <v>3.57137223274945E-2</v>
      </c>
      <c r="L4705">
        <v>1051.2227767304901</v>
      </c>
      <c r="M4705">
        <v>19.790208048428799</v>
      </c>
      <c r="N4705">
        <v>53.322532861486103</v>
      </c>
      <c r="O4705">
        <v>52.584882281468403</v>
      </c>
      <c r="P4705">
        <v>-9.0656420349881195E-2</v>
      </c>
      <c r="Q4705">
        <v>3.64941526465722E-2</v>
      </c>
      <c r="R4705">
        <v>0.73656480260234802</v>
      </c>
      <c r="S4705" t="s">
        <v>11016</v>
      </c>
      <c r="T4705" t="s">
        <v>12620</v>
      </c>
      <c r="U4705" t="s">
        <v>12620</v>
      </c>
      <c r="V4705" t="s">
        <v>12620</v>
      </c>
      <c r="W4705" t="s">
        <v>17270</v>
      </c>
      <c r="X4705">
        <v>10</v>
      </c>
      <c r="Y4705" t="s">
        <v>23380</v>
      </c>
      <c r="Z4705" t="s">
        <v>29652</v>
      </c>
      <c r="AA4705">
        <v>0.47128978687589501</v>
      </c>
      <c r="AB4705" t="str">
        <f>HYPERLINK("Melting_Curves/meltCurve_Q96FV2_SCRN2.pdf", "Melting_Curves/meltCurve_Q96FV2_SCRN2.pdf")</f>
        <v>Melting_Curves/meltCurve_Q96FV2_SCRN2.pdf</v>
      </c>
    </row>
    <row r="4706" spans="1:28" x14ac:dyDescent="0.25">
      <c r="A4706" t="s">
        <v>4710</v>
      </c>
      <c r="B4706">
        <v>0.99987803227770999</v>
      </c>
      <c r="C4706">
        <v>1.0572457963612401</v>
      </c>
      <c r="D4706">
        <v>1.2864653554333501</v>
      </c>
      <c r="E4706">
        <v>1.0060337161992801</v>
      </c>
      <c r="F4706">
        <v>0.48694906763201001</v>
      </c>
      <c r="G4706">
        <v>0.37332154772229798</v>
      </c>
      <c r="H4706">
        <v>0.264967651152269</v>
      </c>
      <c r="I4706">
        <v>0.18559576036017</v>
      </c>
      <c r="J4706">
        <v>0.21093533864118999</v>
      </c>
      <c r="K4706">
        <v>0.148466136050178</v>
      </c>
      <c r="L4706">
        <v>4360.8969418667202</v>
      </c>
      <c r="M4706">
        <v>82.984786443049302</v>
      </c>
      <c r="N4706">
        <v>52.958509322684698</v>
      </c>
      <c r="O4706">
        <v>52.520065677246301</v>
      </c>
      <c r="P4706">
        <v>-0.30172944334594098</v>
      </c>
      <c r="Q4706">
        <v>0.23615646447062699</v>
      </c>
      <c r="R4706">
        <v>0.93219498262406797</v>
      </c>
      <c r="S4706" t="s">
        <v>11017</v>
      </c>
      <c r="T4706" t="s">
        <v>12620</v>
      </c>
      <c r="U4706" t="s">
        <v>12620</v>
      </c>
      <c r="V4706" t="s">
        <v>12620</v>
      </c>
      <c r="W4706" t="s">
        <v>17271</v>
      </c>
      <c r="X4706">
        <v>4</v>
      </c>
      <c r="Y4706" t="s">
        <v>23381</v>
      </c>
      <c r="Z4706" t="s">
        <v>29653</v>
      </c>
      <c r="AA4706">
        <v>0.55635241381500433</v>
      </c>
      <c r="AB4706" t="str">
        <f>HYPERLINK("Melting_Curves/meltCurve_Q96FV9_THOC1.pdf", "Melting_Curves/meltCurve_Q96FV9_THOC1.pdf")</f>
        <v>Melting_Curves/meltCurve_Q96FV9_THOC1.pdf</v>
      </c>
    </row>
    <row r="4707" spans="1:28" x14ac:dyDescent="0.25">
      <c r="A4707" t="s">
        <v>4711</v>
      </c>
      <c r="B4707">
        <v>0.99987803227770999</v>
      </c>
      <c r="C4707">
        <v>0.68291405055570698</v>
      </c>
      <c r="D4707">
        <v>1.10839956101012</v>
      </c>
      <c r="E4707">
        <v>0.79411565085923397</v>
      </c>
      <c r="F4707">
        <v>0.76291966239516695</v>
      </c>
      <c r="G4707">
        <v>0.201500241729344</v>
      </c>
      <c r="H4707">
        <v>8.8036434194220095E-2</v>
      </c>
      <c r="I4707">
        <v>6.3947478232817601E-2</v>
      </c>
      <c r="J4707">
        <v>4.7125003768738398E-2</v>
      </c>
      <c r="K4707">
        <v>3.11941656827599E-2</v>
      </c>
      <c r="L4707">
        <v>1493.91101382189</v>
      </c>
      <c r="M4707">
        <v>27.4551897829109</v>
      </c>
      <c r="N4707">
        <v>54.553326865457898</v>
      </c>
      <c r="O4707">
        <v>54.126485420805601</v>
      </c>
      <c r="P4707">
        <v>-0.122479230354298</v>
      </c>
      <c r="Q4707">
        <v>3.41631032495123E-2</v>
      </c>
      <c r="R4707">
        <v>0.91773659453942102</v>
      </c>
      <c r="S4707" t="s">
        <v>11018</v>
      </c>
      <c r="T4707" t="s">
        <v>12620</v>
      </c>
      <c r="U4707" t="s">
        <v>12620</v>
      </c>
      <c r="V4707" t="s">
        <v>12620</v>
      </c>
      <c r="W4707" t="s">
        <v>17272</v>
      </c>
      <c r="X4707">
        <v>14</v>
      </c>
      <c r="Y4707" t="s">
        <v>23382</v>
      </c>
      <c r="Z4707" t="s">
        <v>29654</v>
      </c>
      <c r="AA4707">
        <v>0.50570830610588169</v>
      </c>
      <c r="AB4707" t="str">
        <f>HYPERLINK("Melting_Curves/meltCurve_Q96FW1_OTUB1.pdf", "Melting_Curves/meltCurve_Q96FW1_OTUB1.pdf")</f>
        <v>Melting_Curves/meltCurve_Q96FW1_OTUB1.pdf</v>
      </c>
    </row>
    <row r="4708" spans="1:28" x14ac:dyDescent="0.25">
      <c r="A4708" t="s">
        <v>4712</v>
      </c>
      <c r="B4708">
        <v>0.99987803227770999</v>
      </c>
      <c r="C4708">
        <v>0.60104533165615703</v>
      </c>
      <c r="D4708">
        <v>0.82386051603782395</v>
      </c>
      <c r="E4708">
        <v>0.71966900132382405</v>
      </c>
      <c r="F4708">
        <v>1.1395958061034599</v>
      </c>
      <c r="G4708">
        <v>1.52295371684448</v>
      </c>
      <c r="H4708">
        <v>1.0738334910565299</v>
      </c>
      <c r="I4708">
        <v>0.86985203719873105</v>
      </c>
      <c r="J4708">
        <v>0.97235223472165799</v>
      </c>
      <c r="K4708">
        <v>0.80439812700690205</v>
      </c>
      <c r="L4708">
        <v>2014.8079006049099</v>
      </c>
      <c r="M4708">
        <v>27.343813159202099</v>
      </c>
      <c r="Q4708">
        <v>0</v>
      </c>
      <c r="R4708">
        <v>3.08230071137485E-2</v>
      </c>
      <c r="S4708" t="s">
        <v>11019</v>
      </c>
      <c r="T4708" t="s">
        <v>12620</v>
      </c>
      <c r="U4708" t="s">
        <v>12620</v>
      </c>
      <c r="V4708" t="s">
        <v>12620</v>
      </c>
      <c r="W4708" t="s">
        <v>17273</v>
      </c>
      <c r="X4708">
        <v>1</v>
      </c>
      <c r="Y4708" t="s">
        <v>23383</v>
      </c>
      <c r="Z4708" t="s">
        <v>29655</v>
      </c>
      <c r="AA4708">
        <v>0.98389454966840117</v>
      </c>
      <c r="AB4708" t="str">
        <f>HYPERLINK("Melting_Curves/meltCurve_Q96FX2_DPH3.pdf", "Melting_Curves/meltCurve_Q96FX2_DPH3.pdf")</f>
        <v>Melting_Curves/meltCurve_Q96FX2_DPH3.pdf</v>
      </c>
    </row>
    <row r="4709" spans="1:28" x14ac:dyDescent="0.25">
      <c r="A4709" t="s">
        <v>4713</v>
      </c>
      <c r="B4709">
        <v>0.99987803227770999</v>
      </c>
      <c r="C4709">
        <v>1.16931640768361</v>
      </c>
      <c r="D4709">
        <v>1.5161456739864001</v>
      </c>
      <c r="E4709">
        <v>1.1584360973060199</v>
      </c>
      <c r="F4709">
        <v>0.72980511507080204</v>
      </c>
      <c r="G4709">
        <v>0.54332455458786499</v>
      </c>
      <c r="H4709">
        <v>0.23668091009064601</v>
      </c>
      <c r="I4709">
        <v>0.166516048541266</v>
      </c>
      <c r="J4709">
        <v>0.13056723908659301</v>
      </c>
      <c r="K4709">
        <v>9.7404613990756506E-2</v>
      </c>
      <c r="L4709">
        <v>1415.94440023991</v>
      </c>
      <c r="M4709">
        <v>25.043857750254901</v>
      </c>
      <c r="N4709">
        <v>57.110668886468297</v>
      </c>
      <c r="O4709">
        <v>56.181793191801802</v>
      </c>
      <c r="P4709">
        <v>-9.9079702143677797E-2</v>
      </c>
      <c r="Q4709">
        <v>0.110935497654779</v>
      </c>
      <c r="R4709">
        <v>0.85245130337956598</v>
      </c>
      <c r="S4709" t="s">
        <v>11020</v>
      </c>
      <c r="T4709" t="s">
        <v>12620</v>
      </c>
      <c r="U4709" t="s">
        <v>12620</v>
      </c>
      <c r="V4709" t="s">
        <v>12620</v>
      </c>
      <c r="W4709" t="s">
        <v>17274</v>
      </c>
      <c r="X4709">
        <v>5</v>
      </c>
      <c r="Y4709" t="s">
        <v>23384</v>
      </c>
      <c r="Z4709" t="s">
        <v>29656</v>
      </c>
      <c r="AA4709">
        <v>0.60913416604538206</v>
      </c>
      <c r="AB4709" t="str">
        <f>HYPERLINK("Melting_Curves/meltCurve_Q96FX7_TRMT61A.pdf", "Melting_Curves/meltCurve_Q96FX7_TRMT61A.pdf")</f>
        <v>Melting_Curves/meltCurve_Q96FX7_TRMT61A.pdf</v>
      </c>
    </row>
    <row r="4710" spans="1:28" x14ac:dyDescent="0.25">
      <c r="A4710" t="s">
        <v>4714</v>
      </c>
      <c r="B4710">
        <v>0.99987803227770999</v>
      </c>
      <c r="C4710">
        <v>0.80405023082528604</v>
      </c>
      <c r="D4710">
        <v>0.74035710814356903</v>
      </c>
      <c r="E4710">
        <v>0.34470437977663099</v>
      </c>
      <c r="F4710">
        <v>0.26444016498394901</v>
      </c>
      <c r="G4710">
        <v>0.17479906709774701</v>
      </c>
      <c r="H4710">
        <v>0.13887151179812199</v>
      </c>
      <c r="I4710">
        <v>9.6041669395057594E-2</v>
      </c>
      <c r="J4710">
        <v>9.4628078348550096E-2</v>
      </c>
      <c r="K4710">
        <v>7.3363468560378606E-2</v>
      </c>
      <c r="L4710">
        <v>743.29375968441502</v>
      </c>
      <c r="M4710">
        <v>15.539828891309</v>
      </c>
      <c r="N4710">
        <v>48.423049396069203</v>
      </c>
      <c r="O4710">
        <v>47.060463240652702</v>
      </c>
      <c r="P4710">
        <v>-7.5422396492385996E-2</v>
      </c>
      <c r="Q4710">
        <v>8.6450902009022404E-2</v>
      </c>
      <c r="R4710">
        <v>0.98728931885792903</v>
      </c>
      <c r="S4710" t="s">
        <v>11021</v>
      </c>
      <c r="T4710" t="s">
        <v>12620</v>
      </c>
      <c r="U4710" t="s">
        <v>12620</v>
      </c>
      <c r="V4710" t="s">
        <v>12620</v>
      </c>
      <c r="W4710" t="s">
        <v>17275</v>
      </c>
      <c r="X4710">
        <v>6</v>
      </c>
      <c r="Y4710" t="s">
        <v>23385</v>
      </c>
      <c r="Z4710" t="s">
        <v>29657</v>
      </c>
      <c r="AA4710">
        <v>0.34701033992219787</v>
      </c>
      <c r="AB4710" t="str">
        <f>HYPERLINK("Melting_Curves/meltCurve_Q96FZ2_C3orf37.pdf", "Melting_Curves/meltCurve_Q96FZ2_C3orf37.pdf")</f>
        <v>Melting_Curves/meltCurve_Q96FZ2_C3orf37.pdf</v>
      </c>
    </row>
    <row r="4711" spans="1:28" x14ac:dyDescent="0.25">
      <c r="A4711" t="s">
        <v>4715</v>
      </c>
      <c r="B4711">
        <v>0.99987803227770999</v>
      </c>
      <c r="C4711">
        <v>1.01314752628947</v>
      </c>
      <c r="D4711">
        <v>1.0655496548626999</v>
      </c>
      <c r="E4711">
        <v>1.00507476914938</v>
      </c>
      <c r="F4711">
        <v>0.98592371052924699</v>
      </c>
      <c r="G4711">
        <v>0.74910371353655703</v>
      </c>
      <c r="H4711">
        <v>0.48315324818627398</v>
      </c>
      <c r="I4711">
        <v>0.35153466402313999</v>
      </c>
      <c r="J4711">
        <v>0.30526734566345698</v>
      </c>
      <c r="K4711">
        <v>0.18464920016688999</v>
      </c>
      <c r="L4711">
        <v>1282.3708356469699</v>
      </c>
      <c r="M4711">
        <v>21.5752715651793</v>
      </c>
      <c r="N4711">
        <v>60.856621272185798</v>
      </c>
      <c r="O4711">
        <v>58.933506208185698</v>
      </c>
      <c r="P4711">
        <v>-7.3429251857010297E-2</v>
      </c>
      <c r="Q4711">
        <v>0.197722330872245</v>
      </c>
      <c r="R4711">
        <v>0.98984314788231798</v>
      </c>
      <c r="S4711" t="s">
        <v>11022</v>
      </c>
      <c r="T4711" t="s">
        <v>12620</v>
      </c>
      <c r="U4711" t="s">
        <v>12620</v>
      </c>
      <c r="V4711" t="s">
        <v>12620</v>
      </c>
      <c r="W4711" t="s">
        <v>17276</v>
      </c>
      <c r="X4711">
        <v>23</v>
      </c>
      <c r="Y4711" t="s">
        <v>23386</v>
      </c>
      <c r="Z4711" t="s">
        <v>29658</v>
      </c>
      <c r="AA4711">
        <v>0.72473012550264981</v>
      </c>
      <c r="AB4711" t="str">
        <f>HYPERLINK("Melting_Curves/meltCurve_Q96G03_PGM2.pdf", "Melting_Curves/meltCurve_Q96G03_PGM2.pdf")</f>
        <v>Melting_Curves/meltCurve_Q96G03_PGM2.pdf</v>
      </c>
    </row>
    <row r="4712" spans="1:28" x14ac:dyDescent="0.25">
      <c r="A4712" t="s">
        <v>4716</v>
      </c>
      <c r="B4712">
        <v>0.99987803227770999</v>
      </c>
      <c r="C4712">
        <v>0.98786020745047198</v>
      </c>
      <c r="D4712">
        <v>1.0404486209188499</v>
      </c>
      <c r="E4712">
        <v>0.84353886966108504</v>
      </c>
      <c r="F4712">
        <v>0.53623441397551097</v>
      </c>
      <c r="G4712">
        <v>0.232212063836261</v>
      </c>
      <c r="H4712">
        <v>0.185227822678697</v>
      </c>
      <c r="I4712">
        <v>0.17897157760238899</v>
      </c>
      <c r="J4712">
        <v>0.1045876081559</v>
      </c>
      <c r="K4712">
        <v>7.4636600348042398E-2</v>
      </c>
      <c r="L4712">
        <v>1417.4148390564101</v>
      </c>
      <c r="M4712">
        <v>26.826626921713</v>
      </c>
      <c r="N4712">
        <v>53.411526406133198</v>
      </c>
      <c r="O4712">
        <v>52.545145592589002</v>
      </c>
      <c r="P4712">
        <v>-0.11161881612964999</v>
      </c>
      <c r="Q4712">
        <v>0.125500671501488</v>
      </c>
      <c r="R4712">
        <v>0.99335074095610998</v>
      </c>
      <c r="S4712" t="s">
        <v>11023</v>
      </c>
      <c r="T4712" t="s">
        <v>12620</v>
      </c>
      <c r="U4712" t="s">
        <v>12620</v>
      </c>
      <c r="V4712" t="s">
        <v>12620</v>
      </c>
      <c r="W4712" t="s">
        <v>17277</v>
      </c>
      <c r="X4712">
        <v>2</v>
      </c>
      <c r="Y4712" t="s">
        <v>23387</v>
      </c>
      <c r="Z4712" t="s">
        <v>29659</v>
      </c>
      <c r="AA4712">
        <v>0.50670469972105825</v>
      </c>
      <c r="AB4712" t="str">
        <f>HYPERLINK("Melting_Curves/meltCurve_Q96G04_FAM86A.pdf", "Melting_Curves/meltCurve_Q96G04_FAM86A.pdf")</f>
        <v>Melting_Curves/meltCurve_Q96G04_FAM86A.pdf</v>
      </c>
    </row>
    <row r="4713" spans="1:28" x14ac:dyDescent="0.25">
      <c r="A4713" t="s">
        <v>4717</v>
      </c>
      <c r="B4713">
        <v>0.99987803227770999</v>
      </c>
      <c r="C4713">
        <v>0.93762716819749603</v>
      </c>
      <c r="D4713">
        <v>0.93981266430520005</v>
      </c>
      <c r="E4713">
        <v>1.0470251346144299</v>
      </c>
      <c r="F4713">
        <v>1.06433827420196</v>
      </c>
      <c r="G4713">
        <v>0.64868908864121599</v>
      </c>
      <c r="H4713">
        <v>0.793918881300541</v>
      </c>
      <c r="I4713">
        <v>0.64949559662277001</v>
      </c>
      <c r="J4713">
        <v>0.672617838088855</v>
      </c>
      <c r="K4713">
        <v>0.48337424283368902</v>
      </c>
      <c r="L4713">
        <v>793.75991240926601</v>
      </c>
      <c r="M4713">
        <v>13.113646117289701</v>
      </c>
      <c r="O4713">
        <v>59.173638695990398</v>
      </c>
      <c r="P4713">
        <v>-2.8909820890895999E-2</v>
      </c>
      <c r="Q4713">
        <v>0.47828173015128</v>
      </c>
      <c r="R4713">
        <v>0.77350040767720996</v>
      </c>
      <c r="S4713" t="s">
        <v>11024</v>
      </c>
      <c r="T4713" t="s">
        <v>12620</v>
      </c>
      <c r="U4713" t="s">
        <v>12620</v>
      </c>
      <c r="V4713" t="s">
        <v>12620</v>
      </c>
      <c r="W4713" t="s">
        <v>17278</v>
      </c>
      <c r="X4713">
        <v>2</v>
      </c>
      <c r="Y4713" t="s">
        <v>23388</v>
      </c>
      <c r="Z4713" t="s">
        <v>29660</v>
      </c>
      <c r="AA4713">
        <v>0.83620508847326203</v>
      </c>
      <c r="AB4713" t="str">
        <f>HYPERLINK("Melting_Curves/meltCurve_Q96G25_MED8.pdf", "Melting_Curves/meltCurve_Q96G25_MED8.pdf")</f>
        <v>Melting_Curves/meltCurve_Q96G25_MED8.pdf</v>
      </c>
    </row>
    <row r="4714" spans="1:28" x14ac:dyDescent="0.25">
      <c r="A4714" t="s">
        <v>4718</v>
      </c>
      <c r="B4714">
        <v>0.99987803227770999</v>
      </c>
      <c r="C4714">
        <v>0.83619524852697402</v>
      </c>
      <c r="D4714">
        <v>0.93795249743112596</v>
      </c>
      <c r="E4714">
        <v>0.837255738914645</v>
      </c>
      <c r="F4714">
        <v>0.77227596732289505</v>
      </c>
      <c r="G4714">
        <v>0.47968749568642</v>
      </c>
      <c r="H4714">
        <v>0.36952791081074399</v>
      </c>
      <c r="I4714">
        <v>0.347366104487775</v>
      </c>
      <c r="J4714">
        <v>0.276785684286045</v>
      </c>
      <c r="K4714">
        <v>0.18750995706217</v>
      </c>
      <c r="L4714">
        <v>563.040255429794</v>
      </c>
      <c r="M4714">
        <v>9.8642325375386104</v>
      </c>
      <c r="N4714">
        <v>58.084780589256297</v>
      </c>
      <c r="O4714">
        <v>54.881592430208997</v>
      </c>
      <c r="P4714">
        <v>-4.1427575986238599E-2</v>
      </c>
      <c r="Q4714">
        <v>7.8510448989054293E-2</v>
      </c>
      <c r="R4714">
        <v>0.96488583920746496</v>
      </c>
      <c r="S4714" t="s">
        <v>11025</v>
      </c>
      <c r="T4714" t="s">
        <v>12620</v>
      </c>
      <c r="U4714" t="s">
        <v>12620</v>
      </c>
      <c r="V4714" t="s">
        <v>12620</v>
      </c>
      <c r="W4714" t="s">
        <v>17279</v>
      </c>
      <c r="X4714">
        <v>12</v>
      </c>
      <c r="Y4714" t="s">
        <v>23389</v>
      </c>
      <c r="Z4714" t="s">
        <v>29661</v>
      </c>
      <c r="AA4714">
        <v>0.61712051017679526</v>
      </c>
      <c r="AB4714" t="str">
        <f>HYPERLINK("Melting_Curves/meltCurve_Q96G28_CCDC104.pdf", "Melting_Curves/meltCurve_Q96G28_CCDC104.pdf")</f>
        <v>Melting_Curves/meltCurve_Q96G28_CCDC104.pdf</v>
      </c>
    </row>
    <row r="4715" spans="1:28" x14ac:dyDescent="0.25">
      <c r="A4715" t="s">
        <v>4719</v>
      </c>
      <c r="B4715">
        <v>0.99987803227770999</v>
      </c>
      <c r="C4715">
        <v>1.0581112294789501</v>
      </c>
      <c r="D4715">
        <v>0.97712133848984895</v>
      </c>
      <c r="E4715">
        <v>0.98866883891428603</v>
      </c>
      <c r="F4715">
        <v>0.80408310616508905</v>
      </c>
      <c r="G4715">
        <v>0.50920269143029395</v>
      </c>
      <c r="H4715">
        <v>0.20746306731927999</v>
      </c>
      <c r="I4715">
        <v>0.17105878365559499</v>
      </c>
      <c r="J4715">
        <v>0.11471605687842901</v>
      </c>
      <c r="K4715">
        <v>7.9773666239414204E-2</v>
      </c>
      <c r="L4715">
        <v>1262.6782881368499</v>
      </c>
      <c r="M4715">
        <v>22.354387414702799</v>
      </c>
      <c r="N4715">
        <v>56.947058563042901</v>
      </c>
      <c r="O4715">
        <v>56.038394126802501</v>
      </c>
      <c r="P4715">
        <v>-9.1451625507729506E-2</v>
      </c>
      <c r="Q4715">
        <v>8.3008671916554894E-2</v>
      </c>
      <c r="R4715">
        <v>0.99527834499600598</v>
      </c>
      <c r="S4715" t="s">
        <v>11026</v>
      </c>
      <c r="T4715" t="s">
        <v>12620</v>
      </c>
      <c r="U4715" t="s">
        <v>12620</v>
      </c>
      <c r="V4715" t="s">
        <v>12620</v>
      </c>
      <c r="W4715" t="s">
        <v>17280</v>
      </c>
      <c r="X4715">
        <v>11</v>
      </c>
      <c r="Y4715" t="s">
        <v>23390</v>
      </c>
      <c r="Z4715" t="s">
        <v>29662</v>
      </c>
      <c r="AA4715">
        <v>0.59680285112611675</v>
      </c>
      <c r="AB4715" t="str">
        <f>HYPERLINK("Melting_Curves/meltCurve_Q96G46_DUS3L.pdf", "Melting_Curves/meltCurve_Q96G46_DUS3L.pdf")</f>
        <v>Melting_Curves/meltCurve_Q96G46_DUS3L.pdf</v>
      </c>
    </row>
    <row r="4716" spans="1:28" x14ac:dyDescent="0.25">
      <c r="A4716" t="s">
        <v>4720</v>
      </c>
      <c r="B4716">
        <v>0.99987803227770999</v>
      </c>
      <c r="C4716">
        <v>0.56991734486525403</v>
      </c>
      <c r="D4716">
        <v>0.97341427541081205</v>
      </c>
      <c r="E4716">
        <v>0.54510582768923499</v>
      </c>
      <c r="F4716">
        <v>0.32763903489179202</v>
      </c>
      <c r="G4716">
        <v>0.130128446526283</v>
      </c>
      <c r="H4716">
        <v>8.7533240571493101E-2</v>
      </c>
      <c r="I4716">
        <v>7.2030913336958297E-2</v>
      </c>
      <c r="J4716">
        <v>5.4468045976855499E-2</v>
      </c>
      <c r="K4716">
        <v>3.9075710274808002E-2</v>
      </c>
      <c r="L4716">
        <v>626.39535687231398</v>
      </c>
      <c r="M4716">
        <v>12.439357153562799</v>
      </c>
      <c r="N4716">
        <v>50.355926497022601</v>
      </c>
      <c r="O4716">
        <v>49.107654278307301</v>
      </c>
      <c r="P4716">
        <v>-6.3340255855752203E-2</v>
      </c>
      <c r="Q4716">
        <v>0</v>
      </c>
      <c r="R4716">
        <v>0.87614369066766695</v>
      </c>
      <c r="S4716" t="s">
        <v>11027</v>
      </c>
      <c r="T4716" t="s">
        <v>12620</v>
      </c>
      <c r="U4716" t="s">
        <v>12620</v>
      </c>
      <c r="V4716" t="s">
        <v>12620</v>
      </c>
      <c r="W4716" t="s">
        <v>17281</v>
      </c>
      <c r="X4716">
        <v>8</v>
      </c>
      <c r="Y4716" t="s">
        <v>23391</v>
      </c>
      <c r="Z4716" t="s">
        <v>29663</v>
      </c>
      <c r="AA4716">
        <v>0.3772741273988458</v>
      </c>
      <c r="AB4716" t="str">
        <f>HYPERLINK("Melting_Curves/meltCurve_Q96G61_NUDT11.pdf", "Melting_Curves/meltCurve_Q96G61_NUDT11.pdf")</f>
        <v>Melting_Curves/meltCurve_Q96G61_NUDT11.pdf</v>
      </c>
    </row>
    <row r="4717" spans="1:28" x14ac:dyDescent="0.25">
      <c r="A4717" t="s">
        <v>4721</v>
      </c>
      <c r="B4717">
        <v>0.99987803227770999</v>
      </c>
      <c r="C4717">
        <v>0.900576356503759</v>
      </c>
      <c r="D4717">
        <v>1.0031004962705199</v>
      </c>
      <c r="E4717">
        <v>0.90426940869519901</v>
      </c>
      <c r="F4717">
        <v>0.96314826295122002</v>
      </c>
      <c r="G4717">
        <v>0.71139640086549105</v>
      </c>
      <c r="H4717">
        <v>0.710090407109779</v>
      </c>
      <c r="I4717">
        <v>0.67047973335251798</v>
      </c>
      <c r="J4717">
        <v>0.63218822618405501</v>
      </c>
      <c r="K4717">
        <v>0.50637171836112205</v>
      </c>
      <c r="L4717">
        <v>436.58160785020101</v>
      </c>
      <c r="M4717">
        <v>6.5483183336587398</v>
      </c>
      <c r="O4717">
        <v>61.272992695847201</v>
      </c>
      <c r="P4717">
        <v>-2.1546493716853601E-2</v>
      </c>
      <c r="Q4717">
        <v>0.195455232782415</v>
      </c>
      <c r="R4717">
        <v>0.90180920475802795</v>
      </c>
      <c r="S4717" t="s">
        <v>11028</v>
      </c>
      <c r="T4717" t="s">
        <v>12620</v>
      </c>
      <c r="U4717" t="s">
        <v>12620</v>
      </c>
      <c r="V4717" t="s">
        <v>12620</v>
      </c>
      <c r="W4717" t="s">
        <v>17282</v>
      </c>
      <c r="X4717">
        <v>14</v>
      </c>
      <c r="Y4717" t="s">
        <v>23392</v>
      </c>
      <c r="Z4717" t="s">
        <v>29664</v>
      </c>
      <c r="AA4717">
        <v>0.81058990009379495</v>
      </c>
      <c r="AB4717" t="str">
        <f>HYPERLINK("Melting_Curves/meltCurve_Q96G74_3_OTUD5.pdf", "Melting_Curves/meltCurve_Q96G74_3_OTUD5.pdf")</f>
        <v>Melting_Curves/meltCurve_Q96G74_3_OTUD5.pdf</v>
      </c>
    </row>
    <row r="4718" spans="1:28" x14ac:dyDescent="0.25">
      <c r="A4718" t="s">
        <v>4722</v>
      </c>
      <c r="B4718">
        <v>0.99987803227770999</v>
      </c>
      <c r="C4718">
        <v>1.09457558966779</v>
      </c>
      <c r="D4718">
        <v>1.0971788061905901</v>
      </c>
      <c r="E4718">
        <v>0.94256781910222098</v>
      </c>
      <c r="F4718">
        <v>0.94684347492879894</v>
      </c>
      <c r="G4718">
        <v>0.82237681445005995</v>
      </c>
      <c r="H4718">
        <v>0.83348352590335695</v>
      </c>
      <c r="I4718">
        <v>0.84262776115596705</v>
      </c>
      <c r="J4718">
        <v>0.70994878221831503</v>
      </c>
      <c r="K4718">
        <v>0.64852980000790905</v>
      </c>
      <c r="L4718">
        <v>542.80571881098399</v>
      </c>
      <c r="M4718">
        <v>7.82444018755983</v>
      </c>
      <c r="O4718">
        <v>65.279484393573199</v>
      </c>
      <c r="P4718">
        <v>-1.95291616079518E-2</v>
      </c>
      <c r="Q4718">
        <v>0.34907078710344802</v>
      </c>
      <c r="R4718">
        <v>0.83750267575766502</v>
      </c>
      <c r="S4718" t="s">
        <v>11029</v>
      </c>
      <c r="T4718" t="s">
        <v>12620</v>
      </c>
      <c r="U4718" t="s">
        <v>12620</v>
      </c>
      <c r="V4718" t="s">
        <v>12620</v>
      </c>
      <c r="W4718" t="s">
        <v>17283</v>
      </c>
      <c r="X4718">
        <v>10</v>
      </c>
      <c r="Y4718" t="s">
        <v>23393</v>
      </c>
      <c r="Z4718" t="s">
        <v>29665</v>
      </c>
      <c r="AA4718">
        <v>0.88902193647164329</v>
      </c>
      <c r="AB4718" t="str">
        <f>HYPERLINK("Melting_Curves/meltCurve_Q96GA3_LTV1.pdf", "Melting_Curves/meltCurve_Q96GA3_LTV1.pdf")</f>
        <v>Melting_Curves/meltCurve_Q96GA3_LTV1.pdf</v>
      </c>
    </row>
    <row r="4719" spans="1:28" x14ac:dyDescent="0.25">
      <c r="A4719" t="s">
        <v>4723</v>
      </c>
      <c r="B4719">
        <v>0.99987803227770999</v>
      </c>
      <c r="C4719">
        <v>0.98440458437107003</v>
      </c>
      <c r="D4719">
        <v>1.09459435040413</v>
      </c>
      <c r="E4719">
        <v>0.98860143813634804</v>
      </c>
      <c r="F4719">
        <v>0.97519251096537796</v>
      </c>
      <c r="G4719">
        <v>0.78376481256733399</v>
      </c>
      <c r="H4719">
        <v>0.70328270828181405</v>
      </c>
      <c r="I4719">
        <v>0.452609199350265</v>
      </c>
      <c r="J4719">
        <v>0.17697033024230199</v>
      </c>
      <c r="K4719">
        <v>6.1261131378859399E-2</v>
      </c>
      <c r="L4719">
        <v>1295.3086566889201</v>
      </c>
      <c r="M4719">
        <v>20.6072303815839</v>
      </c>
      <c r="N4719">
        <v>62.857007907098499</v>
      </c>
      <c r="O4719">
        <v>62.274041616130702</v>
      </c>
      <c r="P4719">
        <v>-8.2730382953414297E-2</v>
      </c>
      <c r="Q4719">
        <v>0</v>
      </c>
      <c r="R4719">
        <v>0.97584838936750395</v>
      </c>
      <c r="S4719" t="s">
        <v>11030</v>
      </c>
      <c r="T4719" t="s">
        <v>12620</v>
      </c>
      <c r="U4719" t="s">
        <v>12620</v>
      </c>
      <c r="V4719" t="s">
        <v>12620</v>
      </c>
      <c r="W4719" t="s">
        <v>17284</v>
      </c>
      <c r="X4719">
        <v>5</v>
      </c>
      <c r="Y4719" t="s">
        <v>23394</v>
      </c>
      <c r="Z4719" t="s">
        <v>29666</v>
      </c>
      <c r="AA4719">
        <v>0.76221401593481986</v>
      </c>
      <c r="AB4719" t="str">
        <f>HYPERLINK("Melting_Curves/meltCurve_Q96GA7_SDSL.pdf", "Melting_Curves/meltCurve_Q96GA7_SDSL.pdf")</f>
        <v>Melting_Curves/meltCurve_Q96GA7_SDSL.pdf</v>
      </c>
    </row>
    <row r="4720" spans="1:28" x14ac:dyDescent="0.25">
      <c r="A4720" t="s">
        <v>4724</v>
      </c>
      <c r="B4720">
        <v>0.99987803227770999</v>
      </c>
      <c r="C4720">
        <v>1.0379282650245001</v>
      </c>
      <c r="D4720">
        <v>1.0113079943715499</v>
      </c>
      <c r="E4720">
        <v>1.01706838464712</v>
      </c>
      <c r="F4720">
        <v>1.0229631639596899</v>
      </c>
      <c r="G4720">
        <v>0.85103307881259405</v>
      </c>
      <c r="H4720">
        <v>0.89900458220589097</v>
      </c>
      <c r="I4720">
        <v>0.80874796203667298</v>
      </c>
      <c r="J4720">
        <v>0.54192527247908995</v>
      </c>
      <c r="K4720">
        <v>0.32812101500183299</v>
      </c>
      <c r="L4720">
        <v>1377.75955775594</v>
      </c>
      <c r="M4720">
        <v>20.351384773245201</v>
      </c>
      <c r="N4720">
        <v>67.698570904041205</v>
      </c>
      <c r="O4720">
        <v>67.055087213525994</v>
      </c>
      <c r="P4720">
        <v>-7.5877922610777304E-2</v>
      </c>
      <c r="Q4720">
        <v>0</v>
      </c>
      <c r="R4720">
        <v>0.95891450410206103</v>
      </c>
      <c r="S4720" t="s">
        <v>11031</v>
      </c>
      <c r="T4720" t="s">
        <v>12620</v>
      </c>
      <c r="U4720" t="s">
        <v>12620</v>
      </c>
      <c r="V4720" t="s">
        <v>12620</v>
      </c>
      <c r="W4720" t="s">
        <v>17285</v>
      </c>
      <c r="X4720">
        <v>13</v>
      </c>
      <c r="Y4720" t="s">
        <v>23395</v>
      </c>
      <c r="Z4720" t="s">
        <v>29667</v>
      </c>
      <c r="AA4720">
        <v>0.88617009699414306</v>
      </c>
      <c r="AB4720" t="str">
        <f>HYPERLINK("Melting_Curves/meltCurve_Q96GD0_PDXP.pdf", "Melting_Curves/meltCurve_Q96GD0_PDXP.pdf")</f>
        <v>Melting_Curves/meltCurve_Q96GD0_PDXP.pdf</v>
      </c>
    </row>
    <row r="4721" spans="1:28" x14ac:dyDescent="0.25">
      <c r="A4721" t="s">
        <v>4725</v>
      </c>
      <c r="B4721">
        <v>0.99987803227770999</v>
      </c>
      <c r="C4721">
        <v>1.3019804922709699</v>
      </c>
      <c r="D4721">
        <v>1.0510888363872899</v>
      </c>
      <c r="E4721">
        <v>1.24171897342395</v>
      </c>
      <c r="F4721">
        <v>0.462456506112912</v>
      </c>
      <c r="G4721">
        <v>0.22933312489139601</v>
      </c>
      <c r="H4721">
        <v>0.17955884136032699</v>
      </c>
      <c r="I4721">
        <v>0.20646013657225501</v>
      </c>
      <c r="J4721">
        <v>0.14945817300772499</v>
      </c>
      <c r="K4721">
        <v>0.120525701878107</v>
      </c>
      <c r="L4721">
        <v>13216.4429677388</v>
      </c>
      <c r="M4721">
        <v>250</v>
      </c>
      <c r="N4721">
        <v>52.958380452422404</v>
      </c>
      <c r="O4721">
        <v>52.8623854410896</v>
      </c>
      <c r="P4721">
        <v>-0.97296595064416402</v>
      </c>
      <c r="Q4721">
        <v>0.17706713076813799</v>
      </c>
      <c r="R4721">
        <v>0.926984832247716</v>
      </c>
      <c r="S4721" t="s">
        <v>11032</v>
      </c>
      <c r="T4721" t="s">
        <v>12620</v>
      </c>
      <c r="U4721" t="s">
        <v>12620</v>
      </c>
      <c r="V4721" t="s">
        <v>12620</v>
      </c>
      <c r="W4721" t="s">
        <v>17286</v>
      </c>
      <c r="X4721">
        <v>2</v>
      </c>
      <c r="Y4721" t="s">
        <v>23396</v>
      </c>
      <c r="Z4721" t="s">
        <v>29668</v>
      </c>
      <c r="AA4721">
        <v>0.53006570002154119</v>
      </c>
      <c r="AB4721" t="str">
        <f>HYPERLINK("Melting_Curves/meltCurve_Q96GE4_CEP95.pdf", "Melting_Curves/meltCurve_Q96GE4_CEP95.pdf")</f>
        <v>Melting_Curves/meltCurve_Q96GE4_CEP95.pdf</v>
      </c>
    </row>
    <row r="4722" spans="1:28" x14ac:dyDescent="0.25">
      <c r="A4722" t="s">
        <v>4726</v>
      </c>
      <c r="B4722">
        <v>0.99987803227770999</v>
      </c>
      <c r="C4722">
        <v>0.97685169380808401</v>
      </c>
      <c r="D4722">
        <v>0.959620099082792</v>
      </c>
      <c r="E4722">
        <v>1.02914387887811</v>
      </c>
      <c r="F4722">
        <v>1.02765280987303</v>
      </c>
      <c r="G4722">
        <v>0.32232465683250799</v>
      </c>
      <c r="H4722">
        <v>0.13224028377833899</v>
      </c>
      <c r="I4722">
        <v>9.8494149926419097E-2</v>
      </c>
      <c r="J4722">
        <v>7.1412066028753496E-2</v>
      </c>
      <c r="K4722">
        <v>5.0544037482027702E-2</v>
      </c>
      <c r="L4722">
        <v>10369.0490661944</v>
      </c>
      <c r="M4722">
        <v>182.97583078358599</v>
      </c>
      <c r="N4722">
        <v>56.7291026771018</v>
      </c>
      <c r="O4722">
        <v>56.6621856032571</v>
      </c>
      <c r="P4722">
        <v>-0.73612806380917895</v>
      </c>
      <c r="Q4722">
        <v>8.8171927466239003E-2</v>
      </c>
      <c r="R4722">
        <v>0.99607217181340801</v>
      </c>
      <c r="S4722" t="s">
        <v>11033</v>
      </c>
      <c r="T4722" t="s">
        <v>12620</v>
      </c>
      <c r="U4722" t="s">
        <v>12620</v>
      </c>
      <c r="V4722" t="s">
        <v>12620</v>
      </c>
      <c r="W4722" t="s">
        <v>17287</v>
      </c>
      <c r="X4722">
        <v>9</v>
      </c>
      <c r="Y4722" t="s">
        <v>23397</v>
      </c>
      <c r="Z4722" t="s">
        <v>29669</v>
      </c>
      <c r="AA4722">
        <v>0.59498194165722029</v>
      </c>
      <c r="AB4722" t="str">
        <f>HYPERLINK("Melting_Curves/meltCurve_Q96GG9_DCUN1D1.pdf", "Melting_Curves/meltCurve_Q96GG9_DCUN1D1.pdf")</f>
        <v>Melting_Curves/meltCurve_Q96GG9_DCUN1D1.pdf</v>
      </c>
    </row>
    <row r="4723" spans="1:28" x14ac:dyDescent="0.25">
      <c r="A4723" t="s">
        <v>4727</v>
      </c>
      <c r="B4723">
        <v>0.99987803227770999</v>
      </c>
      <c r="C4723">
        <v>0.91920945527517794</v>
      </c>
      <c r="D4723">
        <v>1.0146108824673401</v>
      </c>
      <c r="E4723">
        <v>0.81715325775124004</v>
      </c>
      <c r="F4723">
        <v>0.71347243170945096</v>
      </c>
      <c r="G4723">
        <v>0.38563957527744103</v>
      </c>
      <c r="H4723">
        <v>0.24912713694479699</v>
      </c>
      <c r="I4723">
        <v>0.20865400837242901</v>
      </c>
      <c r="J4723">
        <v>0.143747128410216</v>
      </c>
      <c r="K4723">
        <v>0.104109043934109</v>
      </c>
      <c r="L4723">
        <v>901.646402216664</v>
      </c>
      <c r="M4723">
        <v>16.423246135448998</v>
      </c>
      <c r="N4723">
        <v>55.647506566979096</v>
      </c>
      <c r="O4723">
        <v>54.106009710608298</v>
      </c>
      <c r="P4723">
        <v>-6.8383528446509106E-2</v>
      </c>
      <c r="Q4723">
        <v>9.8911875558056805E-2</v>
      </c>
      <c r="R4723">
        <v>0.99012174402511199</v>
      </c>
      <c r="S4723" t="s">
        <v>11034</v>
      </c>
      <c r="T4723" t="s">
        <v>12620</v>
      </c>
      <c r="U4723" t="s">
        <v>12620</v>
      </c>
      <c r="V4723" t="s">
        <v>12620</v>
      </c>
      <c r="W4723" t="s">
        <v>17288</v>
      </c>
      <c r="X4723">
        <v>13</v>
      </c>
      <c r="Y4723" t="s">
        <v>23398</v>
      </c>
      <c r="Z4723" t="s">
        <v>29670</v>
      </c>
      <c r="AA4723">
        <v>0.56223005092317113</v>
      </c>
      <c r="AB4723" t="str">
        <f>HYPERLINK("Melting_Curves/meltCurve_Q96GK7_FAHD2A.pdf", "Melting_Curves/meltCurve_Q96GK7_FAHD2A.pdf")</f>
        <v>Melting_Curves/meltCurve_Q96GK7_FAHD2A.pdf</v>
      </c>
    </row>
    <row r="4724" spans="1:28" x14ac:dyDescent="0.25">
      <c r="A4724" t="s">
        <v>4728</v>
      </c>
      <c r="B4724">
        <v>0.99987803227770999</v>
      </c>
      <c r="C4724">
        <v>1.08673501006051</v>
      </c>
      <c r="D4724">
        <v>0.71446454400825499</v>
      </c>
      <c r="E4724">
        <v>0.45630852067581501</v>
      </c>
      <c r="F4724">
        <v>0.26890566547654499</v>
      </c>
      <c r="G4724">
        <v>0.16450775332173301</v>
      </c>
      <c r="H4724">
        <v>0.13291557384794001</v>
      </c>
      <c r="I4724">
        <v>0.11950486938020601</v>
      </c>
      <c r="J4724">
        <v>8.3709240757097805E-2</v>
      </c>
      <c r="K4724">
        <v>5.7096721683347298E-2</v>
      </c>
      <c r="L4724">
        <v>950.16848778702501</v>
      </c>
      <c r="M4724">
        <v>19.45073114201</v>
      </c>
      <c r="N4724">
        <v>49.385491963979803</v>
      </c>
      <c r="O4724">
        <v>48.342466768885302</v>
      </c>
      <c r="P4724">
        <v>-9.1028356536761501E-2</v>
      </c>
      <c r="Q4724">
        <v>9.5072715837736493E-2</v>
      </c>
      <c r="R4724">
        <v>0.97833734628858304</v>
      </c>
      <c r="S4724" t="s">
        <v>11035</v>
      </c>
      <c r="T4724" t="s">
        <v>12620</v>
      </c>
      <c r="U4724" t="s">
        <v>12620</v>
      </c>
      <c r="V4724" t="s">
        <v>12620</v>
      </c>
      <c r="W4724" t="s">
        <v>17289</v>
      </c>
      <c r="X4724">
        <v>7</v>
      </c>
      <c r="Y4724" t="s">
        <v>23399</v>
      </c>
      <c r="Z4724" t="s">
        <v>29671</v>
      </c>
      <c r="AA4724">
        <v>0.37546434019694008</v>
      </c>
      <c r="AB4724" t="str">
        <f>HYPERLINK("Melting_Curves/meltCurve_Q96GM5_SMARCD1.pdf", "Melting_Curves/meltCurve_Q96GM5_SMARCD1.pdf")</f>
        <v>Melting_Curves/meltCurve_Q96GM5_SMARCD1.pdf</v>
      </c>
    </row>
    <row r="4725" spans="1:28" x14ac:dyDescent="0.25">
      <c r="A4725" t="s">
        <v>4729</v>
      </c>
      <c r="B4725">
        <v>0.99987803227770999</v>
      </c>
      <c r="C4725">
        <v>1.00951511703681</v>
      </c>
      <c r="D4725">
        <v>1.03555764686508</v>
      </c>
      <c r="E4725">
        <v>0.82340078943025596</v>
      </c>
      <c r="F4725">
        <v>0.70510495683100505</v>
      </c>
      <c r="G4725">
        <v>0.45510101456563501</v>
      </c>
      <c r="H4725">
        <v>0.42673359459806098</v>
      </c>
      <c r="I4725">
        <v>0.35608271928829699</v>
      </c>
      <c r="J4725">
        <v>0.38056096859343203</v>
      </c>
      <c r="K4725">
        <v>0.30778961162796398</v>
      </c>
      <c r="L4725">
        <v>1080.54001103564</v>
      </c>
      <c r="M4725">
        <v>20.309065386746202</v>
      </c>
      <c r="N4725">
        <v>56.4312789012507</v>
      </c>
      <c r="O4725">
        <v>52.697025884930802</v>
      </c>
      <c r="P4725">
        <v>-6.3260280229253299E-2</v>
      </c>
      <c r="Q4725">
        <v>0.34344073580726597</v>
      </c>
      <c r="R4725">
        <v>0.98724135765429599</v>
      </c>
      <c r="S4725" t="s">
        <v>11036</v>
      </c>
      <c r="T4725" t="s">
        <v>12620</v>
      </c>
      <c r="U4725" t="s">
        <v>12620</v>
      </c>
      <c r="V4725" t="s">
        <v>12620</v>
      </c>
      <c r="W4725" t="s">
        <v>17290</v>
      </c>
      <c r="X4725">
        <v>8</v>
      </c>
      <c r="Y4725" t="s">
        <v>23400</v>
      </c>
      <c r="Z4725" t="s">
        <v>29672</v>
      </c>
      <c r="AA4725">
        <v>0.64121407735480085</v>
      </c>
      <c r="AB4725" t="str">
        <f>HYPERLINK("Melting_Curves/meltCurve_Q96GQ7_DDX27.pdf", "Melting_Curves/meltCurve_Q96GQ7_DDX27.pdf")</f>
        <v>Melting_Curves/meltCurve_Q96GQ7_DDX27.pdf</v>
      </c>
    </row>
    <row r="4726" spans="1:28" x14ac:dyDescent="0.25">
      <c r="A4726" t="s">
        <v>4730</v>
      </c>
      <c r="B4726">
        <v>0.99987803227770999</v>
      </c>
      <c r="C4726">
        <v>1.0780040796453101</v>
      </c>
      <c r="D4726">
        <v>1.08327910421792</v>
      </c>
      <c r="E4726">
        <v>1.0606467329909499</v>
      </c>
      <c r="F4726">
        <v>0.93525666252140405</v>
      </c>
      <c r="G4726">
        <v>0.76624057800734302</v>
      </c>
      <c r="H4726">
        <v>0.54284746564964204</v>
      </c>
      <c r="I4726">
        <v>0.40190587069992301</v>
      </c>
      <c r="J4726">
        <v>0.304301223498185</v>
      </c>
      <c r="K4726">
        <v>0.22971223944230301</v>
      </c>
      <c r="L4726">
        <v>1138.46716205298</v>
      </c>
      <c r="M4726">
        <v>18.9378659551213</v>
      </c>
      <c r="N4726">
        <v>61.715200273989197</v>
      </c>
      <c r="O4726">
        <v>59.457647152085201</v>
      </c>
      <c r="P4726">
        <v>-6.4189041296628502E-2</v>
      </c>
      <c r="Q4726">
        <v>0.193916661914081</v>
      </c>
      <c r="R4726">
        <v>0.98025191196665096</v>
      </c>
      <c r="S4726" t="s">
        <v>11037</v>
      </c>
      <c r="T4726" t="s">
        <v>12620</v>
      </c>
      <c r="U4726" t="s">
        <v>12620</v>
      </c>
      <c r="V4726" t="s">
        <v>12620</v>
      </c>
      <c r="W4726" t="s">
        <v>17291</v>
      </c>
      <c r="X4726">
        <v>12</v>
      </c>
      <c r="Y4726" t="s">
        <v>23401</v>
      </c>
      <c r="Z4726" t="s">
        <v>29673</v>
      </c>
      <c r="AA4726">
        <v>0.74094645090034938</v>
      </c>
      <c r="AB4726" t="str">
        <f>HYPERLINK("Melting_Curves/meltCurve_Q96GS4_C17orf59.pdf", "Melting_Curves/meltCurve_Q96GS4_C17orf59.pdf")</f>
        <v>Melting_Curves/meltCurve_Q96GS4_C17orf59.pdf</v>
      </c>
    </row>
    <row r="4727" spans="1:28" x14ac:dyDescent="0.25">
      <c r="A4727" t="s">
        <v>4731</v>
      </c>
      <c r="B4727">
        <v>0.99987803227770999</v>
      </c>
      <c r="C4727">
        <v>0.97161452914183</v>
      </c>
      <c r="D4727">
        <v>1.0231927463119901</v>
      </c>
      <c r="E4727">
        <v>0.98869096333337103</v>
      </c>
      <c r="F4727">
        <v>1.0290490332723501</v>
      </c>
      <c r="G4727">
        <v>0.83856437978078902</v>
      </c>
      <c r="H4727">
        <v>0.44576953063646002</v>
      </c>
      <c r="I4727">
        <v>0.20979857831086801</v>
      </c>
      <c r="J4727">
        <v>0.13893706896005201</v>
      </c>
      <c r="K4727">
        <v>0.10498276527686499</v>
      </c>
      <c r="L4727">
        <v>1835.9409309289299</v>
      </c>
      <c r="M4727">
        <v>30.588359150603502</v>
      </c>
      <c r="N4727">
        <v>60.448634407088399</v>
      </c>
      <c r="O4727">
        <v>59.766130303483301</v>
      </c>
      <c r="P4727">
        <v>-0.115500083194124</v>
      </c>
      <c r="Q4727">
        <v>9.7310166056880101E-2</v>
      </c>
      <c r="R4727">
        <v>0.997462320480201</v>
      </c>
      <c r="S4727" t="s">
        <v>11038</v>
      </c>
      <c r="T4727" t="s">
        <v>12620</v>
      </c>
      <c r="U4727" t="s">
        <v>12620</v>
      </c>
      <c r="V4727" t="s">
        <v>12620</v>
      </c>
      <c r="W4727" t="s">
        <v>17292</v>
      </c>
      <c r="X4727">
        <v>8</v>
      </c>
      <c r="Y4727" t="s">
        <v>23402</v>
      </c>
      <c r="Z4727" t="s">
        <v>29674</v>
      </c>
      <c r="AA4727">
        <v>0.70507200066095865</v>
      </c>
      <c r="AB4727" t="str">
        <f>HYPERLINK("Melting_Curves/meltCurve_Q96GW9_MARS2.pdf", "Melting_Curves/meltCurve_Q96GW9_MARS2.pdf")</f>
        <v>Melting_Curves/meltCurve_Q96GW9_MARS2.pdf</v>
      </c>
    </row>
    <row r="4728" spans="1:28" x14ac:dyDescent="0.25">
      <c r="A4728" t="s">
        <v>4732</v>
      </c>
      <c r="B4728">
        <v>0.99987803227770999</v>
      </c>
      <c r="C4728">
        <v>0.83620770346559103</v>
      </c>
      <c r="D4728">
        <v>0.99882524062663203</v>
      </c>
      <c r="E4728">
        <v>0.83562585540693801</v>
      </c>
      <c r="F4728">
        <v>1.0890292550360701</v>
      </c>
      <c r="G4728">
        <v>0.91175312387341301</v>
      </c>
      <c r="H4728">
        <v>0.55255322672976803</v>
      </c>
      <c r="I4728">
        <v>0.358124804171637</v>
      </c>
      <c r="J4728">
        <v>0.20672347544141201</v>
      </c>
      <c r="K4728">
        <v>0.14364589409207301</v>
      </c>
      <c r="L4728">
        <v>1710.5835063164</v>
      </c>
      <c r="M4728">
        <v>27.9748251443634</v>
      </c>
      <c r="N4728">
        <v>61.839456515140498</v>
      </c>
      <c r="O4728">
        <v>60.837362521320998</v>
      </c>
      <c r="P4728">
        <v>-9.95047665996424E-2</v>
      </c>
      <c r="Q4728">
        <v>0.13442837508087199</v>
      </c>
      <c r="R4728">
        <v>0.94056190261042505</v>
      </c>
      <c r="S4728" t="s">
        <v>11039</v>
      </c>
      <c r="T4728" t="s">
        <v>12620</v>
      </c>
      <c r="U4728" t="s">
        <v>12620</v>
      </c>
      <c r="V4728" t="s">
        <v>12620</v>
      </c>
      <c r="W4728" t="s">
        <v>17293</v>
      </c>
      <c r="X4728">
        <v>4</v>
      </c>
      <c r="Y4728" t="s">
        <v>23403</v>
      </c>
      <c r="Z4728" t="s">
        <v>29675</v>
      </c>
      <c r="AA4728">
        <v>0.7495370969643802</v>
      </c>
      <c r="AB4728" t="str">
        <f>HYPERLINK("Melting_Curves/meltCurve_Q96GX2_ATXN7L3B.pdf", "Melting_Curves/meltCurve_Q96GX2_ATXN7L3B.pdf")</f>
        <v>Melting_Curves/meltCurve_Q96GX2_ATXN7L3B.pdf</v>
      </c>
    </row>
    <row r="4729" spans="1:28" x14ac:dyDescent="0.25">
      <c r="A4729" t="s">
        <v>4733</v>
      </c>
      <c r="B4729">
        <v>0.99987803227770999</v>
      </c>
      <c r="C4729">
        <v>0.89317389734871899</v>
      </c>
      <c r="D4729">
        <v>0.89327965827876099</v>
      </c>
      <c r="E4729">
        <v>0.588099311528402</v>
      </c>
      <c r="F4729">
        <v>0.53771465907396898</v>
      </c>
      <c r="G4729">
        <v>0.405375349142021</v>
      </c>
      <c r="H4729">
        <v>0.414641657764863</v>
      </c>
      <c r="I4729">
        <v>0.35707544327615898</v>
      </c>
      <c r="J4729">
        <v>0.37142318139330999</v>
      </c>
      <c r="K4729">
        <v>0.31537610318851</v>
      </c>
      <c r="L4729">
        <v>761.330527411802</v>
      </c>
      <c r="M4729">
        <v>15.441837768579999</v>
      </c>
      <c r="N4729">
        <v>53.350957777775101</v>
      </c>
      <c r="O4729">
        <v>48.498446766262802</v>
      </c>
      <c r="P4729">
        <v>-5.2137254250914401E-2</v>
      </c>
      <c r="Q4729">
        <v>0.34506552883186498</v>
      </c>
      <c r="R4729">
        <v>0.97996059016542203</v>
      </c>
      <c r="S4729" t="s">
        <v>11040</v>
      </c>
      <c r="T4729" t="s">
        <v>12620</v>
      </c>
      <c r="U4729" t="s">
        <v>12620</v>
      </c>
      <c r="V4729" t="s">
        <v>12620</v>
      </c>
      <c r="W4729" t="s">
        <v>17294</v>
      </c>
      <c r="X4729">
        <v>13</v>
      </c>
      <c r="Y4729" t="s">
        <v>23404</v>
      </c>
      <c r="Z4729" t="s">
        <v>29676</v>
      </c>
      <c r="AA4729">
        <v>0.56331024947505814</v>
      </c>
      <c r="AB4729" t="str">
        <f>HYPERLINK("Melting_Curves/meltCurve_Q96GX5_MASTL.pdf", "Melting_Curves/meltCurve_Q96GX5_MASTL.pdf")</f>
        <v>Melting_Curves/meltCurve_Q96GX5_MASTL.pdf</v>
      </c>
    </row>
    <row r="4730" spans="1:28" x14ac:dyDescent="0.25">
      <c r="A4730" t="s">
        <v>4734</v>
      </c>
      <c r="B4730">
        <v>0.99987803227770999</v>
      </c>
      <c r="C4730">
        <v>1.05862349428068</v>
      </c>
      <c r="D4730">
        <v>1.0570913560024799</v>
      </c>
      <c r="E4730">
        <v>1.0901302656534599</v>
      </c>
      <c r="F4730">
        <v>0.98805565129554596</v>
      </c>
      <c r="G4730">
        <v>1.00486563997023</v>
      </c>
      <c r="H4730">
        <v>1.2358410812345799</v>
      </c>
      <c r="I4730">
        <v>1.06915092147238</v>
      </c>
      <c r="J4730">
        <v>0.89490840741909605</v>
      </c>
      <c r="K4730">
        <v>0.62517291779433204</v>
      </c>
      <c r="L4730">
        <v>15000</v>
      </c>
      <c r="M4730">
        <v>222.93769466663699</v>
      </c>
      <c r="O4730">
        <v>67.277973586324805</v>
      </c>
      <c r="P4730">
        <v>-0.31056886195491601</v>
      </c>
      <c r="Q4730">
        <v>0.625107113898137</v>
      </c>
      <c r="R4730">
        <v>0.66770103057709496</v>
      </c>
      <c r="S4730" t="s">
        <v>11041</v>
      </c>
      <c r="T4730" t="s">
        <v>12620</v>
      </c>
      <c r="U4730" t="s">
        <v>12620</v>
      </c>
      <c r="V4730" t="s">
        <v>12620</v>
      </c>
      <c r="W4730" t="s">
        <v>17295</v>
      </c>
      <c r="X4730">
        <v>12</v>
      </c>
      <c r="Y4730" t="s">
        <v>23405</v>
      </c>
      <c r="Z4730" t="s">
        <v>29677</v>
      </c>
      <c r="AA4730">
        <v>0.96610680885156053</v>
      </c>
      <c r="AB4730" t="str">
        <f>HYPERLINK("Melting_Curves/meltCurve_Q96GX9_APIP.pdf", "Melting_Curves/meltCurve_Q96GX9_APIP.pdf")</f>
        <v>Melting_Curves/meltCurve_Q96GX9_APIP.pdf</v>
      </c>
    </row>
    <row r="4731" spans="1:28" x14ac:dyDescent="0.25">
      <c r="A4731" t="s">
        <v>4735</v>
      </c>
      <c r="B4731">
        <v>0.99987803227770999</v>
      </c>
      <c r="C4731">
        <v>0.97545378691845297</v>
      </c>
      <c r="D4731">
        <v>1.02202685625463</v>
      </c>
      <c r="E4731">
        <v>1.0220104575876801</v>
      </c>
      <c r="F4731">
        <v>1.04547996785407</v>
      </c>
      <c r="G4731">
        <v>0.88460550778529901</v>
      </c>
      <c r="H4731">
        <v>0.84749805285144297</v>
      </c>
      <c r="I4731">
        <v>0.60033820352507605</v>
      </c>
      <c r="J4731">
        <v>0.63258244488813198</v>
      </c>
      <c r="K4731">
        <v>0.51726559106120096</v>
      </c>
      <c r="L4731">
        <v>1403.22526678854</v>
      </c>
      <c r="M4731">
        <v>22.660100134451199</v>
      </c>
      <c r="O4731">
        <v>61.448713691360901</v>
      </c>
      <c r="P4731">
        <v>-4.5769982352125801E-2</v>
      </c>
      <c r="Q4731">
        <v>0.50354134822944596</v>
      </c>
      <c r="R4731">
        <v>0.94959954164566096</v>
      </c>
      <c r="S4731" t="s">
        <v>11042</v>
      </c>
      <c r="T4731" t="s">
        <v>12620</v>
      </c>
      <c r="U4731" t="s">
        <v>12620</v>
      </c>
      <c r="V4731" t="s">
        <v>12620</v>
      </c>
      <c r="W4731" t="s">
        <v>17296</v>
      </c>
      <c r="X4731">
        <v>14</v>
      </c>
      <c r="Y4731" t="s">
        <v>23406</v>
      </c>
      <c r="Z4731" t="s">
        <v>29678</v>
      </c>
      <c r="AA4731">
        <v>0.86854444511485129</v>
      </c>
      <c r="AB4731" t="str">
        <f>HYPERLINK("Melting_Curves/meltCurve_Q96GY0_ZC2HC1A.pdf", "Melting_Curves/meltCurve_Q96GY0_ZC2HC1A.pdf")</f>
        <v>Melting_Curves/meltCurve_Q96GY0_ZC2HC1A.pdf</v>
      </c>
    </row>
    <row r="4732" spans="1:28" x14ac:dyDescent="0.25">
      <c r="A4732" t="s">
        <v>4736</v>
      </c>
      <c r="B4732">
        <v>0.99987803227770999</v>
      </c>
      <c r="C4732">
        <v>0.97564954262084902</v>
      </c>
      <c r="D4732">
        <v>0.98833428794650602</v>
      </c>
      <c r="E4732">
        <v>0.86958532186662896</v>
      </c>
      <c r="F4732">
        <v>0.63356328831848996</v>
      </c>
      <c r="G4732">
        <v>0.24763747181416201</v>
      </c>
      <c r="H4732">
        <v>0.105561317615311</v>
      </c>
      <c r="I4732">
        <v>7.9927933863299896E-2</v>
      </c>
      <c r="J4732">
        <v>3.9569917775844697E-2</v>
      </c>
      <c r="K4732">
        <v>5.0890626080754002E-2</v>
      </c>
      <c r="L4732">
        <v>1287.20705608972</v>
      </c>
      <c r="M4732">
        <v>23.843424814959601</v>
      </c>
      <c r="N4732">
        <v>54.197602242897197</v>
      </c>
      <c r="O4732">
        <v>53.610386016776602</v>
      </c>
      <c r="P4732">
        <v>-0.106244798148351</v>
      </c>
      <c r="Q4732">
        <v>4.4477565470468799E-2</v>
      </c>
      <c r="R4732">
        <v>0.99937657759684195</v>
      </c>
      <c r="S4732" t="s">
        <v>11043</v>
      </c>
      <c r="T4732" t="s">
        <v>12620</v>
      </c>
      <c r="U4732" t="s">
        <v>12620</v>
      </c>
      <c r="V4732" t="s">
        <v>12620</v>
      </c>
      <c r="W4732" t="s">
        <v>17297</v>
      </c>
      <c r="X4732">
        <v>6</v>
      </c>
      <c r="Y4732" t="s">
        <v>23407</v>
      </c>
      <c r="Z4732" t="s">
        <v>29679</v>
      </c>
      <c r="AA4732">
        <v>0.49956704582639372</v>
      </c>
      <c r="AB4732" t="str">
        <f>HYPERLINK("Melting_Curves/meltCurve_Q96H20_SNF8.pdf", "Melting_Curves/meltCurve_Q96H20_SNF8.pdf")</f>
        <v>Melting_Curves/meltCurve_Q96H20_SNF8.pdf</v>
      </c>
    </row>
    <row r="4733" spans="1:28" x14ac:dyDescent="0.25">
      <c r="A4733" t="s">
        <v>4737</v>
      </c>
      <c r="B4733">
        <v>0.99987803227770999</v>
      </c>
      <c r="C4733">
        <v>0.91643979701302203</v>
      </c>
      <c r="D4733">
        <v>1.32969350093188</v>
      </c>
      <c r="E4733">
        <v>0.77582225096704405</v>
      </c>
      <c r="F4733">
        <v>0.52852325281152701</v>
      </c>
      <c r="G4733">
        <v>0.204363727141473</v>
      </c>
      <c r="H4733">
        <v>0.15035374378015501</v>
      </c>
      <c r="I4733">
        <v>0.10861792529290901</v>
      </c>
      <c r="J4733">
        <v>9.7460615012849999E-2</v>
      </c>
      <c r="K4733">
        <v>7.1994794383195504E-2</v>
      </c>
      <c r="L4733">
        <v>1526.4996591464301</v>
      </c>
      <c r="M4733">
        <v>28.969213125125101</v>
      </c>
      <c r="N4733">
        <v>53.118329771969599</v>
      </c>
      <c r="O4733">
        <v>52.4446847178898</v>
      </c>
      <c r="P4733">
        <v>-0.123826517544094</v>
      </c>
      <c r="Q4733">
        <v>0.103324850382538</v>
      </c>
      <c r="R4733">
        <v>0.93067175712424099</v>
      </c>
      <c r="S4733" t="s">
        <v>11044</v>
      </c>
      <c r="T4733" t="s">
        <v>12620</v>
      </c>
      <c r="U4733" t="s">
        <v>12620</v>
      </c>
      <c r="V4733" t="s">
        <v>12620</v>
      </c>
      <c r="W4733" t="s">
        <v>17298</v>
      </c>
      <c r="X4733">
        <v>13</v>
      </c>
      <c r="Y4733" t="s">
        <v>23408</v>
      </c>
      <c r="Z4733" t="s">
        <v>29680</v>
      </c>
      <c r="AA4733">
        <v>0.4889343840445079</v>
      </c>
      <c r="AB4733" t="str">
        <f>HYPERLINK("Melting_Curves/meltCurve_Q96H79_ZC3HAV1L.pdf", "Melting_Curves/meltCurve_Q96H79_ZC3HAV1L.pdf")</f>
        <v>Melting_Curves/meltCurve_Q96H79_ZC3HAV1L.pdf</v>
      </c>
    </row>
    <row r="4734" spans="1:28" x14ac:dyDescent="0.25">
      <c r="A4734" t="s">
        <v>4738</v>
      </c>
      <c r="B4734">
        <v>0.99987803227770999</v>
      </c>
      <c r="C4734">
        <v>0.91705886523025804</v>
      </c>
      <c r="D4734">
        <v>0.54985942664196297</v>
      </c>
      <c r="E4734">
        <v>0.58390145629952905</v>
      </c>
      <c r="F4734">
        <v>0.38538976389526403</v>
      </c>
      <c r="G4734">
        <v>0.25561088555518602</v>
      </c>
      <c r="H4734">
        <v>0.132522999739974</v>
      </c>
      <c r="I4734">
        <v>0.152384907288656</v>
      </c>
      <c r="J4734">
        <v>9.21545232718292E-2</v>
      </c>
      <c r="K4734">
        <v>4.9659109725107897E-2</v>
      </c>
      <c r="L4734">
        <v>494.17218065891501</v>
      </c>
      <c r="M4734">
        <v>9.8530906526598994</v>
      </c>
      <c r="N4734">
        <v>50.309215514251498</v>
      </c>
      <c r="O4734">
        <v>48.219145883752397</v>
      </c>
      <c r="P4734">
        <v>-5.0346201882096202E-2</v>
      </c>
      <c r="Q4734">
        <v>1.4968162263651601E-2</v>
      </c>
      <c r="R4734">
        <v>0.95738805017704698</v>
      </c>
      <c r="S4734" t="s">
        <v>11045</v>
      </c>
      <c r="T4734" t="s">
        <v>12620</v>
      </c>
      <c r="U4734" t="s">
        <v>12620</v>
      </c>
      <c r="V4734" t="s">
        <v>12620</v>
      </c>
      <c r="W4734" t="s">
        <v>17299</v>
      </c>
      <c r="X4734">
        <v>4</v>
      </c>
      <c r="Y4734" t="s">
        <v>23409</v>
      </c>
      <c r="Z4734" t="s">
        <v>29681</v>
      </c>
      <c r="AA4734">
        <v>0.39322537183640649</v>
      </c>
      <c r="AB4734" t="str">
        <f>HYPERLINK("Melting_Curves/meltCurve_Q96HA7_2_TONSL.pdf", "Melting_Curves/meltCurve_Q96HA7_2_TONSL.pdf")</f>
        <v>Melting_Curves/meltCurve_Q96HA7_2_TONSL.pdf</v>
      </c>
    </row>
    <row r="4735" spans="1:28" x14ac:dyDescent="0.25">
      <c r="A4735" t="s">
        <v>4739</v>
      </c>
      <c r="B4735">
        <v>0.99987803227770999</v>
      </c>
      <c r="C4735">
        <v>0.85876702418212203</v>
      </c>
      <c r="D4735">
        <v>1.01135980292385</v>
      </c>
      <c r="E4735">
        <v>0.83868085234506595</v>
      </c>
      <c r="F4735">
        <v>1.0197177166343201</v>
      </c>
      <c r="G4735">
        <v>0.75459969535393001</v>
      </c>
      <c r="H4735">
        <v>0.60867672310031395</v>
      </c>
      <c r="I4735">
        <v>0.54390195493376103</v>
      </c>
      <c r="J4735">
        <v>0.486810771773039</v>
      </c>
      <c r="K4735">
        <v>0.37839082381531203</v>
      </c>
      <c r="L4735">
        <v>647.52452707378598</v>
      </c>
      <c r="M4735">
        <v>10.4022685168578</v>
      </c>
      <c r="N4735">
        <v>65.432475070969005</v>
      </c>
      <c r="O4735">
        <v>60.079729804223398</v>
      </c>
      <c r="P4735">
        <v>-3.47029767902753E-2</v>
      </c>
      <c r="Q4735">
        <v>0.19860792147536599</v>
      </c>
      <c r="R4735">
        <v>0.89938817556976303</v>
      </c>
      <c r="S4735" t="s">
        <v>11046</v>
      </c>
      <c r="T4735" t="s">
        <v>12620</v>
      </c>
      <c r="U4735" t="s">
        <v>12620</v>
      </c>
      <c r="V4735" t="s">
        <v>12620</v>
      </c>
      <c r="W4735" t="s">
        <v>17300</v>
      </c>
      <c r="X4735">
        <v>32</v>
      </c>
      <c r="Y4735" t="s">
        <v>23410</v>
      </c>
      <c r="Z4735" t="s">
        <v>29682</v>
      </c>
      <c r="AA4735">
        <v>0.77597460834212961</v>
      </c>
      <c r="AB4735" t="str">
        <f>HYPERLINK("Melting_Curves/meltCurve_Q96HC4_PDLIM5.pdf", "Melting_Curves/meltCurve_Q96HC4_PDLIM5.pdf")</f>
        <v>Melting_Curves/meltCurve_Q96HC4_PDLIM5.pdf</v>
      </c>
    </row>
    <row r="4736" spans="1:28" x14ac:dyDescent="0.25">
      <c r="A4736" t="s">
        <v>4740</v>
      </c>
      <c r="B4736">
        <v>0.99987803227770999</v>
      </c>
      <c r="C4736">
        <v>0.94914235443927697</v>
      </c>
      <c r="D4736">
        <v>1.0707360970875499</v>
      </c>
      <c r="E4736">
        <v>0.60877240738655602</v>
      </c>
      <c r="F4736">
        <v>0.23792448882417799</v>
      </c>
      <c r="G4736">
        <v>0.14976140356027501</v>
      </c>
      <c r="H4736">
        <v>0.113540981910598</v>
      </c>
      <c r="I4736">
        <v>0.14955004381335199</v>
      </c>
      <c r="J4736">
        <v>0.108859555801815</v>
      </c>
      <c r="K4736">
        <v>0.104305047349185</v>
      </c>
      <c r="L4736">
        <v>2156.0324991099801</v>
      </c>
      <c r="M4736">
        <v>42.845245637351901</v>
      </c>
      <c r="N4736">
        <v>50.667264632238599</v>
      </c>
      <c r="O4736">
        <v>50.212142024025603</v>
      </c>
      <c r="P4736">
        <v>-0.186274446701653</v>
      </c>
      <c r="Q4736">
        <v>0.12679001403353099</v>
      </c>
      <c r="R4736">
        <v>0.991912444747029</v>
      </c>
      <c r="S4736" t="s">
        <v>11047</v>
      </c>
      <c r="T4736" t="s">
        <v>12620</v>
      </c>
      <c r="U4736" t="s">
        <v>12620</v>
      </c>
      <c r="V4736" t="s">
        <v>12620</v>
      </c>
      <c r="W4736" t="s">
        <v>17301</v>
      </c>
      <c r="X4736">
        <v>2</v>
      </c>
      <c r="Y4736" t="s">
        <v>23411</v>
      </c>
      <c r="Z4736" t="s">
        <v>29683</v>
      </c>
      <c r="AA4736">
        <v>0.42985981418147018</v>
      </c>
      <c r="AB4736" t="str">
        <f>HYPERLINK("Melting_Curves/meltCurve_Q96HD9_ACY3.pdf", "Melting_Curves/meltCurve_Q96HD9_ACY3.pdf")</f>
        <v>Melting_Curves/meltCurve_Q96HD9_ACY3.pdf</v>
      </c>
    </row>
    <row r="4737" spans="1:28" x14ac:dyDescent="0.25">
      <c r="A4737" t="s">
        <v>4741</v>
      </c>
      <c r="B4737">
        <v>0.99987803227770999</v>
      </c>
      <c r="C4737">
        <v>0.94840955545302297</v>
      </c>
      <c r="D4737">
        <v>1.0474795020874099</v>
      </c>
      <c r="E4737">
        <v>0.95850769174709505</v>
      </c>
      <c r="F4737">
        <v>0.69484344291290401</v>
      </c>
      <c r="G4737">
        <v>0.207871023281405</v>
      </c>
      <c r="H4737">
        <v>0.114039764227661</v>
      </c>
      <c r="I4737">
        <v>9.1729337912622194E-2</v>
      </c>
      <c r="J4737">
        <v>6.8818350393378802E-2</v>
      </c>
      <c r="K4737">
        <v>5.1072425238927799E-2</v>
      </c>
      <c r="L4737">
        <v>1883.07040639507</v>
      </c>
      <c r="M4737">
        <v>34.804012364706402</v>
      </c>
      <c r="N4737">
        <v>54.358392610577297</v>
      </c>
      <c r="O4737">
        <v>53.927294477305203</v>
      </c>
      <c r="P4737">
        <v>-0.149264553531231</v>
      </c>
      <c r="Q4737">
        <v>7.4887782483825494E-2</v>
      </c>
      <c r="R4737">
        <v>0.99638804958620097</v>
      </c>
      <c r="S4737" t="s">
        <v>11048</v>
      </c>
      <c r="T4737" t="s">
        <v>12620</v>
      </c>
      <c r="U4737" t="s">
        <v>12620</v>
      </c>
      <c r="V4737" t="s">
        <v>12620</v>
      </c>
      <c r="W4737" t="s">
        <v>17302</v>
      </c>
      <c r="X4737">
        <v>20</v>
      </c>
      <c r="Y4737" t="s">
        <v>23412</v>
      </c>
      <c r="Z4737" t="s">
        <v>29684</v>
      </c>
      <c r="AA4737">
        <v>0.51439653881834102</v>
      </c>
      <c r="AB4737" t="str">
        <f>HYPERLINK("Melting_Curves/meltCurve_Q96HE7_ERO1L.pdf", "Melting_Curves/meltCurve_Q96HE7_ERO1L.pdf")</f>
        <v>Melting_Curves/meltCurve_Q96HE7_ERO1L.pdf</v>
      </c>
    </row>
    <row r="4738" spans="1:28" x14ac:dyDescent="0.25">
      <c r="A4738" t="s">
        <v>4742</v>
      </c>
      <c r="B4738">
        <v>0.99987803227770999</v>
      </c>
      <c r="C4738">
        <v>1.0938341565407099</v>
      </c>
      <c r="D4738">
        <v>1.1752257515626401</v>
      </c>
      <c r="E4738">
        <v>1.11223767209116</v>
      </c>
      <c r="F4738">
        <v>1.29902407895341</v>
      </c>
      <c r="G4738">
        <v>1.24280280525392</v>
      </c>
      <c r="H4738">
        <v>0.69766107581953196</v>
      </c>
      <c r="I4738">
        <v>0.19107071660658501</v>
      </c>
      <c r="J4738">
        <v>4.8710291749592502E-2</v>
      </c>
      <c r="K4738">
        <v>5.0254269831738897E-2</v>
      </c>
      <c r="L4738">
        <v>3694.23161509902</v>
      </c>
      <c r="M4738">
        <v>59.711165728785602</v>
      </c>
      <c r="N4738">
        <v>61.984329174936299</v>
      </c>
      <c r="O4738">
        <v>61.799076104943801</v>
      </c>
      <c r="P4738">
        <v>-0.228786889919319</v>
      </c>
      <c r="Q4738">
        <v>5.28530336244225E-2</v>
      </c>
      <c r="R4738">
        <v>0.91174476580200803</v>
      </c>
      <c r="S4738" t="s">
        <v>11049</v>
      </c>
      <c r="T4738" t="s">
        <v>12620</v>
      </c>
      <c r="U4738" t="s">
        <v>12620</v>
      </c>
      <c r="V4738" t="s">
        <v>12620</v>
      </c>
      <c r="W4738" t="s">
        <v>17303</v>
      </c>
      <c r="X4738">
        <v>3</v>
      </c>
      <c r="Y4738" t="s">
        <v>23413</v>
      </c>
      <c r="Z4738" t="s">
        <v>29685</v>
      </c>
      <c r="AA4738">
        <v>0.74503830352290845</v>
      </c>
      <c r="AB4738" t="str">
        <f>HYPERLINK("Melting_Curves/meltCurve_Q96HJ9_C7orf55.pdf", "Melting_Curves/meltCurve_Q96HJ9_C7orf55.pdf")</f>
        <v>Melting_Curves/meltCurve_Q96HJ9_C7orf55.pdf</v>
      </c>
    </row>
    <row r="4739" spans="1:28" x14ac:dyDescent="0.25">
      <c r="A4739" t="s">
        <v>4743</v>
      </c>
      <c r="B4739">
        <v>0.99987803227770999</v>
      </c>
      <c r="C4739">
        <v>0.99207925792979101</v>
      </c>
      <c r="D4739">
        <v>0.99656818805244896</v>
      </c>
      <c r="E4739">
        <v>0.97104412667473095</v>
      </c>
      <c r="F4739">
        <v>0.634774347020995</v>
      </c>
      <c r="G4739">
        <v>0.385705146345169</v>
      </c>
      <c r="H4739">
        <v>0.31235324378899298</v>
      </c>
      <c r="I4739">
        <v>0.26237357076559997</v>
      </c>
      <c r="J4739">
        <v>0.227688742263633</v>
      </c>
      <c r="K4739">
        <v>0.18224394841098801</v>
      </c>
      <c r="L4739">
        <v>1447.9719664725601</v>
      </c>
      <c r="M4739">
        <v>26.983538064987702</v>
      </c>
      <c r="N4739">
        <v>54.961998103448899</v>
      </c>
      <c r="O4739">
        <v>53.369186947334398</v>
      </c>
      <c r="P4739">
        <v>-9.6573745461647306E-2</v>
      </c>
      <c r="Q4739">
        <v>0.23597703785653601</v>
      </c>
      <c r="R4739">
        <v>0.98927938452521202</v>
      </c>
      <c r="S4739" t="s">
        <v>11050</v>
      </c>
      <c r="T4739" t="s">
        <v>12620</v>
      </c>
      <c r="U4739" t="s">
        <v>12620</v>
      </c>
      <c r="V4739" t="s">
        <v>12620</v>
      </c>
      <c r="W4739" t="s">
        <v>17304</v>
      </c>
      <c r="X4739">
        <v>24</v>
      </c>
      <c r="Y4739" t="s">
        <v>23413</v>
      </c>
      <c r="Z4739" t="s">
        <v>29686</v>
      </c>
      <c r="AA4739">
        <v>0.59001914262885957</v>
      </c>
      <c r="AB4739" t="str">
        <f>HYPERLINK("Melting_Curves/meltCurve_Q96HJ9_2_C7orf55.pdf", "Melting_Curves/meltCurve_Q96HJ9_2_C7orf55.pdf")</f>
        <v>Melting_Curves/meltCurve_Q96HJ9_2_C7orf55.pdf</v>
      </c>
    </row>
    <row r="4740" spans="1:28" x14ac:dyDescent="0.25">
      <c r="A4740" t="s">
        <v>4744</v>
      </c>
      <c r="B4740">
        <v>0.99987803227770999</v>
      </c>
      <c r="C4740">
        <v>1.1398782279853299</v>
      </c>
      <c r="D4740">
        <v>1.0071397627813401</v>
      </c>
      <c r="E4740">
        <v>0.93682343281035596</v>
      </c>
      <c r="F4740">
        <v>0.60998182894406905</v>
      </c>
      <c r="G4740">
        <v>0.39919484364490299</v>
      </c>
      <c r="H4740">
        <v>0.20296060718747899</v>
      </c>
      <c r="I4740">
        <v>5.9929236349839002E-2</v>
      </c>
      <c r="J4740">
        <v>6.1490723250908597E-2</v>
      </c>
      <c r="K4740">
        <v>1.5109699851033401E-2</v>
      </c>
      <c r="L4740">
        <v>1003.86765893344</v>
      </c>
      <c r="M4740">
        <v>18.1539680607031</v>
      </c>
      <c r="N4740">
        <v>55.365180366433698</v>
      </c>
      <c r="O4740">
        <v>54.639538720392999</v>
      </c>
      <c r="P4740">
        <v>-8.2153803001101797E-2</v>
      </c>
      <c r="Q4740">
        <v>1.0986103241809099E-2</v>
      </c>
      <c r="R4740">
        <v>0.98031409743200804</v>
      </c>
      <c r="S4740" t="s">
        <v>11051</v>
      </c>
      <c r="T4740" t="s">
        <v>12620</v>
      </c>
      <c r="U4740" t="s">
        <v>12620</v>
      </c>
      <c r="V4740" t="s">
        <v>12620</v>
      </c>
      <c r="W4740" t="s">
        <v>17305</v>
      </c>
      <c r="X4740">
        <v>12</v>
      </c>
      <c r="Y4740" t="s">
        <v>23414</v>
      </c>
      <c r="Z4740" t="s">
        <v>29687</v>
      </c>
      <c r="AA4740">
        <v>0.53023756513070053</v>
      </c>
      <c r="AB4740" t="str">
        <f>HYPERLINK("Melting_Curves/meltCurve_Q96HN2_2_AHCYL2.pdf", "Melting_Curves/meltCurve_Q96HN2_2_AHCYL2.pdf")</f>
        <v>Melting_Curves/meltCurve_Q96HN2_2_AHCYL2.pdf</v>
      </c>
    </row>
    <row r="4741" spans="1:28" x14ac:dyDescent="0.25">
      <c r="A4741" t="s">
        <v>4745</v>
      </c>
      <c r="B4741">
        <v>0.99987803227770999</v>
      </c>
      <c r="C4741">
        <v>0.73128919134130399</v>
      </c>
      <c r="D4741">
        <v>0.54438869003494605</v>
      </c>
      <c r="E4741">
        <v>0.30112802485472501</v>
      </c>
      <c r="F4741">
        <v>0.204747621566823</v>
      </c>
      <c r="G4741">
        <v>0.12956204771204599</v>
      </c>
      <c r="H4741">
        <v>9.5456017596327297E-2</v>
      </c>
      <c r="I4741">
        <v>9.1435510614284898E-2</v>
      </c>
      <c r="J4741">
        <v>8.6234242377285997E-2</v>
      </c>
      <c r="K4741">
        <v>6.9777160914743702E-2</v>
      </c>
      <c r="L4741">
        <v>709.09387860053198</v>
      </c>
      <c r="M4741">
        <v>15.3777735494764</v>
      </c>
      <c r="N4741">
        <v>46.632348312300302</v>
      </c>
      <c r="O4741">
        <v>45.352923212984003</v>
      </c>
      <c r="P4741">
        <v>-7.8086829883606504E-2</v>
      </c>
      <c r="Q4741">
        <v>7.88934886095667E-2</v>
      </c>
      <c r="R4741">
        <v>0.99029332064765296</v>
      </c>
      <c r="S4741" t="s">
        <v>11052</v>
      </c>
      <c r="T4741" t="s">
        <v>12620</v>
      </c>
      <c r="U4741" t="s">
        <v>12620</v>
      </c>
      <c r="V4741" t="s">
        <v>12620</v>
      </c>
      <c r="W4741" t="s">
        <v>17306</v>
      </c>
      <c r="X4741">
        <v>4</v>
      </c>
      <c r="Y4741" t="s">
        <v>23415</v>
      </c>
      <c r="Z4741" t="s">
        <v>29688</v>
      </c>
      <c r="AA4741">
        <v>0.29183452971375179</v>
      </c>
      <c r="AB4741" t="str">
        <f>HYPERLINK("Melting_Curves/meltCurve_Q96HP4_OXNAD1.pdf", "Melting_Curves/meltCurve_Q96HP4_OXNAD1.pdf")</f>
        <v>Melting_Curves/meltCurve_Q96HP4_OXNAD1.pdf</v>
      </c>
    </row>
    <row r="4742" spans="1:28" x14ac:dyDescent="0.25">
      <c r="A4742" t="s">
        <v>4746</v>
      </c>
      <c r="B4742">
        <v>0.99987803227770999</v>
      </c>
      <c r="C4742">
        <v>1.0927156128164499</v>
      </c>
      <c r="D4742">
        <v>1.08711478738305</v>
      </c>
      <c r="E4742">
        <v>1.2238230401710499</v>
      </c>
      <c r="F4742">
        <v>1.0018586596108301</v>
      </c>
      <c r="G4742">
        <v>1.00378045226195</v>
      </c>
      <c r="H4742">
        <v>1.2475271200704301</v>
      </c>
      <c r="I4742">
        <v>0.83629557670877397</v>
      </c>
      <c r="J4742">
        <v>0.87193231449896802</v>
      </c>
      <c r="K4742">
        <v>0.67098681035484398</v>
      </c>
      <c r="L4742">
        <v>2308.1814658728699</v>
      </c>
      <c r="M4742">
        <v>33.797800380913301</v>
      </c>
      <c r="O4742">
        <v>68.056076633784798</v>
      </c>
      <c r="P4742">
        <v>-5.7778790490125603E-2</v>
      </c>
      <c r="Q4742">
        <v>0.53462275065180698</v>
      </c>
      <c r="R4742">
        <v>0.472786320477736</v>
      </c>
      <c r="S4742" t="s">
        <v>11053</v>
      </c>
      <c r="T4742" t="s">
        <v>12620</v>
      </c>
      <c r="U4742" t="s">
        <v>12620</v>
      </c>
      <c r="V4742" t="s">
        <v>12620</v>
      </c>
      <c r="W4742" t="s">
        <v>17307</v>
      </c>
      <c r="X4742">
        <v>7</v>
      </c>
      <c r="Y4742" t="s">
        <v>23416</v>
      </c>
      <c r="Z4742" t="s">
        <v>29689</v>
      </c>
      <c r="AA4742">
        <v>0.96375964335176723</v>
      </c>
      <c r="AB4742" t="str">
        <f>HYPERLINK("Melting_Curves/meltCurve_Q96HQ2_CDKN2AIPNL.pdf", "Melting_Curves/meltCurve_Q96HQ2_CDKN2AIPNL.pdf")</f>
        <v>Melting_Curves/meltCurve_Q96HQ2_CDKN2AIPNL.pdf</v>
      </c>
    </row>
    <row r="4743" spans="1:28" x14ac:dyDescent="0.25">
      <c r="A4743" t="s">
        <v>4747</v>
      </c>
      <c r="B4743">
        <v>0.99987803227770999</v>
      </c>
      <c r="C4743">
        <v>1.21271474765107</v>
      </c>
      <c r="D4743">
        <v>1.0963017545263001</v>
      </c>
      <c r="E4743">
        <v>1.36677969320172</v>
      </c>
      <c r="F4743">
        <v>1.1026801130369499</v>
      </c>
      <c r="G4743">
        <v>1.4729580588309801</v>
      </c>
      <c r="H4743">
        <v>1.5164623059022999</v>
      </c>
      <c r="I4743">
        <v>1.15548779171545</v>
      </c>
      <c r="J4743">
        <v>0.40574217339193402</v>
      </c>
      <c r="K4743">
        <v>0.121335304331199</v>
      </c>
      <c r="L4743">
        <v>15000</v>
      </c>
      <c r="M4743">
        <v>224.61712410111301</v>
      </c>
      <c r="N4743">
        <v>66.863012724423101</v>
      </c>
      <c r="O4743">
        <v>66.774992894583306</v>
      </c>
      <c r="P4743">
        <v>-0.73895080149464398</v>
      </c>
      <c r="Q4743">
        <v>0.12128787112145099</v>
      </c>
      <c r="R4743">
        <v>0.60738539346468501</v>
      </c>
      <c r="S4743" t="s">
        <v>11054</v>
      </c>
      <c r="T4743" t="s">
        <v>12620</v>
      </c>
      <c r="U4743" t="s">
        <v>12620</v>
      </c>
      <c r="V4743" t="s">
        <v>12620</v>
      </c>
      <c r="W4743" t="s">
        <v>17308</v>
      </c>
      <c r="X4743">
        <v>1</v>
      </c>
      <c r="Y4743" t="s">
        <v>23417</v>
      </c>
      <c r="Z4743" t="s">
        <v>29690</v>
      </c>
      <c r="AA4743">
        <v>0.90582109053332727</v>
      </c>
      <c r="AB4743" t="str">
        <f>HYPERLINK("Melting_Curves/meltCurve_Q96HS1_2_PGAM5.pdf", "Melting_Curves/meltCurve_Q96HS1_2_PGAM5.pdf")</f>
        <v>Melting_Curves/meltCurve_Q96HS1_2_PGAM5.pdf</v>
      </c>
    </row>
    <row r="4744" spans="1:28" x14ac:dyDescent="0.25">
      <c r="A4744" t="s">
        <v>4748</v>
      </c>
      <c r="B4744">
        <v>0.99987803227770999</v>
      </c>
      <c r="C4744">
        <v>0.93471193784528805</v>
      </c>
      <c r="D4744">
        <v>0.67080861736958297</v>
      </c>
      <c r="E4744">
        <v>0.67404596832736996</v>
      </c>
      <c r="F4744">
        <v>0.52621770858795702</v>
      </c>
      <c r="G4744">
        <v>0.24692906320698699</v>
      </c>
      <c r="H4744">
        <v>0.18039167073697901</v>
      </c>
      <c r="I4744">
        <v>0.109249682696239</v>
      </c>
      <c r="J4744">
        <v>8.3417332188382806E-2</v>
      </c>
      <c r="K4744">
        <v>3.9203639547255899E-2</v>
      </c>
      <c r="L4744">
        <v>550.84375348038498</v>
      </c>
      <c r="M4744">
        <v>10.5502884835026</v>
      </c>
      <c r="N4744">
        <v>52.2112437613048</v>
      </c>
      <c r="O4744">
        <v>50.440146003989902</v>
      </c>
      <c r="P4744">
        <v>-5.23118544036714E-2</v>
      </c>
      <c r="Q4744">
        <v>0</v>
      </c>
      <c r="R4744">
        <v>0.97344515030672596</v>
      </c>
      <c r="S4744" t="s">
        <v>11055</v>
      </c>
      <c r="T4744" t="s">
        <v>12620</v>
      </c>
      <c r="U4744" t="s">
        <v>12620</v>
      </c>
      <c r="V4744" t="s">
        <v>12620</v>
      </c>
      <c r="W4744" t="s">
        <v>17309</v>
      </c>
      <c r="X4744">
        <v>6</v>
      </c>
      <c r="Y4744" t="s">
        <v>23418</v>
      </c>
      <c r="Z4744" t="s">
        <v>29691</v>
      </c>
      <c r="AA4744">
        <v>0.44214641519533282</v>
      </c>
      <c r="AB4744" t="str">
        <f>HYPERLINK("Melting_Curves/meltCurve_Q96HW7_INTS4.pdf", "Melting_Curves/meltCurve_Q96HW7_INTS4.pdf")</f>
        <v>Melting_Curves/meltCurve_Q96HW7_INTS4.pdf</v>
      </c>
    </row>
    <row r="4745" spans="1:28" x14ac:dyDescent="0.25">
      <c r="A4745" t="s">
        <v>4749</v>
      </c>
      <c r="B4745">
        <v>0.99987803227770999</v>
      </c>
      <c r="C4745">
        <v>0.84317626010973601</v>
      </c>
      <c r="D4745">
        <v>0.87027036303514804</v>
      </c>
      <c r="E4745">
        <v>0.87206806380733404</v>
      </c>
      <c r="F4745">
        <v>1.1951673603849799</v>
      </c>
      <c r="G4745">
        <v>1.02259312137714</v>
      </c>
      <c r="H4745">
        <v>1.0786014091123901</v>
      </c>
      <c r="I4745">
        <v>0.96211681348082601</v>
      </c>
      <c r="J4745">
        <v>0.36983237295009502</v>
      </c>
      <c r="K4745">
        <v>0.77810313282544796</v>
      </c>
      <c r="L4745">
        <v>15000</v>
      </c>
      <c r="M4745">
        <v>232.067908779569</v>
      </c>
      <c r="O4745">
        <v>64.631440244034806</v>
      </c>
      <c r="P4745">
        <v>-0.38243116687862999</v>
      </c>
      <c r="Q4745">
        <v>0.57396812112643203</v>
      </c>
      <c r="R4745">
        <v>0.58556498008936697</v>
      </c>
      <c r="S4745" t="s">
        <v>11056</v>
      </c>
      <c r="T4745" t="s">
        <v>12620</v>
      </c>
      <c r="U4745" t="s">
        <v>12620</v>
      </c>
      <c r="V4745" t="s">
        <v>12620</v>
      </c>
      <c r="W4745" t="s">
        <v>17310</v>
      </c>
      <c r="X4745">
        <v>3</v>
      </c>
      <c r="Y4745" t="s">
        <v>23419</v>
      </c>
      <c r="Z4745" t="s">
        <v>29692</v>
      </c>
      <c r="AA4745">
        <v>0.9238851751578866</v>
      </c>
      <c r="AB4745" t="str">
        <f>HYPERLINK("Melting_Curves/meltCurve_Q96HY6_DDRGK1.pdf", "Melting_Curves/meltCurve_Q96HY6_DDRGK1.pdf")</f>
        <v>Melting_Curves/meltCurve_Q96HY6_DDRGK1.pdf</v>
      </c>
    </row>
    <row r="4746" spans="1:28" x14ac:dyDescent="0.25">
      <c r="A4746" t="s">
        <v>4750</v>
      </c>
      <c r="B4746">
        <v>0.99987803227770999</v>
      </c>
      <c r="C4746">
        <v>0.90865388628753097</v>
      </c>
      <c r="D4746">
        <v>0.38140287071260898</v>
      </c>
      <c r="E4746">
        <v>0.294115217933618</v>
      </c>
      <c r="F4746">
        <v>0.153772648641437</v>
      </c>
      <c r="G4746">
        <v>0.104844632938054</v>
      </c>
      <c r="H4746">
        <v>7.4000957201568698E-2</v>
      </c>
      <c r="I4746">
        <v>4.3014683548096698E-2</v>
      </c>
      <c r="J4746">
        <v>5.2180519438392803E-2</v>
      </c>
      <c r="K4746">
        <v>3.5761423982443502E-2</v>
      </c>
      <c r="L4746">
        <v>1073.49518137114</v>
      </c>
      <c r="M4746">
        <v>23.562151330605602</v>
      </c>
      <c r="N4746">
        <v>45.896586751009103</v>
      </c>
      <c r="O4746">
        <v>45.235780771862203</v>
      </c>
      <c r="P4746">
        <v>-0.119892651949773</v>
      </c>
      <c r="Q4746">
        <v>7.9312329185923805E-2</v>
      </c>
      <c r="R4746">
        <v>0.96736659764661403</v>
      </c>
      <c r="S4746" t="s">
        <v>11057</v>
      </c>
      <c r="T4746" t="s">
        <v>12620</v>
      </c>
      <c r="U4746" t="s">
        <v>12620</v>
      </c>
      <c r="V4746" t="s">
        <v>12620</v>
      </c>
      <c r="W4746" t="s">
        <v>17311</v>
      </c>
      <c r="X4746">
        <v>2</v>
      </c>
      <c r="Y4746" t="s">
        <v>23420</v>
      </c>
      <c r="Z4746" t="s">
        <v>29693</v>
      </c>
      <c r="AA4746">
        <v>0.25999462516817451</v>
      </c>
      <c r="AB4746" t="str">
        <f>HYPERLINK("Melting_Curves/meltCurve_Q96HY7_DHTKD1.pdf", "Melting_Curves/meltCurve_Q96HY7_DHTKD1.pdf")</f>
        <v>Melting_Curves/meltCurve_Q96HY7_DHTKD1.pdf</v>
      </c>
    </row>
    <row r="4747" spans="1:28" x14ac:dyDescent="0.25">
      <c r="A4747" t="s">
        <v>4751</v>
      </c>
      <c r="B4747">
        <v>0.99987803227770999</v>
      </c>
      <c r="C4747">
        <v>1.0543276129232499</v>
      </c>
      <c r="D4747">
        <v>1.0125162050002201</v>
      </c>
      <c r="E4747">
        <v>1.0011921830678101</v>
      </c>
      <c r="F4747">
        <v>0.93693020451639597</v>
      </c>
      <c r="G4747">
        <v>0.78974840277747804</v>
      </c>
      <c r="H4747">
        <v>0.41729248957674198</v>
      </c>
      <c r="I4747">
        <v>0.23943554127334199</v>
      </c>
      <c r="J4747">
        <v>0.146594918976027</v>
      </c>
      <c r="K4747">
        <v>9.5660137531676001E-2</v>
      </c>
      <c r="L4747">
        <v>1416.0538814271099</v>
      </c>
      <c r="M4747">
        <v>23.692773828752799</v>
      </c>
      <c r="N4747">
        <v>60.172687213658399</v>
      </c>
      <c r="O4747">
        <v>59.346416442518503</v>
      </c>
      <c r="P4747">
        <v>-9.2446565039485201E-2</v>
      </c>
      <c r="Q4747">
        <v>7.3762658675563406E-2</v>
      </c>
      <c r="R4747">
        <v>0.99716638706933602</v>
      </c>
      <c r="S4747" t="s">
        <v>11058</v>
      </c>
      <c r="T4747" t="s">
        <v>12620</v>
      </c>
      <c r="U4747" t="s">
        <v>12620</v>
      </c>
      <c r="V4747" t="s">
        <v>12620</v>
      </c>
      <c r="W4747" t="s">
        <v>17312</v>
      </c>
      <c r="X4747">
        <v>15</v>
      </c>
      <c r="Y4747" t="s">
        <v>23421</v>
      </c>
      <c r="Z4747" t="s">
        <v>29694</v>
      </c>
      <c r="AA4747">
        <v>0.6914830544971361</v>
      </c>
      <c r="AB4747" t="str">
        <f>HYPERLINK("Melting_Curves/meltCurve_Q96I15_SCLY.pdf", "Melting_Curves/meltCurve_Q96I15_SCLY.pdf")</f>
        <v>Melting_Curves/meltCurve_Q96I15_SCLY.pdf</v>
      </c>
    </row>
    <row r="4748" spans="1:28" x14ac:dyDescent="0.25">
      <c r="A4748" t="s">
        <v>4752</v>
      </c>
      <c r="B4748">
        <v>0.99987803227770999</v>
      </c>
      <c r="C4748">
        <v>0.90989365494295504</v>
      </c>
      <c r="D4748">
        <v>1.03670610281889</v>
      </c>
      <c r="E4748">
        <v>0.92242786328511905</v>
      </c>
      <c r="F4748">
        <v>0.91601403658035796</v>
      </c>
      <c r="G4748">
        <v>0.57980224756408405</v>
      </c>
      <c r="H4748">
        <v>0.48796177398790103</v>
      </c>
      <c r="I4748">
        <v>0.60592920251685101</v>
      </c>
      <c r="J4748">
        <v>0.39486441057620297</v>
      </c>
      <c r="K4748">
        <v>0.283912815122287</v>
      </c>
      <c r="L4748">
        <v>756.04726680660599</v>
      </c>
      <c r="M4748">
        <v>13.0328560121624</v>
      </c>
      <c r="N4748">
        <v>62.074552105700498</v>
      </c>
      <c r="O4748">
        <v>56.696048474708398</v>
      </c>
      <c r="P4748">
        <v>-4.0983453268728202E-2</v>
      </c>
      <c r="Q4748">
        <v>0.28697334392256402</v>
      </c>
      <c r="R4748">
        <v>0.91263635902901896</v>
      </c>
      <c r="S4748" t="s">
        <v>11059</v>
      </c>
      <c r="T4748" t="s">
        <v>12620</v>
      </c>
      <c r="U4748" t="s">
        <v>12620</v>
      </c>
      <c r="V4748" t="s">
        <v>12620</v>
      </c>
      <c r="W4748" t="s">
        <v>17313</v>
      </c>
      <c r="X4748">
        <v>1</v>
      </c>
      <c r="Y4748" t="s">
        <v>23422</v>
      </c>
      <c r="Z4748" t="s">
        <v>29695</v>
      </c>
      <c r="AA4748">
        <v>0.72449316731343694</v>
      </c>
      <c r="AB4748" t="str">
        <f>HYPERLINK("Melting_Curves/meltCurve_Q96I23_PYURF.pdf", "Melting_Curves/meltCurve_Q96I23_PYURF.pdf")</f>
        <v>Melting_Curves/meltCurve_Q96I23_PYURF.pdf</v>
      </c>
    </row>
    <row r="4749" spans="1:28" x14ac:dyDescent="0.25">
      <c r="A4749" t="s">
        <v>4753</v>
      </c>
      <c r="B4749">
        <v>0.99987803227770999</v>
      </c>
      <c r="C4749">
        <v>0.88210817528305996</v>
      </c>
      <c r="D4749">
        <v>1.0345297824341</v>
      </c>
      <c r="E4749">
        <v>0.84999580035715505</v>
      </c>
      <c r="F4749">
        <v>0.89510394066240695</v>
      </c>
      <c r="G4749">
        <v>0.59598257675174604</v>
      </c>
      <c r="H4749">
        <v>0.49100595942992498</v>
      </c>
      <c r="I4749">
        <v>0.42213205053194702</v>
      </c>
      <c r="J4749">
        <v>0.34946680278646097</v>
      </c>
      <c r="K4749">
        <v>0.27395660406289901</v>
      </c>
      <c r="L4749">
        <v>717.35980698742799</v>
      </c>
      <c r="M4749">
        <v>12.343050239216</v>
      </c>
      <c r="N4749">
        <v>60.740613753483601</v>
      </c>
      <c r="O4749">
        <v>56.656191683447702</v>
      </c>
      <c r="P4749">
        <v>-4.3225436335252602E-2</v>
      </c>
      <c r="Q4749">
        <v>0.20653027145734801</v>
      </c>
      <c r="R4749">
        <v>0.95958917578121605</v>
      </c>
      <c r="S4749" t="s">
        <v>11060</v>
      </c>
      <c r="T4749" t="s">
        <v>12620</v>
      </c>
      <c r="U4749" t="s">
        <v>12620</v>
      </c>
      <c r="V4749" t="s">
        <v>12620</v>
      </c>
      <c r="W4749" t="s">
        <v>17314</v>
      </c>
      <c r="X4749">
        <v>18</v>
      </c>
      <c r="Y4749" t="s">
        <v>23423</v>
      </c>
      <c r="Z4749" t="s">
        <v>29696</v>
      </c>
      <c r="AA4749">
        <v>0.69562272978131634</v>
      </c>
      <c r="AB4749" t="str">
        <f>HYPERLINK("Melting_Curves/meltCurve_Q96I24_FUBP3.pdf", "Melting_Curves/meltCurve_Q96I24_FUBP3.pdf")</f>
        <v>Melting_Curves/meltCurve_Q96I24_FUBP3.pdf</v>
      </c>
    </row>
    <row r="4750" spans="1:28" x14ac:dyDescent="0.25">
      <c r="A4750" t="s">
        <v>4754</v>
      </c>
      <c r="B4750">
        <v>0.99987803227770999</v>
      </c>
      <c r="C4750">
        <v>0.82703771341607502</v>
      </c>
      <c r="D4750">
        <v>1.0042749053862601</v>
      </c>
      <c r="E4750">
        <v>0.811037154281811</v>
      </c>
      <c r="F4750">
        <v>0.98154607825846796</v>
      </c>
      <c r="G4750">
        <v>0.59896225859541097</v>
      </c>
      <c r="H4750">
        <v>0.39324361911334899</v>
      </c>
      <c r="I4750">
        <v>0.31161754727245</v>
      </c>
      <c r="J4750">
        <v>0.28997709354461898</v>
      </c>
      <c r="K4750">
        <v>0.23543735290835599</v>
      </c>
      <c r="L4750">
        <v>1203.12710369859</v>
      </c>
      <c r="M4750">
        <v>21.048789486178201</v>
      </c>
      <c r="N4750">
        <v>58.9437946515555</v>
      </c>
      <c r="O4750">
        <v>56.6505544377723</v>
      </c>
      <c r="P4750">
        <v>-7.1000548755798795E-2</v>
      </c>
      <c r="Q4750">
        <v>0.235658953737686</v>
      </c>
      <c r="R4750">
        <v>0.92688032385122898</v>
      </c>
      <c r="S4750" t="s">
        <v>11061</v>
      </c>
      <c r="T4750" t="s">
        <v>12620</v>
      </c>
      <c r="U4750" t="s">
        <v>12620</v>
      </c>
      <c r="V4750" t="s">
        <v>12620</v>
      </c>
      <c r="W4750" t="s">
        <v>17315</v>
      </c>
      <c r="X4750">
        <v>10</v>
      </c>
      <c r="Y4750" t="s">
        <v>23424</v>
      </c>
      <c r="Z4750" t="s">
        <v>29697</v>
      </c>
      <c r="AA4750">
        <v>0.68154533476392776</v>
      </c>
      <c r="AB4750" t="str">
        <f>HYPERLINK("Melting_Curves/meltCurve_Q96I25_RBM17.pdf", "Melting_Curves/meltCurve_Q96I25_RBM17.pdf")</f>
        <v>Melting_Curves/meltCurve_Q96I25_RBM17.pdf</v>
      </c>
    </row>
    <row r="4751" spans="1:28" x14ac:dyDescent="0.25">
      <c r="A4751" t="s">
        <v>4755</v>
      </c>
      <c r="B4751">
        <v>0.99987803227770999</v>
      </c>
      <c r="C4751">
        <v>0.92073163851747397</v>
      </c>
      <c r="D4751">
        <v>0.96175058071784303</v>
      </c>
      <c r="E4751">
        <v>0.76139073974399596</v>
      </c>
      <c r="F4751">
        <v>0.64066176718031198</v>
      </c>
      <c r="G4751">
        <v>0.52616276211431001</v>
      </c>
      <c r="H4751">
        <v>0.46837502485917298</v>
      </c>
      <c r="I4751">
        <v>0.25615998714557198</v>
      </c>
      <c r="J4751">
        <v>0.131858662913243</v>
      </c>
      <c r="K4751">
        <v>5.45160978914601E-2</v>
      </c>
      <c r="L4751">
        <v>568.88034148119903</v>
      </c>
      <c r="M4751">
        <v>9.9580053844056593</v>
      </c>
      <c r="N4751">
        <v>57.1279368390421</v>
      </c>
      <c r="O4751">
        <v>54.967345140226698</v>
      </c>
      <c r="P4751">
        <v>-4.5312930852124303E-2</v>
      </c>
      <c r="Q4751">
        <v>0</v>
      </c>
      <c r="R4751">
        <v>0.96906006841419701</v>
      </c>
      <c r="S4751" t="s">
        <v>11062</v>
      </c>
      <c r="T4751" t="s">
        <v>12620</v>
      </c>
      <c r="U4751" t="s">
        <v>12620</v>
      </c>
      <c r="V4751" t="s">
        <v>12620</v>
      </c>
      <c r="W4751" t="s">
        <v>17316</v>
      </c>
      <c r="X4751">
        <v>4</v>
      </c>
      <c r="Y4751" t="s">
        <v>23425</v>
      </c>
      <c r="Z4751" t="s">
        <v>29698</v>
      </c>
      <c r="AA4751">
        <v>0.58596793392082958</v>
      </c>
      <c r="AB4751" t="str">
        <f>HYPERLINK("Melting_Curves/meltCurve_Q96I51_WBSCR16.pdf", "Melting_Curves/meltCurve_Q96I51_WBSCR16.pdf")</f>
        <v>Melting_Curves/meltCurve_Q96I51_WBSCR16.pdf</v>
      </c>
    </row>
    <row r="4752" spans="1:28" x14ac:dyDescent="0.25">
      <c r="A4752" t="s">
        <v>4756</v>
      </c>
      <c r="B4752">
        <v>0.99987803227770999</v>
      </c>
      <c r="C4752">
        <v>0.93966434608864902</v>
      </c>
      <c r="D4752">
        <v>0.66406585783288397</v>
      </c>
      <c r="E4752">
        <v>0.29831127041025401</v>
      </c>
      <c r="F4752">
        <v>0.17620029549975799</v>
      </c>
      <c r="G4752">
        <v>0.101857830902611</v>
      </c>
      <c r="H4752">
        <v>7.0952619353984406E-2</v>
      </c>
      <c r="I4752">
        <v>7.3088178378955898E-2</v>
      </c>
      <c r="J4752">
        <v>6.0693396245501401E-2</v>
      </c>
      <c r="K4752">
        <v>4.2463302822806102E-2</v>
      </c>
      <c r="L4752">
        <v>1003.33951679167</v>
      </c>
      <c r="M4752">
        <v>21.142066950047699</v>
      </c>
      <c r="N4752">
        <v>47.765333526556297</v>
      </c>
      <c r="O4752">
        <v>47.038549194181002</v>
      </c>
      <c r="P4752">
        <v>-0.105201464955575</v>
      </c>
      <c r="Q4752">
        <v>6.3781871388828307E-2</v>
      </c>
      <c r="R4752">
        <v>0.99796713428331696</v>
      </c>
      <c r="S4752" t="s">
        <v>11063</v>
      </c>
      <c r="T4752" t="s">
        <v>12620</v>
      </c>
      <c r="U4752" t="s">
        <v>12620</v>
      </c>
      <c r="V4752" t="s">
        <v>12620</v>
      </c>
      <c r="W4752" t="s">
        <v>17317</v>
      </c>
      <c r="X4752">
        <v>7</v>
      </c>
      <c r="Y4752" t="s">
        <v>23426</v>
      </c>
      <c r="Z4752" t="s">
        <v>29699</v>
      </c>
      <c r="AA4752">
        <v>0.30844948147396162</v>
      </c>
      <c r="AB4752" t="str">
        <f>HYPERLINK("Melting_Curves/meltCurve_Q96I59_NARS2.pdf", "Melting_Curves/meltCurve_Q96I59_NARS2.pdf")</f>
        <v>Melting_Curves/meltCurve_Q96I59_NARS2.pdf</v>
      </c>
    </row>
    <row r="4753" spans="1:28" x14ac:dyDescent="0.25">
      <c r="A4753" t="s">
        <v>4757</v>
      </c>
      <c r="B4753">
        <v>0.99987803227770999</v>
      </c>
      <c r="C4753">
        <v>1.1006568943335999</v>
      </c>
      <c r="D4753">
        <v>1.09825655097325</v>
      </c>
      <c r="E4753">
        <v>0.92875514727487796</v>
      </c>
      <c r="F4753">
        <v>0.34812116623602102</v>
      </c>
      <c r="G4753">
        <v>0.17922885281676501</v>
      </c>
      <c r="H4753">
        <v>0.116736053950083</v>
      </c>
      <c r="I4753">
        <v>9.6701901912638097E-2</v>
      </c>
      <c r="J4753">
        <v>7.6238391031350897E-2</v>
      </c>
      <c r="K4753">
        <v>4.9577060872537403E-2</v>
      </c>
      <c r="L4753">
        <v>2909.5454663248101</v>
      </c>
      <c r="M4753">
        <v>55.836369249159503</v>
      </c>
      <c r="N4753">
        <v>52.3206663638449</v>
      </c>
      <c r="O4753">
        <v>52.041716773250499</v>
      </c>
      <c r="P4753">
        <v>-0.241047257911847</v>
      </c>
      <c r="Q4753">
        <v>0.101337975143417</v>
      </c>
      <c r="R4753">
        <v>0.98553479714668901</v>
      </c>
      <c r="S4753" t="s">
        <v>11064</v>
      </c>
      <c r="T4753" t="s">
        <v>12620</v>
      </c>
      <c r="U4753" t="s">
        <v>12620</v>
      </c>
      <c r="V4753" t="s">
        <v>12620</v>
      </c>
      <c r="W4753" t="s">
        <v>17318</v>
      </c>
      <c r="X4753">
        <v>21</v>
      </c>
      <c r="Y4753" t="s">
        <v>23427</v>
      </c>
      <c r="Z4753" t="s">
        <v>29700</v>
      </c>
      <c r="AA4753">
        <v>0.465705279682819</v>
      </c>
      <c r="AB4753" t="str">
        <f>HYPERLINK("Melting_Curves/meltCurve_Q96I99_SUCLG2.pdf", "Melting_Curves/meltCurve_Q96I99_SUCLG2.pdf")</f>
        <v>Melting_Curves/meltCurve_Q96I99_SUCLG2.pdf</v>
      </c>
    </row>
    <row r="4754" spans="1:28" x14ac:dyDescent="0.25">
      <c r="A4754" t="s">
        <v>4758</v>
      </c>
      <c r="B4754">
        <v>0.99987803227770999</v>
      </c>
      <c r="C4754">
        <v>0.92484471598118201</v>
      </c>
      <c r="D4754">
        <v>1.0301196555199099</v>
      </c>
      <c r="E4754">
        <v>0.86015804020374198</v>
      </c>
      <c r="F4754">
        <v>0.84898870664403303</v>
      </c>
      <c r="G4754">
        <v>0.72542517503744497</v>
      </c>
      <c r="H4754">
        <v>0.61853307269288804</v>
      </c>
      <c r="I4754">
        <v>0.58707687081678595</v>
      </c>
      <c r="J4754">
        <v>0.478750109522734</v>
      </c>
      <c r="K4754">
        <v>0.40112532955850799</v>
      </c>
      <c r="L4754">
        <v>453.735378501431</v>
      </c>
      <c r="M4754">
        <v>6.9845340776696698</v>
      </c>
      <c r="N4754">
        <v>66.100747139431803</v>
      </c>
      <c r="O4754">
        <v>60.2660159445646</v>
      </c>
      <c r="P4754">
        <v>-2.7383679244096001E-2</v>
      </c>
      <c r="Q4754">
        <v>5.6643441431687501E-2</v>
      </c>
      <c r="R4754">
        <v>0.97170499301636004</v>
      </c>
      <c r="S4754" t="s">
        <v>11065</v>
      </c>
      <c r="T4754" t="s">
        <v>12620</v>
      </c>
      <c r="U4754" t="s">
        <v>12620</v>
      </c>
      <c r="V4754" t="s">
        <v>12620</v>
      </c>
      <c r="W4754" t="s">
        <v>17319</v>
      </c>
      <c r="X4754">
        <v>12</v>
      </c>
      <c r="Y4754" t="s">
        <v>23428</v>
      </c>
      <c r="Z4754" t="s">
        <v>29701</v>
      </c>
      <c r="AA4754">
        <v>0.75724297577871813</v>
      </c>
      <c r="AB4754" t="str">
        <f>HYPERLINK("Melting_Curves/meltCurve_Q96IF1_AJUBA.pdf", "Melting_Curves/meltCurve_Q96IF1_AJUBA.pdf")</f>
        <v>Melting_Curves/meltCurve_Q96IF1_AJUBA.pdf</v>
      </c>
    </row>
    <row r="4755" spans="1:28" x14ac:dyDescent="0.25">
      <c r="A4755" t="s">
        <v>4759</v>
      </c>
      <c r="B4755">
        <v>0.99987803227770999</v>
      </c>
      <c r="C4755">
        <v>1.02248564603164</v>
      </c>
      <c r="D4755">
        <v>0.83118896884520699</v>
      </c>
      <c r="E4755">
        <v>0.71625915323828104</v>
      </c>
      <c r="F4755">
        <v>0.36993425151633902</v>
      </c>
      <c r="G4755">
        <v>0.27140008438694302</v>
      </c>
      <c r="H4755">
        <v>0.17052220777762001</v>
      </c>
      <c r="I4755">
        <v>0.110882774872565</v>
      </c>
      <c r="J4755">
        <v>8.7357818628120504E-2</v>
      </c>
      <c r="K4755">
        <v>5.8570919678605803E-2</v>
      </c>
      <c r="L4755">
        <v>821.79235693523106</v>
      </c>
      <c r="M4755">
        <v>15.908124335836501</v>
      </c>
      <c r="N4755">
        <v>52.139484684370302</v>
      </c>
      <c r="O4755">
        <v>50.863025735135501</v>
      </c>
      <c r="P4755">
        <v>-7.2862288746659204E-2</v>
      </c>
      <c r="Q4755">
        <v>6.8224867316490204E-2</v>
      </c>
      <c r="R4755">
        <v>0.98709688254907402</v>
      </c>
      <c r="S4755" t="s">
        <v>11066</v>
      </c>
      <c r="T4755" t="s">
        <v>12620</v>
      </c>
      <c r="U4755" t="s">
        <v>12620</v>
      </c>
      <c r="V4755" t="s">
        <v>12620</v>
      </c>
      <c r="W4755" t="s">
        <v>17320</v>
      </c>
      <c r="X4755">
        <v>10</v>
      </c>
      <c r="Y4755" t="s">
        <v>23429</v>
      </c>
      <c r="Z4755" t="s">
        <v>29702</v>
      </c>
      <c r="AA4755">
        <v>0.44951538528854063</v>
      </c>
      <c r="AB4755" t="str">
        <f>HYPERLINK("Melting_Curves/meltCurve_Q96IJ6_GMPPA.pdf", "Melting_Curves/meltCurve_Q96IJ6_GMPPA.pdf")</f>
        <v>Melting_Curves/meltCurve_Q96IJ6_GMPPA.pdf</v>
      </c>
    </row>
    <row r="4756" spans="1:28" x14ac:dyDescent="0.25">
      <c r="A4756" t="s">
        <v>4760</v>
      </c>
      <c r="B4756">
        <v>0.99987803227770999</v>
      </c>
      <c r="C4756">
        <v>0.87608848639121295</v>
      </c>
      <c r="D4756">
        <v>0.97694228564886099</v>
      </c>
      <c r="E4756">
        <v>0.83999352706958097</v>
      </c>
      <c r="F4756">
        <v>0.98383195769754295</v>
      </c>
      <c r="G4756">
        <v>0.57407140424603398</v>
      </c>
      <c r="H4756">
        <v>0.73989692223534598</v>
      </c>
      <c r="I4756">
        <v>0.81066230683621399</v>
      </c>
      <c r="J4756">
        <v>0.76778240685896904</v>
      </c>
      <c r="K4756">
        <v>0.67866353083041497</v>
      </c>
      <c r="L4756">
        <v>612.39489139575301</v>
      </c>
      <c r="M4756">
        <v>11.9680236827367</v>
      </c>
      <c r="O4756">
        <v>49.803422890460197</v>
      </c>
      <c r="P4756">
        <v>-1.7609981827537102E-2</v>
      </c>
      <c r="Q4756">
        <v>0.70694450641125495</v>
      </c>
      <c r="R4756">
        <v>0.50552880862260796</v>
      </c>
      <c r="S4756" t="s">
        <v>11067</v>
      </c>
      <c r="T4756" t="s">
        <v>12620</v>
      </c>
      <c r="U4756" t="s">
        <v>12620</v>
      </c>
      <c r="V4756" t="s">
        <v>12620</v>
      </c>
      <c r="W4756" t="s">
        <v>17321</v>
      </c>
      <c r="X4756">
        <v>8</v>
      </c>
      <c r="Y4756" t="s">
        <v>23430</v>
      </c>
      <c r="Z4756" t="s">
        <v>29703</v>
      </c>
      <c r="AA4756">
        <v>0.82554640739182217</v>
      </c>
      <c r="AB4756" t="str">
        <f>HYPERLINK("Melting_Curves/meltCurve_Q96IK1_BOD1.pdf", "Melting_Curves/meltCurve_Q96IK1_BOD1.pdf")</f>
        <v>Melting_Curves/meltCurve_Q96IK1_BOD1.pdf</v>
      </c>
    </row>
    <row r="4757" spans="1:28" x14ac:dyDescent="0.25">
      <c r="A4757" t="s">
        <v>4761</v>
      </c>
      <c r="B4757">
        <v>0.99987803227770999</v>
      </c>
      <c r="C4757">
        <v>0.88462375728128095</v>
      </c>
      <c r="D4757">
        <v>0.91697575887929805</v>
      </c>
      <c r="E4757">
        <v>0.67762466897704599</v>
      </c>
      <c r="F4757">
        <v>0.588627050949033</v>
      </c>
      <c r="G4757">
        <v>0.40738751528877898</v>
      </c>
      <c r="H4757">
        <v>0.43364657595616302</v>
      </c>
      <c r="I4757">
        <v>0.33633962353629798</v>
      </c>
      <c r="J4757">
        <v>0.30694921808978498</v>
      </c>
      <c r="K4757">
        <v>0.26804862358360598</v>
      </c>
      <c r="L4757">
        <v>599.46335640375105</v>
      </c>
      <c r="M4757">
        <v>11.580246023097001</v>
      </c>
      <c r="N4757">
        <v>55.267249541699101</v>
      </c>
      <c r="O4757">
        <v>50.294572175174501</v>
      </c>
      <c r="P4757">
        <v>-4.2612614655764602E-2</v>
      </c>
      <c r="Q4757">
        <v>0.25991544812309297</v>
      </c>
      <c r="R4757">
        <v>0.978980534538612</v>
      </c>
      <c r="S4757" t="s">
        <v>11068</v>
      </c>
      <c r="T4757" t="s">
        <v>12620</v>
      </c>
      <c r="U4757" t="s">
        <v>12620</v>
      </c>
      <c r="V4757" t="s">
        <v>12620</v>
      </c>
      <c r="W4757" t="s">
        <v>17322</v>
      </c>
      <c r="X4757">
        <v>3</v>
      </c>
      <c r="Y4757" t="s">
        <v>23431</v>
      </c>
      <c r="Z4757" t="s">
        <v>29704</v>
      </c>
      <c r="AA4757">
        <v>0.57426971484982614</v>
      </c>
      <c r="AB4757" t="str">
        <f>HYPERLINK("Melting_Curves/meltCurve_Q96IQ9_2_ZNF414.pdf", "Melting_Curves/meltCurve_Q96IQ9_2_ZNF414.pdf")</f>
        <v>Melting_Curves/meltCurve_Q96IQ9_2_ZNF414.pdf</v>
      </c>
    </row>
    <row r="4758" spans="1:28" x14ac:dyDescent="0.25">
      <c r="A4758" t="s">
        <v>4762</v>
      </c>
      <c r="B4758">
        <v>0.99987803227770999</v>
      </c>
      <c r="C4758">
        <v>0.88158629116634102</v>
      </c>
      <c r="D4758">
        <v>0.81269248818192197</v>
      </c>
      <c r="E4758">
        <v>0.67998113704202701</v>
      </c>
      <c r="F4758">
        <v>0.81186193179886401</v>
      </c>
      <c r="G4758">
        <v>0.46740357525509302</v>
      </c>
      <c r="H4758">
        <v>0.26232523595652901</v>
      </c>
      <c r="I4758">
        <v>0.20253496885983799</v>
      </c>
      <c r="J4758">
        <v>0.13057507282289399</v>
      </c>
      <c r="K4758">
        <v>9.1688454506629796E-2</v>
      </c>
      <c r="L4758">
        <v>564.24485220540805</v>
      </c>
      <c r="M4758">
        <v>10.086175088417701</v>
      </c>
      <c r="N4758">
        <v>55.942398760923403</v>
      </c>
      <c r="O4758">
        <v>53.8768650034987</v>
      </c>
      <c r="P4758">
        <v>-4.68240151884559E-2</v>
      </c>
      <c r="Q4758">
        <v>0</v>
      </c>
      <c r="R4758">
        <v>0.94794726328791901</v>
      </c>
      <c r="S4758" t="s">
        <v>11069</v>
      </c>
      <c r="T4758" t="s">
        <v>12620</v>
      </c>
      <c r="U4758" t="s">
        <v>12620</v>
      </c>
      <c r="V4758" t="s">
        <v>12620</v>
      </c>
      <c r="W4758" t="s">
        <v>17323</v>
      </c>
      <c r="X4758">
        <v>5</v>
      </c>
      <c r="Y4758" t="s">
        <v>23432</v>
      </c>
      <c r="Z4758" t="s">
        <v>29705</v>
      </c>
      <c r="AA4758">
        <v>0.55279638295293887</v>
      </c>
      <c r="AB4758" t="str">
        <f>HYPERLINK("Melting_Curves/meltCurve_Q96IR7_HPDL.pdf", "Melting_Curves/meltCurve_Q96IR7_HPDL.pdf")</f>
        <v>Melting_Curves/meltCurve_Q96IR7_HPDL.pdf</v>
      </c>
    </row>
    <row r="4759" spans="1:28" x14ac:dyDescent="0.25">
      <c r="A4759" t="s">
        <v>4763</v>
      </c>
      <c r="B4759">
        <v>0.99987803227770999</v>
      </c>
      <c r="C4759">
        <v>0.79673941618855304</v>
      </c>
      <c r="D4759">
        <v>1.0077289324745999</v>
      </c>
      <c r="E4759">
        <v>0.71975850605032898</v>
      </c>
      <c r="F4759">
        <v>0.79129228415086095</v>
      </c>
      <c r="G4759">
        <v>0.463658122045914</v>
      </c>
      <c r="H4759">
        <v>0.179821232679823</v>
      </c>
      <c r="I4759">
        <v>8.1913295616080697E-2</v>
      </c>
      <c r="J4759">
        <v>4.3797263015437397E-2</v>
      </c>
      <c r="K4759">
        <v>2.5829847901542299E-2</v>
      </c>
      <c r="L4759">
        <v>873.70331941917198</v>
      </c>
      <c r="M4759">
        <v>15.6370219084212</v>
      </c>
      <c r="N4759">
        <v>55.874028925978202</v>
      </c>
      <c r="O4759">
        <v>54.984146599556901</v>
      </c>
      <c r="P4759">
        <v>-7.1103959085480894E-2</v>
      </c>
      <c r="Q4759">
        <v>0</v>
      </c>
      <c r="R4759">
        <v>0.94907346306740603</v>
      </c>
      <c r="S4759" t="s">
        <v>11070</v>
      </c>
      <c r="T4759" t="s">
        <v>12620</v>
      </c>
      <c r="U4759" t="s">
        <v>12620</v>
      </c>
      <c r="V4759" t="s">
        <v>12620</v>
      </c>
      <c r="W4759" t="s">
        <v>17324</v>
      </c>
      <c r="X4759">
        <v>6</v>
      </c>
      <c r="Y4759" t="s">
        <v>23433</v>
      </c>
      <c r="Z4759" t="s">
        <v>29706</v>
      </c>
      <c r="AA4759">
        <v>0.5464175491360187</v>
      </c>
      <c r="AB4759" t="str">
        <f>HYPERLINK("Melting_Curves/meltCurve_Q96IU4_ABHD14B.pdf", "Melting_Curves/meltCurve_Q96IU4_ABHD14B.pdf")</f>
        <v>Melting_Curves/meltCurve_Q96IU4_ABHD14B.pdf</v>
      </c>
    </row>
    <row r="4760" spans="1:28" x14ac:dyDescent="0.25">
      <c r="A4760" t="s">
        <v>4764</v>
      </c>
      <c r="B4760">
        <v>0.99987803227770999</v>
      </c>
      <c r="C4760">
        <v>0.91036114547045599</v>
      </c>
      <c r="D4760">
        <v>0.73441096084857305</v>
      </c>
      <c r="E4760">
        <v>0.63937262058122901</v>
      </c>
      <c r="F4760">
        <v>0.52802589095943697</v>
      </c>
      <c r="G4760">
        <v>0.35646145942778801</v>
      </c>
      <c r="H4760">
        <v>0.34199974503005898</v>
      </c>
      <c r="I4760">
        <v>0.31872524810931901</v>
      </c>
      <c r="J4760">
        <v>0.22589712738335799</v>
      </c>
      <c r="K4760">
        <v>0.182710275668412</v>
      </c>
      <c r="L4760">
        <v>487.90976278969998</v>
      </c>
      <c r="M4760">
        <v>9.5084509990145492</v>
      </c>
      <c r="N4760">
        <v>53.444354270573001</v>
      </c>
      <c r="O4760">
        <v>49.197409071349298</v>
      </c>
      <c r="P4760">
        <v>-4.0718377122594497E-2</v>
      </c>
      <c r="Q4760">
        <v>0.157777307649309</v>
      </c>
      <c r="R4760">
        <v>0.98245367480736501</v>
      </c>
      <c r="S4760" t="s">
        <v>11071</v>
      </c>
      <c r="T4760" t="s">
        <v>12620</v>
      </c>
      <c r="U4760" t="s">
        <v>12620</v>
      </c>
      <c r="V4760" t="s">
        <v>12620</v>
      </c>
      <c r="W4760" t="s">
        <v>17325</v>
      </c>
      <c r="X4760">
        <v>9</v>
      </c>
      <c r="Y4760" t="s">
        <v>23434</v>
      </c>
      <c r="Z4760" t="s">
        <v>29707</v>
      </c>
      <c r="AA4760">
        <v>0.51152494275827198</v>
      </c>
      <c r="AB4760" t="str">
        <f>HYPERLINK("Melting_Curves/meltCurve_Q96IV0_2_NGLY1.pdf", "Melting_Curves/meltCurve_Q96IV0_2_NGLY1.pdf")</f>
        <v>Melting_Curves/meltCurve_Q96IV0_2_NGLY1.pdf</v>
      </c>
    </row>
    <row r="4761" spans="1:28" x14ac:dyDescent="0.25">
      <c r="A4761" t="s">
        <v>4765</v>
      </c>
      <c r="B4761">
        <v>0.99987803227770999</v>
      </c>
      <c r="C4761">
        <v>1.0778621323141899</v>
      </c>
      <c r="D4761">
        <v>0.90782782359922298</v>
      </c>
      <c r="E4761">
        <v>0.61132667851877798</v>
      </c>
      <c r="F4761">
        <v>0.38250614506186997</v>
      </c>
      <c r="G4761">
        <v>0.31308229338245502</v>
      </c>
      <c r="H4761">
        <v>0.16396603991205699</v>
      </c>
      <c r="I4761">
        <v>0.124817261471311</v>
      </c>
      <c r="J4761">
        <v>9.6117405221275196E-2</v>
      </c>
      <c r="K4761">
        <v>7.14113080025717E-2</v>
      </c>
      <c r="L4761">
        <v>893.48104734481399</v>
      </c>
      <c r="M4761">
        <v>17.452697293709001</v>
      </c>
      <c r="N4761">
        <v>51.851488786631798</v>
      </c>
      <c r="O4761">
        <v>50.536500609749297</v>
      </c>
      <c r="P4761">
        <v>-7.7776610253460193E-2</v>
      </c>
      <c r="Q4761">
        <v>9.9202003663779403E-2</v>
      </c>
      <c r="R4761">
        <v>0.98359201020965503</v>
      </c>
      <c r="S4761" t="s">
        <v>11072</v>
      </c>
      <c r="T4761" t="s">
        <v>12620</v>
      </c>
      <c r="U4761" t="s">
        <v>12620</v>
      </c>
      <c r="V4761" t="s">
        <v>12620</v>
      </c>
      <c r="W4761" t="s">
        <v>17326</v>
      </c>
      <c r="X4761">
        <v>5</v>
      </c>
      <c r="Y4761" t="s">
        <v>23435</v>
      </c>
      <c r="Z4761" t="s">
        <v>29708</v>
      </c>
      <c r="AA4761">
        <v>0.45132847905923418</v>
      </c>
      <c r="AB4761" t="str">
        <f>HYPERLINK("Melting_Curves/meltCurve_Q96IY1_NSL1.pdf", "Melting_Curves/meltCurve_Q96IY1_NSL1.pdf")</f>
        <v>Melting_Curves/meltCurve_Q96IY1_NSL1.pdf</v>
      </c>
    </row>
    <row r="4762" spans="1:28" x14ac:dyDescent="0.25">
      <c r="A4762" t="s">
        <v>4766</v>
      </c>
      <c r="B4762">
        <v>0.99987803227770999</v>
      </c>
      <c r="C4762">
        <v>0.90581278142685295</v>
      </c>
      <c r="D4762">
        <v>1.0129851237182701</v>
      </c>
      <c r="E4762">
        <v>0.94716461154923903</v>
      </c>
      <c r="F4762">
        <v>1.14274506730373</v>
      </c>
      <c r="G4762">
        <v>0.98842057013782902</v>
      </c>
      <c r="H4762">
        <v>1.0726862758112099</v>
      </c>
      <c r="I4762">
        <v>1.04974560543594</v>
      </c>
      <c r="J4762">
        <v>1.0312984408175401</v>
      </c>
      <c r="K4762">
        <v>0.85896783728312498</v>
      </c>
      <c r="L4762">
        <v>15000</v>
      </c>
      <c r="M4762">
        <v>212.47894692824801</v>
      </c>
      <c r="Q4762">
        <v>0</v>
      </c>
      <c r="R4762">
        <v>0.32611557103545802</v>
      </c>
      <c r="S4762" t="s">
        <v>11073</v>
      </c>
      <c r="T4762" t="s">
        <v>12620</v>
      </c>
      <c r="U4762" t="s">
        <v>12620</v>
      </c>
      <c r="V4762" t="s">
        <v>12620</v>
      </c>
      <c r="W4762" t="s">
        <v>17327</v>
      </c>
      <c r="X4762">
        <v>14</v>
      </c>
      <c r="Y4762" t="s">
        <v>23436</v>
      </c>
      <c r="Z4762" t="s">
        <v>29709</v>
      </c>
      <c r="AA4762">
        <v>0.99836048841532465</v>
      </c>
      <c r="AB4762" t="str">
        <f>HYPERLINK("Melting_Curves/meltCurve_Q96IZ0_PAWR.pdf", "Melting_Curves/meltCurve_Q96IZ0_PAWR.pdf")</f>
        <v>Melting_Curves/meltCurve_Q96IZ0_PAWR.pdf</v>
      </c>
    </row>
    <row r="4763" spans="1:28" x14ac:dyDescent="0.25">
      <c r="A4763" t="s">
        <v>4767</v>
      </c>
      <c r="B4763">
        <v>0.99987803227770999</v>
      </c>
      <c r="C4763">
        <v>0.83976972602966005</v>
      </c>
      <c r="D4763">
        <v>0.83337511391473795</v>
      </c>
      <c r="E4763">
        <v>0.72418157922554804</v>
      </c>
      <c r="F4763">
        <v>0.71599782698833703</v>
      </c>
      <c r="G4763">
        <v>0.50374050503127699</v>
      </c>
      <c r="H4763">
        <v>0.45596054222725202</v>
      </c>
      <c r="I4763">
        <v>0.46190106281630799</v>
      </c>
      <c r="J4763">
        <v>0.369694521791393</v>
      </c>
      <c r="K4763">
        <v>0.34786155685060299</v>
      </c>
      <c r="L4763">
        <v>373.80815040479399</v>
      </c>
      <c r="M4763">
        <v>6.7715779373163096</v>
      </c>
      <c r="N4763">
        <v>59.5220305017546</v>
      </c>
      <c r="O4763">
        <v>50.987619960705899</v>
      </c>
      <c r="P4763">
        <v>-2.6812911840782001E-2</v>
      </c>
      <c r="Q4763">
        <v>0.19411941827670701</v>
      </c>
      <c r="R4763">
        <v>0.96677152152171597</v>
      </c>
      <c r="S4763" t="s">
        <v>11074</v>
      </c>
      <c r="T4763" t="s">
        <v>12620</v>
      </c>
      <c r="U4763" t="s">
        <v>12620</v>
      </c>
      <c r="V4763" t="s">
        <v>12620</v>
      </c>
      <c r="W4763" t="s">
        <v>17328</v>
      </c>
      <c r="X4763">
        <v>2</v>
      </c>
      <c r="Y4763" t="s">
        <v>23437</v>
      </c>
      <c r="Z4763" t="s">
        <v>29710</v>
      </c>
      <c r="AA4763">
        <v>0.62264831942529275</v>
      </c>
      <c r="AB4763" t="str">
        <f>HYPERLINK("Melting_Curves/meltCurve_Q96IZ5_2_RBM41.pdf", "Melting_Curves/meltCurve_Q96IZ5_2_RBM41.pdf")</f>
        <v>Melting_Curves/meltCurve_Q96IZ5_2_RBM41.pdf</v>
      </c>
    </row>
    <row r="4764" spans="1:28" x14ac:dyDescent="0.25">
      <c r="A4764" t="s">
        <v>4768</v>
      </c>
      <c r="B4764">
        <v>0.99987803227770999</v>
      </c>
      <c r="C4764">
        <v>0.80940473250582301</v>
      </c>
      <c r="D4764">
        <v>0.62367960206029605</v>
      </c>
      <c r="E4764">
        <v>0.25723404548296003</v>
      </c>
      <c r="F4764">
        <v>0.194430196081428</v>
      </c>
      <c r="G4764">
        <v>8.73225259750572E-2</v>
      </c>
      <c r="H4764">
        <v>8.8864817961246304E-2</v>
      </c>
      <c r="I4764">
        <v>9.7626779268056102E-2</v>
      </c>
      <c r="J4764">
        <v>0.12779299803300301</v>
      </c>
      <c r="K4764">
        <v>8.2646427859010593E-2</v>
      </c>
      <c r="L4764">
        <v>896.6936838373</v>
      </c>
      <c r="M4764">
        <v>19.269708119457999</v>
      </c>
      <c r="N4764">
        <v>47.021726440212497</v>
      </c>
      <c r="O4764">
        <v>46.041380738748401</v>
      </c>
      <c r="P4764">
        <v>-9.5155593643810099E-2</v>
      </c>
      <c r="Q4764">
        <v>9.0607819083497396E-2</v>
      </c>
      <c r="R4764">
        <v>0.99311933569839805</v>
      </c>
      <c r="S4764" t="s">
        <v>11075</v>
      </c>
      <c r="T4764" t="s">
        <v>12620</v>
      </c>
      <c r="U4764" t="s">
        <v>12620</v>
      </c>
      <c r="V4764" t="s">
        <v>12620</v>
      </c>
      <c r="W4764" t="s">
        <v>17329</v>
      </c>
      <c r="X4764">
        <v>4</v>
      </c>
      <c r="Y4764" t="s">
        <v>23438</v>
      </c>
      <c r="Z4764" t="s">
        <v>29711</v>
      </c>
      <c r="AA4764">
        <v>0.30345780566901831</v>
      </c>
      <c r="AB4764" t="str">
        <f>HYPERLINK("Melting_Curves/meltCurve_Q96IZ6_METTL2A.pdf", "Melting_Curves/meltCurve_Q96IZ6_METTL2A.pdf")</f>
        <v>Melting_Curves/meltCurve_Q96IZ6_METTL2A.pdf</v>
      </c>
    </row>
    <row r="4765" spans="1:28" x14ac:dyDescent="0.25">
      <c r="A4765" t="s">
        <v>4769</v>
      </c>
      <c r="B4765">
        <v>0.99987803227770999</v>
      </c>
      <c r="C4765">
        <v>0.98244236571624799</v>
      </c>
      <c r="D4765">
        <v>1.03054558946027</v>
      </c>
      <c r="E4765">
        <v>0.97152319614740801</v>
      </c>
      <c r="F4765">
        <v>0.96920106069166501</v>
      </c>
      <c r="G4765">
        <v>0.64323611369153899</v>
      </c>
      <c r="H4765">
        <v>0.82192308500133604</v>
      </c>
      <c r="I4765">
        <v>0.58480180520105995</v>
      </c>
      <c r="J4765">
        <v>0.80660509357627097</v>
      </c>
      <c r="K4765">
        <v>0.856647337059948</v>
      </c>
      <c r="L4765">
        <v>13355.762402209401</v>
      </c>
      <c r="M4765">
        <v>250</v>
      </c>
      <c r="O4765">
        <v>53.419631070655697</v>
      </c>
      <c r="P4765">
        <v>-0.30110339422961502</v>
      </c>
      <c r="Q4765">
        <v>0.74264268543964895</v>
      </c>
      <c r="R4765">
        <v>0.71936912465341696</v>
      </c>
      <c r="S4765" t="s">
        <v>11076</v>
      </c>
      <c r="T4765" t="s">
        <v>12620</v>
      </c>
      <c r="U4765" t="s">
        <v>12620</v>
      </c>
      <c r="V4765" t="s">
        <v>12620</v>
      </c>
      <c r="W4765" t="s">
        <v>17330</v>
      </c>
      <c r="X4765">
        <v>3</v>
      </c>
      <c r="Y4765" t="s">
        <v>23439</v>
      </c>
      <c r="Z4765" t="s">
        <v>29712</v>
      </c>
      <c r="AA4765">
        <v>0.85781748107644817</v>
      </c>
      <c r="AB4765" t="str">
        <f>HYPERLINK("Melting_Curves/meltCurve_Q96IZ7_2_RSRC1.pdf", "Melting_Curves/meltCurve_Q96IZ7_2_RSRC1.pdf")</f>
        <v>Melting_Curves/meltCurve_Q96IZ7_2_RSRC1.pdf</v>
      </c>
    </row>
    <row r="4766" spans="1:28" x14ac:dyDescent="0.25">
      <c r="A4766" t="s">
        <v>4770</v>
      </c>
      <c r="B4766">
        <v>0.99987803227770999</v>
      </c>
      <c r="C4766">
        <v>0.91043737113543699</v>
      </c>
      <c r="D4766">
        <v>0.92927456473439296</v>
      </c>
      <c r="E4766">
        <v>0.71252786516130096</v>
      </c>
      <c r="F4766">
        <v>0.43909597174674803</v>
      </c>
      <c r="G4766">
        <v>0.14981098643243199</v>
      </c>
      <c r="H4766">
        <v>8.8285570660131804E-2</v>
      </c>
      <c r="I4766">
        <v>6.7082734231140903E-2</v>
      </c>
      <c r="J4766">
        <v>5.3733599437021301E-2</v>
      </c>
      <c r="K4766">
        <v>4.0753466255912703E-2</v>
      </c>
      <c r="L4766">
        <v>1047.10568953544</v>
      </c>
      <c r="M4766">
        <v>20.1339278483978</v>
      </c>
      <c r="N4766">
        <v>52.206770306067</v>
      </c>
      <c r="O4766">
        <v>51.502133500447897</v>
      </c>
      <c r="P4766">
        <v>-9.4113425437173201E-2</v>
      </c>
      <c r="Q4766">
        <v>3.7070448302210901E-2</v>
      </c>
      <c r="R4766">
        <v>0.99535692024369904</v>
      </c>
      <c r="S4766" t="s">
        <v>11077</v>
      </c>
      <c r="T4766" t="s">
        <v>12620</v>
      </c>
      <c r="U4766" t="s">
        <v>12620</v>
      </c>
      <c r="V4766" t="s">
        <v>12620</v>
      </c>
      <c r="W4766" t="s">
        <v>17331</v>
      </c>
      <c r="X4766">
        <v>10</v>
      </c>
      <c r="Y4766" t="s">
        <v>23440</v>
      </c>
      <c r="Z4766" t="s">
        <v>29713</v>
      </c>
      <c r="AA4766">
        <v>0.4356345047508442</v>
      </c>
      <c r="AB4766" t="str">
        <f>HYPERLINK("Melting_Curves/meltCurve_Q96J01_THOC3.pdf", "Melting_Curves/meltCurve_Q96J01_THOC3.pdf")</f>
        <v>Melting_Curves/meltCurve_Q96J01_THOC3.pdf</v>
      </c>
    </row>
    <row r="4767" spans="1:28" x14ac:dyDescent="0.25">
      <c r="A4767" t="s">
        <v>4771</v>
      </c>
      <c r="B4767">
        <v>0.99987803227770999</v>
      </c>
      <c r="C4767">
        <v>0.92430694798546797</v>
      </c>
      <c r="D4767">
        <v>0.86479966446881296</v>
      </c>
      <c r="E4767">
        <v>0.72020209239062905</v>
      </c>
      <c r="F4767">
        <v>0.263255958479436</v>
      </c>
      <c r="G4767">
        <v>0.19879577747361901</v>
      </c>
      <c r="H4767">
        <v>0.13968922950947199</v>
      </c>
      <c r="I4767">
        <v>0.12896425901075501</v>
      </c>
      <c r="J4767">
        <v>9.7993374459060006E-2</v>
      </c>
      <c r="K4767">
        <v>7.3660217915153897E-2</v>
      </c>
      <c r="L4767">
        <v>1291.78829168172</v>
      </c>
      <c r="M4767">
        <v>25.409531449236599</v>
      </c>
      <c r="N4767">
        <v>51.3188065407534</v>
      </c>
      <c r="O4767">
        <v>50.526954384394699</v>
      </c>
      <c r="P4767">
        <v>-0.11242503868188</v>
      </c>
      <c r="Q4767">
        <v>0.105780290451714</v>
      </c>
      <c r="R4767">
        <v>0.98100545668148897</v>
      </c>
      <c r="S4767" t="s">
        <v>11078</v>
      </c>
      <c r="T4767" t="s">
        <v>12620</v>
      </c>
      <c r="U4767" t="s">
        <v>12620</v>
      </c>
      <c r="V4767" t="s">
        <v>12620</v>
      </c>
      <c r="W4767" t="s">
        <v>17332</v>
      </c>
      <c r="X4767">
        <v>7</v>
      </c>
      <c r="Y4767" t="s">
        <v>23441</v>
      </c>
      <c r="Z4767" t="s">
        <v>29714</v>
      </c>
      <c r="AA4767">
        <v>0.43666307286232298</v>
      </c>
      <c r="AB4767" t="str">
        <f>HYPERLINK("Melting_Curves/meltCurve_Q96J02_2_ITCH.pdf", "Melting_Curves/meltCurve_Q96J02_2_ITCH.pdf")</f>
        <v>Melting_Curves/meltCurve_Q96J02_2_ITCH.pdf</v>
      </c>
    </row>
    <row r="4768" spans="1:28" x14ac:dyDescent="0.25">
      <c r="A4768" t="s">
        <v>4772</v>
      </c>
      <c r="B4768">
        <v>0.99987803227770999</v>
      </c>
      <c r="C4768">
        <v>0.98516134411551504</v>
      </c>
      <c r="D4768">
        <v>1.2910175886269</v>
      </c>
      <c r="E4768">
        <v>0.914524816715519</v>
      </c>
      <c r="F4768">
        <v>1.11773253663774</v>
      </c>
      <c r="G4768">
        <v>0.97577744813713896</v>
      </c>
      <c r="H4768">
        <v>0.99565961095713795</v>
      </c>
      <c r="I4768">
        <v>0.99723182168338198</v>
      </c>
      <c r="J4768">
        <v>0.88671748228740399</v>
      </c>
      <c r="K4768">
        <v>0.89762610809719301</v>
      </c>
      <c r="L4768">
        <v>15000</v>
      </c>
      <c r="M4768">
        <v>230.81030674728399</v>
      </c>
      <c r="O4768">
        <v>64.983555768683303</v>
      </c>
      <c r="P4768">
        <v>-9.5788729917603496E-2</v>
      </c>
      <c r="Q4768">
        <v>0.892124539598524</v>
      </c>
      <c r="R4768">
        <v>0.17653638665125099</v>
      </c>
      <c r="S4768" t="s">
        <v>11079</v>
      </c>
      <c r="T4768" t="s">
        <v>12620</v>
      </c>
      <c r="U4768" t="s">
        <v>12620</v>
      </c>
      <c r="V4768" t="s">
        <v>12620</v>
      </c>
      <c r="W4768" t="s">
        <v>17333</v>
      </c>
      <c r="X4768">
        <v>3</v>
      </c>
      <c r="Y4768" t="s">
        <v>23442</v>
      </c>
      <c r="Z4768" t="s">
        <v>29715</v>
      </c>
      <c r="AA4768">
        <v>0.98199359596135749</v>
      </c>
      <c r="AB4768" t="str">
        <f>HYPERLINK("Melting_Curves/meltCurve_Q96J84_KIRREL.pdf", "Melting_Curves/meltCurve_Q96J84_KIRREL.pdf")</f>
        <v>Melting_Curves/meltCurve_Q96J84_KIRREL.pdf</v>
      </c>
    </row>
    <row r="4769" spans="1:28" x14ac:dyDescent="0.25">
      <c r="A4769" t="s">
        <v>4773</v>
      </c>
      <c r="B4769">
        <v>0.99987803227770999</v>
      </c>
      <c r="C4769">
        <v>1.0664717211778101</v>
      </c>
      <c r="D4769">
        <v>0.61100888096956396</v>
      </c>
      <c r="E4769">
        <v>0.46904582555117602</v>
      </c>
      <c r="F4769">
        <v>0.26887773026134898</v>
      </c>
      <c r="G4769">
        <v>0.16164881050486499</v>
      </c>
      <c r="H4769">
        <v>0.118386052031141</v>
      </c>
      <c r="I4769">
        <v>0.10366781700514301</v>
      </c>
      <c r="J4769">
        <v>6.6905445519414394E-2</v>
      </c>
      <c r="K4769">
        <v>4.1654274308186599E-2</v>
      </c>
      <c r="L4769">
        <v>803.11335284773304</v>
      </c>
      <c r="M4769">
        <v>16.5129064542331</v>
      </c>
      <c r="N4769">
        <v>49.095808202321898</v>
      </c>
      <c r="O4769">
        <v>47.939005280904297</v>
      </c>
      <c r="P4769">
        <v>-7.9943891795708294E-2</v>
      </c>
      <c r="Q4769">
        <v>7.1716383592425395E-2</v>
      </c>
      <c r="R4769">
        <v>0.96548680994038405</v>
      </c>
      <c r="S4769" t="s">
        <v>11080</v>
      </c>
      <c r="T4769" t="s">
        <v>12620</v>
      </c>
      <c r="U4769" t="s">
        <v>12620</v>
      </c>
      <c r="V4769" t="s">
        <v>12620</v>
      </c>
      <c r="W4769" t="s">
        <v>17334</v>
      </c>
      <c r="X4769">
        <v>9</v>
      </c>
      <c r="Y4769" t="s">
        <v>23443</v>
      </c>
      <c r="Z4769" t="s">
        <v>29716</v>
      </c>
      <c r="AA4769">
        <v>0.35818348515488568</v>
      </c>
      <c r="AB4769" t="str">
        <f>HYPERLINK("Melting_Curves/meltCurve_Q96JB2_COG3.pdf", "Melting_Curves/meltCurve_Q96JB2_COG3.pdf")</f>
        <v>Melting_Curves/meltCurve_Q96JB2_COG3.pdf</v>
      </c>
    </row>
    <row r="4770" spans="1:28" x14ac:dyDescent="0.25">
      <c r="A4770" t="s">
        <v>4774</v>
      </c>
      <c r="B4770">
        <v>0.99987803227770999</v>
      </c>
      <c r="C4770">
        <v>0.99461217866191798</v>
      </c>
      <c r="D4770">
        <v>0.78121107591124395</v>
      </c>
      <c r="E4770">
        <v>0.47673020109297898</v>
      </c>
      <c r="F4770">
        <v>0.18307490599655199</v>
      </c>
      <c r="G4770">
        <v>0.123554390665879</v>
      </c>
      <c r="H4770">
        <v>8.7798234308795395E-2</v>
      </c>
      <c r="I4770">
        <v>7.0198524563920603E-2</v>
      </c>
      <c r="J4770">
        <v>6.9861250734657002E-2</v>
      </c>
      <c r="K4770">
        <v>4.7677203341846101E-2</v>
      </c>
      <c r="L4770">
        <v>1039.7427212441801</v>
      </c>
      <c r="M4770">
        <v>21.186369894072602</v>
      </c>
      <c r="N4770">
        <v>49.3827308277951</v>
      </c>
      <c r="O4770">
        <v>48.645070185855602</v>
      </c>
      <c r="P4770">
        <v>-0.102172674255983</v>
      </c>
      <c r="Q4770">
        <v>6.1648015220710402E-2</v>
      </c>
      <c r="R4770">
        <v>0.99558021220277204</v>
      </c>
      <c r="S4770" t="s">
        <v>11081</v>
      </c>
      <c r="T4770" t="s">
        <v>12620</v>
      </c>
      <c r="U4770" t="s">
        <v>12620</v>
      </c>
      <c r="V4770" t="s">
        <v>12620</v>
      </c>
      <c r="W4770" t="s">
        <v>17335</v>
      </c>
      <c r="X4770">
        <v>9</v>
      </c>
      <c r="Y4770" t="s">
        <v>23444</v>
      </c>
      <c r="Z4770" t="s">
        <v>29717</v>
      </c>
      <c r="AA4770">
        <v>0.35721382174696981</v>
      </c>
      <c r="AB4770" t="str">
        <f>HYPERLINK("Melting_Curves/meltCurve_Q96JB5_CDK5RAP3.pdf", "Melting_Curves/meltCurve_Q96JB5_CDK5RAP3.pdf")</f>
        <v>Melting_Curves/meltCurve_Q96JB5_CDK5RAP3.pdf</v>
      </c>
    </row>
    <row r="4771" spans="1:28" x14ac:dyDescent="0.25">
      <c r="A4771" t="s">
        <v>4775</v>
      </c>
      <c r="B4771">
        <v>0.99987803227770999</v>
      </c>
      <c r="C4771">
        <v>1.01183924140098</v>
      </c>
      <c r="D4771">
        <v>0.89939198622550498</v>
      </c>
      <c r="E4771">
        <v>0.96493380375729298</v>
      </c>
      <c r="F4771">
        <v>0.32932126857951899</v>
      </c>
      <c r="G4771">
        <v>0.22733277205779001</v>
      </c>
      <c r="H4771">
        <v>0.114058784951051</v>
      </c>
      <c r="I4771">
        <v>7.2491433220658194E-2</v>
      </c>
      <c r="J4771">
        <v>5.6149440948137702E-2</v>
      </c>
      <c r="K4771">
        <v>2.4964946161295201E-2</v>
      </c>
      <c r="L4771">
        <v>3489.4093026283099</v>
      </c>
      <c r="M4771">
        <v>66.871702899814494</v>
      </c>
      <c r="N4771">
        <v>52.350733172469702</v>
      </c>
      <c r="O4771">
        <v>52.134057019538297</v>
      </c>
      <c r="P4771">
        <v>-0.28936264525378802</v>
      </c>
      <c r="Q4771">
        <v>9.7636700085355896E-2</v>
      </c>
      <c r="R4771">
        <v>0.98024179456014005</v>
      </c>
      <c r="S4771" t="s">
        <v>11082</v>
      </c>
      <c r="T4771" t="s">
        <v>12620</v>
      </c>
      <c r="U4771" t="s">
        <v>12620</v>
      </c>
      <c r="V4771" t="s">
        <v>12620</v>
      </c>
      <c r="W4771" t="s">
        <v>17336</v>
      </c>
      <c r="X4771">
        <v>3</v>
      </c>
      <c r="Y4771" t="s">
        <v>23445</v>
      </c>
      <c r="Z4771" t="s">
        <v>29718</v>
      </c>
      <c r="AA4771">
        <v>0.4651741974546964</v>
      </c>
      <c r="AB4771" t="str">
        <f>HYPERLINK("Melting_Curves/meltCurve_Q96JC1_2_VPS39.pdf", "Melting_Curves/meltCurve_Q96JC1_2_VPS39.pdf")</f>
        <v>Melting_Curves/meltCurve_Q96JC1_2_VPS39.pdf</v>
      </c>
    </row>
    <row r="4772" spans="1:28" x14ac:dyDescent="0.25">
      <c r="A4772" t="s">
        <v>4776</v>
      </c>
      <c r="B4772">
        <v>0.99987803227770999</v>
      </c>
      <c r="C4772">
        <v>1.3345661040011401</v>
      </c>
      <c r="D4772">
        <v>1.31915550106034</v>
      </c>
      <c r="E4772">
        <v>1.83195413656614</v>
      </c>
      <c r="F4772">
        <v>1.2657772222742301</v>
      </c>
      <c r="G4772">
        <v>0.90632429029969896</v>
      </c>
      <c r="H4772">
        <v>0.57040993361203496</v>
      </c>
      <c r="I4772">
        <v>0.36742657512541399</v>
      </c>
      <c r="J4772">
        <v>0.35027705470675102</v>
      </c>
      <c r="K4772">
        <v>0.29209692071760501</v>
      </c>
      <c r="L4772">
        <v>2471.06080481137</v>
      </c>
      <c r="M4772">
        <v>41.060262137607502</v>
      </c>
      <c r="N4772">
        <v>61.6729336495615</v>
      </c>
      <c r="O4772">
        <v>60.039099246243197</v>
      </c>
      <c r="P4772">
        <v>-0.11715396500587801</v>
      </c>
      <c r="Q4772">
        <v>0.314782221433417</v>
      </c>
      <c r="R4772">
        <v>0.59738081309730595</v>
      </c>
      <c r="S4772" t="s">
        <v>11083</v>
      </c>
      <c r="T4772" t="s">
        <v>12620</v>
      </c>
      <c r="U4772" t="s">
        <v>12620</v>
      </c>
      <c r="V4772" t="s">
        <v>12620</v>
      </c>
      <c r="W4772" t="s">
        <v>17337</v>
      </c>
      <c r="X4772">
        <v>2</v>
      </c>
      <c r="Y4772" t="s">
        <v>23446</v>
      </c>
      <c r="Z4772" t="s">
        <v>29719</v>
      </c>
      <c r="AA4772">
        <v>0.77828878682534175</v>
      </c>
      <c r="AB4772" t="str">
        <f>HYPERLINK("Melting_Curves/meltCurve_Q96JC9_EAF1.pdf", "Melting_Curves/meltCurve_Q96JC9_EAF1.pdf")</f>
        <v>Melting_Curves/meltCurve_Q96JC9_EAF1.pdf</v>
      </c>
    </row>
    <row r="4773" spans="1:28" x14ac:dyDescent="0.25">
      <c r="A4773" t="s">
        <v>4777</v>
      </c>
      <c r="B4773">
        <v>0.99987803227770999</v>
      </c>
      <c r="C4773">
        <v>0.88747143271680495</v>
      </c>
      <c r="D4773">
        <v>1.08948615714626</v>
      </c>
      <c r="E4773">
        <v>0.72822674775318896</v>
      </c>
      <c r="F4773">
        <v>1.1323101895685701</v>
      </c>
      <c r="G4773">
        <v>0.66752610487159103</v>
      </c>
      <c r="H4773">
        <v>0.656803537201604</v>
      </c>
      <c r="I4773">
        <v>1.09919947287264</v>
      </c>
      <c r="J4773">
        <v>0.55775568731745595</v>
      </c>
      <c r="K4773">
        <v>0.54992701731016203</v>
      </c>
      <c r="L4773">
        <v>384.04215668056901</v>
      </c>
      <c r="M4773">
        <v>5.02479050386723</v>
      </c>
      <c r="O4773">
        <v>66.782513175735602</v>
      </c>
      <c r="P4773">
        <v>-1.89236091436942E-2</v>
      </c>
      <c r="Q4773">
        <v>0</v>
      </c>
      <c r="R4773">
        <v>0.33009268646629197</v>
      </c>
      <c r="S4773" t="s">
        <v>11084</v>
      </c>
      <c r="T4773" t="s">
        <v>12620</v>
      </c>
      <c r="U4773" t="s">
        <v>12620</v>
      </c>
      <c r="V4773" t="s">
        <v>12620</v>
      </c>
      <c r="W4773" t="s">
        <v>17338</v>
      </c>
      <c r="X4773">
        <v>2</v>
      </c>
      <c r="Y4773" t="s">
        <v>23447</v>
      </c>
      <c r="Z4773" t="s">
        <v>29720</v>
      </c>
      <c r="AA4773">
        <v>0.84931218157834254</v>
      </c>
      <c r="AB4773" t="str">
        <f>HYPERLINK("Melting_Curves/meltCurve_Q96JE9_MAP6.pdf", "Melting_Curves/meltCurve_Q96JE9_MAP6.pdf")</f>
        <v>Melting_Curves/meltCurve_Q96JE9_MAP6.pdf</v>
      </c>
    </row>
    <row r="4774" spans="1:28" x14ac:dyDescent="0.25">
      <c r="A4774" t="s">
        <v>4778</v>
      </c>
      <c r="B4774">
        <v>0.99987803227770999</v>
      </c>
      <c r="C4774">
        <v>1.0567675151554301</v>
      </c>
      <c r="D4774">
        <v>0.838466708971082</v>
      </c>
      <c r="E4774">
        <v>0.86081159080115099</v>
      </c>
      <c r="F4774">
        <v>0.26295500567205299</v>
      </c>
      <c r="G4774">
        <v>0.16357078353640001</v>
      </c>
      <c r="H4774">
        <v>8.9480006244774493E-2</v>
      </c>
      <c r="I4774">
        <v>0.100436608808148</v>
      </c>
      <c r="J4774">
        <v>6.9740534567928905E-2</v>
      </c>
      <c r="K4774">
        <v>5.41656359025878E-2</v>
      </c>
      <c r="L4774">
        <v>2680.3545289907802</v>
      </c>
      <c r="M4774">
        <v>51.9754890006799</v>
      </c>
      <c r="N4774">
        <v>51.774250200160701</v>
      </c>
      <c r="O4774">
        <v>51.493408337381503</v>
      </c>
      <c r="P4774">
        <v>-0.22890985482797099</v>
      </c>
      <c r="Q4774">
        <v>9.2853783771963697E-2</v>
      </c>
      <c r="R4774">
        <v>0.97881117100521398</v>
      </c>
      <c r="S4774" t="s">
        <v>11085</v>
      </c>
      <c r="T4774" t="s">
        <v>12620</v>
      </c>
      <c r="U4774" t="s">
        <v>12620</v>
      </c>
      <c r="V4774" t="s">
        <v>12620</v>
      </c>
      <c r="W4774" t="s">
        <v>17339</v>
      </c>
      <c r="X4774">
        <v>7</v>
      </c>
      <c r="Y4774" t="s">
        <v>23448</v>
      </c>
      <c r="Z4774" t="s">
        <v>29721</v>
      </c>
      <c r="AA4774">
        <v>0.44460616150281479</v>
      </c>
      <c r="AB4774" t="str">
        <f>HYPERLINK("Melting_Curves/meltCurve_Q96JG6_CCDC132.pdf", "Melting_Curves/meltCurve_Q96JG6_CCDC132.pdf")</f>
        <v>Melting_Curves/meltCurve_Q96JG6_CCDC132.pdf</v>
      </c>
    </row>
    <row r="4775" spans="1:28" x14ac:dyDescent="0.25">
      <c r="A4775" t="s">
        <v>4779</v>
      </c>
      <c r="B4775">
        <v>0.99987803227770999</v>
      </c>
      <c r="C4775">
        <v>0.78229301971341603</v>
      </c>
      <c r="D4775">
        <v>0.78520535079181697</v>
      </c>
      <c r="E4775">
        <v>0.80052267051810599</v>
      </c>
      <c r="F4775">
        <v>0.84597588230514498</v>
      </c>
      <c r="G4775">
        <v>0.70640492555897705</v>
      </c>
      <c r="H4775">
        <v>0.81537733957086</v>
      </c>
      <c r="I4775">
        <v>0.74277186166773601</v>
      </c>
      <c r="J4775">
        <v>0.62758230585135899</v>
      </c>
      <c r="K4775">
        <v>0.379414659662688</v>
      </c>
      <c r="L4775">
        <v>214.71333827970901</v>
      </c>
      <c r="M4775">
        <v>2.77750535311475</v>
      </c>
      <c r="O4775">
        <v>54.944536938378199</v>
      </c>
      <c r="P4775">
        <v>-1.3123384803984599E-2</v>
      </c>
      <c r="Q4775">
        <v>0</v>
      </c>
      <c r="R4775">
        <v>0.58113509690929499</v>
      </c>
      <c r="S4775" t="s">
        <v>11086</v>
      </c>
      <c r="T4775" t="s">
        <v>12620</v>
      </c>
      <c r="U4775" t="s">
        <v>12620</v>
      </c>
      <c r="V4775" t="s">
        <v>12620</v>
      </c>
      <c r="W4775" t="s">
        <v>17340</v>
      </c>
      <c r="X4775">
        <v>1</v>
      </c>
      <c r="Y4775" t="s">
        <v>23449</v>
      </c>
      <c r="Z4775" t="s">
        <v>29722</v>
      </c>
      <c r="AA4775">
        <v>0.75433585450580809</v>
      </c>
      <c r="AB4775" t="str">
        <f>HYPERLINK("Melting_Curves/meltCurve_Q96JG9_ZNF469.pdf", "Melting_Curves/meltCurve_Q96JG9_ZNF469.pdf")</f>
        <v>Melting_Curves/meltCurve_Q96JG9_ZNF469.pdf</v>
      </c>
    </row>
    <row r="4776" spans="1:28" x14ac:dyDescent="0.25">
      <c r="A4776" t="s">
        <v>4780</v>
      </c>
      <c r="B4776">
        <v>0.99987803227770999</v>
      </c>
      <c r="C4776">
        <v>0.74268868914561603</v>
      </c>
      <c r="D4776">
        <v>0.49861831877900997</v>
      </c>
      <c r="E4776">
        <v>0.40574134998337602</v>
      </c>
      <c r="F4776">
        <v>0.37608419801257997</v>
      </c>
      <c r="G4776">
        <v>0.25628952648247899</v>
      </c>
      <c r="H4776">
        <v>0.23791729976249701</v>
      </c>
      <c r="I4776">
        <v>0.202130297242578</v>
      </c>
      <c r="J4776">
        <v>0.213848501110219</v>
      </c>
      <c r="K4776">
        <v>0.17684528581301501</v>
      </c>
      <c r="L4776">
        <v>654.80804368271095</v>
      </c>
      <c r="M4776">
        <v>14.411964091255401</v>
      </c>
      <c r="N4776">
        <v>47.237978519751799</v>
      </c>
      <c r="O4776">
        <v>44.587124292979603</v>
      </c>
      <c r="P4776">
        <v>-6.37208873288828E-2</v>
      </c>
      <c r="Q4776">
        <v>0.21154522292413599</v>
      </c>
      <c r="R4776">
        <v>0.96391231504915498</v>
      </c>
      <c r="S4776" t="s">
        <v>11087</v>
      </c>
      <c r="T4776" t="s">
        <v>12620</v>
      </c>
      <c r="U4776" t="s">
        <v>12620</v>
      </c>
      <c r="V4776" t="s">
        <v>12620</v>
      </c>
      <c r="W4776" t="s">
        <v>17341</v>
      </c>
      <c r="X4776">
        <v>17</v>
      </c>
      <c r="Y4776" t="s">
        <v>23450</v>
      </c>
      <c r="Z4776" t="s">
        <v>29723</v>
      </c>
      <c r="AA4776">
        <v>0.38072235892504852</v>
      </c>
      <c r="AB4776" t="str">
        <f>HYPERLINK("Melting_Curves/meltCurve_Q96JH7_VCPIP1.pdf", "Melting_Curves/meltCurve_Q96JH7_VCPIP1.pdf")</f>
        <v>Melting_Curves/meltCurve_Q96JH7_VCPIP1.pdf</v>
      </c>
    </row>
    <row r="4777" spans="1:28" x14ac:dyDescent="0.25">
      <c r="A4777" t="s">
        <v>4781</v>
      </c>
      <c r="B4777">
        <v>0.99987803227770999</v>
      </c>
      <c r="C4777">
        <v>1.04716517536392</v>
      </c>
      <c r="D4777">
        <v>0.98101352311705703</v>
      </c>
      <c r="E4777">
        <v>1.29083979953818</v>
      </c>
      <c r="F4777">
        <v>1.0390017410477099</v>
      </c>
      <c r="G4777">
        <v>0.80256649199937402</v>
      </c>
      <c r="H4777">
        <v>1.24692525743229</v>
      </c>
      <c r="I4777">
        <v>1.2271267052266299</v>
      </c>
      <c r="J4777">
        <v>1.4054011716216599</v>
      </c>
      <c r="K4777">
        <v>0.50195752466011301</v>
      </c>
      <c r="L4777">
        <v>15000</v>
      </c>
      <c r="M4777">
        <v>214.277446184377</v>
      </c>
      <c r="O4777">
        <v>69.996603810827594</v>
      </c>
      <c r="P4777">
        <v>-0.76531373045228801</v>
      </c>
      <c r="Q4777">
        <v>0</v>
      </c>
      <c r="R4777">
        <v>0.35077898493686399</v>
      </c>
      <c r="S4777" t="s">
        <v>11088</v>
      </c>
      <c r="T4777" t="s">
        <v>12620</v>
      </c>
      <c r="U4777" t="s">
        <v>12620</v>
      </c>
      <c r="V4777" t="s">
        <v>12620</v>
      </c>
      <c r="W4777" t="s">
        <v>17342</v>
      </c>
      <c r="X4777">
        <v>2</v>
      </c>
      <c r="Y4777" t="s">
        <v>23451</v>
      </c>
      <c r="Z4777" t="s">
        <v>29724</v>
      </c>
      <c r="AA4777">
        <v>0.99257907713984084</v>
      </c>
      <c r="AB4777" t="str">
        <f>HYPERLINK("Melting_Curves/meltCurve_Q96JI7_2_SPG11.pdf", "Melting_Curves/meltCurve_Q96JI7_2_SPG11.pdf")</f>
        <v>Melting_Curves/meltCurve_Q96JI7_2_SPG11.pdf</v>
      </c>
    </row>
    <row r="4778" spans="1:28" x14ac:dyDescent="0.25">
      <c r="A4778" t="s">
        <v>4782</v>
      </c>
      <c r="B4778">
        <v>0.99987803227770999</v>
      </c>
      <c r="C4778">
        <v>0.84976850095973799</v>
      </c>
      <c r="D4778">
        <v>1.1044292918194301</v>
      </c>
      <c r="E4778">
        <v>0.92245858742696896</v>
      </c>
      <c r="F4778">
        <v>1.1955045861795699</v>
      </c>
      <c r="G4778">
        <v>1.07570951749359</v>
      </c>
      <c r="H4778">
        <v>1.2054547758571601</v>
      </c>
      <c r="I4778">
        <v>1.0803650151949999</v>
      </c>
      <c r="J4778">
        <v>1.24469719912197</v>
      </c>
      <c r="K4778">
        <v>1.00778052324123</v>
      </c>
      <c r="L4778">
        <v>12871.877022688101</v>
      </c>
      <c r="M4778">
        <v>250</v>
      </c>
      <c r="O4778">
        <v>51.484191658054201</v>
      </c>
      <c r="P4778">
        <v>0.163789098174208</v>
      </c>
      <c r="Q4778">
        <v>1.13492084589939</v>
      </c>
      <c r="R4778">
        <v>0.42851114791654998</v>
      </c>
      <c r="S4778" t="s">
        <v>11089</v>
      </c>
      <c r="T4778" t="s">
        <v>12620</v>
      </c>
      <c r="U4778" t="s">
        <v>12620</v>
      </c>
      <c r="V4778" t="s">
        <v>12620</v>
      </c>
      <c r="W4778" t="s">
        <v>17343</v>
      </c>
      <c r="X4778">
        <v>5</v>
      </c>
      <c r="Y4778" t="s">
        <v>23452</v>
      </c>
      <c r="Z4778" t="s">
        <v>29725</v>
      </c>
      <c r="AA4778">
        <v>1.083245177519381</v>
      </c>
      <c r="AB4778" t="str">
        <f>HYPERLINK("Melting_Curves/meltCurve_Q96JK9_MAML3.pdf", "Melting_Curves/meltCurve_Q96JK9_MAML3.pdf")</f>
        <v>Melting_Curves/meltCurve_Q96JK9_MAML3.pdf</v>
      </c>
    </row>
    <row r="4779" spans="1:28" x14ac:dyDescent="0.25">
      <c r="A4779" t="s">
        <v>4783</v>
      </c>
      <c r="B4779">
        <v>0.99987803227770999</v>
      </c>
      <c r="C4779">
        <v>0.94417471902457295</v>
      </c>
      <c r="D4779">
        <v>0.97865868641097298</v>
      </c>
      <c r="E4779">
        <v>0.82869656826290405</v>
      </c>
      <c r="F4779">
        <v>0.77657969250895098</v>
      </c>
      <c r="G4779">
        <v>0.59491904754798197</v>
      </c>
      <c r="H4779">
        <v>0.58389244769702797</v>
      </c>
      <c r="I4779">
        <v>0.550508654147571</v>
      </c>
      <c r="J4779">
        <v>0.53563911502052297</v>
      </c>
      <c r="K4779">
        <v>0.42171137525107599</v>
      </c>
      <c r="L4779">
        <v>622.44984825075801</v>
      </c>
      <c r="M4779">
        <v>11.470560122712801</v>
      </c>
      <c r="N4779">
        <v>66.421863010954993</v>
      </c>
      <c r="O4779">
        <v>52.694265718379498</v>
      </c>
      <c r="P4779">
        <v>-3.0552996941008201E-2</v>
      </c>
      <c r="Q4779">
        <v>0.43873507557701602</v>
      </c>
      <c r="R4779">
        <v>0.96989442270980997</v>
      </c>
      <c r="S4779" t="s">
        <v>11090</v>
      </c>
      <c r="T4779" t="s">
        <v>12620</v>
      </c>
      <c r="U4779" t="s">
        <v>12620</v>
      </c>
      <c r="V4779" t="s">
        <v>12620</v>
      </c>
      <c r="W4779" t="s">
        <v>17344</v>
      </c>
      <c r="X4779">
        <v>16</v>
      </c>
      <c r="Y4779" t="s">
        <v>23453</v>
      </c>
      <c r="Z4779" t="s">
        <v>29726</v>
      </c>
      <c r="AA4779">
        <v>0.7204450998538271</v>
      </c>
      <c r="AB4779" t="str">
        <f>HYPERLINK("Melting_Curves/meltCurve_Q96JM3_CHAMP1.pdf", "Melting_Curves/meltCurve_Q96JM3_CHAMP1.pdf")</f>
        <v>Melting_Curves/meltCurve_Q96JM3_CHAMP1.pdf</v>
      </c>
    </row>
    <row r="4780" spans="1:28" x14ac:dyDescent="0.25">
      <c r="A4780" t="s">
        <v>4784</v>
      </c>
      <c r="B4780">
        <v>0.99987803227770999</v>
      </c>
      <c r="C4780">
        <v>1.05422232677794</v>
      </c>
      <c r="D4780">
        <v>1.0552199971513001</v>
      </c>
      <c r="E4780">
        <v>0.86718764843937801</v>
      </c>
      <c r="F4780">
        <v>1.0230405928114299</v>
      </c>
      <c r="G4780">
        <v>0.91890708427002898</v>
      </c>
      <c r="H4780">
        <v>0.86839009969400605</v>
      </c>
      <c r="I4780">
        <v>0.66762362373170003</v>
      </c>
      <c r="J4780">
        <v>0.70535188093299395</v>
      </c>
      <c r="K4780">
        <v>0.56303718351986498</v>
      </c>
      <c r="L4780">
        <v>877.60519985778797</v>
      </c>
      <c r="M4780">
        <v>13.5143039880511</v>
      </c>
      <c r="O4780">
        <v>63.5665426804646</v>
      </c>
      <c r="P4780">
        <v>-3.0784572572654201E-2</v>
      </c>
      <c r="Q4780">
        <v>0.42088854257175701</v>
      </c>
      <c r="R4780">
        <v>0.87676471145046198</v>
      </c>
      <c r="S4780" t="s">
        <v>11091</v>
      </c>
      <c r="T4780" t="s">
        <v>12620</v>
      </c>
      <c r="U4780" t="s">
        <v>12620</v>
      </c>
      <c r="V4780" t="s">
        <v>12620</v>
      </c>
      <c r="W4780" t="s">
        <v>17345</v>
      </c>
      <c r="X4780">
        <v>2</v>
      </c>
      <c r="Y4780" t="s">
        <v>23454</v>
      </c>
      <c r="Z4780" t="s">
        <v>29727</v>
      </c>
      <c r="AA4780">
        <v>0.88426997806550289</v>
      </c>
      <c r="AB4780" t="str">
        <f>HYPERLINK("Melting_Curves/meltCurve_Q96JN0_2_LCOR.pdf", "Melting_Curves/meltCurve_Q96JN0_2_LCOR.pdf")</f>
        <v>Melting_Curves/meltCurve_Q96JN0_2_LCOR.pdf</v>
      </c>
    </row>
    <row r="4781" spans="1:28" x14ac:dyDescent="0.25">
      <c r="A4781" t="s">
        <v>4785</v>
      </c>
      <c r="B4781">
        <v>0.99987803227770999</v>
      </c>
      <c r="C4781">
        <v>0.96752375575784</v>
      </c>
      <c r="D4781">
        <v>0.94880327711318302</v>
      </c>
      <c r="E4781">
        <v>0.73425301369872398</v>
      </c>
      <c r="F4781">
        <v>0.394739655409726</v>
      </c>
      <c r="G4781">
        <v>0.25792744398774597</v>
      </c>
      <c r="H4781">
        <v>0.226820411471054</v>
      </c>
      <c r="I4781">
        <v>0.216860847294439</v>
      </c>
      <c r="J4781">
        <v>0.21823332480417801</v>
      </c>
      <c r="K4781">
        <v>0.176969346356804</v>
      </c>
      <c r="L4781">
        <v>1473.5196799519799</v>
      </c>
      <c r="M4781">
        <v>28.867784341439201</v>
      </c>
      <c r="N4781">
        <v>52.013720638763502</v>
      </c>
      <c r="O4781">
        <v>50.800676981315</v>
      </c>
      <c r="P4781">
        <v>-0.112495632324423</v>
      </c>
      <c r="Q4781">
        <v>0.20814000741090399</v>
      </c>
      <c r="R4781">
        <v>0.997250706090826</v>
      </c>
      <c r="S4781" t="s">
        <v>11092</v>
      </c>
      <c r="T4781" t="s">
        <v>12620</v>
      </c>
      <c r="U4781" t="s">
        <v>12620</v>
      </c>
      <c r="V4781" t="s">
        <v>12620</v>
      </c>
      <c r="W4781" t="s">
        <v>17346</v>
      </c>
      <c r="X4781">
        <v>13</v>
      </c>
      <c r="Y4781" t="s">
        <v>19574</v>
      </c>
      <c r="Z4781" t="s">
        <v>29728</v>
      </c>
      <c r="AA4781">
        <v>0.50502396012374862</v>
      </c>
      <c r="AB4781" t="str">
        <f>HYPERLINK("Melting_Curves/meltCurve_Q96JP2_MYO15B.pdf", "Melting_Curves/meltCurve_Q96JP2_MYO15B.pdf")</f>
        <v>Melting_Curves/meltCurve_Q96JP2_MYO15B.pdf</v>
      </c>
    </row>
    <row r="4782" spans="1:28" x14ac:dyDescent="0.25">
      <c r="A4782" t="s">
        <v>4786</v>
      </c>
      <c r="B4782">
        <v>0.99987803227770999</v>
      </c>
      <c r="C4782">
        <v>1.1521081351665301</v>
      </c>
      <c r="D4782">
        <v>1.04769379224169</v>
      </c>
      <c r="E4782">
        <v>1.2002621171878201</v>
      </c>
      <c r="F4782">
        <v>1.00322744939325</v>
      </c>
      <c r="G4782">
        <v>0.76543944075098502</v>
      </c>
      <c r="H4782">
        <v>0.83513478446765899</v>
      </c>
      <c r="I4782">
        <v>0.76580508119213897</v>
      </c>
      <c r="J4782">
        <v>0.84773355531968797</v>
      </c>
      <c r="K4782">
        <v>0.61396977914954098</v>
      </c>
      <c r="L4782">
        <v>13803.962429528599</v>
      </c>
      <c r="M4782">
        <v>250</v>
      </c>
      <c r="O4782">
        <v>55.212325752133701</v>
      </c>
      <c r="P4782">
        <v>-0.26534178840498501</v>
      </c>
      <c r="Q4782">
        <v>0.76559784431006395</v>
      </c>
      <c r="R4782">
        <v>0.68290780532602402</v>
      </c>
      <c r="S4782" t="s">
        <v>11093</v>
      </c>
      <c r="T4782" t="s">
        <v>12620</v>
      </c>
      <c r="U4782" t="s">
        <v>12620</v>
      </c>
      <c r="V4782" t="s">
        <v>12620</v>
      </c>
      <c r="W4782" t="s">
        <v>17347</v>
      </c>
      <c r="X4782">
        <v>8</v>
      </c>
      <c r="Y4782" t="s">
        <v>23455</v>
      </c>
      <c r="Z4782" t="s">
        <v>29729</v>
      </c>
      <c r="AA4782">
        <v>0.88450815772472613</v>
      </c>
      <c r="AB4782" t="str">
        <f>HYPERLINK("Melting_Curves/meltCurve_Q96JP5_ZFP91.pdf", "Melting_Curves/meltCurve_Q96JP5_ZFP91.pdf")</f>
        <v>Melting_Curves/meltCurve_Q96JP5_ZFP91.pdf</v>
      </c>
    </row>
    <row r="4783" spans="1:28" x14ac:dyDescent="0.25">
      <c r="A4783" t="s">
        <v>4787</v>
      </c>
      <c r="B4783">
        <v>0.99987803227770999</v>
      </c>
      <c r="C4783">
        <v>0.95526179116828203</v>
      </c>
      <c r="D4783">
        <v>1.0180816655495399</v>
      </c>
      <c r="E4783">
        <v>0.95479811828392303</v>
      </c>
      <c r="F4783">
        <v>1.02233909152735</v>
      </c>
      <c r="G4783">
        <v>0.83832732798378495</v>
      </c>
      <c r="H4783">
        <v>0.42165219506929902</v>
      </c>
      <c r="I4783">
        <v>0.326990049927251</v>
      </c>
      <c r="J4783">
        <v>0.24984070104469899</v>
      </c>
      <c r="K4783">
        <v>0.18179948394118101</v>
      </c>
      <c r="L4783">
        <v>1899.19774186732</v>
      </c>
      <c r="M4783">
        <v>32.007630273122999</v>
      </c>
      <c r="N4783">
        <v>60.3947537607784</v>
      </c>
      <c r="O4783">
        <v>59.105611116189898</v>
      </c>
      <c r="P4783">
        <v>-0.106310771857258</v>
      </c>
      <c r="Q4783">
        <v>0.21474585066663601</v>
      </c>
      <c r="R4783">
        <v>0.99122950156173695</v>
      </c>
      <c r="S4783" t="s">
        <v>11094</v>
      </c>
      <c r="T4783" t="s">
        <v>12620</v>
      </c>
      <c r="U4783" t="s">
        <v>12620</v>
      </c>
      <c r="V4783" t="s">
        <v>12620</v>
      </c>
      <c r="W4783" t="s">
        <v>17348</v>
      </c>
      <c r="X4783">
        <v>7</v>
      </c>
      <c r="Y4783" t="s">
        <v>23456</v>
      </c>
      <c r="Z4783" t="s">
        <v>29730</v>
      </c>
      <c r="AA4783">
        <v>0.72536359149147267</v>
      </c>
      <c r="AB4783" t="str">
        <f>HYPERLINK("Melting_Curves/meltCurve_Q96JQ2_CLMN.pdf", "Melting_Curves/meltCurve_Q96JQ2_CLMN.pdf")</f>
        <v>Melting_Curves/meltCurve_Q96JQ2_CLMN.pdf</v>
      </c>
    </row>
    <row r="4784" spans="1:28" x14ac:dyDescent="0.25">
      <c r="A4784" t="s">
        <v>4788</v>
      </c>
      <c r="B4784">
        <v>0.99987803227770999</v>
      </c>
      <c r="C4784">
        <v>0.824796841574301</v>
      </c>
      <c r="D4784">
        <v>0.969291577037519</v>
      </c>
      <c r="E4784">
        <v>0.78044610363182998</v>
      </c>
      <c r="F4784">
        <v>0.98664808651511005</v>
      </c>
      <c r="G4784">
        <v>0.63329949264391106</v>
      </c>
      <c r="H4784">
        <v>0.77294151863302796</v>
      </c>
      <c r="I4784">
        <v>0.81896604721334298</v>
      </c>
      <c r="J4784">
        <v>0.80773130400451398</v>
      </c>
      <c r="K4784">
        <v>0.64030413563960797</v>
      </c>
      <c r="L4784">
        <v>242.69396569138499</v>
      </c>
      <c r="M4784">
        <v>4.1371906337253002</v>
      </c>
      <c r="O4784">
        <v>48.665546838779001</v>
      </c>
      <c r="P4784">
        <v>-9.1702091333504699E-3</v>
      </c>
      <c r="Q4784">
        <v>0.57344301748455495</v>
      </c>
      <c r="R4784">
        <v>0.401478423154768</v>
      </c>
      <c r="S4784" t="s">
        <v>11095</v>
      </c>
      <c r="T4784" t="s">
        <v>12620</v>
      </c>
      <c r="U4784" t="s">
        <v>12620</v>
      </c>
      <c r="V4784" t="s">
        <v>12620</v>
      </c>
      <c r="W4784" t="s">
        <v>17349</v>
      </c>
      <c r="X4784">
        <v>10</v>
      </c>
      <c r="Y4784" t="s">
        <v>23457</v>
      </c>
      <c r="Z4784" t="s">
        <v>29731</v>
      </c>
      <c r="AA4784">
        <v>0.82223550907890453</v>
      </c>
      <c r="AB4784" t="str">
        <f>HYPERLINK("Melting_Curves/meltCurve_Q96JY6_PDLIM2.pdf", "Melting_Curves/meltCurve_Q96JY6_PDLIM2.pdf")</f>
        <v>Melting_Curves/meltCurve_Q96JY6_PDLIM2.pdf</v>
      </c>
    </row>
    <row r="4785" spans="1:28" x14ac:dyDescent="0.25">
      <c r="A4785" t="s">
        <v>4789</v>
      </c>
      <c r="B4785">
        <v>0.99987803227770999</v>
      </c>
      <c r="C4785">
        <v>0.92380741977095204</v>
      </c>
      <c r="D4785">
        <v>0.98146974840589496</v>
      </c>
      <c r="E4785">
        <v>0.48671735750043699</v>
      </c>
      <c r="F4785">
        <v>0.22350074067561301</v>
      </c>
      <c r="G4785">
        <v>0.161091918474881</v>
      </c>
      <c r="H4785">
        <v>0.14010059677111</v>
      </c>
      <c r="I4785">
        <v>0.12132284253995</v>
      </c>
      <c r="J4785">
        <v>9.3692279262141895E-2</v>
      </c>
      <c r="K4785">
        <v>7.2413966594612703E-2</v>
      </c>
      <c r="L4785">
        <v>1691.20619317809</v>
      </c>
      <c r="M4785">
        <v>34.0788966681381</v>
      </c>
      <c r="N4785">
        <v>50.016126041617497</v>
      </c>
      <c r="O4785">
        <v>49.456255388451801</v>
      </c>
      <c r="P4785">
        <v>-0.152172215138766</v>
      </c>
      <c r="Q4785">
        <v>0.116657068387444</v>
      </c>
      <c r="R4785">
        <v>0.99201754193677505</v>
      </c>
      <c r="S4785" t="s">
        <v>11096</v>
      </c>
      <c r="T4785" t="s">
        <v>12620</v>
      </c>
      <c r="U4785" t="s">
        <v>12620</v>
      </c>
      <c r="V4785" t="s">
        <v>12620</v>
      </c>
      <c r="W4785" t="s">
        <v>17350</v>
      </c>
      <c r="X4785">
        <v>15</v>
      </c>
      <c r="Y4785" t="s">
        <v>23458</v>
      </c>
      <c r="Z4785" t="s">
        <v>29732</v>
      </c>
      <c r="AA4785">
        <v>0.40429094354408462</v>
      </c>
      <c r="AB4785" t="str">
        <f>HYPERLINK("Melting_Curves/meltCurve_Q96KB5_PBK.pdf", "Melting_Curves/meltCurve_Q96KB5_PBK.pdf")</f>
        <v>Melting_Curves/meltCurve_Q96KB5_PBK.pdf</v>
      </c>
    </row>
    <row r="4786" spans="1:28" x14ac:dyDescent="0.25">
      <c r="A4786" t="s">
        <v>4790</v>
      </c>
      <c r="B4786">
        <v>0.99987803227770999</v>
      </c>
      <c r="C4786">
        <v>1.15659941466229</v>
      </c>
      <c r="D4786">
        <v>1.0198469930563601</v>
      </c>
      <c r="E4786">
        <v>1.1138842160364399</v>
      </c>
      <c r="F4786">
        <v>0.676830769773756</v>
      </c>
      <c r="G4786">
        <v>0.23457338865595201</v>
      </c>
      <c r="H4786">
        <v>0.17538722744396301</v>
      </c>
      <c r="I4786">
        <v>0.170262837526198</v>
      </c>
      <c r="J4786">
        <v>0.12161840034546099</v>
      </c>
      <c r="K4786">
        <v>8.2388510295776193E-2</v>
      </c>
      <c r="L4786">
        <v>13275.208062183599</v>
      </c>
      <c r="M4786">
        <v>250</v>
      </c>
      <c r="N4786">
        <v>53.180907517798197</v>
      </c>
      <c r="O4786">
        <v>53.097435516985897</v>
      </c>
      <c r="P4786">
        <v>-0.99246078494947998</v>
      </c>
      <c r="Q4786">
        <v>0.15684606221149699</v>
      </c>
      <c r="R4786">
        <v>0.973104513022094</v>
      </c>
      <c r="S4786" t="s">
        <v>11097</v>
      </c>
      <c r="T4786" t="s">
        <v>12620</v>
      </c>
      <c r="U4786" t="s">
        <v>12620</v>
      </c>
      <c r="V4786" t="s">
        <v>12620</v>
      </c>
      <c r="W4786" t="s">
        <v>17351</v>
      </c>
      <c r="X4786">
        <v>14</v>
      </c>
      <c r="Y4786" t="s">
        <v>23459</v>
      </c>
      <c r="Z4786" t="s">
        <v>29733</v>
      </c>
      <c r="AA4786">
        <v>0.52512524664413551</v>
      </c>
      <c r="AB4786" t="str">
        <f>HYPERLINK("Melting_Curves/meltCurve_Q96KG9_3_SCYL1.pdf", "Melting_Curves/meltCurve_Q96KG9_3_SCYL1.pdf")</f>
        <v>Melting_Curves/meltCurve_Q96KG9_3_SCYL1.pdf</v>
      </c>
    </row>
    <row r="4787" spans="1:28" x14ac:dyDescent="0.25">
      <c r="A4787" t="s">
        <v>4791</v>
      </c>
      <c r="B4787">
        <v>0.99987803227770999</v>
      </c>
      <c r="C4787">
        <v>0.79788427104514004</v>
      </c>
      <c r="D4787">
        <v>0.73344645681297305</v>
      </c>
      <c r="E4787">
        <v>0.63642686026612805</v>
      </c>
      <c r="F4787">
        <v>0.223304682164432</v>
      </c>
      <c r="G4787">
        <v>0.13529090601570401</v>
      </c>
      <c r="H4787">
        <v>6.7305113967171301E-2</v>
      </c>
      <c r="I4787">
        <v>5.4275573622895798E-2</v>
      </c>
      <c r="J4787">
        <v>3.9520539199698501E-2</v>
      </c>
      <c r="K4787">
        <v>2.9264957165980199E-2</v>
      </c>
      <c r="L4787">
        <v>664.70356096588898</v>
      </c>
      <c r="M4787">
        <v>13.3192318517352</v>
      </c>
      <c r="N4787">
        <v>49.905547419710501</v>
      </c>
      <c r="O4787">
        <v>48.820830265855101</v>
      </c>
      <c r="P4787">
        <v>-6.8215619340544903E-2</v>
      </c>
      <c r="Q4787">
        <v>0</v>
      </c>
      <c r="R4787">
        <v>0.96749881781176394</v>
      </c>
      <c r="S4787" t="s">
        <v>11098</v>
      </c>
      <c r="T4787" t="s">
        <v>12620</v>
      </c>
      <c r="U4787" t="s">
        <v>12620</v>
      </c>
      <c r="V4787" t="s">
        <v>12620</v>
      </c>
      <c r="W4787" t="s">
        <v>17352</v>
      </c>
      <c r="X4787">
        <v>6</v>
      </c>
      <c r="Y4787" t="s">
        <v>23460</v>
      </c>
      <c r="Z4787" t="s">
        <v>29734</v>
      </c>
      <c r="AA4787">
        <v>0.35956618669003759</v>
      </c>
      <c r="AB4787" t="str">
        <f>HYPERLINK("Melting_Curves/meltCurve_Q96KP1_EXOC2.pdf", "Melting_Curves/meltCurve_Q96KP1_EXOC2.pdf")</f>
        <v>Melting_Curves/meltCurve_Q96KP1_EXOC2.pdf</v>
      </c>
    </row>
    <row r="4788" spans="1:28" x14ac:dyDescent="0.25">
      <c r="A4788" t="s">
        <v>4792</v>
      </c>
      <c r="B4788">
        <v>0.99987803227770999</v>
      </c>
      <c r="C4788">
        <v>1.1121240206735901</v>
      </c>
      <c r="D4788">
        <v>1.0748808542135599</v>
      </c>
      <c r="E4788">
        <v>0.83942924330913604</v>
      </c>
      <c r="F4788">
        <v>0.40027058394903697</v>
      </c>
      <c r="G4788">
        <v>0.207319146283169</v>
      </c>
      <c r="H4788">
        <v>0.107493127922779</v>
      </c>
      <c r="I4788">
        <v>8.1890304743822098E-2</v>
      </c>
      <c r="J4788">
        <v>5.7004051978649703E-2</v>
      </c>
      <c r="K4788">
        <v>3.7991258627499101E-2</v>
      </c>
      <c r="L4788">
        <v>1714.4234132556901</v>
      </c>
      <c r="M4788">
        <v>32.833812709086899</v>
      </c>
      <c r="N4788">
        <v>52.498456403259503</v>
      </c>
      <c r="O4788">
        <v>52.0226064398109</v>
      </c>
      <c r="P4788">
        <v>-0.14497816798094099</v>
      </c>
      <c r="Q4788">
        <v>8.1177503504231294E-2</v>
      </c>
      <c r="R4788">
        <v>0.98470974643200904</v>
      </c>
      <c r="S4788" t="s">
        <v>11099</v>
      </c>
      <c r="T4788" t="s">
        <v>12620</v>
      </c>
      <c r="U4788" t="s">
        <v>12620</v>
      </c>
      <c r="V4788" t="s">
        <v>12620</v>
      </c>
      <c r="W4788" t="s">
        <v>17353</v>
      </c>
      <c r="X4788">
        <v>17</v>
      </c>
      <c r="Y4788" t="s">
        <v>23461</v>
      </c>
      <c r="Z4788" t="s">
        <v>29735</v>
      </c>
      <c r="AA4788">
        <v>0.46022000712163719</v>
      </c>
      <c r="AB4788" t="str">
        <f>HYPERLINK("Melting_Curves/meltCurve_Q96KP4_CNDP2.pdf", "Melting_Curves/meltCurve_Q96KP4_CNDP2.pdf")</f>
        <v>Melting_Curves/meltCurve_Q96KP4_CNDP2.pdf</v>
      </c>
    </row>
    <row r="4789" spans="1:28" x14ac:dyDescent="0.25">
      <c r="A4789" t="s">
        <v>4793</v>
      </c>
      <c r="B4789">
        <v>0.99987803227770999</v>
      </c>
      <c r="C4789">
        <v>0.98196571409828703</v>
      </c>
      <c r="D4789">
        <v>0.95810239517484697</v>
      </c>
      <c r="E4789">
        <v>0.761719685227086</v>
      </c>
      <c r="F4789">
        <v>0.59289607487409102</v>
      </c>
      <c r="G4789">
        <v>0.380882689191607</v>
      </c>
      <c r="H4789">
        <v>0.37780758262824998</v>
      </c>
      <c r="I4789">
        <v>0.33177579582636102</v>
      </c>
      <c r="J4789">
        <v>0.29419430576143502</v>
      </c>
      <c r="K4789">
        <v>0.22128106158567601</v>
      </c>
      <c r="L4789">
        <v>891.71970985454504</v>
      </c>
      <c r="M4789">
        <v>17.0642475022714</v>
      </c>
      <c r="N4789">
        <v>54.750525508784797</v>
      </c>
      <c r="O4789">
        <v>51.554764543348703</v>
      </c>
      <c r="P4789">
        <v>-6.0395477062436802E-2</v>
      </c>
      <c r="Q4789">
        <v>0.27017323062843901</v>
      </c>
      <c r="R4789">
        <v>0.99020882941107802</v>
      </c>
      <c r="S4789" t="s">
        <v>11100</v>
      </c>
      <c r="T4789" t="s">
        <v>12620</v>
      </c>
      <c r="U4789" t="s">
        <v>12620</v>
      </c>
      <c r="V4789" t="s">
        <v>12620</v>
      </c>
      <c r="W4789" t="s">
        <v>17354</v>
      </c>
      <c r="X4789">
        <v>3</v>
      </c>
      <c r="Y4789" t="s">
        <v>23462</v>
      </c>
      <c r="Z4789" t="s">
        <v>29736</v>
      </c>
      <c r="AA4789">
        <v>0.58156444205406443</v>
      </c>
      <c r="AB4789" t="str">
        <f>HYPERLINK("Melting_Curves/meltCurve_Q96KQ4_PPP1R13B.pdf", "Melting_Curves/meltCurve_Q96KQ4_PPP1R13B.pdf")</f>
        <v>Melting_Curves/meltCurve_Q96KQ4_PPP1R13B.pdf</v>
      </c>
    </row>
    <row r="4790" spans="1:28" x14ac:dyDescent="0.25">
      <c r="A4790" t="s">
        <v>4794</v>
      </c>
      <c r="B4790">
        <v>0.99987803227770999</v>
      </c>
      <c r="C4790">
        <v>0.85417998664467099</v>
      </c>
      <c r="D4790">
        <v>1.01021668666746</v>
      </c>
      <c r="E4790">
        <v>0.869560635184638</v>
      </c>
      <c r="F4790">
        <v>0.96535946024743602</v>
      </c>
      <c r="G4790">
        <v>0.76257148579397405</v>
      </c>
      <c r="H4790">
        <v>0.84577090228410101</v>
      </c>
      <c r="I4790">
        <v>0.72855258558082203</v>
      </c>
      <c r="J4790">
        <v>0.92195750122269104</v>
      </c>
      <c r="K4790">
        <v>0.73929707158963698</v>
      </c>
      <c r="L4790">
        <v>314.75214241325301</v>
      </c>
      <c r="M4790">
        <v>5.6882636386658696</v>
      </c>
      <c r="O4790">
        <v>49.635212430339699</v>
      </c>
      <c r="P4790">
        <v>-8.0337679882288293E-3</v>
      </c>
      <c r="Q4790">
        <v>0.72068567063017097</v>
      </c>
      <c r="R4790">
        <v>0.40777032921370898</v>
      </c>
      <c r="S4790" t="s">
        <v>11101</v>
      </c>
      <c r="T4790" t="s">
        <v>12620</v>
      </c>
      <c r="U4790" t="s">
        <v>12620</v>
      </c>
      <c r="V4790" t="s">
        <v>12620</v>
      </c>
      <c r="W4790" t="s">
        <v>17355</v>
      </c>
      <c r="X4790">
        <v>9</v>
      </c>
      <c r="Y4790" t="s">
        <v>23463</v>
      </c>
      <c r="Z4790" t="s">
        <v>29737</v>
      </c>
      <c r="AA4790">
        <v>0.86952181224933545</v>
      </c>
      <c r="AB4790" t="str">
        <f>HYPERLINK("Melting_Curves/meltCurve_Q96KR1_ZFR.pdf", "Melting_Curves/meltCurve_Q96KR1_ZFR.pdf")</f>
        <v>Melting_Curves/meltCurve_Q96KR1_ZFR.pdf</v>
      </c>
    </row>
    <row r="4791" spans="1:28" x14ac:dyDescent="0.25">
      <c r="A4791" t="s">
        <v>4795</v>
      </c>
      <c r="B4791">
        <v>0.99987803227770999</v>
      </c>
      <c r="C4791">
        <v>1.03689987640125</v>
      </c>
      <c r="D4791">
        <v>0.93759879740841401</v>
      </c>
      <c r="E4791">
        <v>0.94648946634976705</v>
      </c>
      <c r="F4791">
        <v>0.96775957415828595</v>
      </c>
      <c r="G4791">
        <v>0.67500564695045495</v>
      </c>
      <c r="H4791">
        <v>0.58890052542003002</v>
      </c>
      <c r="I4791">
        <v>0.53714127081299401</v>
      </c>
      <c r="J4791">
        <v>0.43358510477456003</v>
      </c>
      <c r="K4791">
        <v>0.35011206125202998</v>
      </c>
      <c r="L4791">
        <v>804.05065817539003</v>
      </c>
      <c r="M4791">
        <v>13.5130542550509</v>
      </c>
      <c r="N4791">
        <v>63.739457899668601</v>
      </c>
      <c r="O4791">
        <v>58.244027300850803</v>
      </c>
      <c r="P4791">
        <v>-4.0816794387798602E-2</v>
      </c>
      <c r="Q4791">
        <v>0.29639198897125402</v>
      </c>
      <c r="R4791">
        <v>0.96848447335023802</v>
      </c>
      <c r="S4791" t="s">
        <v>11102</v>
      </c>
      <c r="T4791" t="s">
        <v>12620</v>
      </c>
      <c r="U4791" t="s">
        <v>12620</v>
      </c>
      <c r="V4791" t="s">
        <v>12620</v>
      </c>
      <c r="W4791" t="s">
        <v>17356</v>
      </c>
      <c r="X4791">
        <v>4</v>
      </c>
      <c r="Y4791" t="s">
        <v>23464</v>
      </c>
      <c r="Z4791" t="s">
        <v>29738</v>
      </c>
      <c r="AA4791">
        <v>0.75906698832694597</v>
      </c>
      <c r="AB4791" t="str">
        <f>HYPERLINK("Melting_Curves/meltCurve_Q96L35_EPHB4.pdf", "Melting_Curves/meltCurve_Q96L35_EPHB4.pdf")</f>
        <v>Melting_Curves/meltCurve_Q96L35_EPHB4.pdf</v>
      </c>
    </row>
    <row r="4792" spans="1:28" x14ac:dyDescent="0.25">
      <c r="A4792" t="s">
        <v>4796</v>
      </c>
      <c r="B4792">
        <v>0.99987803227770999</v>
      </c>
      <c r="C4792">
        <v>0.89044527115670702</v>
      </c>
      <c r="D4792">
        <v>1.0165836235218999</v>
      </c>
      <c r="E4792">
        <v>0.894573026762018</v>
      </c>
      <c r="F4792">
        <v>1.0594327886010999</v>
      </c>
      <c r="G4792">
        <v>0.84956152976704302</v>
      </c>
      <c r="H4792">
        <v>0.88496048042415199</v>
      </c>
      <c r="I4792">
        <v>0.90181933872126097</v>
      </c>
      <c r="J4792">
        <v>0.78250470124737204</v>
      </c>
      <c r="K4792">
        <v>0.66850429987028703</v>
      </c>
      <c r="L4792">
        <v>554.742021052572</v>
      </c>
      <c r="M4792">
        <v>7.0587685827370503</v>
      </c>
      <c r="Q4792">
        <v>0</v>
      </c>
      <c r="R4792">
        <v>0.65131805340000004</v>
      </c>
      <c r="S4792" t="s">
        <v>11103</v>
      </c>
      <c r="T4792" t="s">
        <v>12620</v>
      </c>
      <c r="U4792" t="s">
        <v>12620</v>
      </c>
      <c r="V4792" t="s">
        <v>12620</v>
      </c>
      <c r="W4792" t="s">
        <v>17357</v>
      </c>
      <c r="X4792">
        <v>5</v>
      </c>
      <c r="Y4792" t="s">
        <v>23465</v>
      </c>
      <c r="Z4792" t="s">
        <v>29739</v>
      </c>
      <c r="AA4792">
        <v>0.91757175692631143</v>
      </c>
      <c r="AB4792" t="str">
        <f>HYPERLINK("Melting_Curves/meltCurve_Q96L73_2_NSD1.pdf", "Melting_Curves/meltCurve_Q96L73_2_NSD1.pdf")</f>
        <v>Melting_Curves/meltCurve_Q96L73_2_NSD1.pdf</v>
      </c>
    </row>
    <row r="4793" spans="1:28" x14ac:dyDescent="0.25">
      <c r="A4793" t="s">
        <v>4797</v>
      </c>
      <c r="B4793">
        <v>0.99987803227770999</v>
      </c>
      <c r="C4793">
        <v>0.88537290901838595</v>
      </c>
      <c r="D4793">
        <v>1.02125842740725</v>
      </c>
      <c r="E4793">
        <v>0.85803924342051496</v>
      </c>
      <c r="F4793">
        <v>1.05578341264757</v>
      </c>
      <c r="G4793">
        <v>0.80164884854518503</v>
      </c>
      <c r="H4793">
        <v>0.796858334981139</v>
      </c>
      <c r="I4793">
        <v>0.79362129215539301</v>
      </c>
      <c r="J4793">
        <v>0.72235178304962999</v>
      </c>
      <c r="K4793">
        <v>0.600124460338191</v>
      </c>
      <c r="L4793">
        <v>417.37247723865102</v>
      </c>
      <c r="M4793">
        <v>5.4022248038719596</v>
      </c>
      <c r="O4793">
        <v>68.591264860797594</v>
      </c>
      <c r="P4793">
        <v>-1.9782261990354901E-2</v>
      </c>
      <c r="Q4793">
        <v>0</v>
      </c>
      <c r="R4793">
        <v>0.73955186348496804</v>
      </c>
      <c r="S4793" t="s">
        <v>11104</v>
      </c>
      <c r="T4793" t="s">
        <v>12620</v>
      </c>
      <c r="U4793" t="s">
        <v>12620</v>
      </c>
      <c r="V4793" t="s">
        <v>12620</v>
      </c>
      <c r="W4793" t="s">
        <v>17358</v>
      </c>
      <c r="X4793">
        <v>9</v>
      </c>
      <c r="Y4793" t="s">
        <v>23466</v>
      </c>
      <c r="Z4793" t="s">
        <v>29740</v>
      </c>
      <c r="AA4793">
        <v>0.86857794540656963</v>
      </c>
      <c r="AB4793" t="str">
        <f>HYPERLINK("Melting_Curves/meltCurve_Q96L91_5_EP400.pdf", "Melting_Curves/meltCurve_Q96L91_5_EP400.pdf")</f>
        <v>Melting_Curves/meltCurve_Q96L91_5_EP400.pdf</v>
      </c>
    </row>
    <row r="4794" spans="1:28" x14ac:dyDescent="0.25">
      <c r="A4794" t="s">
        <v>4798</v>
      </c>
      <c r="B4794">
        <v>0.99987803227770999</v>
      </c>
      <c r="C4794">
        <v>1.01210250479896</v>
      </c>
      <c r="D4794">
        <v>0.90338226287429702</v>
      </c>
      <c r="E4794">
        <v>0.438111469630311</v>
      </c>
      <c r="F4794">
        <v>0.23485232247018301</v>
      </c>
      <c r="G4794">
        <v>0.149401801091642</v>
      </c>
      <c r="H4794">
        <v>0.11053481714626</v>
      </c>
      <c r="I4794">
        <v>0.10023407161597001</v>
      </c>
      <c r="J4794">
        <v>7.8710739973469807E-2</v>
      </c>
      <c r="K4794">
        <v>5.7191978591598899E-2</v>
      </c>
      <c r="L4794">
        <v>1335.1326981367599</v>
      </c>
      <c r="M4794">
        <v>27.0850696155786</v>
      </c>
      <c r="N4794">
        <v>49.678234836315902</v>
      </c>
      <c r="O4794">
        <v>49.027701636312699</v>
      </c>
      <c r="P4794">
        <v>-0.12506249188410701</v>
      </c>
      <c r="Q4794">
        <v>9.4487896737892901E-2</v>
      </c>
      <c r="R4794">
        <v>0.99662512960688299</v>
      </c>
      <c r="S4794" t="s">
        <v>11105</v>
      </c>
      <c r="T4794" t="s">
        <v>12620</v>
      </c>
      <c r="U4794" t="s">
        <v>12620</v>
      </c>
      <c r="V4794" t="s">
        <v>12620</v>
      </c>
      <c r="W4794" t="s">
        <v>17359</v>
      </c>
      <c r="X4794">
        <v>14</v>
      </c>
      <c r="Y4794" t="s">
        <v>23467</v>
      </c>
      <c r="Z4794" t="s">
        <v>29741</v>
      </c>
      <c r="AA4794">
        <v>0.38184270333976078</v>
      </c>
      <c r="AB4794" t="str">
        <f>HYPERLINK("Melting_Curves/meltCurve_Q96L92_SNX27.pdf", "Melting_Curves/meltCurve_Q96L92_SNX27.pdf")</f>
        <v>Melting_Curves/meltCurve_Q96L92_SNX27.pdf</v>
      </c>
    </row>
    <row r="4795" spans="1:28" x14ac:dyDescent="0.25">
      <c r="A4795" t="s">
        <v>4799</v>
      </c>
      <c r="B4795">
        <v>0.99987803227770999</v>
      </c>
      <c r="C4795">
        <v>0.79436078705868995</v>
      </c>
      <c r="D4795">
        <v>0.63896664211394305</v>
      </c>
      <c r="E4795">
        <v>0.47620332828793499</v>
      </c>
      <c r="F4795">
        <v>0.315580270362183</v>
      </c>
      <c r="G4795">
        <v>0.19430117236173899</v>
      </c>
      <c r="H4795">
        <v>0.18143817274986601</v>
      </c>
      <c r="I4795">
        <v>0.15760898460351999</v>
      </c>
      <c r="J4795">
        <v>0.15334305280176799</v>
      </c>
      <c r="K4795">
        <v>0.11571396074128899</v>
      </c>
      <c r="L4795">
        <v>600.23335556809002</v>
      </c>
      <c r="M4795">
        <v>12.555483862587399</v>
      </c>
      <c r="N4795">
        <v>48.839111715974397</v>
      </c>
      <c r="O4795">
        <v>46.642341400257102</v>
      </c>
      <c r="P4795">
        <v>-5.9463262699742898E-2</v>
      </c>
      <c r="Q4795">
        <v>0.116578868443699</v>
      </c>
      <c r="R4795">
        <v>0.98921449143747497</v>
      </c>
      <c r="S4795" t="s">
        <v>11106</v>
      </c>
      <c r="T4795" t="s">
        <v>12620</v>
      </c>
      <c r="U4795" t="s">
        <v>12620</v>
      </c>
      <c r="V4795" t="s">
        <v>12620</v>
      </c>
      <c r="W4795" t="s">
        <v>17360</v>
      </c>
      <c r="X4795">
        <v>11</v>
      </c>
      <c r="Y4795" t="s">
        <v>23468</v>
      </c>
      <c r="Z4795" t="s">
        <v>29742</v>
      </c>
      <c r="AA4795">
        <v>0.37873238166498968</v>
      </c>
      <c r="AB4795" t="str">
        <f>HYPERLINK("Melting_Curves/meltCurve_Q96L93_6_KIF16B.pdf", "Melting_Curves/meltCurve_Q96L93_6_KIF16B.pdf")</f>
        <v>Melting_Curves/meltCurve_Q96L93_6_KIF16B.pdf</v>
      </c>
    </row>
    <row r="4796" spans="1:28" x14ac:dyDescent="0.25">
      <c r="A4796" t="s">
        <v>4800</v>
      </c>
      <c r="B4796">
        <v>0.99987803227770999</v>
      </c>
      <c r="C4796">
        <v>0.97150381748367598</v>
      </c>
      <c r="D4796">
        <v>0.89023482037824697</v>
      </c>
      <c r="E4796">
        <v>0.72445785851654398</v>
      </c>
      <c r="F4796">
        <v>0.54487181609542401</v>
      </c>
      <c r="G4796">
        <v>0.33886628422112403</v>
      </c>
      <c r="H4796">
        <v>0.28378081088005402</v>
      </c>
      <c r="I4796">
        <v>0.25468882811194399</v>
      </c>
      <c r="J4796">
        <v>0.228208344922328</v>
      </c>
      <c r="K4796">
        <v>0.17939931364719999</v>
      </c>
      <c r="L4796">
        <v>780.69212745618404</v>
      </c>
      <c r="M4796">
        <v>14.9966965829557</v>
      </c>
      <c r="N4796">
        <v>53.762599156803297</v>
      </c>
      <c r="O4796">
        <v>51.1582712211288</v>
      </c>
      <c r="P4796">
        <v>-5.9422999006536997E-2</v>
      </c>
      <c r="Q4796">
        <v>0.18924263729440199</v>
      </c>
      <c r="R4796">
        <v>0.99767013184514997</v>
      </c>
      <c r="S4796" t="s">
        <v>11107</v>
      </c>
      <c r="T4796" t="s">
        <v>12620</v>
      </c>
      <c r="U4796" t="s">
        <v>12620</v>
      </c>
      <c r="V4796" t="s">
        <v>12620</v>
      </c>
      <c r="W4796" t="s">
        <v>17361</v>
      </c>
      <c r="X4796">
        <v>13</v>
      </c>
      <c r="Y4796" t="s">
        <v>23469</v>
      </c>
      <c r="Z4796" t="s">
        <v>29743</v>
      </c>
      <c r="AA4796">
        <v>0.53319766770366439</v>
      </c>
      <c r="AB4796" t="str">
        <f>HYPERLINK("Melting_Curves/meltCurve_Q96LB3_IFT74.pdf", "Melting_Curves/meltCurve_Q96LB3_IFT74.pdf")</f>
        <v>Melting_Curves/meltCurve_Q96LB3_IFT74.pdf</v>
      </c>
    </row>
    <row r="4797" spans="1:28" x14ac:dyDescent="0.25">
      <c r="A4797" t="s">
        <v>4801</v>
      </c>
      <c r="B4797">
        <v>0.99987803227770999</v>
      </c>
      <c r="C4797">
        <v>0.90214633605750505</v>
      </c>
      <c r="D4797">
        <v>0.53186717442210596</v>
      </c>
      <c r="E4797">
        <v>0.41102834654468201</v>
      </c>
      <c r="F4797">
        <v>0.28508225493800299</v>
      </c>
      <c r="G4797">
        <v>0.19008250230457499</v>
      </c>
      <c r="H4797">
        <v>0.161831171943323</v>
      </c>
      <c r="I4797">
        <v>0.19373595717595099</v>
      </c>
      <c r="J4797">
        <v>0.123481610012873</v>
      </c>
      <c r="K4797">
        <v>9.7327629796584506E-2</v>
      </c>
      <c r="L4797">
        <v>750.93695694945598</v>
      </c>
      <c r="M4797">
        <v>16.0379209011802</v>
      </c>
      <c r="N4797">
        <v>47.8112497768279</v>
      </c>
      <c r="O4797">
        <v>46.112768602550297</v>
      </c>
      <c r="P4797">
        <v>-7.4684357521406106E-2</v>
      </c>
      <c r="Q4797">
        <v>0.141126885411195</v>
      </c>
      <c r="R4797">
        <v>0.97490235640935496</v>
      </c>
      <c r="S4797" t="s">
        <v>11108</v>
      </c>
      <c r="T4797" t="s">
        <v>12620</v>
      </c>
      <c r="U4797" t="s">
        <v>12620</v>
      </c>
      <c r="V4797" t="s">
        <v>12620</v>
      </c>
      <c r="W4797" t="s">
        <v>17362</v>
      </c>
      <c r="X4797">
        <v>18</v>
      </c>
      <c r="Y4797" t="s">
        <v>23470</v>
      </c>
      <c r="Z4797" t="s">
        <v>29744</v>
      </c>
      <c r="AA4797">
        <v>0.35696519557180562</v>
      </c>
      <c r="AB4797" t="str">
        <f>HYPERLINK("Melting_Curves/meltCurve_Q96LD4_TRIM47.pdf", "Melting_Curves/meltCurve_Q96LD4_TRIM47.pdf")</f>
        <v>Melting_Curves/meltCurve_Q96LD4_TRIM47.pdf</v>
      </c>
    </row>
    <row r="4798" spans="1:28" x14ac:dyDescent="0.25">
      <c r="A4798" t="s">
        <v>4802</v>
      </c>
      <c r="B4798">
        <v>0.99987803227770999</v>
      </c>
      <c r="C4798">
        <v>0.79139104707117902</v>
      </c>
      <c r="D4798">
        <v>0.79501582254629799</v>
      </c>
      <c r="E4798">
        <v>0.73152202495673802</v>
      </c>
      <c r="F4798">
        <v>0.62884490806614701</v>
      </c>
      <c r="G4798">
        <v>0.30731629056191601</v>
      </c>
      <c r="H4798">
        <v>7.0541818925230704E-2</v>
      </c>
      <c r="I4798">
        <v>0.149549164563652</v>
      </c>
      <c r="J4798">
        <v>1.7729142727370799E-2</v>
      </c>
      <c r="K4798">
        <v>2.09923300870659E-2</v>
      </c>
      <c r="L4798">
        <v>663.48166892598704</v>
      </c>
      <c r="M4798">
        <v>12.4291389518575</v>
      </c>
      <c r="N4798">
        <v>53.381143795823697</v>
      </c>
      <c r="O4798">
        <v>52.0557928798166</v>
      </c>
      <c r="P4798">
        <v>-5.9703987098249402E-2</v>
      </c>
      <c r="Q4798">
        <v>0</v>
      </c>
      <c r="R4798">
        <v>0.95084763840180697</v>
      </c>
      <c r="S4798" t="s">
        <v>11109</v>
      </c>
      <c r="T4798" t="s">
        <v>12620</v>
      </c>
      <c r="U4798" t="s">
        <v>12620</v>
      </c>
      <c r="V4798" t="s">
        <v>12620</v>
      </c>
      <c r="W4798" t="s">
        <v>17363</v>
      </c>
      <c r="X4798">
        <v>1</v>
      </c>
      <c r="Y4798" t="s">
        <v>23471</v>
      </c>
      <c r="Z4798" t="s">
        <v>29745</v>
      </c>
      <c r="AA4798">
        <v>0.47262528121520242</v>
      </c>
      <c r="AB4798" t="str">
        <f>HYPERLINK("Melting_Curves/meltCurve_Q96LD8_SENP8.pdf", "Melting_Curves/meltCurve_Q96LD8_SENP8.pdf")</f>
        <v>Melting_Curves/meltCurve_Q96LD8_SENP8.pdf</v>
      </c>
    </row>
    <row r="4799" spans="1:28" x14ac:dyDescent="0.25">
      <c r="A4799" t="s">
        <v>4803</v>
      </c>
      <c r="B4799">
        <v>0.99987803227770999</v>
      </c>
      <c r="C4799">
        <v>0.82961717030789905</v>
      </c>
      <c r="D4799">
        <v>1.11088362627912</v>
      </c>
      <c r="E4799">
        <v>0.79179357954463503</v>
      </c>
      <c r="F4799">
        <v>0.64648140534739196</v>
      </c>
      <c r="G4799">
        <v>0.18413542230120999</v>
      </c>
      <c r="H4799">
        <v>0.118076968109025</v>
      </c>
      <c r="I4799">
        <v>0.110252495315633</v>
      </c>
      <c r="J4799">
        <v>5.9610853122746499E-2</v>
      </c>
      <c r="K4799">
        <v>3.4468004124923797E-2</v>
      </c>
      <c r="L4799">
        <v>1331.4359249592201</v>
      </c>
      <c r="M4799">
        <v>24.844029326766702</v>
      </c>
      <c r="N4799">
        <v>53.853481897331903</v>
      </c>
      <c r="O4799">
        <v>53.248187093623898</v>
      </c>
      <c r="P4799">
        <v>-0.110011596938694</v>
      </c>
      <c r="Q4799">
        <v>5.6861993746253899E-2</v>
      </c>
      <c r="R4799">
        <v>0.96539947415650396</v>
      </c>
      <c r="S4799" t="s">
        <v>11110</v>
      </c>
      <c r="T4799" t="s">
        <v>12620</v>
      </c>
      <c r="U4799" t="s">
        <v>12620</v>
      </c>
      <c r="V4799" t="s">
        <v>12620</v>
      </c>
      <c r="W4799" t="s">
        <v>17364</v>
      </c>
      <c r="X4799">
        <v>5</v>
      </c>
      <c r="Y4799" t="s">
        <v>23472</v>
      </c>
      <c r="Z4799" t="s">
        <v>29746</v>
      </c>
      <c r="AA4799">
        <v>0.49297497625679021</v>
      </c>
      <c r="AB4799" t="str">
        <f>HYPERLINK("Melting_Curves/meltCurve_Q96LR5_UBE2E2.pdf", "Melting_Curves/meltCurve_Q96LR5_UBE2E2.pdf")</f>
        <v>Melting_Curves/meltCurve_Q96LR5_UBE2E2.pdf</v>
      </c>
    </row>
    <row r="4800" spans="1:28" x14ac:dyDescent="0.25">
      <c r="A4800" t="s">
        <v>4804</v>
      </c>
      <c r="B4800">
        <v>0.99987803227770999</v>
      </c>
      <c r="C4800">
        <v>1.13661612063918</v>
      </c>
      <c r="D4800">
        <v>0.92899917397356402</v>
      </c>
      <c r="E4800">
        <v>1.15259357149222</v>
      </c>
      <c r="F4800">
        <v>0.814072849959664</v>
      </c>
      <c r="G4800">
        <v>0.59645599270629301</v>
      </c>
      <c r="H4800">
        <v>0.28106579253223601</v>
      </c>
      <c r="I4800">
        <v>0.25275859340465601</v>
      </c>
      <c r="J4800">
        <v>0.17596024706539301</v>
      </c>
      <c r="K4800">
        <v>9.8632935962831E-2</v>
      </c>
      <c r="L4800">
        <v>1334.23214261974</v>
      </c>
      <c r="M4800">
        <v>23.305513873664601</v>
      </c>
      <c r="N4800">
        <v>58.020432508633199</v>
      </c>
      <c r="O4800">
        <v>56.833122719982697</v>
      </c>
      <c r="P4800">
        <v>-8.8870301900994805E-2</v>
      </c>
      <c r="Q4800">
        <v>0.1331344027761</v>
      </c>
      <c r="R4800">
        <v>0.95681543133979696</v>
      </c>
      <c r="S4800" t="s">
        <v>11111</v>
      </c>
      <c r="T4800" t="s">
        <v>12620</v>
      </c>
      <c r="U4800" t="s">
        <v>12620</v>
      </c>
      <c r="V4800" t="s">
        <v>12620</v>
      </c>
      <c r="W4800" t="s">
        <v>17365</v>
      </c>
      <c r="X4800">
        <v>4</v>
      </c>
      <c r="Y4800" t="s">
        <v>23473</v>
      </c>
      <c r="Z4800" t="s">
        <v>29747</v>
      </c>
      <c r="AA4800">
        <v>0.64016238466073005</v>
      </c>
      <c r="AB4800" t="str">
        <f>HYPERLINK("Melting_Curves/meltCurve_Q96LT7_C9orf72.pdf", "Melting_Curves/meltCurve_Q96LT7_C9orf72.pdf")</f>
        <v>Melting_Curves/meltCurve_Q96LT7_C9orf72.pdf</v>
      </c>
    </row>
    <row r="4801" spans="1:28" x14ac:dyDescent="0.25">
      <c r="A4801" t="s">
        <v>4805</v>
      </c>
      <c r="B4801">
        <v>0.99987803227770999</v>
      </c>
      <c r="C4801">
        <v>0.99902179154179205</v>
      </c>
      <c r="D4801">
        <v>1.08817596840959</v>
      </c>
      <c r="E4801">
        <v>1.02375325165876</v>
      </c>
      <c r="F4801">
        <v>1.12017232389094</v>
      </c>
      <c r="G4801">
        <v>0.99621579858547804</v>
      </c>
      <c r="H4801">
        <v>1.05578635747991</v>
      </c>
      <c r="I4801">
        <v>0.906044480538302</v>
      </c>
      <c r="J4801">
        <v>0.567088693659339</v>
      </c>
      <c r="K4801">
        <v>0.15946543035135599</v>
      </c>
      <c r="L4801">
        <v>3155.2080563700401</v>
      </c>
      <c r="M4801">
        <v>46.871449727525402</v>
      </c>
      <c r="N4801">
        <v>67.377372129656493</v>
      </c>
      <c r="O4801">
        <v>67.194012762134307</v>
      </c>
      <c r="P4801">
        <v>-0.17075621419600701</v>
      </c>
      <c r="Q4801">
        <v>2.0829757664946501E-2</v>
      </c>
      <c r="R4801">
        <v>0.96666985102639802</v>
      </c>
      <c r="S4801" t="s">
        <v>11112</v>
      </c>
      <c r="T4801" t="s">
        <v>12620</v>
      </c>
      <c r="U4801" t="s">
        <v>12620</v>
      </c>
      <c r="V4801" t="s">
        <v>12620</v>
      </c>
      <c r="W4801" t="s">
        <v>17366</v>
      </c>
      <c r="X4801">
        <v>10</v>
      </c>
      <c r="Y4801" t="s">
        <v>23474</v>
      </c>
      <c r="Z4801" t="s">
        <v>29748</v>
      </c>
      <c r="AA4801">
        <v>0.90755409665540632</v>
      </c>
      <c r="AB4801" t="str">
        <f>HYPERLINK("Melting_Curves/meltCurve_Q96M27_PRRC1.pdf", "Melting_Curves/meltCurve_Q96M27_PRRC1.pdf")</f>
        <v>Melting_Curves/meltCurve_Q96M27_PRRC1.pdf</v>
      </c>
    </row>
    <row r="4802" spans="1:28" x14ac:dyDescent="0.25">
      <c r="A4802" t="s">
        <v>4806</v>
      </c>
      <c r="B4802">
        <v>0.99987803227770999</v>
      </c>
      <c r="C4802">
        <v>1.0517751399473001</v>
      </c>
      <c r="D4802">
        <v>0.974468829711711</v>
      </c>
      <c r="E4802">
        <v>1.03659905691926</v>
      </c>
      <c r="F4802">
        <v>0.77074379402995197</v>
      </c>
      <c r="G4802">
        <v>0.28553924851812401</v>
      </c>
      <c r="H4802">
        <v>0.123978441612192</v>
      </c>
      <c r="I4802">
        <v>0.103809762351065</v>
      </c>
      <c r="J4802">
        <v>8.6797261219935098E-2</v>
      </c>
      <c r="K4802">
        <v>6.0315719005878198E-2</v>
      </c>
      <c r="L4802">
        <v>1907.4570061429699</v>
      </c>
      <c r="M4802">
        <v>34.775207996740498</v>
      </c>
      <c r="N4802">
        <v>55.148148578552401</v>
      </c>
      <c r="O4802">
        <v>54.670626096110702</v>
      </c>
      <c r="P4802">
        <v>-0.14543863898613199</v>
      </c>
      <c r="Q4802">
        <v>8.5418265055483597E-2</v>
      </c>
      <c r="R4802">
        <v>0.99499608686333596</v>
      </c>
      <c r="S4802" t="s">
        <v>11113</v>
      </c>
      <c r="T4802" t="s">
        <v>12620</v>
      </c>
      <c r="U4802" t="s">
        <v>12620</v>
      </c>
      <c r="V4802" t="s">
        <v>12620</v>
      </c>
      <c r="W4802" t="s">
        <v>17367</v>
      </c>
      <c r="X4802">
        <v>13</v>
      </c>
      <c r="Y4802" t="s">
        <v>23475</v>
      </c>
      <c r="Z4802" t="s">
        <v>29749</v>
      </c>
      <c r="AA4802">
        <v>0.54272537294272583</v>
      </c>
      <c r="AB4802" t="str">
        <f>HYPERLINK("Melting_Curves/meltCurve_Q96ME1_4_FBXL18.pdf", "Melting_Curves/meltCurve_Q96ME1_4_FBXL18.pdf")</f>
        <v>Melting_Curves/meltCurve_Q96ME1_4_FBXL18.pdf</v>
      </c>
    </row>
    <row r="4803" spans="1:28" x14ac:dyDescent="0.25">
      <c r="A4803" t="s">
        <v>4807</v>
      </c>
      <c r="B4803">
        <v>0.99987803227770999</v>
      </c>
      <c r="C4803">
        <v>1.0506325432052801</v>
      </c>
      <c r="D4803">
        <v>1.0326478520721301</v>
      </c>
      <c r="E4803">
        <v>0.96473290604630701</v>
      </c>
      <c r="F4803">
        <v>0.94292090963465303</v>
      </c>
      <c r="G4803">
        <v>0.86786264525841805</v>
      </c>
      <c r="H4803">
        <v>0.97238415348396801</v>
      </c>
      <c r="I4803">
        <v>0.92633371176736501</v>
      </c>
      <c r="J4803">
        <v>0.86025666412827395</v>
      </c>
      <c r="K4803">
        <v>0.70415851749133995</v>
      </c>
      <c r="L4803">
        <v>881.05682843464695</v>
      </c>
      <c r="M4803">
        <v>11.575379457592501</v>
      </c>
      <c r="Q4803">
        <v>0</v>
      </c>
      <c r="R4803">
        <v>0.75093155395455602</v>
      </c>
      <c r="S4803" t="s">
        <v>11114</v>
      </c>
      <c r="T4803" t="s">
        <v>12620</v>
      </c>
      <c r="U4803" t="s">
        <v>12620</v>
      </c>
      <c r="V4803" t="s">
        <v>12620</v>
      </c>
      <c r="W4803" t="s">
        <v>17368</v>
      </c>
      <c r="X4803">
        <v>2</v>
      </c>
      <c r="Y4803" t="s">
        <v>23476</v>
      </c>
      <c r="Z4803" t="s">
        <v>29750</v>
      </c>
      <c r="AA4803">
        <v>0.95048121363723115</v>
      </c>
      <c r="AB4803" t="str">
        <f>HYPERLINK("Melting_Curves/meltCurve_Q96ME7_3_ZNF512.pdf", "Melting_Curves/meltCurve_Q96ME7_3_ZNF512.pdf")</f>
        <v>Melting_Curves/meltCurve_Q96ME7_3_ZNF512.pdf</v>
      </c>
    </row>
    <row r="4804" spans="1:28" x14ac:dyDescent="0.25">
      <c r="A4804" t="s">
        <v>4808</v>
      </c>
      <c r="B4804">
        <v>0.99987803227770999</v>
      </c>
      <c r="C4804">
        <v>0.91399951309504301</v>
      </c>
      <c r="D4804">
        <v>0.76538428884066401</v>
      </c>
      <c r="E4804">
        <v>0.59735141173219897</v>
      </c>
      <c r="F4804">
        <v>0.47499460700819801</v>
      </c>
      <c r="G4804">
        <v>0.31558481932057503</v>
      </c>
      <c r="H4804">
        <v>0.25988998517559803</v>
      </c>
      <c r="I4804">
        <v>0.229783106464405</v>
      </c>
      <c r="J4804">
        <v>0.23008833419201299</v>
      </c>
      <c r="K4804">
        <v>0.18432988240854301</v>
      </c>
      <c r="L4804">
        <v>610.78884464353905</v>
      </c>
      <c r="M4804">
        <v>12.1808818323743</v>
      </c>
      <c r="N4804">
        <v>51.979020732752403</v>
      </c>
      <c r="O4804">
        <v>48.849189983857798</v>
      </c>
      <c r="P4804">
        <v>-5.1453363157788402E-2</v>
      </c>
      <c r="Q4804">
        <v>0.17481067967182101</v>
      </c>
      <c r="R4804">
        <v>0.99611038571816302</v>
      </c>
      <c r="S4804" t="s">
        <v>11115</v>
      </c>
      <c r="T4804" t="s">
        <v>12620</v>
      </c>
      <c r="U4804" t="s">
        <v>12620</v>
      </c>
      <c r="V4804" t="s">
        <v>12620</v>
      </c>
      <c r="W4804" t="s">
        <v>17369</v>
      </c>
      <c r="X4804">
        <v>6</v>
      </c>
      <c r="Y4804" t="s">
        <v>23477</v>
      </c>
      <c r="Z4804" t="s">
        <v>29751</v>
      </c>
      <c r="AA4804">
        <v>0.48148889246003801</v>
      </c>
      <c r="AB4804" t="str">
        <f>HYPERLINK("Melting_Curves/meltCurve_Q96MG7_NDNL2.pdf", "Melting_Curves/meltCurve_Q96MG7_NDNL2.pdf")</f>
        <v>Melting_Curves/meltCurve_Q96MG7_NDNL2.pdf</v>
      </c>
    </row>
    <row r="4805" spans="1:28" x14ac:dyDescent="0.25">
      <c r="A4805" t="s">
        <v>4809</v>
      </c>
      <c r="B4805">
        <v>0.99987803227770999</v>
      </c>
      <c r="C4805">
        <v>1.01060867131081</v>
      </c>
      <c r="D4805">
        <v>0.71894020074867204</v>
      </c>
      <c r="E4805">
        <v>0.67083956944179102</v>
      </c>
      <c r="F4805">
        <v>0.54606725437412795</v>
      </c>
      <c r="G4805">
        <v>0.37882286780965002</v>
      </c>
      <c r="H4805">
        <v>0.344270843218421</v>
      </c>
      <c r="I4805">
        <v>0.26716339964246899</v>
      </c>
      <c r="J4805">
        <v>0.20154746013311101</v>
      </c>
      <c r="K4805">
        <v>0.18341914848479901</v>
      </c>
      <c r="L4805">
        <v>522.63893678757802</v>
      </c>
      <c r="M4805">
        <v>10.0106616581336</v>
      </c>
      <c r="N4805">
        <v>53.923721850314998</v>
      </c>
      <c r="O4805">
        <v>50.253156794808802</v>
      </c>
      <c r="P4805">
        <v>-4.3030598713198698E-2</v>
      </c>
      <c r="Q4805">
        <v>0.13637021520936499</v>
      </c>
      <c r="R4805">
        <v>0.97083794189950801</v>
      </c>
      <c r="S4805" t="s">
        <v>11116</v>
      </c>
      <c r="T4805" t="s">
        <v>12620</v>
      </c>
      <c r="U4805" t="s">
        <v>12620</v>
      </c>
      <c r="V4805" t="s">
        <v>12620</v>
      </c>
      <c r="W4805" t="s">
        <v>17370</v>
      </c>
      <c r="X4805">
        <v>1</v>
      </c>
      <c r="Y4805" t="s">
        <v>23478</v>
      </c>
      <c r="Z4805" t="s">
        <v>29752</v>
      </c>
      <c r="AA4805">
        <v>0.5199068456934508</v>
      </c>
      <c r="AB4805" t="str">
        <f>HYPERLINK("Melting_Curves/meltCurve_Q96MG8_2_PCMTD1.pdf", "Melting_Curves/meltCurve_Q96MG8_2_PCMTD1.pdf")</f>
        <v>Melting_Curves/meltCurve_Q96MG8_2_PCMTD1.pdf</v>
      </c>
    </row>
    <row r="4806" spans="1:28" x14ac:dyDescent="0.25">
      <c r="A4806" t="s">
        <v>4810</v>
      </c>
      <c r="B4806">
        <v>0.99987803227770999</v>
      </c>
      <c r="C4806">
        <v>1.0371460877424299</v>
      </c>
      <c r="D4806">
        <v>1.1558008437690801</v>
      </c>
      <c r="E4806">
        <v>1.1116854711661801</v>
      </c>
      <c r="F4806">
        <v>1.13755270624854</v>
      </c>
      <c r="G4806">
        <v>1.0198404266259999</v>
      </c>
      <c r="H4806">
        <v>1.1759617316878499</v>
      </c>
      <c r="I4806">
        <v>1.04164032761907</v>
      </c>
      <c r="J4806">
        <v>1.16328375723125</v>
      </c>
      <c r="K4806">
        <v>0.91058340117076197</v>
      </c>
      <c r="L4806">
        <v>10739.757580249699</v>
      </c>
      <c r="M4806">
        <v>250</v>
      </c>
      <c r="O4806">
        <v>42.9562811621078</v>
      </c>
      <c r="P4806">
        <v>0.13028301686642199</v>
      </c>
      <c r="Q4806">
        <v>1.08954358248299</v>
      </c>
      <c r="R4806">
        <v>0.12885726239357201</v>
      </c>
      <c r="S4806" t="s">
        <v>11117</v>
      </c>
      <c r="T4806" t="s">
        <v>12620</v>
      </c>
      <c r="U4806" t="s">
        <v>12620</v>
      </c>
      <c r="V4806" t="s">
        <v>12620</v>
      </c>
      <c r="W4806" t="s">
        <v>17371</v>
      </c>
      <c r="X4806">
        <v>12</v>
      </c>
      <c r="Y4806" t="s">
        <v>23479</v>
      </c>
      <c r="Z4806" t="s">
        <v>29753</v>
      </c>
      <c r="AA4806">
        <v>1.080704759050046</v>
      </c>
      <c r="AB4806" t="str">
        <f>HYPERLINK("Melting_Curves/meltCurve_Q96MH2_HEXIM2.pdf", "Melting_Curves/meltCurve_Q96MH2_HEXIM2.pdf")</f>
        <v>Melting_Curves/meltCurve_Q96MH2_HEXIM2.pdf</v>
      </c>
    </row>
    <row r="4807" spans="1:28" x14ac:dyDescent="0.25">
      <c r="A4807" t="s">
        <v>4811</v>
      </c>
      <c r="B4807">
        <v>0.99987803227770999</v>
      </c>
      <c r="C4807">
        <v>0.75528788256267798</v>
      </c>
      <c r="D4807">
        <v>0.920867423379511</v>
      </c>
      <c r="E4807">
        <v>0.76337968078154295</v>
      </c>
      <c r="F4807">
        <v>0.962603745526457</v>
      </c>
      <c r="G4807">
        <v>0.63889327378422101</v>
      </c>
      <c r="H4807">
        <v>0.86053438875813604</v>
      </c>
      <c r="I4807">
        <v>0.699637757903393</v>
      </c>
      <c r="J4807">
        <v>1.1609110656992401</v>
      </c>
      <c r="K4807">
        <v>0.98034351343719495</v>
      </c>
      <c r="L4807">
        <v>10230.7481224968</v>
      </c>
      <c r="M4807">
        <v>250</v>
      </c>
      <c r="O4807">
        <v>40.920374366395301</v>
      </c>
      <c r="P4807">
        <v>-0.213412545314283</v>
      </c>
      <c r="Q4807">
        <v>0.86027326249321101</v>
      </c>
      <c r="R4807">
        <v>7.5699814449086994E-2</v>
      </c>
      <c r="S4807" t="s">
        <v>11118</v>
      </c>
      <c r="T4807" t="s">
        <v>12620</v>
      </c>
      <c r="U4807" t="s">
        <v>12620</v>
      </c>
      <c r="V4807" t="s">
        <v>12620</v>
      </c>
      <c r="W4807" t="s">
        <v>17372</v>
      </c>
      <c r="X4807">
        <v>6</v>
      </c>
      <c r="Y4807" t="s">
        <v>23480</v>
      </c>
      <c r="Z4807" t="s">
        <v>29754</v>
      </c>
      <c r="AA4807">
        <v>0.86458444280228319</v>
      </c>
      <c r="AB4807" t="str">
        <f>HYPERLINK("Melting_Curves/meltCurve_Q96MU7_2_YTHDC1.pdf", "Melting_Curves/meltCurve_Q96MU7_2_YTHDC1.pdf")</f>
        <v>Melting_Curves/meltCurve_Q96MU7_2_YTHDC1.pdf</v>
      </c>
    </row>
    <row r="4808" spans="1:28" x14ac:dyDescent="0.25">
      <c r="A4808" t="s">
        <v>4812</v>
      </c>
      <c r="B4808">
        <v>0.99987803227770999</v>
      </c>
      <c r="C4808">
        <v>0.91915675717601397</v>
      </c>
      <c r="D4808">
        <v>1.0252209189944299</v>
      </c>
      <c r="E4808">
        <v>0.97069503573053495</v>
      </c>
      <c r="F4808">
        <v>1.0008095864518001</v>
      </c>
      <c r="G4808">
        <v>0.77101536299685502</v>
      </c>
      <c r="H4808">
        <v>0.79381096342847102</v>
      </c>
      <c r="I4808">
        <v>0.77863931878734605</v>
      </c>
      <c r="J4808">
        <v>0.77008115155045598</v>
      </c>
      <c r="K4808">
        <v>0.60823818756694004</v>
      </c>
      <c r="L4808">
        <v>450.41256439603001</v>
      </c>
      <c r="M4808">
        <v>6.2900958902428297</v>
      </c>
      <c r="O4808">
        <v>65.390778650574802</v>
      </c>
      <c r="P4808">
        <v>-1.8139490899337099E-2</v>
      </c>
      <c r="Q4808">
        <v>0.24775643259167501</v>
      </c>
      <c r="R4808">
        <v>0.821617804383313</v>
      </c>
      <c r="S4808" t="s">
        <v>11119</v>
      </c>
      <c r="T4808" t="s">
        <v>12620</v>
      </c>
      <c r="U4808" t="s">
        <v>12620</v>
      </c>
      <c r="V4808" t="s">
        <v>12620</v>
      </c>
      <c r="W4808" t="s">
        <v>17373</v>
      </c>
      <c r="X4808">
        <v>8</v>
      </c>
      <c r="Y4808" t="s">
        <v>23481</v>
      </c>
      <c r="Z4808" t="s">
        <v>29755</v>
      </c>
      <c r="AA4808">
        <v>0.87257321671334309</v>
      </c>
      <c r="AB4808" t="str">
        <f>HYPERLINK("Melting_Curves/meltCurve_Q96MW1_CCDC43.pdf", "Melting_Curves/meltCurve_Q96MW1_CCDC43.pdf")</f>
        <v>Melting_Curves/meltCurve_Q96MW1_CCDC43.pdf</v>
      </c>
    </row>
    <row r="4809" spans="1:28" x14ac:dyDescent="0.25">
      <c r="A4809" t="s">
        <v>4813</v>
      </c>
      <c r="B4809">
        <v>0.99987803227770999</v>
      </c>
      <c r="C4809">
        <v>0.95158863616671296</v>
      </c>
      <c r="D4809">
        <v>0.82823549580401701</v>
      </c>
      <c r="E4809">
        <v>0.85513675572454495</v>
      </c>
      <c r="F4809">
        <v>0.60432881794505</v>
      </c>
      <c r="G4809">
        <v>0.35776189768598898</v>
      </c>
      <c r="H4809">
        <v>0.143475256381948</v>
      </c>
      <c r="I4809">
        <v>9.8757511216983507E-2</v>
      </c>
      <c r="J4809">
        <v>9.7201421804383098E-2</v>
      </c>
      <c r="K4809">
        <v>8.0062171438534196E-2</v>
      </c>
      <c r="L4809">
        <v>817.30786924849895</v>
      </c>
      <c r="M4809">
        <v>15.037983419864901</v>
      </c>
      <c r="N4809">
        <v>54.537974464764503</v>
      </c>
      <c r="O4809">
        <v>53.4156376168675</v>
      </c>
      <c r="P4809">
        <v>-6.8607280812600202E-2</v>
      </c>
      <c r="Q4809">
        <v>2.5312103754923501E-2</v>
      </c>
      <c r="R4809">
        <v>0.98491582575669501</v>
      </c>
      <c r="S4809" t="s">
        <v>11120</v>
      </c>
      <c r="T4809" t="s">
        <v>12620</v>
      </c>
      <c r="U4809" t="s">
        <v>12620</v>
      </c>
      <c r="V4809" t="s">
        <v>12620</v>
      </c>
      <c r="W4809" t="s">
        <v>17374</v>
      </c>
      <c r="X4809">
        <v>11</v>
      </c>
      <c r="Y4809" t="s">
        <v>23482</v>
      </c>
      <c r="Z4809" t="s">
        <v>29756</v>
      </c>
      <c r="AA4809">
        <v>0.51107198142080601</v>
      </c>
      <c r="AB4809" t="str">
        <f>HYPERLINK("Melting_Curves/meltCurve_Q96MX6_WDR92.pdf", "Melting_Curves/meltCurve_Q96MX6_WDR92.pdf")</f>
        <v>Melting_Curves/meltCurve_Q96MX6_WDR92.pdf</v>
      </c>
    </row>
    <row r="4810" spans="1:28" x14ac:dyDescent="0.25">
      <c r="A4810" t="s">
        <v>4814</v>
      </c>
      <c r="B4810">
        <v>0.99987803227770999</v>
      </c>
      <c r="C4810">
        <v>1.31291092661819</v>
      </c>
      <c r="D4810">
        <v>1.11175120795867</v>
      </c>
      <c r="E4810">
        <v>1.0969336388314701</v>
      </c>
      <c r="F4810">
        <v>0.99319576644905105</v>
      </c>
      <c r="G4810">
        <v>0.56341328333039098</v>
      </c>
      <c r="H4810">
        <v>0.61764249016961903</v>
      </c>
      <c r="I4810">
        <v>0.81223436418525596</v>
      </c>
      <c r="J4810">
        <v>0.67231747790808705</v>
      </c>
      <c r="K4810">
        <v>0.51513152981703703</v>
      </c>
      <c r="L4810">
        <v>13459.869530772599</v>
      </c>
      <c r="M4810">
        <v>250</v>
      </c>
      <c r="O4810">
        <v>53.836032770315597</v>
      </c>
      <c r="P4810">
        <v>-0.422407859533181</v>
      </c>
      <c r="Q4810">
        <v>0.63614778664718197</v>
      </c>
      <c r="R4810">
        <v>0.74044759462212295</v>
      </c>
      <c r="S4810" t="s">
        <v>11121</v>
      </c>
      <c r="T4810" t="s">
        <v>12620</v>
      </c>
      <c r="U4810" t="s">
        <v>12620</v>
      </c>
      <c r="V4810" t="s">
        <v>12620</v>
      </c>
      <c r="W4810" t="s">
        <v>17375</v>
      </c>
      <c r="X4810">
        <v>1</v>
      </c>
      <c r="Y4810" t="s">
        <v>23483</v>
      </c>
      <c r="Z4810" t="s">
        <v>29757</v>
      </c>
      <c r="AA4810">
        <v>0.80403299100475212</v>
      </c>
      <c r="AB4810" t="str">
        <f>HYPERLINK("Melting_Curves/meltCurve_Q96MY1_C20orf112.pdf", "Melting_Curves/meltCurve_Q96MY1_C20orf112.pdf")</f>
        <v>Melting_Curves/meltCurve_Q96MY1_C20orf112.pdf</v>
      </c>
    </row>
    <row r="4811" spans="1:28" x14ac:dyDescent="0.25">
      <c r="A4811" t="s">
        <v>4815</v>
      </c>
      <c r="B4811">
        <v>0.99987803227770999</v>
      </c>
      <c r="C4811">
        <v>0.79308789571133698</v>
      </c>
      <c r="D4811">
        <v>0.95601240069408899</v>
      </c>
      <c r="E4811">
        <v>0.77434190894182098</v>
      </c>
      <c r="F4811">
        <v>1.09079270878473</v>
      </c>
      <c r="G4811">
        <v>0.90325233116196701</v>
      </c>
      <c r="H4811">
        <v>0.89650842584193902</v>
      </c>
      <c r="I4811">
        <v>0.89989910844518395</v>
      </c>
      <c r="J4811">
        <v>0.99561910915468299</v>
      </c>
      <c r="K4811">
        <v>0.82582132536527997</v>
      </c>
      <c r="L4811">
        <v>10223.664630951</v>
      </c>
      <c r="M4811">
        <v>250</v>
      </c>
      <c r="O4811">
        <v>40.892041547774802</v>
      </c>
      <c r="P4811">
        <v>-0.14684054475247399</v>
      </c>
      <c r="Q4811">
        <v>0.90392624562748902</v>
      </c>
      <c r="R4811">
        <v>9.2501847667119094E-2</v>
      </c>
      <c r="S4811" t="s">
        <v>11122</v>
      </c>
      <c r="T4811" t="s">
        <v>12620</v>
      </c>
      <c r="U4811" t="s">
        <v>12620</v>
      </c>
      <c r="V4811" t="s">
        <v>12620</v>
      </c>
      <c r="W4811" t="s">
        <v>17376</v>
      </c>
      <c r="X4811">
        <v>6</v>
      </c>
      <c r="Y4811" t="s">
        <v>23484</v>
      </c>
      <c r="Z4811" t="s">
        <v>29758</v>
      </c>
      <c r="AA4811">
        <v>0.90680009856232269</v>
      </c>
      <c r="AB4811" t="str">
        <f>HYPERLINK("Melting_Curves/meltCurve_Q96N06_C16orf55.pdf", "Melting_Curves/meltCurve_Q96N06_C16orf55.pdf")</f>
        <v>Melting_Curves/meltCurve_Q96N06_C16orf55.pdf</v>
      </c>
    </row>
    <row r="4812" spans="1:28" x14ac:dyDescent="0.25">
      <c r="A4812" t="s">
        <v>4816</v>
      </c>
      <c r="B4812">
        <v>0.99987803227770999</v>
      </c>
      <c r="C4812">
        <v>0.87056289861568603</v>
      </c>
      <c r="D4812">
        <v>0.94184493319121498</v>
      </c>
      <c r="E4812">
        <v>0.66261283903136403</v>
      </c>
      <c r="F4812">
        <v>0.77507177496503998</v>
      </c>
      <c r="G4812">
        <v>0.67806369507713005</v>
      </c>
      <c r="H4812">
        <v>0.52918779058107801</v>
      </c>
      <c r="I4812">
        <v>0.53527137291117599</v>
      </c>
      <c r="J4812">
        <v>0.42007884521139899</v>
      </c>
      <c r="K4812">
        <v>0.34446098163554401</v>
      </c>
      <c r="L4812">
        <v>324.74696398844401</v>
      </c>
      <c r="M4812">
        <v>5.1317694106203797</v>
      </c>
      <c r="N4812">
        <v>63.281675184135999</v>
      </c>
      <c r="O4812">
        <v>55.560863690428299</v>
      </c>
      <c r="P4812">
        <v>-2.3220160027745601E-2</v>
      </c>
      <c r="Q4812">
        <v>0</v>
      </c>
      <c r="R4812">
        <v>0.92034399127931399</v>
      </c>
      <c r="S4812" t="s">
        <v>11123</v>
      </c>
      <c r="T4812" t="s">
        <v>12620</v>
      </c>
      <c r="U4812" t="s">
        <v>12620</v>
      </c>
      <c r="V4812" t="s">
        <v>12620</v>
      </c>
      <c r="W4812" t="s">
        <v>17377</v>
      </c>
      <c r="X4812">
        <v>3</v>
      </c>
      <c r="Y4812" t="s">
        <v>23485</v>
      </c>
      <c r="Z4812" t="s">
        <v>29759</v>
      </c>
      <c r="AA4812">
        <v>0.67898911903982406</v>
      </c>
      <c r="AB4812" t="str">
        <f>HYPERLINK("Melting_Curves/meltCurve_Q96N21_2_ENTHD2.pdf", "Melting_Curves/meltCurve_Q96N21_2_ENTHD2.pdf")</f>
        <v>Melting_Curves/meltCurve_Q96N21_2_ENTHD2.pdf</v>
      </c>
    </row>
    <row r="4813" spans="1:28" x14ac:dyDescent="0.25">
      <c r="A4813" t="s">
        <v>4817</v>
      </c>
      <c r="B4813">
        <v>0.99987803227770999</v>
      </c>
      <c r="C4813">
        <v>0.78112094596141302</v>
      </c>
      <c r="D4813">
        <v>0.69674982450824796</v>
      </c>
      <c r="E4813">
        <v>0.49746187232434902</v>
      </c>
      <c r="F4813">
        <v>0.46128690507858999</v>
      </c>
      <c r="G4813">
        <v>0.324988719088668</v>
      </c>
      <c r="H4813">
        <v>0.31345590695692099</v>
      </c>
      <c r="I4813">
        <v>0.28754704650817198</v>
      </c>
      <c r="J4813">
        <v>0.318860777677137</v>
      </c>
      <c r="K4813">
        <v>0.27739554075120498</v>
      </c>
      <c r="L4813">
        <v>595.20534824195499</v>
      </c>
      <c r="M4813">
        <v>12.6520796593003</v>
      </c>
      <c r="N4813">
        <v>50.260278752914303</v>
      </c>
      <c r="O4813">
        <v>45.915256114910498</v>
      </c>
      <c r="P4813">
        <v>-4.9782454908177398E-2</v>
      </c>
      <c r="Q4813">
        <v>0.27748636965499002</v>
      </c>
      <c r="R4813">
        <v>0.97953900940630001</v>
      </c>
      <c r="S4813" t="s">
        <v>11124</v>
      </c>
      <c r="T4813" t="s">
        <v>12620</v>
      </c>
      <c r="U4813" t="s">
        <v>12620</v>
      </c>
      <c r="V4813" t="s">
        <v>12620</v>
      </c>
      <c r="W4813" t="s">
        <v>17378</v>
      </c>
      <c r="X4813">
        <v>7</v>
      </c>
      <c r="Y4813" t="s">
        <v>23486</v>
      </c>
      <c r="Z4813" t="s">
        <v>29760</v>
      </c>
      <c r="AA4813">
        <v>0.47453561295060848</v>
      </c>
      <c r="AB4813" t="str">
        <f>HYPERLINK("Melting_Curves/meltCurve_Q96N67_4_DOCK7.pdf", "Melting_Curves/meltCurve_Q96N67_4_DOCK7.pdf")</f>
        <v>Melting_Curves/meltCurve_Q96N67_4_DOCK7.pdf</v>
      </c>
    </row>
    <row r="4814" spans="1:28" x14ac:dyDescent="0.25">
      <c r="A4814" t="s">
        <v>4818</v>
      </c>
      <c r="B4814">
        <v>0.99987803227770999</v>
      </c>
      <c r="C4814">
        <v>0.84004068637488905</v>
      </c>
      <c r="D4814">
        <v>0.994791224706009</v>
      </c>
      <c r="E4814">
        <v>0.46402098541368503</v>
      </c>
      <c r="F4814">
        <v>0.137200924621381</v>
      </c>
      <c r="G4814">
        <v>8.1401137497244896E-2</v>
      </c>
      <c r="H4814">
        <v>6.1791903271097501E-2</v>
      </c>
      <c r="I4814">
        <v>5.3182779776845303E-2</v>
      </c>
      <c r="J4814">
        <v>4.4067321979631799E-2</v>
      </c>
      <c r="K4814">
        <v>2.1397279487044899E-2</v>
      </c>
      <c r="L4814">
        <v>1959.49162793903</v>
      </c>
      <c r="M4814">
        <v>39.421465809028803</v>
      </c>
      <c r="N4814">
        <v>49.8454427477294</v>
      </c>
      <c r="O4814">
        <v>49.578824526574003</v>
      </c>
      <c r="P4814">
        <v>-0.18841929474831901</v>
      </c>
      <c r="Q4814">
        <v>5.2132151484531999E-2</v>
      </c>
      <c r="R4814">
        <v>0.98233648833328902</v>
      </c>
      <c r="S4814" t="s">
        <v>11125</v>
      </c>
      <c r="T4814" t="s">
        <v>12620</v>
      </c>
      <c r="U4814" t="s">
        <v>12620</v>
      </c>
      <c r="V4814" t="s">
        <v>12620</v>
      </c>
      <c r="W4814" t="s">
        <v>17379</v>
      </c>
      <c r="X4814">
        <v>3</v>
      </c>
      <c r="Y4814" t="s">
        <v>23487</v>
      </c>
      <c r="Z4814" t="s">
        <v>29761</v>
      </c>
      <c r="AA4814">
        <v>0.36216127637233192</v>
      </c>
      <c r="AB4814" t="str">
        <f>HYPERLINK("Melting_Curves/meltCurve_Q96NB1_FOPNL.pdf", "Melting_Curves/meltCurve_Q96NB1_FOPNL.pdf")</f>
        <v>Melting_Curves/meltCurve_Q96NB1_FOPNL.pdf</v>
      </c>
    </row>
    <row r="4815" spans="1:28" x14ac:dyDescent="0.25">
      <c r="A4815" t="s">
        <v>4819</v>
      </c>
      <c r="B4815">
        <v>0.99987803227770999</v>
      </c>
      <c r="C4815">
        <v>1.0841571945396</v>
      </c>
      <c r="D4815">
        <v>1.28021895008007</v>
      </c>
      <c r="E4815">
        <v>1.34283437085038</v>
      </c>
      <c r="F4815">
        <v>1.59867166841268</v>
      </c>
      <c r="G4815">
        <v>1.4479828872953799</v>
      </c>
      <c r="H4815">
        <v>1.53456375279174</v>
      </c>
      <c r="I4815">
        <v>1.5321326329629099</v>
      </c>
      <c r="J4815">
        <v>1.2836305738084199</v>
      </c>
      <c r="K4815">
        <v>1.0176997368799801</v>
      </c>
      <c r="L4815">
        <v>1506.2165393540799</v>
      </c>
      <c r="M4815">
        <v>33.690924471153799</v>
      </c>
      <c r="O4815">
        <v>44.550265227174997</v>
      </c>
      <c r="P4815">
        <v>7.4777013937978795E-2</v>
      </c>
      <c r="Q4815">
        <v>1.3955156681696199</v>
      </c>
      <c r="R4815">
        <v>0.45119534151458901</v>
      </c>
      <c r="S4815" t="s">
        <v>11126</v>
      </c>
      <c r="T4815" t="s">
        <v>12620</v>
      </c>
      <c r="U4815" t="s">
        <v>12620</v>
      </c>
      <c r="V4815" t="s">
        <v>12620</v>
      </c>
      <c r="W4815" t="s">
        <v>17380</v>
      </c>
      <c r="X4815">
        <v>7</v>
      </c>
      <c r="Y4815" t="s">
        <v>23488</v>
      </c>
      <c r="Z4815" t="s">
        <v>29762</v>
      </c>
      <c r="AA4815">
        <v>1.331480948340406</v>
      </c>
      <c r="AB4815" t="str">
        <f>HYPERLINK("Melting_Curves/meltCurve_Q96NB3_ZNF830.pdf", "Melting_Curves/meltCurve_Q96NB3_ZNF830.pdf")</f>
        <v>Melting_Curves/meltCurve_Q96NB3_ZNF830.pdf</v>
      </c>
    </row>
    <row r="4816" spans="1:28" x14ac:dyDescent="0.25">
      <c r="A4816" t="s">
        <v>4820</v>
      </c>
      <c r="B4816">
        <v>0.99987803227770999</v>
      </c>
      <c r="C4816">
        <v>0.84987345265007397</v>
      </c>
      <c r="D4816">
        <v>0.91004919977878096</v>
      </c>
      <c r="E4816">
        <v>0.85252039143481195</v>
      </c>
      <c r="F4816">
        <v>0.90559640696344401</v>
      </c>
      <c r="G4816">
        <v>0.60700499464426405</v>
      </c>
      <c r="H4816">
        <v>0.67643705841693802</v>
      </c>
      <c r="I4816">
        <v>0.59921027825721396</v>
      </c>
      <c r="J4816">
        <v>0.79493711229736497</v>
      </c>
      <c r="K4816">
        <v>0.63435982820683301</v>
      </c>
      <c r="L4816">
        <v>448.60018223679998</v>
      </c>
      <c r="M4816">
        <v>8.7309897777790795</v>
      </c>
      <c r="O4816">
        <v>48.898497186316803</v>
      </c>
      <c r="P4816">
        <v>-1.7029843330241799E-2</v>
      </c>
      <c r="Q4816">
        <v>0.61880336103755895</v>
      </c>
      <c r="R4816">
        <v>0.65297931976979695</v>
      </c>
      <c r="S4816" t="s">
        <v>11127</v>
      </c>
      <c r="T4816" t="s">
        <v>12620</v>
      </c>
      <c r="U4816" t="s">
        <v>12620</v>
      </c>
      <c r="V4816" t="s">
        <v>12620</v>
      </c>
      <c r="W4816" t="s">
        <v>17381</v>
      </c>
      <c r="X4816">
        <v>8</v>
      </c>
      <c r="Y4816" t="s">
        <v>23489</v>
      </c>
      <c r="Z4816" t="s">
        <v>29763</v>
      </c>
      <c r="AA4816">
        <v>0.78122962493122039</v>
      </c>
      <c r="AB4816" t="str">
        <f>HYPERLINK("Melting_Curves/meltCurve_Q96NC0_ZMAT2.pdf", "Melting_Curves/meltCurve_Q96NC0_ZMAT2.pdf")</f>
        <v>Melting_Curves/meltCurve_Q96NC0_ZMAT2.pdf</v>
      </c>
    </row>
    <row r="4817" spans="1:28" x14ac:dyDescent="0.25">
      <c r="A4817" t="s">
        <v>4821</v>
      </c>
      <c r="B4817">
        <v>0.99987803227770999</v>
      </c>
      <c r="C4817">
        <v>1.0941430764703099</v>
      </c>
      <c r="D4817">
        <v>0.82949608350245796</v>
      </c>
      <c r="E4817">
        <v>1.0537323615202101</v>
      </c>
      <c r="F4817">
        <v>0.58974690371375804</v>
      </c>
      <c r="G4817">
        <v>0.27995748044519297</v>
      </c>
      <c r="H4817">
        <v>0.15591648258092999</v>
      </c>
      <c r="I4817">
        <v>0.133343078539679</v>
      </c>
      <c r="J4817">
        <v>9.1581283835840799E-2</v>
      </c>
      <c r="K4817">
        <v>6.15292083914094E-2</v>
      </c>
      <c r="L4817">
        <v>1732.32331792726</v>
      </c>
      <c r="M4817">
        <v>32.236584715723502</v>
      </c>
      <c r="N4817">
        <v>54.157780524948102</v>
      </c>
      <c r="O4817">
        <v>53.532264136065699</v>
      </c>
      <c r="P4817">
        <v>-0.13389850771310999</v>
      </c>
      <c r="Q4817">
        <v>0.110593472103635</v>
      </c>
      <c r="R4817">
        <v>0.962420626695491</v>
      </c>
      <c r="S4817" t="s">
        <v>11128</v>
      </c>
      <c r="T4817" t="s">
        <v>12620</v>
      </c>
      <c r="U4817" t="s">
        <v>12620</v>
      </c>
      <c r="V4817" t="s">
        <v>12620</v>
      </c>
      <c r="W4817" t="s">
        <v>17382</v>
      </c>
      <c r="X4817">
        <v>1</v>
      </c>
      <c r="Y4817" t="s">
        <v>23490</v>
      </c>
      <c r="Z4817" t="s">
        <v>29764</v>
      </c>
      <c r="AA4817">
        <v>0.52293857187033999</v>
      </c>
      <c r="AB4817" t="str">
        <f>HYPERLINK("Melting_Curves/meltCurve_Q96NL6_SCLT1.pdf", "Melting_Curves/meltCurve_Q96NL6_SCLT1.pdf")</f>
        <v>Melting_Curves/meltCurve_Q96NL6_SCLT1.pdf</v>
      </c>
    </row>
    <row r="4818" spans="1:28" x14ac:dyDescent="0.25">
      <c r="A4818" t="s">
        <v>4822</v>
      </c>
      <c r="B4818">
        <v>0.99987803227770999</v>
      </c>
      <c r="C4818">
        <v>0.82614766053754995</v>
      </c>
      <c r="D4818">
        <v>0.97911449002858397</v>
      </c>
      <c r="E4818">
        <v>0.75907209470605197</v>
      </c>
      <c r="F4818">
        <v>0.80404048796046002</v>
      </c>
      <c r="G4818">
        <v>0.34556183932294399</v>
      </c>
      <c r="H4818">
        <v>0.16666860390274901</v>
      </c>
      <c r="I4818">
        <v>0.12561348309061299</v>
      </c>
      <c r="J4818">
        <v>0.101049889622101</v>
      </c>
      <c r="K4818">
        <v>7.3622417766660495E-2</v>
      </c>
      <c r="L4818">
        <v>948.32750379828099</v>
      </c>
      <c r="M4818">
        <v>17.186409459398298</v>
      </c>
      <c r="N4818">
        <v>55.445820265406098</v>
      </c>
      <c r="O4818">
        <v>54.448101757645397</v>
      </c>
      <c r="P4818">
        <v>-7.5783665719677706E-2</v>
      </c>
      <c r="Q4818">
        <v>3.9698575738647802E-2</v>
      </c>
      <c r="R4818">
        <v>0.95843341674502502</v>
      </c>
      <c r="S4818" t="s">
        <v>11129</v>
      </c>
      <c r="T4818" t="s">
        <v>12620</v>
      </c>
      <c r="U4818" t="s">
        <v>12620</v>
      </c>
      <c r="V4818" t="s">
        <v>12620</v>
      </c>
      <c r="W4818" t="s">
        <v>17383</v>
      </c>
      <c r="X4818">
        <v>5</v>
      </c>
      <c r="Y4818" t="s">
        <v>23491</v>
      </c>
      <c r="Z4818" t="s">
        <v>29765</v>
      </c>
      <c r="AA4818">
        <v>0.54122571536311714</v>
      </c>
      <c r="AB4818" t="str">
        <f>HYPERLINK("Melting_Curves/meltCurve_Q96NL8_C8orf37.pdf", "Melting_Curves/meltCurve_Q96NL8_C8orf37.pdf")</f>
        <v>Melting_Curves/meltCurve_Q96NL8_C8orf37.pdf</v>
      </c>
    </row>
    <row r="4819" spans="1:28" x14ac:dyDescent="0.25">
      <c r="A4819" t="s">
        <v>4823</v>
      </c>
      <c r="B4819">
        <v>0.99987803227770999</v>
      </c>
      <c r="C4819">
        <v>0.839968717551833</v>
      </c>
      <c r="D4819">
        <v>1.1368412685071501</v>
      </c>
      <c r="E4819">
        <v>0.80976147182736402</v>
      </c>
      <c r="F4819">
        <v>0.89562140953306402</v>
      </c>
      <c r="G4819">
        <v>0.57336148857170199</v>
      </c>
      <c r="H4819">
        <v>0.63745565824879602</v>
      </c>
      <c r="I4819">
        <v>0.77445316410532505</v>
      </c>
      <c r="J4819">
        <v>0.84201760158143701</v>
      </c>
      <c r="K4819">
        <v>0.68404106118013996</v>
      </c>
      <c r="L4819">
        <v>1506.17230336436</v>
      </c>
      <c r="M4819">
        <v>29.582867210387501</v>
      </c>
      <c r="O4819">
        <v>50.682718999214202</v>
      </c>
      <c r="P4819">
        <v>-4.1894598852731203E-2</v>
      </c>
      <c r="Q4819">
        <v>0.71289903083480999</v>
      </c>
      <c r="R4819">
        <v>0.53729466944886795</v>
      </c>
      <c r="S4819" t="s">
        <v>11130</v>
      </c>
      <c r="T4819" t="s">
        <v>12620</v>
      </c>
      <c r="U4819" t="s">
        <v>12620</v>
      </c>
      <c r="V4819" t="s">
        <v>12620</v>
      </c>
      <c r="W4819" t="s">
        <v>17384</v>
      </c>
      <c r="X4819">
        <v>2</v>
      </c>
      <c r="Y4819" t="s">
        <v>23492</v>
      </c>
      <c r="Z4819" t="s">
        <v>29766</v>
      </c>
      <c r="AA4819">
        <v>0.8191970609922018</v>
      </c>
      <c r="AB4819" t="str">
        <f>HYPERLINK("Melting_Curves/meltCurve_Q96NT1_NAP1L5.pdf", "Melting_Curves/meltCurve_Q96NT1_NAP1L5.pdf")</f>
        <v>Melting_Curves/meltCurve_Q96NT1_NAP1L5.pdf</v>
      </c>
    </row>
    <row r="4820" spans="1:28" x14ac:dyDescent="0.25">
      <c r="A4820" t="s">
        <v>4824</v>
      </c>
      <c r="B4820">
        <v>0.99987803227770999</v>
      </c>
      <c r="C4820">
        <v>0.81616860559430104</v>
      </c>
      <c r="D4820">
        <v>0.52904035179968301</v>
      </c>
      <c r="E4820">
        <v>0.40977664261543401</v>
      </c>
      <c r="F4820">
        <v>0.28501247400841301</v>
      </c>
      <c r="G4820">
        <v>0.19744038857840401</v>
      </c>
      <c r="H4820">
        <v>0.15557663963882801</v>
      </c>
      <c r="I4820">
        <v>0.127418779894304</v>
      </c>
      <c r="J4820">
        <v>7.1481804226493598E-2</v>
      </c>
      <c r="K4820">
        <v>7.5589492310430495E-2</v>
      </c>
      <c r="L4820">
        <v>605.976947180092</v>
      </c>
      <c r="M4820">
        <v>12.856397313515901</v>
      </c>
      <c r="N4820">
        <v>47.847901281725797</v>
      </c>
      <c r="O4820">
        <v>46.037581846204098</v>
      </c>
      <c r="P4820">
        <v>-6.3735666834382906E-2</v>
      </c>
      <c r="Q4820">
        <v>8.7242080428719407E-2</v>
      </c>
      <c r="R4820">
        <v>0.98002250713442196</v>
      </c>
      <c r="S4820" t="s">
        <v>11131</v>
      </c>
      <c r="T4820" t="s">
        <v>12620</v>
      </c>
      <c r="U4820" t="s">
        <v>12620</v>
      </c>
      <c r="V4820" t="s">
        <v>12620</v>
      </c>
      <c r="W4820" t="s">
        <v>17385</v>
      </c>
      <c r="X4820">
        <v>2</v>
      </c>
      <c r="Y4820" t="s">
        <v>23493</v>
      </c>
      <c r="Z4820" t="s">
        <v>29767</v>
      </c>
      <c r="AA4820">
        <v>0.33767214381903221</v>
      </c>
      <c r="AB4820" t="str">
        <f>HYPERLINK("Melting_Curves/meltCurve_Q96NW4_ANKRD27.pdf", "Melting_Curves/meltCurve_Q96NW4_ANKRD27.pdf")</f>
        <v>Melting_Curves/meltCurve_Q96NW4_ANKRD27.pdf</v>
      </c>
    </row>
    <row r="4821" spans="1:28" x14ac:dyDescent="0.25">
      <c r="A4821" t="s">
        <v>4825</v>
      </c>
      <c r="B4821">
        <v>0.99987803227770999</v>
      </c>
      <c r="C4821">
        <v>1.36289195004312</v>
      </c>
      <c r="D4821">
        <v>0.88083915422643799</v>
      </c>
      <c r="E4821">
        <v>1.12115263477583</v>
      </c>
      <c r="F4821">
        <v>0.63566217492032195</v>
      </c>
      <c r="G4821">
        <v>0.50195882148349802</v>
      </c>
      <c r="H4821">
        <v>0.55848124858979997</v>
      </c>
      <c r="I4821">
        <v>0.39763841112219001</v>
      </c>
      <c r="J4821">
        <v>0.41329198916024801</v>
      </c>
      <c r="K4821">
        <v>0.22184266976564801</v>
      </c>
      <c r="L4821">
        <v>13222.541134188599</v>
      </c>
      <c r="M4821">
        <v>250</v>
      </c>
      <c r="N4821">
        <v>53.277118034378503</v>
      </c>
      <c r="O4821">
        <v>52.886777090333801</v>
      </c>
      <c r="P4821">
        <v>-0.687030623798499</v>
      </c>
      <c r="Q4821">
        <v>0.41864260230175798</v>
      </c>
      <c r="R4821">
        <v>0.81210301588492695</v>
      </c>
      <c r="S4821" t="s">
        <v>11132</v>
      </c>
      <c r="T4821" t="s">
        <v>12620</v>
      </c>
      <c r="U4821" t="s">
        <v>12620</v>
      </c>
      <c r="V4821" t="s">
        <v>12620</v>
      </c>
      <c r="W4821" t="s">
        <v>17386</v>
      </c>
      <c r="X4821">
        <v>5</v>
      </c>
      <c r="Y4821" t="s">
        <v>23494</v>
      </c>
      <c r="Z4821" t="s">
        <v>29768</v>
      </c>
      <c r="AA4821">
        <v>0.66848964841804415</v>
      </c>
      <c r="AB4821" t="str">
        <f>HYPERLINK("Melting_Curves/meltCurve_Q96P11_2_NSUN5.pdf", "Melting_Curves/meltCurve_Q96P11_2_NSUN5.pdf")</f>
        <v>Melting_Curves/meltCurve_Q96P11_2_NSUN5.pdf</v>
      </c>
    </row>
    <row r="4822" spans="1:28" x14ac:dyDescent="0.25">
      <c r="A4822" t="s">
        <v>4826</v>
      </c>
      <c r="B4822">
        <v>0.99987803227770999</v>
      </c>
      <c r="C4822">
        <v>0.96661359148305004</v>
      </c>
      <c r="D4822">
        <v>0.90887678602053101</v>
      </c>
      <c r="E4822">
        <v>0.464268550131271</v>
      </c>
      <c r="F4822">
        <v>0.21360251494144999</v>
      </c>
      <c r="G4822">
        <v>0.141991626561011</v>
      </c>
      <c r="H4822">
        <v>0.100446228608149</v>
      </c>
      <c r="I4822">
        <v>0.111358189771413</v>
      </c>
      <c r="J4822">
        <v>8.0702717685552497E-2</v>
      </c>
      <c r="K4822">
        <v>5.0486647487707197E-2</v>
      </c>
      <c r="L4822">
        <v>1344.23241599721</v>
      </c>
      <c r="M4822">
        <v>27.204872629371501</v>
      </c>
      <c r="N4822">
        <v>49.773314431124497</v>
      </c>
      <c r="O4822">
        <v>49.146788669700797</v>
      </c>
      <c r="P4822">
        <v>-0.125970596810206</v>
      </c>
      <c r="Q4822">
        <v>8.9723264962508403E-2</v>
      </c>
      <c r="R4822">
        <v>0.99752072236640499</v>
      </c>
      <c r="S4822" t="s">
        <v>11133</v>
      </c>
      <c r="T4822" t="s">
        <v>12620</v>
      </c>
      <c r="U4822" t="s">
        <v>12620</v>
      </c>
      <c r="V4822" t="s">
        <v>12620</v>
      </c>
      <c r="W4822" t="s">
        <v>17387</v>
      </c>
      <c r="X4822">
        <v>6</v>
      </c>
      <c r="Y4822" t="s">
        <v>23495</v>
      </c>
      <c r="Z4822" t="s">
        <v>29769</v>
      </c>
      <c r="AA4822">
        <v>0.38210050650100408</v>
      </c>
      <c r="AB4822" t="str">
        <f>HYPERLINK("Melting_Curves/meltCurve_Q96P16_RPRD1A.pdf", "Melting_Curves/meltCurve_Q96P16_RPRD1A.pdf")</f>
        <v>Melting_Curves/meltCurve_Q96P16_RPRD1A.pdf</v>
      </c>
    </row>
    <row r="4823" spans="1:28" x14ac:dyDescent="0.25">
      <c r="A4823" t="s">
        <v>4827</v>
      </c>
      <c r="B4823">
        <v>0.99987803227770999</v>
      </c>
      <c r="C4823">
        <v>1.02544955545067</v>
      </c>
      <c r="D4823">
        <v>0.82724826408688401</v>
      </c>
      <c r="E4823">
        <v>0.68436464743807501</v>
      </c>
      <c r="F4823">
        <v>0.50333551130787302</v>
      </c>
      <c r="G4823">
        <v>0.27017122786009101</v>
      </c>
      <c r="H4823">
        <v>0.12402027645078501</v>
      </c>
      <c r="I4823">
        <v>9.3417925540951005E-2</v>
      </c>
      <c r="J4823">
        <v>6.6419571709299199E-2</v>
      </c>
      <c r="K4823">
        <v>4.10004175702584E-2</v>
      </c>
      <c r="L4823">
        <v>720.88786364010696</v>
      </c>
      <c r="M4823">
        <v>13.6670892269709</v>
      </c>
      <c r="N4823">
        <v>52.804902877215099</v>
      </c>
      <c r="O4823">
        <v>51.655452996893104</v>
      </c>
      <c r="P4823">
        <v>-6.5656934701594505E-2</v>
      </c>
      <c r="Q4823">
        <v>7.5294893308097801E-3</v>
      </c>
      <c r="R4823">
        <v>0.99412766986149304</v>
      </c>
      <c r="S4823" t="s">
        <v>11134</v>
      </c>
      <c r="T4823" t="s">
        <v>12620</v>
      </c>
      <c r="U4823" t="s">
        <v>12620</v>
      </c>
      <c r="V4823" t="s">
        <v>12620</v>
      </c>
      <c r="W4823" t="s">
        <v>17388</v>
      </c>
      <c r="X4823">
        <v>5</v>
      </c>
      <c r="Y4823" t="s">
        <v>23496</v>
      </c>
      <c r="Z4823" t="s">
        <v>29770</v>
      </c>
      <c r="AA4823">
        <v>0.45372679572648639</v>
      </c>
      <c r="AB4823" t="str">
        <f>HYPERLINK("Melting_Curves/meltCurve_Q96P47_AGAP3.pdf", "Melting_Curves/meltCurve_Q96P47_AGAP3.pdf")</f>
        <v>Melting_Curves/meltCurve_Q96P47_AGAP3.pdf</v>
      </c>
    </row>
    <row r="4824" spans="1:28" x14ac:dyDescent="0.25">
      <c r="A4824" t="s">
        <v>4828</v>
      </c>
      <c r="B4824">
        <v>0.99987803227770999</v>
      </c>
      <c r="C4824">
        <v>1.0739426198772399</v>
      </c>
      <c r="D4824">
        <v>0.84952714918459604</v>
      </c>
      <c r="E4824">
        <v>0.444956018222947</v>
      </c>
      <c r="F4824">
        <v>0.202365180195064</v>
      </c>
      <c r="G4824">
        <v>0.140490117387014</v>
      </c>
      <c r="H4824">
        <v>9.9351443113060905E-2</v>
      </c>
      <c r="I4824">
        <v>7.2211193457915504E-2</v>
      </c>
      <c r="J4824">
        <v>5.0504611884174003E-2</v>
      </c>
      <c r="K4824">
        <v>3.7237092428710698E-2</v>
      </c>
      <c r="L4824">
        <v>1249.2091826190299</v>
      </c>
      <c r="M4824">
        <v>25.359313400256401</v>
      </c>
      <c r="N4824">
        <v>49.558812008116497</v>
      </c>
      <c r="O4824">
        <v>48.957113963325199</v>
      </c>
      <c r="P4824">
        <v>-0.12032922641967</v>
      </c>
      <c r="Q4824">
        <v>7.0811310036221001E-2</v>
      </c>
      <c r="R4824">
        <v>0.99164605260963501</v>
      </c>
      <c r="S4824" t="s">
        <v>11135</v>
      </c>
      <c r="T4824" t="s">
        <v>12620</v>
      </c>
      <c r="U4824" t="s">
        <v>12620</v>
      </c>
      <c r="V4824" t="s">
        <v>12620</v>
      </c>
      <c r="W4824" t="s">
        <v>17389</v>
      </c>
      <c r="X4824">
        <v>11</v>
      </c>
      <c r="Y4824" t="s">
        <v>23497</v>
      </c>
      <c r="Z4824" t="s">
        <v>29771</v>
      </c>
      <c r="AA4824">
        <v>0.36564407469580268</v>
      </c>
      <c r="AB4824" t="str">
        <f>HYPERLINK("Melting_Curves/meltCurve_Q96P48_3_ARAP1.pdf", "Melting_Curves/meltCurve_Q96P48_3_ARAP1.pdf")</f>
        <v>Melting_Curves/meltCurve_Q96P48_3_ARAP1.pdf</v>
      </c>
    </row>
    <row r="4825" spans="1:28" x14ac:dyDescent="0.25">
      <c r="A4825" t="s">
        <v>4829</v>
      </c>
      <c r="B4825">
        <v>0.99987803227770999</v>
      </c>
      <c r="C4825">
        <v>1.17158420326791</v>
      </c>
      <c r="D4825">
        <v>1.0521315052604701</v>
      </c>
      <c r="E4825">
        <v>1.2109381687748</v>
      </c>
      <c r="F4825">
        <v>0.984492527376848</v>
      </c>
      <c r="G4825">
        <v>0.98935032141510404</v>
      </c>
      <c r="H4825">
        <v>0.28163171054589597</v>
      </c>
      <c r="I4825">
        <v>0.15519702405101199</v>
      </c>
      <c r="J4825">
        <v>0.115195811232067</v>
      </c>
      <c r="K4825">
        <v>7.9828851795349307E-2</v>
      </c>
      <c r="L4825">
        <v>4588.0946252271797</v>
      </c>
      <c r="M4825">
        <v>76.650027874769407</v>
      </c>
      <c r="N4825">
        <v>60.060203516475298</v>
      </c>
      <c r="O4825">
        <v>59.816997052234697</v>
      </c>
      <c r="P4825">
        <v>-0.28387402435676301</v>
      </c>
      <c r="Q4825">
        <v>0.113869128324735</v>
      </c>
      <c r="R4825">
        <v>0.96148165837564603</v>
      </c>
      <c r="S4825" t="s">
        <v>11136</v>
      </c>
      <c r="T4825" t="s">
        <v>12620</v>
      </c>
      <c r="U4825" t="s">
        <v>12620</v>
      </c>
      <c r="V4825" t="s">
        <v>12620</v>
      </c>
      <c r="W4825" t="s">
        <v>17390</v>
      </c>
      <c r="X4825">
        <v>32</v>
      </c>
      <c r="Y4825" t="s">
        <v>23498</v>
      </c>
      <c r="Z4825" t="s">
        <v>29772</v>
      </c>
      <c r="AA4825">
        <v>0.70141181234731775</v>
      </c>
      <c r="AB4825" t="str">
        <f>HYPERLINK("Melting_Curves/meltCurve_Q96P70_IPO9.pdf", "Melting_Curves/meltCurve_Q96P70_IPO9.pdf")</f>
        <v>Melting_Curves/meltCurve_Q96P70_IPO9.pdf</v>
      </c>
    </row>
    <row r="4826" spans="1:28" x14ac:dyDescent="0.25">
      <c r="A4826" t="s">
        <v>4830</v>
      </c>
      <c r="B4826">
        <v>0.99987803227770999</v>
      </c>
      <c r="C4826">
        <v>0.65344235339312196</v>
      </c>
      <c r="D4826">
        <v>0.99368831960085202</v>
      </c>
      <c r="E4826">
        <v>0.75115871446138005</v>
      </c>
      <c r="F4826">
        <v>1.1048798836523801</v>
      </c>
      <c r="G4826">
        <v>1.0488326768532901</v>
      </c>
      <c r="H4826">
        <v>1.08817721852287</v>
      </c>
      <c r="I4826">
        <v>0.87129986768083001</v>
      </c>
      <c r="J4826">
        <v>1.2920634211681401</v>
      </c>
      <c r="K4826">
        <v>1.11123428781492</v>
      </c>
      <c r="L4826">
        <v>4190.2274648535504</v>
      </c>
      <c r="M4826">
        <v>63.829711021130898</v>
      </c>
      <c r="O4826">
        <v>65.582635270500205</v>
      </c>
      <c r="P4826">
        <v>4.9593881032692501E-2</v>
      </c>
      <c r="Q4826">
        <v>1.2038233318334699</v>
      </c>
      <c r="R4826">
        <v>0.196507906996916</v>
      </c>
      <c r="S4826" t="s">
        <v>11137</v>
      </c>
      <c r="T4826" t="s">
        <v>12620</v>
      </c>
      <c r="U4826" t="s">
        <v>12620</v>
      </c>
      <c r="V4826" t="s">
        <v>12620</v>
      </c>
      <c r="W4826" t="s">
        <v>17391</v>
      </c>
      <c r="X4826">
        <v>5</v>
      </c>
      <c r="Y4826" t="s">
        <v>23499</v>
      </c>
      <c r="Z4826" t="s">
        <v>29773</v>
      </c>
      <c r="AA4826">
        <v>1.0293674650769939</v>
      </c>
      <c r="AB4826" t="str">
        <f>HYPERLINK("Melting_Curves/meltCurve_Q96PD2_DCBLD2.pdf", "Melting_Curves/meltCurve_Q96PD2_DCBLD2.pdf")</f>
        <v>Melting_Curves/meltCurve_Q96PD2_DCBLD2.pdf</v>
      </c>
    </row>
    <row r="4827" spans="1:28" x14ac:dyDescent="0.25">
      <c r="A4827" t="s">
        <v>4831</v>
      </c>
      <c r="B4827">
        <v>0.99987803227770999</v>
      </c>
      <c r="C4827">
        <v>1.0491803531207999</v>
      </c>
      <c r="D4827">
        <v>0.95424961133695296</v>
      </c>
      <c r="E4827">
        <v>0.78270207088855304</v>
      </c>
      <c r="F4827">
        <v>0.67262094478016599</v>
      </c>
      <c r="G4827">
        <v>0.58047369256379899</v>
      </c>
      <c r="H4827">
        <v>0.48761651743897599</v>
      </c>
      <c r="I4827">
        <v>0.41670858202254102</v>
      </c>
      <c r="J4827">
        <v>0.46336049581188998</v>
      </c>
      <c r="K4827">
        <v>0.397461863953114</v>
      </c>
      <c r="L4827">
        <v>796.16722844061405</v>
      </c>
      <c r="M4827">
        <v>15.1620082222612</v>
      </c>
      <c r="N4827">
        <v>59.250477323845502</v>
      </c>
      <c r="O4827">
        <v>51.622633055506498</v>
      </c>
      <c r="P4827">
        <v>-4.3261127287965502E-2</v>
      </c>
      <c r="Q4827">
        <v>0.41088621860642599</v>
      </c>
      <c r="R4827">
        <v>0.98271910197711698</v>
      </c>
      <c r="S4827" t="s">
        <v>11138</v>
      </c>
      <c r="T4827" t="s">
        <v>12620</v>
      </c>
      <c r="U4827" t="s">
        <v>12620</v>
      </c>
      <c r="V4827" t="s">
        <v>12620</v>
      </c>
      <c r="W4827" t="s">
        <v>17392</v>
      </c>
      <c r="X4827">
        <v>7</v>
      </c>
      <c r="Y4827" t="s">
        <v>23500</v>
      </c>
      <c r="Z4827" t="s">
        <v>29774</v>
      </c>
      <c r="AA4827">
        <v>0.66928573407842396</v>
      </c>
      <c r="AB4827" t="str">
        <f>HYPERLINK("Melting_Curves/meltCurve_Q96PE2_ARHGEF17.pdf", "Melting_Curves/meltCurve_Q96PE2_ARHGEF17.pdf")</f>
        <v>Melting_Curves/meltCurve_Q96PE2_ARHGEF17.pdf</v>
      </c>
    </row>
    <row r="4828" spans="1:28" x14ac:dyDescent="0.25">
      <c r="A4828" t="s">
        <v>4832</v>
      </c>
      <c r="B4828">
        <v>0.99987803227770999</v>
      </c>
      <c r="C4828">
        <v>0.92524552847980901</v>
      </c>
      <c r="D4828">
        <v>1.02595900538395</v>
      </c>
      <c r="E4828">
        <v>0.91013292938082901</v>
      </c>
      <c r="F4828">
        <v>1.04601646976393</v>
      </c>
      <c r="G4828">
        <v>0.924483286805033</v>
      </c>
      <c r="H4828">
        <v>0.81489104725655703</v>
      </c>
      <c r="I4828">
        <v>0.57758100049358896</v>
      </c>
      <c r="J4828">
        <v>0.28965269771045099</v>
      </c>
      <c r="K4828">
        <v>0.12388294305229</v>
      </c>
      <c r="L4828">
        <v>1598.1371804826399</v>
      </c>
      <c r="M4828">
        <v>24.716743732708899</v>
      </c>
      <c r="N4828">
        <v>64.658079263359696</v>
      </c>
      <c r="O4828">
        <v>64.239291427025705</v>
      </c>
      <c r="P4828">
        <v>-9.6191485646657193E-2</v>
      </c>
      <c r="Q4828">
        <v>0</v>
      </c>
      <c r="R4828">
        <v>0.98027944027963998</v>
      </c>
      <c r="S4828" t="s">
        <v>11139</v>
      </c>
      <c r="T4828" t="s">
        <v>12620</v>
      </c>
      <c r="U4828" t="s">
        <v>12620</v>
      </c>
      <c r="V4828" t="s">
        <v>12620</v>
      </c>
      <c r="W4828" t="s">
        <v>17393</v>
      </c>
      <c r="X4828">
        <v>3</v>
      </c>
      <c r="Y4828" t="s">
        <v>23501</v>
      </c>
      <c r="Z4828" t="s">
        <v>29775</v>
      </c>
      <c r="AA4828">
        <v>0.81786464831877981</v>
      </c>
      <c r="AB4828" t="str">
        <f>HYPERLINK("Melting_Curves/meltCurve_Q96PE7_MCEE.pdf", "Melting_Curves/meltCurve_Q96PE7_MCEE.pdf")</f>
        <v>Melting_Curves/meltCurve_Q96PE7_MCEE.pdf</v>
      </c>
    </row>
    <row r="4829" spans="1:28" x14ac:dyDescent="0.25">
      <c r="A4829" t="s">
        <v>4833</v>
      </c>
      <c r="B4829">
        <v>0.99987803227770999</v>
      </c>
      <c r="C4829">
        <v>0.94240352406207994</v>
      </c>
      <c r="D4829">
        <v>0.85526057162065605</v>
      </c>
      <c r="E4829">
        <v>0.68408445703693899</v>
      </c>
      <c r="F4829">
        <v>0.66318938691301299</v>
      </c>
      <c r="G4829">
        <v>0.51290581029815596</v>
      </c>
      <c r="H4829">
        <v>0.52594030710776396</v>
      </c>
      <c r="I4829">
        <v>0.51156873716352202</v>
      </c>
      <c r="J4829">
        <v>0.59790520305434902</v>
      </c>
      <c r="K4829">
        <v>0.49411171201417198</v>
      </c>
      <c r="L4829">
        <v>783.13048075053996</v>
      </c>
      <c r="M4829">
        <v>16.1708603316922</v>
      </c>
      <c r="O4829">
        <v>47.706056944187402</v>
      </c>
      <c r="P4829">
        <v>-4.0666704688845597E-2</v>
      </c>
      <c r="Q4829">
        <v>0.52014867348120197</v>
      </c>
      <c r="R4829">
        <v>0.96461771835041199</v>
      </c>
      <c r="S4829" t="s">
        <v>11140</v>
      </c>
      <c r="T4829" t="s">
        <v>12620</v>
      </c>
      <c r="U4829" t="s">
        <v>12620</v>
      </c>
      <c r="V4829" t="s">
        <v>12620</v>
      </c>
      <c r="W4829" t="s">
        <v>17394</v>
      </c>
      <c r="X4829">
        <v>13</v>
      </c>
      <c r="Y4829" t="s">
        <v>23502</v>
      </c>
      <c r="Z4829" t="s">
        <v>29776</v>
      </c>
      <c r="AA4829">
        <v>0.66541299277697286</v>
      </c>
      <c r="AB4829" t="str">
        <f>HYPERLINK("Melting_Curves/meltCurve_Q96PK6_RBM14.pdf", "Melting_Curves/meltCurve_Q96PK6_RBM14.pdf")</f>
        <v>Melting_Curves/meltCurve_Q96PK6_RBM14.pdf</v>
      </c>
    </row>
    <row r="4830" spans="1:28" x14ac:dyDescent="0.25">
      <c r="A4830" t="s">
        <v>4834</v>
      </c>
      <c r="B4830">
        <v>0.99987803227770999</v>
      </c>
      <c r="C4830">
        <v>0.833679849117403</v>
      </c>
      <c r="D4830">
        <v>0.99431131731266997</v>
      </c>
      <c r="E4830">
        <v>0.81000050921795796</v>
      </c>
      <c r="F4830">
        <v>0.93432503743143303</v>
      </c>
      <c r="G4830">
        <v>0.68732599611219203</v>
      </c>
      <c r="H4830">
        <v>0.73890235029714602</v>
      </c>
      <c r="I4830">
        <v>0.58905722135599503</v>
      </c>
      <c r="J4830">
        <v>0.66358430036611804</v>
      </c>
      <c r="K4830">
        <v>0.53629097167437401</v>
      </c>
      <c r="L4830">
        <v>290.38734754664603</v>
      </c>
      <c r="M4830">
        <v>3.9174517896941499</v>
      </c>
      <c r="O4830">
        <v>60.447878780144002</v>
      </c>
      <c r="P4830">
        <v>-1.6424393976614701E-2</v>
      </c>
      <c r="Q4830">
        <v>0</v>
      </c>
      <c r="R4830">
        <v>0.79222957600202004</v>
      </c>
      <c r="S4830" t="s">
        <v>11141</v>
      </c>
      <c r="T4830" t="s">
        <v>12620</v>
      </c>
      <c r="U4830" t="s">
        <v>12620</v>
      </c>
      <c r="V4830" t="s">
        <v>12620</v>
      </c>
      <c r="W4830" t="s">
        <v>17395</v>
      </c>
      <c r="X4830">
        <v>10</v>
      </c>
      <c r="Y4830" t="s">
        <v>23503</v>
      </c>
      <c r="Z4830" t="s">
        <v>29777</v>
      </c>
      <c r="AA4830">
        <v>0.78440990106426489</v>
      </c>
      <c r="AB4830" t="str">
        <f>HYPERLINK("Melting_Curves/meltCurve_Q96PM5_RCHY1.pdf", "Melting_Curves/meltCurve_Q96PM5_RCHY1.pdf")</f>
        <v>Melting_Curves/meltCurve_Q96PM5_RCHY1.pdf</v>
      </c>
    </row>
    <row r="4831" spans="1:28" x14ac:dyDescent="0.25">
      <c r="A4831" t="s">
        <v>4835</v>
      </c>
      <c r="B4831">
        <v>0.99987803227770999</v>
      </c>
      <c r="C4831">
        <v>0.96851552977094302</v>
      </c>
      <c r="D4831">
        <v>0.97515978622865696</v>
      </c>
      <c r="E4831">
        <v>0.81378549912102505</v>
      </c>
      <c r="F4831">
        <v>0.85641875200602402</v>
      </c>
      <c r="G4831">
        <v>0.68886362665059697</v>
      </c>
      <c r="H4831">
        <v>0.68043801474861798</v>
      </c>
      <c r="I4831">
        <v>0.72758765001172399</v>
      </c>
      <c r="J4831">
        <v>0.62429130052892901</v>
      </c>
      <c r="K4831">
        <v>0.52303251517287797</v>
      </c>
      <c r="L4831">
        <v>407.66174049401002</v>
      </c>
      <c r="M4831">
        <v>6.9098276173161999</v>
      </c>
      <c r="O4831">
        <v>54.650078817867097</v>
      </c>
      <c r="P4831">
        <v>-1.7919186219698301E-2</v>
      </c>
      <c r="Q4831">
        <v>0.43420598570033098</v>
      </c>
      <c r="R4831">
        <v>0.90985765695630005</v>
      </c>
      <c r="S4831" t="s">
        <v>11142</v>
      </c>
      <c r="T4831" t="s">
        <v>12620</v>
      </c>
      <c r="U4831" t="s">
        <v>12620</v>
      </c>
      <c r="V4831" t="s">
        <v>12620</v>
      </c>
      <c r="W4831" t="s">
        <v>17396</v>
      </c>
      <c r="X4831">
        <v>1</v>
      </c>
      <c r="Y4831" t="s">
        <v>23504</v>
      </c>
      <c r="Z4831" t="s">
        <v>29778</v>
      </c>
      <c r="AA4831">
        <v>0.78523511308184968</v>
      </c>
      <c r="AB4831" t="str">
        <f>HYPERLINK("Melting_Curves/meltCurve_Q96PN7_4_TRERF1.pdf", "Melting_Curves/meltCurve_Q96PN7_4_TRERF1.pdf")</f>
        <v>Melting_Curves/meltCurve_Q96PN7_4_TRERF1.pdf</v>
      </c>
    </row>
    <row r="4832" spans="1:28" x14ac:dyDescent="0.25">
      <c r="A4832" t="s">
        <v>4836</v>
      </c>
      <c r="B4832">
        <v>0.99987803227770999</v>
      </c>
      <c r="C4832">
        <v>0.99139511953344195</v>
      </c>
      <c r="D4832">
        <v>0.88013492903427004</v>
      </c>
      <c r="E4832">
        <v>0.49843055728026098</v>
      </c>
      <c r="F4832">
        <v>0.258375642751421</v>
      </c>
      <c r="G4832">
        <v>0.13829240947701901</v>
      </c>
      <c r="H4832">
        <v>8.6067243497180299E-2</v>
      </c>
      <c r="I4832">
        <v>8.6199091245163395E-2</v>
      </c>
      <c r="J4832">
        <v>4.4912652444269001E-2</v>
      </c>
      <c r="K4832">
        <v>1.8459178195983399E-2</v>
      </c>
      <c r="L4832">
        <v>1083.26271960128</v>
      </c>
      <c r="M4832">
        <v>21.729674539455999</v>
      </c>
      <c r="N4832">
        <v>50.1233231662329</v>
      </c>
      <c r="O4832">
        <v>49.435323821672398</v>
      </c>
      <c r="P4832">
        <v>-0.103789707288828</v>
      </c>
      <c r="Q4832">
        <v>5.55298027982171E-2</v>
      </c>
      <c r="R4832">
        <v>0.99752814690359204</v>
      </c>
      <c r="S4832" t="s">
        <v>11143</v>
      </c>
      <c r="T4832" t="s">
        <v>12620</v>
      </c>
      <c r="U4832" t="s">
        <v>12620</v>
      </c>
      <c r="V4832" t="s">
        <v>12620</v>
      </c>
      <c r="W4832" t="s">
        <v>17397</v>
      </c>
      <c r="X4832">
        <v>1</v>
      </c>
      <c r="Y4832" t="s">
        <v>23505</v>
      </c>
      <c r="Z4832" t="s">
        <v>29779</v>
      </c>
      <c r="AA4832">
        <v>0.37685272552991361</v>
      </c>
      <c r="AB4832" t="str">
        <f>HYPERLINK("Melting_Curves/meltCurve_Q96PQ7_5_KLHL5.pdf", "Melting_Curves/meltCurve_Q96PQ7_5_KLHL5.pdf")</f>
        <v>Melting_Curves/meltCurve_Q96PQ7_5_KLHL5.pdf</v>
      </c>
    </row>
    <row r="4833" spans="1:28" x14ac:dyDescent="0.25">
      <c r="A4833" t="s">
        <v>4837</v>
      </c>
      <c r="B4833">
        <v>0.99987803227770999</v>
      </c>
      <c r="C4833">
        <v>0.83274156790637499</v>
      </c>
      <c r="D4833">
        <v>1.09372485260092</v>
      </c>
      <c r="E4833">
        <v>0.78580795759270405</v>
      </c>
      <c r="F4833">
        <v>1.1655848277061001</v>
      </c>
      <c r="G4833">
        <v>0.602396139980514</v>
      </c>
      <c r="H4833">
        <v>0.52675068037074202</v>
      </c>
      <c r="I4833">
        <v>0.40042976739888703</v>
      </c>
      <c r="J4833">
        <v>0.41215142840943497</v>
      </c>
      <c r="K4833">
        <v>0.30500408394867001</v>
      </c>
      <c r="L4833">
        <v>11333.0704309752</v>
      </c>
      <c r="M4833">
        <v>199.55733726161299</v>
      </c>
      <c r="N4833">
        <v>57.286801608816397</v>
      </c>
      <c r="O4833">
        <v>56.7853439210134</v>
      </c>
      <c r="P4833">
        <v>-0.51739836110680903</v>
      </c>
      <c r="Q4833">
        <v>0.411083654667941</v>
      </c>
      <c r="R4833">
        <v>0.84202419094320402</v>
      </c>
      <c r="S4833" t="s">
        <v>11144</v>
      </c>
      <c r="T4833" t="s">
        <v>12620</v>
      </c>
      <c r="U4833" t="s">
        <v>12620</v>
      </c>
      <c r="V4833" t="s">
        <v>12620</v>
      </c>
      <c r="W4833" t="s">
        <v>17398</v>
      </c>
      <c r="X4833">
        <v>3</v>
      </c>
      <c r="Y4833" t="s">
        <v>23506</v>
      </c>
      <c r="Z4833" t="s">
        <v>29780</v>
      </c>
      <c r="AA4833">
        <v>0.74079321748311289</v>
      </c>
      <c r="AB4833" t="str">
        <f>HYPERLINK("Melting_Curves/meltCurve_Q96PU4_UHRF2.pdf", "Melting_Curves/meltCurve_Q96PU4_UHRF2.pdf")</f>
        <v>Melting_Curves/meltCurve_Q96PU4_UHRF2.pdf</v>
      </c>
    </row>
    <row r="4834" spans="1:28" x14ac:dyDescent="0.25">
      <c r="A4834" t="s">
        <v>4838</v>
      </c>
      <c r="B4834">
        <v>0.99987803227770999</v>
      </c>
      <c r="C4834">
        <v>0.919843357274578</v>
      </c>
      <c r="D4834">
        <v>0.86570357289038402</v>
      </c>
      <c r="E4834">
        <v>0.70991059227588205</v>
      </c>
      <c r="F4834">
        <v>0.64400556550751997</v>
      </c>
      <c r="G4834">
        <v>0.46613529251991598</v>
      </c>
      <c r="H4834">
        <v>0.45231589248617898</v>
      </c>
      <c r="I4834">
        <v>0.45032574900917699</v>
      </c>
      <c r="J4834">
        <v>0.37396482317665902</v>
      </c>
      <c r="K4834">
        <v>0.32177876176560599</v>
      </c>
      <c r="L4834">
        <v>541.01274449292896</v>
      </c>
      <c r="M4834">
        <v>10.417087131241299</v>
      </c>
      <c r="N4834">
        <v>57.4154046610739</v>
      </c>
      <c r="O4834">
        <v>50.130635863523999</v>
      </c>
      <c r="P4834">
        <v>-3.5599839406892902E-2</v>
      </c>
      <c r="Q4834">
        <v>0.31501009174744998</v>
      </c>
      <c r="R4834">
        <v>0.98517254470215798</v>
      </c>
      <c r="S4834" t="s">
        <v>11145</v>
      </c>
      <c r="T4834" t="s">
        <v>12620</v>
      </c>
      <c r="U4834" t="s">
        <v>12620</v>
      </c>
      <c r="V4834" t="s">
        <v>12620</v>
      </c>
      <c r="W4834" t="s">
        <v>17399</v>
      </c>
      <c r="X4834">
        <v>13</v>
      </c>
      <c r="Y4834" t="s">
        <v>23507</v>
      </c>
      <c r="Z4834" t="s">
        <v>29781</v>
      </c>
      <c r="AA4834">
        <v>0.61252844785600213</v>
      </c>
      <c r="AB4834" t="str">
        <f>HYPERLINK("Melting_Curves/meltCurve_Q96PU5_7_NEDD4L.pdf", "Melting_Curves/meltCurve_Q96PU5_7_NEDD4L.pdf")</f>
        <v>Melting_Curves/meltCurve_Q96PU5_7_NEDD4L.pdf</v>
      </c>
    </row>
    <row r="4835" spans="1:28" x14ac:dyDescent="0.25">
      <c r="A4835" t="s">
        <v>4839</v>
      </c>
      <c r="B4835">
        <v>0.99987803227770999</v>
      </c>
      <c r="C4835">
        <v>0.91769496361189096</v>
      </c>
      <c r="D4835">
        <v>0.94794086583229498</v>
      </c>
      <c r="E4835">
        <v>0.78089526908118401</v>
      </c>
      <c r="F4835">
        <v>0.57169447717335398</v>
      </c>
      <c r="G4835">
        <v>0.34401655241594498</v>
      </c>
      <c r="H4835">
        <v>0.25215253084457601</v>
      </c>
      <c r="I4835">
        <v>0.20850372663408501</v>
      </c>
      <c r="J4835">
        <v>0.15505171218223501</v>
      </c>
      <c r="K4835">
        <v>0.10144855196603</v>
      </c>
      <c r="L4835">
        <v>773.10762081703899</v>
      </c>
      <c r="M4835">
        <v>14.4407944366636</v>
      </c>
      <c r="N4835">
        <v>54.406867988098497</v>
      </c>
      <c r="O4835">
        <v>52.541155335886202</v>
      </c>
      <c r="P4835">
        <v>-6.1631408780183097E-2</v>
      </c>
      <c r="Q4835">
        <v>0.10315060414134</v>
      </c>
      <c r="R4835">
        <v>0.99380897435856097</v>
      </c>
      <c r="S4835" t="s">
        <v>11146</v>
      </c>
      <c r="T4835" t="s">
        <v>12620</v>
      </c>
      <c r="U4835" t="s">
        <v>12620</v>
      </c>
      <c r="V4835" t="s">
        <v>12620</v>
      </c>
      <c r="W4835" t="s">
        <v>17400</v>
      </c>
      <c r="X4835">
        <v>9</v>
      </c>
      <c r="Y4835" t="s">
        <v>23508</v>
      </c>
      <c r="Z4835" t="s">
        <v>29782</v>
      </c>
      <c r="AA4835">
        <v>0.52760422223305947</v>
      </c>
      <c r="AB4835" t="str">
        <f>HYPERLINK("Melting_Curves/meltCurve_Q96PU8_9_QKI.pdf", "Melting_Curves/meltCurve_Q96PU8_9_QKI.pdf")</f>
        <v>Melting_Curves/meltCurve_Q96PU8_9_QKI.pdf</v>
      </c>
    </row>
    <row r="4836" spans="1:28" x14ac:dyDescent="0.25">
      <c r="A4836" t="s">
        <v>4840</v>
      </c>
      <c r="B4836">
        <v>0.99987803227770999</v>
      </c>
      <c r="C4836">
        <v>1.0251809596817001</v>
      </c>
      <c r="D4836">
        <v>0.74126915113954395</v>
      </c>
      <c r="E4836">
        <v>0.49113959327489998</v>
      </c>
      <c r="F4836">
        <v>0.23853033241791199</v>
      </c>
      <c r="G4836">
        <v>0.16027662490887601</v>
      </c>
      <c r="H4836">
        <v>0.13164420365348201</v>
      </c>
      <c r="I4836">
        <v>0.11446287054594501</v>
      </c>
      <c r="J4836">
        <v>8.0948254576449705E-2</v>
      </c>
      <c r="K4836">
        <v>5.5415377752745E-2</v>
      </c>
      <c r="L4836">
        <v>932.71938186561397</v>
      </c>
      <c r="M4836">
        <v>19.019304641873202</v>
      </c>
      <c r="N4836">
        <v>49.533303087360203</v>
      </c>
      <c r="O4836">
        <v>48.508169152952</v>
      </c>
      <c r="P4836">
        <v>-8.9578033527231593E-2</v>
      </c>
      <c r="Q4836">
        <v>8.6171872906155494E-2</v>
      </c>
      <c r="R4836">
        <v>0.98957385598479097</v>
      </c>
      <c r="S4836" t="s">
        <v>11147</v>
      </c>
      <c r="T4836" t="s">
        <v>12620</v>
      </c>
      <c r="U4836" t="s">
        <v>12620</v>
      </c>
      <c r="V4836" t="s">
        <v>12620</v>
      </c>
      <c r="W4836" t="s">
        <v>17401</v>
      </c>
      <c r="X4836">
        <v>7</v>
      </c>
      <c r="Y4836" t="s">
        <v>23509</v>
      </c>
      <c r="Z4836" t="s">
        <v>29783</v>
      </c>
      <c r="AA4836">
        <v>0.37572388645704591</v>
      </c>
      <c r="AB4836" t="str">
        <f>HYPERLINK("Melting_Curves/meltCurve_Q96PY5_FMNL2.pdf", "Melting_Curves/meltCurve_Q96PY5_FMNL2.pdf")</f>
        <v>Melting_Curves/meltCurve_Q96PY5_FMNL2.pdf</v>
      </c>
    </row>
    <row r="4837" spans="1:28" x14ac:dyDescent="0.25">
      <c r="A4837" t="s">
        <v>4841</v>
      </c>
      <c r="B4837">
        <v>0.99987803227770999</v>
      </c>
      <c r="C4837">
        <v>1.13053418562861</v>
      </c>
      <c r="D4837">
        <v>1.0749616514728799</v>
      </c>
      <c r="E4837">
        <v>1.1311518718086899</v>
      </c>
      <c r="F4837">
        <v>1.0297118058656201</v>
      </c>
      <c r="G4837">
        <v>0.900721901842373</v>
      </c>
      <c r="H4837">
        <v>0.37360426156964899</v>
      </c>
      <c r="I4837">
        <v>0.27063708766874101</v>
      </c>
      <c r="J4837">
        <v>0.22661061351869899</v>
      </c>
      <c r="K4837">
        <v>0.18475315162269501</v>
      </c>
      <c r="L4837">
        <v>2796.8872152652102</v>
      </c>
      <c r="M4837">
        <v>47.165965077045598</v>
      </c>
      <c r="N4837">
        <v>60.017574788492396</v>
      </c>
      <c r="O4837">
        <v>59.1925413575932</v>
      </c>
      <c r="P4837">
        <v>-0.156223177240323</v>
      </c>
      <c r="Q4837">
        <v>0.21577037554787601</v>
      </c>
      <c r="R4837">
        <v>0.971697122809278</v>
      </c>
      <c r="S4837" t="s">
        <v>11148</v>
      </c>
      <c r="T4837" t="s">
        <v>12620</v>
      </c>
      <c r="U4837" t="s">
        <v>12620</v>
      </c>
      <c r="V4837" t="s">
        <v>12620</v>
      </c>
      <c r="W4837" t="s">
        <v>17402</v>
      </c>
      <c r="X4837">
        <v>29</v>
      </c>
      <c r="Y4837" t="s">
        <v>23510</v>
      </c>
      <c r="Z4837" t="s">
        <v>29784</v>
      </c>
      <c r="AA4837">
        <v>0.72253239829603388</v>
      </c>
      <c r="AB4837" t="str">
        <f>HYPERLINK("Melting_Curves/meltCurve_Q96PZ0_PUS7.pdf", "Melting_Curves/meltCurve_Q96PZ0_PUS7.pdf")</f>
        <v>Melting_Curves/meltCurve_Q96PZ0_PUS7.pdf</v>
      </c>
    </row>
    <row r="4838" spans="1:28" x14ac:dyDescent="0.25">
      <c r="A4838" t="s">
        <v>4842</v>
      </c>
      <c r="B4838">
        <v>0.99987803227770999</v>
      </c>
      <c r="C4838">
        <v>0.93849853385118298</v>
      </c>
      <c r="D4838">
        <v>0.91919211266992196</v>
      </c>
      <c r="E4838">
        <v>0.76602967809218603</v>
      </c>
      <c r="F4838">
        <v>0.48961995805737901</v>
      </c>
      <c r="G4838">
        <v>0.21574301073388799</v>
      </c>
      <c r="H4838">
        <v>0.19545255968720501</v>
      </c>
      <c r="I4838">
        <v>0.14023945335037899</v>
      </c>
      <c r="J4838">
        <v>0.110620547751018</v>
      </c>
      <c r="K4838">
        <v>0.10634212291556699</v>
      </c>
      <c r="L4838">
        <v>1048.18812821542</v>
      </c>
      <c r="M4838">
        <v>20.069240644360299</v>
      </c>
      <c r="N4838">
        <v>52.885466836098303</v>
      </c>
      <c r="O4838">
        <v>51.718333325232699</v>
      </c>
      <c r="P4838">
        <v>-8.6313068263779505E-2</v>
      </c>
      <c r="Q4838">
        <v>0.110315303889866</v>
      </c>
      <c r="R4838">
        <v>0.99485331167114899</v>
      </c>
      <c r="S4838" t="s">
        <v>11149</v>
      </c>
      <c r="T4838" t="s">
        <v>12620</v>
      </c>
      <c r="U4838" t="s">
        <v>12620</v>
      </c>
      <c r="V4838" t="s">
        <v>12620</v>
      </c>
      <c r="W4838" t="s">
        <v>17403</v>
      </c>
      <c r="X4838">
        <v>7</v>
      </c>
      <c r="Y4838" t="s">
        <v>23511</v>
      </c>
      <c r="Z4838" t="s">
        <v>29785</v>
      </c>
      <c r="AA4838">
        <v>0.48519237133156079</v>
      </c>
      <c r="AB4838" t="str">
        <f>HYPERLINK("Melting_Curves/meltCurve_Q96Q05_3_TRAPPC9.pdf", "Melting_Curves/meltCurve_Q96Q05_3_TRAPPC9.pdf")</f>
        <v>Melting_Curves/meltCurve_Q96Q05_3_TRAPPC9.pdf</v>
      </c>
    </row>
    <row r="4839" spans="1:28" x14ac:dyDescent="0.25">
      <c r="A4839" t="s">
        <v>4843</v>
      </c>
      <c r="B4839">
        <v>0.99987803227770999</v>
      </c>
      <c r="C4839">
        <v>1.0959012625709701</v>
      </c>
      <c r="D4839">
        <v>1.01830061253449</v>
      </c>
      <c r="E4839">
        <v>0.68652687981696503</v>
      </c>
      <c r="F4839">
        <v>0.22725004499228499</v>
      </c>
      <c r="G4839">
        <v>0.181660291609021</v>
      </c>
      <c r="H4839">
        <v>0.138143862306396</v>
      </c>
      <c r="I4839">
        <v>0.13700442775800201</v>
      </c>
      <c r="J4839">
        <v>7.0740228463732999E-2</v>
      </c>
      <c r="K4839">
        <v>3.8894691533148298E-2</v>
      </c>
      <c r="L4839">
        <v>2168.55939198243</v>
      </c>
      <c r="M4839">
        <v>42.7550842766084</v>
      </c>
      <c r="N4839">
        <v>51.018459021619698</v>
      </c>
      <c r="O4839">
        <v>50.609917270223498</v>
      </c>
      <c r="P4839">
        <v>-0.18786544253068199</v>
      </c>
      <c r="Q4839">
        <v>0.110483334939124</v>
      </c>
      <c r="R4839">
        <v>0.98709855070621799</v>
      </c>
      <c r="S4839" t="s">
        <v>11150</v>
      </c>
      <c r="T4839" t="s">
        <v>12620</v>
      </c>
      <c r="U4839" t="s">
        <v>12620</v>
      </c>
      <c r="V4839" t="s">
        <v>12620</v>
      </c>
      <c r="W4839" t="s">
        <v>17404</v>
      </c>
      <c r="X4839">
        <v>14</v>
      </c>
      <c r="Y4839" t="s">
        <v>23512</v>
      </c>
      <c r="Z4839" t="s">
        <v>29786</v>
      </c>
      <c r="AA4839">
        <v>0.43107927263203671</v>
      </c>
      <c r="AB4839" t="str">
        <f>HYPERLINK("Melting_Curves/meltCurve_Q96Q11_2_TRNT1.pdf", "Melting_Curves/meltCurve_Q96Q11_2_TRNT1.pdf")</f>
        <v>Melting_Curves/meltCurve_Q96Q11_2_TRNT1.pdf</v>
      </c>
    </row>
    <row r="4840" spans="1:28" x14ac:dyDescent="0.25">
      <c r="A4840" t="s">
        <v>4844</v>
      </c>
      <c r="B4840">
        <v>0.99987803227770999</v>
      </c>
      <c r="C4840">
        <v>0.91499720694967002</v>
      </c>
      <c r="D4840">
        <v>0.82961591879332597</v>
      </c>
      <c r="E4840">
        <v>0.70387766968389198</v>
      </c>
      <c r="F4840">
        <v>0.41748792260020001</v>
      </c>
      <c r="G4840">
        <v>0.25553344295477698</v>
      </c>
      <c r="H4840">
        <v>0.25247632911077</v>
      </c>
      <c r="I4840">
        <v>0.20966267161281499</v>
      </c>
      <c r="J4840">
        <v>0.26083829162411798</v>
      </c>
      <c r="K4840">
        <v>0.23539261600981801</v>
      </c>
      <c r="L4840">
        <v>879.25744787464998</v>
      </c>
      <c r="M4840">
        <v>17.462513139391199</v>
      </c>
      <c r="N4840">
        <v>52.002595871173099</v>
      </c>
      <c r="O4840">
        <v>49.7047642054956</v>
      </c>
      <c r="P4840">
        <v>-6.9141269562869201E-2</v>
      </c>
      <c r="Q4840">
        <v>0.21283757551221699</v>
      </c>
      <c r="R4840">
        <v>0.98352016258610298</v>
      </c>
      <c r="S4840" t="s">
        <v>11151</v>
      </c>
      <c r="T4840" t="s">
        <v>12620</v>
      </c>
      <c r="U4840" t="s">
        <v>12620</v>
      </c>
      <c r="V4840" t="s">
        <v>12620</v>
      </c>
      <c r="W4840" t="s">
        <v>17405</v>
      </c>
      <c r="X4840">
        <v>13</v>
      </c>
      <c r="Y4840" t="s">
        <v>23513</v>
      </c>
      <c r="Z4840" t="s">
        <v>29787</v>
      </c>
      <c r="AA4840">
        <v>0.49857687151578639</v>
      </c>
      <c r="AB4840" t="str">
        <f>HYPERLINK("Melting_Curves/meltCurve_Q96Q15_SMG1.pdf", "Melting_Curves/meltCurve_Q96Q15_SMG1.pdf")</f>
        <v>Melting_Curves/meltCurve_Q96Q15_SMG1.pdf</v>
      </c>
    </row>
    <row r="4841" spans="1:28" x14ac:dyDescent="0.25">
      <c r="A4841" t="s">
        <v>4845</v>
      </c>
      <c r="B4841">
        <v>0.99987803227770999</v>
      </c>
      <c r="C4841">
        <v>1.15654327031976</v>
      </c>
      <c r="D4841">
        <v>0.89355717017046299</v>
      </c>
      <c r="E4841">
        <v>0.81217441399444701</v>
      </c>
      <c r="F4841">
        <v>0.49702034146688401</v>
      </c>
      <c r="G4841">
        <v>0.23414512108359201</v>
      </c>
      <c r="H4841">
        <v>0.18935629379760399</v>
      </c>
      <c r="I4841">
        <v>0.14807145047204201</v>
      </c>
      <c r="J4841">
        <v>0.14955733835441701</v>
      </c>
      <c r="K4841">
        <v>0.109184554079488</v>
      </c>
      <c r="L4841">
        <v>1258.2057736822201</v>
      </c>
      <c r="M4841">
        <v>24.026634410613099</v>
      </c>
      <c r="N4841">
        <v>53.0635631828643</v>
      </c>
      <c r="O4841">
        <v>52.0084060490653</v>
      </c>
      <c r="P4841">
        <v>-9.9877363826473595E-2</v>
      </c>
      <c r="Q4841">
        <v>0.13522957540659</v>
      </c>
      <c r="R4841">
        <v>0.977325829228606</v>
      </c>
      <c r="S4841" t="s">
        <v>11152</v>
      </c>
      <c r="T4841" t="s">
        <v>12620</v>
      </c>
      <c r="U4841" t="s">
        <v>12620</v>
      </c>
      <c r="V4841" t="s">
        <v>12620</v>
      </c>
      <c r="W4841" t="s">
        <v>17406</v>
      </c>
      <c r="X4841">
        <v>3</v>
      </c>
      <c r="Y4841" t="s">
        <v>23514</v>
      </c>
      <c r="Z4841" t="s">
        <v>29788</v>
      </c>
      <c r="AA4841">
        <v>0.50026224429781552</v>
      </c>
      <c r="AB4841" t="str">
        <f>HYPERLINK("Melting_Curves/meltCurve_Q96Q42_ALS2.pdf", "Melting_Curves/meltCurve_Q96Q42_ALS2.pdf")</f>
        <v>Melting_Curves/meltCurve_Q96Q42_ALS2.pdf</v>
      </c>
    </row>
    <row r="4842" spans="1:28" x14ac:dyDescent="0.25">
      <c r="A4842" t="s">
        <v>4846</v>
      </c>
      <c r="B4842">
        <v>0.99987803227770999</v>
      </c>
      <c r="C4842">
        <v>0.92225578332496405</v>
      </c>
      <c r="D4842">
        <v>1.0591838846061501</v>
      </c>
      <c r="E4842">
        <v>0.98149128688536502</v>
      </c>
      <c r="F4842">
        <v>1.1140076640177901</v>
      </c>
      <c r="G4842">
        <v>5.0492685454553401</v>
      </c>
      <c r="H4842">
        <v>0.95101488282728297</v>
      </c>
      <c r="I4842">
        <v>3.1569992029789402</v>
      </c>
      <c r="J4842">
        <v>0.95866375301677198</v>
      </c>
      <c r="K4842">
        <v>0.85702125198588397</v>
      </c>
      <c r="L4842">
        <v>13314.6354105018</v>
      </c>
      <c r="M4842">
        <v>250</v>
      </c>
      <c r="O4842">
        <v>53.255133464179103</v>
      </c>
      <c r="P4842">
        <v>0.58679789182749198</v>
      </c>
      <c r="Q4842">
        <v>1.5</v>
      </c>
      <c r="R4842">
        <v>6.1707658707789402E-2</v>
      </c>
      <c r="S4842" t="s">
        <v>11153</v>
      </c>
      <c r="T4842" t="s">
        <v>12620</v>
      </c>
      <c r="U4842" t="s">
        <v>12620</v>
      </c>
      <c r="V4842" t="s">
        <v>12620</v>
      </c>
      <c r="W4842" t="s">
        <v>17407</v>
      </c>
      <c r="X4842">
        <v>5</v>
      </c>
      <c r="Y4842" t="s">
        <v>23515</v>
      </c>
      <c r="Z4842" t="s">
        <v>29789</v>
      </c>
      <c r="AA4842">
        <v>1.2789775720106991</v>
      </c>
      <c r="AB4842" t="str">
        <f>HYPERLINK("Melting_Curves/meltCurve_Q96Q45_2_TMEM237.pdf", "Melting_Curves/meltCurve_Q96Q45_2_TMEM237.pdf")</f>
        <v>Melting_Curves/meltCurve_Q96Q45_2_TMEM237.pdf</v>
      </c>
    </row>
    <row r="4843" spans="1:28" x14ac:dyDescent="0.25">
      <c r="A4843" t="s">
        <v>4847</v>
      </c>
      <c r="B4843">
        <v>0.99987803227770999</v>
      </c>
      <c r="C4843">
        <v>0.85400215082968001</v>
      </c>
      <c r="D4843">
        <v>0.91851169478521999</v>
      </c>
      <c r="E4843">
        <v>0.69579961341211505</v>
      </c>
      <c r="F4843">
        <v>0.75473404532600696</v>
      </c>
      <c r="G4843">
        <v>0.52307076145260401</v>
      </c>
      <c r="H4843">
        <v>0.59602545080837299</v>
      </c>
      <c r="I4843">
        <v>0.53596663537670197</v>
      </c>
      <c r="J4843">
        <v>0.61226566513234904</v>
      </c>
      <c r="K4843">
        <v>0.46108503520609601</v>
      </c>
      <c r="L4843">
        <v>520.588861610084</v>
      </c>
      <c r="M4843">
        <v>10.3981153597323</v>
      </c>
      <c r="O4843">
        <v>48.320147134058701</v>
      </c>
      <c r="P4843">
        <v>-2.7033632192147199E-2</v>
      </c>
      <c r="Q4843">
        <v>0.49770814758036902</v>
      </c>
      <c r="R4843">
        <v>0.87457744310535501</v>
      </c>
      <c r="S4843" t="s">
        <v>11154</v>
      </c>
      <c r="T4843" t="s">
        <v>12620</v>
      </c>
      <c r="U4843" t="s">
        <v>12620</v>
      </c>
      <c r="V4843" t="s">
        <v>12620</v>
      </c>
      <c r="W4843" t="s">
        <v>17408</v>
      </c>
      <c r="X4843">
        <v>4</v>
      </c>
      <c r="Y4843" t="s">
        <v>23516</v>
      </c>
      <c r="Z4843" t="s">
        <v>29790</v>
      </c>
      <c r="AA4843">
        <v>0.68764160123884865</v>
      </c>
      <c r="AB4843" t="str">
        <f>HYPERLINK("Melting_Curves/meltCurve_Q96Q83_ALKBH3.pdf", "Melting_Curves/meltCurve_Q96Q83_ALKBH3.pdf")</f>
        <v>Melting_Curves/meltCurve_Q96Q83_ALKBH3.pdf</v>
      </c>
    </row>
    <row r="4844" spans="1:28" x14ac:dyDescent="0.25">
      <c r="A4844" t="s">
        <v>4848</v>
      </c>
      <c r="B4844">
        <v>0.99987803227770999</v>
      </c>
      <c r="C4844">
        <v>0.99937199180299996</v>
      </c>
      <c r="D4844">
        <v>0.73341079051180202</v>
      </c>
      <c r="E4844">
        <v>0.60491832362389497</v>
      </c>
      <c r="F4844">
        <v>0.39676276569087099</v>
      </c>
      <c r="G4844">
        <v>0.294395588820488</v>
      </c>
      <c r="H4844">
        <v>0.21630590982968301</v>
      </c>
      <c r="I4844">
        <v>0.182131909747098</v>
      </c>
      <c r="J4844">
        <v>0.140814528200191</v>
      </c>
      <c r="K4844">
        <v>0.10471432156877</v>
      </c>
      <c r="L4844">
        <v>659.03214406942004</v>
      </c>
      <c r="M4844">
        <v>13.0658134992716</v>
      </c>
      <c r="N4844">
        <v>51.452308924506099</v>
      </c>
      <c r="O4844">
        <v>49.301764100847699</v>
      </c>
      <c r="P4844">
        <v>-5.875139083553E-2</v>
      </c>
      <c r="Q4844">
        <v>0.113397598038235</v>
      </c>
      <c r="R4844">
        <v>0.98561853220019602</v>
      </c>
      <c r="S4844" t="s">
        <v>11155</v>
      </c>
      <c r="T4844" t="s">
        <v>12620</v>
      </c>
      <c r="U4844" t="s">
        <v>12620</v>
      </c>
      <c r="V4844" t="s">
        <v>12620</v>
      </c>
      <c r="W4844" t="s">
        <v>17409</v>
      </c>
      <c r="X4844">
        <v>3</v>
      </c>
      <c r="Y4844" t="s">
        <v>23517</v>
      </c>
      <c r="Z4844" t="s">
        <v>29791</v>
      </c>
      <c r="AA4844">
        <v>0.44812913283720912</v>
      </c>
      <c r="AB4844" t="str">
        <f>HYPERLINK("Melting_Curves/meltCurve_Q96Q89_4_KIF20B.pdf", "Melting_Curves/meltCurve_Q96Q89_4_KIF20B.pdf")</f>
        <v>Melting_Curves/meltCurve_Q96Q89_4_KIF20B.pdf</v>
      </c>
    </row>
    <row r="4845" spans="1:28" x14ac:dyDescent="0.25">
      <c r="A4845" t="s">
        <v>4849</v>
      </c>
      <c r="B4845">
        <v>0.99987803227770999</v>
      </c>
      <c r="C4845">
        <v>1.4400776677584</v>
      </c>
      <c r="D4845">
        <v>1.0760783263638101</v>
      </c>
      <c r="E4845">
        <v>2.0319092020526801</v>
      </c>
      <c r="F4845">
        <v>1.4346504911160101</v>
      </c>
      <c r="G4845">
        <v>1.6200159407227499</v>
      </c>
      <c r="H4845">
        <v>3.05815564685214</v>
      </c>
      <c r="I4845">
        <v>2.3107719459483298</v>
      </c>
      <c r="J4845">
        <v>0.84712176250940197</v>
      </c>
      <c r="K4845">
        <v>0.43601863926580298</v>
      </c>
      <c r="L4845">
        <v>1079.96099742054</v>
      </c>
      <c r="M4845">
        <v>25.406609272918999</v>
      </c>
      <c r="O4845">
        <v>42.246367121493002</v>
      </c>
      <c r="P4845">
        <v>7.5174889971365205E-2</v>
      </c>
      <c r="Q4845">
        <v>1.5</v>
      </c>
      <c r="R4845">
        <v>4.6844180819719E-2</v>
      </c>
      <c r="S4845" t="s">
        <v>11156</v>
      </c>
      <c r="T4845" t="s">
        <v>12620</v>
      </c>
      <c r="U4845" t="s">
        <v>12620</v>
      </c>
      <c r="V4845" t="s">
        <v>12620</v>
      </c>
      <c r="W4845" t="s">
        <v>17410</v>
      </c>
      <c r="X4845">
        <v>2</v>
      </c>
      <c r="Y4845" t="s">
        <v>23518</v>
      </c>
      <c r="Z4845" t="s">
        <v>29792</v>
      </c>
      <c r="AA4845">
        <v>1.4502741314750309</v>
      </c>
      <c r="AB4845" t="str">
        <f>HYPERLINK("Melting_Curves/meltCurve_Q96QB1_DLC1.pdf", "Melting_Curves/meltCurve_Q96QB1_DLC1.pdf")</f>
        <v>Melting_Curves/meltCurve_Q96QB1_DLC1.pdf</v>
      </c>
    </row>
    <row r="4846" spans="1:28" x14ac:dyDescent="0.25">
      <c r="A4846" t="s">
        <v>4850</v>
      </c>
      <c r="B4846">
        <v>0.99987803227770999</v>
      </c>
      <c r="C4846">
        <v>1.1202104245978699</v>
      </c>
      <c r="D4846">
        <v>1.0172446611841499</v>
      </c>
      <c r="E4846">
        <v>1.1790333728133999</v>
      </c>
      <c r="F4846">
        <v>0.98224471544511305</v>
      </c>
      <c r="G4846">
        <v>0.79220872799739295</v>
      </c>
      <c r="H4846">
        <v>0.56314910383156003</v>
      </c>
      <c r="I4846">
        <v>0.41309067434621199</v>
      </c>
      <c r="J4846">
        <v>0.26717572433853098</v>
      </c>
      <c r="K4846">
        <v>0.226048606934944</v>
      </c>
      <c r="L4846">
        <v>1303.1343635629701</v>
      </c>
      <c r="M4846">
        <v>21.519135950129598</v>
      </c>
      <c r="N4846">
        <v>61.928790480094499</v>
      </c>
      <c r="O4846">
        <v>60.041325085707399</v>
      </c>
      <c r="P4846">
        <v>-7.2616786849014403E-2</v>
      </c>
      <c r="Q4846">
        <v>0.189576816129818</v>
      </c>
      <c r="R4846">
        <v>0.95454998565393501</v>
      </c>
      <c r="S4846" t="s">
        <v>11157</v>
      </c>
      <c r="T4846" t="s">
        <v>12620</v>
      </c>
      <c r="U4846" t="s">
        <v>12620</v>
      </c>
      <c r="V4846" t="s">
        <v>12620</v>
      </c>
      <c r="W4846" t="s">
        <v>17411</v>
      </c>
      <c r="X4846">
        <v>10</v>
      </c>
      <c r="Y4846" t="s">
        <v>23519</v>
      </c>
      <c r="Z4846" t="s">
        <v>29793</v>
      </c>
      <c r="AA4846">
        <v>0.75076118378364742</v>
      </c>
      <c r="AB4846" t="str">
        <f>HYPERLINK("Melting_Curves/meltCurve_Q96QC0_PPP1R10.pdf", "Melting_Curves/meltCurve_Q96QC0_PPP1R10.pdf")</f>
        <v>Melting_Curves/meltCurve_Q96QC0_PPP1R10.pdf</v>
      </c>
    </row>
    <row r="4847" spans="1:28" x14ac:dyDescent="0.25">
      <c r="A4847" t="s">
        <v>4851</v>
      </c>
      <c r="B4847">
        <v>0.99987803227770999</v>
      </c>
      <c r="C4847">
        <v>0.934479080159481</v>
      </c>
      <c r="D4847">
        <v>1.0121872781074399</v>
      </c>
      <c r="E4847">
        <v>0.80946357168949301</v>
      </c>
      <c r="F4847">
        <v>1.02146065991282</v>
      </c>
      <c r="G4847">
        <v>0.81559316705891904</v>
      </c>
      <c r="H4847">
        <v>0.77056916965620803</v>
      </c>
      <c r="I4847">
        <v>0.80167311297509503</v>
      </c>
      <c r="J4847">
        <v>0.63184831796571295</v>
      </c>
      <c r="K4847">
        <v>0.51395131371794101</v>
      </c>
      <c r="L4847">
        <v>484.06718925359701</v>
      </c>
      <c r="M4847">
        <v>6.6676084776928004</v>
      </c>
      <c r="O4847">
        <v>66.904245694830095</v>
      </c>
      <c r="P4847">
        <v>-2.49699130538256E-2</v>
      </c>
      <c r="Q4847">
        <v>0</v>
      </c>
      <c r="R4847">
        <v>0.81218070418661703</v>
      </c>
      <c r="S4847" t="s">
        <v>11158</v>
      </c>
      <c r="T4847" t="s">
        <v>12620</v>
      </c>
      <c r="U4847" t="s">
        <v>12620</v>
      </c>
      <c r="V4847" t="s">
        <v>12620</v>
      </c>
      <c r="W4847" t="s">
        <v>17412</v>
      </c>
      <c r="X4847">
        <v>1</v>
      </c>
      <c r="Y4847" t="s">
        <v>23520</v>
      </c>
      <c r="Z4847" t="s">
        <v>29794</v>
      </c>
      <c r="AA4847">
        <v>0.85114835573243419</v>
      </c>
      <c r="AB4847" t="str">
        <f>HYPERLINK("Melting_Curves/meltCurve_Q96QE3_2_ATAD5.pdf", "Melting_Curves/meltCurve_Q96QE3_2_ATAD5.pdf")</f>
        <v>Melting_Curves/meltCurve_Q96QE3_2_ATAD5.pdf</v>
      </c>
    </row>
    <row r="4848" spans="1:28" x14ac:dyDescent="0.25">
      <c r="A4848" t="s">
        <v>4852</v>
      </c>
      <c r="B4848">
        <v>0.99987803227770999</v>
      </c>
      <c r="C4848">
        <v>1.10944866389287</v>
      </c>
      <c r="D4848">
        <v>1.1331666683641901</v>
      </c>
      <c r="E4848">
        <v>1.05947564463166</v>
      </c>
      <c r="F4848">
        <v>0.71392387965212101</v>
      </c>
      <c r="G4848">
        <v>0.35119325844500199</v>
      </c>
      <c r="H4848">
        <v>0.25985933982067499</v>
      </c>
      <c r="I4848">
        <v>0.25228660452717899</v>
      </c>
      <c r="J4848">
        <v>0.19477928337073999</v>
      </c>
      <c r="K4848">
        <v>0.136647910795409</v>
      </c>
      <c r="L4848">
        <v>1907.6166416906999</v>
      </c>
      <c r="M4848">
        <v>35.194324115982198</v>
      </c>
      <c r="N4848">
        <v>55.047274618152002</v>
      </c>
      <c r="O4848">
        <v>54.028295352047103</v>
      </c>
      <c r="P4848">
        <v>-0.12886862448372799</v>
      </c>
      <c r="Q4848">
        <v>0.20867606974856601</v>
      </c>
      <c r="R4848">
        <v>0.968552463092344</v>
      </c>
      <c r="S4848" t="s">
        <v>11159</v>
      </c>
      <c r="T4848" t="s">
        <v>12620</v>
      </c>
      <c r="U4848" t="s">
        <v>12620</v>
      </c>
      <c r="V4848" t="s">
        <v>12620</v>
      </c>
      <c r="W4848" t="s">
        <v>17413</v>
      </c>
      <c r="X4848">
        <v>3</v>
      </c>
      <c r="Y4848" t="s">
        <v>23521</v>
      </c>
      <c r="Z4848" t="s">
        <v>29795</v>
      </c>
      <c r="AA4848">
        <v>0.58711411030087024</v>
      </c>
      <c r="AB4848" t="str">
        <f>HYPERLINK("Melting_Curves/meltCurve_Q96QF0_2_RAB3IP.pdf", "Melting_Curves/meltCurve_Q96QF0_2_RAB3IP.pdf")</f>
        <v>Melting_Curves/meltCurve_Q96QF0_2_RAB3IP.pdf</v>
      </c>
    </row>
    <row r="4849" spans="1:28" x14ac:dyDescent="0.25">
      <c r="A4849" t="s">
        <v>4853</v>
      </c>
      <c r="B4849">
        <v>0.99987803227770999</v>
      </c>
      <c r="C4849">
        <v>1.09608144722923</v>
      </c>
      <c r="D4849">
        <v>1.01309040517233</v>
      </c>
      <c r="E4849">
        <v>1.0005186117986999</v>
      </c>
      <c r="F4849">
        <v>0.37092433445747103</v>
      </c>
      <c r="G4849">
        <v>0.204654870172508</v>
      </c>
      <c r="H4849">
        <v>0.191114811495815</v>
      </c>
      <c r="I4849">
        <v>0.18825656101306301</v>
      </c>
      <c r="J4849">
        <v>0.154744845682494</v>
      </c>
      <c r="K4849">
        <v>0.177756492416213</v>
      </c>
      <c r="L4849">
        <v>13185.8785243946</v>
      </c>
      <c r="M4849">
        <v>250</v>
      </c>
      <c r="N4849">
        <v>52.840036074167699</v>
      </c>
      <c r="O4849">
        <v>52.740138882986301</v>
      </c>
      <c r="P4849">
        <v>-0.96782842286135595</v>
      </c>
      <c r="Q4849">
        <v>0.18330551428851</v>
      </c>
      <c r="R4849">
        <v>0.99335006208452603</v>
      </c>
      <c r="S4849" t="s">
        <v>11160</v>
      </c>
      <c r="T4849" t="s">
        <v>12620</v>
      </c>
      <c r="U4849" t="s">
        <v>12620</v>
      </c>
      <c r="V4849" t="s">
        <v>12620</v>
      </c>
      <c r="W4849" t="s">
        <v>17414</v>
      </c>
      <c r="X4849">
        <v>8</v>
      </c>
      <c r="Y4849" t="s">
        <v>23522</v>
      </c>
      <c r="Z4849" t="s">
        <v>29796</v>
      </c>
      <c r="AA4849">
        <v>0.53029970057072007</v>
      </c>
      <c r="AB4849" t="str">
        <f>HYPERLINK("Melting_Curves/meltCurve_Q96QG7_MTMR9.pdf", "Melting_Curves/meltCurve_Q96QG7_MTMR9.pdf")</f>
        <v>Melting_Curves/meltCurve_Q96QG7_MTMR9.pdf</v>
      </c>
    </row>
    <row r="4850" spans="1:28" x14ac:dyDescent="0.25">
      <c r="A4850" t="s">
        <v>4854</v>
      </c>
      <c r="B4850">
        <v>0.99987803227770999</v>
      </c>
      <c r="C4850">
        <v>1.15264199686242</v>
      </c>
      <c r="D4850">
        <v>0.99730181152341202</v>
      </c>
      <c r="E4850">
        <v>1.15253689382451</v>
      </c>
      <c r="F4850">
        <v>0.64834894357843198</v>
      </c>
      <c r="G4850">
        <v>0.19834407620606101</v>
      </c>
      <c r="H4850">
        <v>0.11513674921273501</v>
      </c>
      <c r="I4850">
        <v>9.0189251634555601E-2</v>
      </c>
      <c r="J4850">
        <v>7.4646617912260502E-2</v>
      </c>
      <c r="K4850">
        <v>5.38238717105484E-2</v>
      </c>
      <c r="L4850">
        <v>13272.9215065139</v>
      </c>
      <c r="M4850">
        <v>250</v>
      </c>
      <c r="N4850">
        <v>53.142563086338001</v>
      </c>
      <c r="O4850">
        <v>53.088292310448701</v>
      </c>
      <c r="P4850">
        <v>-1.05198802649622</v>
      </c>
      <c r="Q4850">
        <v>0.106428099216033</v>
      </c>
      <c r="R4850">
        <v>0.97229579152134704</v>
      </c>
      <c r="S4850" t="s">
        <v>11161</v>
      </c>
      <c r="T4850" t="s">
        <v>12620</v>
      </c>
      <c r="U4850" t="s">
        <v>12620</v>
      </c>
      <c r="V4850" t="s">
        <v>12620</v>
      </c>
      <c r="W4850" t="s">
        <v>17415</v>
      </c>
      <c r="X4850">
        <v>31</v>
      </c>
      <c r="Y4850" t="s">
        <v>23523</v>
      </c>
      <c r="Z4850" t="s">
        <v>29797</v>
      </c>
      <c r="AA4850">
        <v>0.49645678341075478</v>
      </c>
      <c r="AB4850" t="str">
        <f>HYPERLINK("Melting_Curves/meltCurve_Q96QK1_VPS35.pdf", "Melting_Curves/meltCurve_Q96QK1_VPS35.pdf")</f>
        <v>Melting_Curves/meltCurve_Q96QK1_VPS35.pdf</v>
      </c>
    </row>
    <row r="4851" spans="1:28" x14ac:dyDescent="0.25">
      <c r="A4851" t="s">
        <v>4855</v>
      </c>
      <c r="B4851">
        <v>0.99987803227770999</v>
      </c>
      <c r="C4851">
        <v>1.0733429291196399</v>
      </c>
      <c r="D4851">
        <v>0.94564759951666499</v>
      </c>
      <c r="E4851">
        <v>1.1682015826154799</v>
      </c>
      <c r="F4851">
        <v>0.96175231067287403</v>
      </c>
      <c r="G4851">
        <v>1.1835313660951901</v>
      </c>
      <c r="H4851">
        <v>1.37652995899444</v>
      </c>
      <c r="I4851">
        <v>0.742498303836997</v>
      </c>
      <c r="J4851">
        <v>0.41782691514790898</v>
      </c>
      <c r="K4851">
        <v>0.12471781926721701</v>
      </c>
      <c r="L4851">
        <v>3339.68428139146</v>
      </c>
      <c r="M4851">
        <v>50.649119439304997</v>
      </c>
      <c r="N4851">
        <v>66.222090119335704</v>
      </c>
      <c r="O4851">
        <v>65.835110416747</v>
      </c>
      <c r="P4851">
        <v>-0.173532035609052</v>
      </c>
      <c r="Q4851">
        <v>9.7753989777719499E-2</v>
      </c>
      <c r="R4851">
        <v>0.815800674236552</v>
      </c>
      <c r="S4851" t="s">
        <v>11162</v>
      </c>
      <c r="T4851" t="s">
        <v>12620</v>
      </c>
      <c r="U4851" t="s">
        <v>12620</v>
      </c>
      <c r="V4851" t="s">
        <v>12620</v>
      </c>
      <c r="W4851" t="s">
        <v>17416</v>
      </c>
      <c r="X4851">
        <v>4</v>
      </c>
      <c r="Y4851" t="s">
        <v>23524</v>
      </c>
      <c r="Z4851" t="s">
        <v>29798</v>
      </c>
      <c r="AA4851">
        <v>0.87800468914716545</v>
      </c>
      <c r="AB4851" t="str">
        <f>HYPERLINK("Melting_Curves/meltCurve_Q96QR8_PURB.pdf", "Melting_Curves/meltCurve_Q96QR8_PURB.pdf")</f>
        <v>Melting_Curves/meltCurve_Q96QR8_PURB.pdf</v>
      </c>
    </row>
    <row r="4852" spans="1:28" x14ac:dyDescent="0.25">
      <c r="A4852" t="s">
        <v>4856</v>
      </c>
      <c r="B4852">
        <v>0.99987803227770999</v>
      </c>
      <c r="C4852">
        <v>1.07607688156353</v>
      </c>
      <c r="D4852">
        <v>0.97157632804866301</v>
      </c>
      <c r="E4852">
        <v>0.98396046710478102</v>
      </c>
      <c r="F4852">
        <v>0.73947336105488004</v>
      </c>
      <c r="G4852">
        <v>0.56515651739197004</v>
      </c>
      <c r="H4852">
        <v>0.41616635855925299</v>
      </c>
      <c r="I4852">
        <v>0.17466125511524799</v>
      </c>
      <c r="J4852">
        <v>0.145568481437272</v>
      </c>
      <c r="K4852">
        <v>8.6526966022707097E-2</v>
      </c>
      <c r="L4852">
        <v>819.84444066040396</v>
      </c>
      <c r="M4852">
        <v>14.0603517493473</v>
      </c>
      <c r="N4852">
        <v>58.308956779064303</v>
      </c>
      <c r="O4852">
        <v>57.167472551353796</v>
      </c>
      <c r="P4852">
        <v>-6.1495553065116997E-2</v>
      </c>
      <c r="Q4852">
        <v>0</v>
      </c>
      <c r="R4852">
        <v>0.98318933794719099</v>
      </c>
      <c r="S4852" t="s">
        <v>11163</v>
      </c>
      <c r="T4852" t="s">
        <v>12620</v>
      </c>
      <c r="U4852" t="s">
        <v>12620</v>
      </c>
      <c r="V4852" t="s">
        <v>12620</v>
      </c>
      <c r="W4852" t="s">
        <v>17417</v>
      </c>
      <c r="X4852">
        <v>8</v>
      </c>
      <c r="Y4852" t="s">
        <v>23525</v>
      </c>
      <c r="Z4852" t="s">
        <v>29799</v>
      </c>
      <c r="AA4852">
        <v>0.6227930875705342</v>
      </c>
      <c r="AB4852" t="str">
        <f>HYPERLINK("Melting_Curves/meltCurve_Q96QU6_ACCS.pdf", "Melting_Curves/meltCurve_Q96QU6_ACCS.pdf")</f>
        <v>Melting_Curves/meltCurve_Q96QU6_ACCS.pdf</v>
      </c>
    </row>
    <row r="4853" spans="1:28" x14ac:dyDescent="0.25">
      <c r="A4853" t="s">
        <v>4857</v>
      </c>
      <c r="B4853">
        <v>0.99987803227770999</v>
      </c>
      <c r="C4853">
        <v>1.1122413749362201</v>
      </c>
      <c r="D4853">
        <v>0.91696882252247303</v>
      </c>
      <c r="E4853">
        <v>0.64744840943939996</v>
      </c>
      <c r="F4853">
        <v>0.20132389337120099</v>
      </c>
      <c r="G4853">
        <v>0.13974619477643499</v>
      </c>
      <c r="H4853">
        <v>9.3935522835539895E-2</v>
      </c>
      <c r="I4853">
        <v>8.1046340941693801E-2</v>
      </c>
      <c r="J4853">
        <v>5.6149584104029197E-2</v>
      </c>
      <c r="K4853">
        <v>4.1016674114449002E-2</v>
      </c>
      <c r="L4853">
        <v>1776.8650409439299</v>
      </c>
      <c r="M4853">
        <v>35.133721609125701</v>
      </c>
      <c r="N4853">
        <v>50.808186624067403</v>
      </c>
      <c r="O4853">
        <v>50.4113412713969</v>
      </c>
      <c r="P4853">
        <v>-0.16122916698968701</v>
      </c>
      <c r="Q4853">
        <v>7.4649663038238501E-2</v>
      </c>
      <c r="R4853">
        <v>0.98774883186279505</v>
      </c>
      <c r="S4853" t="s">
        <v>11164</v>
      </c>
      <c r="T4853" t="s">
        <v>12620</v>
      </c>
      <c r="U4853" t="s">
        <v>12620</v>
      </c>
      <c r="V4853" t="s">
        <v>12620</v>
      </c>
      <c r="W4853" t="s">
        <v>17418</v>
      </c>
      <c r="X4853">
        <v>9</v>
      </c>
      <c r="Y4853" t="s">
        <v>23526</v>
      </c>
      <c r="Z4853" t="s">
        <v>29800</v>
      </c>
      <c r="AA4853">
        <v>0.40501798422816288</v>
      </c>
      <c r="AB4853" t="str">
        <f>HYPERLINK("Melting_Curves/meltCurve_Q96QU8_XPO6.pdf", "Melting_Curves/meltCurve_Q96QU8_XPO6.pdf")</f>
        <v>Melting_Curves/meltCurve_Q96QU8_XPO6.pdf</v>
      </c>
    </row>
    <row r="4854" spans="1:28" x14ac:dyDescent="0.25">
      <c r="A4854" t="s">
        <v>4858</v>
      </c>
      <c r="B4854">
        <v>0.99987803227770999</v>
      </c>
      <c r="C4854">
        <v>1.0098184250423401</v>
      </c>
      <c r="D4854">
        <v>1.00864110774323</v>
      </c>
      <c r="E4854">
        <v>1.02017519522053</v>
      </c>
      <c r="F4854">
        <v>0.95174045099911697</v>
      </c>
      <c r="G4854">
        <v>0.65188200956589604</v>
      </c>
      <c r="H4854">
        <v>0.47589680747799201</v>
      </c>
      <c r="I4854">
        <v>0.42357281181956902</v>
      </c>
      <c r="J4854">
        <v>0.42950797050664402</v>
      </c>
      <c r="K4854">
        <v>0.34206931571597998</v>
      </c>
      <c r="L4854">
        <v>1763.9198433782799</v>
      </c>
      <c r="M4854">
        <v>31.134196110783801</v>
      </c>
      <c r="N4854">
        <v>59.639013388215297</v>
      </c>
      <c r="O4854">
        <v>56.423190478598002</v>
      </c>
      <c r="P4854">
        <v>-8.3504173261261305E-2</v>
      </c>
      <c r="Q4854">
        <v>0.394679047135435</v>
      </c>
      <c r="R4854">
        <v>0.99213621056620405</v>
      </c>
      <c r="S4854" t="s">
        <v>11165</v>
      </c>
      <c r="T4854" t="s">
        <v>12620</v>
      </c>
      <c r="U4854" t="s">
        <v>12620</v>
      </c>
      <c r="V4854" t="s">
        <v>12620</v>
      </c>
      <c r="W4854" t="s">
        <v>17419</v>
      </c>
      <c r="X4854">
        <v>6</v>
      </c>
      <c r="Y4854" t="s">
        <v>23527</v>
      </c>
      <c r="Z4854" t="s">
        <v>29801</v>
      </c>
      <c r="AA4854">
        <v>0.73451639527967738</v>
      </c>
      <c r="AB4854" t="str">
        <f>HYPERLINK("Melting_Curves/meltCurve_Q96QZ7_7_MAGI1.pdf", "Melting_Curves/meltCurve_Q96QZ7_7_MAGI1.pdf")</f>
        <v>Melting_Curves/meltCurve_Q96QZ7_7_MAGI1.pdf</v>
      </c>
    </row>
    <row r="4855" spans="1:28" x14ac:dyDescent="0.25">
      <c r="A4855" t="s">
        <v>4859</v>
      </c>
      <c r="B4855">
        <v>0.99987803227770999</v>
      </c>
      <c r="C4855">
        <v>1.0667627152860299</v>
      </c>
      <c r="D4855">
        <v>0.86973933028975303</v>
      </c>
      <c r="E4855">
        <v>0.76518572886969005</v>
      </c>
      <c r="F4855">
        <v>0.56620580961086198</v>
      </c>
      <c r="G4855">
        <v>0.40914353890802602</v>
      </c>
      <c r="H4855">
        <v>0.31570347232430901</v>
      </c>
      <c r="I4855">
        <v>0.29929132159138599</v>
      </c>
      <c r="J4855">
        <v>0.25332025412588799</v>
      </c>
      <c r="K4855">
        <v>0.204775428407696</v>
      </c>
      <c r="L4855">
        <v>779.42199749147903</v>
      </c>
      <c r="M4855">
        <v>14.8358013054905</v>
      </c>
      <c r="N4855">
        <v>54.667722968381199</v>
      </c>
      <c r="O4855">
        <v>51.609736620104499</v>
      </c>
      <c r="P4855">
        <v>-5.6090290139699003E-2</v>
      </c>
      <c r="Q4855">
        <v>0.21959057510486801</v>
      </c>
      <c r="R4855">
        <v>0.98587896135397501</v>
      </c>
      <c r="S4855" t="s">
        <v>11166</v>
      </c>
      <c r="T4855" t="s">
        <v>12620</v>
      </c>
      <c r="U4855" t="s">
        <v>12620</v>
      </c>
      <c r="V4855" t="s">
        <v>12620</v>
      </c>
      <c r="W4855" t="s">
        <v>17420</v>
      </c>
      <c r="X4855">
        <v>18</v>
      </c>
      <c r="Y4855" t="s">
        <v>23528</v>
      </c>
      <c r="Z4855" t="s">
        <v>29802</v>
      </c>
      <c r="AA4855">
        <v>0.56309651162029106</v>
      </c>
      <c r="AB4855" t="str">
        <f>HYPERLINK("Melting_Curves/meltCurve_Q96R06_SPAG5.pdf", "Melting_Curves/meltCurve_Q96R06_SPAG5.pdf")</f>
        <v>Melting_Curves/meltCurve_Q96R06_SPAG5.pdf</v>
      </c>
    </row>
    <row r="4856" spans="1:28" x14ac:dyDescent="0.25">
      <c r="A4856" t="s">
        <v>4860</v>
      </c>
      <c r="B4856">
        <v>0.99987803227770999</v>
      </c>
      <c r="C4856">
        <v>0.92725371220221597</v>
      </c>
      <c r="D4856">
        <v>0.88038054154605805</v>
      </c>
      <c r="E4856">
        <v>0.87962031353611803</v>
      </c>
      <c r="F4856">
        <v>0.85836956649835905</v>
      </c>
      <c r="G4856">
        <v>0.62462803513328002</v>
      </c>
      <c r="H4856">
        <v>0.48670343604539601</v>
      </c>
      <c r="I4856">
        <v>0.35340817104906103</v>
      </c>
      <c r="J4856">
        <v>0.27122435301603498</v>
      </c>
      <c r="K4856">
        <v>0.165261002328915</v>
      </c>
      <c r="L4856">
        <v>613.94808650728203</v>
      </c>
      <c r="M4856">
        <v>10.185326977133</v>
      </c>
      <c r="N4856">
        <v>60.2777218551659</v>
      </c>
      <c r="O4856">
        <v>58.092645835424399</v>
      </c>
      <c r="P4856">
        <v>-4.3852129644272701E-2</v>
      </c>
      <c r="Q4856">
        <v>0</v>
      </c>
      <c r="R4856">
        <v>0.98294595091014103</v>
      </c>
      <c r="S4856" t="s">
        <v>11167</v>
      </c>
      <c r="T4856" t="s">
        <v>12620</v>
      </c>
      <c r="U4856" t="s">
        <v>12620</v>
      </c>
      <c r="V4856" t="s">
        <v>12620</v>
      </c>
      <c r="W4856" t="s">
        <v>17421</v>
      </c>
      <c r="X4856">
        <v>7</v>
      </c>
      <c r="Y4856" t="s">
        <v>23529</v>
      </c>
      <c r="Z4856" t="s">
        <v>29803</v>
      </c>
      <c r="AA4856">
        <v>0.67055757366991708</v>
      </c>
      <c r="AB4856" t="str">
        <f>HYPERLINK("Melting_Curves/meltCurve_Q96RE7_NACC1.pdf", "Melting_Curves/meltCurve_Q96RE7_NACC1.pdf")</f>
        <v>Melting_Curves/meltCurve_Q96RE7_NACC1.pdf</v>
      </c>
    </row>
    <row r="4857" spans="1:28" x14ac:dyDescent="0.25">
      <c r="A4857" t="s">
        <v>4861</v>
      </c>
      <c r="B4857">
        <v>0.99987803227770999</v>
      </c>
      <c r="C4857">
        <v>0.938940080244278</v>
      </c>
      <c r="D4857">
        <v>0.96367550022641002</v>
      </c>
      <c r="E4857">
        <v>0.79109709048067001</v>
      </c>
      <c r="F4857">
        <v>0.85404985876620498</v>
      </c>
      <c r="G4857">
        <v>0.706955689184527</v>
      </c>
      <c r="H4857">
        <v>0.700262523267975</v>
      </c>
      <c r="I4857">
        <v>0.71398655696657398</v>
      </c>
      <c r="J4857">
        <v>0.67542606783692505</v>
      </c>
      <c r="K4857">
        <v>0.57648366047880695</v>
      </c>
      <c r="L4857">
        <v>420.45179195621</v>
      </c>
      <c r="M4857">
        <v>7.64181344149514</v>
      </c>
      <c r="O4857">
        <v>51.631831727243302</v>
      </c>
      <c r="P4857">
        <v>-1.6502453218616198E-2</v>
      </c>
      <c r="Q4857">
        <v>0.55460281048691595</v>
      </c>
      <c r="R4857">
        <v>0.90738055395698702</v>
      </c>
      <c r="S4857" t="s">
        <v>11168</v>
      </c>
      <c r="T4857" t="s">
        <v>12620</v>
      </c>
      <c r="U4857" t="s">
        <v>12620</v>
      </c>
      <c r="V4857" t="s">
        <v>12620</v>
      </c>
      <c r="W4857" t="s">
        <v>17422</v>
      </c>
      <c r="X4857">
        <v>3</v>
      </c>
      <c r="Y4857" t="s">
        <v>23530</v>
      </c>
      <c r="Z4857" t="s">
        <v>29804</v>
      </c>
      <c r="AA4857">
        <v>0.78963845546260802</v>
      </c>
      <c r="AB4857" t="str">
        <f>HYPERLINK("Melting_Curves/meltCurve_Q96RF0_3_SNX18.pdf", "Melting_Curves/meltCurve_Q96RF0_3_SNX18.pdf")</f>
        <v>Melting_Curves/meltCurve_Q96RF0_3_SNX18.pdf</v>
      </c>
    </row>
    <row r="4858" spans="1:28" x14ac:dyDescent="0.25">
      <c r="A4858" t="s">
        <v>4862</v>
      </c>
      <c r="B4858">
        <v>0.99987803227770999</v>
      </c>
      <c r="C4858">
        <v>1.1761713211014599</v>
      </c>
      <c r="D4858">
        <v>0.92586592431661996</v>
      </c>
      <c r="E4858">
        <v>0.84668143395266404</v>
      </c>
      <c r="F4858">
        <v>0.392157560040994</v>
      </c>
      <c r="G4858">
        <v>0.24198037692832899</v>
      </c>
      <c r="H4858">
        <v>0.13405619407726299</v>
      </c>
      <c r="I4858">
        <v>0.11417979033171</v>
      </c>
      <c r="J4858">
        <v>9.1101136955112696E-2</v>
      </c>
      <c r="K4858">
        <v>6.1728390878885202E-2</v>
      </c>
      <c r="L4858">
        <v>1582.4581520883701</v>
      </c>
      <c r="M4858">
        <v>30.379004173977801</v>
      </c>
      <c r="N4858">
        <v>52.511578669576103</v>
      </c>
      <c r="O4858">
        <v>51.866365650440002</v>
      </c>
      <c r="P4858">
        <v>-0.13060165481966601</v>
      </c>
      <c r="Q4858">
        <v>0.108095689368274</v>
      </c>
      <c r="R4858">
        <v>0.97273308625803001</v>
      </c>
      <c r="S4858" t="s">
        <v>11169</v>
      </c>
      <c r="T4858" t="s">
        <v>12620</v>
      </c>
      <c r="U4858" t="s">
        <v>12620</v>
      </c>
      <c r="V4858" t="s">
        <v>12620</v>
      </c>
      <c r="W4858" t="s">
        <v>17423</v>
      </c>
      <c r="X4858">
        <v>8</v>
      </c>
      <c r="Y4858" t="s">
        <v>23531</v>
      </c>
      <c r="Z4858" t="s">
        <v>29805</v>
      </c>
      <c r="AA4858">
        <v>0.47311505670392628</v>
      </c>
      <c r="AB4858" t="str">
        <f>HYPERLINK("Melting_Curves/meltCurve_Q96RG2_PASK.pdf", "Melting_Curves/meltCurve_Q96RG2_PASK.pdf")</f>
        <v>Melting_Curves/meltCurve_Q96RG2_PASK.pdf</v>
      </c>
    </row>
    <row r="4859" spans="1:28" x14ac:dyDescent="0.25">
      <c r="A4859" t="s">
        <v>4863</v>
      </c>
      <c r="B4859">
        <v>0.99987803227770999</v>
      </c>
      <c r="C4859">
        <v>0.78261941063254103</v>
      </c>
      <c r="D4859">
        <v>0.87954865189478204</v>
      </c>
      <c r="E4859">
        <v>0.75933327178361798</v>
      </c>
      <c r="F4859">
        <v>0.88366695697783404</v>
      </c>
      <c r="G4859">
        <v>0.42625652654674201</v>
      </c>
      <c r="H4859">
        <v>0.57223898622773905</v>
      </c>
      <c r="I4859">
        <v>0.43181875906878298</v>
      </c>
      <c r="J4859">
        <v>0.58612831671572796</v>
      </c>
      <c r="K4859">
        <v>0.43378281653258199</v>
      </c>
      <c r="L4859">
        <v>387.87489017373298</v>
      </c>
      <c r="M4859">
        <v>7.18945923420518</v>
      </c>
      <c r="N4859">
        <v>64.671268705749299</v>
      </c>
      <c r="O4859">
        <v>50.244831480685598</v>
      </c>
      <c r="P4859">
        <v>-2.3356687733068801E-2</v>
      </c>
      <c r="Q4859">
        <v>0.34816591430555099</v>
      </c>
      <c r="R4859">
        <v>0.73353751886170304</v>
      </c>
      <c r="S4859" t="s">
        <v>11170</v>
      </c>
      <c r="T4859" t="s">
        <v>12620</v>
      </c>
      <c r="U4859" t="s">
        <v>12620</v>
      </c>
      <c r="V4859" t="s">
        <v>12620</v>
      </c>
      <c r="W4859" t="s">
        <v>13340</v>
      </c>
      <c r="X4859">
        <v>15</v>
      </c>
      <c r="Y4859" t="s">
        <v>19583</v>
      </c>
      <c r="Z4859" t="s">
        <v>29806</v>
      </c>
      <c r="AA4859">
        <v>0.67465567652161829</v>
      </c>
      <c r="AB4859" t="str">
        <f>HYPERLINK("Melting_Curves/meltCurve_Q96RK0_CIC.pdf", "Melting_Curves/meltCurve_Q96RK0_CIC.pdf")</f>
        <v>Melting_Curves/meltCurve_Q96RK0_CIC.pdf</v>
      </c>
    </row>
    <row r="4860" spans="1:28" x14ac:dyDescent="0.25">
      <c r="A4860" t="s">
        <v>4864</v>
      </c>
      <c r="B4860">
        <v>0.99987803227770999</v>
      </c>
      <c r="C4860">
        <v>0.89408901728940404</v>
      </c>
      <c r="D4860">
        <v>0.98001211408175204</v>
      </c>
      <c r="E4860">
        <v>0.93975904774089603</v>
      </c>
      <c r="F4860">
        <v>1.0225947423121799</v>
      </c>
      <c r="G4860">
        <v>0.94085325920344698</v>
      </c>
      <c r="H4860">
        <v>0.941282976295161</v>
      </c>
      <c r="I4860">
        <v>0.93277762729375602</v>
      </c>
      <c r="J4860">
        <v>0.80614584763505004</v>
      </c>
      <c r="K4860">
        <v>0.70322509241725295</v>
      </c>
      <c r="L4860">
        <v>975.94920705164895</v>
      </c>
      <c r="M4860">
        <v>13.0694952021168</v>
      </c>
      <c r="Q4860">
        <v>0</v>
      </c>
      <c r="R4860">
        <v>0.77044305675807701</v>
      </c>
      <c r="S4860" t="s">
        <v>11171</v>
      </c>
      <c r="T4860" t="s">
        <v>12620</v>
      </c>
      <c r="U4860" t="s">
        <v>12620</v>
      </c>
      <c r="V4860" t="s">
        <v>12620</v>
      </c>
      <c r="W4860" t="s">
        <v>17424</v>
      </c>
      <c r="X4860">
        <v>8</v>
      </c>
      <c r="Y4860" t="s">
        <v>23532</v>
      </c>
      <c r="Z4860" t="s">
        <v>29807</v>
      </c>
      <c r="AA4860">
        <v>0.94910233851859371</v>
      </c>
      <c r="AB4860" t="str">
        <f>HYPERLINK("Melting_Curves/meltCurve_Q96RL1_UIMC1.pdf", "Melting_Curves/meltCurve_Q96RL1_UIMC1.pdf")</f>
        <v>Melting_Curves/meltCurve_Q96RL1_UIMC1.pdf</v>
      </c>
    </row>
    <row r="4861" spans="1:28" x14ac:dyDescent="0.25">
      <c r="A4861" t="s">
        <v>4865</v>
      </c>
      <c r="B4861">
        <v>0.99987803227770999</v>
      </c>
      <c r="C4861">
        <v>2.2641508323706101</v>
      </c>
      <c r="D4861">
        <v>1.76796517877772</v>
      </c>
      <c r="E4861">
        <v>2.3016121798173401</v>
      </c>
      <c r="F4861">
        <v>1.5291367249257599</v>
      </c>
      <c r="G4861">
        <v>1.43375544301649</v>
      </c>
      <c r="H4861">
        <v>1.1428624827539799</v>
      </c>
      <c r="I4861">
        <v>0.84226415874903204</v>
      </c>
      <c r="J4861">
        <v>0.43910475974488999</v>
      </c>
      <c r="K4861">
        <v>0.22463450790237799</v>
      </c>
      <c r="L4861">
        <v>3692.72227860665</v>
      </c>
      <c r="M4861">
        <v>56.048235028031101</v>
      </c>
      <c r="N4861">
        <v>66.498310636074095</v>
      </c>
      <c r="O4861">
        <v>65.801006395356595</v>
      </c>
      <c r="P4861">
        <v>-0.169952558453527</v>
      </c>
      <c r="Q4861">
        <v>0.20189863369801</v>
      </c>
      <c r="R4861">
        <v>1.56185021911246E-2</v>
      </c>
      <c r="S4861" t="s">
        <v>11172</v>
      </c>
      <c r="T4861" t="s">
        <v>12620</v>
      </c>
      <c r="U4861" t="s">
        <v>12620</v>
      </c>
      <c r="V4861" t="s">
        <v>12620</v>
      </c>
      <c r="W4861" t="s">
        <v>17425</v>
      </c>
      <c r="X4861">
        <v>6</v>
      </c>
      <c r="Y4861" t="s">
        <v>23533</v>
      </c>
      <c r="Z4861" t="s">
        <v>29808</v>
      </c>
      <c r="AA4861">
        <v>0.89102640659160837</v>
      </c>
      <c r="AB4861" t="str">
        <f>HYPERLINK("Melting_Curves/meltCurve_Q96RL7_4_VPS13A.pdf", "Melting_Curves/meltCurve_Q96RL7_4_VPS13A.pdf")</f>
        <v>Melting_Curves/meltCurve_Q96RL7_4_VPS13A.pdf</v>
      </c>
    </row>
    <row r="4862" spans="1:28" x14ac:dyDescent="0.25">
      <c r="A4862" t="s">
        <v>4866</v>
      </c>
      <c r="B4862">
        <v>0.99987803227770999</v>
      </c>
      <c r="C4862">
        <v>0.91126139368432202</v>
      </c>
      <c r="D4862">
        <v>0.95160438658450897</v>
      </c>
      <c r="E4862">
        <v>0.86686157139041298</v>
      </c>
      <c r="F4862">
        <v>0.74814954520303101</v>
      </c>
      <c r="G4862">
        <v>0.55469898594600897</v>
      </c>
      <c r="H4862">
        <v>0.50041888608263896</v>
      </c>
      <c r="I4862">
        <v>0.53496837626704696</v>
      </c>
      <c r="J4862">
        <v>0.32108565146967999</v>
      </c>
      <c r="K4862">
        <v>0.22970224071714701</v>
      </c>
      <c r="L4862">
        <v>452.67403029370399</v>
      </c>
      <c r="M4862">
        <v>7.4127050397644396</v>
      </c>
      <c r="N4862">
        <v>61.0673198658559</v>
      </c>
      <c r="O4862">
        <v>57.095594009026897</v>
      </c>
      <c r="P4862">
        <v>-3.25061636274055E-2</v>
      </c>
      <c r="Q4862">
        <v>0</v>
      </c>
      <c r="R4862">
        <v>0.95911275373504701</v>
      </c>
      <c r="S4862" t="s">
        <v>11173</v>
      </c>
      <c r="T4862" t="s">
        <v>12620</v>
      </c>
      <c r="U4862" t="s">
        <v>12620</v>
      </c>
      <c r="V4862" t="s">
        <v>12620</v>
      </c>
      <c r="W4862" t="s">
        <v>17426</v>
      </c>
      <c r="X4862">
        <v>9</v>
      </c>
      <c r="Y4862" t="s">
        <v>23534</v>
      </c>
      <c r="Z4862" t="s">
        <v>29809</v>
      </c>
      <c r="AA4862">
        <v>0.67055130811595609</v>
      </c>
      <c r="AB4862" t="str">
        <f>HYPERLINK("Melting_Curves/meltCurve_Q96RN5_3_MED15.pdf", "Melting_Curves/meltCurve_Q96RN5_3_MED15.pdf")</f>
        <v>Melting_Curves/meltCurve_Q96RN5_3_MED15.pdf</v>
      </c>
    </row>
    <row r="4863" spans="1:28" x14ac:dyDescent="0.25">
      <c r="A4863" t="s">
        <v>4867</v>
      </c>
      <c r="B4863">
        <v>0.99987803227770999</v>
      </c>
      <c r="C4863">
        <v>0.79432927492336003</v>
      </c>
      <c r="D4863">
        <v>1.0550352499714</v>
      </c>
      <c r="E4863">
        <v>0.57585542159200498</v>
      </c>
      <c r="F4863">
        <v>0.18859893511293799</v>
      </c>
      <c r="G4863">
        <v>0.114637737263942</v>
      </c>
      <c r="H4863">
        <v>7.7289029067513504E-2</v>
      </c>
      <c r="I4863">
        <v>6.6332244394110701E-2</v>
      </c>
      <c r="J4863">
        <v>5.3422454203455101E-2</v>
      </c>
      <c r="K4863">
        <v>3.7230418581763403E-2</v>
      </c>
      <c r="L4863">
        <v>2019.9404180281099</v>
      </c>
      <c r="M4863">
        <v>40.165229489027404</v>
      </c>
      <c r="N4863">
        <v>50.478607566260301</v>
      </c>
      <c r="O4863">
        <v>50.166591618152403</v>
      </c>
      <c r="P4863">
        <v>-0.18626610308599501</v>
      </c>
      <c r="Q4863">
        <v>6.9412381056740594E-2</v>
      </c>
      <c r="R4863">
        <v>0.96758239925365996</v>
      </c>
      <c r="S4863" t="s">
        <v>11174</v>
      </c>
      <c r="T4863" t="s">
        <v>12620</v>
      </c>
      <c r="U4863" t="s">
        <v>12620</v>
      </c>
      <c r="V4863" t="s">
        <v>12620</v>
      </c>
      <c r="W4863" t="s">
        <v>17427</v>
      </c>
      <c r="X4863">
        <v>18</v>
      </c>
      <c r="Y4863" t="s">
        <v>23535</v>
      </c>
      <c r="Z4863" t="s">
        <v>29810</v>
      </c>
      <c r="AA4863">
        <v>0.39183674909275662</v>
      </c>
      <c r="AB4863" t="str">
        <f>HYPERLINK("Melting_Curves/meltCurve_Q96RP9_GFM1.pdf", "Melting_Curves/meltCurve_Q96RP9_GFM1.pdf")</f>
        <v>Melting_Curves/meltCurve_Q96RP9_GFM1.pdf</v>
      </c>
    </row>
    <row r="4864" spans="1:28" x14ac:dyDescent="0.25">
      <c r="A4864" t="s">
        <v>4868</v>
      </c>
      <c r="B4864">
        <v>0.99987803227770999</v>
      </c>
      <c r="C4864">
        <v>0.80107642542879398</v>
      </c>
      <c r="D4864">
        <v>0.53072139120286499</v>
      </c>
      <c r="E4864">
        <v>0.413967146198021</v>
      </c>
      <c r="F4864">
        <v>0.37607915846900503</v>
      </c>
      <c r="G4864">
        <v>0.25232667246593798</v>
      </c>
      <c r="H4864">
        <v>0.26846254616792498</v>
      </c>
      <c r="I4864">
        <v>0.24300638788863799</v>
      </c>
      <c r="J4864">
        <v>0.286412069366346</v>
      </c>
      <c r="K4864">
        <v>0.21900249443335801</v>
      </c>
      <c r="L4864">
        <v>796.37035566908298</v>
      </c>
      <c r="M4864">
        <v>17.559129500395599</v>
      </c>
      <c r="N4864">
        <v>47.320931138224402</v>
      </c>
      <c r="O4864">
        <v>44.777657872782797</v>
      </c>
      <c r="P4864">
        <v>-7.2643696851912604E-2</v>
      </c>
      <c r="Q4864">
        <v>0.25904353280199799</v>
      </c>
      <c r="R4864">
        <v>0.97548499697257696</v>
      </c>
      <c r="S4864" t="s">
        <v>11175</v>
      </c>
      <c r="T4864" t="s">
        <v>12620</v>
      </c>
      <c r="U4864" t="s">
        <v>12620</v>
      </c>
      <c r="V4864" t="s">
        <v>12620</v>
      </c>
      <c r="W4864" t="s">
        <v>17428</v>
      </c>
      <c r="X4864">
        <v>8</v>
      </c>
      <c r="Y4864" t="s">
        <v>23536</v>
      </c>
      <c r="Z4864" t="s">
        <v>29811</v>
      </c>
      <c r="AA4864">
        <v>0.40754881813291399</v>
      </c>
      <c r="AB4864" t="str">
        <f>HYPERLINK("Melting_Curves/meltCurve_Q96RR4_2_CAMKK2.pdf", "Melting_Curves/meltCurve_Q96RR4_2_CAMKK2.pdf")</f>
        <v>Melting_Curves/meltCurve_Q96RR4_2_CAMKK2.pdf</v>
      </c>
    </row>
    <row r="4865" spans="1:28" x14ac:dyDescent="0.25">
      <c r="A4865" t="s">
        <v>4869</v>
      </c>
      <c r="B4865">
        <v>0.99987803227770999</v>
      </c>
      <c r="C4865">
        <v>0.96061306314643302</v>
      </c>
      <c r="D4865">
        <v>0.66274819584193501</v>
      </c>
      <c r="E4865">
        <v>0.55488719974184797</v>
      </c>
      <c r="F4865">
        <v>0.20094728323177399</v>
      </c>
      <c r="G4865">
        <v>0.109613429454831</v>
      </c>
      <c r="H4865">
        <v>6.5524254953000904E-2</v>
      </c>
      <c r="I4865">
        <v>5.3547920072940298E-2</v>
      </c>
      <c r="J4865">
        <v>4.0185200474876802E-2</v>
      </c>
      <c r="K4865">
        <v>2.50138457579566E-2</v>
      </c>
      <c r="L4865">
        <v>769.13454938487098</v>
      </c>
      <c r="M4865">
        <v>15.6090802371638</v>
      </c>
      <c r="N4865">
        <v>49.381669902766902</v>
      </c>
      <c r="O4865">
        <v>48.487308167827699</v>
      </c>
      <c r="P4865">
        <v>-7.9150635651834694E-2</v>
      </c>
      <c r="Q4865">
        <v>1.6605811425799501E-2</v>
      </c>
      <c r="R4865">
        <v>0.98092281066068798</v>
      </c>
      <c r="S4865" t="s">
        <v>11176</v>
      </c>
      <c r="T4865" t="s">
        <v>12620</v>
      </c>
      <c r="U4865" t="s">
        <v>12620</v>
      </c>
      <c r="V4865" t="s">
        <v>12620</v>
      </c>
      <c r="W4865" t="s">
        <v>17429</v>
      </c>
      <c r="X4865">
        <v>3</v>
      </c>
      <c r="Y4865" t="s">
        <v>23537</v>
      </c>
      <c r="Z4865" t="s">
        <v>29812</v>
      </c>
      <c r="AA4865">
        <v>0.34294125571612433</v>
      </c>
      <c r="AB4865" t="str">
        <f>HYPERLINK("Melting_Curves/meltCurve_Q96RS0_TGS1.pdf", "Melting_Curves/meltCurve_Q96RS0_TGS1.pdf")</f>
        <v>Melting_Curves/meltCurve_Q96RS0_TGS1.pdf</v>
      </c>
    </row>
    <row r="4866" spans="1:28" x14ac:dyDescent="0.25">
      <c r="A4866" t="s">
        <v>4870</v>
      </c>
      <c r="B4866">
        <v>0.99987803227770999</v>
      </c>
      <c r="C4866">
        <v>1.0890545288993301</v>
      </c>
      <c r="D4866">
        <v>1.16036172442472</v>
      </c>
      <c r="E4866">
        <v>1.2699495413456099</v>
      </c>
      <c r="F4866">
        <v>1.2765845618298299</v>
      </c>
      <c r="G4866">
        <v>0.77098699659201997</v>
      </c>
      <c r="H4866">
        <v>0.20372867918808699</v>
      </c>
      <c r="I4866">
        <v>0.140494656559459</v>
      </c>
      <c r="J4866">
        <v>0.10475344490532</v>
      </c>
      <c r="K4866">
        <v>6.7157175127384297E-2</v>
      </c>
      <c r="L4866">
        <v>3038.2154306820498</v>
      </c>
      <c r="M4866">
        <v>52.1245658875334</v>
      </c>
      <c r="N4866">
        <v>58.553615752560901</v>
      </c>
      <c r="O4866">
        <v>58.202001927289501</v>
      </c>
      <c r="P4866">
        <v>-0.200290117678951</v>
      </c>
      <c r="Q4866">
        <v>0.105429487456772</v>
      </c>
      <c r="R4866">
        <v>0.92231688186042304</v>
      </c>
      <c r="S4866" t="s">
        <v>11177</v>
      </c>
      <c r="T4866" t="s">
        <v>12620</v>
      </c>
      <c r="U4866" t="s">
        <v>12620</v>
      </c>
      <c r="V4866" t="s">
        <v>12620</v>
      </c>
      <c r="W4866" t="s">
        <v>17430</v>
      </c>
      <c r="X4866">
        <v>16</v>
      </c>
      <c r="Y4866" t="s">
        <v>23538</v>
      </c>
      <c r="Z4866" t="s">
        <v>29813</v>
      </c>
      <c r="AA4866">
        <v>0.65285467396587982</v>
      </c>
      <c r="AB4866" t="str">
        <f>HYPERLINK("Melting_Curves/meltCurve_Q96RS6_NUDCD1.pdf", "Melting_Curves/meltCurve_Q96RS6_NUDCD1.pdf")</f>
        <v>Melting_Curves/meltCurve_Q96RS6_NUDCD1.pdf</v>
      </c>
    </row>
    <row r="4867" spans="1:28" x14ac:dyDescent="0.25">
      <c r="A4867" t="s">
        <v>4871</v>
      </c>
      <c r="B4867">
        <v>0.99987803227770999</v>
      </c>
      <c r="C4867">
        <v>0.89638099628328005</v>
      </c>
      <c r="D4867">
        <v>0.98049402669298902</v>
      </c>
      <c r="E4867">
        <v>0.82084871970637596</v>
      </c>
      <c r="F4867">
        <v>0.85124763682862303</v>
      </c>
      <c r="G4867">
        <v>0.70574502017094498</v>
      </c>
      <c r="H4867">
        <v>0.67970132645348202</v>
      </c>
      <c r="I4867">
        <v>0.66827879576457405</v>
      </c>
      <c r="J4867">
        <v>0.58722678203552603</v>
      </c>
      <c r="K4867">
        <v>0.48081819317971902</v>
      </c>
      <c r="L4867">
        <v>317.16960300053302</v>
      </c>
      <c r="M4867">
        <v>4.4583293356095899</v>
      </c>
      <c r="O4867">
        <v>60.3083725850313</v>
      </c>
      <c r="P4867">
        <v>-1.86480982426304E-2</v>
      </c>
      <c r="Q4867">
        <v>0</v>
      </c>
      <c r="R4867">
        <v>0.93676349537392201</v>
      </c>
      <c r="S4867" t="s">
        <v>11178</v>
      </c>
      <c r="T4867" t="s">
        <v>12620</v>
      </c>
      <c r="U4867" t="s">
        <v>12620</v>
      </c>
      <c r="V4867" t="s">
        <v>12620</v>
      </c>
      <c r="W4867" t="s">
        <v>17431</v>
      </c>
      <c r="X4867">
        <v>18</v>
      </c>
      <c r="Y4867" t="s">
        <v>23539</v>
      </c>
      <c r="Z4867" t="s">
        <v>29814</v>
      </c>
      <c r="AA4867">
        <v>0.77227388399821484</v>
      </c>
      <c r="AB4867" t="str">
        <f>HYPERLINK("Melting_Curves/meltCurve_Q96RT1_9_ERBB2IP.pdf", "Melting_Curves/meltCurve_Q96RT1_9_ERBB2IP.pdf")</f>
        <v>Melting_Curves/meltCurve_Q96RT1_9_ERBB2IP.pdf</v>
      </c>
    </row>
    <row r="4868" spans="1:28" x14ac:dyDescent="0.25">
      <c r="A4868" t="s">
        <v>4872</v>
      </c>
      <c r="B4868">
        <v>0.99987803227770999</v>
      </c>
      <c r="C4868">
        <v>1.2195147002042801</v>
      </c>
      <c r="D4868">
        <v>0.87073381143114204</v>
      </c>
      <c r="E4868">
        <v>0.61323075090714696</v>
      </c>
      <c r="F4868">
        <v>0.305551245713436</v>
      </c>
      <c r="G4868">
        <v>0.203069648688014</v>
      </c>
      <c r="H4868">
        <v>0.13501885475329101</v>
      </c>
      <c r="I4868">
        <v>0.116250869948298</v>
      </c>
      <c r="J4868">
        <v>8.7644416584202994E-2</v>
      </c>
      <c r="K4868">
        <v>6.2815410986093903E-2</v>
      </c>
      <c r="L4868">
        <v>1210.12854122367</v>
      </c>
      <c r="M4868">
        <v>23.948369759358801</v>
      </c>
      <c r="N4868">
        <v>51.016544207738498</v>
      </c>
      <c r="O4868">
        <v>50.182363039416202</v>
      </c>
      <c r="P4868">
        <v>-0.10714412097235899</v>
      </c>
      <c r="Q4868">
        <v>0.101958454925225</v>
      </c>
      <c r="R4868">
        <v>0.96332946258164398</v>
      </c>
      <c r="S4868" t="s">
        <v>11179</v>
      </c>
      <c r="T4868" t="s">
        <v>12620</v>
      </c>
      <c r="U4868" t="s">
        <v>12620</v>
      </c>
      <c r="V4868" t="s">
        <v>12620</v>
      </c>
      <c r="W4868" t="s">
        <v>17432</v>
      </c>
      <c r="X4868">
        <v>11</v>
      </c>
      <c r="Y4868" t="s">
        <v>23540</v>
      </c>
      <c r="Z4868" t="s">
        <v>29815</v>
      </c>
      <c r="AA4868">
        <v>0.42598206619299028</v>
      </c>
      <c r="AB4868" t="str">
        <f>HYPERLINK("Melting_Curves/meltCurve_Q96RU2_2_USP28.pdf", "Melting_Curves/meltCurve_Q96RU2_2_USP28.pdf")</f>
        <v>Melting_Curves/meltCurve_Q96RU2_2_USP28.pdf</v>
      </c>
    </row>
    <row r="4869" spans="1:28" x14ac:dyDescent="0.25">
      <c r="A4869" t="s">
        <v>4873</v>
      </c>
      <c r="B4869">
        <v>0.99987803227770999</v>
      </c>
      <c r="C4869">
        <v>1.19720138726228</v>
      </c>
      <c r="D4869">
        <v>0.96767584608356805</v>
      </c>
      <c r="E4869">
        <v>0.56038451699182601</v>
      </c>
      <c r="F4869">
        <v>0.40921287225976</v>
      </c>
      <c r="G4869">
        <v>0.32396481412575501</v>
      </c>
      <c r="H4869">
        <v>0.25803217597181399</v>
      </c>
      <c r="I4869">
        <v>0.24801790830027801</v>
      </c>
      <c r="J4869">
        <v>0.212622463777495</v>
      </c>
      <c r="K4869">
        <v>0.148475536106567</v>
      </c>
      <c r="L4869">
        <v>1358.60152316107</v>
      </c>
      <c r="M4869">
        <v>27.1883200993725</v>
      </c>
      <c r="N4869">
        <v>51.153852592679399</v>
      </c>
      <c r="O4869">
        <v>49.702058057152897</v>
      </c>
      <c r="P4869">
        <v>-0.104826276868869</v>
      </c>
      <c r="Q4869">
        <v>0.23348975832097199</v>
      </c>
      <c r="R4869">
        <v>0.95393582194863502</v>
      </c>
      <c r="S4869" t="s">
        <v>11180</v>
      </c>
      <c r="T4869" t="s">
        <v>12620</v>
      </c>
      <c r="U4869" t="s">
        <v>12620</v>
      </c>
      <c r="V4869" t="s">
        <v>12620</v>
      </c>
      <c r="W4869" t="s">
        <v>17433</v>
      </c>
      <c r="X4869">
        <v>12</v>
      </c>
      <c r="Y4869" t="s">
        <v>23541</v>
      </c>
      <c r="Z4869" t="s">
        <v>29816</v>
      </c>
      <c r="AA4869">
        <v>0.49401024527179821</v>
      </c>
      <c r="AB4869" t="str">
        <f>HYPERLINK("Melting_Curves/meltCurve_Q96RU3_2_FNBP1.pdf", "Melting_Curves/meltCurve_Q96RU3_2_FNBP1.pdf")</f>
        <v>Melting_Curves/meltCurve_Q96RU3_2_FNBP1.pdf</v>
      </c>
    </row>
    <row r="4870" spans="1:28" x14ac:dyDescent="0.25">
      <c r="A4870" t="s">
        <v>4874</v>
      </c>
      <c r="B4870">
        <v>0.99987803227770999</v>
      </c>
      <c r="C4870">
        <v>1.0768426569454701</v>
      </c>
      <c r="D4870">
        <v>0.98994699661317598</v>
      </c>
      <c r="E4870">
        <v>1.01364524863035</v>
      </c>
      <c r="F4870">
        <v>0.85349528103898797</v>
      </c>
      <c r="G4870">
        <v>0.80569040372965395</v>
      </c>
      <c r="H4870">
        <v>0.94520429178784604</v>
      </c>
      <c r="I4870">
        <v>0.72071839062963206</v>
      </c>
      <c r="J4870">
        <v>0.66700232104221202</v>
      </c>
      <c r="K4870">
        <v>0.404580553903507</v>
      </c>
      <c r="L4870">
        <v>826.04085667260802</v>
      </c>
      <c r="M4870">
        <v>11.9073901205622</v>
      </c>
      <c r="N4870">
        <v>69.372105245334097</v>
      </c>
      <c r="O4870">
        <v>67.502331236967194</v>
      </c>
      <c r="P4870">
        <v>-4.4110876790481299E-2</v>
      </c>
      <c r="Q4870">
        <v>0</v>
      </c>
      <c r="R4870">
        <v>0.848734607738453</v>
      </c>
      <c r="S4870" t="s">
        <v>11181</v>
      </c>
      <c r="T4870" t="s">
        <v>12620</v>
      </c>
      <c r="U4870" t="s">
        <v>12620</v>
      </c>
      <c r="V4870" t="s">
        <v>12620</v>
      </c>
      <c r="W4870" t="s">
        <v>17434</v>
      </c>
      <c r="X4870">
        <v>2</v>
      </c>
      <c r="Y4870" t="s">
        <v>23542</v>
      </c>
      <c r="Z4870" t="s">
        <v>29817</v>
      </c>
      <c r="AA4870">
        <v>0.87593033239391249</v>
      </c>
      <c r="AB4870" t="str">
        <f>HYPERLINK("Melting_Curves/meltCurve_Q96RW7_2_HMCN1.pdf", "Melting_Curves/meltCurve_Q96RW7_2_HMCN1.pdf")</f>
        <v>Melting_Curves/meltCurve_Q96RW7_2_HMCN1.pdf</v>
      </c>
    </row>
    <row r="4871" spans="1:28" x14ac:dyDescent="0.25">
      <c r="A4871" t="s">
        <v>4875</v>
      </c>
      <c r="B4871">
        <v>0.99987803227770999</v>
      </c>
      <c r="C4871">
        <v>0.70255426422025502</v>
      </c>
      <c r="D4871">
        <v>0.73439097834307299</v>
      </c>
      <c r="E4871">
        <v>0.55304751438371003</v>
      </c>
      <c r="F4871">
        <v>1.1431745590154501</v>
      </c>
      <c r="G4871">
        <v>0.54425702933198195</v>
      </c>
      <c r="H4871">
        <v>0.92795053143628503</v>
      </c>
      <c r="I4871">
        <v>0.762678221112706</v>
      </c>
      <c r="J4871">
        <v>0.97344426373941195</v>
      </c>
      <c r="K4871">
        <v>0.78095731360433696</v>
      </c>
      <c r="L4871">
        <v>10239.3692217518</v>
      </c>
      <c r="M4871">
        <v>250</v>
      </c>
      <c r="O4871">
        <v>40.954863088797303</v>
      </c>
      <c r="P4871">
        <v>-0.31836303664124799</v>
      </c>
      <c r="Q4871">
        <v>0.79138380361239302</v>
      </c>
      <c r="R4871">
        <v>0.11352166017510899</v>
      </c>
      <c r="S4871" t="s">
        <v>11182</v>
      </c>
      <c r="T4871" t="s">
        <v>12620</v>
      </c>
      <c r="U4871" t="s">
        <v>12620</v>
      </c>
      <c r="V4871" t="s">
        <v>12620</v>
      </c>
      <c r="W4871" t="s">
        <v>17435</v>
      </c>
      <c r="X4871">
        <v>1</v>
      </c>
      <c r="Y4871" t="s">
        <v>23543</v>
      </c>
      <c r="Z4871" t="s">
        <v>29818</v>
      </c>
      <c r="AA4871">
        <v>0.79805968345486078</v>
      </c>
      <c r="AB4871" t="str">
        <f>HYPERLINK("Melting_Curves/meltCurve_Q96RY5_CRAMP1L.pdf", "Melting_Curves/meltCurve_Q96RY5_CRAMP1L.pdf")</f>
        <v>Melting_Curves/meltCurve_Q96RY5_CRAMP1L.pdf</v>
      </c>
    </row>
    <row r="4872" spans="1:28" x14ac:dyDescent="0.25">
      <c r="A4872" t="s">
        <v>4876</v>
      </c>
      <c r="B4872">
        <v>0.99987803227770999</v>
      </c>
      <c r="C4872">
        <v>1.0713207092063799</v>
      </c>
      <c r="D4872">
        <v>0.91878486782316404</v>
      </c>
      <c r="E4872">
        <v>1.0811570598014399</v>
      </c>
      <c r="F4872">
        <v>0.77622501056497795</v>
      </c>
      <c r="G4872">
        <v>0.78885741982865898</v>
      </c>
      <c r="H4872">
        <v>0.38089718359028701</v>
      </c>
      <c r="I4872">
        <v>0.10806237727071399</v>
      </c>
      <c r="J4872">
        <v>5.48743871923386E-2</v>
      </c>
      <c r="K4872">
        <v>4.0100907938548501E-2</v>
      </c>
      <c r="L4872">
        <v>1392.70029622023</v>
      </c>
      <c r="M4872">
        <v>23.4099707944134</v>
      </c>
      <c r="N4872">
        <v>59.491764375169097</v>
      </c>
      <c r="O4872">
        <v>59.062730219578</v>
      </c>
      <c r="P4872">
        <v>-9.9091148059161693E-2</v>
      </c>
      <c r="Q4872">
        <v>0</v>
      </c>
      <c r="R4872">
        <v>0.96694749030704397</v>
      </c>
      <c r="S4872" t="s">
        <v>11183</v>
      </c>
      <c r="T4872" t="s">
        <v>12620</v>
      </c>
      <c r="U4872" t="s">
        <v>12620</v>
      </c>
      <c r="V4872" t="s">
        <v>12620</v>
      </c>
      <c r="W4872" t="s">
        <v>17436</v>
      </c>
      <c r="X4872">
        <v>2</v>
      </c>
      <c r="Y4872" t="s">
        <v>23544</v>
      </c>
      <c r="Z4872" t="s">
        <v>29819</v>
      </c>
      <c r="AA4872">
        <v>0.65809344449471319</v>
      </c>
      <c r="AB4872" t="str">
        <f>HYPERLINK("Melting_Curves/meltCurve_Q96RY7_IFT140.pdf", "Melting_Curves/meltCurve_Q96RY7_IFT140.pdf")</f>
        <v>Melting_Curves/meltCurve_Q96RY7_IFT140.pdf</v>
      </c>
    </row>
    <row r="4873" spans="1:28" x14ac:dyDescent="0.25">
      <c r="A4873" t="s">
        <v>4877</v>
      </c>
      <c r="B4873">
        <v>0.99987803227770999</v>
      </c>
      <c r="C4873">
        <v>0.83237882358799198</v>
      </c>
      <c r="D4873">
        <v>0.94033283852483296</v>
      </c>
      <c r="E4873">
        <v>0.60435032525874799</v>
      </c>
      <c r="F4873">
        <v>0.20179254644144101</v>
      </c>
      <c r="G4873">
        <v>0.121047834151342</v>
      </c>
      <c r="H4873">
        <v>9.5207118191557097E-2</v>
      </c>
      <c r="I4873">
        <v>7.5458810220770806E-2</v>
      </c>
      <c r="J4873">
        <v>6.2966160764003701E-2</v>
      </c>
      <c r="K4873">
        <v>4.3497609631565903E-2</v>
      </c>
      <c r="L4873">
        <v>1522.83841613864</v>
      </c>
      <c r="M4873">
        <v>30.2521994418743</v>
      </c>
      <c r="N4873">
        <v>50.586203143181599</v>
      </c>
      <c r="O4873">
        <v>50.119703542047901</v>
      </c>
      <c r="P4873">
        <v>-0.14049702644303799</v>
      </c>
      <c r="Q4873">
        <v>6.89440840076289E-2</v>
      </c>
      <c r="R4873">
        <v>0.97904804144532798</v>
      </c>
      <c r="S4873" t="s">
        <v>11184</v>
      </c>
      <c r="T4873" t="s">
        <v>12620</v>
      </c>
      <c r="U4873" t="s">
        <v>12620</v>
      </c>
      <c r="V4873" t="s">
        <v>12620</v>
      </c>
      <c r="W4873" t="s">
        <v>17437</v>
      </c>
      <c r="X4873">
        <v>10</v>
      </c>
      <c r="Y4873" t="s">
        <v>23545</v>
      </c>
      <c r="Z4873" t="s">
        <v>29820</v>
      </c>
      <c r="AA4873">
        <v>0.39548287716451042</v>
      </c>
      <c r="AB4873" t="str">
        <f>HYPERLINK("Melting_Curves/meltCurve_Q96S19_C16orf13.pdf", "Melting_Curves/meltCurve_Q96S19_C16orf13.pdf")</f>
        <v>Melting_Curves/meltCurve_Q96S19_C16orf13.pdf</v>
      </c>
    </row>
    <row r="4874" spans="1:28" x14ac:dyDescent="0.25">
      <c r="A4874" t="s">
        <v>4878</v>
      </c>
      <c r="B4874">
        <v>0.99987803227770999</v>
      </c>
      <c r="C4874">
        <v>1.11787815264824</v>
      </c>
      <c r="D4874">
        <v>1.0065127432152801</v>
      </c>
      <c r="E4874">
        <v>1.04415146088665</v>
      </c>
      <c r="F4874">
        <v>0.79319880405313903</v>
      </c>
      <c r="G4874">
        <v>0.63625928385759201</v>
      </c>
      <c r="H4874">
        <v>0.38199828168489203</v>
      </c>
      <c r="I4874">
        <v>0.36690027916636497</v>
      </c>
      <c r="J4874">
        <v>0.28363618956386899</v>
      </c>
      <c r="K4874">
        <v>0.22257055906232201</v>
      </c>
      <c r="L4874">
        <v>1096.2883019876999</v>
      </c>
      <c r="M4874">
        <v>19.217114302675199</v>
      </c>
      <c r="N4874">
        <v>58.994846323917699</v>
      </c>
      <c r="O4874">
        <v>56.44052332855</v>
      </c>
      <c r="P4874">
        <v>-6.5132544659058003E-2</v>
      </c>
      <c r="Q4874">
        <v>0.234853944577395</v>
      </c>
      <c r="R4874">
        <v>0.97169575784617201</v>
      </c>
      <c r="S4874" t="s">
        <v>11185</v>
      </c>
      <c r="T4874" t="s">
        <v>12620</v>
      </c>
      <c r="U4874" t="s">
        <v>12620</v>
      </c>
      <c r="V4874" t="s">
        <v>12620</v>
      </c>
      <c r="W4874" t="s">
        <v>17438</v>
      </c>
      <c r="X4874">
        <v>5</v>
      </c>
      <c r="Y4874" t="s">
        <v>23546</v>
      </c>
      <c r="Z4874" t="s">
        <v>29821</v>
      </c>
      <c r="AA4874">
        <v>0.67942047089404956</v>
      </c>
      <c r="AB4874" t="str">
        <f>HYPERLINK("Melting_Curves/meltCurve_Q96S38_RPS6KC1.pdf", "Melting_Curves/meltCurve_Q96S38_RPS6KC1.pdf")</f>
        <v>Melting_Curves/meltCurve_Q96S38_RPS6KC1.pdf</v>
      </c>
    </row>
    <row r="4875" spans="1:28" x14ac:dyDescent="0.25">
      <c r="A4875" t="s">
        <v>4879</v>
      </c>
      <c r="B4875">
        <v>0.99987803227770999</v>
      </c>
      <c r="C4875">
        <v>1.0145013768323199</v>
      </c>
      <c r="D4875">
        <v>1.0102054090655499</v>
      </c>
      <c r="E4875">
        <v>0.91913142939453396</v>
      </c>
      <c r="F4875">
        <v>0.58404159695839697</v>
      </c>
      <c r="G4875">
        <v>0.24230280825547101</v>
      </c>
      <c r="H4875">
        <v>8.4837200255520204E-2</v>
      </c>
      <c r="I4875">
        <v>6.9309191916907806E-2</v>
      </c>
      <c r="J4875">
        <v>4.8420455387696702E-2</v>
      </c>
      <c r="K4875">
        <v>4.12660707000213E-2</v>
      </c>
      <c r="L4875">
        <v>1441.0345672646699</v>
      </c>
      <c r="M4875">
        <v>26.814076181899502</v>
      </c>
      <c r="N4875">
        <v>53.952415933553503</v>
      </c>
      <c r="O4875">
        <v>53.445494888673899</v>
      </c>
      <c r="P4875">
        <v>-0.119193533656526</v>
      </c>
      <c r="Q4875">
        <v>4.9709453280873603E-2</v>
      </c>
      <c r="R4875">
        <v>0.998178486120612</v>
      </c>
      <c r="S4875" t="s">
        <v>11186</v>
      </c>
      <c r="T4875" t="s">
        <v>12620</v>
      </c>
      <c r="U4875" t="s">
        <v>12620</v>
      </c>
      <c r="V4875" t="s">
        <v>12620</v>
      </c>
      <c r="W4875" t="s">
        <v>17439</v>
      </c>
      <c r="X4875">
        <v>4</v>
      </c>
      <c r="Y4875" t="s">
        <v>23547</v>
      </c>
      <c r="Z4875" t="s">
        <v>29822</v>
      </c>
      <c r="AA4875">
        <v>0.49270961762281112</v>
      </c>
      <c r="AB4875" t="str">
        <f>HYPERLINK("Melting_Curves/meltCurve_Q96S44_TP53RK.pdf", "Melting_Curves/meltCurve_Q96S44_TP53RK.pdf")</f>
        <v>Melting_Curves/meltCurve_Q96S44_TP53RK.pdf</v>
      </c>
    </row>
    <row r="4876" spans="1:28" x14ac:dyDescent="0.25">
      <c r="A4876" t="s">
        <v>4880</v>
      </c>
      <c r="B4876">
        <v>0.99987803227770999</v>
      </c>
      <c r="C4876">
        <v>0.82098888613432397</v>
      </c>
      <c r="D4876">
        <v>0.64394049645719798</v>
      </c>
      <c r="E4876">
        <v>0.58238380734237405</v>
      </c>
      <c r="F4876">
        <v>0.57608152718856198</v>
      </c>
      <c r="G4876">
        <v>0.43794188918888899</v>
      </c>
      <c r="H4876">
        <v>0.37972538770001701</v>
      </c>
      <c r="I4876">
        <v>0.36679632704987303</v>
      </c>
      <c r="J4876">
        <v>0.356093438077767</v>
      </c>
      <c r="K4876">
        <v>0.27279156026080797</v>
      </c>
      <c r="L4876">
        <v>424.16111058527099</v>
      </c>
      <c r="M4876">
        <v>8.7025422130058594</v>
      </c>
      <c r="N4876">
        <v>53.602265566651397</v>
      </c>
      <c r="O4876">
        <v>46.371491833623402</v>
      </c>
      <c r="P4876">
        <v>-3.4139678150592503E-2</v>
      </c>
      <c r="Q4876">
        <v>0.27294613786712002</v>
      </c>
      <c r="R4876">
        <v>0.95130946984245102</v>
      </c>
      <c r="S4876" t="s">
        <v>11187</v>
      </c>
      <c r="T4876" t="s">
        <v>12620</v>
      </c>
      <c r="U4876" t="s">
        <v>12620</v>
      </c>
      <c r="V4876" t="s">
        <v>12620</v>
      </c>
      <c r="W4876" t="s">
        <v>17440</v>
      </c>
      <c r="X4876">
        <v>8</v>
      </c>
      <c r="Y4876" t="s">
        <v>23548</v>
      </c>
      <c r="Z4876" t="s">
        <v>29823</v>
      </c>
      <c r="AA4876">
        <v>0.52895561578164396</v>
      </c>
      <c r="AB4876" t="str">
        <f>HYPERLINK("Melting_Curves/meltCurve_Q96S55_2_WRNIP1.pdf", "Melting_Curves/meltCurve_Q96S55_2_WRNIP1.pdf")</f>
        <v>Melting_Curves/meltCurve_Q96S55_2_WRNIP1.pdf</v>
      </c>
    </row>
    <row r="4877" spans="1:28" x14ac:dyDescent="0.25">
      <c r="A4877" t="s">
        <v>4881</v>
      </c>
      <c r="B4877">
        <v>0.99987803227770999</v>
      </c>
      <c r="C4877">
        <v>0.83347741369080097</v>
      </c>
      <c r="D4877">
        <v>0.76026501411893399</v>
      </c>
      <c r="E4877">
        <v>1.5309364339614899</v>
      </c>
      <c r="F4877">
        <v>0.907326375410478</v>
      </c>
      <c r="G4877">
        <v>0.54224122132728803</v>
      </c>
      <c r="H4877">
        <v>0.14112928833386801</v>
      </c>
      <c r="I4877">
        <v>9.4952151807962307E-2</v>
      </c>
      <c r="J4877">
        <v>6.9845595905921307E-2</v>
      </c>
      <c r="K4877">
        <v>3.7224601302369903E-2</v>
      </c>
      <c r="L4877">
        <v>2321.2063226171199</v>
      </c>
      <c r="M4877">
        <v>40.674701916944798</v>
      </c>
      <c r="N4877">
        <v>57.266341260881099</v>
      </c>
      <c r="O4877">
        <v>56.930146451202098</v>
      </c>
      <c r="P4877">
        <v>-0.16685783223646999</v>
      </c>
      <c r="Q4877">
        <v>6.5834832973876406E-2</v>
      </c>
      <c r="R4877">
        <v>0.83487550841042002</v>
      </c>
      <c r="S4877" t="s">
        <v>11188</v>
      </c>
      <c r="T4877" t="s">
        <v>12620</v>
      </c>
      <c r="U4877" t="s">
        <v>12620</v>
      </c>
      <c r="V4877" t="s">
        <v>12620</v>
      </c>
      <c r="W4877" t="s">
        <v>17441</v>
      </c>
      <c r="X4877">
        <v>3</v>
      </c>
      <c r="Y4877" t="s">
        <v>23549</v>
      </c>
      <c r="Z4877" t="s">
        <v>29824</v>
      </c>
      <c r="AA4877">
        <v>0.60082460767447621</v>
      </c>
      <c r="AB4877" t="str">
        <f>HYPERLINK("Melting_Curves/meltCurve_Q96S59_RANBP9.pdf", "Melting_Curves/meltCurve_Q96S59_RANBP9.pdf")</f>
        <v>Melting_Curves/meltCurve_Q96S59_RANBP9.pdf</v>
      </c>
    </row>
    <row r="4878" spans="1:28" x14ac:dyDescent="0.25">
      <c r="A4878" t="s">
        <v>4882</v>
      </c>
      <c r="B4878">
        <v>0.99987803227770999</v>
      </c>
      <c r="C4878">
        <v>0.69312076391756505</v>
      </c>
      <c r="D4878">
        <v>1.01532313644301</v>
      </c>
      <c r="E4878">
        <v>0.76285175624202595</v>
      </c>
      <c r="F4878">
        <v>1.19505760050609</v>
      </c>
      <c r="G4878">
        <v>1.0368509384297</v>
      </c>
      <c r="H4878">
        <v>1.1361334765704201</v>
      </c>
      <c r="I4878">
        <v>0.88671854621388202</v>
      </c>
      <c r="J4878">
        <v>1.28797264745187</v>
      </c>
      <c r="K4878">
        <v>1.1041042110314101</v>
      </c>
      <c r="L4878">
        <v>755.499984402221</v>
      </c>
      <c r="M4878">
        <v>11.2933649270076</v>
      </c>
      <c r="O4878">
        <v>64.903073304722696</v>
      </c>
      <c r="P4878">
        <v>1.0597318902912101E-2</v>
      </c>
      <c r="Q4878">
        <v>1.2435372717539599</v>
      </c>
      <c r="R4878">
        <v>0.158819483482605</v>
      </c>
      <c r="S4878" t="s">
        <v>11189</v>
      </c>
      <c r="T4878" t="s">
        <v>12620</v>
      </c>
      <c r="U4878" t="s">
        <v>12620</v>
      </c>
      <c r="V4878" t="s">
        <v>12620</v>
      </c>
      <c r="W4878" t="s">
        <v>17442</v>
      </c>
      <c r="X4878">
        <v>3</v>
      </c>
      <c r="Y4878" t="s">
        <v>23550</v>
      </c>
      <c r="Z4878" t="s">
        <v>29825</v>
      </c>
      <c r="AA4878">
        <v>1.04200355509884</v>
      </c>
      <c r="AB4878" t="str">
        <f>HYPERLINK("Melting_Curves/meltCurve_Q96S66_4_CLCC1.pdf", "Melting_Curves/meltCurve_Q96S66_4_CLCC1.pdf")</f>
        <v>Melting_Curves/meltCurve_Q96S66_4_CLCC1.pdf</v>
      </c>
    </row>
    <row r="4879" spans="1:28" x14ac:dyDescent="0.25">
      <c r="A4879" t="s">
        <v>4883</v>
      </c>
      <c r="B4879">
        <v>0.99987803227770999</v>
      </c>
      <c r="C4879">
        <v>1.0256610104903201</v>
      </c>
      <c r="D4879">
        <v>1.00068803936405</v>
      </c>
      <c r="E4879">
        <v>1.1372353365733801</v>
      </c>
      <c r="F4879">
        <v>0.70773415695423103</v>
      </c>
      <c r="G4879">
        <v>0.394027088132339</v>
      </c>
      <c r="H4879">
        <v>0.222863068681775</v>
      </c>
      <c r="I4879">
        <v>0.177099831016654</v>
      </c>
      <c r="J4879">
        <v>0.15613608407600099</v>
      </c>
      <c r="K4879">
        <v>0.111431698376579</v>
      </c>
      <c r="L4879">
        <v>1636.1692357070101</v>
      </c>
      <c r="M4879">
        <v>29.785474706322798</v>
      </c>
      <c r="N4879">
        <v>55.6184787725389</v>
      </c>
      <c r="O4879">
        <v>54.685957512860803</v>
      </c>
      <c r="P4879">
        <v>-0.115217066298768</v>
      </c>
      <c r="Q4879">
        <v>0.153854229861661</v>
      </c>
      <c r="R4879">
        <v>0.973348668093864</v>
      </c>
      <c r="S4879" t="s">
        <v>11190</v>
      </c>
      <c r="T4879" t="s">
        <v>12620</v>
      </c>
      <c r="U4879" t="s">
        <v>12620</v>
      </c>
      <c r="V4879" t="s">
        <v>12620</v>
      </c>
      <c r="W4879" t="s">
        <v>17443</v>
      </c>
      <c r="X4879">
        <v>3</v>
      </c>
      <c r="Y4879" t="s">
        <v>23551</v>
      </c>
      <c r="Z4879" t="s">
        <v>29826</v>
      </c>
      <c r="AA4879">
        <v>0.58068933280303692</v>
      </c>
      <c r="AB4879" t="str">
        <f>HYPERLINK("Melting_Curves/meltCurve_Q96S82_UBL7.pdf", "Melting_Curves/meltCurve_Q96S82_UBL7.pdf")</f>
        <v>Melting_Curves/meltCurve_Q96S82_UBL7.pdf</v>
      </c>
    </row>
    <row r="4880" spans="1:28" x14ac:dyDescent="0.25">
      <c r="A4880" t="s">
        <v>4884</v>
      </c>
      <c r="B4880">
        <v>0.99987803227770999</v>
      </c>
      <c r="C4880">
        <v>0.91463522197870395</v>
      </c>
      <c r="D4880">
        <v>1.0070387204658</v>
      </c>
      <c r="E4880">
        <v>0.92427216780392796</v>
      </c>
      <c r="F4880">
        <v>1.08854400262745</v>
      </c>
      <c r="G4880">
        <v>0.89832073466955198</v>
      </c>
      <c r="H4880">
        <v>0.82790178922688595</v>
      </c>
      <c r="I4880">
        <v>0.87029140980910902</v>
      </c>
      <c r="J4880">
        <v>0.64578439980231706</v>
      </c>
      <c r="K4880">
        <v>0.535154047860118</v>
      </c>
      <c r="L4880">
        <v>864.87268590297504</v>
      </c>
      <c r="M4880">
        <v>12.1947026715272</v>
      </c>
      <c r="O4880">
        <v>69.095683297189197</v>
      </c>
      <c r="P4880">
        <v>-4.4132513552425499E-2</v>
      </c>
      <c r="Q4880">
        <v>0</v>
      </c>
      <c r="R4880">
        <v>0.85865171417346597</v>
      </c>
      <c r="S4880" t="s">
        <v>11191</v>
      </c>
      <c r="T4880" t="s">
        <v>12620</v>
      </c>
      <c r="U4880" t="s">
        <v>12620</v>
      </c>
      <c r="V4880" t="s">
        <v>12620</v>
      </c>
      <c r="W4880" t="s">
        <v>17444</v>
      </c>
      <c r="X4880">
        <v>5</v>
      </c>
      <c r="Y4880" t="s">
        <v>23552</v>
      </c>
      <c r="Z4880" t="s">
        <v>29827</v>
      </c>
      <c r="AA4880">
        <v>0.90121806632386992</v>
      </c>
      <c r="AB4880" t="str">
        <f>HYPERLINK("Melting_Curves/meltCurve_Q96S90_LYSMD1.pdf", "Melting_Curves/meltCurve_Q96S90_LYSMD1.pdf")</f>
        <v>Melting_Curves/meltCurve_Q96S90_LYSMD1.pdf</v>
      </c>
    </row>
    <row r="4881" spans="1:28" x14ac:dyDescent="0.25">
      <c r="A4881" t="s">
        <v>4885</v>
      </c>
      <c r="B4881">
        <v>0.99987803227770999</v>
      </c>
      <c r="C4881">
        <v>0.930937926522031</v>
      </c>
      <c r="D4881">
        <v>1.00809276807644</v>
      </c>
      <c r="E4881">
        <v>0.76132431223456298</v>
      </c>
      <c r="F4881">
        <v>0.36638476932055902</v>
      </c>
      <c r="G4881">
        <v>0.18683437800944699</v>
      </c>
      <c r="H4881">
        <v>0.141804586315362</v>
      </c>
      <c r="I4881">
        <v>0.125513140055593</v>
      </c>
      <c r="J4881">
        <v>9.1368486397555806E-2</v>
      </c>
      <c r="K4881">
        <v>6.9106474535211904E-2</v>
      </c>
      <c r="L4881">
        <v>1580.8941788024799</v>
      </c>
      <c r="M4881">
        <v>30.644310142412099</v>
      </c>
      <c r="N4881">
        <v>52.007142421843902</v>
      </c>
      <c r="O4881">
        <v>51.370325343988299</v>
      </c>
      <c r="P4881">
        <v>-0.132834381320977</v>
      </c>
      <c r="Q4881">
        <v>0.109302492130016</v>
      </c>
      <c r="R4881">
        <v>0.99365947065940197</v>
      </c>
      <c r="S4881" t="s">
        <v>11192</v>
      </c>
      <c r="T4881" t="s">
        <v>12620</v>
      </c>
      <c r="U4881" t="s">
        <v>12620</v>
      </c>
      <c r="V4881" t="s">
        <v>12620</v>
      </c>
      <c r="W4881" t="s">
        <v>17445</v>
      </c>
      <c r="X4881">
        <v>6</v>
      </c>
      <c r="Y4881" t="s">
        <v>23553</v>
      </c>
      <c r="Z4881" t="s">
        <v>29828</v>
      </c>
      <c r="AA4881">
        <v>0.45878383592348898</v>
      </c>
      <c r="AB4881" t="str">
        <f>HYPERLINK("Melting_Curves/meltCurve_Q96S99_PLEKHF1.pdf", "Melting_Curves/meltCurve_Q96S99_PLEKHF1.pdf")</f>
        <v>Melting_Curves/meltCurve_Q96S99_PLEKHF1.pdf</v>
      </c>
    </row>
    <row r="4882" spans="1:28" x14ac:dyDescent="0.25">
      <c r="A4882" t="s">
        <v>4886</v>
      </c>
      <c r="B4882">
        <v>0.99987803227770999</v>
      </c>
      <c r="C4882">
        <v>0.97819646632073298</v>
      </c>
      <c r="D4882">
        <v>0.978338826469076</v>
      </c>
      <c r="E4882">
        <v>0.85246432047255405</v>
      </c>
      <c r="F4882">
        <v>0.853599598803085</v>
      </c>
      <c r="G4882">
        <v>0.78880069682593501</v>
      </c>
      <c r="H4882">
        <v>0.87752840824791201</v>
      </c>
      <c r="I4882">
        <v>0.83932233273477397</v>
      </c>
      <c r="J4882">
        <v>0.97512544772665</v>
      </c>
      <c r="K4882">
        <v>0.80119179939177798</v>
      </c>
      <c r="L4882">
        <v>9367.6659525518207</v>
      </c>
      <c r="M4882">
        <v>201.90901051731899</v>
      </c>
      <c r="O4882">
        <v>46.390943850812697</v>
      </c>
      <c r="P4882">
        <v>-0.157300875395261</v>
      </c>
      <c r="Q4882">
        <v>0.85543321690333396</v>
      </c>
      <c r="R4882">
        <v>0.60639029212876805</v>
      </c>
      <c r="S4882" t="s">
        <v>11193</v>
      </c>
      <c r="T4882" t="s">
        <v>12620</v>
      </c>
      <c r="U4882" t="s">
        <v>12620</v>
      </c>
      <c r="V4882" t="s">
        <v>12620</v>
      </c>
      <c r="W4882" t="s">
        <v>17446</v>
      </c>
      <c r="X4882">
        <v>10</v>
      </c>
      <c r="Y4882" t="s">
        <v>23554</v>
      </c>
      <c r="Z4882" t="s">
        <v>29829</v>
      </c>
      <c r="AA4882">
        <v>0.8862704093510162</v>
      </c>
      <c r="AB4882" t="str">
        <f>HYPERLINK("Melting_Curves/meltCurve_Q96SB3_PPP1R9B.pdf", "Melting_Curves/meltCurve_Q96SB3_PPP1R9B.pdf")</f>
        <v>Melting_Curves/meltCurve_Q96SB3_PPP1R9B.pdf</v>
      </c>
    </row>
    <row r="4883" spans="1:28" x14ac:dyDescent="0.25">
      <c r="A4883" t="s">
        <v>4887</v>
      </c>
      <c r="B4883">
        <v>0.99987803227770999</v>
      </c>
      <c r="C4883">
        <v>1.17730365268532</v>
      </c>
      <c r="D4883">
        <v>1.04626883030397</v>
      </c>
      <c r="E4883">
        <v>0.85073884243173103</v>
      </c>
      <c r="F4883">
        <v>0.44982696208836798</v>
      </c>
      <c r="G4883">
        <v>0.32461125275800201</v>
      </c>
      <c r="H4883">
        <v>0.24316598040929099</v>
      </c>
      <c r="I4883">
        <v>0.26710036453573599</v>
      </c>
      <c r="J4883">
        <v>0.20370069512685099</v>
      </c>
      <c r="K4883">
        <v>0.17230493986755899</v>
      </c>
      <c r="L4883">
        <v>1934.98437172079</v>
      </c>
      <c r="M4883">
        <v>37.334346064731001</v>
      </c>
      <c r="N4883">
        <v>52.719421105671998</v>
      </c>
      <c r="O4883">
        <v>51.680505663510097</v>
      </c>
      <c r="P4883">
        <v>-0.138351390174204</v>
      </c>
      <c r="Q4883">
        <v>0.23394396343631901</v>
      </c>
      <c r="R4883">
        <v>0.96852597763658799</v>
      </c>
      <c r="S4883" t="s">
        <v>11194</v>
      </c>
      <c r="T4883" t="s">
        <v>12620</v>
      </c>
      <c r="U4883" t="s">
        <v>12620</v>
      </c>
      <c r="V4883" t="s">
        <v>12620</v>
      </c>
      <c r="W4883" t="s">
        <v>17447</v>
      </c>
      <c r="X4883">
        <v>4</v>
      </c>
      <c r="Y4883" t="s">
        <v>23555</v>
      </c>
      <c r="Z4883" t="s">
        <v>29830</v>
      </c>
      <c r="AA4883">
        <v>0.53913931842472707</v>
      </c>
      <c r="AB4883" t="str">
        <f>HYPERLINK("Melting_Curves/meltCurve_Q96SB4_SRPK1.pdf", "Melting_Curves/meltCurve_Q96SB4_SRPK1.pdf")</f>
        <v>Melting_Curves/meltCurve_Q96SB4_SRPK1.pdf</v>
      </c>
    </row>
    <row r="4884" spans="1:28" x14ac:dyDescent="0.25">
      <c r="A4884" t="s">
        <v>4888</v>
      </c>
      <c r="B4884">
        <v>0.99987803227770999</v>
      </c>
      <c r="C4884">
        <v>1.16196801766036</v>
      </c>
      <c r="D4884">
        <v>0.92026630158514</v>
      </c>
      <c r="E4884">
        <v>1.40030272287998</v>
      </c>
      <c r="F4884">
        <v>1.36186098642334</v>
      </c>
      <c r="G4884">
        <v>1.3350511021443601</v>
      </c>
      <c r="H4884">
        <v>1.9545970786182301</v>
      </c>
      <c r="I4884">
        <v>0.66413300560369704</v>
      </c>
      <c r="J4884">
        <v>0.142946871527137</v>
      </c>
      <c r="K4884">
        <v>1.3966719023083199E-2</v>
      </c>
      <c r="L4884">
        <v>15000</v>
      </c>
      <c r="M4884">
        <v>233.81872844617899</v>
      </c>
      <c r="N4884">
        <v>64.199108029081202</v>
      </c>
      <c r="O4884">
        <v>64.147567502099307</v>
      </c>
      <c r="P4884">
        <v>-0.83978464428551403</v>
      </c>
      <c r="Q4884">
        <v>7.8428962306275496E-2</v>
      </c>
      <c r="R4884">
        <v>0.571915573428735</v>
      </c>
      <c r="S4884" t="s">
        <v>11195</v>
      </c>
      <c r="T4884" t="s">
        <v>12620</v>
      </c>
      <c r="U4884" t="s">
        <v>12620</v>
      </c>
      <c r="V4884" t="s">
        <v>12620</v>
      </c>
      <c r="W4884" t="s">
        <v>17448</v>
      </c>
      <c r="X4884">
        <v>6</v>
      </c>
      <c r="Y4884" t="s">
        <v>23556</v>
      </c>
      <c r="Z4884" t="s">
        <v>29831</v>
      </c>
      <c r="AA4884">
        <v>0.82048170863772707</v>
      </c>
      <c r="AB4884" t="str">
        <f>HYPERLINK("Melting_Curves/meltCurve_Q96SB8_SMC6.pdf", "Melting_Curves/meltCurve_Q96SB8_SMC6.pdf")</f>
        <v>Melting_Curves/meltCurve_Q96SB8_SMC6.pdf</v>
      </c>
    </row>
    <row r="4885" spans="1:28" x14ac:dyDescent="0.25">
      <c r="A4885" t="s">
        <v>4889</v>
      </c>
      <c r="B4885">
        <v>0.99987803227770999</v>
      </c>
      <c r="C4885">
        <v>1.06399201590505</v>
      </c>
      <c r="D4885">
        <v>0.93153439295232598</v>
      </c>
      <c r="E4885">
        <v>1.11323191321599</v>
      </c>
      <c r="F4885">
        <v>0.94564745965726804</v>
      </c>
      <c r="G4885">
        <v>0.85259532952640305</v>
      </c>
      <c r="H4885">
        <v>0.70080163345967295</v>
      </c>
      <c r="I4885">
        <v>0.35639110069615298</v>
      </c>
      <c r="J4885">
        <v>0.15234377179035299</v>
      </c>
      <c r="K4885">
        <v>0.104516512635606</v>
      </c>
      <c r="L4885">
        <v>1467.6049040129001</v>
      </c>
      <c r="M4885">
        <v>23.449688757871499</v>
      </c>
      <c r="N4885">
        <v>62.608219651429103</v>
      </c>
      <c r="O4885">
        <v>62.135446656101998</v>
      </c>
      <c r="P4885">
        <v>-9.3947135671028206E-2</v>
      </c>
      <c r="Q4885">
        <v>4.2774370789052897E-3</v>
      </c>
      <c r="R4885">
        <v>0.97586988470178104</v>
      </c>
      <c r="S4885" t="s">
        <v>11196</v>
      </c>
      <c r="T4885" t="s">
        <v>12620</v>
      </c>
      <c r="U4885" t="s">
        <v>12620</v>
      </c>
      <c r="V4885" t="s">
        <v>12620</v>
      </c>
      <c r="W4885" t="s">
        <v>17449</v>
      </c>
      <c r="X4885">
        <v>9</v>
      </c>
      <c r="Y4885" t="s">
        <v>23557</v>
      </c>
      <c r="Z4885" t="s">
        <v>29832</v>
      </c>
      <c r="AA4885">
        <v>0.75675951672662078</v>
      </c>
      <c r="AB4885" t="str">
        <f>HYPERLINK("Melting_Curves/meltCurve_Q96SI1_KCTD15.pdf", "Melting_Curves/meltCurve_Q96SI1_KCTD15.pdf")</f>
        <v>Melting_Curves/meltCurve_Q96SI1_KCTD15.pdf</v>
      </c>
    </row>
    <row r="4886" spans="1:28" x14ac:dyDescent="0.25">
      <c r="A4886" t="s">
        <v>4890</v>
      </c>
      <c r="B4886">
        <v>0.99987803227770999</v>
      </c>
      <c r="C4886">
        <v>0.995128454890579</v>
      </c>
      <c r="D4886">
        <v>0.98936070998881798</v>
      </c>
      <c r="E4886">
        <v>1.0990116668346399</v>
      </c>
      <c r="F4886">
        <v>0.98729013483835304</v>
      </c>
      <c r="G4886">
        <v>0.90412274094116196</v>
      </c>
      <c r="H4886">
        <v>0.30687867905954402</v>
      </c>
      <c r="I4886">
        <v>0.24697463807164599</v>
      </c>
      <c r="J4886">
        <v>0.134358559941159</v>
      </c>
      <c r="K4886">
        <v>9.1935250551395606E-2</v>
      </c>
      <c r="L4886">
        <v>2773.7728407473401</v>
      </c>
      <c r="M4886">
        <v>46.739853500095798</v>
      </c>
      <c r="N4886">
        <v>59.767811244229598</v>
      </c>
      <c r="O4886">
        <v>59.236590890535403</v>
      </c>
      <c r="P4886">
        <v>-0.16948642646623099</v>
      </c>
      <c r="Q4886">
        <v>0.140794328798973</v>
      </c>
      <c r="R4886">
        <v>0.98773460551380698</v>
      </c>
      <c r="S4886" t="s">
        <v>11197</v>
      </c>
      <c r="T4886" t="s">
        <v>12620</v>
      </c>
      <c r="U4886" t="s">
        <v>12620</v>
      </c>
      <c r="V4886" t="s">
        <v>12620</v>
      </c>
      <c r="W4886" t="s">
        <v>17450</v>
      </c>
      <c r="X4886">
        <v>4</v>
      </c>
      <c r="Y4886" t="s">
        <v>23558</v>
      </c>
      <c r="Z4886" t="s">
        <v>29833</v>
      </c>
      <c r="AA4886">
        <v>0.69736907433408735</v>
      </c>
      <c r="AB4886" t="str">
        <f>HYPERLINK("Melting_Curves/meltCurve_Q96SI9_2_STRBP.pdf", "Melting_Curves/meltCurve_Q96SI9_2_STRBP.pdf")</f>
        <v>Melting_Curves/meltCurve_Q96SI9_2_STRBP.pdf</v>
      </c>
    </row>
    <row r="4887" spans="1:28" x14ac:dyDescent="0.25">
      <c r="A4887" t="s">
        <v>4891</v>
      </c>
      <c r="B4887">
        <v>0.99987803227770999</v>
      </c>
      <c r="C4887">
        <v>0.74207889754235101</v>
      </c>
      <c r="D4887">
        <v>0.92295428271866398</v>
      </c>
      <c r="E4887">
        <v>0.69763073791091701</v>
      </c>
      <c r="F4887">
        <v>1.03897577780932</v>
      </c>
      <c r="G4887">
        <v>0.49228480952060599</v>
      </c>
      <c r="H4887">
        <v>0.25549279565163302</v>
      </c>
      <c r="I4887">
        <v>0.194977026620826</v>
      </c>
      <c r="J4887">
        <v>0.16784125028048899</v>
      </c>
      <c r="K4887">
        <v>0.14176561587566999</v>
      </c>
      <c r="L4887">
        <v>3865.82595981244</v>
      </c>
      <c r="M4887">
        <v>68.314294611783495</v>
      </c>
      <c r="N4887">
        <v>56.982014165181198</v>
      </c>
      <c r="O4887">
        <v>56.540396273958102</v>
      </c>
      <c r="P4887">
        <v>-0.24529350037816999</v>
      </c>
      <c r="Q4887">
        <v>0.18793053493367001</v>
      </c>
      <c r="R4887">
        <v>0.85207817249829698</v>
      </c>
      <c r="S4887" t="s">
        <v>11198</v>
      </c>
      <c r="T4887" t="s">
        <v>12620</v>
      </c>
      <c r="U4887" t="s">
        <v>12620</v>
      </c>
      <c r="V4887" t="s">
        <v>12620</v>
      </c>
      <c r="W4887" t="s">
        <v>17451</v>
      </c>
      <c r="X4887">
        <v>1</v>
      </c>
      <c r="Y4887" t="s">
        <v>23559</v>
      </c>
      <c r="Z4887" t="s">
        <v>29834</v>
      </c>
      <c r="AA4887">
        <v>0.63805624219581702</v>
      </c>
      <c r="AB4887" t="str">
        <f>HYPERLINK("Melting_Curves/meltCurve_Q96SK2_2_TMEM209.pdf", "Melting_Curves/meltCurve_Q96SK2_2_TMEM209.pdf")</f>
        <v>Melting_Curves/meltCurve_Q96SK2_2_TMEM209.pdf</v>
      </c>
    </row>
    <row r="4888" spans="1:28" x14ac:dyDescent="0.25">
      <c r="A4888" t="s">
        <v>4892</v>
      </c>
      <c r="B4888">
        <v>0.99987803227770999</v>
      </c>
      <c r="C4888">
        <v>0.62533570328035804</v>
      </c>
      <c r="D4888">
        <v>0.80822899569307805</v>
      </c>
      <c r="E4888">
        <v>1.04365986902375</v>
      </c>
      <c r="F4888">
        <v>0.88219341720028399</v>
      </c>
      <c r="G4888">
        <v>0.61599249364639896</v>
      </c>
      <c r="H4888">
        <v>0.433485397919397</v>
      </c>
      <c r="I4888">
        <v>0.616714542215544</v>
      </c>
      <c r="J4888">
        <v>0.34226304671980601</v>
      </c>
      <c r="K4888">
        <v>0.29029025142571702</v>
      </c>
      <c r="L4888">
        <v>423.87108941860203</v>
      </c>
      <c r="M4888">
        <v>6.75853255565581</v>
      </c>
      <c r="N4888">
        <v>62.716438170879798</v>
      </c>
      <c r="O4888">
        <v>57.911583062659297</v>
      </c>
      <c r="P4888">
        <v>-2.92375798802442E-2</v>
      </c>
      <c r="Q4888">
        <v>0</v>
      </c>
      <c r="R4888">
        <v>0.65658658241531298</v>
      </c>
      <c r="S4888" t="s">
        <v>11199</v>
      </c>
      <c r="T4888" t="s">
        <v>12620</v>
      </c>
      <c r="U4888" t="s">
        <v>12620</v>
      </c>
      <c r="V4888" t="s">
        <v>12620</v>
      </c>
      <c r="W4888" t="s">
        <v>17452</v>
      </c>
      <c r="X4888">
        <v>4</v>
      </c>
      <c r="Y4888" t="s">
        <v>23560</v>
      </c>
      <c r="Z4888" t="s">
        <v>29835</v>
      </c>
      <c r="AA4888">
        <v>0.69682926673635814</v>
      </c>
      <c r="AB4888" t="str">
        <f>HYPERLINK("Melting_Curves/meltCurve_Q96SL8_FIZ1.pdf", "Melting_Curves/meltCurve_Q96SL8_FIZ1.pdf")</f>
        <v>Melting_Curves/meltCurve_Q96SL8_FIZ1.pdf</v>
      </c>
    </row>
    <row r="4889" spans="1:28" x14ac:dyDescent="0.25">
      <c r="A4889" t="s">
        <v>4893</v>
      </c>
      <c r="B4889">
        <v>0.99987803227770999</v>
      </c>
      <c r="C4889">
        <v>1.02789486525992</v>
      </c>
      <c r="D4889">
        <v>0.97808911063510895</v>
      </c>
      <c r="E4889">
        <v>0.97614441475412905</v>
      </c>
      <c r="F4889">
        <v>0.79349042306208395</v>
      </c>
      <c r="G4889">
        <v>0.71544440192768</v>
      </c>
      <c r="H4889">
        <v>0.67291575231732104</v>
      </c>
      <c r="I4889">
        <v>0.62645851267930797</v>
      </c>
      <c r="J4889">
        <v>0.55974833045599504</v>
      </c>
      <c r="K4889">
        <v>0.46768282245680498</v>
      </c>
      <c r="L4889">
        <v>600.92005372368897</v>
      </c>
      <c r="M4889">
        <v>10.2396184808838</v>
      </c>
      <c r="O4889">
        <v>56.579626221209899</v>
      </c>
      <c r="P4889">
        <v>-2.6542882589920401E-2</v>
      </c>
      <c r="Q4889">
        <v>0.413603463226285</v>
      </c>
      <c r="R4889">
        <v>0.96197203919746599</v>
      </c>
      <c r="S4889" t="s">
        <v>11200</v>
      </c>
      <c r="T4889" t="s">
        <v>12620</v>
      </c>
      <c r="U4889" t="s">
        <v>12620</v>
      </c>
      <c r="V4889" t="s">
        <v>12620</v>
      </c>
      <c r="W4889" t="s">
        <v>17453</v>
      </c>
      <c r="X4889">
        <v>16</v>
      </c>
      <c r="Y4889" t="s">
        <v>23561</v>
      </c>
      <c r="Z4889" t="s">
        <v>29836</v>
      </c>
      <c r="AA4889">
        <v>0.7824430140549663</v>
      </c>
      <c r="AB4889" t="str">
        <f>HYPERLINK("Melting_Curves/meltCurve_Q96ST2_IWS1.pdf", "Melting_Curves/meltCurve_Q96ST2_IWS1.pdf")</f>
        <v>Melting_Curves/meltCurve_Q96ST2_IWS1.pdf</v>
      </c>
    </row>
    <row r="4890" spans="1:28" x14ac:dyDescent="0.25">
      <c r="A4890" t="s">
        <v>4894</v>
      </c>
      <c r="B4890">
        <v>0.99987803227770999</v>
      </c>
      <c r="C4890">
        <v>1.0113594568067801</v>
      </c>
      <c r="D4890">
        <v>0.85140749189139198</v>
      </c>
      <c r="E4890">
        <v>0.81236297502115395</v>
      </c>
      <c r="F4890">
        <v>0.54768810330810902</v>
      </c>
      <c r="G4890">
        <v>0.34867118655259199</v>
      </c>
      <c r="H4890">
        <v>0.29447352590591303</v>
      </c>
      <c r="I4890">
        <v>0.261761420767192</v>
      </c>
      <c r="J4890">
        <v>0.23196739774109401</v>
      </c>
      <c r="K4890">
        <v>0.18206242989066401</v>
      </c>
      <c r="L4890">
        <v>839.31404919552801</v>
      </c>
      <c r="M4890">
        <v>15.977627502644999</v>
      </c>
      <c r="N4890">
        <v>54.224844215320303</v>
      </c>
      <c r="O4890">
        <v>51.728358463560603</v>
      </c>
      <c r="P4890">
        <v>-6.2050350116019899E-2</v>
      </c>
      <c r="Q4890">
        <v>0.19649907411825099</v>
      </c>
      <c r="R4890">
        <v>0.98693007137836997</v>
      </c>
      <c r="S4890" t="s">
        <v>11201</v>
      </c>
      <c r="T4890" t="s">
        <v>12620</v>
      </c>
      <c r="U4890" t="s">
        <v>12620</v>
      </c>
      <c r="V4890" t="s">
        <v>12620</v>
      </c>
      <c r="W4890" t="s">
        <v>17454</v>
      </c>
      <c r="X4890">
        <v>18</v>
      </c>
      <c r="Y4890" t="s">
        <v>23562</v>
      </c>
      <c r="Z4890" t="s">
        <v>29837</v>
      </c>
      <c r="AA4890">
        <v>0.54814460809759902</v>
      </c>
      <c r="AB4890" t="str">
        <f>HYPERLINK("Melting_Curves/meltCurve_Q96ST3_SIN3A.pdf", "Melting_Curves/meltCurve_Q96ST3_SIN3A.pdf")</f>
        <v>Melting_Curves/meltCurve_Q96ST3_SIN3A.pdf</v>
      </c>
    </row>
    <row r="4891" spans="1:28" x14ac:dyDescent="0.25">
      <c r="A4891" t="s">
        <v>4895</v>
      </c>
      <c r="B4891">
        <v>0.99987803227770999</v>
      </c>
      <c r="C4891">
        <v>1.0791604018751</v>
      </c>
      <c r="D4891">
        <v>0.98421816877603696</v>
      </c>
      <c r="E4891">
        <v>1.0438588532755799</v>
      </c>
      <c r="F4891">
        <v>0.57303708791623897</v>
      </c>
      <c r="G4891">
        <v>0.25412854524259199</v>
      </c>
      <c r="H4891">
        <v>0.13583412783504401</v>
      </c>
      <c r="I4891">
        <v>0.102241527697506</v>
      </c>
      <c r="J4891">
        <v>8.9138903137038997E-2</v>
      </c>
      <c r="K4891">
        <v>5.0825910777771703E-2</v>
      </c>
      <c r="L4891">
        <v>1963.92565089037</v>
      </c>
      <c r="M4891">
        <v>36.715355731905298</v>
      </c>
      <c r="N4891">
        <v>53.827798462681798</v>
      </c>
      <c r="O4891">
        <v>53.332635853900797</v>
      </c>
      <c r="P4891">
        <v>-0.154423924364753</v>
      </c>
      <c r="Q4891">
        <v>0.10273935081586399</v>
      </c>
      <c r="R4891">
        <v>0.98420644932678203</v>
      </c>
      <c r="S4891" t="s">
        <v>11202</v>
      </c>
      <c r="T4891" t="s">
        <v>12620</v>
      </c>
      <c r="U4891" t="s">
        <v>12620</v>
      </c>
      <c r="V4891" t="s">
        <v>12620</v>
      </c>
      <c r="W4891" t="s">
        <v>17455</v>
      </c>
      <c r="X4891">
        <v>12</v>
      </c>
      <c r="Y4891" t="s">
        <v>23563</v>
      </c>
      <c r="Z4891" t="s">
        <v>29838</v>
      </c>
      <c r="AA4891">
        <v>0.51015641797502753</v>
      </c>
      <c r="AB4891" t="str">
        <f>HYPERLINK("Melting_Curves/meltCurve_Q96SU4_7_OSBPL9.pdf", "Melting_Curves/meltCurve_Q96SU4_7_OSBPL9.pdf")</f>
        <v>Melting_Curves/meltCurve_Q96SU4_7_OSBPL9.pdf</v>
      </c>
    </row>
    <row r="4892" spans="1:28" x14ac:dyDescent="0.25">
      <c r="A4892" t="s">
        <v>4896</v>
      </c>
      <c r="B4892">
        <v>0.99987803227770999</v>
      </c>
      <c r="C4892">
        <v>1.1896367970722601</v>
      </c>
      <c r="D4892">
        <v>1.01953961000203</v>
      </c>
      <c r="E4892">
        <v>1.1306472080382499</v>
      </c>
      <c r="F4892">
        <v>0.74827237146881798</v>
      </c>
      <c r="G4892">
        <v>0.38169657723310502</v>
      </c>
      <c r="H4892">
        <v>0.19612109072661699</v>
      </c>
      <c r="I4892">
        <v>0.17520677155491099</v>
      </c>
      <c r="J4892">
        <v>0.112884086136815</v>
      </c>
      <c r="K4892">
        <v>7.0876128634506597E-2</v>
      </c>
      <c r="L4892">
        <v>1667.44041727745</v>
      </c>
      <c r="M4892">
        <v>30.1755014217187</v>
      </c>
      <c r="N4892">
        <v>55.772079538204501</v>
      </c>
      <c r="O4892">
        <v>55.0171257168805</v>
      </c>
      <c r="P4892">
        <v>-0.120474883421531</v>
      </c>
      <c r="Q4892">
        <v>0.121388317530965</v>
      </c>
      <c r="R4892">
        <v>0.96146249379231497</v>
      </c>
      <c r="S4892" t="s">
        <v>11203</v>
      </c>
      <c r="T4892" t="s">
        <v>12620</v>
      </c>
      <c r="U4892" t="s">
        <v>12620</v>
      </c>
      <c r="V4892" t="s">
        <v>12620</v>
      </c>
      <c r="W4892" t="s">
        <v>17456</v>
      </c>
      <c r="X4892">
        <v>4</v>
      </c>
      <c r="Y4892" t="s">
        <v>23564</v>
      </c>
      <c r="Z4892" t="s">
        <v>29839</v>
      </c>
      <c r="AA4892">
        <v>0.57402811943565835</v>
      </c>
      <c r="AB4892" t="str">
        <f>HYPERLINK("Melting_Curves/meltCurve_Q96SY0_4_VWA9.pdf", "Melting_Curves/meltCurve_Q96SY0_4_VWA9.pdf")</f>
        <v>Melting_Curves/meltCurve_Q96SY0_4_VWA9.pdf</v>
      </c>
    </row>
    <row r="4893" spans="1:28" x14ac:dyDescent="0.25">
      <c r="A4893" t="s">
        <v>4897</v>
      </c>
      <c r="B4893">
        <v>0.99987803227770999</v>
      </c>
      <c r="C4893">
        <v>0.874408207478241</v>
      </c>
      <c r="D4893">
        <v>0.97092372748008005</v>
      </c>
      <c r="E4893">
        <v>0.79653417701444995</v>
      </c>
      <c r="F4893">
        <v>0.87693573934526103</v>
      </c>
      <c r="G4893">
        <v>0.54635196430282096</v>
      </c>
      <c r="H4893">
        <v>0.47136890705092199</v>
      </c>
      <c r="I4893">
        <v>0.31354563089231802</v>
      </c>
      <c r="J4893">
        <v>0.159267911664559</v>
      </c>
      <c r="K4893">
        <v>7.7765504045674103E-2</v>
      </c>
      <c r="L4893">
        <v>688.27226142112897</v>
      </c>
      <c r="M4893">
        <v>11.6695754370838</v>
      </c>
      <c r="N4893">
        <v>58.980060186905</v>
      </c>
      <c r="O4893">
        <v>57.327953297699899</v>
      </c>
      <c r="P4893">
        <v>-5.0903238728000198E-2</v>
      </c>
      <c r="Q4893">
        <v>0</v>
      </c>
      <c r="R4893">
        <v>0.95958475865832404</v>
      </c>
      <c r="S4893" t="s">
        <v>11204</v>
      </c>
      <c r="T4893" t="s">
        <v>12620</v>
      </c>
      <c r="U4893" t="s">
        <v>12620</v>
      </c>
      <c r="V4893" t="s">
        <v>12620</v>
      </c>
      <c r="W4893" t="s">
        <v>17457</v>
      </c>
      <c r="X4893">
        <v>15</v>
      </c>
      <c r="Y4893" t="s">
        <v>23565</v>
      </c>
      <c r="Z4893" t="s">
        <v>29840</v>
      </c>
      <c r="AA4893">
        <v>0.64014118850945845</v>
      </c>
      <c r="AB4893" t="str">
        <f>HYPERLINK("Melting_Curves/meltCurve_Q96SZ5_ADO.pdf", "Melting_Curves/meltCurve_Q96SZ5_ADO.pdf")</f>
        <v>Melting_Curves/meltCurve_Q96SZ5_ADO.pdf</v>
      </c>
    </row>
    <row r="4894" spans="1:28" x14ac:dyDescent="0.25">
      <c r="A4894" t="s">
        <v>4898</v>
      </c>
      <c r="B4894">
        <v>0.99987803227770999</v>
      </c>
      <c r="C4894">
        <v>0.80687483727444498</v>
      </c>
      <c r="D4894">
        <v>0.84108854077067396</v>
      </c>
      <c r="E4894">
        <v>0.73325426473325095</v>
      </c>
      <c r="F4894">
        <v>0.45023843811769398</v>
      </c>
      <c r="G4894">
        <v>0.384799040612544</v>
      </c>
      <c r="H4894">
        <v>0.22706141719638501</v>
      </c>
      <c r="I4894">
        <v>0.32144066466763999</v>
      </c>
      <c r="J4894">
        <v>0.15902353220253601</v>
      </c>
      <c r="K4894">
        <v>9.0970381632732494E-2</v>
      </c>
      <c r="L4894">
        <v>462.264083295403</v>
      </c>
      <c r="M4894">
        <v>8.6303370491088707</v>
      </c>
      <c r="N4894">
        <v>53.796381324297997</v>
      </c>
      <c r="O4894">
        <v>50.919696156269303</v>
      </c>
      <c r="P4894">
        <v>-4.1628099650364001E-2</v>
      </c>
      <c r="Q4894">
        <v>1.8397960587167798E-2</v>
      </c>
      <c r="R4894">
        <v>0.956215720532129</v>
      </c>
      <c r="S4894" t="s">
        <v>11205</v>
      </c>
      <c r="T4894" t="s">
        <v>12620</v>
      </c>
      <c r="U4894" t="s">
        <v>12620</v>
      </c>
      <c r="V4894" t="s">
        <v>12620</v>
      </c>
      <c r="W4894" t="s">
        <v>17458</v>
      </c>
      <c r="X4894">
        <v>1</v>
      </c>
      <c r="Y4894" t="s">
        <v>23566</v>
      </c>
      <c r="Z4894" t="s">
        <v>29841</v>
      </c>
      <c r="AA4894">
        <v>0.49696776543337379</v>
      </c>
      <c r="AB4894" t="str">
        <f>HYPERLINK("Melting_Curves/meltCurve_Q96SZ6_2_CDK5RAP1.pdf", "Melting_Curves/meltCurve_Q96SZ6_2_CDK5RAP1.pdf")</f>
        <v>Melting_Curves/meltCurve_Q96SZ6_2_CDK5RAP1.pdf</v>
      </c>
    </row>
    <row r="4895" spans="1:28" x14ac:dyDescent="0.25">
      <c r="A4895" t="s">
        <v>4899</v>
      </c>
      <c r="B4895">
        <v>0.99987803227770999</v>
      </c>
      <c r="C4895">
        <v>0.84691456044915603</v>
      </c>
      <c r="D4895">
        <v>1.04407155506377</v>
      </c>
      <c r="E4895">
        <v>0.86636424246391996</v>
      </c>
      <c r="F4895">
        <v>1.1317013198128401</v>
      </c>
      <c r="G4895">
        <v>1.0351136084996799</v>
      </c>
      <c r="H4895">
        <v>1.0698365571049</v>
      </c>
      <c r="I4895">
        <v>1.01740367211046</v>
      </c>
      <c r="J4895">
        <v>1.0457827005757701</v>
      </c>
      <c r="K4895">
        <v>0.88061175096809197</v>
      </c>
      <c r="L4895">
        <v>15000</v>
      </c>
      <c r="M4895">
        <v>212.28743999193699</v>
      </c>
      <c r="Q4895">
        <v>0</v>
      </c>
      <c r="R4895">
        <v>0.167129580962353</v>
      </c>
      <c r="S4895" t="s">
        <v>11206</v>
      </c>
      <c r="T4895" t="s">
        <v>12620</v>
      </c>
      <c r="U4895" t="s">
        <v>12620</v>
      </c>
      <c r="V4895" t="s">
        <v>12620</v>
      </c>
      <c r="W4895" t="s">
        <v>17459</v>
      </c>
      <c r="X4895">
        <v>20</v>
      </c>
      <c r="Y4895" t="s">
        <v>23567</v>
      </c>
      <c r="Z4895" t="s">
        <v>29842</v>
      </c>
      <c r="AA4895">
        <v>0.99862880411665778</v>
      </c>
      <c r="AB4895" t="str">
        <f>HYPERLINK("Melting_Curves/meltCurve_Q96T17_MAP7D2.pdf", "Melting_Curves/meltCurve_Q96T17_MAP7D2.pdf")</f>
        <v>Melting_Curves/meltCurve_Q96T17_MAP7D2.pdf</v>
      </c>
    </row>
    <row r="4896" spans="1:28" x14ac:dyDescent="0.25">
      <c r="A4896" t="s">
        <v>4900</v>
      </c>
      <c r="B4896">
        <v>0.99987803227770999</v>
      </c>
      <c r="C4896">
        <v>0.97197917504725395</v>
      </c>
      <c r="D4896">
        <v>0.98278665956920797</v>
      </c>
      <c r="E4896">
        <v>0.87003648354992502</v>
      </c>
      <c r="F4896">
        <v>0.69160258575981903</v>
      </c>
      <c r="G4896">
        <v>0.43162062471760498</v>
      </c>
      <c r="H4896">
        <v>0.31020129703163102</v>
      </c>
      <c r="I4896">
        <v>0.24409893863989299</v>
      </c>
      <c r="J4896">
        <v>0.20871331175333199</v>
      </c>
      <c r="K4896">
        <v>0.14082421958753399</v>
      </c>
      <c r="L4896">
        <v>892.51204994088596</v>
      </c>
      <c r="M4896">
        <v>16.249522382371101</v>
      </c>
      <c r="N4896">
        <v>56.1593177925295</v>
      </c>
      <c r="O4896">
        <v>54.113791992055901</v>
      </c>
      <c r="P4896">
        <v>-6.3806038897776002E-2</v>
      </c>
      <c r="Q4896">
        <v>0.15012100712854801</v>
      </c>
      <c r="R4896">
        <v>0.99698457649264205</v>
      </c>
      <c r="S4896" t="s">
        <v>11207</v>
      </c>
      <c r="T4896" t="s">
        <v>12620</v>
      </c>
      <c r="U4896" t="s">
        <v>12620</v>
      </c>
      <c r="V4896" t="s">
        <v>12620</v>
      </c>
      <c r="W4896" t="s">
        <v>17460</v>
      </c>
      <c r="X4896">
        <v>5</v>
      </c>
      <c r="Y4896" t="s">
        <v>23568</v>
      </c>
      <c r="Z4896" t="s">
        <v>29843</v>
      </c>
      <c r="AA4896">
        <v>0.58798460882842607</v>
      </c>
      <c r="AB4896" t="str">
        <f>HYPERLINK("Melting_Curves/meltCurve_Q96T21_SECISBP2.pdf", "Melting_Curves/meltCurve_Q96T21_SECISBP2.pdf")</f>
        <v>Melting_Curves/meltCurve_Q96T21_SECISBP2.pdf</v>
      </c>
    </row>
    <row r="4897" spans="1:28" x14ac:dyDescent="0.25">
      <c r="A4897" t="s">
        <v>4901</v>
      </c>
      <c r="B4897">
        <v>0.99987803227770999</v>
      </c>
      <c r="C4897">
        <v>0.840310771229142</v>
      </c>
      <c r="D4897">
        <v>0.87564070431816798</v>
      </c>
      <c r="E4897">
        <v>0.66607315176161197</v>
      </c>
      <c r="F4897">
        <v>0.55414419881081101</v>
      </c>
      <c r="G4897">
        <v>0.26210258798550301</v>
      </c>
      <c r="H4897">
        <v>0.20409789536611</v>
      </c>
      <c r="I4897">
        <v>0.143546800301594</v>
      </c>
      <c r="J4897">
        <v>0.21822085970498301</v>
      </c>
      <c r="K4897">
        <v>0.16075179548476701</v>
      </c>
      <c r="L4897">
        <v>678.30958377014201</v>
      </c>
      <c r="M4897">
        <v>13.096099408596</v>
      </c>
      <c r="N4897">
        <v>52.877476871847499</v>
      </c>
      <c r="O4897">
        <v>50.631741989196399</v>
      </c>
      <c r="P4897">
        <v>-5.7068642971042499E-2</v>
      </c>
      <c r="Q4897">
        <v>0.117603262498484</v>
      </c>
      <c r="R4897">
        <v>0.97539288463526996</v>
      </c>
      <c r="S4897" t="s">
        <v>11208</v>
      </c>
      <c r="T4897" t="s">
        <v>12620</v>
      </c>
      <c r="U4897" t="s">
        <v>12620</v>
      </c>
      <c r="V4897" t="s">
        <v>12620</v>
      </c>
      <c r="W4897" t="s">
        <v>17461</v>
      </c>
      <c r="X4897">
        <v>3</v>
      </c>
      <c r="Y4897" t="s">
        <v>23569</v>
      </c>
      <c r="Z4897" t="s">
        <v>29844</v>
      </c>
      <c r="AA4897">
        <v>0.48882489602020202</v>
      </c>
      <c r="AB4897" t="str">
        <f>HYPERLINK("Melting_Curves/meltCurve_Q96T37_2_RBM15.pdf", "Melting_Curves/meltCurve_Q96T37_2_RBM15.pdf")</f>
        <v>Melting_Curves/meltCurve_Q96T37_2_RBM15.pdf</v>
      </c>
    </row>
    <row r="4898" spans="1:28" x14ac:dyDescent="0.25">
      <c r="A4898" t="s">
        <v>4902</v>
      </c>
      <c r="B4898">
        <v>0.99987803227770999</v>
      </c>
      <c r="C4898">
        <v>0.715039805797546</v>
      </c>
      <c r="D4898">
        <v>1.00999352028603</v>
      </c>
      <c r="E4898">
        <v>0.776376869382291</v>
      </c>
      <c r="F4898">
        <v>0.650355344072304</v>
      </c>
      <c r="G4898">
        <v>0.42930072188634</v>
      </c>
      <c r="H4898">
        <v>0.21175195019467299</v>
      </c>
      <c r="I4898">
        <v>0.146865950513272</v>
      </c>
      <c r="J4898">
        <v>0.13565624522832201</v>
      </c>
      <c r="K4898">
        <v>9.3393682378880793E-2</v>
      </c>
      <c r="L4898">
        <v>646.73880497679897</v>
      </c>
      <c r="M4898">
        <v>11.684900057961899</v>
      </c>
      <c r="N4898">
        <v>55.348253023089001</v>
      </c>
      <c r="O4898">
        <v>53.801735392864302</v>
      </c>
      <c r="P4898">
        <v>-5.43106205379097E-2</v>
      </c>
      <c r="Q4898">
        <v>0</v>
      </c>
      <c r="R4898">
        <v>0.93427522287099396</v>
      </c>
      <c r="S4898" t="s">
        <v>11209</v>
      </c>
      <c r="T4898" t="s">
        <v>12620</v>
      </c>
      <c r="U4898" t="s">
        <v>12620</v>
      </c>
      <c r="V4898" t="s">
        <v>12620</v>
      </c>
      <c r="W4898" t="s">
        <v>17462</v>
      </c>
      <c r="X4898">
        <v>37</v>
      </c>
      <c r="Y4898" t="s">
        <v>23570</v>
      </c>
      <c r="Z4898" t="s">
        <v>29845</v>
      </c>
      <c r="AA4898">
        <v>0.53438483827516259</v>
      </c>
      <c r="AB4898" t="str">
        <f>HYPERLINK("Melting_Curves/meltCurve_Q96T51_RUFY1.pdf", "Melting_Curves/meltCurve_Q96T51_RUFY1.pdf")</f>
        <v>Melting_Curves/meltCurve_Q96T51_RUFY1.pdf</v>
      </c>
    </row>
    <row r="4899" spans="1:28" x14ac:dyDescent="0.25">
      <c r="A4899" t="s">
        <v>4903</v>
      </c>
      <c r="B4899">
        <v>0.99987803227770999</v>
      </c>
      <c r="C4899">
        <v>0.90497484401389106</v>
      </c>
      <c r="D4899">
        <v>1.00206414555518</v>
      </c>
      <c r="E4899">
        <v>0.87755501817984105</v>
      </c>
      <c r="F4899">
        <v>0.97062881645377697</v>
      </c>
      <c r="G4899">
        <v>0.79657164108713996</v>
      </c>
      <c r="H4899">
        <v>0.767234296623862</v>
      </c>
      <c r="I4899">
        <v>0.68871372530736497</v>
      </c>
      <c r="J4899">
        <v>0.65223827814882895</v>
      </c>
      <c r="K4899">
        <v>0.53064173193713704</v>
      </c>
      <c r="L4899">
        <v>423.09327560332503</v>
      </c>
      <c r="M4899">
        <v>5.8110875761799301</v>
      </c>
      <c r="O4899">
        <v>65.574265310258298</v>
      </c>
      <c r="P4899">
        <v>-2.2234993437303899E-2</v>
      </c>
      <c r="Q4899">
        <v>0</v>
      </c>
      <c r="R4899">
        <v>0.91791100292022099</v>
      </c>
      <c r="S4899" t="s">
        <v>11210</v>
      </c>
      <c r="T4899" t="s">
        <v>12620</v>
      </c>
      <c r="U4899" t="s">
        <v>12620</v>
      </c>
      <c r="V4899" t="s">
        <v>12620</v>
      </c>
      <c r="W4899" t="s">
        <v>17463</v>
      </c>
      <c r="X4899">
        <v>28</v>
      </c>
      <c r="Y4899" t="s">
        <v>23571</v>
      </c>
      <c r="Z4899" t="s">
        <v>29846</v>
      </c>
      <c r="AA4899">
        <v>0.83352875991637376</v>
      </c>
      <c r="AB4899" t="str">
        <f>HYPERLINK("Melting_Curves/meltCurve_Q96T58_SPEN.pdf", "Melting_Curves/meltCurve_Q96T58_SPEN.pdf")</f>
        <v>Melting_Curves/meltCurve_Q96T58_SPEN.pdf</v>
      </c>
    </row>
    <row r="4900" spans="1:28" x14ac:dyDescent="0.25">
      <c r="A4900" t="s">
        <v>4904</v>
      </c>
      <c r="B4900">
        <v>0.99987803227770999</v>
      </c>
      <c r="C4900">
        <v>0.91731786723891795</v>
      </c>
      <c r="D4900">
        <v>0.46410251339993103</v>
      </c>
      <c r="E4900">
        <v>0.34821662946967902</v>
      </c>
      <c r="F4900">
        <v>0.267095899800669</v>
      </c>
      <c r="G4900">
        <v>0.18222264264892399</v>
      </c>
      <c r="H4900">
        <v>0.18635265078545299</v>
      </c>
      <c r="I4900">
        <v>0.199093274280042</v>
      </c>
      <c r="J4900">
        <v>0.14138845031371999</v>
      </c>
      <c r="K4900">
        <v>0.113154801120448</v>
      </c>
      <c r="L4900">
        <v>1103.3383695386999</v>
      </c>
      <c r="M4900">
        <v>24.2114461683503</v>
      </c>
      <c r="N4900">
        <v>46.438373997488902</v>
      </c>
      <c r="O4900">
        <v>45.263465425034298</v>
      </c>
      <c r="P4900">
        <v>-0.109401965321637</v>
      </c>
      <c r="Q4900">
        <v>0.18190150294152699</v>
      </c>
      <c r="R4900">
        <v>0.96967813689730098</v>
      </c>
      <c r="S4900" t="s">
        <v>11211</v>
      </c>
      <c r="T4900" t="s">
        <v>12620</v>
      </c>
      <c r="U4900" t="s">
        <v>12620</v>
      </c>
      <c r="V4900" t="s">
        <v>12620</v>
      </c>
      <c r="W4900" t="s">
        <v>17464</v>
      </c>
      <c r="X4900">
        <v>5</v>
      </c>
      <c r="Y4900" t="s">
        <v>23572</v>
      </c>
      <c r="Z4900" t="s">
        <v>29847</v>
      </c>
      <c r="AA4900">
        <v>0.34218551397904412</v>
      </c>
      <c r="AB4900" t="str">
        <f>HYPERLINK("Melting_Curves/meltCurve_Q96T60_PNKP.pdf", "Melting_Curves/meltCurve_Q96T60_PNKP.pdf")</f>
        <v>Melting_Curves/meltCurve_Q96T60_PNKP.pdf</v>
      </c>
    </row>
    <row r="4901" spans="1:28" x14ac:dyDescent="0.25">
      <c r="A4901" t="s">
        <v>4905</v>
      </c>
      <c r="B4901">
        <v>0.99987803227770999</v>
      </c>
      <c r="C4901">
        <v>0.959395041394555</v>
      </c>
      <c r="D4901">
        <v>0.54259164002051496</v>
      </c>
      <c r="E4901">
        <v>0.33623439962922402</v>
      </c>
      <c r="F4901">
        <v>0.17247175462016001</v>
      </c>
      <c r="G4901">
        <v>0.112387300553905</v>
      </c>
      <c r="H4901">
        <v>6.5044213294204803E-2</v>
      </c>
      <c r="I4901">
        <v>5.3741122028750601E-2</v>
      </c>
      <c r="J4901">
        <v>4.1186413981147599E-2</v>
      </c>
      <c r="K4901">
        <v>2.5832716619032001E-2</v>
      </c>
      <c r="L4901">
        <v>874.97712731427202</v>
      </c>
      <c r="M4901">
        <v>18.556043773407399</v>
      </c>
      <c r="N4901">
        <v>47.4264067425881</v>
      </c>
      <c r="O4901">
        <v>46.615817050740397</v>
      </c>
      <c r="P4901">
        <v>-9.4475869401820997E-2</v>
      </c>
      <c r="Q4901">
        <v>5.0686196593163799E-2</v>
      </c>
      <c r="R4901">
        <v>0.98381410529465596</v>
      </c>
      <c r="S4901" t="s">
        <v>11212</v>
      </c>
      <c r="T4901" t="s">
        <v>12620</v>
      </c>
      <c r="U4901" t="s">
        <v>12620</v>
      </c>
      <c r="V4901" t="s">
        <v>12620</v>
      </c>
      <c r="W4901" t="s">
        <v>17465</v>
      </c>
      <c r="X4901">
        <v>15</v>
      </c>
      <c r="Y4901" t="s">
        <v>23573</v>
      </c>
      <c r="Z4901" t="s">
        <v>29848</v>
      </c>
      <c r="AA4901">
        <v>0.29331778772580391</v>
      </c>
      <c r="AB4901" t="str">
        <f>HYPERLINK("Melting_Curves/meltCurve_Q96T76_MMS19.pdf", "Melting_Curves/meltCurve_Q96T76_MMS19.pdf")</f>
        <v>Melting_Curves/meltCurve_Q96T76_MMS19.pdf</v>
      </c>
    </row>
    <row r="4902" spans="1:28" x14ac:dyDescent="0.25">
      <c r="A4902" t="s">
        <v>4906</v>
      </c>
      <c r="B4902">
        <v>0.99987803227770999</v>
      </c>
      <c r="C4902">
        <v>0.59268391097665996</v>
      </c>
      <c r="D4902">
        <v>15.0164236191225</v>
      </c>
      <c r="E4902">
        <v>0.95456849135807997</v>
      </c>
      <c r="F4902">
        <v>0.93896641327253005</v>
      </c>
      <c r="G4902">
        <v>0.28666755630638502</v>
      </c>
      <c r="H4902">
        <v>0.25720006727222</v>
      </c>
      <c r="I4902">
        <v>0.27372662400112202</v>
      </c>
      <c r="J4902">
        <v>0.14428008764928599</v>
      </c>
      <c r="K4902">
        <v>0.102962152812296</v>
      </c>
      <c r="L4902">
        <v>3386.4091669726599</v>
      </c>
      <c r="M4902">
        <v>61.414338457836102</v>
      </c>
      <c r="N4902">
        <v>55.582883988078798</v>
      </c>
      <c r="O4902">
        <v>55.081992638464897</v>
      </c>
      <c r="P4902">
        <v>-0.22484262775222399</v>
      </c>
      <c r="Q4902">
        <v>0.19336261662683399</v>
      </c>
      <c r="R4902">
        <v>-3.1717747075827397E-2</v>
      </c>
      <c r="S4902" t="s">
        <v>11213</v>
      </c>
      <c r="T4902" t="s">
        <v>12620</v>
      </c>
      <c r="U4902" t="s">
        <v>12620</v>
      </c>
      <c r="V4902" t="s">
        <v>12620</v>
      </c>
      <c r="W4902" t="s">
        <v>17466</v>
      </c>
      <c r="X4902">
        <v>1</v>
      </c>
      <c r="Y4902" t="s">
        <v>23574</v>
      </c>
      <c r="Z4902" t="s">
        <v>29849</v>
      </c>
      <c r="AA4902">
        <v>0.6017533751433134</v>
      </c>
      <c r="AB4902" t="str">
        <f>HYPERLINK("Melting_Curves/meltCurve_Q96T88_UHRF1.pdf", "Melting_Curves/meltCurve_Q96T88_UHRF1.pdf")</f>
        <v>Melting_Curves/meltCurve_Q96T88_UHRF1.pdf</v>
      </c>
    </row>
    <row r="4903" spans="1:28" x14ac:dyDescent="0.25">
      <c r="A4903" t="s">
        <v>4907</v>
      </c>
      <c r="B4903">
        <v>0.99987803227770999</v>
      </c>
      <c r="C4903">
        <v>0.96842400779840598</v>
      </c>
      <c r="D4903">
        <v>0.994113237110267</v>
      </c>
      <c r="E4903">
        <v>0.81599791443329805</v>
      </c>
      <c r="F4903">
        <v>0.31287463216075401</v>
      </c>
      <c r="G4903">
        <v>0.13706485196118701</v>
      </c>
      <c r="H4903">
        <v>8.72344735316119E-2</v>
      </c>
      <c r="I4903">
        <v>7.4712551859972706E-2</v>
      </c>
      <c r="J4903">
        <v>6.2772118068468094E-2</v>
      </c>
      <c r="K4903">
        <v>4.3481533791778999E-2</v>
      </c>
      <c r="L4903">
        <v>2073.87956001153</v>
      </c>
      <c r="M4903">
        <v>40.130900916714801</v>
      </c>
      <c r="N4903">
        <v>51.887486170045001</v>
      </c>
      <c r="O4903">
        <v>51.550058398557901</v>
      </c>
      <c r="P4903">
        <v>-0.18005784262251301</v>
      </c>
      <c r="Q4903">
        <v>7.4830500742396194E-2</v>
      </c>
      <c r="R4903">
        <v>0.99762157376662597</v>
      </c>
      <c r="S4903" t="s">
        <v>11214</v>
      </c>
      <c r="T4903" t="s">
        <v>12620</v>
      </c>
      <c r="U4903" t="s">
        <v>12620</v>
      </c>
      <c r="V4903" t="s">
        <v>12620</v>
      </c>
      <c r="W4903" t="s">
        <v>17467</v>
      </c>
      <c r="X4903">
        <v>27</v>
      </c>
      <c r="Y4903" t="s">
        <v>23575</v>
      </c>
      <c r="Z4903" t="s">
        <v>29850</v>
      </c>
      <c r="AA4903">
        <v>0.43824628837392587</v>
      </c>
      <c r="AB4903" t="str">
        <f>HYPERLINK("Melting_Curves/meltCurve_Q96TA1_FAM129B.pdf", "Melting_Curves/meltCurve_Q96TA1_FAM129B.pdf")</f>
        <v>Melting_Curves/meltCurve_Q96TA1_FAM129B.pdf</v>
      </c>
    </row>
    <row r="4904" spans="1:28" x14ac:dyDescent="0.25">
      <c r="A4904" t="s">
        <v>4908</v>
      </c>
      <c r="B4904">
        <v>0.99987803227770999</v>
      </c>
      <c r="C4904">
        <v>0.81993897538271199</v>
      </c>
      <c r="D4904">
        <v>0.95315218607307794</v>
      </c>
      <c r="E4904">
        <v>0.76758573017440301</v>
      </c>
      <c r="F4904">
        <v>0.73453686274956398</v>
      </c>
      <c r="G4904">
        <v>0.50697456053128298</v>
      </c>
      <c r="H4904">
        <v>0.44855973475013</v>
      </c>
      <c r="I4904">
        <v>0.39206381904908799</v>
      </c>
      <c r="J4904">
        <v>0.42531542019153901</v>
      </c>
      <c r="K4904">
        <v>0.32034185074687999</v>
      </c>
      <c r="L4904">
        <v>501.03207380119198</v>
      </c>
      <c r="M4904">
        <v>9.1626938656896595</v>
      </c>
      <c r="N4904">
        <v>59.216040619519802</v>
      </c>
      <c r="O4904">
        <v>52.266089201165499</v>
      </c>
      <c r="P4904">
        <v>-3.2800308249649697E-2</v>
      </c>
      <c r="Q4904">
        <v>0.25210583000671999</v>
      </c>
      <c r="R4904">
        <v>0.94547525035138302</v>
      </c>
      <c r="S4904" t="s">
        <v>11215</v>
      </c>
      <c r="T4904" t="s">
        <v>12620</v>
      </c>
      <c r="U4904" t="s">
        <v>12620</v>
      </c>
      <c r="V4904" t="s">
        <v>12620</v>
      </c>
      <c r="W4904" t="s">
        <v>17468</v>
      </c>
      <c r="X4904">
        <v>10</v>
      </c>
      <c r="Y4904" t="s">
        <v>23576</v>
      </c>
      <c r="Z4904" t="s">
        <v>29851</v>
      </c>
      <c r="AA4904">
        <v>0.63931059075697605</v>
      </c>
      <c r="AB4904" t="str">
        <f>HYPERLINK("Melting_Curves/meltCurve_Q99081_TCF12.pdf", "Melting_Curves/meltCurve_Q99081_TCF12.pdf")</f>
        <v>Melting_Curves/meltCurve_Q99081_TCF12.pdf</v>
      </c>
    </row>
    <row r="4905" spans="1:28" x14ac:dyDescent="0.25">
      <c r="A4905" t="s">
        <v>4909</v>
      </c>
      <c r="B4905">
        <v>0.99987803227770999</v>
      </c>
      <c r="C4905">
        <v>1.03930867697915</v>
      </c>
      <c r="D4905">
        <v>0.99141464739162499</v>
      </c>
      <c r="E4905">
        <v>0.93101574230505502</v>
      </c>
      <c r="F4905">
        <v>0.91463879583596497</v>
      </c>
      <c r="G4905">
        <v>0.77842413113181697</v>
      </c>
      <c r="H4905">
        <v>0.76112766344334803</v>
      </c>
      <c r="I4905">
        <v>0.67952635180820997</v>
      </c>
      <c r="J4905">
        <v>0.62924982057365098</v>
      </c>
      <c r="K4905">
        <v>0.52627884534225999</v>
      </c>
      <c r="L4905">
        <v>504.00965000607101</v>
      </c>
      <c r="M4905">
        <v>7.6095346354120599</v>
      </c>
      <c r="O4905">
        <v>62.124153089465302</v>
      </c>
      <c r="P4905">
        <v>-2.31321690028546E-2</v>
      </c>
      <c r="Q4905">
        <v>0.24562487656142501</v>
      </c>
      <c r="R4905">
        <v>0.97417231679087102</v>
      </c>
      <c r="S4905" t="s">
        <v>11216</v>
      </c>
      <c r="T4905" t="s">
        <v>12620</v>
      </c>
      <c r="U4905" t="s">
        <v>12620</v>
      </c>
      <c r="V4905" t="s">
        <v>12620</v>
      </c>
      <c r="W4905" t="s">
        <v>17469</v>
      </c>
      <c r="X4905">
        <v>9</v>
      </c>
      <c r="Y4905" t="s">
        <v>23577</v>
      </c>
      <c r="Z4905" t="s">
        <v>29852</v>
      </c>
      <c r="AA4905">
        <v>0.83030865714949542</v>
      </c>
      <c r="AB4905" t="str">
        <f>HYPERLINK("Melting_Curves/meltCurve_Q99417_MYCBP.pdf", "Melting_Curves/meltCurve_Q99417_MYCBP.pdf")</f>
        <v>Melting_Curves/meltCurve_Q99417_MYCBP.pdf</v>
      </c>
    </row>
    <row r="4906" spans="1:28" x14ac:dyDescent="0.25">
      <c r="A4906" t="s">
        <v>4910</v>
      </c>
      <c r="B4906">
        <v>0.99987803227770999</v>
      </c>
      <c r="C4906">
        <v>0.86047636135039196</v>
      </c>
      <c r="D4906">
        <v>1.23780633690877</v>
      </c>
      <c r="E4906">
        <v>0.61232111513782395</v>
      </c>
      <c r="F4906">
        <v>0.51069296524235197</v>
      </c>
      <c r="G4906">
        <v>0.32813087397295498</v>
      </c>
      <c r="H4906">
        <v>0.27674572259126401</v>
      </c>
      <c r="I4906">
        <v>0.27143640404146002</v>
      </c>
      <c r="J4906">
        <v>0.27134425019049502</v>
      </c>
      <c r="K4906">
        <v>0.18398948590011599</v>
      </c>
      <c r="L4906">
        <v>1464.2442999109801</v>
      </c>
      <c r="M4906">
        <v>28.787084336381</v>
      </c>
      <c r="N4906">
        <v>52.217896879781797</v>
      </c>
      <c r="O4906">
        <v>50.621068312337897</v>
      </c>
      <c r="P4906">
        <v>-0.104796794630085</v>
      </c>
      <c r="Q4906">
        <v>0.26287986506298799</v>
      </c>
      <c r="R4906">
        <v>0.90193313754995097</v>
      </c>
      <c r="S4906" t="s">
        <v>11217</v>
      </c>
      <c r="T4906" t="s">
        <v>12620</v>
      </c>
      <c r="U4906" t="s">
        <v>12620</v>
      </c>
      <c r="V4906" t="s">
        <v>12620</v>
      </c>
      <c r="W4906" t="s">
        <v>17470</v>
      </c>
      <c r="X4906">
        <v>4</v>
      </c>
      <c r="Y4906" t="s">
        <v>23578</v>
      </c>
      <c r="Z4906" t="s">
        <v>29853</v>
      </c>
      <c r="AA4906">
        <v>0.53485392544863786</v>
      </c>
      <c r="AB4906" t="str">
        <f>HYPERLINK("Melting_Curves/meltCurve_Q99418_2_CYTH2.pdf", "Melting_Curves/meltCurve_Q99418_2_CYTH2.pdf")</f>
        <v>Melting_Curves/meltCurve_Q99418_2_CYTH2.pdf</v>
      </c>
    </row>
    <row r="4907" spans="1:28" x14ac:dyDescent="0.25">
      <c r="A4907" t="s">
        <v>4911</v>
      </c>
      <c r="B4907">
        <v>0.99987803227770999</v>
      </c>
      <c r="C4907">
        <v>0.66516911608262896</v>
      </c>
      <c r="D4907">
        <v>1.00688744174664</v>
      </c>
      <c r="E4907">
        <v>0.78651803914846696</v>
      </c>
      <c r="F4907">
        <v>0.85556912938930496</v>
      </c>
      <c r="G4907">
        <v>0.26648390319297299</v>
      </c>
      <c r="H4907">
        <v>0.156648224558084</v>
      </c>
      <c r="I4907">
        <v>0.117334570711479</v>
      </c>
      <c r="J4907">
        <v>0.10262809825977801</v>
      </c>
      <c r="K4907">
        <v>8.1908844960302096E-2</v>
      </c>
      <c r="L4907">
        <v>1687.0449490727699</v>
      </c>
      <c r="M4907">
        <v>30.734182456384801</v>
      </c>
      <c r="N4907">
        <v>55.267970487218697</v>
      </c>
      <c r="O4907">
        <v>54.660667545144598</v>
      </c>
      <c r="P4907">
        <v>-0.12729237127638299</v>
      </c>
      <c r="Q4907">
        <v>9.4448685744645905E-2</v>
      </c>
      <c r="R4907">
        <v>0.89156103639960105</v>
      </c>
      <c r="S4907" t="s">
        <v>11218</v>
      </c>
      <c r="T4907" t="s">
        <v>12620</v>
      </c>
      <c r="U4907" t="s">
        <v>12620</v>
      </c>
      <c r="V4907" t="s">
        <v>12620</v>
      </c>
      <c r="W4907" t="s">
        <v>17471</v>
      </c>
      <c r="X4907">
        <v>21</v>
      </c>
      <c r="Y4907" t="s">
        <v>23579</v>
      </c>
      <c r="Z4907" t="s">
        <v>29854</v>
      </c>
      <c r="AA4907">
        <v>0.54968100706066769</v>
      </c>
      <c r="AB4907" t="str">
        <f>HYPERLINK("Melting_Curves/meltCurve_Q99426_TBCB.pdf", "Melting_Curves/meltCurve_Q99426_TBCB.pdf")</f>
        <v>Melting_Curves/meltCurve_Q99426_TBCB.pdf</v>
      </c>
    </row>
    <row r="4908" spans="1:28" x14ac:dyDescent="0.25">
      <c r="A4908" t="s">
        <v>4912</v>
      </c>
      <c r="B4908">
        <v>0.99987803227770999</v>
      </c>
      <c r="C4908">
        <v>0.81101013378849196</v>
      </c>
      <c r="D4908">
        <v>0.72397394705408302</v>
      </c>
      <c r="E4908">
        <v>1.43311530193398</v>
      </c>
      <c r="F4908">
        <v>1.4313696514065199</v>
      </c>
      <c r="G4908">
        <v>1.5188148907377801</v>
      </c>
      <c r="H4908">
        <v>1.77069462241213</v>
      </c>
      <c r="I4908">
        <v>1.7812924903802201</v>
      </c>
      <c r="J4908">
        <v>3.3795669142289602</v>
      </c>
      <c r="K4908">
        <v>2.27689876110419</v>
      </c>
      <c r="L4908">
        <v>12406.59837704</v>
      </c>
      <c r="M4908">
        <v>250</v>
      </c>
      <c r="O4908">
        <v>49.623217743740398</v>
      </c>
      <c r="P4908">
        <v>0.62974553958264001</v>
      </c>
      <c r="Q4908">
        <v>1.5</v>
      </c>
      <c r="R4908">
        <v>0.19872782367431699</v>
      </c>
      <c r="S4908" t="s">
        <v>11219</v>
      </c>
      <c r="T4908" t="s">
        <v>12620</v>
      </c>
      <c r="U4908" t="s">
        <v>12620</v>
      </c>
      <c r="V4908" t="s">
        <v>12620</v>
      </c>
      <c r="W4908" t="s">
        <v>17472</v>
      </c>
      <c r="X4908">
        <v>9</v>
      </c>
      <c r="Y4908" t="s">
        <v>23580</v>
      </c>
      <c r="Z4908" t="s">
        <v>29855</v>
      </c>
      <c r="AA4908">
        <v>1.339516561423211</v>
      </c>
      <c r="AB4908" t="str">
        <f>HYPERLINK("Melting_Curves/meltCurve_Q99436_PSMB7.pdf", "Melting_Curves/meltCurve_Q99436_PSMB7.pdf")</f>
        <v>Melting_Curves/meltCurve_Q99436_PSMB7.pdf</v>
      </c>
    </row>
    <row r="4909" spans="1:28" x14ac:dyDescent="0.25">
      <c r="A4909" t="s">
        <v>4913</v>
      </c>
      <c r="B4909">
        <v>0.99987803227770999</v>
      </c>
      <c r="C4909">
        <v>0.99282072846033498</v>
      </c>
      <c r="D4909">
        <v>1.0446604241369899</v>
      </c>
      <c r="E4909">
        <v>0.894736965517827</v>
      </c>
      <c r="F4909">
        <v>0.67786378382227797</v>
      </c>
      <c r="G4909">
        <v>0.35385158390141402</v>
      </c>
      <c r="H4909">
        <v>0.19638542412274701</v>
      </c>
      <c r="I4909">
        <v>0.146269231598876</v>
      </c>
      <c r="J4909">
        <v>0.118690119917139</v>
      </c>
      <c r="K4909">
        <v>0.110565815097998</v>
      </c>
      <c r="L4909">
        <v>1220.26675559913</v>
      </c>
      <c r="M4909">
        <v>22.4077528981108</v>
      </c>
      <c r="N4909">
        <v>55.079560087957702</v>
      </c>
      <c r="O4909">
        <v>54.029189218318599</v>
      </c>
      <c r="P4909">
        <v>-9.2092108198937497E-2</v>
      </c>
      <c r="Q4909">
        <v>0.11181479192246301</v>
      </c>
      <c r="R4909">
        <v>0.99740910605962396</v>
      </c>
      <c r="S4909" t="s">
        <v>11220</v>
      </c>
      <c r="T4909" t="s">
        <v>12620</v>
      </c>
      <c r="U4909" t="s">
        <v>12620</v>
      </c>
      <c r="V4909" t="s">
        <v>12620</v>
      </c>
      <c r="W4909" t="s">
        <v>17473</v>
      </c>
      <c r="X4909">
        <v>8</v>
      </c>
      <c r="Y4909" t="s">
        <v>23581</v>
      </c>
      <c r="Z4909" t="s">
        <v>29856</v>
      </c>
      <c r="AA4909">
        <v>0.54979386526284069</v>
      </c>
      <c r="AB4909" t="str">
        <f>HYPERLINK("Melting_Curves/meltCurve_Q99447_PCYT2.pdf", "Melting_Curves/meltCurve_Q99447_PCYT2.pdf")</f>
        <v>Melting_Curves/meltCurve_Q99447_PCYT2.pdf</v>
      </c>
    </row>
    <row r="4910" spans="1:28" x14ac:dyDescent="0.25">
      <c r="A4910" t="s">
        <v>4914</v>
      </c>
      <c r="B4910">
        <v>0.99987803227770999</v>
      </c>
      <c r="C4910">
        <v>1.05977867682961</v>
      </c>
      <c r="D4910">
        <v>0.80393545778353603</v>
      </c>
      <c r="E4910">
        <v>0.662445645297568</v>
      </c>
      <c r="F4910">
        <v>0.425080759870261</v>
      </c>
      <c r="G4910">
        <v>0.29364229794746999</v>
      </c>
      <c r="H4910">
        <v>0.20944608183864</v>
      </c>
      <c r="I4910">
        <v>0.181479901160466</v>
      </c>
      <c r="J4910">
        <v>0.17924274879298599</v>
      </c>
      <c r="K4910">
        <v>0.14433064784698699</v>
      </c>
      <c r="L4910">
        <v>824.69533784017995</v>
      </c>
      <c r="M4910">
        <v>16.2073012216234</v>
      </c>
      <c r="N4910">
        <v>52.052119804010403</v>
      </c>
      <c r="O4910">
        <v>50.1284380373312</v>
      </c>
      <c r="P4910">
        <v>-6.8512944185976199E-2</v>
      </c>
      <c r="Q4910">
        <v>0.15243364780861299</v>
      </c>
      <c r="R4910">
        <v>0.98586632009786901</v>
      </c>
      <c r="S4910" t="s">
        <v>11221</v>
      </c>
      <c r="T4910" t="s">
        <v>12620</v>
      </c>
      <c r="U4910" t="s">
        <v>12620</v>
      </c>
      <c r="V4910" t="s">
        <v>12620</v>
      </c>
      <c r="W4910" t="s">
        <v>17474</v>
      </c>
      <c r="X4910">
        <v>10</v>
      </c>
      <c r="Y4910" t="s">
        <v>23582</v>
      </c>
      <c r="Z4910" t="s">
        <v>29857</v>
      </c>
      <c r="AA4910">
        <v>0.47716468127251599</v>
      </c>
      <c r="AB4910" t="str">
        <f>HYPERLINK("Melting_Curves/meltCurve_Q99459_CDC5L.pdf", "Melting_Curves/meltCurve_Q99459_CDC5L.pdf")</f>
        <v>Melting_Curves/meltCurve_Q99459_CDC5L.pdf</v>
      </c>
    </row>
    <row r="4911" spans="1:28" x14ac:dyDescent="0.25">
      <c r="A4911" t="s">
        <v>4915</v>
      </c>
      <c r="B4911">
        <v>0.99987803227770999</v>
      </c>
      <c r="C4911">
        <v>0.89698032318068899</v>
      </c>
      <c r="D4911">
        <v>0.79628716437797697</v>
      </c>
      <c r="E4911">
        <v>1.2270969938118199</v>
      </c>
      <c r="F4911">
        <v>0.93535297472998102</v>
      </c>
      <c r="G4911">
        <v>0.54718122354445398</v>
      </c>
      <c r="H4911">
        <v>0.374007228701981</v>
      </c>
      <c r="I4911">
        <v>0.23603802083803499</v>
      </c>
      <c r="J4911">
        <v>0.21237133033342201</v>
      </c>
      <c r="K4911">
        <v>0.12838258099924099</v>
      </c>
      <c r="L4911">
        <v>1650.0540106736801</v>
      </c>
      <c r="M4911">
        <v>28.907732016356299</v>
      </c>
      <c r="N4911">
        <v>58.039342596511801</v>
      </c>
      <c r="O4911">
        <v>56.808960931953401</v>
      </c>
      <c r="P4911">
        <v>-0.10305364355675101</v>
      </c>
      <c r="Q4911">
        <v>0.18992936871990301</v>
      </c>
      <c r="R4911">
        <v>0.908086012860156</v>
      </c>
      <c r="S4911" t="s">
        <v>11222</v>
      </c>
      <c r="T4911" t="s">
        <v>12620</v>
      </c>
      <c r="U4911" t="s">
        <v>12620</v>
      </c>
      <c r="V4911" t="s">
        <v>12620</v>
      </c>
      <c r="W4911" t="s">
        <v>17475</v>
      </c>
      <c r="X4911">
        <v>34</v>
      </c>
      <c r="Y4911" t="s">
        <v>23583</v>
      </c>
      <c r="Z4911" t="s">
        <v>29858</v>
      </c>
      <c r="AA4911">
        <v>0.65687937460969759</v>
      </c>
      <c r="AB4911" t="str">
        <f>HYPERLINK("Melting_Curves/meltCurve_Q99460_PSMD1.pdf", "Melting_Curves/meltCurve_Q99460_PSMD1.pdf")</f>
        <v>Melting_Curves/meltCurve_Q99460_PSMD1.pdf</v>
      </c>
    </row>
    <row r="4912" spans="1:28" x14ac:dyDescent="0.25">
      <c r="A4912" t="s">
        <v>4916</v>
      </c>
      <c r="B4912">
        <v>0.99987803227770999</v>
      </c>
      <c r="C4912">
        <v>0.87746938685826303</v>
      </c>
      <c r="D4912">
        <v>0.82093962461330094</v>
      </c>
      <c r="E4912">
        <v>0.696494327258527</v>
      </c>
      <c r="F4912">
        <v>0.69863137587875002</v>
      </c>
      <c r="G4912">
        <v>0.51289093640554195</v>
      </c>
      <c r="H4912">
        <v>0.41088551125514899</v>
      </c>
      <c r="I4912">
        <v>0.29418040025368902</v>
      </c>
      <c r="J4912">
        <v>0.312309796008369</v>
      </c>
      <c r="K4912">
        <v>0.27229517152336602</v>
      </c>
      <c r="L4912">
        <v>398.127212303634</v>
      </c>
      <c r="M4912">
        <v>7.0766028455765504</v>
      </c>
      <c r="N4912">
        <v>57.486318701840098</v>
      </c>
      <c r="O4912">
        <v>52.285267963178299</v>
      </c>
      <c r="P4912">
        <v>-3.15213791009736E-2</v>
      </c>
      <c r="Q4912">
        <v>7.0077647527739803E-2</v>
      </c>
      <c r="R4912">
        <v>0.98060374403802897</v>
      </c>
      <c r="S4912" t="s">
        <v>11223</v>
      </c>
      <c r="T4912" t="s">
        <v>12620</v>
      </c>
      <c r="U4912" t="s">
        <v>12620</v>
      </c>
      <c r="V4912" t="s">
        <v>12620</v>
      </c>
      <c r="W4912" t="s">
        <v>17476</v>
      </c>
      <c r="X4912">
        <v>1</v>
      </c>
      <c r="Y4912" t="s">
        <v>23584</v>
      </c>
      <c r="Z4912" t="s">
        <v>29859</v>
      </c>
      <c r="AA4912">
        <v>0.58872131205366329</v>
      </c>
      <c r="AB4912" t="str">
        <f>HYPERLINK("Melting_Curves/meltCurve_Q99470_SDF2.pdf", "Melting_Curves/meltCurve_Q99470_SDF2.pdf")</f>
        <v>Melting_Curves/meltCurve_Q99470_SDF2.pdf</v>
      </c>
    </row>
    <row r="4913" spans="1:28" x14ac:dyDescent="0.25">
      <c r="A4913" t="s">
        <v>4917</v>
      </c>
      <c r="B4913">
        <v>0.99987803227770999</v>
      </c>
      <c r="C4913">
        <v>1.13440273277799</v>
      </c>
      <c r="D4913">
        <v>1.0670428883538901</v>
      </c>
      <c r="E4913">
        <v>1.1640418076667101</v>
      </c>
      <c r="F4913">
        <v>1.07216115493229</v>
      </c>
      <c r="G4913">
        <v>1.01900255369394</v>
      </c>
      <c r="H4913">
        <v>1.08507500307528</v>
      </c>
      <c r="I4913">
        <v>0.75503665379419804</v>
      </c>
      <c r="J4913">
        <v>0.59570630914080103</v>
      </c>
      <c r="K4913">
        <v>0.43626635870921099</v>
      </c>
      <c r="L4913">
        <v>3132.3375606934901</v>
      </c>
      <c r="M4913">
        <v>48.353533638163398</v>
      </c>
      <c r="N4913">
        <v>68.103698710010903</v>
      </c>
      <c r="O4913">
        <v>64.669404098161195</v>
      </c>
      <c r="P4913">
        <v>-0.10228887045947101</v>
      </c>
      <c r="Q4913">
        <v>0.45278429120292202</v>
      </c>
      <c r="R4913">
        <v>0.86844930442669799</v>
      </c>
      <c r="S4913" t="s">
        <v>11224</v>
      </c>
      <c r="T4913" t="s">
        <v>12620</v>
      </c>
      <c r="U4913" t="s">
        <v>12620</v>
      </c>
      <c r="V4913" t="s">
        <v>12620</v>
      </c>
      <c r="W4913" t="s">
        <v>17477</v>
      </c>
      <c r="X4913">
        <v>11</v>
      </c>
      <c r="Y4913" t="s">
        <v>23585</v>
      </c>
      <c r="Z4913" t="s">
        <v>29860</v>
      </c>
      <c r="AA4913">
        <v>0.90565370511373544</v>
      </c>
      <c r="AB4913" t="str">
        <f>HYPERLINK("Melting_Curves/meltCurve_Q99471_PFDN5.pdf", "Melting_Curves/meltCurve_Q99471_PFDN5.pdf")</f>
        <v>Melting_Curves/meltCurve_Q99471_PFDN5.pdf</v>
      </c>
    </row>
    <row r="4914" spans="1:28" x14ac:dyDescent="0.25">
      <c r="A4914" t="s">
        <v>4918</v>
      </c>
      <c r="B4914">
        <v>0.99987803227770999</v>
      </c>
      <c r="C4914">
        <v>0.93243426116537498</v>
      </c>
      <c r="D4914">
        <v>0.89692513293450804</v>
      </c>
      <c r="E4914">
        <v>0.69505280731961305</v>
      </c>
      <c r="F4914">
        <v>0.42834137633547997</v>
      </c>
      <c r="G4914">
        <v>0.19593256166547501</v>
      </c>
      <c r="H4914">
        <v>9.3919599936860096E-2</v>
      </c>
      <c r="I4914">
        <v>9.0878971196345401E-2</v>
      </c>
      <c r="J4914">
        <v>5.3845366767152E-2</v>
      </c>
      <c r="K4914">
        <v>3.7278017834751702E-2</v>
      </c>
      <c r="L4914">
        <v>892.428668778016</v>
      </c>
      <c r="M4914">
        <v>17.1758440616982</v>
      </c>
      <c r="N4914">
        <v>52.162706546890398</v>
      </c>
      <c r="O4914">
        <v>51.2693788377968</v>
      </c>
      <c r="P4914">
        <v>-8.1032732448765202E-2</v>
      </c>
      <c r="Q4914">
        <v>3.2536323286861998E-2</v>
      </c>
      <c r="R4914">
        <v>0.99782108623421994</v>
      </c>
      <c r="S4914" t="s">
        <v>11225</v>
      </c>
      <c r="T4914" t="s">
        <v>12620</v>
      </c>
      <c r="U4914" t="s">
        <v>12620</v>
      </c>
      <c r="V4914" t="s">
        <v>12620</v>
      </c>
      <c r="W4914" t="s">
        <v>17478</v>
      </c>
      <c r="X4914">
        <v>4</v>
      </c>
      <c r="Y4914" t="s">
        <v>23586</v>
      </c>
      <c r="Z4914" t="s">
        <v>29861</v>
      </c>
      <c r="AA4914">
        <v>0.43561450493086717</v>
      </c>
      <c r="AB4914" t="str">
        <f>HYPERLINK("Melting_Curves/meltCurve_Q99487_PAFAH2.pdf", "Melting_Curves/meltCurve_Q99487_PAFAH2.pdf")</f>
        <v>Melting_Curves/meltCurve_Q99487_PAFAH2.pdf</v>
      </c>
    </row>
    <row r="4915" spans="1:28" x14ac:dyDescent="0.25">
      <c r="A4915" t="s">
        <v>4919</v>
      </c>
      <c r="B4915">
        <v>0.99987803227770999</v>
      </c>
      <c r="C4915">
        <v>0.92417926590914501</v>
      </c>
      <c r="D4915">
        <v>0.96807012845870499</v>
      </c>
      <c r="E4915">
        <v>0.88440921020722796</v>
      </c>
      <c r="F4915">
        <v>0.89809304250969302</v>
      </c>
      <c r="G4915">
        <v>0.73211935182764498</v>
      </c>
      <c r="H4915">
        <v>0.619817214835512</v>
      </c>
      <c r="I4915">
        <v>0.459684241041801</v>
      </c>
      <c r="J4915">
        <v>0.36534361965380702</v>
      </c>
      <c r="K4915">
        <v>0.248358652082035</v>
      </c>
      <c r="L4915">
        <v>626.06211897590504</v>
      </c>
      <c r="M4915">
        <v>9.9177763189287695</v>
      </c>
      <c r="N4915">
        <v>63.125226232091499</v>
      </c>
      <c r="O4915">
        <v>60.719645345909001</v>
      </c>
      <c r="P4915">
        <v>-4.0854795716130002E-2</v>
      </c>
      <c r="Q4915">
        <v>0</v>
      </c>
      <c r="R4915">
        <v>0.98565101098057895</v>
      </c>
      <c r="S4915" t="s">
        <v>11226</v>
      </c>
      <c r="T4915" t="s">
        <v>12620</v>
      </c>
      <c r="U4915" t="s">
        <v>12620</v>
      </c>
      <c r="V4915" t="s">
        <v>12620</v>
      </c>
      <c r="W4915" t="s">
        <v>17479</v>
      </c>
      <c r="X4915">
        <v>8</v>
      </c>
      <c r="Y4915" t="s">
        <v>23587</v>
      </c>
      <c r="Z4915" t="s">
        <v>29862</v>
      </c>
      <c r="AA4915">
        <v>0.73769146390146012</v>
      </c>
      <c r="AB4915" t="str">
        <f>HYPERLINK("Melting_Curves/meltCurve_Q99496_RNF2.pdf", "Melting_Curves/meltCurve_Q99496_RNF2.pdf")</f>
        <v>Melting_Curves/meltCurve_Q99496_RNF2.pdf</v>
      </c>
    </row>
    <row r="4916" spans="1:28" x14ac:dyDescent="0.25">
      <c r="A4916" t="s">
        <v>4920</v>
      </c>
      <c r="B4916">
        <v>0.99987803227770999</v>
      </c>
      <c r="C4916">
        <v>0.89648228840372002</v>
      </c>
      <c r="D4916">
        <v>1.0158057680043799</v>
      </c>
      <c r="E4916">
        <v>0.94244162930565301</v>
      </c>
      <c r="F4916">
        <v>1.1032991223445401</v>
      </c>
      <c r="G4916">
        <v>0.94365841386552196</v>
      </c>
      <c r="H4916">
        <v>0.78884288316337603</v>
      </c>
      <c r="I4916">
        <v>0.521433626904653</v>
      </c>
      <c r="J4916">
        <v>0.39195147734491897</v>
      </c>
      <c r="K4916">
        <v>0.280483785555945</v>
      </c>
      <c r="L4916">
        <v>1769.78842966262</v>
      </c>
      <c r="M4916">
        <v>28.1385593911995</v>
      </c>
      <c r="N4916">
        <v>64.520157844592305</v>
      </c>
      <c r="O4916">
        <v>62.580419178274397</v>
      </c>
      <c r="P4916">
        <v>-8.3878135693933598E-2</v>
      </c>
      <c r="Q4916">
        <v>0.25382352779462602</v>
      </c>
      <c r="R4916">
        <v>0.96332048427026096</v>
      </c>
      <c r="S4916" t="s">
        <v>11227</v>
      </c>
      <c r="T4916" t="s">
        <v>12620</v>
      </c>
      <c r="U4916" t="s">
        <v>12620</v>
      </c>
      <c r="V4916" t="s">
        <v>12620</v>
      </c>
      <c r="W4916" t="s">
        <v>17480</v>
      </c>
      <c r="X4916">
        <v>18</v>
      </c>
      <c r="Y4916" t="s">
        <v>23588</v>
      </c>
      <c r="Z4916" t="s">
        <v>29863</v>
      </c>
      <c r="AA4916">
        <v>0.82570734269177282</v>
      </c>
      <c r="AB4916" t="str">
        <f>HYPERLINK("Melting_Curves/meltCurve_Q99497_PARK7.pdf", "Melting_Curves/meltCurve_Q99497_PARK7.pdf")</f>
        <v>Melting_Curves/meltCurve_Q99497_PARK7.pdf</v>
      </c>
    </row>
    <row r="4917" spans="1:28" x14ac:dyDescent="0.25">
      <c r="A4917" t="s">
        <v>4921</v>
      </c>
      <c r="B4917">
        <v>0.99987803227770999</v>
      </c>
      <c r="C4917">
        <v>1.1185000056996099</v>
      </c>
      <c r="D4917">
        <v>1.08224378496659</v>
      </c>
      <c r="E4917">
        <v>1.11507949981244</v>
      </c>
      <c r="F4917">
        <v>1.0438633625717899</v>
      </c>
      <c r="G4917">
        <v>0.88684935638358797</v>
      </c>
      <c r="H4917">
        <v>0.76895248305997199</v>
      </c>
      <c r="I4917">
        <v>0.73908042638546201</v>
      </c>
      <c r="J4917">
        <v>0.55957548038401705</v>
      </c>
      <c r="K4917">
        <v>0.46669391748622602</v>
      </c>
      <c r="L4917">
        <v>1031.21804879601</v>
      </c>
      <c r="M4917">
        <v>15.924836137480799</v>
      </c>
      <c r="N4917">
        <v>69.0220225244651</v>
      </c>
      <c r="O4917">
        <v>63.760009429399602</v>
      </c>
      <c r="P4917">
        <v>-4.2889375730517897E-2</v>
      </c>
      <c r="Q4917">
        <v>0.31317122737296899</v>
      </c>
      <c r="R4917">
        <v>0.90779893627816199</v>
      </c>
      <c r="S4917" t="s">
        <v>11228</v>
      </c>
      <c r="T4917" t="s">
        <v>12620</v>
      </c>
      <c r="U4917" t="s">
        <v>12620</v>
      </c>
      <c r="V4917" t="s">
        <v>12620</v>
      </c>
      <c r="W4917" t="s">
        <v>17481</v>
      </c>
      <c r="X4917">
        <v>1</v>
      </c>
      <c r="Y4917" t="s">
        <v>23589</v>
      </c>
      <c r="Z4917" t="s">
        <v>29864</v>
      </c>
      <c r="AA4917">
        <v>0.86611072998276339</v>
      </c>
      <c r="AB4917" t="str">
        <f>HYPERLINK("Melting_Curves/meltCurve_Q99501_GAS2L1.pdf", "Melting_Curves/meltCurve_Q99501_GAS2L1.pdf")</f>
        <v>Melting_Curves/meltCurve_Q99501_GAS2L1.pdf</v>
      </c>
    </row>
    <row r="4918" spans="1:28" x14ac:dyDescent="0.25">
      <c r="A4918" t="s">
        <v>4922</v>
      </c>
      <c r="B4918">
        <v>0.99987803227770999</v>
      </c>
      <c r="C4918">
        <v>0.93840372511975001</v>
      </c>
      <c r="D4918">
        <v>0.58248656596235704</v>
      </c>
      <c r="E4918">
        <v>0.26847346237118302</v>
      </c>
      <c r="F4918">
        <v>9.71637990602566E-2</v>
      </c>
      <c r="G4918">
        <v>6.3662500570910205E-2</v>
      </c>
      <c r="H4918">
        <v>5.9494918122646102E-2</v>
      </c>
      <c r="I4918">
        <v>6.4440709722364403E-2</v>
      </c>
      <c r="J4918">
        <v>6.3373330662811006E-2</v>
      </c>
      <c r="K4918">
        <v>4.0582830513527103E-2</v>
      </c>
      <c r="L4918">
        <v>1086.7691190636299</v>
      </c>
      <c r="M4918">
        <v>23.2259001894619</v>
      </c>
      <c r="N4918">
        <v>47.0282254734811</v>
      </c>
      <c r="O4918">
        <v>46.448527778399203</v>
      </c>
      <c r="P4918">
        <v>-0.118107817304694</v>
      </c>
      <c r="Q4918">
        <v>5.5221058495173399E-2</v>
      </c>
      <c r="R4918">
        <v>0.99567707571850805</v>
      </c>
      <c r="S4918" t="s">
        <v>11229</v>
      </c>
      <c r="T4918" t="s">
        <v>12620</v>
      </c>
      <c r="U4918" t="s">
        <v>12620</v>
      </c>
      <c r="V4918" t="s">
        <v>12620</v>
      </c>
      <c r="W4918" t="s">
        <v>17482</v>
      </c>
      <c r="X4918">
        <v>2</v>
      </c>
      <c r="Y4918" t="s">
        <v>23590</v>
      </c>
      <c r="Z4918" t="s">
        <v>29865</v>
      </c>
      <c r="AA4918">
        <v>0.27908365651940681</v>
      </c>
      <c r="AB4918" t="str">
        <f>HYPERLINK("Melting_Curves/meltCurve_Q99504_2_EYA3.pdf", "Melting_Curves/meltCurve_Q99504_2_EYA3.pdf")</f>
        <v>Melting_Curves/meltCurve_Q99504_2_EYA3.pdf</v>
      </c>
    </row>
    <row r="4919" spans="1:28" x14ac:dyDescent="0.25">
      <c r="A4919" t="s">
        <v>4923</v>
      </c>
      <c r="B4919">
        <v>0.99987803227770999</v>
      </c>
      <c r="C4919">
        <v>0.85580792317662802</v>
      </c>
      <c r="D4919">
        <v>0.82824951560703597</v>
      </c>
      <c r="E4919">
        <v>0.57327135985428301</v>
      </c>
      <c r="F4919">
        <v>0.35549323757655799</v>
      </c>
      <c r="G4919">
        <v>0.284135590089513</v>
      </c>
      <c r="H4919">
        <v>0.18739620963121201</v>
      </c>
      <c r="I4919">
        <v>0.200017566997368</v>
      </c>
      <c r="J4919">
        <v>7.6817074646203604E-2</v>
      </c>
      <c r="K4919">
        <v>8.0136890301348698E-2</v>
      </c>
      <c r="L4919">
        <v>618.90965318693804</v>
      </c>
      <c r="M4919">
        <v>12.2484571414944</v>
      </c>
      <c r="N4919">
        <v>51.202292913067502</v>
      </c>
      <c r="O4919">
        <v>49.2393486000813</v>
      </c>
      <c r="P4919">
        <v>-5.7579386827349303E-2</v>
      </c>
      <c r="Q4919">
        <v>7.4319596449436406E-2</v>
      </c>
      <c r="R4919">
        <v>0.98596265593241905</v>
      </c>
      <c r="S4919" t="s">
        <v>11230</v>
      </c>
      <c r="T4919" t="s">
        <v>12620</v>
      </c>
      <c r="U4919" t="s">
        <v>12620</v>
      </c>
      <c r="V4919" t="s">
        <v>12620</v>
      </c>
      <c r="W4919" t="s">
        <v>17483</v>
      </c>
      <c r="X4919">
        <v>3</v>
      </c>
      <c r="Y4919" t="s">
        <v>23591</v>
      </c>
      <c r="Z4919" t="s">
        <v>29866</v>
      </c>
      <c r="AA4919">
        <v>0.42933445154102412</v>
      </c>
      <c r="AB4919" t="str">
        <f>HYPERLINK("Melting_Curves/meltCurve_Q99519_NEU1.pdf", "Melting_Curves/meltCurve_Q99519_NEU1.pdf")</f>
        <v>Melting_Curves/meltCurve_Q99519_NEU1.pdf</v>
      </c>
    </row>
    <row r="4920" spans="1:28" x14ac:dyDescent="0.25">
      <c r="A4920" t="s">
        <v>4924</v>
      </c>
      <c r="B4920">
        <v>0.99987803227770999</v>
      </c>
      <c r="C4920">
        <v>1.1016755703880601</v>
      </c>
      <c r="D4920">
        <v>1.01726919265933</v>
      </c>
      <c r="E4920">
        <v>1.0719211821213199</v>
      </c>
      <c r="F4920">
        <v>0.963694221680504</v>
      </c>
      <c r="G4920">
        <v>0.956564184307092</v>
      </c>
      <c r="H4920">
        <v>0.56085822454080503</v>
      </c>
      <c r="I4920">
        <v>0.227133170868005</v>
      </c>
      <c r="J4920">
        <v>0.110160398326674</v>
      </c>
      <c r="K4920">
        <v>6.9114605844343396E-2</v>
      </c>
      <c r="L4920">
        <v>2273.06302571367</v>
      </c>
      <c r="M4920">
        <v>37.124358623364003</v>
      </c>
      <c r="N4920">
        <v>61.468818103909797</v>
      </c>
      <c r="O4920">
        <v>61.051499474295497</v>
      </c>
      <c r="P4920">
        <v>-0.141746287957186</v>
      </c>
      <c r="Q4920">
        <v>6.7588052359725106E-2</v>
      </c>
      <c r="R4920">
        <v>0.98931690131682204</v>
      </c>
      <c r="S4920" t="s">
        <v>11231</v>
      </c>
      <c r="T4920" t="s">
        <v>12620</v>
      </c>
      <c r="U4920" t="s">
        <v>12620</v>
      </c>
      <c r="V4920" t="s">
        <v>12620</v>
      </c>
      <c r="W4920" t="s">
        <v>17484</v>
      </c>
      <c r="X4920">
        <v>12</v>
      </c>
      <c r="Y4920" t="s">
        <v>23592</v>
      </c>
      <c r="Z4920" t="s">
        <v>29867</v>
      </c>
      <c r="AA4920">
        <v>0.73128288579334011</v>
      </c>
      <c r="AB4920" t="str">
        <f>HYPERLINK("Melting_Curves/meltCurve_Q99536_VAT1.pdf", "Melting_Curves/meltCurve_Q99536_VAT1.pdf")</f>
        <v>Melting_Curves/meltCurve_Q99536_VAT1.pdf</v>
      </c>
    </row>
    <row r="4921" spans="1:28" x14ac:dyDescent="0.25">
      <c r="A4921" t="s">
        <v>4925</v>
      </c>
      <c r="B4921">
        <v>0.99987803227770999</v>
      </c>
      <c r="C4921">
        <v>0.91202382942164195</v>
      </c>
      <c r="D4921">
        <v>0.93929087897908004</v>
      </c>
      <c r="E4921">
        <v>0.62801511193603998</v>
      </c>
      <c r="F4921">
        <v>0.33423834541863401</v>
      </c>
      <c r="G4921">
        <v>0.236892638506948</v>
      </c>
      <c r="H4921">
        <v>0.16220243375917501</v>
      </c>
      <c r="I4921">
        <v>0.128725489400912</v>
      </c>
      <c r="J4921">
        <v>0.10428033924635099</v>
      </c>
      <c r="K4921">
        <v>7.2203773134053295E-2</v>
      </c>
      <c r="L4921">
        <v>1014.716098474</v>
      </c>
      <c r="M4921">
        <v>19.990241027224101</v>
      </c>
      <c r="N4921">
        <v>51.3755178001011</v>
      </c>
      <c r="O4921">
        <v>50.260772398132602</v>
      </c>
      <c r="P4921">
        <v>-8.8855806182106506E-2</v>
      </c>
      <c r="Q4921">
        <v>0.10640051363256001</v>
      </c>
      <c r="R4921">
        <v>0.99113312929004205</v>
      </c>
      <c r="S4921" t="s">
        <v>11232</v>
      </c>
      <c r="T4921" t="s">
        <v>12620</v>
      </c>
      <c r="U4921" t="s">
        <v>12620</v>
      </c>
      <c r="V4921" t="s">
        <v>12620</v>
      </c>
      <c r="W4921" t="s">
        <v>17485</v>
      </c>
      <c r="X4921">
        <v>3</v>
      </c>
      <c r="Y4921" t="s">
        <v>23593</v>
      </c>
      <c r="Z4921" t="s">
        <v>29868</v>
      </c>
      <c r="AA4921">
        <v>0.43934524865430841</v>
      </c>
      <c r="AB4921" t="str">
        <f>HYPERLINK("Melting_Curves/meltCurve_Q99541_PLIN2.pdf", "Melting_Curves/meltCurve_Q99541_PLIN2.pdf")</f>
        <v>Melting_Curves/meltCurve_Q99541_PLIN2.pdf</v>
      </c>
    </row>
    <row r="4922" spans="1:28" x14ac:dyDescent="0.25">
      <c r="A4922" t="s">
        <v>4926</v>
      </c>
      <c r="B4922">
        <v>0.99987803227770999</v>
      </c>
      <c r="C4922">
        <v>0.86937188399175602</v>
      </c>
      <c r="D4922">
        <v>0.55595531226655504</v>
      </c>
      <c r="E4922">
        <v>0.41631405501574797</v>
      </c>
      <c r="F4922">
        <v>0.31331215006209401</v>
      </c>
      <c r="G4922">
        <v>0.22500113219441201</v>
      </c>
      <c r="H4922">
        <v>0.206609372157981</v>
      </c>
      <c r="I4922">
        <v>0.189494764036993</v>
      </c>
      <c r="J4922">
        <v>0.19178864578128499</v>
      </c>
      <c r="K4922">
        <v>0.149392503809927</v>
      </c>
      <c r="L4922">
        <v>752.70804802974999</v>
      </c>
      <c r="M4922">
        <v>16.1742502674192</v>
      </c>
      <c r="N4922">
        <v>47.885310209679403</v>
      </c>
      <c r="O4922">
        <v>45.843504637800599</v>
      </c>
      <c r="P4922">
        <v>-7.2079880760192699E-2</v>
      </c>
      <c r="Q4922">
        <v>0.18286303122200101</v>
      </c>
      <c r="R4922">
        <v>0.984277378106587</v>
      </c>
      <c r="S4922" t="s">
        <v>11233</v>
      </c>
      <c r="T4922" t="s">
        <v>12620</v>
      </c>
      <c r="U4922" t="s">
        <v>12620</v>
      </c>
      <c r="V4922" t="s">
        <v>12620</v>
      </c>
      <c r="W4922" t="s">
        <v>17486</v>
      </c>
      <c r="X4922">
        <v>20</v>
      </c>
      <c r="Y4922" t="s">
        <v>23594</v>
      </c>
      <c r="Z4922" t="s">
        <v>29869</v>
      </c>
      <c r="AA4922">
        <v>0.3804516967855669</v>
      </c>
      <c r="AB4922" t="str">
        <f>HYPERLINK("Melting_Curves/meltCurve_Q99543_DNAJC2.pdf", "Melting_Curves/meltCurve_Q99543_DNAJC2.pdf")</f>
        <v>Melting_Curves/meltCurve_Q99543_DNAJC2.pdf</v>
      </c>
    </row>
    <row r="4923" spans="1:28" x14ac:dyDescent="0.25">
      <c r="A4923" t="s">
        <v>4927</v>
      </c>
      <c r="B4923">
        <v>0.99987803227770999</v>
      </c>
      <c r="C4923">
        <v>0.95116451910169397</v>
      </c>
      <c r="D4923">
        <v>1.08996158485999</v>
      </c>
      <c r="E4923">
        <v>0.949099788683329</v>
      </c>
      <c r="F4923">
        <v>1.10685401453961</v>
      </c>
      <c r="G4923">
        <v>0.82750351750812401</v>
      </c>
      <c r="H4923">
        <v>0.40227125945438202</v>
      </c>
      <c r="I4923">
        <v>9.7240687394165498E-2</v>
      </c>
      <c r="J4923">
        <v>6.0374180290766799E-2</v>
      </c>
      <c r="K4923">
        <v>4.5067829530467299E-2</v>
      </c>
      <c r="L4923">
        <v>2059.40050475414</v>
      </c>
      <c r="M4923">
        <v>34.3363177136345</v>
      </c>
      <c r="N4923">
        <v>60.078263755880997</v>
      </c>
      <c r="O4923">
        <v>59.774980223370498</v>
      </c>
      <c r="P4923">
        <v>-0.13958205574617799</v>
      </c>
      <c r="Q4923">
        <v>2.8028229346918499E-2</v>
      </c>
      <c r="R4923">
        <v>0.98370403490528602</v>
      </c>
      <c r="S4923" t="s">
        <v>11234</v>
      </c>
      <c r="T4923" t="s">
        <v>12620</v>
      </c>
      <c r="U4923" t="s">
        <v>12620</v>
      </c>
      <c r="V4923" t="s">
        <v>12620</v>
      </c>
      <c r="W4923" t="s">
        <v>17487</v>
      </c>
      <c r="X4923">
        <v>20</v>
      </c>
      <c r="Y4923" t="s">
        <v>23594</v>
      </c>
      <c r="Z4923" t="s">
        <v>29870</v>
      </c>
      <c r="AA4923">
        <v>0.68015690757898484</v>
      </c>
      <c r="AB4923" t="str">
        <f>HYPERLINK("Melting_Curves/meltCurve_Q99543_2_DNAJC2.pdf", "Melting_Curves/meltCurve_Q99543_2_DNAJC2.pdf")</f>
        <v>Melting_Curves/meltCurve_Q99543_2_DNAJC2.pdf</v>
      </c>
    </row>
    <row r="4924" spans="1:28" x14ac:dyDescent="0.25">
      <c r="A4924" t="s">
        <v>4928</v>
      </c>
      <c r="B4924">
        <v>0.99987803227770999</v>
      </c>
      <c r="C4924">
        <v>0.92907023157629098</v>
      </c>
      <c r="D4924">
        <v>0.94025033514312595</v>
      </c>
      <c r="E4924">
        <v>0.780232868919147</v>
      </c>
      <c r="F4924">
        <v>0.68156603432288898</v>
      </c>
      <c r="G4924">
        <v>0.55050386697373099</v>
      </c>
      <c r="H4924">
        <v>0.43356576748576198</v>
      </c>
      <c r="I4924">
        <v>0.46649621520342899</v>
      </c>
      <c r="J4924">
        <v>0.35091750266973099</v>
      </c>
      <c r="K4924">
        <v>0.313089374758177</v>
      </c>
      <c r="L4924">
        <v>549.46370433951404</v>
      </c>
      <c r="M4924">
        <v>10.054977313764599</v>
      </c>
      <c r="N4924">
        <v>59.036021099293002</v>
      </c>
      <c r="O4924">
        <v>52.616484923093999</v>
      </c>
      <c r="P4924">
        <v>-3.5213630545720402E-2</v>
      </c>
      <c r="Q4924">
        <v>0.26327615050182002</v>
      </c>
      <c r="R4924">
        <v>0.98648293334162496</v>
      </c>
      <c r="S4924" t="s">
        <v>11235</v>
      </c>
      <c r="T4924" t="s">
        <v>12620</v>
      </c>
      <c r="U4924" t="s">
        <v>12620</v>
      </c>
      <c r="V4924" t="s">
        <v>12620</v>
      </c>
      <c r="W4924" t="s">
        <v>17488</v>
      </c>
      <c r="X4924">
        <v>5</v>
      </c>
      <c r="Y4924" t="s">
        <v>23595</v>
      </c>
      <c r="Z4924" t="s">
        <v>29871</v>
      </c>
      <c r="AA4924">
        <v>0.64311244380897881</v>
      </c>
      <c r="AB4924" t="str">
        <f>HYPERLINK("Melting_Curves/meltCurve_Q99549_MPHOSPH8.pdf", "Melting_Curves/meltCurve_Q99549_MPHOSPH8.pdf")</f>
        <v>Melting_Curves/meltCurve_Q99549_MPHOSPH8.pdf</v>
      </c>
    </row>
    <row r="4925" spans="1:28" x14ac:dyDescent="0.25">
      <c r="A4925" t="s">
        <v>4929</v>
      </c>
      <c r="B4925">
        <v>0.99987803227770999</v>
      </c>
      <c r="C4925">
        <v>1.0417559649320101</v>
      </c>
      <c r="D4925">
        <v>0.93110125540760802</v>
      </c>
      <c r="E4925">
        <v>0.92235911538105797</v>
      </c>
      <c r="F4925">
        <v>0.47302996288338001</v>
      </c>
      <c r="G4925">
        <v>0.294401379212409</v>
      </c>
      <c r="H4925">
        <v>0.17568654072982001</v>
      </c>
      <c r="I4925">
        <v>0.130865698563946</v>
      </c>
      <c r="J4925">
        <v>0.13042545694690899</v>
      </c>
      <c r="K4925">
        <v>9.3732538066226501E-2</v>
      </c>
      <c r="L4925">
        <v>1527.2410637907101</v>
      </c>
      <c r="M4925">
        <v>28.9622777120384</v>
      </c>
      <c r="N4925">
        <v>53.318113189715604</v>
      </c>
      <c r="O4925">
        <v>52.4825975570471</v>
      </c>
      <c r="P4925">
        <v>-0.11915535825889299</v>
      </c>
      <c r="Q4925">
        <v>0.13631988748210699</v>
      </c>
      <c r="R4925">
        <v>0.98569845845798898</v>
      </c>
      <c r="S4925" t="s">
        <v>11236</v>
      </c>
      <c r="T4925" t="s">
        <v>12620</v>
      </c>
      <c r="U4925" t="s">
        <v>12620</v>
      </c>
      <c r="V4925" t="s">
        <v>12620</v>
      </c>
      <c r="W4925" t="s">
        <v>17489</v>
      </c>
      <c r="X4925">
        <v>18</v>
      </c>
      <c r="Y4925" t="s">
        <v>23596</v>
      </c>
      <c r="Z4925" t="s">
        <v>29872</v>
      </c>
      <c r="AA4925">
        <v>0.50884626517941722</v>
      </c>
      <c r="AB4925" t="str">
        <f>HYPERLINK("Melting_Curves/meltCurve_Q99567_NUP88.pdf", "Melting_Curves/meltCurve_Q99567_NUP88.pdf")</f>
        <v>Melting_Curves/meltCurve_Q99567_NUP88.pdf</v>
      </c>
    </row>
    <row r="4926" spans="1:28" x14ac:dyDescent="0.25">
      <c r="A4926" t="s">
        <v>4930</v>
      </c>
      <c r="B4926">
        <v>0.99987803227770999</v>
      </c>
      <c r="C4926">
        <v>0.792810866903364</v>
      </c>
      <c r="D4926">
        <v>0.91836656995495702</v>
      </c>
      <c r="E4926">
        <v>0.72512955060553697</v>
      </c>
      <c r="F4926">
        <v>0.91473897136962901</v>
      </c>
      <c r="G4926">
        <v>0.80946288460082405</v>
      </c>
      <c r="H4926">
        <v>0.86013999160429799</v>
      </c>
      <c r="I4926">
        <v>0.81043902861477801</v>
      </c>
      <c r="J4926">
        <v>0.89117446501376996</v>
      </c>
      <c r="K4926">
        <v>0.77600101090310003</v>
      </c>
      <c r="L4926">
        <v>10245.167000113899</v>
      </c>
      <c r="M4926">
        <v>250</v>
      </c>
      <c r="O4926">
        <v>40.978045549967803</v>
      </c>
      <c r="P4926">
        <v>-0.25449567581662802</v>
      </c>
      <c r="Q4926">
        <v>0.83314023402613302</v>
      </c>
      <c r="R4926">
        <v>0.41238679237346099</v>
      </c>
      <c r="S4926" t="s">
        <v>11237</v>
      </c>
      <c r="T4926" t="s">
        <v>12620</v>
      </c>
      <c r="U4926" t="s">
        <v>12620</v>
      </c>
      <c r="V4926" t="s">
        <v>12620</v>
      </c>
      <c r="W4926" t="s">
        <v>17490</v>
      </c>
      <c r="X4926">
        <v>9</v>
      </c>
      <c r="Y4926" t="s">
        <v>23597</v>
      </c>
      <c r="Z4926" t="s">
        <v>29873</v>
      </c>
      <c r="AA4926">
        <v>0.83860857795530186</v>
      </c>
      <c r="AB4926" t="str">
        <f>HYPERLINK("Melting_Curves/meltCurve_Q99569_2_PKP4.pdf", "Melting_Curves/meltCurve_Q99569_2_PKP4.pdf")</f>
        <v>Melting_Curves/meltCurve_Q99569_2_PKP4.pdf</v>
      </c>
    </row>
    <row r="4927" spans="1:28" x14ac:dyDescent="0.25">
      <c r="A4927" t="s">
        <v>4931</v>
      </c>
      <c r="B4927">
        <v>0.99987803227770999</v>
      </c>
      <c r="C4927">
        <v>0.99656020211285001</v>
      </c>
      <c r="D4927">
        <v>0.86481714376155305</v>
      </c>
      <c r="E4927">
        <v>1.11125606248035</v>
      </c>
      <c r="F4927">
        <v>0.58291785929975604</v>
      </c>
      <c r="G4927">
        <v>0.21035989227566099</v>
      </c>
      <c r="H4927">
        <v>0.12555600831421601</v>
      </c>
      <c r="I4927">
        <v>0.108639096221776</v>
      </c>
      <c r="J4927">
        <v>9.60281142249505E-2</v>
      </c>
      <c r="K4927">
        <v>6.3195154802537498E-2</v>
      </c>
      <c r="L4927">
        <v>13255.439570488201</v>
      </c>
      <c r="M4927">
        <v>250</v>
      </c>
      <c r="N4927">
        <v>53.080450635206901</v>
      </c>
      <c r="O4927">
        <v>53.0183667025278</v>
      </c>
      <c r="P4927">
        <v>-1.03648560985164</v>
      </c>
      <c r="Q4927">
        <v>0.12075563893602199</v>
      </c>
      <c r="R4927">
        <v>0.97539201718690505</v>
      </c>
      <c r="S4927" t="s">
        <v>11238</v>
      </c>
      <c r="T4927" t="s">
        <v>12620</v>
      </c>
      <c r="U4927" t="s">
        <v>12620</v>
      </c>
      <c r="V4927" t="s">
        <v>12620</v>
      </c>
      <c r="W4927" t="s">
        <v>17491</v>
      </c>
      <c r="X4927">
        <v>11</v>
      </c>
      <c r="Y4927" t="s">
        <v>23598</v>
      </c>
      <c r="Z4927" t="s">
        <v>29874</v>
      </c>
      <c r="AA4927">
        <v>0.50248103938418742</v>
      </c>
      <c r="AB4927" t="str">
        <f>HYPERLINK("Melting_Curves/meltCurve_Q99570_PIK3R4.pdf", "Melting_Curves/meltCurve_Q99570_PIK3R4.pdf")</f>
        <v>Melting_Curves/meltCurve_Q99570_PIK3R4.pdf</v>
      </c>
    </row>
    <row r="4928" spans="1:28" x14ac:dyDescent="0.25">
      <c r="A4928" t="s">
        <v>4932</v>
      </c>
      <c r="B4928">
        <v>0.99987803227770999</v>
      </c>
      <c r="C4928">
        <v>0.86699624606785697</v>
      </c>
      <c r="D4928">
        <v>0.89470303681033003</v>
      </c>
      <c r="E4928">
        <v>1.33859138013669</v>
      </c>
      <c r="F4928">
        <v>1.21476447930958</v>
      </c>
      <c r="G4928">
        <v>1.0161925892250401</v>
      </c>
      <c r="H4928">
        <v>0.60682330945350904</v>
      </c>
      <c r="I4928">
        <v>0.33397495227101398</v>
      </c>
      <c r="J4928">
        <v>0.279994053608694</v>
      </c>
      <c r="K4928">
        <v>0.226169453172538</v>
      </c>
      <c r="L4928">
        <v>3197.6250262748899</v>
      </c>
      <c r="M4928">
        <v>52.481867127210897</v>
      </c>
      <c r="N4928">
        <v>61.778545643465399</v>
      </c>
      <c r="O4928">
        <v>60.839921115447098</v>
      </c>
      <c r="P4928">
        <v>-0.16018772378402699</v>
      </c>
      <c r="Q4928">
        <v>0.25720621939955901</v>
      </c>
      <c r="R4928">
        <v>0.86341329144159096</v>
      </c>
      <c r="S4928" t="s">
        <v>11239</v>
      </c>
      <c r="T4928" t="s">
        <v>12620</v>
      </c>
      <c r="U4928" t="s">
        <v>12620</v>
      </c>
      <c r="V4928" t="s">
        <v>12620</v>
      </c>
      <c r="W4928" t="s">
        <v>17492</v>
      </c>
      <c r="X4928">
        <v>9</v>
      </c>
      <c r="Y4928" t="s">
        <v>23599</v>
      </c>
      <c r="Z4928" t="s">
        <v>29875</v>
      </c>
      <c r="AA4928">
        <v>0.77715066621033935</v>
      </c>
      <c r="AB4928" t="str">
        <f>HYPERLINK("Melting_Curves/meltCurve_Q99575_POP1.pdf", "Melting_Curves/meltCurve_Q99575_POP1.pdf")</f>
        <v>Melting_Curves/meltCurve_Q99575_POP1.pdf</v>
      </c>
    </row>
    <row r="4929" spans="1:28" x14ac:dyDescent="0.25">
      <c r="A4929" t="s">
        <v>4933</v>
      </c>
      <c r="B4929">
        <v>0.99987803227770999</v>
      </c>
      <c r="C4929">
        <v>0.91870576373579804</v>
      </c>
      <c r="D4929">
        <v>1.0011868036315299</v>
      </c>
      <c r="E4929">
        <v>0.81299057904072003</v>
      </c>
      <c r="F4929">
        <v>0.85172060298403596</v>
      </c>
      <c r="G4929">
        <v>0.92068944439072298</v>
      </c>
      <c r="H4929">
        <v>0.91361369928980496</v>
      </c>
      <c r="I4929">
        <v>0.64530829123577904</v>
      </c>
      <c r="J4929">
        <v>0.79919976732347098</v>
      </c>
      <c r="K4929">
        <v>0.58275419532606199</v>
      </c>
      <c r="L4929">
        <v>319.36171227851997</v>
      </c>
      <c r="M4929">
        <v>3.8893467477875601</v>
      </c>
      <c r="O4929">
        <v>66.802034489739398</v>
      </c>
      <c r="P4929">
        <v>-1.4760132626259401E-2</v>
      </c>
      <c r="Q4929">
        <v>0</v>
      </c>
      <c r="R4929">
        <v>0.62960242979146497</v>
      </c>
      <c r="S4929" t="s">
        <v>11240</v>
      </c>
      <c r="T4929" t="s">
        <v>12620</v>
      </c>
      <c r="U4929" t="s">
        <v>12620</v>
      </c>
      <c r="V4929" t="s">
        <v>12620</v>
      </c>
      <c r="W4929" t="s">
        <v>17493</v>
      </c>
      <c r="X4929">
        <v>2</v>
      </c>
      <c r="Y4929" t="s">
        <v>23600</v>
      </c>
      <c r="Z4929" t="s">
        <v>29876</v>
      </c>
      <c r="AA4929">
        <v>0.85462206887610181</v>
      </c>
      <c r="AB4929" t="str">
        <f>HYPERLINK("Melting_Curves/meltCurve_Q99583_MNT.pdf", "Melting_Curves/meltCurve_Q99583_MNT.pdf")</f>
        <v>Melting_Curves/meltCurve_Q99583_MNT.pdf</v>
      </c>
    </row>
    <row r="4930" spans="1:28" x14ac:dyDescent="0.25">
      <c r="A4930" t="s">
        <v>4934</v>
      </c>
      <c r="B4930">
        <v>0.99987803227770999</v>
      </c>
      <c r="C4930">
        <v>0.89692900063660497</v>
      </c>
      <c r="D4930">
        <v>0.98498615245125998</v>
      </c>
      <c r="E4930">
        <v>0.91439260363146802</v>
      </c>
      <c r="F4930">
        <v>0.98527829883623497</v>
      </c>
      <c r="G4930">
        <v>0.81683213820758704</v>
      </c>
      <c r="H4930">
        <v>0.93445778678334701</v>
      </c>
      <c r="I4930">
        <v>0.86112736386683997</v>
      </c>
      <c r="J4930">
        <v>0.89647800918324705</v>
      </c>
      <c r="K4930">
        <v>0.72298063518412803</v>
      </c>
      <c r="L4930">
        <v>245.795906114594</v>
      </c>
      <c r="M4930">
        <v>2.1083527248457101</v>
      </c>
      <c r="Q4930">
        <v>0</v>
      </c>
      <c r="R4930">
        <v>0.49195004501174</v>
      </c>
      <c r="S4930" t="s">
        <v>11241</v>
      </c>
      <c r="T4930" t="s">
        <v>12620</v>
      </c>
      <c r="U4930" t="s">
        <v>12620</v>
      </c>
      <c r="V4930" t="s">
        <v>12620</v>
      </c>
      <c r="W4930" t="s">
        <v>17494</v>
      </c>
      <c r="X4930">
        <v>9</v>
      </c>
      <c r="Y4930" t="s">
        <v>23601</v>
      </c>
      <c r="Z4930" t="s">
        <v>29877</v>
      </c>
      <c r="AA4930">
        <v>0.90658603342147903</v>
      </c>
      <c r="AB4930" t="str">
        <f>HYPERLINK("Melting_Curves/meltCurve_Q99584_S100A13.pdf", "Melting_Curves/meltCurve_Q99584_S100A13.pdf")</f>
        <v>Melting_Curves/meltCurve_Q99584_S100A13.pdf</v>
      </c>
    </row>
    <row r="4931" spans="1:28" x14ac:dyDescent="0.25">
      <c r="A4931" t="s">
        <v>4935</v>
      </c>
      <c r="B4931">
        <v>0.99987803227770999</v>
      </c>
      <c r="C4931">
        <v>1.19940951485122</v>
      </c>
      <c r="D4931">
        <v>0.95860220051918599</v>
      </c>
      <c r="E4931">
        <v>1.16010083679764</v>
      </c>
      <c r="F4931">
        <v>0.77946196524584599</v>
      </c>
      <c r="G4931">
        <v>1.0059568838755599</v>
      </c>
      <c r="H4931">
        <v>1.2126538671265299</v>
      </c>
      <c r="I4931">
        <v>0.97674639130320395</v>
      </c>
      <c r="J4931">
        <v>0.34976147623540199</v>
      </c>
      <c r="K4931">
        <v>0.108436755773688</v>
      </c>
      <c r="L4931">
        <v>6749.6493114662399</v>
      </c>
      <c r="M4931">
        <v>101.715031423482</v>
      </c>
      <c r="N4931">
        <v>66.510970748184704</v>
      </c>
      <c r="O4931">
        <v>66.332781325827696</v>
      </c>
      <c r="P4931">
        <v>-0.34347057339981202</v>
      </c>
      <c r="Q4931">
        <v>0.10403178049504699</v>
      </c>
      <c r="R4931">
        <v>0.86833224346035998</v>
      </c>
      <c r="S4931" t="s">
        <v>11242</v>
      </c>
      <c r="T4931" t="s">
        <v>12620</v>
      </c>
      <c r="U4931" t="s">
        <v>12620</v>
      </c>
      <c r="V4931" t="s">
        <v>12620</v>
      </c>
      <c r="W4931" t="s">
        <v>17495</v>
      </c>
      <c r="X4931">
        <v>22</v>
      </c>
      <c r="Y4931" t="s">
        <v>23602</v>
      </c>
      <c r="Z4931" t="s">
        <v>29878</v>
      </c>
      <c r="AA4931">
        <v>0.8917619868803216</v>
      </c>
      <c r="AB4931" t="str">
        <f>HYPERLINK("Melting_Curves/meltCurve_Q99598_TSNAX.pdf", "Melting_Curves/meltCurve_Q99598_TSNAX.pdf")</f>
        <v>Melting_Curves/meltCurve_Q99598_TSNAX.pdf</v>
      </c>
    </row>
    <row r="4932" spans="1:28" x14ac:dyDescent="0.25">
      <c r="A4932" t="s">
        <v>4936</v>
      </c>
      <c r="B4932">
        <v>0.99987803227770999</v>
      </c>
      <c r="C4932">
        <v>1.1175992840036499</v>
      </c>
      <c r="D4932">
        <v>0.90030195706614602</v>
      </c>
      <c r="E4932">
        <v>0.91096065717199104</v>
      </c>
      <c r="F4932">
        <v>0.73304669397970101</v>
      </c>
      <c r="G4932">
        <v>0.480785514655029</v>
      </c>
      <c r="H4932">
        <v>0.56735703981817098</v>
      </c>
      <c r="I4932">
        <v>0.44142047151107</v>
      </c>
      <c r="J4932">
        <v>0.28482375415164102</v>
      </c>
      <c r="K4932">
        <v>0.105089927191546</v>
      </c>
      <c r="L4932">
        <v>552.30889900636396</v>
      </c>
      <c r="M4932">
        <v>9.2180300935929793</v>
      </c>
      <c r="N4932">
        <v>59.916148238242101</v>
      </c>
      <c r="O4932">
        <v>57.298700272684101</v>
      </c>
      <c r="P4932">
        <v>-4.0245877646062703E-2</v>
      </c>
      <c r="Q4932">
        <v>0</v>
      </c>
      <c r="R4932">
        <v>0.92505124255584004</v>
      </c>
      <c r="S4932" t="s">
        <v>11243</v>
      </c>
      <c r="T4932" t="s">
        <v>12620</v>
      </c>
      <c r="U4932" t="s">
        <v>12620</v>
      </c>
      <c r="V4932" t="s">
        <v>12620</v>
      </c>
      <c r="W4932" t="s">
        <v>17496</v>
      </c>
      <c r="X4932">
        <v>4</v>
      </c>
      <c r="Y4932" t="s">
        <v>23603</v>
      </c>
      <c r="Z4932" t="s">
        <v>29879</v>
      </c>
      <c r="AA4932">
        <v>0.65694704508241797</v>
      </c>
      <c r="AB4932" t="str">
        <f>HYPERLINK("Melting_Curves/meltCurve_Q99611_SEPHS2.pdf", "Melting_Curves/meltCurve_Q99611_SEPHS2.pdf")</f>
        <v>Melting_Curves/meltCurve_Q99611_SEPHS2.pdf</v>
      </c>
    </row>
    <row r="4933" spans="1:28" x14ac:dyDescent="0.25">
      <c r="A4933" t="s">
        <v>4937</v>
      </c>
      <c r="B4933">
        <v>0.99987803227770999</v>
      </c>
      <c r="C4933">
        <v>0.92799770075157195</v>
      </c>
      <c r="D4933">
        <v>0.99187102492946999</v>
      </c>
      <c r="E4933">
        <v>0.94072143970455302</v>
      </c>
      <c r="F4933">
        <v>0.95073880395955901</v>
      </c>
      <c r="G4933">
        <v>0.75546302240406504</v>
      </c>
      <c r="H4933">
        <v>0.81574360621167297</v>
      </c>
      <c r="I4933">
        <v>0.83100477264722705</v>
      </c>
      <c r="J4933">
        <v>0.86093824730323099</v>
      </c>
      <c r="K4933">
        <v>0.70802433469579396</v>
      </c>
      <c r="L4933">
        <v>10628.216353002201</v>
      </c>
      <c r="M4933">
        <v>199.376471196285</v>
      </c>
      <c r="O4933">
        <v>53.3019215879863</v>
      </c>
      <c r="P4933">
        <v>-0.19241686678818001</v>
      </c>
      <c r="Q4933">
        <v>0.79423476118918901</v>
      </c>
      <c r="R4933">
        <v>0.73322352837645099</v>
      </c>
      <c r="S4933" t="s">
        <v>11244</v>
      </c>
      <c r="T4933" t="s">
        <v>12620</v>
      </c>
      <c r="U4933" t="s">
        <v>12620</v>
      </c>
      <c r="V4933" t="s">
        <v>12620</v>
      </c>
      <c r="W4933" t="s">
        <v>17497</v>
      </c>
      <c r="X4933">
        <v>15</v>
      </c>
      <c r="Y4933" t="s">
        <v>23604</v>
      </c>
      <c r="Z4933" t="s">
        <v>29880</v>
      </c>
      <c r="AA4933">
        <v>0.8855375180418793</v>
      </c>
      <c r="AB4933" t="str">
        <f>HYPERLINK("Melting_Curves/meltCurve_Q99614_TTC1.pdf", "Melting_Curves/meltCurve_Q99614_TTC1.pdf")</f>
        <v>Melting_Curves/meltCurve_Q99614_TTC1.pdf</v>
      </c>
    </row>
    <row r="4934" spans="1:28" x14ac:dyDescent="0.25">
      <c r="A4934" t="s">
        <v>4938</v>
      </c>
      <c r="B4934">
        <v>0.99987803227770999</v>
      </c>
      <c r="C4934">
        <v>0.93356571446424497</v>
      </c>
      <c r="D4934">
        <v>1.01088277450581</v>
      </c>
      <c r="E4934">
        <v>0.51139500810468497</v>
      </c>
      <c r="F4934">
        <v>0.21492763494974801</v>
      </c>
      <c r="G4934">
        <v>0.13466879614036401</v>
      </c>
      <c r="H4934">
        <v>0.104846904172123</v>
      </c>
      <c r="I4934">
        <v>9.8674611851748903E-2</v>
      </c>
      <c r="J4934">
        <v>6.8866394976756506E-2</v>
      </c>
      <c r="K4934">
        <v>5.1145446517314598E-2</v>
      </c>
      <c r="L4934">
        <v>1774.4559718395301</v>
      </c>
      <c r="M4934">
        <v>35.556247431564401</v>
      </c>
      <c r="N4934">
        <v>50.190767654285999</v>
      </c>
      <c r="O4934">
        <v>49.748533301521</v>
      </c>
      <c r="P4934">
        <v>-0.16233846245768099</v>
      </c>
      <c r="Q4934">
        <v>9.1459408960931105E-2</v>
      </c>
      <c r="R4934">
        <v>0.99278102322510497</v>
      </c>
      <c r="S4934" t="s">
        <v>11245</v>
      </c>
      <c r="T4934" t="s">
        <v>12620</v>
      </c>
      <c r="U4934" t="s">
        <v>12620</v>
      </c>
      <c r="V4934" t="s">
        <v>12620</v>
      </c>
      <c r="W4934" t="s">
        <v>17498</v>
      </c>
      <c r="X4934">
        <v>31</v>
      </c>
      <c r="Y4934" t="s">
        <v>23605</v>
      </c>
      <c r="Z4934" t="s">
        <v>29881</v>
      </c>
      <c r="AA4934">
        <v>0.39542510139379777</v>
      </c>
      <c r="AB4934" t="str">
        <f>HYPERLINK("Melting_Curves/meltCurve_Q99615_DNAJC7.pdf", "Melting_Curves/meltCurve_Q99615_DNAJC7.pdf")</f>
        <v>Melting_Curves/meltCurve_Q99615_DNAJC7.pdf</v>
      </c>
    </row>
    <row r="4935" spans="1:28" x14ac:dyDescent="0.25">
      <c r="A4935" t="s">
        <v>4939</v>
      </c>
      <c r="B4935">
        <v>0.99987803227770999</v>
      </c>
      <c r="C4935">
        <v>0.87972283326869705</v>
      </c>
      <c r="D4935">
        <v>0.99733457917027002</v>
      </c>
      <c r="E4935">
        <v>0.83940931764288995</v>
      </c>
      <c r="F4935">
        <v>0.92119100984340896</v>
      </c>
      <c r="G4935">
        <v>0.77223394728043704</v>
      </c>
      <c r="H4935">
        <v>0.74110623437554402</v>
      </c>
      <c r="I4935">
        <v>0.78497667002945404</v>
      </c>
      <c r="J4935">
        <v>0.77666476189159095</v>
      </c>
      <c r="K4935">
        <v>0.65627473611333598</v>
      </c>
      <c r="L4935">
        <v>284.05497110314099</v>
      </c>
      <c r="M4935">
        <v>4.3322942490849101</v>
      </c>
      <c r="O4935">
        <v>55.138094983189802</v>
      </c>
      <c r="P4935">
        <v>-1.0511157329084499E-2</v>
      </c>
      <c r="Q4935">
        <v>0.47014337888283197</v>
      </c>
      <c r="R4935">
        <v>0.764188461064919</v>
      </c>
      <c r="S4935" t="s">
        <v>11246</v>
      </c>
      <c r="T4935" t="s">
        <v>12620</v>
      </c>
      <c r="U4935" t="s">
        <v>12620</v>
      </c>
      <c r="V4935" t="s">
        <v>12620</v>
      </c>
      <c r="W4935" t="s">
        <v>17499</v>
      </c>
      <c r="X4935">
        <v>11</v>
      </c>
      <c r="Y4935" t="s">
        <v>23606</v>
      </c>
      <c r="Z4935" t="s">
        <v>29882</v>
      </c>
      <c r="AA4935">
        <v>0.83806694497577994</v>
      </c>
      <c r="AB4935" t="str">
        <f>HYPERLINK("Melting_Curves/meltCurve_Q99618_CDCA3.pdf", "Melting_Curves/meltCurve_Q99618_CDCA3.pdf")</f>
        <v>Melting_Curves/meltCurve_Q99618_CDCA3.pdf</v>
      </c>
    </row>
    <row r="4936" spans="1:28" x14ac:dyDescent="0.25">
      <c r="A4936" t="s">
        <v>4940</v>
      </c>
      <c r="B4936">
        <v>0.99987803227770999</v>
      </c>
      <c r="C4936">
        <v>0.84469028692987502</v>
      </c>
      <c r="D4936">
        <v>1.00370124398498</v>
      </c>
      <c r="E4936">
        <v>0.87245544659672403</v>
      </c>
      <c r="F4936">
        <v>1.0554825512020101</v>
      </c>
      <c r="G4936">
        <v>0.86263200043596</v>
      </c>
      <c r="H4936">
        <v>0.78808386969700694</v>
      </c>
      <c r="I4936">
        <v>0.77738507534073398</v>
      </c>
      <c r="J4936">
        <v>0.67995255392320897</v>
      </c>
      <c r="K4936">
        <v>0.570421913830225</v>
      </c>
      <c r="L4936">
        <v>517.76693010728002</v>
      </c>
      <c r="M4936">
        <v>7.02265354070735</v>
      </c>
      <c r="O4936">
        <v>68.448590276718903</v>
      </c>
      <c r="P4936">
        <v>-2.5696365263151999E-2</v>
      </c>
      <c r="Q4936">
        <v>0</v>
      </c>
      <c r="R4936">
        <v>0.76846241511236202</v>
      </c>
      <c r="S4936" t="s">
        <v>11247</v>
      </c>
      <c r="T4936" t="s">
        <v>12620</v>
      </c>
      <c r="U4936" t="s">
        <v>12620</v>
      </c>
      <c r="V4936" t="s">
        <v>12620</v>
      </c>
      <c r="W4936" t="s">
        <v>17500</v>
      </c>
      <c r="X4936">
        <v>7</v>
      </c>
      <c r="Y4936" t="s">
        <v>23607</v>
      </c>
      <c r="Z4936" t="s">
        <v>29883</v>
      </c>
      <c r="AA4936">
        <v>0.87139589692439856</v>
      </c>
      <c r="AB4936" t="str">
        <f>HYPERLINK("Melting_Curves/meltCurve_Q99622_C12orf57.pdf", "Melting_Curves/meltCurve_Q99622_C12orf57.pdf")</f>
        <v>Melting_Curves/meltCurve_Q99622_C12orf57.pdf</v>
      </c>
    </row>
    <row r="4937" spans="1:28" x14ac:dyDescent="0.25">
      <c r="A4937" t="s">
        <v>4941</v>
      </c>
      <c r="B4937">
        <v>0.99987803227770999</v>
      </c>
      <c r="C4937">
        <v>1.2290042452540899</v>
      </c>
      <c r="D4937">
        <v>0.93908165044044001</v>
      </c>
      <c r="E4937">
        <v>1.3577793576491299</v>
      </c>
      <c r="F4937">
        <v>1.0694186569295601</v>
      </c>
      <c r="G4937">
        <v>0.93860177214901697</v>
      </c>
      <c r="H4937">
        <v>0.95442918069018001</v>
      </c>
      <c r="I4937">
        <v>0.48539437374355099</v>
      </c>
      <c r="J4937">
        <v>9.6630574357971594E-2</v>
      </c>
      <c r="K4937">
        <v>5.5316861558483497E-2</v>
      </c>
      <c r="L4937">
        <v>4057.8717025057699</v>
      </c>
      <c r="M4937">
        <v>63.574841426539699</v>
      </c>
      <c r="N4937">
        <v>63.938528656347799</v>
      </c>
      <c r="O4937">
        <v>63.765198688332298</v>
      </c>
      <c r="P4937">
        <v>-0.23631234321335801</v>
      </c>
      <c r="Q4937">
        <v>5.1920654444758498E-2</v>
      </c>
      <c r="R4937">
        <v>0.89393630825237402</v>
      </c>
      <c r="S4937" t="s">
        <v>11248</v>
      </c>
      <c r="T4937" t="s">
        <v>12620</v>
      </c>
      <c r="U4937" t="s">
        <v>12620</v>
      </c>
      <c r="V4937" t="s">
        <v>12620</v>
      </c>
      <c r="W4937" t="s">
        <v>17501</v>
      </c>
      <c r="X4937">
        <v>5</v>
      </c>
      <c r="Y4937" t="s">
        <v>23608</v>
      </c>
      <c r="Z4937" t="s">
        <v>29884</v>
      </c>
      <c r="AA4937">
        <v>0.80645911067779463</v>
      </c>
      <c r="AB4937" t="str">
        <f>HYPERLINK("Melting_Curves/meltCurve_Q99627_2_COPS8.pdf", "Melting_Curves/meltCurve_Q99627_2_COPS8.pdf")</f>
        <v>Melting_Curves/meltCurve_Q99627_2_COPS8.pdf</v>
      </c>
    </row>
    <row r="4938" spans="1:28" x14ac:dyDescent="0.25">
      <c r="A4938" t="s">
        <v>4942</v>
      </c>
      <c r="B4938">
        <v>0.99987803227770999</v>
      </c>
      <c r="C4938">
        <v>0.86595862964065995</v>
      </c>
      <c r="D4938">
        <v>0.98960287725680995</v>
      </c>
      <c r="E4938">
        <v>0.51314183023755899</v>
      </c>
      <c r="F4938">
        <v>0.35802988381804202</v>
      </c>
      <c r="G4938">
        <v>0.25140386423223798</v>
      </c>
      <c r="H4938">
        <v>0.209070253068421</v>
      </c>
      <c r="I4938">
        <v>0.207781157807577</v>
      </c>
      <c r="J4938">
        <v>0.199288938213593</v>
      </c>
      <c r="K4938">
        <v>0.170203734233387</v>
      </c>
      <c r="L4938">
        <v>1349.18608561377</v>
      </c>
      <c r="M4938">
        <v>27.212475796642</v>
      </c>
      <c r="N4938">
        <v>50.554233130983299</v>
      </c>
      <c r="O4938">
        <v>49.314271260105301</v>
      </c>
      <c r="P4938">
        <v>-0.10979919980588</v>
      </c>
      <c r="Q4938">
        <v>0.20409817094162599</v>
      </c>
      <c r="R4938">
        <v>0.97590506013103895</v>
      </c>
      <c r="S4938" t="s">
        <v>11249</v>
      </c>
      <c r="T4938" t="s">
        <v>12620</v>
      </c>
      <c r="U4938" t="s">
        <v>12620</v>
      </c>
      <c r="V4938" t="s">
        <v>12620</v>
      </c>
      <c r="W4938" t="s">
        <v>17502</v>
      </c>
      <c r="X4938">
        <v>5</v>
      </c>
      <c r="Y4938" t="s">
        <v>23609</v>
      </c>
      <c r="Z4938" t="s">
        <v>29885</v>
      </c>
      <c r="AA4938">
        <v>0.46421086726188587</v>
      </c>
      <c r="AB4938" t="str">
        <f>HYPERLINK("Melting_Curves/meltCurve_Q99633_PRPF18.pdf", "Melting_Curves/meltCurve_Q99633_PRPF18.pdf")</f>
        <v>Melting_Curves/meltCurve_Q99633_PRPF18.pdf</v>
      </c>
    </row>
    <row r="4939" spans="1:28" x14ac:dyDescent="0.25">
      <c r="A4939" t="s">
        <v>4943</v>
      </c>
      <c r="B4939">
        <v>0.99987803227770999</v>
      </c>
      <c r="C4939">
        <v>1.0509135427966101</v>
      </c>
      <c r="D4939">
        <v>1.02346328043575</v>
      </c>
      <c r="E4939">
        <v>0.99835192376427095</v>
      </c>
      <c r="F4939">
        <v>0.94396379487763504</v>
      </c>
      <c r="G4939">
        <v>0.57585461070872601</v>
      </c>
      <c r="H4939">
        <v>0.376062646914814</v>
      </c>
      <c r="I4939">
        <v>0.217437180900481</v>
      </c>
      <c r="J4939">
        <v>0.14920692891846299</v>
      </c>
      <c r="K4939">
        <v>0.14275375663529</v>
      </c>
      <c r="L4939">
        <v>1322.20654298713</v>
      </c>
      <c r="M4939">
        <v>22.906519787103299</v>
      </c>
      <c r="N4939">
        <v>58.506770868386198</v>
      </c>
      <c r="O4939">
        <v>57.287323530785798</v>
      </c>
      <c r="P4939">
        <v>-8.67407589433941E-2</v>
      </c>
      <c r="Q4939">
        <v>0.132290464496642</v>
      </c>
      <c r="R4939">
        <v>0.992072803653546</v>
      </c>
      <c r="S4939" t="s">
        <v>11250</v>
      </c>
      <c r="T4939" t="s">
        <v>12620</v>
      </c>
      <c r="U4939" t="s">
        <v>12620</v>
      </c>
      <c r="V4939" t="s">
        <v>12620</v>
      </c>
      <c r="W4939" t="s">
        <v>17503</v>
      </c>
      <c r="X4939">
        <v>3</v>
      </c>
      <c r="Y4939" t="s">
        <v>23610</v>
      </c>
      <c r="Z4939" t="s">
        <v>29886</v>
      </c>
      <c r="AA4939">
        <v>0.65347752324279351</v>
      </c>
      <c r="AB4939" t="str">
        <f>HYPERLINK("Melting_Curves/meltCurve_Q99638_RAD9A.pdf", "Melting_Curves/meltCurve_Q99638_RAD9A.pdf")</f>
        <v>Melting_Curves/meltCurve_Q99638_RAD9A.pdf</v>
      </c>
    </row>
    <row r="4940" spans="1:28" x14ac:dyDescent="0.25">
      <c r="A4940" t="s">
        <v>4944</v>
      </c>
      <c r="B4940">
        <v>0.99987803227770999</v>
      </c>
      <c r="C4940">
        <v>1.0286917912781599</v>
      </c>
      <c r="D4940">
        <v>0.93407203280918705</v>
      </c>
      <c r="E4940">
        <v>0.78002050457865502</v>
      </c>
      <c r="F4940">
        <v>0.61459046429828801</v>
      </c>
      <c r="G4940">
        <v>0.48626737336390002</v>
      </c>
      <c r="H4940">
        <v>0.31367231167674398</v>
      </c>
      <c r="I4940">
        <v>0.268486107888954</v>
      </c>
      <c r="J4940">
        <v>0.20177478186140299</v>
      </c>
      <c r="K4940">
        <v>0.15520466514953801</v>
      </c>
      <c r="L4940">
        <v>660.66123816939796</v>
      </c>
      <c r="M4940">
        <v>12.036908143341799</v>
      </c>
      <c r="N4940">
        <v>56.073431199782597</v>
      </c>
      <c r="O4940">
        <v>53.437222735531797</v>
      </c>
      <c r="P4940">
        <v>-4.9991189059709999E-2</v>
      </c>
      <c r="Q4940">
        <v>0.112478227424535</v>
      </c>
      <c r="R4940">
        <v>0.99370382686172998</v>
      </c>
      <c r="S4940" t="s">
        <v>11251</v>
      </c>
      <c r="T4940" t="s">
        <v>12620</v>
      </c>
      <c r="U4940" t="s">
        <v>12620</v>
      </c>
      <c r="V4940" t="s">
        <v>12620</v>
      </c>
      <c r="W4940" t="s">
        <v>17504</v>
      </c>
      <c r="X4940">
        <v>7</v>
      </c>
      <c r="Y4940" t="s">
        <v>23611</v>
      </c>
      <c r="Z4940" t="s">
        <v>29887</v>
      </c>
      <c r="AA4940">
        <v>0.57392751320983681</v>
      </c>
      <c r="AB4940" t="str">
        <f>HYPERLINK("Melting_Curves/meltCurve_Q99653_CHP1.pdf", "Melting_Curves/meltCurve_Q99653_CHP1.pdf")</f>
        <v>Melting_Curves/meltCurve_Q99653_CHP1.pdf</v>
      </c>
    </row>
    <row r="4941" spans="1:28" x14ac:dyDescent="0.25">
      <c r="A4941" t="s">
        <v>4945</v>
      </c>
      <c r="B4941">
        <v>0.99987803227770999</v>
      </c>
      <c r="C4941">
        <v>0.92046601423808005</v>
      </c>
      <c r="D4941">
        <v>0.94327915993757405</v>
      </c>
      <c r="E4941">
        <v>0.64536222051521597</v>
      </c>
      <c r="F4941">
        <v>0.64886354657214595</v>
      </c>
      <c r="G4941">
        <v>0.497011409330403</v>
      </c>
      <c r="H4941">
        <v>0.44988057289121702</v>
      </c>
      <c r="I4941">
        <v>0.420096274940783</v>
      </c>
      <c r="J4941">
        <v>0.39568324857480203</v>
      </c>
      <c r="K4941">
        <v>0.33331299102992201</v>
      </c>
      <c r="L4941">
        <v>621.84110628541305</v>
      </c>
      <c r="M4941">
        <v>12.1018464636379</v>
      </c>
      <c r="N4941">
        <v>56.985217281386298</v>
      </c>
      <c r="O4941">
        <v>50.041287183081799</v>
      </c>
      <c r="P4941">
        <v>-3.94397422139647E-2</v>
      </c>
      <c r="Q4941">
        <v>0.34781683803052998</v>
      </c>
      <c r="R4941">
        <v>0.97064670340387704</v>
      </c>
      <c r="S4941" t="s">
        <v>11252</v>
      </c>
      <c r="T4941" t="s">
        <v>12620</v>
      </c>
      <c r="U4941" t="s">
        <v>12620</v>
      </c>
      <c r="V4941" t="s">
        <v>12620</v>
      </c>
      <c r="W4941" t="s">
        <v>17505</v>
      </c>
      <c r="X4941">
        <v>14</v>
      </c>
      <c r="Y4941" t="s">
        <v>23612</v>
      </c>
      <c r="Z4941" t="s">
        <v>29888</v>
      </c>
      <c r="AA4941">
        <v>0.61582923091080632</v>
      </c>
      <c r="AB4941" t="str">
        <f>HYPERLINK("Melting_Curves/meltCurve_Q99661_KIF2C.pdf", "Melting_Curves/meltCurve_Q99661_KIF2C.pdf")</f>
        <v>Melting_Curves/meltCurve_Q99661_KIF2C.pdf</v>
      </c>
    </row>
    <row r="4942" spans="1:28" x14ac:dyDescent="0.25">
      <c r="A4942" t="s">
        <v>4946</v>
      </c>
      <c r="B4942">
        <v>0.99987803227770999</v>
      </c>
      <c r="C4942">
        <v>0.84062548846780005</v>
      </c>
      <c r="D4942">
        <v>1.04853154300748</v>
      </c>
      <c r="E4942">
        <v>0.92934126812310802</v>
      </c>
      <c r="F4942">
        <v>1.1287057093441499</v>
      </c>
      <c r="G4942">
        <v>0.67432282781627995</v>
      </c>
      <c r="H4942">
        <v>0.74172621176664</v>
      </c>
      <c r="I4942">
        <v>0.70095151091667496</v>
      </c>
      <c r="J4942">
        <v>0.80361260640244403</v>
      </c>
      <c r="K4942">
        <v>0.729192482679203</v>
      </c>
      <c r="L4942">
        <v>5269.2322467222803</v>
      </c>
      <c r="M4942">
        <v>95.567950038029593</v>
      </c>
      <c r="O4942">
        <v>55.111847139147102</v>
      </c>
      <c r="P4942">
        <v>-0.11832280600254801</v>
      </c>
      <c r="Q4942">
        <v>0.72706381476575699</v>
      </c>
      <c r="R4942">
        <v>0.72769230382985906</v>
      </c>
      <c r="S4942" t="s">
        <v>11253</v>
      </c>
      <c r="T4942" t="s">
        <v>12620</v>
      </c>
      <c r="U4942" t="s">
        <v>12620</v>
      </c>
      <c r="V4942" t="s">
        <v>12620</v>
      </c>
      <c r="W4942" t="s">
        <v>17506</v>
      </c>
      <c r="X4942">
        <v>1</v>
      </c>
      <c r="Y4942" t="s">
        <v>23613</v>
      </c>
      <c r="Z4942" t="s">
        <v>29889</v>
      </c>
      <c r="AA4942">
        <v>0.86494996632714971</v>
      </c>
      <c r="AB4942" t="str">
        <f>HYPERLINK("Melting_Curves/meltCurve_Q99674_CGREF1.pdf", "Melting_Curves/meltCurve_Q99674_CGREF1.pdf")</f>
        <v>Melting_Curves/meltCurve_Q99674_CGREF1.pdf</v>
      </c>
    </row>
    <row r="4943" spans="1:28" x14ac:dyDescent="0.25">
      <c r="A4943" t="s">
        <v>4947</v>
      </c>
      <c r="B4943">
        <v>0.99987803227770999</v>
      </c>
      <c r="C4943">
        <v>0.88766001523362703</v>
      </c>
      <c r="D4943">
        <v>1.07681609984976</v>
      </c>
      <c r="E4943">
        <v>0.76729382726772899</v>
      </c>
      <c r="F4943">
        <v>0.662345184282216</v>
      </c>
      <c r="G4943">
        <v>0.34250617479668299</v>
      </c>
      <c r="H4943">
        <v>0.16522901443506799</v>
      </c>
      <c r="I4943">
        <v>0.134368996961337</v>
      </c>
      <c r="J4943">
        <v>9.3592871196193694E-2</v>
      </c>
      <c r="K4943">
        <v>6.7286369884557204E-2</v>
      </c>
      <c r="L4943">
        <v>948.76374357014595</v>
      </c>
      <c r="M4943">
        <v>17.455113886108801</v>
      </c>
      <c r="N4943">
        <v>54.727168679420302</v>
      </c>
      <c r="O4943">
        <v>53.656123825654198</v>
      </c>
      <c r="P4943">
        <v>-7.6775540292869704E-2</v>
      </c>
      <c r="Q4943">
        <v>5.6036283953664501E-2</v>
      </c>
      <c r="R4943">
        <v>0.97975304235697502</v>
      </c>
      <c r="S4943" t="s">
        <v>11254</v>
      </c>
      <c r="T4943" t="s">
        <v>12620</v>
      </c>
      <c r="U4943" t="s">
        <v>12620</v>
      </c>
      <c r="V4943" t="s">
        <v>12620</v>
      </c>
      <c r="W4943" t="s">
        <v>17507</v>
      </c>
      <c r="X4943">
        <v>7</v>
      </c>
      <c r="Y4943" t="s">
        <v>23614</v>
      </c>
      <c r="Z4943" t="s">
        <v>29890</v>
      </c>
      <c r="AA4943">
        <v>0.52331795465509201</v>
      </c>
      <c r="AB4943" t="str">
        <f>HYPERLINK("Melting_Curves/meltCurve_Q99685_MGLL.pdf", "Melting_Curves/meltCurve_Q99685_MGLL.pdf")</f>
        <v>Melting_Curves/meltCurve_Q99685_MGLL.pdf</v>
      </c>
    </row>
    <row r="4944" spans="1:28" x14ac:dyDescent="0.25">
      <c r="A4944" t="s">
        <v>4948</v>
      </c>
      <c r="B4944">
        <v>0.99987803227770999</v>
      </c>
      <c r="C4944">
        <v>1.0402688062830601</v>
      </c>
      <c r="D4944">
        <v>1.0057640249548101</v>
      </c>
      <c r="E4944">
        <v>0.97143524204620202</v>
      </c>
      <c r="F4944">
        <v>0.78415689040900605</v>
      </c>
      <c r="G4944">
        <v>0.51104883177697702</v>
      </c>
      <c r="H4944">
        <v>0.36296314084328901</v>
      </c>
      <c r="I4944">
        <v>0.31831729914171297</v>
      </c>
      <c r="J4944">
        <v>0.30906141238743801</v>
      </c>
      <c r="K4944">
        <v>0.252487684155074</v>
      </c>
      <c r="L4944">
        <v>1285.81253113547</v>
      </c>
      <c r="M4944">
        <v>23.2972337361714</v>
      </c>
      <c r="N4944">
        <v>57.214443730206497</v>
      </c>
      <c r="O4944">
        <v>54.789813354384201</v>
      </c>
      <c r="P4944">
        <v>-7.6476564147875806E-2</v>
      </c>
      <c r="Q4944">
        <v>0.28059054392299398</v>
      </c>
      <c r="R4944">
        <v>0.99535035224450397</v>
      </c>
      <c r="S4944" t="s">
        <v>11255</v>
      </c>
      <c r="T4944" t="s">
        <v>12620</v>
      </c>
      <c r="U4944" t="s">
        <v>12620</v>
      </c>
      <c r="V4944" t="s">
        <v>12620</v>
      </c>
      <c r="W4944" t="s">
        <v>17508</v>
      </c>
      <c r="X4944">
        <v>21</v>
      </c>
      <c r="Y4944" t="s">
        <v>19411</v>
      </c>
      <c r="Z4944" t="s">
        <v>29891</v>
      </c>
      <c r="AA4944">
        <v>0.65238836227579144</v>
      </c>
      <c r="AB4944" t="str">
        <f>HYPERLINK("Melting_Curves/meltCurve_Q99700_4_ATXN2.pdf", "Melting_Curves/meltCurve_Q99700_4_ATXN2.pdf")</f>
        <v>Melting_Curves/meltCurve_Q99700_4_ATXN2.pdf</v>
      </c>
    </row>
    <row r="4945" spans="1:28" x14ac:dyDescent="0.25">
      <c r="A4945" t="s">
        <v>4949</v>
      </c>
      <c r="B4945">
        <v>0.99987803227770999</v>
      </c>
      <c r="C4945">
        <v>1.1493306817522999</v>
      </c>
      <c r="D4945">
        <v>0.70891116014851696</v>
      </c>
      <c r="E4945">
        <v>0.560038079225191</v>
      </c>
      <c r="F4945">
        <v>0.35138648585515098</v>
      </c>
      <c r="G4945">
        <v>0.22638199958899299</v>
      </c>
      <c r="H4945">
        <v>0.166109764509969</v>
      </c>
      <c r="I4945">
        <v>9.9100696675489097E-2</v>
      </c>
      <c r="J4945">
        <v>7.3348307001188398E-2</v>
      </c>
      <c r="K4945">
        <v>7.1364608406947902E-2</v>
      </c>
      <c r="L4945">
        <v>807.62300165521901</v>
      </c>
      <c r="M4945">
        <v>16.104542704573099</v>
      </c>
      <c r="N4945">
        <v>50.708667870155899</v>
      </c>
      <c r="O4945">
        <v>49.394645478783701</v>
      </c>
      <c r="P4945">
        <v>-7.4876125224162204E-2</v>
      </c>
      <c r="Q4945">
        <v>8.1452484490733001E-2</v>
      </c>
      <c r="R4945">
        <v>0.95802050916690995</v>
      </c>
      <c r="S4945" t="s">
        <v>11256</v>
      </c>
      <c r="T4945" t="s">
        <v>12620</v>
      </c>
      <c r="U4945" t="s">
        <v>12620</v>
      </c>
      <c r="V4945" t="s">
        <v>12620</v>
      </c>
      <c r="W4945" t="s">
        <v>17509</v>
      </c>
      <c r="X4945">
        <v>6</v>
      </c>
      <c r="Y4945" t="s">
        <v>23615</v>
      </c>
      <c r="Z4945" t="s">
        <v>29892</v>
      </c>
      <c r="AA4945">
        <v>0.41139607230149228</v>
      </c>
      <c r="AB4945" t="str">
        <f>HYPERLINK("Melting_Curves/meltCurve_Q99707_MTR.pdf", "Melting_Curves/meltCurve_Q99707_MTR.pdf")</f>
        <v>Melting_Curves/meltCurve_Q99707_MTR.pdf</v>
      </c>
    </row>
    <row r="4946" spans="1:28" x14ac:dyDescent="0.25">
      <c r="A4946" t="s">
        <v>4950</v>
      </c>
      <c r="B4946">
        <v>0.99987803227770999</v>
      </c>
      <c r="C4946">
        <v>1.00747177757941</v>
      </c>
      <c r="D4946">
        <v>0.97927609303527596</v>
      </c>
      <c r="E4946">
        <v>0.88026122724571398</v>
      </c>
      <c r="F4946">
        <v>0.83867302749695005</v>
      </c>
      <c r="G4946">
        <v>0.73094069701165099</v>
      </c>
      <c r="H4946">
        <v>0.72532486115785799</v>
      </c>
      <c r="I4946">
        <v>0.66631388216431398</v>
      </c>
      <c r="J4946">
        <v>0.60626828890732698</v>
      </c>
      <c r="K4946">
        <v>0.47564955062367298</v>
      </c>
      <c r="L4946">
        <v>377.44390117397501</v>
      </c>
      <c r="M4946">
        <v>5.3346162218176998</v>
      </c>
      <c r="O4946">
        <v>62.649501418103</v>
      </c>
      <c r="P4946">
        <v>-2.1391857306845199E-2</v>
      </c>
      <c r="Q4946">
        <v>0</v>
      </c>
      <c r="R4946">
        <v>0.96490634092072602</v>
      </c>
      <c r="S4946" t="s">
        <v>11257</v>
      </c>
      <c r="T4946" t="s">
        <v>12620</v>
      </c>
      <c r="U4946" t="s">
        <v>12620</v>
      </c>
      <c r="V4946" t="s">
        <v>12620</v>
      </c>
      <c r="W4946" t="s">
        <v>17510</v>
      </c>
      <c r="X4946">
        <v>5</v>
      </c>
      <c r="Y4946" t="s">
        <v>23616</v>
      </c>
      <c r="Z4946" t="s">
        <v>29893</v>
      </c>
      <c r="AA4946">
        <v>0.79531693839358986</v>
      </c>
      <c r="AB4946" t="str">
        <f>HYPERLINK("Melting_Curves/meltCurve_Q99708_RBBP8.pdf", "Melting_Curves/meltCurve_Q99708_RBBP8.pdf")</f>
        <v>Melting_Curves/meltCurve_Q99708_RBBP8.pdf</v>
      </c>
    </row>
    <row r="4947" spans="1:28" x14ac:dyDescent="0.25">
      <c r="A4947" t="s">
        <v>4951</v>
      </c>
      <c r="B4947">
        <v>0.99987803227770999</v>
      </c>
      <c r="C4947">
        <v>1.0787800751741301</v>
      </c>
      <c r="D4947">
        <v>0.90572975542609202</v>
      </c>
      <c r="E4947">
        <v>0.71618221909726099</v>
      </c>
      <c r="F4947">
        <v>0.21845835252470899</v>
      </c>
      <c r="G4947">
        <v>0.100828824598822</v>
      </c>
      <c r="H4947">
        <v>5.3382607572716498E-2</v>
      </c>
      <c r="I4947">
        <v>4.1574690258834798E-2</v>
      </c>
      <c r="J4947">
        <v>4.08331014968875E-2</v>
      </c>
      <c r="K4947">
        <v>3.1673261769569701E-2</v>
      </c>
      <c r="L4947">
        <v>1896.80874217528</v>
      </c>
      <c r="M4947">
        <v>37.165146248180399</v>
      </c>
      <c r="N4947">
        <v>51.172356515427801</v>
      </c>
      <c r="O4947">
        <v>50.890211796048703</v>
      </c>
      <c r="P4947">
        <v>-0.17404656906434399</v>
      </c>
      <c r="Q4947">
        <v>4.6715251034218801E-2</v>
      </c>
      <c r="R4947">
        <v>0.99185500631491696</v>
      </c>
      <c r="S4947" t="s">
        <v>11258</v>
      </c>
      <c r="T4947" t="s">
        <v>12620</v>
      </c>
      <c r="U4947" t="s">
        <v>12620</v>
      </c>
      <c r="V4947" t="s">
        <v>12620</v>
      </c>
      <c r="W4947" t="s">
        <v>17511</v>
      </c>
      <c r="X4947">
        <v>9</v>
      </c>
      <c r="Y4947" t="s">
        <v>23617</v>
      </c>
      <c r="Z4947" t="s">
        <v>29894</v>
      </c>
      <c r="AA4947">
        <v>0.40133769261538432</v>
      </c>
      <c r="AB4947" t="str">
        <f>HYPERLINK("Melting_Curves/meltCurve_Q99714_HSD17B10.pdf", "Melting_Curves/meltCurve_Q99714_HSD17B10.pdf")</f>
        <v>Melting_Curves/meltCurve_Q99714_HSD17B10.pdf</v>
      </c>
    </row>
    <row r="4948" spans="1:28" x14ac:dyDescent="0.25">
      <c r="A4948" t="s">
        <v>4952</v>
      </c>
      <c r="B4948">
        <v>0.99987803227770999</v>
      </c>
      <c r="C4948">
        <v>0.98106509438369705</v>
      </c>
      <c r="D4948">
        <v>1.1586449104512599</v>
      </c>
      <c r="E4948">
        <v>1.2012696434011201</v>
      </c>
      <c r="F4948">
        <v>1.3417114459403801</v>
      </c>
      <c r="G4948">
        <v>1.2168197027595</v>
      </c>
      <c r="H4948">
        <v>1.3005180580701601</v>
      </c>
      <c r="I4948">
        <v>1.1853630032248299</v>
      </c>
      <c r="J4948">
        <v>1.0915451850939399</v>
      </c>
      <c r="K4948">
        <v>0.83957410456600801</v>
      </c>
      <c r="L4948">
        <v>11370.3455855703</v>
      </c>
      <c r="M4948">
        <v>250</v>
      </c>
      <c r="O4948">
        <v>45.478468194681199</v>
      </c>
      <c r="P4948">
        <v>0.23103577459010899</v>
      </c>
      <c r="Q4948">
        <v>1.16811446330283</v>
      </c>
      <c r="R4948">
        <v>0.230907500150865</v>
      </c>
      <c r="S4948" t="s">
        <v>11259</v>
      </c>
      <c r="T4948" t="s">
        <v>12620</v>
      </c>
      <c r="U4948" t="s">
        <v>12620</v>
      </c>
      <c r="V4948" t="s">
        <v>12620</v>
      </c>
      <c r="W4948" t="s">
        <v>17512</v>
      </c>
      <c r="X4948">
        <v>10</v>
      </c>
      <c r="Y4948" t="s">
        <v>23618</v>
      </c>
      <c r="Z4948" t="s">
        <v>29895</v>
      </c>
      <c r="AA4948">
        <v>1.1373843895336131</v>
      </c>
      <c r="AB4948" t="str">
        <f>HYPERLINK("Melting_Curves/meltCurve_Q99729_3_HNRNPAB.pdf", "Melting_Curves/meltCurve_Q99729_3_HNRNPAB.pdf")</f>
        <v>Melting_Curves/meltCurve_Q99729_3_HNRNPAB.pdf</v>
      </c>
    </row>
    <row r="4949" spans="1:28" x14ac:dyDescent="0.25">
      <c r="A4949" t="s">
        <v>4953</v>
      </c>
      <c r="B4949">
        <v>0.99987803227770999</v>
      </c>
      <c r="C4949">
        <v>1.10587561817806</v>
      </c>
      <c r="D4949">
        <v>1.0030257842669299</v>
      </c>
      <c r="E4949">
        <v>1.1260099080580901</v>
      </c>
      <c r="F4949">
        <v>0.81408821717473501</v>
      </c>
      <c r="G4949">
        <v>0.44824427355778201</v>
      </c>
      <c r="H4949">
        <v>0.268348453655674</v>
      </c>
      <c r="I4949">
        <v>0.20981536682700799</v>
      </c>
      <c r="J4949">
        <v>0.211387519404965</v>
      </c>
      <c r="K4949">
        <v>0.169009487203785</v>
      </c>
      <c r="L4949">
        <v>1784.13726868401</v>
      </c>
      <c r="M4949">
        <v>32.129052287062898</v>
      </c>
      <c r="N4949">
        <v>56.426213765065697</v>
      </c>
      <c r="O4949">
        <v>55.3165595552681</v>
      </c>
      <c r="P4949">
        <v>-0.11619614455952799</v>
      </c>
      <c r="Q4949">
        <v>0.199784996925572</v>
      </c>
      <c r="R4949">
        <v>0.975535552972839</v>
      </c>
      <c r="S4949" t="s">
        <v>11260</v>
      </c>
      <c r="T4949" t="s">
        <v>12620</v>
      </c>
      <c r="U4949" t="s">
        <v>12620</v>
      </c>
      <c r="V4949" t="s">
        <v>12620</v>
      </c>
      <c r="W4949" t="s">
        <v>17513</v>
      </c>
      <c r="X4949">
        <v>12</v>
      </c>
      <c r="Y4949" t="s">
        <v>23619</v>
      </c>
      <c r="Z4949" t="s">
        <v>29896</v>
      </c>
      <c r="AA4949">
        <v>0.61872055928741776</v>
      </c>
      <c r="AB4949" t="str">
        <f>HYPERLINK("Melting_Curves/meltCurve_Q99733_NAP1L4.pdf", "Melting_Curves/meltCurve_Q99733_NAP1L4.pdf")</f>
        <v>Melting_Curves/meltCurve_Q99733_NAP1L4.pdf</v>
      </c>
    </row>
    <row r="4950" spans="1:28" x14ac:dyDescent="0.25">
      <c r="A4950" t="s">
        <v>4954</v>
      </c>
      <c r="B4950">
        <v>0.99987803227770999</v>
      </c>
      <c r="C4950">
        <v>0.79685288217258998</v>
      </c>
      <c r="D4950">
        <v>0.96647163847511897</v>
      </c>
      <c r="E4950">
        <v>0.73775319762741198</v>
      </c>
      <c r="F4950">
        <v>0.54909632072634895</v>
      </c>
      <c r="G4950">
        <v>0.31497004443466198</v>
      </c>
      <c r="H4950">
        <v>0.26112306667972401</v>
      </c>
      <c r="I4950">
        <v>0.213849936762291</v>
      </c>
      <c r="J4950">
        <v>0.214159900333173</v>
      </c>
      <c r="K4950">
        <v>0.16882616942596901</v>
      </c>
      <c r="L4950">
        <v>777.73631095553503</v>
      </c>
      <c r="M4950">
        <v>14.8517152873877</v>
      </c>
      <c r="N4950">
        <v>53.764743302099397</v>
      </c>
      <c r="O4950">
        <v>51.444858700249704</v>
      </c>
      <c r="P4950">
        <v>-6.0619353858742099E-2</v>
      </c>
      <c r="Q4950">
        <v>0.16017067244175001</v>
      </c>
      <c r="R4950">
        <v>0.96287262647645999</v>
      </c>
      <c r="S4950" t="s">
        <v>11261</v>
      </c>
      <c r="T4950" t="s">
        <v>12620</v>
      </c>
      <c r="U4950" t="s">
        <v>12620</v>
      </c>
      <c r="V4950" t="s">
        <v>12620</v>
      </c>
      <c r="W4950" t="s">
        <v>17514</v>
      </c>
      <c r="X4950">
        <v>9</v>
      </c>
      <c r="Y4950" t="s">
        <v>23620</v>
      </c>
      <c r="Z4950" t="s">
        <v>29897</v>
      </c>
      <c r="AA4950">
        <v>0.52517291052016946</v>
      </c>
      <c r="AB4950" t="str">
        <f>HYPERLINK("Melting_Curves/meltCurve_Q99747_NAPG.pdf", "Melting_Curves/meltCurve_Q99747_NAPG.pdf")</f>
        <v>Melting_Curves/meltCurve_Q99747_NAPG.pdf</v>
      </c>
    </row>
    <row r="4951" spans="1:28" x14ac:dyDescent="0.25">
      <c r="A4951" t="s">
        <v>4955</v>
      </c>
      <c r="B4951">
        <v>0.99987803227770999</v>
      </c>
      <c r="C4951">
        <v>0.77261913131026905</v>
      </c>
      <c r="D4951">
        <v>0.92779178021936504</v>
      </c>
      <c r="E4951">
        <v>0.76156802078753605</v>
      </c>
      <c r="F4951">
        <v>0.87034076655345405</v>
      </c>
      <c r="G4951">
        <v>0.76804671357073795</v>
      </c>
      <c r="H4951">
        <v>0.63201816823534795</v>
      </c>
      <c r="I4951">
        <v>0.62700984456433795</v>
      </c>
      <c r="J4951">
        <v>0.46172275922244799</v>
      </c>
      <c r="K4951">
        <v>0.36097804156586599</v>
      </c>
      <c r="L4951">
        <v>344.17795944561402</v>
      </c>
      <c r="M4951">
        <v>5.1546875649477997</v>
      </c>
      <c r="N4951">
        <v>66.769910737262904</v>
      </c>
      <c r="O4951">
        <v>58.6820441369264</v>
      </c>
      <c r="P4951">
        <v>-2.2081428153357001E-2</v>
      </c>
      <c r="Q4951">
        <v>0</v>
      </c>
      <c r="R4951">
        <v>0.830304321257608</v>
      </c>
      <c r="S4951" t="s">
        <v>11262</v>
      </c>
      <c r="T4951" t="s">
        <v>12620</v>
      </c>
      <c r="U4951" t="s">
        <v>12620</v>
      </c>
      <c r="V4951" t="s">
        <v>12620</v>
      </c>
      <c r="W4951" t="s">
        <v>17515</v>
      </c>
      <c r="X4951">
        <v>3</v>
      </c>
      <c r="Y4951" t="s">
        <v>23621</v>
      </c>
      <c r="Z4951" t="s">
        <v>29898</v>
      </c>
      <c r="AA4951">
        <v>0.7349751897994149</v>
      </c>
      <c r="AB4951" t="str">
        <f>HYPERLINK("Melting_Curves/meltCurve_Q99757_TXN2.pdf", "Melting_Curves/meltCurve_Q99757_TXN2.pdf")</f>
        <v>Melting_Curves/meltCurve_Q99757_TXN2.pdf</v>
      </c>
    </row>
    <row r="4952" spans="1:28" x14ac:dyDescent="0.25">
      <c r="A4952" t="s">
        <v>4956</v>
      </c>
      <c r="B4952">
        <v>0.99987803227770999</v>
      </c>
      <c r="C4952">
        <v>0.90495610687431904</v>
      </c>
      <c r="D4952">
        <v>0.99117155015289704</v>
      </c>
      <c r="E4952">
        <v>0.82281734264324102</v>
      </c>
      <c r="F4952">
        <v>0.63259578564702301</v>
      </c>
      <c r="G4952">
        <v>0.21335028086977101</v>
      </c>
      <c r="H4952">
        <v>0.15156804445913999</v>
      </c>
      <c r="I4952">
        <v>0.122380052047477</v>
      </c>
      <c r="J4952">
        <v>0.101379370880916</v>
      </c>
      <c r="K4952">
        <v>8.1293810149176096E-2</v>
      </c>
      <c r="L4952">
        <v>1294.7788052093699</v>
      </c>
      <c r="M4952">
        <v>24.220845367602902</v>
      </c>
      <c r="N4952">
        <v>53.903675855232599</v>
      </c>
      <c r="O4952">
        <v>53.096806617057801</v>
      </c>
      <c r="P4952">
        <v>-0.103677869807152</v>
      </c>
      <c r="Q4952">
        <v>9.0885596888023695E-2</v>
      </c>
      <c r="R4952">
        <v>0.99045355723231798</v>
      </c>
      <c r="S4952" t="s">
        <v>11263</v>
      </c>
      <c r="T4952" t="s">
        <v>12620</v>
      </c>
      <c r="U4952" t="s">
        <v>12620</v>
      </c>
      <c r="V4952" t="s">
        <v>12620</v>
      </c>
      <c r="W4952" t="s">
        <v>17516</v>
      </c>
      <c r="X4952">
        <v>4</v>
      </c>
      <c r="Y4952" t="s">
        <v>23622</v>
      </c>
      <c r="Z4952" t="s">
        <v>29899</v>
      </c>
      <c r="AA4952">
        <v>0.50758873641469615</v>
      </c>
      <c r="AB4952" t="str">
        <f>HYPERLINK("Melting_Curves/meltCurve_Q99766_ATP5S.pdf", "Melting_Curves/meltCurve_Q99766_ATP5S.pdf")</f>
        <v>Melting_Curves/meltCurve_Q99766_ATP5S.pdf</v>
      </c>
    </row>
    <row r="4953" spans="1:28" x14ac:dyDescent="0.25">
      <c r="A4953" t="s">
        <v>4957</v>
      </c>
      <c r="B4953">
        <v>0.99987803227770999</v>
      </c>
      <c r="C4953">
        <v>0.831079954405745</v>
      </c>
      <c r="D4953">
        <v>0.80358640134907899</v>
      </c>
      <c r="E4953">
        <v>0.51813628475586404</v>
      </c>
      <c r="F4953">
        <v>0.30188927947157801</v>
      </c>
      <c r="G4953">
        <v>0.30313294609634001</v>
      </c>
      <c r="H4953">
        <v>0.18327629616594299</v>
      </c>
      <c r="I4953">
        <v>0.25213920601232798</v>
      </c>
      <c r="J4953">
        <v>0.160026546468127</v>
      </c>
      <c r="K4953">
        <v>9.7674654310079101E-2</v>
      </c>
      <c r="L4953">
        <v>680.82606885754103</v>
      </c>
      <c r="M4953">
        <v>13.899254796807</v>
      </c>
      <c r="N4953">
        <v>50.2305773595331</v>
      </c>
      <c r="O4953">
        <v>48.002362087803</v>
      </c>
      <c r="P4953">
        <v>-6.1829937978359797E-2</v>
      </c>
      <c r="Q4953">
        <v>0.14597416305105701</v>
      </c>
      <c r="R4953">
        <v>0.97401229989986904</v>
      </c>
      <c r="S4953" t="s">
        <v>11264</v>
      </c>
      <c r="T4953" t="s">
        <v>12620</v>
      </c>
      <c r="U4953" t="s">
        <v>12620</v>
      </c>
      <c r="V4953" t="s">
        <v>12620</v>
      </c>
      <c r="W4953" t="s">
        <v>17517</v>
      </c>
      <c r="X4953">
        <v>4</v>
      </c>
      <c r="Y4953" t="s">
        <v>23623</v>
      </c>
      <c r="Z4953" t="s">
        <v>29900</v>
      </c>
      <c r="AA4953">
        <v>0.42598378234824841</v>
      </c>
      <c r="AB4953" t="str">
        <f>HYPERLINK("Melting_Curves/meltCurve_Q99767_2_APBA2.pdf", "Melting_Curves/meltCurve_Q99767_2_APBA2.pdf")</f>
        <v>Melting_Curves/meltCurve_Q99767_2_APBA2.pdf</v>
      </c>
    </row>
    <row r="4954" spans="1:28" x14ac:dyDescent="0.25">
      <c r="A4954" t="s">
        <v>4958</v>
      </c>
      <c r="B4954">
        <v>0.99987803227770999</v>
      </c>
      <c r="C4954">
        <v>1.0432868809864699</v>
      </c>
      <c r="D4954">
        <v>0.94763085095190702</v>
      </c>
      <c r="E4954">
        <v>0.721452378458321</v>
      </c>
      <c r="F4954">
        <v>0.27284101532888699</v>
      </c>
      <c r="G4954">
        <v>0.178248239135814</v>
      </c>
      <c r="H4954">
        <v>0.14461970492194701</v>
      </c>
      <c r="I4954">
        <v>0.122273374117537</v>
      </c>
      <c r="J4954">
        <v>8.48927371538786E-2</v>
      </c>
      <c r="K4954">
        <v>5.9885471126098801E-2</v>
      </c>
      <c r="L4954">
        <v>1822.7147415458801</v>
      </c>
      <c r="M4954">
        <v>35.737706540059499</v>
      </c>
      <c r="N4954">
        <v>51.361162000505502</v>
      </c>
      <c r="O4954">
        <v>50.843660475863203</v>
      </c>
      <c r="P4954">
        <v>-0.15632193796666199</v>
      </c>
      <c r="Q4954">
        <v>0.11041255697122999</v>
      </c>
      <c r="R4954">
        <v>0.99336451534909997</v>
      </c>
      <c r="S4954" t="s">
        <v>11265</v>
      </c>
      <c r="T4954" t="s">
        <v>12620</v>
      </c>
      <c r="U4954" t="s">
        <v>12620</v>
      </c>
      <c r="V4954" t="s">
        <v>12620</v>
      </c>
      <c r="W4954" t="s">
        <v>17518</v>
      </c>
      <c r="X4954">
        <v>15</v>
      </c>
      <c r="Y4954" t="s">
        <v>23624</v>
      </c>
      <c r="Z4954" t="s">
        <v>29901</v>
      </c>
      <c r="AA4954">
        <v>0.44060565531077789</v>
      </c>
      <c r="AB4954" t="str">
        <f>HYPERLINK("Melting_Curves/meltCurve_Q99797_MIPEP.pdf", "Melting_Curves/meltCurve_Q99797_MIPEP.pdf")</f>
        <v>Melting_Curves/meltCurve_Q99797_MIPEP.pdf</v>
      </c>
    </row>
    <row r="4955" spans="1:28" x14ac:dyDescent="0.25">
      <c r="A4955" t="s">
        <v>4959</v>
      </c>
      <c r="B4955">
        <v>0.99987803227770999</v>
      </c>
      <c r="C4955">
        <v>0.841817963627008</v>
      </c>
      <c r="D4955">
        <v>1.07202022424153</v>
      </c>
      <c r="E4955">
        <v>0.95731380529281296</v>
      </c>
      <c r="F4955">
        <v>0.61465792911376105</v>
      </c>
      <c r="G4955">
        <v>0.21341038378083499</v>
      </c>
      <c r="H4955">
        <v>0.13601183387991</v>
      </c>
      <c r="I4955">
        <v>0.108417622789968</v>
      </c>
      <c r="J4955">
        <v>8.1214414518079106E-2</v>
      </c>
      <c r="K4955">
        <v>5.8741865348560497E-2</v>
      </c>
      <c r="L4955">
        <v>1818.86199090688</v>
      </c>
      <c r="M4955">
        <v>33.932871108493103</v>
      </c>
      <c r="N4955">
        <v>53.929159550892898</v>
      </c>
      <c r="O4955">
        <v>53.416635844206198</v>
      </c>
      <c r="P4955">
        <v>-0.144030149636516</v>
      </c>
      <c r="Q4955">
        <v>9.3082915188255094E-2</v>
      </c>
      <c r="R4955">
        <v>0.97921627624947205</v>
      </c>
      <c r="S4955" t="s">
        <v>11266</v>
      </c>
      <c r="T4955" t="s">
        <v>12620</v>
      </c>
      <c r="U4955" t="s">
        <v>12620</v>
      </c>
      <c r="V4955" t="s">
        <v>12620</v>
      </c>
      <c r="W4955" t="s">
        <v>17519</v>
      </c>
      <c r="X4955">
        <v>27</v>
      </c>
      <c r="Y4955" t="s">
        <v>23625</v>
      </c>
      <c r="Z4955" t="s">
        <v>29902</v>
      </c>
      <c r="AA4955">
        <v>0.50892814357160698</v>
      </c>
      <c r="AB4955" t="str">
        <f>HYPERLINK("Melting_Curves/meltCurve_Q99798_ACO2.pdf", "Melting_Curves/meltCurve_Q99798_ACO2.pdf")</f>
        <v>Melting_Curves/meltCurve_Q99798_ACO2.pdf</v>
      </c>
    </row>
    <row r="4956" spans="1:28" x14ac:dyDescent="0.25">
      <c r="A4956" t="s">
        <v>4960</v>
      </c>
      <c r="B4956">
        <v>0.99987803227770999</v>
      </c>
      <c r="C4956">
        <v>1.13579166934961</v>
      </c>
      <c r="D4956">
        <v>1.1036661678267099</v>
      </c>
      <c r="E4956">
        <v>1.03338338994309</v>
      </c>
      <c r="F4956">
        <v>0.63184041722732498</v>
      </c>
      <c r="G4956">
        <v>0.22265221694690299</v>
      </c>
      <c r="H4956">
        <v>0.111644771112381</v>
      </c>
      <c r="I4956">
        <v>8.2239827494358306E-2</v>
      </c>
      <c r="J4956">
        <v>6.7040026316732504E-2</v>
      </c>
      <c r="K4956">
        <v>4.8017749552652297E-2</v>
      </c>
      <c r="L4956">
        <v>1986.1069774181201</v>
      </c>
      <c r="M4956">
        <v>36.892528909856402</v>
      </c>
      <c r="N4956">
        <v>54.089020998560798</v>
      </c>
      <c r="O4956">
        <v>53.677494602598401</v>
      </c>
      <c r="P4956">
        <v>-0.15815473747434899</v>
      </c>
      <c r="Q4956">
        <v>7.9561549756836603E-2</v>
      </c>
      <c r="R4956">
        <v>0.98033119750518305</v>
      </c>
      <c r="S4956" t="s">
        <v>11267</v>
      </c>
      <c r="T4956" t="s">
        <v>12620</v>
      </c>
      <c r="U4956" t="s">
        <v>12620</v>
      </c>
      <c r="V4956" t="s">
        <v>12620</v>
      </c>
      <c r="W4956" t="s">
        <v>17520</v>
      </c>
      <c r="X4956">
        <v>10</v>
      </c>
      <c r="Y4956" t="s">
        <v>23626</v>
      </c>
      <c r="Z4956" t="s">
        <v>29903</v>
      </c>
      <c r="AA4956">
        <v>0.50805287672849864</v>
      </c>
      <c r="AB4956" t="str">
        <f>HYPERLINK("Melting_Curves/meltCurve_Q99816_TSG101.pdf", "Melting_Curves/meltCurve_Q99816_TSG101.pdf")</f>
        <v>Melting_Curves/meltCurve_Q99816_TSG101.pdf</v>
      </c>
    </row>
    <row r="4957" spans="1:28" x14ac:dyDescent="0.25">
      <c r="A4957" t="s">
        <v>4961</v>
      </c>
      <c r="B4957">
        <v>0.99987803227770999</v>
      </c>
      <c r="C4957">
        <v>1.21242928383988</v>
      </c>
      <c r="D4957">
        <v>0.59349804655872296</v>
      </c>
      <c r="E4957">
        <v>0.56647341290158904</v>
      </c>
      <c r="F4957">
        <v>0.202698224477112</v>
      </c>
      <c r="G4957">
        <v>0.12270800220681601</v>
      </c>
      <c r="H4957">
        <v>7.5311369185158294E-2</v>
      </c>
      <c r="I4957">
        <v>6.2440658365360599E-2</v>
      </c>
      <c r="J4957">
        <v>5.0646894713746997E-2</v>
      </c>
      <c r="K4957">
        <v>3.42957038828808E-2</v>
      </c>
      <c r="L4957">
        <v>906.35983251461505</v>
      </c>
      <c r="M4957">
        <v>18.3831932852653</v>
      </c>
      <c r="N4957">
        <v>49.544557836874503</v>
      </c>
      <c r="O4957">
        <v>48.731384775322397</v>
      </c>
      <c r="P4957">
        <v>-9.0281892807204694E-2</v>
      </c>
      <c r="Q4957">
        <v>4.2742285811314597E-2</v>
      </c>
      <c r="R4957">
        <v>0.92304270511709197</v>
      </c>
      <c r="S4957" t="s">
        <v>11268</v>
      </c>
      <c r="T4957" t="s">
        <v>12620</v>
      </c>
      <c r="U4957" t="s">
        <v>12620</v>
      </c>
      <c r="V4957" t="s">
        <v>12620</v>
      </c>
      <c r="W4957" t="s">
        <v>17521</v>
      </c>
      <c r="X4957">
        <v>18</v>
      </c>
      <c r="Y4957" t="s">
        <v>23627</v>
      </c>
      <c r="Z4957" t="s">
        <v>29904</v>
      </c>
      <c r="AA4957">
        <v>0.3554322628782382</v>
      </c>
      <c r="AB4957" t="str">
        <f>HYPERLINK("Melting_Curves/meltCurve_Q99829_CPNE1.pdf", "Melting_Curves/meltCurve_Q99829_CPNE1.pdf")</f>
        <v>Melting_Curves/meltCurve_Q99829_CPNE1.pdf</v>
      </c>
    </row>
    <row r="4958" spans="1:28" x14ac:dyDescent="0.25">
      <c r="A4958" t="s">
        <v>4962</v>
      </c>
      <c r="B4958">
        <v>0.99987803227770999</v>
      </c>
      <c r="C4958">
        <v>0.796165352133129</v>
      </c>
      <c r="D4958">
        <v>0.70872914974932699</v>
      </c>
      <c r="E4958">
        <v>1.26790062634011</v>
      </c>
      <c r="F4958">
        <v>1.13386450344315</v>
      </c>
      <c r="G4958">
        <v>0.68531483062810306</v>
      </c>
      <c r="H4958">
        <v>0.16643120675481601</v>
      </c>
      <c r="I4958">
        <v>0.12482034638930301</v>
      </c>
      <c r="J4958">
        <v>8.4692162433285104E-2</v>
      </c>
      <c r="K4958">
        <v>5.91942139033537E-2</v>
      </c>
      <c r="L4958">
        <v>3132.25610499492</v>
      </c>
      <c r="M4958">
        <v>54.267547194562503</v>
      </c>
      <c r="N4958">
        <v>57.943674064835498</v>
      </c>
      <c r="O4958">
        <v>57.640552712775502</v>
      </c>
      <c r="P4958">
        <v>-0.21301927854969099</v>
      </c>
      <c r="Q4958">
        <v>9.4962517318621306E-2</v>
      </c>
      <c r="R4958">
        <v>0.88493355973973498</v>
      </c>
      <c r="S4958" t="s">
        <v>11269</v>
      </c>
      <c r="T4958" t="s">
        <v>12620</v>
      </c>
      <c r="U4958" t="s">
        <v>12620</v>
      </c>
      <c r="V4958" t="s">
        <v>12620</v>
      </c>
      <c r="W4958" t="s">
        <v>17522</v>
      </c>
      <c r="X4958">
        <v>33</v>
      </c>
      <c r="Y4958" t="s">
        <v>23628</v>
      </c>
      <c r="Z4958" t="s">
        <v>29905</v>
      </c>
      <c r="AA4958">
        <v>0.63145168401576435</v>
      </c>
      <c r="AB4958" t="str">
        <f>HYPERLINK("Melting_Curves/meltCurve_Q99832_CCT7.pdf", "Melting_Curves/meltCurve_Q99832_CCT7.pdf")</f>
        <v>Melting_Curves/meltCurve_Q99832_CCT7.pdf</v>
      </c>
    </row>
    <row r="4959" spans="1:28" x14ac:dyDescent="0.25">
      <c r="A4959" t="s">
        <v>4963</v>
      </c>
      <c r="B4959">
        <v>0.99987803227770999</v>
      </c>
      <c r="C4959">
        <v>0.82880616261981999</v>
      </c>
      <c r="D4959">
        <v>0.677053002226356</v>
      </c>
      <c r="E4959">
        <v>0.400201169895888</v>
      </c>
      <c r="F4959">
        <v>0.234893888309639</v>
      </c>
      <c r="G4959">
        <v>0.13406266448286999</v>
      </c>
      <c r="H4959">
        <v>9.0293878234708899E-2</v>
      </c>
      <c r="I4959">
        <v>9.1755775521685803E-2</v>
      </c>
      <c r="J4959">
        <v>6.6409404437952305E-2</v>
      </c>
      <c r="K4959">
        <v>6.02780280482599E-2</v>
      </c>
      <c r="L4959">
        <v>713.03366690108601</v>
      </c>
      <c r="M4959">
        <v>14.8620299867071</v>
      </c>
      <c r="N4959">
        <v>48.361144305764</v>
      </c>
      <c r="O4959">
        <v>47.133376417436999</v>
      </c>
      <c r="P4959">
        <v>-7.4447023008360799E-2</v>
      </c>
      <c r="Q4959">
        <v>5.5694970769262497E-2</v>
      </c>
      <c r="R4959">
        <v>0.99679666165813796</v>
      </c>
      <c r="S4959" t="s">
        <v>11270</v>
      </c>
      <c r="T4959" t="s">
        <v>12620</v>
      </c>
      <c r="U4959" t="s">
        <v>12620</v>
      </c>
      <c r="V4959" t="s">
        <v>12620</v>
      </c>
      <c r="W4959" t="s">
        <v>17523</v>
      </c>
      <c r="X4959">
        <v>3</v>
      </c>
      <c r="Y4959" t="s">
        <v>23629</v>
      </c>
      <c r="Z4959" t="s">
        <v>29906</v>
      </c>
      <c r="AA4959">
        <v>0.3315569910270908</v>
      </c>
      <c r="AB4959" t="str">
        <f>HYPERLINK("Melting_Curves/meltCurve_Q99871_3_HAUS7.pdf", "Melting_Curves/meltCurve_Q99871_3_HAUS7.pdf")</f>
        <v>Melting_Curves/meltCurve_Q99871_3_HAUS7.pdf</v>
      </c>
    </row>
    <row r="4960" spans="1:28" x14ac:dyDescent="0.25">
      <c r="A4960" t="s">
        <v>4964</v>
      </c>
      <c r="B4960">
        <v>0.99987803227770999</v>
      </c>
      <c r="C4960">
        <v>1.64928142103185</v>
      </c>
      <c r="D4960">
        <v>0.200744103995944</v>
      </c>
      <c r="E4960">
        <v>0.63268904999290798</v>
      </c>
      <c r="F4960">
        <v>0.239945707381713</v>
      </c>
      <c r="G4960">
        <v>0.13710174025972299</v>
      </c>
      <c r="H4960">
        <v>5.1717269987644303E-2</v>
      </c>
      <c r="I4960">
        <v>4.0013500866860001E-2</v>
      </c>
      <c r="J4960">
        <v>3.0528901369352501E-2</v>
      </c>
      <c r="K4960">
        <v>2.0558268789689998E-2</v>
      </c>
      <c r="L4960">
        <v>841.99340940946297</v>
      </c>
      <c r="M4960">
        <v>17.204981331768401</v>
      </c>
      <c r="N4960">
        <v>49.1509258196795</v>
      </c>
      <c r="O4960">
        <v>48.292135832158799</v>
      </c>
      <c r="P4960">
        <v>-8.5887185704787303E-2</v>
      </c>
      <c r="Q4960">
        <v>3.5760337991420803E-2</v>
      </c>
      <c r="R4960">
        <v>0.66512584100144501</v>
      </c>
      <c r="S4960" t="s">
        <v>11271</v>
      </c>
      <c r="T4960" t="s">
        <v>12620</v>
      </c>
      <c r="U4960" t="s">
        <v>12620</v>
      </c>
      <c r="V4960" t="s">
        <v>12620</v>
      </c>
      <c r="W4960" t="s">
        <v>17524</v>
      </c>
      <c r="X4960">
        <v>5</v>
      </c>
      <c r="Y4960" t="s">
        <v>23630</v>
      </c>
      <c r="Z4960" t="s">
        <v>29907</v>
      </c>
      <c r="AA4960">
        <v>0.34136212129673182</v>
      </c>
      <c r="AB4960" t="str">
        <f>HYPERLINK("Melting_Curves/meltCurve_Q99878_HIST1H2AJ.pdf", "Melting_Curves/meltCurve_Q99878_HIST1H2AJ.pdf")</f>
        <v>Melting_Curves/meltCurve_Q99878_HIST1H2AJ.pdf</v>
      </c>
    </row>
    <row r="4961" spans="1:28" x14ac:dyDescent="0.25">
      <c r="A4961" t="s">
        <v>4965</v>
      </c>
      <c r="B4961">
        <v>0.99987803227770999</v>
      </c>
      <c r="C4961">
        <v>1.0647027786285701</v>
      </c>
      <c r="D4961">
        <v>0.85317525752106305</v>
      </c>
      <c r="E4961">
        <v>0.61852183480366096</v>
      </c>
      <c r="F4961">
        <v>0.27220494397395001</v>
      </c>
      <c r="G4961">
        <v>0.16817118789325</v>
      </c>
      <c r="H4961">
        <v>9.9356727359540306E-2</v>
      </c>
      <c r="I4961">
        <v>8.4552963313999904E-2</v>
      </c>
      <c r="J4961">
        <v>5.9637778747590499E-2</v>
      </c>
      <c r="K4961">
        <v>4.1631993926737401E-2</v>
      </c>
      <c r="L4961">
        <v>1102.11303057033</v>
      </c>
      <c r="M4961">
        <v>21.814531591167299</v>
      </c>
      <c r="N4961">
        <v>50.8439728258451</v>
      </c>
      <c r="O4961">
        <v>50.103154913984199</v>
      </c>
      <c r="P4961">
        <v>-0.101827700325523</v>
      </c>
      <c r="Q4961">
        <v>6.4518770857998495E-2</v>
      </c>
      <c r="R4961">
        <v>0.99091680685832695</v>
      </c>
      <c r="S4961" t="s">
        <v>11272</v>
      </c>
      <c r="T4961" t="s">
        <v>12620</v>
      </c>
      <c r="U4961" t="s">
        <v>12620</v>
      </c>
      <c r="V4961" t="s">
        <v>12620</v>
      </c>
      <c r="W4961" t="s">
        <v>17525</v>
      </c>
      <c r="X4961">
        <v>6</v>
      </c>
      <c r="Y4961" t="s">
        <v>23631</v>
      </c>
      <c r="Z4961" t="s">
        <v>29908</v>
      </c>
      <c r="AA4961">
        <v>0.40361809054981701</v>
      </c>
      <c r="AB4961" t="str">
        <f>HYPERLINK("Melting_Curves/meltCurve_Q99879_HIST1H2BM.pdf", "Melting_Curves/meltCurve_Q99879_HIST1H2BM.pdf")</f>
        <v>Melting_Curves/meltCurve_Q99879_HIST1H2BM.pdf</v>
      </c>
    </row>
    <row r="4962" spans="1:28" x14ac:dyDescent="0.25">
      <c r="A4962" t="s">
        <v>4966</v>
      </c>
      <c r="B4962">
        <v>0.99987803227770999</v>
      </c>
      <c r="C4962">
        <v>0.87634431276819702</v>
      </c>
      <c r="D4962">
        <v>0.94297311011059604</v>
      </c>
      <c r="E4962">
        <v>0.80973726641913502</v>
      </c>
      <c r="F4962">
        <v>0.78297843424132496</v>
      </c>
      <c r="G4962">
        <v>0.61423100084048199</v>
      </c>
      <c r="H4962">
        <v>0.587057704619531</v>
      </c>
      <c r="I4962">
        <v>0.55451660867207797</v>
      </c>
      <c r="J4962">
        <v>0.39005890846076002</v>
      </c>
      <c r="K4962">
        <v>0.26035234650428102</v>
      </c>
      <c r="L4962">
        <v>405.05215124485699</v>
      </c>
      <c r="M4962">
        <v>6.4528080398617496</v>
      </c>
      <c r="N4962">
        <v>62.771455264322803</v>
      </c>
      <c r="O4962">
        <v>57.557899669284403</v>
      </c>
      <c r="P4962">
        <v>-2.8097350430305E-2</v>
      </c>
      <c r="Q4962">
        <v>0</v>
      </c>
      <c r="R4962">
        <v>0.95158237408356505</v>
      </c>
      <c r="S4962" t="s">
        <v>11273</v>
      </c>
      <c r="T4962" t="s">
        <v>12620</v>
      </c>
      <c r="U4962" t="s">
        <v>12620</v>
      </c>
      <c r="V4962" t="s">
        <v>12620</v>
      </c>
      <c r="W4962" t="s">
        <v>17526</v>
      </c>
      <c r="X4962">
        <v>4</v>
      </c>
      <c r="Y4962" t="s">
        <v>23632</v>
      </c>
      <c r="Z4962" t="s">
        <v>29909</v>
      </c>
      <c r="AA4962">
        <v>0.69347255893616044</v>
      </c>
      <c r="AB4962" t="str">
        <f>HYPERLINK("Melting_Curves/meltCurve_Q99933_4_BAG1.pdf", "Melting_Curves/meltCurve_Q99933_4_BAG1.pdf")</f>
        <v>Melting_Curves/meltCurve_Q99933_4_BAG1.pdf</v>
      </c>
    </row>
    <row r="4963" spans="1:28" x14ac:dyDescent="0.25">
      <c r="A4963" t="s">
        <v>4967</v>
      </c>
      <c r="B4963">
        <v>0.99987803227770999</v>
      </c>
      <c r="C4963">
        <v>1.0491024676933201</v>
      </c>
      <c r="D4963">
        <v>1.019662910476</v>
      </c>
      <c r="E4963">
        <v>0.83777623788237898</v>
      </c>
      <c r="F4963">
        <v>0.92726174364952496</v>
      </c>
      <c r="G4963">
        <v>0.67482377590156595</v>
      </c>
      <c r="H4963">
        <v>0.55529268773705998</v>
      </c>
      <c r="I4963">
        <v>0.49363548176009298</v>
      </c>
      <c r="J4963">
        <v>0.34927191983175498</v>
      </c>
      <c r="K4963">
        <v>0.327806338519818</v>
      </c>
      <c r="L4963">
        <v>695.60893883421397</v>
      </c>
      <c r="M4963">
        <v>11.614506441595999</v>
      </c>
      <c r="N4963">
        <v>62.587610318650597</v>
      </c>
      <c r="O4963">
        <v>58.198527125545901</v>
      </c>
      <c r="P4963">
        <v>-4.0082087087494202E-2</v>
      </c>
      <c r="Q4963">
        <v>0.19683868304183</v>
      </c>
      <c r="R4963">
        <v>0.96864474025161795</v>
      </c>
      <c r="S4963" t="s">
        <v>11274</v>
      </c>
      <c r="T4963" t="s">
        <v>12620</v>
      </c>
      <c r="U4963" t="s">
        <v>12620</v>
      </c>
      <c r="V4963" t="s">
        <v>12620</v>
      </c>
      <c r="W4963" t="s">
        <v>17527</v>
      </c>
      <c r="X4963">
        <v>2</v>
      </c>
      <c r="Y4963" t="s">
        <v>23633</v>
      </c>
      <c r="Z4963" t="s">
        <v>29910</v>
      </c>
      <c r="AA4963">
        <v>0.73105054172492534</v>
      </c>
      <c r="AB4963" t="str">
        <f>HYPERLINK("Melting_Curves/meltCurve_Q99941_2_ATF6B.pdf", "Melting_Curves/meltCurve_Q99941_2_ATF6B.pdf")</f>
        <v>Melting_Curves/meltCurve_Q99941_2_ATF6B.pdf</v>
      </c>
    </row>
    <row r="4964" spans="1:28" x14ac:dyDescent="0.25">
      <c r="A4964" t="s">
        <v>4968</v>
      </c>
      <c r="B4964">
        <v>0.99987803227770999</v>
      </c>
      <c r="C4964">
        <v>0.97520984657572896</v>
      </c>
      <c r="D4964">
        <v>1.0139155454078901</v>
      </c>
      <c r="E4964">
        <v>0.78696658534123498</v>
      </c>
      <c r="F4964">
        <v>0.53558771142328598</v>
      </c>
      <c r="G4964">
        <v>0.32694799519703899</v>
      </c>
      <c r="H4964">
        <v>0.25923174882157102</v>
      </c>
      <c r="I4964">
        <v>0.243125241641032</v>
      </c>
      <c r="J4964">
        <v>0.245534690183109</v>
      </c>
      <c r="K4964">
        <v>0.22076809932014599</v>
      </c>
      <c r="L4964">
        <v>1284.4197604359399</v>
      </c>
      <c r="M4964">
        <v>24.665026504401499</v>
      </c>
      <c r="N4964">
        <v>53.456882573049903</v>
      </c>
      <c r="O4964">
        <v>51.735870497464902</v>
      </c>
      <c r="P4964">
        <v>-9.1087158959034895E-2</v>
      </c>
      <c r="Q4964">
        <v>0.23577546647432701</v>
      </c>
      <c r="R4964">
        <v>0.99744319155275896</v>
      </c>
      <c r="S4964" t="s">
        <v>11275</v>
      </c>
      <c r="T4964" t="s">
        <v>12620</v>
      </c>
      <c r="U4964" t="s">
        <v>12620</v>
      </c>
      <c r="V4964" t="s">
        <v>12620</v>
      </c>
      <c r="W4964" t="s">
        <v>17528</v>
      </c>
      <c r="X4964">
        <v>20</v>
      </c>
      <c r="Y4964" t="s">
        <v>23634</v>
      </c>
      <c r="Z4964" t="s">
        <v>29911</v>
      </c>
      <c r="AA4964">
        <v>0.55052864986163175</v>
      </c>
      <c r="AB4964" t="str">
        <f>HYPERLINK("Melting_Curves/meltCurve_Q99961_SH3GL1.pdf", "Melting_Curves/meltCurve_Q99961_SH3GL1.pdf")</f>
        <v>Melting_Curves/meltCurve_Q99961_SH3GL1.pdf</v>
      </c>
    </row>
    <row r="4965" spans="1:28" x14ac:dyDescent="0.25">
      <c r="A4965" t="s">
        <v>4969</v>
      </c>
      <c r="B4965">
        <v>0.99987803227770999</v>
      </c>
      <c r="C4965">
        <v>0.83663594017089604</v>
      </c>
      <c r="D4965">
        <v>0.54347273668764196</v>
      </c>
      <c r="E4965">
        <v>0.29619280365085698</v>
      </c>
      <c r="F4965">
        <v>0.235898505117728</v>
      </c>
      <c r="G4965">
        <v>0.154005036636577</v>
      </c>
      <c r="H4965">
        <v>0.13672112818127799</v>
      </c>
      <c r="I4965">
        <v>0.12884563840027299</v>
      </c>
      <c r="J4965">
        <v>0.10070859692003201</v>
      </c>
      <c r="K4965">
        <v>7.9309068274218603E-2</v>
      </c>
      <c r="L4965">
        <v>837.98585300192099</v>
      </c>
      <c r="M4965">
        <v>18.130110857753401</v>
      </c>
      <c r="N4965">
        <v>46.900204740204501</v>
      </c>
      <c r="O4965">
        <v>45.669352157361303</v>
      </c>
      <c r="P4965">
        <v>-8.7786944539593001E-2</v>
      </c>
      <c r="Q4965">
        <v>0.115508859545725</v>
      </c>
      <c r="R4965">
        <v>0.99238976404239998</v>
      </c>
      <c r="S4965" t="s">
        <v>11276</v>
      </c>
      <c r="T4965" t="s">
        <v>12620</v>
      </c>
      <c r="U4965" t="s">
        <v>12620</v>
      </c>
      <c r="V4965" t="s">
        <v>12620</v>
      </c>
      <c r="W4965" t="s">
        <v>17529</v>
      </c>
      <c r="X4965">
        <v>3</v>
      </c>
      <c r="Y4965" t="s">
        <v>23635</v>
      </c>
      <c r="Z4965" t="s">
        <v>29912</v>
      </c>
      <c r="AA4965">
        <v>0.3157269727698237</v>
      </c>
      <c r="AB4965" t="str">
        <f>HYPERLINK("Melting_Curves/meltCurve_Q99986_VRK1.pdf", "Melting_Curves/meltCurve_Q99986_VRK1.pdf")</f>
        <v>Melting_Curves/meltCurve_Q99986_VRK1.pdf</v>
      </c>
    </row>
    <row r="4966" spans="1:28" x14ac:dyDescent="0.25">
      <c r="A4966" t="s">
        <v>4970</v>
      </c>
      <c r="B4966">
        <v>0.99987803227770999</v>
      </c>
      <c r="C4966">
        <v>1.09490271667513</v>
      </c>
      <c r="D4966">
        <v>0.76032734321536499</v>
      </c>
      <c r="E4966">
        <v>0.78374038834172399</v>
      </c>
      <c r="F4966">
        <v>0.54339017075498497</v>
      </c>
      <c r="G4966">
        <v>0.47152722884190501</v>
      </c>
      <c r="H4966">
        <v>0.39776388470269097</v>
      </c>
      <c r="I4966">
        <v>0.33395483622892602</v>
      </c>
      <c r="J4966">
        <v>0.28188415241651499</v>
      </c>
      <c r="K4966">
        <v>0.240003541266435</v>
      </c>
      <c r="L4966">
        <v>607.85689527343197</v>
      </c>
      <c r="M4966">
        <v>11.5424829863141</v>
      </c>
      <c r="N4966">
        <v>55.6236490716189</v>
      </c>
      <c r="O4966">
        <v>51.156282288702698</v>
      </c>
      <c r="P4966">
        <v>-4.3472697390863797E-2</v>
      </c>
      <c r="Q4966">
        <v>0.22953193815655401</v>
      </c>
      <c r="R4966">
        <v>0.94561311026816097</v>
      </c>
      <c r="S4966" t="s">
        <v>11277</v>
      </c>
      <c r="T4966" t="s">
        <v>12620</v>
      </c>
      <c r="U4966" t="s">
        <v>12620</v>
      </c>
      <c r="V4966" t="s">
        <v>12620</v>
      </c>
      <c r="W4966" t="s">
        <v>17530</v>
      </c>
      <c r="X4966">
        <v>20</v>
      </c>
      <c r="Y4966" t="s">
        <v>23636</v>
      </c>
      <c r="Z4966" t="s">
        <v>29913</v>
      </c>
      <c r="AA4966">
        <v>0.57827261974148836</v>
      </c>
      <c r="AB4966" t="str">
        <f>HYPERLINK("Melting_Curves/meltCurve_Q99996_5_AKAP9.pdf", "Melting_Curves/meltCurve_Q99996_5_AKAP9.pdf")</f>
        <v>Melting_Curves/meltCurve_Q99996_5_AKAP9.pdf</v>
      </c>
    </row>
    <row r="4967" spans="1:28" x14ac:dyDescent="0.25">
      <c r="A4967" t="s">
        <v>4971</v>
      </c>
      <c r="B4967">
        <v>0.99987803227770999</v>
      </c>
      <c r="C4967">
        <v>1.12490012332691</v>
      </c>
      <c r="D4967">
        <v>0.90886350716033804</v>
      </c>
      <c r="E4967">
        <v>0.89612459578072301</v>
      </c>
      <c r="F4967">
        <v>0.39110441788392603</v>
      </c>
      <c r="G4967">
        <v>0.21152287728785699</v>
      </c>
      <c r="H4967">
        <v>0.15492183831171299</v>
      </c>
      <c r="I4967">
        <v>0.10280823482073199</v>
      </c>
      <c r="J4967">
        <v>7.2855173895997605E-2</v>
      </c>
      <c r="K4967">
        <v>4.8727151897053601E-2</v>
      </c>
      <c r="L4967">
        <v>2088.4168315265802</v>
      </c>
      <c r="M4967">
        <v>40.039118936390203</v>
      </c>
      <c r="N4967">
        <v>52.480505196231398</v>
      </c>
      <c r="O4967">
        <v>52.029811730161001</v>
      </c>
      <c r="P4967">
        <v>-0.171485536859038</v>
      </c>
      <c r="Q4967">
        <v>0.10863766398873</v>
      </c>
      <c r="R4967">
        <v>0.97843051303344897</v>
      </c>
      <c r="S4967" t="s">
        <v>11278</v>
      </c>
      <c r="T4967" t="s">
        <v>12620</v>
      </c>
      <c r="U4967" t="s">
        <v>12620</v>
      </c>
      <c r="V4967" t="s">
        <v>12620</v>
      </c>
      <c r="W4967" t="s">
        <v>17531</v>
      </c>
      <c r="X4967">
        <v>17</v>
      </c>
      <c r="Y4967" t="s">
        <v>23637</v>
      </c>
      <c r="Z4967" t="s">
        <v>29914</v>
      </c>
      <c r="AA4967">
        <v>0.47312466713883572</v>
      </c>
      <c r="AB4967" t="str">
        <f>HYPERLINK("Melting_Curves/meltCurve_Q9BPU6_DPYSL5.pdf", "Melting_Curves/meltCurve_Q9BPU6_DPYSL5.pdf")</f>
        <v>Melting_Curves/meltCurve_Q9BPU6_DPYSL5.pdf</v>
      </c>
    </row>
    <row r="4968" spans="1:28" x14ac:dyDescent="0.25">
      <c r="A4968" t="s">
        <v>4972</v>
      </c>
      <c r="B4968">
        <v>0.99987803227770999</v>
      </c>
      <c r="C4968">
        <v>1.14303954520245</v>
      </c>
      <c r="D4968">
        <v>0.80600756500608095</v>
      </c>
      <c r="E4968">
        <v>0.44213878993023698</v>
      </c>
      <c r="F4968">
        <v>0.25528446775252001</v>
      </c>
      <c r="G4968">
        <v>0.16616693128309101</v>
      </c>
      <c r="H4968">
        <v>0.13189877775786699</v>
      </c>
      <c r="I4968">
        <v>0.13922330872960301</v>
      </c>
      <c r="J4968">
        <v>7.9143062227483102E-2</v>
      </c>
      <c r="K4968">
        <v>6.00708613459024E-2</v>
      </c>
      <c r="L4968">
        <v>1190.8360008683601</v>
      </c>
      <c r="M4968">
        <v>24.283927040723999</v>
      </c>
      <c r="N4968">
        <v>49.538655197244402</v>
      </c>
      <c r="O4968">
        <v>48.709119146993402</v>
      </c>
      <c r="P4968">
        <v>-0.11107786187711501</v>
      </c>
      <c r="Q4968">
        <v>0.108805893057468</v>
      </c>
      <c r="R4968">
        <v>0.97571180043344197</v>
      </c>
      <c r="S4968" t="s">
        <v>11279</v>
      </c>
      <c r="T4968" t="s">
        <v>12620</v>
      </c>
      <c r="U4968" t="s">
        <v>12620</v>
      </c>
      <c r="V4968" t="s">
        <v>12620</v>
      </c>
      <c r="W4968" t="s">
        <v>17532</v>
      </c>
      <c r="X4968">
        <v>7</v>
      </c>
      <c r="Y4968" t="s">
        <v>23638</v>
      </c>
      <c r="Z4968" t="s">
        <v>29915</v>
      </c>
      <c r="AA4968">
        <v>0.38568006338942701</v>
      </c>
      <c r="AB4968" t="str">
        <f>HYPERLINK("Melting_Curves/meltCurve_Q9BPW8_NIPSNAP1.pdf", "Melting_Curves/meltCurve_Q9BPW8_NIPSNAP1.pdf")</f>
        <v>Melting_Curves/meltCurve_Q9BPW8_NIPSNAP1.pdf</v>
      </c>
    </row>
    <row r="4969" spans="1:28" x14ac:dyDescent="0.25">
      <c r="A4969" t="s">
        <v>4973</v>
      </c>
      <c r="B4969">
        <v>0.99987803227770999</v>
      </c>
      <c r="C4969">
        <v>1.0079705412111</v>
      </c>
      <c r="D4969">
        <v>0.64908766448149602</v>
      </c>
      <c r="E4969">
        <v>0.46599661236199702</v>
      </c>
      <c r="F4969">
        <v>0.227869518895603</v>
      </c>
      <c r="G4969">
        <v>0.14997373908414599</v>
      </c>
      <c r="H4969">
        <v>8.7898048341537902E-2</v>
      </c>
      <c r="I4969">
        <v>7.0779107705286101E-2</v>
      </c>
      <c r="J4969">
        <v>5.6694537422144399E-2</v>
      </c>
      <c r="K4969">
        <v>3.6560315572944799E-2</v>
      </c>
      <c r="L4969">
        <v>808.09860060474102</v>
      </c>
      <c r="M4969">
        <v>16.595680773188001</v>
      </c>
      <c r="N4969">
        <v>49.008162467120002</v>
      </c>
      <c r="O4969">
        <v>48.002768281043103</v>
      </c>
      <c r="P4969">
        <v>-8.2065955399156107E-2</v>
      </c>
      <c r="Q4969">
        <v>5.05661174074057E-2</v>
      </c>
      <c r="R4969">
        <v>0.98381731087703705</v>
      </c>
      <c r="S4969" t="s">
        <v>11280</v>
      </c>
      <c r="T4969" t="s">
        <v>12620</v>
      </c>
      <c r="U4969" t="s">
        <v>12620</v>
      </c>
      <c r="V4969" t="s">
        <v>12620</v>
      </c>
      <c r="W4969" t="s">
        <v>17533</v>
      </c>
      <c r="X4969">
        <v>23</v>
      </c>
      <c r="Y4969" t="s">
        <v>23639</v>
      </c>
      <c r="Z4969" t="s">
        <v>29916</v>
      </c>
      <c r="AA4969">
        <v>0.34516158281366022</v>
      </c>
      <c r="AB4969" t="str">
        <f>HYPERLINK("Melting_Curves/meltCurve_Q9BPX3_NCAPG.pdf", "Melting_Curves/meltCurve_Q9BPX3_NCAPG.pdf")</f>
        <v>Melting_Curves/meltCurve_Q9BPX3_NCAPG.pdf</v>
      </c>
    </row>
    <row r="4970" spans="1:28" x14ac:dyDescent="0.25">
      <c r="A4970" t="s">
        <v>4974</v>
      </c>
      <c r="B4970">
        <v>0.99987803227770999</v>
      </c>
      <c r="C4970">
        <v>1.0551791715428001</v>
      </c>
      <c r="D4970">
        <v>1.0251353684495901</v>
      </c>
      <c r="E4970">
        <v>1.1419152585343999</v>
      </c>
      <c r="F4970">
        <v>0.981674026712546</v>
      </c>
      <c r="G4970">
        <v>0.82654683487938596</v>
      </c>
      <c r="H4970">
        <v>0.58705037631355905</v>
      </c>
      <c r="I4970">
        <v>0.31726652293964802</v>
      </c>
      <c r="J4970">
        <v>0.17270358073890499</v>
      </c>
      <c r="K4970">
        <v>0.124394756941971</v>
      </c>
      <c r="L4970">
        <v>1411.8401260283899</v>
      </c>
      <c r="M4970">
        <v>23.010996880296499</v>
      </c>
      <c r="N4970">
        <v>61.726858832338202</v>
      </c>
      <c r="O4970">
        <v>60.897280469240101</v>
      </c>
      <c r="P4970">
        <v>-8.83543650376237E-2</v>
      </c>
      <c r="Q4970">
        <v>6.4718468815026894E-2</v>
      </c>
      <c r="R4970">
        <v>0.98009077657082899</v>
      </c>
      <c r="S4970" t="s">
        <v>11281</v>
      </c>
      <c r="T4970" t="s">
        <v>12620</v>
      </c>
      <c r="U4970" t="s">
        <v>12620</v>
      </c>
      <c r="V4970" t="s">
        <v>12620</v>
      </c>
      <c r="W4970" t="s">
        <v>17534</v>
      </c>
      <c r="X4970">
        <v>7</v>
      </c>
      <c r="Y4970" t="s">
        <v>23640</v>
      </c>
      <c r="Z4970" t="s">
        <v>29917</v>
      </c>
      <c r="AA4970">
        <v>0.73583175857803718</v>
      </c>
      <c r="AB4970" t="str">
        <f>HYPERLINK("Melting_Curves/meltCurve_Q9BPX5_ARPC5L.pdf", "Melting_Curves/meltCurve_Q9BPX5_ARPC5L.pdf")</f>
        <v>Melting_Curves/meltCurve_Q9BPX5_ARPC5L.pdf</v>
      </c>
    </row>
    <row r="4971" spans="1:28" x14ac:dyDescent="0.25">
      <c r="A4971" t="s">
        <v>4975</v>
      </c>
      <c r="B4971">
        <v>0.99987803227770999</v>
      </c>
      <c r="C4971">
        <v>0.81448638642558102</v>
      </c>
      <c r="D4971">
        <v>0.80136866211033797</v>
      </c>
      <c r="E4971">
        <v>0.71447012899999296</v>
      </c>
      <c r="F4971">
        <v>0.70189033779388899</v>
      </c>
      <c r="G4971">
        <v>0.50461369680717205</v>
      </c>
      <c r="H4971">
        <v>0.52336343369137395</v>
      </c>
      <c r="I4971">
        <v>0.43443290843576499</v>
      </c>
      <c r="J4971">
        <v>0.60707075973122604</v>
      </c>
      <c r="K4971">
        <v>0.52013814999513297</v>
      </c>
      <c r="L4971">
        <v>490.04936096176903</v>
      </c>
      <c r="M4971">
        <v>10.176686065250101</v>
      </c>
      <c r="O4971">
        <v>46.405753018552304</v>
      </c>
      <c r="P4971">
        <v>-2.8216551261043301E-2</v>
      </c>
      <c r="Q4971">
        <v>0.485563386130691</v>
      </c>
      <c r="R4971">
        <v>0.87272683671954798</v>
      </c>
      <c r="S4971" t="s">
        <v>11282</v>
      </c>
      <c r="T4971" t="s">
        <v>12620</v>
      </c>
      <c r="U4971" t="s">
        <v>12620</v>
      </c>
      <c r="V4971" t="s">
        <v>12620</v>
      </c>
      <c r="W4971" t="s">
        <v>17535</v>
      </c>
      <c r="X4971">
        <v>3</v>
      </c>
      <c r="Y4971" t="s">
        <v>23641</v>
      </c>
      <c r="Z4971" t="s">
        <v>29918</v>
      </c>
      <c r="AA4971">
        <v>0.65158491502619853</v>
      </c>
      <c r="AB4971" t="str">
        <f>HYPERLINK("Melting_Curves/meltCurve_Q9BPX6_2_MICU1.pdf", "Melting_Curves/meltCurve_Q9BPX6_2_MICU1.pdf")</f>
        <v>Melting_Curves/meltCurve_Q9BPX6_2_MICU1.pdf</v>
      </c>
    </row>
    <row r="4972" spans="1:28" x14ac:dyDescent="0.25">
      <c r="A4972" t="s">
        <v>4976</v>
      </c>
      <c r="B4972">
        <v>0.99987803227770999</v>
      </c>
      <c r="C4972">
        <v>0.95750512503503105</v>
      </c>
      <c r="D4972">
        <v>0.83927149148055602</v>
      </c>
      <c r="E4972">
        <v>0.43720909686756199</v>
      </c>
      <c r="F4972">
        <v>0.23099168022719199</v>
      </c>
      <c r="G4972">
        <v>0.22476596256924999</v>
      </c>
      <c r="H4972">
        <v>0.19644172333641699</v>
      </c>
      <c r="I4972">
        <v>0.12926617662064699</v>
      </c>
      <c r="J4972">
        <v>9.4299674670614994E-2</v>
      </c>
      <c r="K4972">
        <v>5.1613430138399898E-2</v>
      </c>
      <c r="L4972">
        <v>1081.9313396760101</v>
      </c>
      <c r="M4972">
        <v>22.157262812628101</v>
      </c>
      <c r="N4972">
        <v>49.460861071337803</v>
      </c>
      <c r="O4972">
        <v>48.437140072788203</v>
      </c>
      <c r="P4972">
        <v>-0.100279287799717</v>
      </c>
      <c r="Q4972">
        <v>0.123152535737991</v>
      </c>
      <c r="R4972">
        <v>0.98747661696982103</v>
      </c>
      <c r="S4972" t="s">
        <v>11283</v>
      </c>
      <c r="T4972" t="s">
        <v>12620</v>
      </c>
      <c r="U4972" t="s">
        <v>12620</v>
      </c>
      <c r="V4972" t="s">
        <v>12620</v>
      </c>
      <c r="W4972" t="s">
        <v>17536</v>
      </c>
      <c r="X4972">
        <v>3</v>
      </c>
      <c r="Y4972" t="s">
        <v>23642</v>
      </c>
      <c r="Z4972" t="s">
        <v>29919</v>
      </c>
      <c r="AA4972">
        <v>0.39119275879331589</v>
      </c>
      <c r="AB4972" t="str">
        <f>HYPERLINK("Melting_Curves/meltCurve_Q9BPX7_C7orf25.pdf", "Melting_Curves/meltCurve_Q9BPX7_C7orf25.pdf")</f>
        <v>Melting_Curves/meltCurve_Q9BPX7_C7orf25.pdf</v>
      </c>
    </row>
    <row r="4973" spans="1:28" x14ac:dyDescent="0.25">
      <c r="A4973" t="s">
        <v>4977</v>
      </c>
      <c r="B4973">
        <v>0.99987803227770999</v>
      </c>
      <c r="C4973">
        <v>1.0438862908128901</v>
      </c>
      <c r="D4973">
        <v>1.0341278295432901</v>
      </c>
      <c r="E4973">
        <v>0.96068948393241904</v>
      </c>
      <c r="F4973">
        <v>0.67458485442916505</v>
      </c>
      <c r="G4973">
        <v>0.47230376183831602</v>
      </c>
      <c r="H4973">
        <v>0.39631934545070202</v>
      </c>
      <c r="I4973">
        <v>0.45533325035458699</v>
      </c>
      <c r="J4973">
        <v>0.31806629588385099</v>
      </c>
      <c r="K4973">
        <v>0.26248190045226399</v>
      </c>
      <c r="L4973">
        <v>1450.42481810254</v>
      </c>
      <c r="M4973">
        <v>27.120529676849699</v>
      </c>
      <c r="N4973">
        <v>55.9733332756065</v>
      </c>
      <c r="O4973">
        <v>53.192455393898904</v>
      </c>
      <c r="P4973">
        <v>-8.2780553611309399E-2</v>
      </c>
      <c r="Q4973">
        <v>0.35056452350364498</v>
      </c>
      <c r="R4973">
        <v>0.97038142718464904</v>
      </c>
      <c r="S4973" t="s">
        <v>11284</v>
      </c>
      <c r="T4973" t="s">
        <v>12620</v>
      </c>
      <c r="U4973" t="s">
        <v>12620</v>
      </c>
      <c r="V4973" t="s">
        <v>12620</v>
      </c>
      <c r="W4973" t="s">
        <v>17537</v>
      </c>
      <c r="X4973">
        <v>2</v>
      </c>
      <c r="Y4973" t="s">
        <v>23643</v>
      </c>
      <c r="Z4973" t="s">
        <v>29920</v>
      </c>
      <c r="AA4973">
        <v>0.64753994139528548</v>
      </c>
      <c r="AB4973" t="str">
        <f>HYPERLINK("Melting_Curves/meltCurve_Q9BPZ3_PAIP2.pdf", "Melting_Curves/meltCurve_Q9BPZ3_PAIP2.pdf")</f>
        <v>Melting_Curves/meltCurve_Q9BPZ3_PAIP2.pdf</v>
      </c>
    </row>
    <row r="4974" spans="1:28" x14ac:dyDescent="0.25">
      <c r="A4974" t="s">
        <v>4978</v>
      </c>
      <c r="B4974">
        <v>0.99987803227770999</v>
      </c>
      <c r="C4974">
        <v>0.77881962288748097</v>
      </c>
      <c r="D4974">
        <v>0.85213708706656799</v>
      </c>
      <c r="E4974">
        <v>0.58236852909961401</v>
      </c>
      <c r="F4974">
        <v>0.41671111459146998</v>
      </c>
      <c r="G4974">
        <v>0.22344925603812299</v>
      </c>
      <c r="H4974">
        <v>0.18654064487547001</v>
      </c>
      <c r="I4974">
        <v>0.157502421871968</v>
      </c>
      <c r="J4974">
        <v>0.14315753320320199</v>
      </c>
      <c r="K4974">
        <v>9.1910849878429998E-2</v>
      </c>
      <c r="L4974">
        <v>595.99869547381297</v>
      </c>
      <c r="M4974">
        <v>11.768846128998</v>
      </c>
      <c r="N4974">
        <v>51.308847399842001</v>
      </c>
      <c r="O4974">
        <v>49.246275088156402</v>
      </c>
      <c r="P4974">
        <v>-5.5522809044735499E-2</v>
      </c>
      <c r="Q4974">
        <v>7.0909879265866005E-2</v>
      </c>
      <c r="R4974">
        <v>0.97627526355305905</v>
      </c>
      <c r="S4974" t="s">
        <v>11285</v>
      </c>
      <c r="T4974" t="s">
        <v>12620</v>
      </c>
      <c r="U4974" t="s">
        <v>12620</v>
      </c>
      <c r="V4974" t="s">
        <v>12620</v>
      </c>
      <c r="W4974" t="s">
        <v>17538</v>
      </c>
      <c r="X4974">
        <v>4</v>
      </c>
      <c r="Y4974" t="s">
        <v>23644</v>
      </c>
      <c r="Z4974" t="s">
        <v>29921</v>
      </c>
      <c r="AA4974">
        <v>0.43235153435526491</v>
      </c>
      <c r="AB4974" t="str">
        <f>HYPERLINK("Melting_Curves/meltCurve_Q9BQ24_ZFYVE21.pdf", "Melting_Curves/meltCurve_Q9BQ24_ZFYVE21.pdf")</f>
        <v>Melting_Curves/meltCurve_Q9BQ24_ZFYVE21.pdf</v>
      </c>
    </row>
    <row r="4975" spans="1:28" x14ac:dyDescent="0.25">
      <c r="A4975" t="s">
        <v>4979</v>
      </c>
      <c r="B4975">
        <v>0.99987803227770999</v>
      </c>
      <c r="C4975">
        <v>0.82412160209175001</v>
      </c>
      <c r="D4975">
        <v>0.88763434388554396</v>
      </c>
      <c r="E4975">
        <v>0.73160148758173305</v>
      </c>
      <c r="F4975">
        <v>0.87232792409557003</v>
      </c>
      <c r="G4975">
        <v>0.60821569812578102</v>
      </c>
      <c r="H4975">
        <v>0.70952510598319096</v>
      </c>
      <c r="I4975">
        <v>0.64146178060310199</v>
      </c>
      <c r="J4975">
        <v>0.68289224952054495</v>
      </c>
      <c r="K4975">
        <v>0.57517446599115396</v>
      </c>
      <c r="L4975">
        <v>320.08379552770202</v>
      </c>
      <c r="M4975">
        <v>6.1678984203385001</v>
      </c>
      <c r="O4975">
        <v>47.235858896889297</v>
      </c>
      <c r="P4975">
        <v>-1.5065926703655599E-2</v>
      </c>
      <c r="Q4975">
        <v>0.53983019195306203</v>
      </c>
      <c r="R4975">
        <v>0.73771805783681799</v>
      </c>
      <c r="S4975" t="s">
        <v>11286</v>
      </c>
      <c r="T4975" t="s">
        <v>12620</v>
      </c>
      <c r="U4975" t="s">
        <v>12620</v>
      </c>
      <c r="V4975" t="s">
        <v>12620</v>
      </c>
      <c r="W4975" t="s">
        <v>17539</v>
      </c>
      <c r="X4975">
        <v>3</v>
      </c>
      <c r="Y4975" t="s">
        <v>23645</v>
      </c>
      <c r="Z4975" t="s">
        <v>29922</v>
      </c>
      <c r="AA4975">
        <v>0.74907348955955444</v>
      </c>
      <c r="AB4975" t="str">
        <f>HYPERLINK("Melting_Curves/meltCurve_Q9BQ39_DDX50.pdf", "Melting_Curves/meltCurve_Q9BQ39_DDX50.pdf")</f>
        <v>Melting_Curves/meltCurve_Q9BQ39_DDX50.pdf</v>
      </c>
    </row>
    <row r="4976" spans="1:28" x14ac:dyDescent="0.25">
      <c r="A4976" t="s">
        <v>4980</v>
      </c>
      <c r="B4976">
        <v>0.99987803227770999</v>
      </c>
      <c r="C4976">
        <v>1.15897055064341</v>
      </c>
      <c r="D4976">
        <v>0.96116329948012902</v>
      </c>
      <c r="E4976">
        <v>1.1263441032461701</v>
      </c>
      <c r="F4976">
        <v>0.85563008553064102</v>
      </c>
      <c r="G4976">
        <v>0.72776939751430003</v>
      </c>
      <c r="H4976">
        <v>0.72779313726032102</v>
      </c>
      <c r="I4976">
        <v>0.54850524461978201</v>
      </c>
      <c r="J4976">
        <v>0.24168793130073199</v>
      </c>
      <c r="K4976">
        <v>8.4321265702709605E-2</v>
      </c>
      <c r="L4976">
        <v>1047.9012742268701</v>
      </c>
      <c r="M4976">
        <v>16.548356484238202</v>
      </c>
      <c r="N4976">
        <v>63.323586197931903</v>
      </c>
      <c r="O4976">
        <v>62.420545582163598</v>
      </c>
      <c r="P4976">
        <v>-6.6282236617698706E-2</v>
      </c>
      <c r="Q4976">
        <v>0</v>
      </c>
      <c r="R4976">
        <v>0.91532900530961903</v>
      </c>
      <c r="S4976" t="s">
        <v>11287</v>
      </c>
      <c r="T4976" t="s">
        <v>12620</v>
      </c>
      <c r="U4976" t="s">
        <v>12620</v>
      </c>
      <c r="V4976" t="s">
        <v>12620</v>
      </c>
      <c r="W4976" t="s">
        <v>17540</v>
      </c>
      <c r="X4976">
        <v>34</v>
      </c>
      <c r="Y4976" t="s">
        <v>23646</v>
      </c>
      <c r="Z4976" t="s">
        <v>29923</v>
      </c>
      <c r="AA4976">
        <v>0.76974817238254312</v>
      </c>
      <c r="AB4976" t="str">
        <f>HYPERLINK("Melting_Curves/meltCurve_Q9BQ52_ELAC2.pdf", "Melting_Curves/meltCurve_Q9BQ52_ELAC2.pdf")</f>
        <v>Melting_Curves/meltCurve_Q9BQ52_ELAC2.pdf</v>
      </c>
    </row>
    <row r="4977" spans="1:28" x14ac:dyDescent="0.25">
      <c r="A4977" t="s">
        <v>4981</v>
      </c>
      <c r="B4977">
        <v>0.99987803227770999</v>
      </c>
      <c r="C4977">
        <v>0.79428748022067797</v>
      </c>
      <c r="D4977">
        <v>1.02208158511785</v>
      </c>
      <c r="E4977">
        <v>0.80741783701310199</v>
      </c>
      <c r="F4977">
        <v>1.1474243480150299</v>
      </c>
      <c r="G4977">
        <v>0.83748323725301799</v>
      </c>
      <c r="H4977">
        <v>0.96440934505699505</v>
      </c>
      <c r="I4977">
        <v>1.0419074169214699</v>
      </c>
      <c r="J4977">
        <v>1.0802937597370399</v>
      </c>
      <c r="K4977">
        <v>0.90742729983583803</v>
      </c>
      <c r="L4977">
        <v>24.322279549284598</v>
      </c>
      <c r="M4977">
        <v>19.983440681558999</v>
      </c>
      <c r="Q4977">
        <v>0.96026103228584103</v>
      </c>
      <c r="R4977">
        <v>-4.1077807821920903E-11</v>
      </c>
      <c r="S4977" t="s">
        <v>11288</v>
      </c>
      <c r="T4977" t="s">
        <v>12620</v>
      </c>
      <c r="U4977" t="s">
        <v>12620</v>
      </c>
      <c r="V4977" t="s">
        <v>12620</v>
      </c>
      <c r="W4977" t="s">
        <v>17541</v>
      </c>
      <c r="X4977">
        <v>11</v>
      </c>
      <c r="Y4977" t="s">
        <v>23647</v>
      </c>
      <c r="Z4977" t="s">
        <v>29924</v>
      </c>
      <c r="AA4977">
        <v>0.96026103241728755</v>
      </c>
      <c r="AB4977" t="str">
        <f>HYPERLINK("Melting_Curves/meltCurve_Q9BQ61_C19orf43.pdf", "Melting_Curves/meltCurve_Q9BQ61_C19orf43.pdf")</f>
        <v>Melting_Curves/meltCurve_Q9BQ61_C19orf43.pdf</v>
      </c>
    </row>
    <row r="4978" spans="1:28" x14ac:dyDescent="0.25">
      <c r="A4978" t="s">
        <v>4982</v>
      </c>
      <c r="B4978">
        <v>0.99987803227770999</v>
      </c>
      <c r="C4978">
        <v>1.1066048471419301</v>
      </c>
      <c r="D4978">
        <v>0.88452295890968402</v>
      </c>
      <c r="E4978">
        <v>0.70000273476421104</v>
      </c>
      <c r="F4978">
        <v>0.49095132162198502</v>
      </c>
      <c r="G4978">
        <v>0.27277026742149701</v>
      </c>
      <c r="H4978">
        <v>0.16124167453208699</v>
      </c>
      <c r="I4978">
        <v>0.108238561939619</v>
      </c>
      <c r="J4978">
        <v>7.8402552641485504E-2</v>
      </c>
      <c r="K4978">
        <v>5.0120160211251603E-2</v>
      </c>
      <c r="L4978">
        <v>848.13004677696597</v>
      </c>
      <c r="M4978">
        <v>16.132063810972401</v>
      </c>
      <c r="N4978">
        <v>52.939426290336698</v>
      </c>
      <c r="O4978">
        <v>51.786213089022603</v>
      </c>
      <c r="P4978">
        <v>-7.3782341138339702E-2</v>
      </c>
      <c r="Q4978">
        <v>5.2664824685545002E-2</v>
      </c>
      <c r="R4978">
        <v>0.98737148295962995</v>
      </c>
      <c r="S4978" t="s">
        <v>11289</v>
      </c>
      <c r="T4978" t="s">
        <v>12620</v>
      </c>
      <c r="U4978" t="s">
        <v>12620</v>
      </c>
      <c r="V4978" t="s">
        <v>12620</v>
      </c>
      <c r="W4978" t="s">
        <v>17542</v>
      </c>
      <c r="X4978">
        <v>5</v>
      </c>
      <c r="Y4978" t="s">
        <v>23648</v>
      </c>
      <c r="Z4978" t="s">
        <v>29925</v>
      </c>
      <c r="AA4978">
        <v>0.46833487743524532</v>
      </c>
      <c r="AB4978" t="str">
        <f>HYPERLINK("Melting_Curves/meltCurve_Q9BQ67_GRWD1.pdf", "Melting_Curves/meltCurve_Q9BQ67_GRWD1.pdf")</f>
        <v>Melting_Curves/meltCurve_Q9BQ67_GRWD1.pdf</v>
      </c>
    </row>
    <row r="4979" spans="1:28" x14ac:dyDescent="0.25">
      <c r="A4979" t="s">
        <v>4983</v>
      </c>
      <c r="B4979">
        <v>0.99987803227770999</v>
      </c>
      <c r="C4979">
        <v>0.92733651511887905</v>
      </c>
      <c r="D4979">
        <v>0.91904509516718702</v>
      </c>
      <c r="E4979">
        <v>0.52647695709042397</v>
      </c>
      <c r="F4979">
        <v>0.42426611065222303</v>
      </c>
      <c r="G4979">
        <v>0.23782240485617301</v>
      </c>
      <c r="H4979">
        <v>0.16335483660136399</v>
      </c>
      <c r="I4979">
        <v>0.12189489655725699</v>
      </c>
      <c r="J4979">
        <v>9.3665081457300403E-2</v>
      </c>
      <c r="K4979">
        <v>7.4535343413532101E-2</v>
      </c>
      <c r="L4979">
        <v>794.56283167415097</v>
      </c>
      <c r="M4979">
        <v>15.6469755683237</v>
      </c>
      <c r="N4979">
        <v>51.377358951183602</v>
      </c>
      <c r="O4979">
        <v>49.972853313022704</v>
      </c>
      <c r="P4979">
        <v>-7.1779302870880607E-2</v>
      </c>
      <c r="Q4979">
        <v>8.3091939241321605E-2</v>
      </c>
      <c r="R4979">
        <v>0.99011456225430705</v>
      </c>
      <c r="S4979" t="s">
        <v>11290</v>
      </c>
      <c r="T4979" t="s">
        <v>12620</v>
      </c>
      <c r="U4979" t="s">
        <v>12620</v>
      </c>
      <c r="V4979" t="s">
        <v>12620</v>
      </c>
      <c r="W4979" t="s">
        <v>17543</v>
      </c>
      <c r="X4979">
        <v>2</v>
      </c>
      <c r="Y4979" t="s">
        <v>23649</v>
      </c>
      <c r="Z4979" t="s">
        <v>29926</v>
      </c>
      <c r="AA4979">
        <v>0.43244122920163042</v>
      </c>
      <c r="AB4979" t="str">
        <f>HYPERLINK("Melting_Curves/meltCurve_Q9BQ69_MACROD1.pdf", "Melting_Curves/meltCurve_Q9BQ69_MACROD1.pdf")</f>
        <v>Melting_Curves/meltCurve_Q9BQ69_MACROD1.pdf</v>
      </c>
    </row>
    <row r="4980" spans="1:28" x14ac:dyDescent="0.25">
      <c r="A4980" t="s">
        <v>4984</v>
      </c>
      <c r="B4980">
        <v>0.99987803227770999</v>
      </c>
      <c r="C4980">
        <v>0.89242539477354199</v>
      </c>
      <c r="D4980">
        <v>0.95341728939290904</v>
      </c>
      <c r="E4980">
        <v>0.69832470524498302</v>
      </c>
      <c r="F4980">
        <v>0.67210728183747503</v>
      </c>
      <c r="G4980">
        <v>0.54365153761127505</v>
      </c>
      <c r="H4980">
        <v>0.54230258891176897</v>
      </c>
      <c r="I4980">
        <v>0.51848464035790598</v>
      </c>
      <c r="J4980">
        <v>0.47826229503742601</v>
      </c>
      <c r="K4980">
        <v>0.41657716245160797</v>
      </c>
      <c r="L4980">
        <v>608.19347363086604</v>
      </c>
      <c r="M4980">
        <v>11.9407194234863</v>
      </c>
      <c r="N4980">
        <v>62.134635299743202</v>
      </c>
      <c r="O4980">
        <v>49.568898989374702</v>
      </c>
      <c r="P4980">
        <v>-3.3618774269444998E-2</v>
      </c>
      <c r="Q4980">
        <v>0.44189764847638302</v>
      </c>
      <c r="R4980">
        <v>0.95800418089696404</v>
      </c>
      <c r="S4980" t="s">
        <v>11291</v>
      </c>
      <c r="T4980" t="s">
        <v>12620</v>
      </c>
      <c r="U4980" t="s">
        <v>12620</v>
      </c>
      <c r="V4980" t="s">
        <v>12620</v>
      </c>
      <c r="W4980" t="s">
        <v>17544</v>
      </c>
      <c r="X4980">
        <v>6</v>
      </c>
      <c r="Y4980" t="s">
        <v>23650</v>
      </c>
      <c r="Z4980" t="s">
        <v>29927</v>
      </c>
      <c r="AA4980">
        <v>0.66372047325162853</v>
      </c>
      <c r="AB4980" t="str">
        <f>HYPERLINK("Melting_Curves/meltCurve_Q9BQ70_TCF25.pdf", "Melting_Curves/meltCurve_Q9BQ70_TCF25.pdf")</f>
        <v>Melting_Curves/meltCurve_Q9BQ70_TCF25.pdf</v>
      </c>
    </row>
    <row r="4981" spans="1:28" x14ac:dyDescent="0.25">
      <c r="A4981" t="s">
        <v>4985</v>
      </c>
      <c r="B4981">
        <v>0.99987803227770999</v>
      </c>
      <c r="C4981">
        <v>1.08769616422566</v>
      </c>
      <c r="D4981">
        <v>0.83596100970572695</v>
      </c>
      <c r="E4981">
        <v>1.4461378975326</v>
      </c>
      <c r="F4981">
        <v>0.74370279076103296</v>
      </c>
      <c r="G4981">
        <v>0.246351707310795</v>
      </c>
      <c r="H4981">
        <v>0.13358778334272101</v>
      </c>
      <c r="I4981">
        <v>0.118666794974034</v>
      </c>
      <c r="J4981">
        <v>8.4884248681484795E-2</v>
      </c>
      <c r="K4981">
        <v>7.6925795072271999E-2</v>
      </c>
      <c r="L4981">
        <v>2818.62438423713</v>
      </c>
      <c r="M4981">
        <v>51.9512492197291</v>
      </c>
      <c r="N4981">
        <v>54.531179059763701</v>
      </c>
      <c r="O4981">
        <v>54.1749458354737</v>
      </c>
      <c r="P4981">
        <v>-0.21202314746746501</v>
      </c>
      <c r="Q4981">
        <v>0.115606335125076</v>
      </c>
      <c r="R4981">
        <v>0.88990581557842896</v>
      </c>
      <c r="S4981" t="s">
        <v>11292</v>
      </c>
      <c r="T4981" t="s">
        <v>12620</v>
      </c>
      <c r="U4981" t="s">
        <v>12620</v>
      </c>
      <c r="V4981" t="s">
        <v>12620</v>
      </c>
      <c r="W4981" t="s">
        <v>17545</v>
      </c>
      <c r="X4981">
        <v>7</v>
      </c>
      <c r="Y4981" t="s">
        <v>23651</v>
      </c>
      <c r="Z4981" t="s">
        <v>29928</v>
      </c>
      <c r="AA4981">
        <v>0.53780530928668024</v>
      </c>
      <c r="AB4981" t="str">
        <f>HYPERLINK("Melting_Curves/meltCurve_Q9BQA1_WDR77.pdf", "Melting_Curves/meltCurve_Q9BQA1_WDR77.pdf")</f>
        <v>Melting_Curves/meltCurve_Q9BQA1_WDR77.pdf</v>
      </c>
    </row>
    <row r="4982" spans="1:28" x14ac:dyDescent="0.25">
      <c r="A4982" t="s">
        <v>4986</v>
      </c>
      <c r="B4982">
        <v>0.99987803227770999</v>
      </c>
      <c r="C4982">
        <v>0.93827377876578699</v>
      </c>
      <c r="D4982">
        <v>0.97294190402285496</v>
      </c>
      <c r="E4982">
        <v>0.89410607384076701</v>
      </c>
      <c r="F4982">
        <v>0.83686953025681698</v>
      </c>
      <c r="G4982">
        <v>0.47933115121696102</v>
      </c>
      <c r="H4982">
        <v>0.233173785701873</v>
      </c>
      <c r="I4982">
        <v>0.10437578454277301</v>
      </c>
      <c r="J4982">
        <v>5.39163114046207E-2</v>
      </c>
      <c r="K4982">
        <v>3.9231844245975402E-2</v>
      </c>
      <c r="L4982">
        <v>1067.1831229371501</v>
      </c>
      <c r="M4982">
        <v>18.7470579704733</v>
      </c>
      <c r="N4982">
        <v>56.936317794361003</v>
      </c>
      <c r="O4982">
        <v>56.2895048034068</v>
      </c>
      <c r="P4982">
        <v>-8.3115421095439096E-2</v>
      </c>
      <c r="Q4982">
        <v>1.7997906996707099E-3</v>
      </c>
      <c r="R4982">
        <v>0.99550665337269495</v>
      </c>
      <c r="S4982" t="s">
        <v>11293</v>
      </c>
      <c r="T4982" t="s">
        <v>12620</v>
      </c>
      <c r="U4982" t="s">
        <v>12620</v>
      </c>
      <c r="V4982" t="s">
        <v>12620</v>
      </c>
      <c r="W4982" t="s">
        <v>17546</v>
      </c>
      <c r="X4982">
        <v>3</v>
      </c>
      <c r="Y4982" t="s">
        <v>23652</v>
      </c>
      <c r="Z4982" t="s">
        <v>29929</v>
      </c>
      <c r="AA4982">
        <v>0.57817737646412426</v>
      </c>
      <c r="AB4982" t="str">
        <f>HYPERLINK("Melting_Curves/meltCurve_Q9BQC3_DPH2.pdf", "Melting_Curves/meltCurve_Q9BQC3_DPH2.pdf")</f>
        <v>Melting_Curves/meltCurve_Q9BQC3_DPH2.pdf</v>
      </c>
    </row>
    <row r="4983" spans="1:28" x14ac:dyDescent="0.25">
      <c r="A4983" t="s">
        <v>4987</v>
      </c>
      <c r="B4983">
        <v>0.99987803227770999</v>
      </c>
      <c r="C4983">
        <v>0.81877457975059598</v>
      </c>
      <c r="D4983">
        <v>0.75156416914285196</v>
      </c>
      <c r="E4983">
        <v>0.71696895547703399</v>
      </c>
      <c r="F4983">
        <v>0.51662753986995102</v>
      </c>
      <c r="G4983">
        <v>0.34592888742908401</v>
      </c>
      <c r="H4983">
        <v>0.20060564589990099</v>
      </c>
      <c r="I4983">
        <v>0.144445850727416</v>
      </c>
      <c r="J4983">
        <v>8.44198422516685E-2</v>
      </c>
      <c r="K4983">
        <v>4.5300986349645002E-2</v>
      </c>
      <c r="L4983">
        <v>519.91835653869805</v>
      </c>
      <c r="M4983">
        <v>9.8186220009258491</v>
      </c>
      <c r="N4983">
        <v>52.952271746561699</v>
      </c>
      <c r="O4983">
        <v>50.895981875211397</v>
      </c>
      <c r="P4983">
        <v>-4.8254023042671401E-2</v>
      </c>
      <c r="Q4983">
        <v>0</v>
      </c>
      <c r="R4983">
        <v>0.97873059655272099</v>
      </c>
      <c r="S4983" t="s">
        <v>11294</v>
      </c>
      <c r="T4983" t="s">
        <v>12620</v>
      </c>
      <c r="U4983" t="s">
        <v>12620</v>
      </c>
      <c r="V4983" t="s">
        <v>12620</v>
      </c>
      <c r="W4983" t="s">
        <v>17547</v>
      </c>
      <c r="X4983">
        <v>24</v>
      </c>
      <c r="Y4983" t="s">
        <v>23653</v>
      </c>
      <c r="Z4983" t="s">
        <v>29930</v>
      </c>
      <c r="AA4983">
        <v>0.46670694886682562</v>
      </c>
      <c r="AB4983" t="str">
        <f>HYPERLINK("Melting_Curves/meltCurve_Q9BQE3_TUBA1C.pdf", "Melting_Curves/meltCurve_Q9BQE3_TUBA1C.pdf")</f>
        <v>Melting_Curves/meltCurve_Q9BQE3_TUBA1C.pdf</v>
      </c>
    </row>
    <row r="4984" spans="1:28" x14ac:dyDescent="0.25">
      <c r="A4984" t="s">
        <v>4988</v>
      </c>
      <c r="B4984">
        <v>0.99987803227770999</v>
      </c>
      <c r="C4984">
        <v>0.841062352569518</v>
      </c>
      <c r="D4984">
        <v>0.73536231386571305</v>
      </c>
      <c r="E4984">
        <v>0.51029670050586495</v>
      </c>
      <c r="F4984">
        <v>0.39455286321154598</v>
      </c>
      <c r="G4984">
        <v>0.202178908407493</v>
      </c>
      <c r="H4984">
        <v>0.197397068737863</v>
      </c>
      <c r="I4984">
        <v>0.16552684949864099</v>
      </c>
      <c r="J4984">
        <v>0.177901874439504</v>
      </c>
      <c r="K4984">
        <v>0.11932080891437601</v>
      </c>
      <c r="L4984">
        <v>622.72050068931003</v>
      </c>
      <c r="M4984">
        <v>12.6946936572214</v>
      </c>
      <c r="N4984">
        <v>50.138637238554999</v>
      </c>
      <c r="O4984">
        <v>47.8841395652843</v>
      </c>
      <c r="P4984">
        <v>-5.83289391293269E-2</v>
      </c>
      <c r="Q4984">
        <v>0.12010795521602299</v>
      </c>
      <c r="R4984">
        <v>0.99160514561325397</v>
      </c>
      <c r="S4984" t="s">
        <v>11295</v>
      </c>
      <c r="T4984" t="s">
        <v>12620</v>
      </c>
      <c r="U4984" t="s">
        <v>12620</v>
      </c>
      <c r="V4984" t="s">
        <v>12620</v>
      </c>
      <c r="W4984" t="s">
        <v>17548</v>
      </c>
      <c r="X4984">
        <v>4</v>
      </c>
      <c r="Y4984" t="s">
        <v>23654</v>
      </c>
      <c r="Z4984" t="s">
        <v>29931</v>
      </c>
      <c r="AA4984">
        <v>0.41493269243042241</v>
      </c>
      <c r="AB4984" t="str">
        <f>HYPERLINK("Melting_Curves/meltCurve_Q9BQE5_APOL2.pdf", "Melting_Curves/meltCurve_Q9BQE5_APOL2.pdf")</f>
        <v>Melting_Curves/meltCurve_Q9BQE5_APOL2.pdf</v>
      </c>
    </row>
    <row r="4985" spans="1:28" x14ac:dyDescent="0.25">
      <c r="A4985" t="s">
        <v>4989</v>
      </c>
      <c r="B4985">
        <v>0.99987803227770999</v>
      </c>
      <c r="C4985">
        <v>0.827007414639919</v>
      </c>
      <c r="D4985">
        <v>1.1168794319528901</v>
      </c>
      <c r="E4985">
        <v>0.72037086712640097</v>
      </c>
      <c r="F4985">
        <v>0.57388204132337495</v>
      </c>
      <c r="G4985">
        <v>0.47181729279345902</v>
      </c>
      <c r="H4985">
        <v>0.43757675417701702</v>
      </c>
      <c r="I4985">
        <v>0.44468915534604198</v>
      </c>
      <c r="J4985">
        <v>0.51008534859707899</v>
      </c>
      <c r="K4985">
        <v>0.33035145377909902</v>
      </c>
      <c r="L4985">
        <v>1672.0022154573901</v>
      </c>
      <c r="M4985">
        <v>33.125981131167201</v>
      </c>
      <c r="N4985">
        <v>53.912551481344202</v>
      </c>
      <c r="O4985">
        <v>50.291169465571699</v>
      </c>
      <c r="P4985">
        <v>-9.2290695723736896E-2</v>
      </c>
      <c r="Q4985">
        <v>0.43954731807567998</v>
      </c>
      <c r="R4985">
        <v>0.88892483014455304</v>
      </c>
      <c r="S4985" t="s">
        <v>11296</v>
      </c>
      <c r="T4985" t="s">
        <v>12620</v>
      </c>
      <c r="U4985" t="s">
        <v>12620</v>
      </c>
      <c r="V4985" t="s">
        <v>12620</v>
      </c>
      <c r="W4985" t="s">
        <v>17549</v>
      </c>
      <c r="X4985">
        <v>1</v>
      </c>
      <c r="Y4985" t="s">
        <v>23655</v>
      </c>
      <c r="Z4985" t="s">
        <v>29932</v>
      </c>
      <c r="AA4985">
        <v>0.63808161216855763</v>
      </c>
      <c r="AB4985" t="str">
        <f>HYPERLINK("Melting_Curves/meltCurve_Q9BQE6_2_C11orf48.pdf", "Melting_Curves/meltCurve_Q9BQE6_2_C11orf48.pdf")</f>
        <v>Melting_Curves/meltCurve_Q9BQE6_2_C11orf48.pdf</v>
      </c>
    </row>
    <row r="4986" spans="1:28" x14ac:dyDescent="0.25">
      <c r="A4986" t="s">
        <v>4990</v>
      </c>
      <c r="B4986">
        <v>0.99987803227770999</v>
      </c>
      <c r="C4986">
        <v>0.99638142582326406</v>
      </c>
      <c r="D4986">
        <v>0.95307807433941505</v>
      </c>
      <c r="E4986">
        <v>0.95224862111750097</v>
      </c>
      <c r="F4986">
        <v>0.78332229642162499</v>
      </c>
      <c r="G4986">
        <v>0.74199501718654803</v>
      </c>
      <c r="H4986">
        <v>0.68212185867753194</v>
      </c>
      <c r="I4986">
        <v>0.751443360879955</v>
      </c>
      <c r="J4986">
        <v>0.60733122355387903</v>
      </c>
      <c r="K4986">
        <v>0.46050979187465402</v>
      </c>
      <c r="L4986">
        <v>371.317450677007</v>
      </c>
      <c r="M4986">
        <v>5.21213419809167</v>
      </c>
      <c r="O4986">
        <v>62.765425625302903</v>
      </c>
      <c r="P4986">
        <v>-2.0870636925075001E-2</v>
      </c>
      <c r="Q4986">
        <v>0</v>
      </c>
      <c r="R4986">
        <v>0.90595705118548198</v>
      </c>
      <c r="S4986" t="s">
        <v>11297</v>
      </c>
      <c r="T4986" t="s">
        <v>12620</v>
      </c>
      <c r="U4986" t="s">
        <v>12620</v>
      </c>
      <c r="V4986" t="s">
        <v>12620</v>
      </c>
      <c r="W4986" t="s">
        <v>17550</v>
      </c>
      <c r="X4986">
        <v>4</v>
      </c>
      <c r="Y4986" t="s">
        <v>23656</v>
      </c>
      <c r="Z4986" t="s">
        <v>29933</v>
      </c>
      <c r="AA4986">
        <v>0.79793345868133736</v>
      </c>
      <c r="AB4986" t="str">
        <f>HYPERLINK("Melting_Curves/meltCurve_Q9BQE9_4_BCL7B.pdf", "Melting_Curves/meltCurve_Q9BQE9_4_BCL7B.pdf")</f>
        <v>Melting_Curves/meltCurve_Q9BQE9_4_BCL7B.pdf</v>
      </c>
    </row>
    <row r="4987" spans="1:28" x14ac:dyDescent="0.25">
      <c r="A4987" t="s">
        <v>4991</v>
      </c>
      <c r="B4987">
        <v>0.99987803227770999</v>
      </c>
      <c r="C4987">
        <v>1.21585838126156</v>
      </c>
      <c r="D4987">
        <v>1.3040552554245699</v>
      </c>
      <c r="E4987">
        <v>1.18537561282856</v>
      </c>
      <c r="F4987">
        <v>1.00725934948905</v>
      </c>
      <c r="G4987">
        <v>0.55154618884694395</v>
      </c>
      <c r="H4987">
        <v>0.43048845400498298</v>
      </c>
      <c r="I4987">
        <v>0.449069312688818</v>
      </c>
      <c r="J4987">
        <v>0.43292164376637998</v>
      </c>
      <c r="K4987">
        <v>0.356166361863335</v>
      </c>
      <c r="L4987">
        <v>11025.136884244201</v>
      </c>
      <c r="M4987">
        <v>194.6285461567</v>
      </c>
      <c r="N4987">
        <v>57.175189802268299</v>
      </c>
      <c r="O4987">
        <v>56.641090222313103</v>
      </c>
      <c r="P4987">
        <v>-0.50068357044949696</v>
      </c>
      <c r="Q4987">
        <v>0.41716128854940399</v>
      </c>
      <c r="R4987">
        <v>0.86376229229002599</v>
      </c>
      <c r="S4987" t="s">
        <v>11298</v>
      </c>
      <c r="T4987" t="s">
        <v>12620</v>
      </c>
      <c r="U4987" t="s">
        <v>12620</v>
      </c>
      <c r="V4987" t="s">
        <v>12620</v>
      </c>
      <c r="W4987" t="s">
        <v>17551</v>
      </c>
      <c r="X4987">
        <v>9</v>
      </c>
      <c r="Y4987" t="s">
        <v>23657</v>
      </c>
      <c r="Z4987" t="s">
        <v>29934</v>
      </c>
      <c r="AA4987">
        <v>0.74067546564781672</v>
      </c>
      <c r="AB4987" t="str">
        <f>HYPERLINK("Melting_Curves/meltCurve_Q9BQG0_MYBBP1A.pdf", "Melting_Curves/meltCurve_Q9BQG0_MYBBP1A.pdf")</f>
        <v>Melting_Curves/meltCurve_Q9BQG0_MYBBP1A.pdf</v>
      </c>
    </row>
    <row r="4988" spans="1:28" x14ac:dyDescent="0.25">
      <c r="A4988" t="s">
        <v>4992</v>
      </c>
      <c r="B4988">
        <v>0.99987803227770999</v>
      </c>
      <c r="C4988">
        <v>1.05503104412736</v>
      </c>
      <c r="D4988">
        <v>0.90823329545627696</v>
      </c>
      <c r="E4988">
        <v>0.93242930295251503</v>
      </c>
      <c r="F4988">
        <v>0.63807816078794299</v>
      </c>
      <c r="G4988">
        <v>0.21892634643960299</v>
      </c>
      <c r="H4988">
        <v>0.147988902981045</v>
      </c>
      <c r="I4988">
        <v>0.14149929646163201</v>
      </c>
      <c r="J4988">
        <v>6.98036382799265E-2</v>
      </c>
      <c r="K4988">
        <v>5.8696124196923001E-2</v>
      </c>
      <c r="L4988">
        <v>1608.31169139541</v>
      </c>
      <c r="M4988">
        <v>29.924569966061298</v>
      </c>
      <c r="N4988">
        <v>54.116117604058601</v>
      </c>
      <c r="O4988">
        <v>53.5072263891117</v>
      </c>
      <c r="P4988">
        <v>-0.12686293315948499</v>
      </c>
      <c r="Q4988">
        <v>9.2646827461248193E-2</v>
      </c>
      <c r="R4988">
        <v>0.99054460231061103</v>
      </c>
      <c r="S4988" t="s">
        <v>11299</v>
      </c>
      <c r="T4988" t="s">
        <v>12620</v>
      </c>
      <c r="U4988" t="s">
        <v>12620</v>
      </c>
      <c r="V4988" t="s">
        <v>12620</v>
      </c>
      <c r="W4988" t="s">
        <v>17552</v>
      </c>
      <c r="X4988">
        <v>3</v>
      </c>
      <c r="Y4988" t="s">
        <v>23658</v>
      </c>
      <c r="Z4988" t="s">
        <v>29935</v>
      </c>
      <c r="AA4988">
        <v>0.51435288741167173</v>
      </c>
      <c r="AB4988" t="str">
        <f>HYPERLINK("Melting_Curves/meltCurve_Q9BQI3_2_EIF2AK1.pdf", "Melting_Curves/meltCurve_Q9BQI3_2_EIF2AK1.pdf")</f>
        <v>Melting_Curves/meltCurve_Q9BQI3_2_EIF2AK1.pdf</v>
      </c>
    </row>
    <row r="4989" spans="1:28" x14ac:dyDescent="0.25">
      <c r="A4989" t="s">
        <v>4993</v>
      </c>
      <c r="B4989">
        <v>0.99987803227770999</v>
      </c>
      <c r="C4989">
        <v>1.0892017463744399</v>
      </c>
      <c r="D4989">
        <v>0.95080952729604895</v>
      </c>
      <c r="E4989">
        <v>0.82386572252944801</v>
      </c>
      <c r="F4989">
        <v>0.46613911929836999</v>
      </c>
      <c r="G4989">
        <v>0.29815681480016198</v>
      </c>
      <c r="H4989">
        <v>0.18564905235093501</v>
      </c>
      <c r="I4989">
        <v>0.15381938766419001</v>
      </c>
      <c r="J4989">
        <v>0.13181661713461401</v>
      </c>
      <c r="K4989">
        <v>0.107873146278019</v>
      </c>
      <c r="L4989">
        <v>1212.0314241680501</v>
      </c>
      <c r="M4989">
        <v>23.112097433558901</v>
      </c>
      <c r="N4989">
        <v>53.171798872029399</v>
      </c>
      <c r="O4989">
        <v>52.053565610329301</v>
      </c>
      <c r="P4989">
        <v>-9.5906487993273795E-2</v>
      </c>
      <c r="Q4989">
        <v>0.13600520019515</v>
      </c>
      <c r="R4989">
        <v>0.98884664095074104</v>
      </c>
      <c r="S4989" t="s">
        <v>11300</v>
      </c>
      <c r="T4989" t="s">
        <v>12620</v>
      </c>
      <c r="U4989" t="s">
        <v>12620</v>
      </c>
      <c r="V4989" t="s">
        <v>12620</v>
      </c>
      <c r="W4989" t="s">
        <v>17553</v>
      </c>
      <c r="X4989">
        <v>3</v>
      </c>
      <c r="Y4989" t="s">
        <v>23659</v>
      </c>
      <c r="Z4989" t="s">
        <v>29936</v>
      </c>
      <c r="AA4989">
        <v>0.50349826037950074</v>
      </c>
      <c r="AB4989" t="str">
        <f>HYPERLINK("Melting_Curves/meltCurve_Q9BQK8_2_LPIN3.pdf", "Melting_Curves/meltCurve_Q9BQK8_2_LPIN3.pdf")</f>
        <v>Melting_Curves/meltCurve_Q9BQK8_2_LPIN3.pdf</v>
      </c>
    </row>
    <row r="4990" spans="1:28" x14ac:dyDescent="0.25">
      <c r="A4990" t="s">
        <v>4994</v>
      </c>
      <c r="B4990">
        <v>0.99987803227770999</v>
      </c>
      <c r="C4990">
        <v>0.98257683556958897</v>
      </c>
      <c r="D4990">
        <v>1.0510736349323799</v>
      </c>
      <c r="E4990">
        <v>0.83531857335385296</v>
      </c>
      <c r="F4990">
        <v>0.30749613126186998</v>
      </c>
      <c r="G4990">
        <v>0.17106793555383301</v>
      </c>
      <c r="H4990">
        <v>0.117666620246617</v>
      </c>
      <c r="I4990">
        <v>9.8810725162873606E-2</v>
      </c>
      <c r="J4990">
        <v>7.8523829079450602E-2</v>
      </c>
      <c r="K4990">
        <v>5.9217601718578899E-2</v>
      </c>
      <c r="L4990">
        <v>2327.6440944968599</v>
      </c>
      <c r="M4990">
        <v>45.078589860027598</v>
      </c>
      <c r="N4990">
        <v>51.895213748066702</v>
      </c>
      <c r="O4990">
        <v>51.533939597849098</v>
      </c>
      <c r="P4990">
        <v>-0.196583593101499</v>
      </c>
      <c r="Q4990">
        <v>0.10106205363922401</v>
      </c>
      <c r="R4990">
        <v>0.99466109263264602</v>
      </c>
      <c r="S4990" t="s">
        <v>11301</v>
      </c>
      <c r="T4990" t="s">
        <v>12620</v>
      </c>
      <c r="U4990" t="s">
        <v>12620</v>
      </c>
      <c r="V4990" t="s">
        <v>12620</v>
      </c>
      <c r="W4990" t="s">
        <v>17554</v>
      </c>
      <c r="X4990">
        <v>17</v>
      </c>
      <c r="Y4990" t="s">
        <v>23660</v>
      </c>
      <c r="Z4990" t="s">
        <v>29937</v>
      </c>
      <c r="AA4990">
        <v>0.4522292999536256</v>
      </c>
      <c r="AB4990" t="str">
        <f>HYPERLINK("Melting_Curves/meltCurve_Q9BQL6_FERMT1.pdf", "Melting_Curves/meltCurve_Q9BQL6_FERMT1.pdf")</f>
        <v>Melting_Curves/meltCurve_Q9BQL6_FERMT1.pdf</v>
      </c>
    </row>
    <row r="4991" spans="1:28" x14ac:dyDescent="0.25">
      <c r="A4991" t="s">
        <v>4995</v>
      </c>
      <c r="B4991">
        <v>0.99987803227770999</v>
      </c>
      <c r="C4991">
        <v>0.77753845333459604</v>
      </c>
      <c r="D4991">
        <v>0.92992176303190699</v>
      </c>
      <c r="E4991">
        <v>0.70434192877574198</v>
      </c>
      <c r="F4991">
        <v>0.54519083861264594</v>
      </c>
      <c r="G4991">
        <v>0.120832857537786</v>
      </c>
      <c r="H4991">
        <v>7.25466897321142E-2</v>
      </c>
      <c r="I4991">
        <v>4.9549744449954303E-2</v>
      </c>
      <c r="J4991">
        <v>4.4137580039600097E-2</v>
      </c>
      <c r="K4991">
        <v>3.1999099539959497E-2</v>
      </c>
      <c r="L4991">
        <v>912.36419995026404</v>
      </c>
      <c r="M4991">
        <v>17.34293764353</v>
      </c>
      <c r="N4991">
        <v>52.607247053157501</v>
      </c>
      <c r="O4991">
        <v>51.9227588439188</v>
      </c>
      <c r="P4991">
        <v>-8.3508326972334096E-2</v>
      </c>
      <c r="Q4991">
        <v>0</v>
      </c>
      <c r="R4991">
        <v>0.96170218490050696</v>
      </c>
      <c r="S4991" t="s">
        <v>11302</v>
      </c>
      <c r="T4991" t="s">
        <v>12620</v>
      </c>
      <c r="U4991" t="s">
        <v>12620</v>
      </c>
      <c r="V4991" t="s">
        <v>12620</v>
      </c>
      <c r="W4991" t="s">
        <v>17555</v>
      </c>
      <c r="X4991">
        <v>7</v>
      </c>
      <c r="Y4991" t="s">
        <v>23661</v>
      </c>
      <c r="Z4991" t="s">
        <v>29938</v>
      </c>
      <c r="AA4991">
        <v>0.43775729026501148</v>
      </c>
      <c r="AB4991" t="str">
        <f>HYPERLINK("Melting_Curves/meltCurve_Q9BQP7_MGME1.pdf", "Melting_Curves/meltCurve_Q9BQP7_MGME1.pdf")</f>
        <v>Melting_Curves/meltCurve_Q9BQP7_MGME1.pdf</v>
      </c>
    </row>
    <row r="4992" spans="1:28" x14ac:dyDescent="0.25">
      <c r="A4992" t="s">
        <v>4996</v>
      </c>
      <c r="B4992">
        <v>0.99987803227770999</v>
      </c>
      <c r="C4992">
        <v>1.1350835724894199</v>
      </c>
      <c r="D4992">
        <v>0.97106314150536599</v>
      </c>
      <c r="E4992">
        <v>0.84384124805539795</v>
      </c>
      <c r="F4992">
        <v>0.53541845691391998</v>
      </c>
      <c r="G4992">
        <v>0.37651038060585201</v>
      </c>
      <c r="H4992">
        <v>0.28131999908915101</v>
      </c>
      <c r="I4992">
        <v>0.21042980138102599</v>
      </c>
      <c r="J4992">
        <v>0.19804464377011</v>
      </c>
      <c r="K4992">
        <v>0.143905502197756</v>
      </c>
      <c r="L4992">
        <v>1080.29423596475</v>
      </c>
      <c r="M4992">
        <v>20.388792489309701</v>
      </c>
      <c r="N4992">
        <v>54.225340696497597</v>
      </c>
      <c r="O4992">
        <v>52.482900787587702</v>
      </c>
      <c r="P4992">
        <v>-7.9020450282542898E-2</v>
      </c>
      <c r="Q4992">
        <v>0.18639661404817301</v>
      </c>
      <c r="R4992">
        <v>0.97749350660276202</v>
      </c>
      <c r="S4992" t="s">
        <v>11303</v>
      </c>
      <c r="T4992" t="s">
        <v>12620</v>
      </c>
      <c r="U4992" t="s">
        <v>12620</v>
      </c>
      <c r="V4992" t="s">
        <v>12620</v>
      </c>
      <c r="W4992" t="s">
        <v>17556</v>
      </c>
      <c r="X4992">
        <v>18</v>
      </c>
      <c r="Y4992" t="s">
        <v>23662</v>
      </c>
      <c r="Z4992" t="s">
        <v>29939</v>
      </c>
      <c r="AA4992">
        <v>0.54937110635557418</v>
      </c>
      <c r="AB4992" t="str">
        <f>HYPERLINK("Melting_Curves/meltCurve_Q9BQS8_FYCO1.pdf", "Melting_Curves/meltCurve_Q9BQS8_FYCO1.pdf")</f>
        <v>Melting_Curves/meltCurve_Q9BQS8_FYCO1.pdf</v>
      </c>
    </row>
    <row r="4993" spans="1:28" x14ac:dyDescent="0.25">
      <c r="A4993" t="s">
        <v>4997</v>
      </c>
      <c r="B4993">
        <v>0.99987803227770999</v>
      </c>
      <c r="C4993">
        <v>0.85488971027921001</v>
      </c>
      <c r="D4993">
        <v>0.93635690838058705</v>
      </c>
      <c r="E4993">
        <v>0.58349298075474598</v>
      </c>
      <c r="F4993">
        <v>0.302942524899666</v>
      </c>
      <c r="G4993">
        <v>0.19010934286935399</v>
      </c>
      <c r="H4993">
        <v>0.14336674843011701</v>
      </c>
      <c r="I4993">
        <v>0.118638141094457</v>
      </c>
      <c r="J4993">
        <v>0.110757640242519</v>
      </c>
      <c r="K4993">
        <v>8.1118544647796401E-2</v>
      </c>
      <c r="L4993">
        <v>1063.50800405582</v>
      </c>
      <c r="M4993">
        <v>21.1558688669299</v>
      </c>
      <c r="N4993">
        <v>50.832762972028398</v>
      </c>
      <c r="O4993">
        <v>49.827425075105502</v>
      </c>
      <c r="P4993">
        <v>-9.5068302530580406E-2</v>
      </c>
      <c r="Q4993">
        <v>0.104383690747283</v>
      </c>
      <c r="R4993">
        <v>0.98482309837714799</v>
      </c>
      <c r="S4993" t="s">
        <v>11304</v>
      </c>
      <c r="T4993" t="s">
        <v>12620</v>
      </c>
      <c r="U4993" t="s">
        <v>12620</v>
      </c>
      <c r="V4993" t="s">
        <v>12620</v>
      </c>
      <c r="W4993" t="s">
        <v>17557</v>
      </c>
      <c r="X4993">
        <v>10</v>
      </c>
      <c r="Y4993" t="s">
        <v>23663</v>
      </c>
      <c r="Z4993" t="s">
        <v>29940</v>
      </c>
      <c r="AA4993">
        <v>0.42215582017976327</v>
      </c>
      <c r="AB4993" t="str">
        <f>HYPERLINK("Melting_Curves/meltCurve_Q9BR61_ACBD6.pdf", "Melting_Curves/meltCurve_Q9BR61_ACBD6.pdf")</f>
        <v>Melting_Curves/meltCurve_Q9BR61_ACBD6.pdf</v>
      </c>
    </row>
    <row r="4994" spans="1:28" x14ac:dyDescent="0.25">
      <c r="A4994" t="s">
        <v>4998</v>
      </c>
      <c r="B4994">
        <v>0.99987803227770999</v>
      </c>
      <c r="C4994">
        <v>1.06463395143892</v>
      </c>
      <c r="D4994">
        <v>0.98151703789725298</v>
      </c>
      <c r="E4994">
        <v>0.98472409740697797</v>
      </c>
      <c r="F4994">
        <v>0.50130306102824695</v>
      </c>
      <c r="G4994">
        <v>0.16586683112935399</v>
      </c>
      <c r="H4994">
        <v>0.114888519544789</v>
      </c>
      <c r="I4994">
        <v>0.10444232254811101</v>
      </c>
      <c r="J4994">
        <v>9.3286302748219405E-2</v>
      </c>
      <c r="K4994">
        <v>7.5192368710396501E-2</v>
      </c>
      <c r="L4994">
        <v>2976.34277015923</v>
      </c>
      <c r="M4994">
        <v>56.365276603881</v>
      </c>
      <c r="N4994">
        <v>53.031617485376302</v>
      </c>
      <c r="O4994">
        <v>52.738201852049698</v>
      </c>
      <c r="P4994">
        <v>-0.23854603051061299</v>
      </c>
      <c r="Q4994">
        <v>0.10721758439366399</v>
      </c>
      <c r="R4994">
        <v>0.99539555693361204</v>
      </c>
      <c r="S4994" t="s">
        <v>11305</v>
      </c>
      <c r="T4994" t="s">
        <v>12620</v>
      </c>
      <c r="U4994" t="s">
        <v>12620</v>
      </c>
      <c r="V4994" t="s">
        <v>12620</v>
      </c>
      <c r="W4994" t="s">
        <v>17558</v>
      </c>
      <c r="X4994">
        <v>15</v>
      </c>
      <c r="Y4994" t="s">
        <v>23664</v>
      </c>
      <c r="Z4994" t="s">
        <v>29941</v>
      </c>
      <c r="AA4994">
        <v>0.48990766597573132</v>
      </c>
      <c r="AB4994" t="str">
        <f>HYPERLINK("Melting_Curves/meltCurve_Q9BR76_CORO1B.pdf", "Melting_Curves/meltCurve_Q9BR76_CORO1B.pdf")</f>
        <v>Melting_Curves/meltCurve_Q9BR76_CORO1B.pdf</v>
      </c>
    </row>
    <row r="4995" spans="1:28" x14ac:dyDescent="0.25">
      <c r="A4995" t="s">
        <v>4999</v>
      </c>
      <c r="B4995">
        <v>0.99987803227770999</v>
      </c>
      <c r="C4995">
        <v>1.1399636985422099</v>
      </c>
      <c r="D4995">
        <v>0.94221194824896404</v>
      </c>
      <c r="E4995">
        <v>0.80341562415714296</v>
      </c>
      <c r="F4995">
        <v>0.67754167985303604</v>
      </c>
      <c r="G4995">
        <v>0.45442993942680099</v>
      </c>
      <c r="H4995">
        <v>0.37253266487425202</v>
      </c>
      <c r="I4995">
        <v>0.405561694848453</v>
      </c>
      <c r="J4995">
        <v>0.33426336698890602</v>
      </c>
      <c r="K4995">
        <v>0.318537708207766</v>
      </c>
      <c r="L4995">
        <v>1002.4720714402901</v>
      </c>
      <c r="M4995">
        <v>18.984882045851801</v>
      </c>
      <c r="N4995">
        <v>56.064774213905899</v>
      </c>
      <c r="O4995">
        <v>52.228301635467098</v>
      </c>
      <c r="P4995">
        <v>-6.0499859894403998E-2</v>
      </c>
      <c r="Q4995">
        <v>0.33427480397023401</v>
      </c>
      <c r="R4995">
        <v>0.96884608055946597</v>
      </c>
      <c r="S4995" t="s">
        <v>11306</v>
      </c>
      <c r="T4995" t="s">
        <v>12620</v>
      </c>
      <c r="U4995" t="s">
        <v>12620</v>
      </c>
      <c r="V4995" t="s">
        <v>12620</v>
      </c>
      <c r="W4995" t="s">
        <v>17559</v>
      </c>
      <c r="X4995">
        <v>1</v>
      </c>
      <c r="Y4995" t="s">
        <v>23665</v>
      </c>
      <c r="Z4995" t="s">
        <v>29942</v>
      </c>
      <c r="AA4995">
        <v>0.62841962369555326</v>
      </c>
      <c r="AB4995" t="str">
        <f>HYPERLINK("Melting_Curves/meltCurve_Q9BRA0_2_LSMD1.pdf", "Melting_Curves/meltCurve_Q9BRA0_2_LSMD1.pdf")</f>
        <v>Melting_Curves/meltCurve_Q9BRA0_2_LSMD1.pdf</v>
      </c>
    </row>
    <row r="4996" spans="1:28" x14ac:dyDescent="0.25">
      <c r="A4996" t="s">
        <v>5000</v>
      </c>
      <c r="B4996">
        <v>0.99987803227770999</v>
      </c>
      <c r="C4996">
        <v>0.82165517613374806</v>
      </c>
      <c r="D4996">
        <v>1.01253412146733</v>
      </c>
      <c r="E4996">
        <v>0.86790611529338102</v>
      </c>
      <c r="F4996">
        <v>1.1017755499664199</v>
      </c>
      <c r="G4996">
        <v>0.63231501666989098</v>
      </c>
      <c r="H4996">
        <v>0.78862779397023597</v>
      </c>
      <c r="I4996">
        <v>0.82411225778580199</v>
      </c>
      <c r="J4996">
        <v>0.56963798957765099</v>
      </c>
      <c r="K4996">
        <v>0.37454367722749698</v>
      </c>
      <c r="L4996">
        <v>587.598201637991</v>
      </c>
      <c r="M4996">
        <v>8.5115813429534803</v>
      </c>
      <c r="N4996">
        <v>69.035139059800599</v>
      </c>
      <c r="O4996">
        <v>65.540857436524107</v>
      </c>
      <c r="P4996">
        <v>-3.2495804828516398E-2</v>
      </c>
      <c r="Q4996">
        <v>0</v>
      </c>
      <c r="R4996">
        <v>0.64651596209046003</v>
      </c>
      <c r="S4996" t="s">
        <v>11307</v>
      </c>
      <c r="T4996" t="s">
        <v>12620</v>
      </c>
      <c r="U4996" t="s">
        <v>12620</v>
      </c>
      <c r="V4996" t="s">
        <v>12620</v>
      </c>
      <c r="W4996" t="s">
        <v>17560</v>
      </c>
      <c r="X4996">
        <v>7</v>
      </c>
      <c r="Y4996" t="s">
        <v>23666</v>
      </c>
      <c r="Z4996" t="s">
        <v>29943</v>
      </c>
      <c r="AA4996">
        <v>0.83464603603718879</v>
      </c>
      <c r="AB4996" t="str">
        <f>HYPERLINK("Melting_Curves/meltCurve_Q9BRA2_TXNDC17.pdf", "Melting_Curves/meltCurve_Q9BRA2_TXNDC17.pdf")</f>
        <v>Melting_Curves/meltCurve_Q9BRA2_TXNDC17.pdf</v>
      </c>
    </row>
    <row r="4997" spans="1:28" x14ac:dyDescent="0.25">
      <c r="A4997" t="s">
        <v>5001</v>
      </c>
      <c r="B4997">
        <v>0.99987803227770999</v>
      </c>
      <c r="C4997">
        <v>0.80502225193764698</v>
      </c>
      <c r="D4997">
        <v>0.86592402428415405</v>
      </c>
      <c r="E4997">
        <v>0.74188895822806999</v>
      </c>
      <c r="F4997">
        <v>0.77523831516135799</v>
      </c>
      <c r="G4997">
        <v>0.61304673633266904</v>
      </c>
      <c r="H4997">
        <v>0.70345254920290301</v>
      </c>
      <c r="I4997">
        <v>0.57039916371185495</v>
      </c>
      <c r="J4997">
        <v>0.68087805856077399</v>
      </c>
      <c r="K4997">
        <v>0.56803142110989302</v>
      </c>
      <c r="L4997">
        <v>376.72044230895398</v>
      </c>
      <c r="M4997">
        <v>7.7048675961173396</v>
      </c>
      <c r="O4997">
        <v>45.927262552184999</v>
      </c>
      <c r="P4997">
        <v>-1.81831815005307E-2</v>
      </c>
      <c r="Q4997">
        <v>0.56701724572312395</v>
      </c>
      <c r="R4997">
        <v>0.80626118578878803</v>
      </c>
      <c r="S4997" t="s">
        <v>11308</v>
      </c>
      <c r="T4997" t="s">
        <v>12620</v>
      </c>
      <c r="U4997" t="s">
        <v>12620</v>
      </c>
      <c r="V4997" t="s">
        <v>12620</v>
      </c>
      <c r="W4997" t="s">
        <v>17561</v>
      </c>
      <c r="X4997">
        <v>3</v>
      </c>
      <c r="Y4997" t="s">
        <v>23667</v>
      </c>
      <c r="Z4997" t="s">
        <v>29944</v>
      </c>
      <c r="AA4997">
        <v>0.72559020750553971</v>
      </c>
      <c r="AB4997" t="str">
        <f>HYPERLINK("Melting_Curves/meltCurve_Q9BRD0_BUD13.pdf", "Melting_Curves/meltCurve_Q9BRD0_BUD13.pdf")</f>
        <v>Melting_Curves/meltCurve_Q9BRD0_BUD13.pdf</v>
      </c>
    </row>
    <row r="4998" spans="1:28" x14ac:dyDescent="0.25">
      <c r="A4998" t="s">
        <v>5002</v>
      </c>
      <c r="B4998">
        <v>0.99987803227770999</v>
      </c>
      <c r="C4998">
        <v>0.88046302677394594</v>
      </c>
      <c r="D4998">
        <v>1.0041945798056</v>
      </c>
      <c r="E4998">
        <v>0.90784972101655703</v>
      </c>
      <c r="F4998">
        <v>0.98427969139376903</v>
      </c>
      <c r="G4998">
        <v>0.90837383066671595</v>
      </c>
      <c r="H4998">
        <v>0.73737681167094904</v>
      </c>
      <c r="I4998">
        <v>0.650374653675309</v>
      </c>
      <c r="J4998">
        <v>0.44171151583878399</v>
      </c>
      <c r="K4998">
        <v>0.310476373951865</v>
      </c>
      <c r="L4998">
        <v>908.85831298236201</v>
      </c>
      <c r="M4998">
        <v>13.7443218660919</v>
      </c>
      <c r="N4998">
        <v>66.126082373191096</v>
      </c>
      <c r="O4998">
        <v>64.773394662268302</v>
      </c>
      <c r="P4998">
        <v>-5.30552571797962E-2</v>
      </c>
      <c r="Q4998">
        <v>0</v>
      </c>
      <c r="R4998">
        <v>0.95671375647825596</v>
      </c>
      <c r="S4998" t="s">
        <v>11309</v>
      </c>
      <c r="T4998" t="s">
        <v>12620</v>
      </c>
      <c r="U4998" t="s">
        <v>12620</v>
      </c>
      <c r="V4998" t="s">
        <v>12620</v>
      </c>
      <c r="W4998" t="s">
        <v>17562</v>
      </c>
      <c r="X4998">
        <v>12</v>
      </c>
      <c r="Y4998" t="s">
        <v>23668</v>
      </c>
      <c r="Z4998" t="s">
        <v>29945</v>
      </c>
      <c r="AA4998">
        <v>0.82770126392590249</v>
      </c>
      <c r="AB4998" t="str">
        <f>HYPERLINK("Melting_Curves/meltCurve_Q9BRF8_CPPED1.pdf", "Melting_Curves/meltCurve_Q9BRF8_CPPED1.pdf")</f>
        <v>Melting_Curves/meltCurve_Q9BRF8_CPPED1.pdf</v>
      </c>
    </row>
    <row r="4999" spans="1:28" x14ac:dyDescent="0.25">
      <c r="A4999" t="s">
        <v>5003</v>
      </c>
      <c r="B4999">
        <v>0.99987803227770999</v>
      </c>
      <c r="C4999">
        <v>0.99881125230374002</v>
      </c>
      <c r="D4999">
        <v>0.96169241775773995</v>
      </c>
      <c r="E4999">
        <v>0.78546780368467395</v>
      </c>
      <c r="F4999">
        <v>0.57121670261972701</v>
      </c>
      <c r="G4999">
        <v>0.27113333049808203</v>
      </c>
      <c r="H4999">
        <v>0.25710454230115498</v>
      </c>
      <c r="I4999">
        <v>0.218477846258296</v>
      </c>
      <c r="J4999">
        <v>0.204462790609206</v>
      </c>
      <c r="K4999">
        <v>0.13692107602963499</v>
      </c>
      <c r="L4999">
        <v>1122.8173703094899</v>
      </c>
      <c r="M4999">
        <v>21.367974810860002</v>
      </c>
      <c r="N4999">
        <v>53.6681194556215</v>
      </c>
      <c r="O4999">
        <v>52.093031077286298</v>
      </c>
      <c r="P4999">
        <v>-8.4084559445204293E-2</v>
      </c>
      <c r="Q4999">
        <v>0.18006120649983401</v>
      </c>
      <c r="R4999">
        <v>0.99478203602959103</v>
      </c>
      <c r="S4999" t="s">
        <v>11310</v>
      </c>
      <c r="T4999" t="s">
        <v>12620</v>
      </c>
      <c r="U4999" t="s">
        <v>12620</v>
      </c>
      <c r="V4999" t="s">
        <v>12620</v>
      </c>
      <c r="W4999" t="s">
        <v>17563</v>
      </c>
      <c r="X4999">
        <v>5</v>
      </c>
      <c r="Y4999" t="s">
        <v>23669</v>
      </c>
      <c r="Z4999" t="s">
        <v>29946</v>
      </c>
      <c r="AA4999">
        <v>0.53304202842976733</v>
      </c>
      <c r="AB4999" t="str">
        <f>HYPERLINK("Melting_Curves/meltCurve_Q9BRG1_VPS25.pdf", "Melting_Curves/meltCurve_Q9BRG1_VPS25.pdf")</f>
        <v>Melting_Curves/meltCurve_Q9BRG1_VPS25.pdf</v>
      </c>
    </row>
    <row r="5000" spans="1:28" x14ac:dyDescent="0.25">
      <c r="A5000" t="s">
        <v>5004</v>
      </c>
      <c r="B5000">
        <v>0.99987803227770999</v>
      </c>
      <c r="C5000">
        <v>1.0794604025835499</v>
      </c>
      <c r="D5000">
        <v>0.93193072597168802</v>
      </c>
      <c r="E5000">
        <v>0.70658434132769199</v>
      </c>
      <c r="F5000">
        <v>0.49307600120469303</v>
      </c>
      <c r="G5000">
        <v>0.21778484673412901</v>
      </c>
      <c r="H5000">
        <v>0.14028886989792899</v>
      </c>
      <c r="I5000">
        <v>0.122150280708187</v>
      </c>
      <c r="J5000">
        <v>9.8254357519835106E-2</v>
      </c>
      <c r="K5000">
        <v>6.3267748764728404E-2</v>
      </c>
      <c r="L5000">
        <v>1017.92881384707</v>
      </c>
      <c r="M5000">
        <v>19.492807924888901</v>
      </c>
      <c r="N5000">
        <v>52.6947200647881</v>
      </c>
      <c r="O5000">
        <v>51.680455479075803</v>
      </c>
      <c r="P5000">
        <v>-8.6715562965377399E-2</v>
      </c>
      <c r="Q5000">
        <v>8.0411929284618405E-2</v>
      </c>
      <c r="R5000">
        <v>0.99308097627010605</v>
      </c>
      <c r="S5000" t="s">
        <v>11311</v>
      </c>
      <c r="T5000" t="s">
        <v>12620</v>
      </c>
      <c r="U5000" t="s">
        <v>12620</v>
      </c>
      <c r="V5000" t="s">
        <v>12620</v>
      </c>
      <c r="W5000" t="s">
        <v>17564</v>
      </c>
      <c r="X5000">
        <v>6</v>
      </c>
      <c r="Y5000" t="s">
        <v>23670</v>
      </c>
      <c r="Z5000" t="s">
        <v>29947</v>
      </c>
      <c r="AA5000">
        <v>0.46831578384612638</v>
      </c>
      <c r="AB5000" t="str">
        <f>HYPERLINK("Melting_Curves/meltCurve_Q9BRG2_SH2D3A.pdf", "Melting_Curves/meltCurve_Q9BRG2_SH2D3A.pdf")</f>
        <v>Melting_Curves/meltCurve_Q9BRG2_SH2D3A.pdf</v>
      </c>
    </row>
    <row r="5001" spans="1:28" x14ac:dyDescent="0.25">
      <c r="A5001" t="s">
        <v>5005</v>
      </c>
      <c r="B5001">
        <v>0.99987803227770999</v>
      </c>
      <c r="C5001">
        <v>0.82763798584167703</v>
      </c>
      <c r="D5001">
        <v>0.95850789685906201</v>
      </c>
      <c r="E5001">
        <v>0.79787110761641</v>
      </c>
      <c r="F5001">
        <v>0.97080898057916698</v>
      </c>
      <c r="G5001">
        <v>0.74712413530506505</v>
      </c>
      <c r="H5001">
        <v>0.79525277145687001</v>
      </c>
      <c r="I5001">
        <v>0.76994943661471504</v>
      </c>
      <c r="J5001">
        <v>0.68948937322860904</v>
      </c>
      <c r="K5001">
        <v>0.56787334530698297</v>
      </c>
      <c r="L5001">
        <v>255.471190295805</v>
      </c>
      <c r="M5001">
        <v>3.0722387478241702</v>
      </c>
      <c r="O5001">
        <v>61.865325348394599</v>
      </c>
      <c r="P5001">
        <v>-1.2773012871952E-2</v>
      </c>
      <c r="Q5001">
        <v>0</v>
      </c>
      <c r="R5001">
        <v>0.68231930949217001</v>
      </c>
      <c r="S5001" t="s">
        <v>11312</v>
      </c>
      <c r="T5001" t="s">
        <v>12620</v>
      </c>
      <c r="U5001" t="s">
        <v>12620</v>
      </c>
      <c r="V5001" t="s">
        <v>12620</v>
      </c>
      <c r="W5001" t="s">
        <v>17565</v>
      </c>
      <c r="X5001">
        <v>7</v>
      </c>
      <c r="Y5001" t="s">
        <v>23671</v>
      </c>
      <c r="Z5001" t="s">
        <v>29948</v>
      </c>
      <c r="AA5001">
        <v>0.81960860280582426</v>
      </c>
      <c r="AB5001" t="str">
        <f>HYPERLINK("Melting_Curves/meltCurve_Q9BRK5_SDF4.pdf", "Melting_Curves/meltCurve_Q9BRK5_SDF4.pdf")</f>
        <v>Melting_Curves/meltCurve_Q9BRK5_SDF4.pdf</v>
      </c>
    </row>
    <row r="5002" spans="1:28" x14ac:dyDescent="0.25">
      <c r="A5002" t="s">
        <v>5006</v>
      </c>
      <c r="B5002">
        <v>0.99987803227770999</v>
      </c>
      <c r="C5002">
        <v>0.90020804719760505</v>
      </c>
      <c r="D5002">
        <v>0.92466528435195305</v>
      </c>
      <c r="E5002">
        <v>0.71299056633107305</v>
      </c>
      <c r="F5002">
        <v>0.31046066782175602</v>
      </c>
      <c r="G5002">
        <v>0.14930736053000701</v>
      </c>
      <c r="H5002">
        <v>0.116139554870031</v>
      </c>
      <c r="I5002">
        <v>9.4088410739049097E-2</v>
      </c>
      <c r="J5002">
        <v>7.94643827856608E-2</v>
      </c>
      <c r="K5002">
        <v>6.2946112589432807E-2</v>
      </c>
      <c r="L5002">
        <v>1392.0365739081401</v>
      </c>
      <c r="M5002">
        <v>27.208592478037701</v>
      </c>
      <c r="N5002">
        <v>51.507836554024301</v>
      </c>
      <c r="O5002">
        <v>50.887682821554201</v>
      </c>
      <c r="P5002">
        <v>-0.12250140461176399</v>
      </c>
      <c r="Q5002">
        <v>8.3561165500186593E-2</v>
      </c>
      <c r="R5002">
        <v>0.99080915154745297</v>
      </c>
      <c r="S5002" t="s">
        <v>11313</v>
      </c>
      <c r="T5002" t="s">
        <v>12620</v>
      </c>
      <c r="U5002" t="s">
        <v>12620</v>
      </c>
      <c r="V5002" t="s">
        <v>12620</v>
      </c>
      <c r="W5002" t="s">
        <v>17566</v>
      </c>
      <c r="X5002">
        <v>8</v>
      </c>
      <c r="Y5002" t="s">
        <v>23672</v>
      </c>
      <c r="Z5002" t="s">
        <v>29949</v>
      </c>
      <c r="AA5002">
        <v>0.43154506317411778</v>
      </c>
      <c r="AB5002" t="str">
        <f>HYPERLINK("Melting_Curves/meltCurve_Q9BRP1_PDCD2L.pdf", "Melting_Curves/meltCurve_Q9BRP1_PDCD2L.pdf")</f>
        <v>Melting_Curves/meltCurve_Q9BRP1_PDCD2L.pdf</v>
      </c>
    </row>
    <row r="5003" spans="1:28" x14ac:dyDescent="0.25">
      <c r="A5003" t="s">
        <v>5007</v>
      </c>
      <c r="B5003">
        <v>0.99987803227770999</v>
      </c>
      <c r="C5003">
        <v>0.94090468372664904</v>
      </c>
      <c r="D5003">
        <v>0.78262038703786097</v>
      </c>
      <c r="E5003">
        <v>1.2227956147172001</v>
      </c>
      <c r="F5003">
        <v>0.91009413044226095</v>
      </c>
      <c r="G5003">
        <v>1.0768782675967401</v>
      </c>
      <c r="H5003">
        <v>0.477620254474654</v>
      </c>
      <c r="I5003">
        <v>0.15487224591051499</v>
      </c>
      <c r="J5003">
        <v>8.4640119735595098E-2</v>
      </c>
      <c r="K5003">
        <v>6.8667442125247405E-2</v>
      </c>
      <c r="L5003">
        <v>4568.55821661954</v>
      </c>
      <c r="M5003">
        <v>75.178430428138597</v>
      </c>
      <c r="N5003">
        <v>60.939523902180099</v>
      </c>
      <c r="O5003">
        <v>60.726576955228097</v>
      </c>
      <c r="P5003">
        <v>-0.28022078730400202</v>
      </c>
      <c r="Q5003">
        <v>9.4588911756446598E-2</v>
      </c>
      <c r="R5003">
        <v>0.93190236674209703</v>
      </c>
      <c r="S5003" t="s">
        <v>11314</v>
      </c>
      <c r="T5003" t="s">
        <v>12620</v>
      </c>
      <c r="U5003" t="s">
        <v>12620</v>
      </c>
      <c r="V5003" t="s">
        <v>12620</v>
      </c>
      <c r="W5003" t="s">
        <v>13070</v>
      </c>
      <c r="X5003">
        <v>9</v>
      </c>
      <c r="Y5003" t="s">
        <v>19319</v>
      </c>
      <c r="Z5003" t="s">
        <v>29950</v>
      </c>
      <c r="AA5003">
        <v>0.72248969296146193</v>
      </c>
      <c r="AB5003" t="str">
        <f>HYPERLINK("Melting_Curves/meltCurve_Q9BRP4_PAAF1.pdf", "Melting_Curves/meltCurve_Q9BRP4_PAAF1.pdf")</f>
        <v>Melting_Curves/meltCurve_Q9BRP4_PAAF1.pdf</v>
      </c>
    </row>
    <row r="5004" spans="1:28" x14ac:dyDescent="0.25">
      <c r="A5004" t="s">
        <v>5008</v>
      </c>
      <c r="B5004">
        <v>0.99987803227770999</v>
      </c>
      <c r="C5004">
        <v>0.83957438593088596</v>
      </c>
      <c r="D5004">
        <v>1.06878884202055</v>
      </c>
      <c r="E5004">
        <v>0.93339411385186399</v>
      </c>
      <c r="F5004">
        <v>1.16933084780408</v>
      </c>
      <c r="G5004">
        <v>0.94687302678155605</v>
      </c>
      <c r="H5004">
        <v>1.13357372358537</v>
      </c>
      <c r="I5004">
        <v>1.0356985998182899</v>
      </c>
      <c r="J5004">
        <v>1.2272338189065299</v>
      </c>
      <c r="K5004">
        <v>1.00563660398832</v>
      </c>
      <c r="L5004">
        <v>839.32163434708696</v>
      </c>
      <c r="M5004">
        <v>15.307394959179801</v>
      </c>
      <c r="O5004">
        <v>53.9208909501248</v>
      </c>
      <c r="P5004">
        <v>6.91311782893858E-3</v>
      </c>
      <c r="Q5004">
        <v>1.0973978116438099</v>
      </c>
      <c r="R5004">
        <v>0.19300916073378199</v>
      </c>
      <c r="S5004" t="s">
        <v>11315</v>
      </c>
      <c r="T5004" t="s">
        <v>12620</v>
      </c>
      <c r="U5004" t="s">
        <v>12620</v>
      </c>
      <c r="V5004" t="s">
        <v>12620</v>
      </c>
      <c r="W5004" t="s">
        <v>17567</v>
      </c>
      <c r="X5004">
        <v>12</v>
      </c>
      <c r="Y5004" t="s">
        <v>23673</v>
      </c>
      <c r="Z5004" t="s">
        <v>29951</v>
      </c>
      <c r="AA5004">
        <v>1.047389249732823</v>
      </c>
      <c r="AB5004" t="str">
        <f>HYPERLINK("Melting_Curves/meltCurve_Q9BRP8_2_WIBG.pdf", "Melting_Curves/meltCurve_Q9BRP8_2_WIBG.pdf")</f>
        <v>Melting_Curves/meltCurve_Q9BRP8_2_WIBG.pdf</v>
      </c>
    </row>
    <row r="5005" spans="1:28" x14ac:dyDescent="0.25">
      <c r="A5005" t="s">
        <v>5009</v>
      </c>
      <c r="B5005">
        <v>0.99987803227770999</v>
      </c>
      <c r="C5005">
        <v>0.93600118775916996</v>
      </c>
      <c r="D5005">
        <v>0.69085708478311503</v>
      </c>
      <c r="E5005">
        <v>0.56889586836053796</v>
      </c>
      <c r="F5005">
        <v>0.33908447134923297</v>
      </c>
      <c r="G5005">
        <v>0.236013250491244</v>
      </c>
      <c r="H5005">
        <v>0.15954121480813299</v>
      </c>
      <c r="I5005">
        <v>0.116960563985191</v>
      </c>
      <c r="J5005">
        <v>0.129427132793316</v>
      </c>
      <c r="K5005">
        <v>5.42516182411844E-2</v>
      </c>
      <c r="L5005">
        <v>629.62045866930305</v>
      </c>
      <c r="M5005">
        <v>12.6250863859108</v>
      </c>
      <c r="N5005">
        <v>50.431507335832201</v>
      </c>
      <c r="O5005">
        <v>48.669024897202902</v>
      </c>
      <c r="P5005">
        <v>-6.0615700500342103E-2</v>
      </c>
      <c r="Q5005">
        <v>6.5504135777171693E-2</v>
      </c>
      <c r="R5005">
        <v>0.98830323717564095</v>
      </c>
      <c r="S5005" t="s">
        <v>11316</v>
      </c>
      <c r="T5005" t="s">
        <v>12620</v>
      </c>
      <c r="U5005" t="s">
        <v>12620</v>
      </c>
      <c r="V5005" t="s">
        <v>12620</v>
      </c>
      <c r="W5005" t="s">
        <v>17568</v>
      </c>
      <c r="X5005">
        <v>2</v>
      </c>
      <c r="Y5005" t="s">
        <v>23674</v>
      </c>
      <c r="Z5005" t="s">
        <v>29952</v>
      </c>
      <c r="AA5005">
        <v>0.40301983660367241</v>
      </c>
      <c r="AB5005" t="str">
        <f>HYPERLINK("Melting_Curves/meltCurve_Q9BRQ8_AIFM2.pdf", "Melting_Curves/meltCurve_Q9BRQ8_AIFM2.pdf")</f>
        <v>Melting_Curves/meltCurve_Q9BRQ8_AIFM2.pdf</v>
      </c>
    </row>
    <row r="5006" spans="1:28" x14ac:dyDescent="0.25">
      <c r="A5006" t="s">
        <v>5010</v>
      </c>
      <c r="B5006">
        <v>0.99987803227770999</v>
      </c>
      <c r="C5006">
        <v>1.0648858348066801</v>
      </c>
      <c r="D5006">
        <v>1.14805003323092</v>
      </c>
      <c r="E5006">
        <v>0.99140002661962701</v>
      </c>
      <c r="F5006">
        <v>0.97032814131112699</v>
      </c>
      <c r="G5006">
        <v>0.61491504901978</v>
      </c>
      <c r="H5006">
        <v>0.36365258258267802</v>
      </c>
      <c r="I5006">
        <v>0.28563606470199399</v>
      </c>
      <c r="J5006">
        <v>0.197104575328785</v>
      </c>
      <c r="K5006">
        <v>0.14647875067486199</v>
      </c>
      <c r="L5006">
        <v>1433.0193037628801</v>
      </c>
      <c r="M5006">
        <v>24.802078213833099</v>
      </c>
      <c r="N5006">
        <v>58.788687993845201</v>
      </c>
      <c r="O5006">
        <v>57.4065102982157</v>
      </c>
      <c r="P5006">
        <v>-8.9267386302762999E-2</v>
      </c>
      <c r="Q5006">
        <v>0.173543766236329</v>
      </c>
      <c r="R5006">
        <v>0.97588685810866405</v>
      </c>
      <c r="S5006" t="s">
        <v>11317</v>
      </c>
      <c r="T5006" t="s">
        <v>12620</v>
      </c>
      <c r="U5006" t="s">
        <v>12620</v>
      </c>
      <c r="V5006" t="s">
        <v>12620</v>
      </c>
      <c r="W5006" t="s">
        <v>17569</v>
      </c>
      <c r="X5006">
        <v>2</v>
      </c>
      <c r="Y5006" t="s">
        <v>23675</v>
      </c>
      <c r="Z5006" t="s">
        <v>29953</v>
      </c>
      <c r="AA5006">
        <v>0.67064723072717458</v>
      </c>
      <c r="AB5006" t="str">
        <f>HYPERLINK("Melting_Curves/meltCurve_Q9BRR6_2_ADPGK.pdf", "Melting_Curves/meltCurve_Q9BRR6_2_ADPGK.pdf")</f>
        <v>Melting_Curves/meltCurve_Q9BRR6_2_ADPGK.pdf</v>
      </c>
    </row>
    <row r="5007" spans="1:28" x14ac:dyDescent="0.25">
      <c r="A5007" t="s">
        <v>5011</v>
      </c>
      <c r="B5007">
        <v>0.99987803227770999</v>
      </c>
      <c r="C5007">
        <v>1.0362910663554901</v>
      </c>
      <c r="D5007">
        <v>1.0394976916148799</v>
      </c>
      <c r="E5007">
        <v>0.98623702000452695</v>
      </c>
      <c r="F5007">
        <v>1.02449675701874</v>
      </c>
      <c r="G5007">
        <v>0.88898843491954005</v>
      </c>
      <c r="H5007">
        <v>0.78340811101522201</v>
      </c>
      <c r="I5007">
        <v>0.81682435357427297</v>
      </c>
      <c r="J5007">
        <v>0.59787357932804297</v>
      </c>
      <c r="K5007">
        <v>0.52830090834417598</v>
      </c>
      <c r="L5007">
        <v>763.01243077720005</v>
      </c>
      <c r="M5007">
        <v>11.0123914944134</v>
      </c>
      <c r="O5007">
        <v>67.119598317965597</v>
      </c>
      <c r="P5007">
        <v>-3.70405399826493E-2</v>
      </c>
      <c r="Q5007">
        <v>9.7267697784348905E-2</v>
      </c>
      <c r="R5007">
        <v>0.945671135209186</v>
      </c>
      <c r="S5007" t="s">
        <v>11318</v>
      </c>
      <c r="T5007" t="s">
        <v>12620</v>
      </c>
      <c r="U5007" t="s">
        <v>12620</v>
      </c>
      <c r="V5007" t="s">
        <v>12620</v>
      </c>
      <c r="W5007" t="s">
        <v>17570</v>
      </c>
      <c r="X5007">
        <v>12</v>
      </c>
      <c r="Y5007" t="s">
        <v>23676</v>
      </c>
      <c r="Z5007" t="s">
        <v>29954</v>
      </c>
      <c r="AA5007">
        <v>0.87982613827877354</v>
      </c>
      <c r="AB5007" t="str">
        <f>HYPERLINK("Melting_Curves/meltCurve_Q9BRR8_GPATCH1.pdf", "Melting_Curves/meltCurve_Q9BRR8_GPATCH1.pdf")</f>
        <v>Melting_Curves/meltCurve_Q9BRR8_GPATCH1.pdf</v>
      </c>
    </row>
    <row r="5008" spans="1:28" x14ac:dyDescent="0.25">
      <c r="A5008" t="s">
        <v>5012</v>
      </c>
      <c r="B5008">
        <v>0.99987803227770999</v>
      </c>
      <c r="C5008">
        <v>0.91582458062905303</v>
      </c>
      <c r="D5008">
        <v>0.88640671877019495</v>
      </c>
      <c r="E5008">
        <v>0.66579072290335395</v>
      </c>
      <c r="F5008">
        <v>0.41811942236237998</v>
      </c>
      <c r="G5008">
        <v>0.26017187697969701</v>
      </c>
      <c r="H5008">
        <v>0.21961955229904301</v>
      </c>
      <c r="I5008">
        <v>0.18769899600944501</v>
      </c>
      <c r="J5008">
        <v>0.16013153976007199</v>
      </c>
      <c r="K5008">
        <v>0.11476349467980999</v>
      </c>
      <c r="L5008">
        <v>823.70625443633696</v>
      </c>
      <c r="M5008">
        <v>16.130994046776401</v>
      </c>
      <c r="N5008">
        <v>52.0889099054003</v>
      </c>
      <c r="O5008">
        <v>50.298153624199401</v>
      </c>
      <c r="P5008">
        <v>-6.9275996998310593E-2</v>
      </c>
      <c r="Q5008">
        <v>0.136026010061329</v>
      </c>
      <c r="R5008">
        <v>0.994693597510377</v>
      </c>
      <c r="S5008" t="s">
        <v>11319</v>
      </c>
      <c r="T5008" t="s">
        <v>12620</v>
      </c>
      <c r="U5008" t="s">
        <v>12620</v>
      </c>
      <c r="V5008" t="s">
        <v>12620</v>
      </c>
      <c r="W5008" t="s">
        <v>17571</v>
      </c>
      <c r="X5008">
        <v>7</v>
      </c>
      <c r="Y5008" t="s">
        <v>23677</v>
      </c>
      <c r="Z5008" t="s">
        <v>29955</v>
      </c>
      <c r="AA5008">
        <v>0.47228068917489252</v>
      </c>
      <c r="AB5008" t="str">
        <f>HYPERLINK("Melting_Curves/meltCurve_Q9BRS2_RIOK1.pdf", "Melting_Curves/meltCurve_Q9BRS2_RIOK1.pdf")</f>
        <v>Melting_Curves/meltCurve_Q9BRS2_RIOK1.pdf</v>
      </c>
    </row>
    <row r="5009" spans="1:28" x14ac:dyDescent="0.25">
      <c r="A5009" t="s">
        <v>5013</v>
      </c>
      <c r="B5009">
        <v>0.99987803227770999</v>
      </c>
      <c r="C5009">
        <v>0.95397375229509895</v>
      </c>
      <c r="D5009">
        <v>0.781957040239593</v>
      </c>
      <c r="E5009">
        <v>0.65094434048842398</v>
      </c>
      <c r="F5009">
        <v>0.51570631585367099</v>
      </c>
      <c r="G5009">
        <v>0.490388197723092</v>
      </c>
      <c r="H5009">
        <v>0.38744820858810203</v>
      </c>
      <c r="I5009">
        <v>0.387229683754726</v>
      </c>
      <c r="J5009">
        <v>0.26792652548719997</v>
      </c>
      <c r="K5009">
        <v>0.26675056868007302</v>
      </c>
      <c r="L5009">
        <v>523.75923408508595</v>
      </c>
      <c r="M5009">
        <v>10.2666426933775</v>
      </c>
      <c r="N5009">
        <v>54.760929868483601</v>
      </c>
      <c r="O5009">
        <v>49.193805009233799</v>
      </c>
      <c r="P5009">
        <v>-3.9030812881704298E-2</v>
      </c>
      <c r="Q5009">
        <v>0.25224639287170803</v>
      </c>
      <c r="R5009">
        <v>0.97659907076789798</v>
      </c>
      <c r="S5009" t="s">
        <v>11320</v>
      </c>
      <c r="T5009" t="s">
        <v>12620</v>
      </c>
      <c r="U5009" t="s">
        <v>12620</v>
      </c>
      <c r="V5009" t="s">
        <v>12620</v>
      </c>
      <c r="W5009" t="s">
        <v>17572</v>
      </c>
      <c r="X5009">
        <v>3</v>
      </c>
      <c r="Y5009" t="s">
        <v>23678</v>
      </c>
      <c r="Z5009" t="s">
        <v>29956</v>
      </c>
      <c r="AA5009">
        <v>0.55686720327684081</v>
      </c>
      <c r="AB5009" t="str">
        <f>HYPERLINK("Melting_Curves/meltCurve_Q9BRS8_LARP6.pdf", "Melting_Curves/meltCurve_Q9BRS8_LARP6.pdf")</f>
        <v>Melting_Curves/meltCurve_Q9BRS8_LARP6.pdf</v>
      </c>
    </row>
    <row r="5010" spans="1:28" x14ac:dyDescent="0.25">
      <c r="A5010" t="s">
        <v>5014</v>
      </c>
      <c r="B5010">
        <v>0.99987803227770999</v>
      </c>
      <c r="C5010">
        <v>0.680765443327631</v>
      </c>
      <c r="D5010">
        <v>0.77029359054457702</v>
      </c>
      <c r="E5010">
        <v>0.75932116288120399</v>
      </c>
      <c r="F5010">
        <v>1.0089459172044599</v>
      </c>
      <c r="G5010">
        <v>1.3026493923251301</v>
      </c>
      <c r="H5010">
        <v>0.80476965147810098</v>
      </c>
      <c r="I5010">
        <v>0.68558114977374696</v>
      </c>
      <c r="J5010">
        <v>0.49119765548841599</v>
      </c>
      <c r="K5010">
        <v>0.30651200188857097</v>
      </c>
      <c r="L5010">
        <v>1910.6461383190999</v>
      </c>
      <c r="M5010">
        <v>29.544446777205501</v>
      </c>
      <c r="N5010">
        <v>66.301575435684995</v>
      </c>
      <c r="O5010">
        <v>64.376120134272497</v>
      </c>
      <c r="P5010">
        <v>-8.5097738682143195E-2</v>
      </c>
      <c r="Q5010">
        <v>0.25830744042925102</v>
      </c>
      <c r="R5010">
        <v>0.54044040439319296</v>
      </c>
      <c r="S5010" t="s">
        <v>11321</v>
      </c>
      <c r="T5010" t="s">
        <v>12620</v>
      </c>
      <c r="U5010" t="s">
        <v>12620</v>
      </c>
      <c r="V5010" t="s">
        <v>12620</v>
      </c>
      <c r="W5010" t="s">
        <v>17573</v>
      </c>
      <c r="X5010">
        <v>7</v>
      </c>
      <c r="Y5010" t="s">
        <v>23679</v>
      </c>
      <c r="Z5010" t="s">
        <v>29957</v>
      </c>
      <c r="AA5010">
        <v>0.86745975407284337</v>
      </c>
      <c r="AB5010" t="str">
        <f>HYPERLINK("Melting_Curves/meltCurve_Q9BRT3_MIEN1.pdf", "Melting_Curves/meltCurve_Q9BRT3_MIEN1.pdf")</f>
        <v>Melting_Curves/meltCurve_Q9BRT3_MIEN1.pdf</v>
      </c>
    </row>
    <row r="5011" spans="1:28" x14ac:dyDescent="0.25">
      <c r="A5011" t="s">
        <v>5015</v>
      </c>
      <c r="B5011">
        <v>0.99987803227770999</v>
      </c>
      <c r="C5011">
        <v>0.61935774078504202</v>
      </c>
      <c r="D5011">
        <v>1.08048489026693</v>
      </c>
      <c r="E5011">
        <v>0.96792363495755795</v>
      </c>
      <c r="F5011">
        <v>0.520907638195232</v>
      </c>
      <c r="G5011">
        <v>0.26043452921048099</v>
      </c>
      <c r="H5011">
        <v>0.164649274050641</v>
      </c>
      <c r="I5011">
        <v>0.14328842259467001</v>
      </c>
      <c r="J5011">
        <v>0.105972706726486</v>
      </c>
      <c r="K5011">
        <v>8.1084087510014405E-2</v>
      </c>
      <c r="L5011">
        <v>1988.4266234005299</v>
      </c>
      <c r="M5011">
        <v>37.558828373770901</v>
      </c>
      <c r="N5011">
        <v>53.387884520754803</v>
      </c>
      <c r="O5011">
        <v>52.792245714485098</v>
      </c>
      <c r="P5011">
        <v>-0.153901651902073</v>
      </c>
      <c r="Q5011">
        <v>0.13471293985160901</v>
      </c>
      <c r="R5011">
        <v>0.88586825603897201</v>
      </c>
      <c r="S5011" t="s">
        <v>11322</v>
      </c>
      <c r="T5011" t="s">
        <v>12620</v>
      </c>
      <c r="U5011" t="s">
        <v>12620</v>
      </c>
      <c r="V5011" t="s">
        <v>12620</v>
      </c>
      <c r="W5011" t="s">
        <v>17574</v>
      </c>
      <c r="X5011">
        <v>7</v>
      </c>
      <c r="Y5011" t="s">
        <v>23680</v>
      </c>
      <c r="Z5011" t="s">
        <v>29958</v>
      </c>
      <c r="AA5011">
        <v>0.51157673072707499</v>
      </c>
      <c r="AB5011" t="str">
        <f>HYPERLINK("Melting_Curves/meltCurve_Q9BRT9_GINS4.pdf", "Melting_Curves/meltCurve_Q9BRT9_GINS4.pdf")</f>
        <v>Melting_Curves/meltCurve_Q9BRT9_GINS4.pdf</v>
      </c>
    </row>
    <row r="5012" spans="1:28" x14ac:dyDescent="0.25">
      <c r="A5012" t="s">
        <v>5016</v>
      </c>
      <c r="B5012">
        <v>0.99987803227770999</v>
      </c>
      <c r="C5012">
        <v>0.89978286336554802</v>
      </c>
      <c r="D5012">
        <v>0.99254444360129102</v>
      </c>
      <c r="E5012">
        <v>0.90311762387849803</v>
      </c>
      <c r="F5012">
        <v>1.0265937776039</v>
      </c>
      <c r="G5012">
        <v>0.82252286867359103</v>
      </c>
      <c r="H5012">
        <v>0.86699901346394304</v>
      </c>
      <c r="I5012">
        <v>0.75938589832262304</v>
      </c>
      <c r="J5012">
        <v>0.85910420373549901</v>
      </c>
      <c r="K5012">
        <v>0.70140829193893905</v>
      </c>
      <c r="L5012">
        <v>306.22101334332899</v>
      </c>
      <c r="M5012">
        <v>3.3225867289042701</v>
      </c>
      <c r="Q5012">
        <v>0</v>
      </c>
      <c r="R5012">
        <v>0.64500988677717996</v>
      </c>
      <c r="S5012" t="s">
        <v>11323</v>
      </c>
      <c r="T5012" t="s">
        <v>12620</v>
      </c>
      <c r="U5012" t="s">
        <v>12620</v>
      </c>
      <c r="V5012" t="s">
        <v>12620</v>
      </c>
      <c r="W5012" t="s">
        <v>17575</v>
      </c>
      <c r="X5012">
        <v>2</v>
      </c>
      <c r="Y5012" t="s">
        <v>23681</v>
      </c>
      <c r="Z5012" t="s">
        <v>29959</v>
      </c>
      <c r="AA5012">
        <v>0.89024151747227998</v>
      </c>
      <c r="AB5012" t="str">
        <f>HYPERLINK("Melting_Curves/meltCurve_Q9BRV8_SIKE1.pdf", "Melting_Curves/meltCurve_Q9BRV8_SIKE1.pdf")</f>
        <v>Melting_Curves/meltCurve_Q9BRV8_SIKE1.pdf</v>
      </c>
    </row>
    <row r="5013" spans="1:28" x14ac:dyDescent="0.25">
      <c r="A5013" t="s">
        <v>5017</v>
      </c>
      <c r="B5013">
        <v>0.99987803227770999</v>
      </c>
      <c r="C5013">
        <v>0.77451328572010802</v>
      </c>
      <c r="D5013">
        <v>0.50159406956946595</v>
      </c>
      <c r="E5013">
        <v>0.26009808070721602</v>
      </c>
      <c r="F5013">
        <v>0.177386474113406</v>
      </c>
      <c r="G5013">
        <v>0.116194924271184</v>
      </c>
      <c r="H5013">
        <v>9.3394777532604806E-2</v>
      </c>
      <c r="I5013">
        <v>8.5926048984818801E-2</v>
      </c>
      <c r="J5013">
        <v>7.3530765484482105E-2</v>
      </c>
      <c r="K5013">
        <v>5.4109665188510903E-2</v>
      </c>
      <c r="L5013">
        <v>820.40471113964099</v>
      </c>
      <c r="M5013">
        <v>17.9078358333532</v>
      </c>
      <c r="N5013">
        <v>46.259173197168202</v>
      </c>
      <c r="O5013">
        <v>45.252787933275101</v>
      </c>
      <c r="P5013">
        <v>-9.1083760561078198E-2</v>
      </c>
      <c r="Q5013">
        <v>7.9378074641509602E-2</v>
      </c>
      <c r="R5013">
        <v>0.99368428278643794</v>
      </c>
      <c r="S5013" t="s">
        <v>11324</v>
      </c>
      <c r="T5013" t="s">
        <v>12620</v>
      </c>
      <c r="U5013" t="s">
        <v>12620</v>
      </c>
      <c r="V5013" t="s">
        <v>12620</v>
      </c>
      <c r="W5013" t="s">
        <v>17576</v>
      </c>
      <c r="X5013">
        <v>13</v>
      </c>
      <c r="Y5013" t="s">
        <v>23682</v>
      </c>
      <c r="Z5013" t="s">
        <v>29960</v>
      </c>
      <c r="AA5013">
        <v>0.27631073218222257</v>
      </c>
      <c r="AB5013" t="str">
        <f>HYPERLINK("Melting_Curves/meltCurve_Q9BRX2_PELO.pdf", "Melting_Curves/meltCurve_Q9BRX2_PELO.pdf")</f>
        <v>Melting_Curves/meltCurve_Q9BRX2_PELO.pdf</v>
      </c>
    </row>
    <row r="5014" spans="1:28" x14ac:dyDescent="0.25">
      <c r="A5014" t="s">
        <v>5018</v>
      </c>
      <c r="B5014">
        <v>0.99987803227770999</v>
      </c>
      <c r="C5014">
        <v>1.1198080544591</v>
      </c>
      <c r="D5014">
        <v>1.05671602858461</v>
      </c>
      <c r="E5014">
        <v>0.90203676889575402</v>
      </c>
      <c r="F5014">
        <v>0.26567168939573399</v>
      </c>
      <c r="G5014">
        <v>0.15371317991253799</v>
      </c>
      <c r="H5014">
        <v>9.3530841528859807E-2</v>
      </c>
      <c r="I5014">
        <v>7.1177839002641199E-2</v>
      </c>
      <c r="J5014">
        <v>6.8196323726504707E-2</v>
      </c>
      <c r="K5014">
        <v>5.8472945081970797E-2</v>
      </c>
      <c r="L5014">
        <v>3080.98061962771</v>
      </c>
      <c r="M5014">
        <v>59.526967964297498</v>
      </c>
      <c r="N5014">
        <v>51.926006812603397</v>
      </c>
      <c r="O5014">
        <v>51.699411637104198</v>
      </c>
      <c r="P5014">
        <v>-0.26260035681190602</v>
      </c>
      <c r="Q5014">
        <v>8.77225144377171E-2</v>
      </c>
      <c r="R5014">
        <v>0.98850864895744595</v>
      </c>
      <c r="S5014" t="s">
        <v>11325</v>
      </c>
      <c r="T5014" t="s">
        <v>12620</v>
      </c>
      <c r="U5014" t="s">
        <v>12620</v>
      </c>
      <c r="V5014" t="s">
        <v>12620</v>
      </c>
      <c r="W5014" t="s">
        <v>17577</v>
      </c>
      <c r="X5014">
        <v>11</v>
      </c>
      <c r="Y5014" t="s">
        <v>23683</v>
      </c>
      <c r="Z5014" t="s">
        <v>29961</v>
      </c>
      <c r="AA5014">
        <v>0.44673321550795098</v>
      </c>
      <c r="AB5014" t="str">
        <f>HYPERLINK("Melting_Curves/meltCurve_Q9BRX5_GINS3.pdf", "Melting_Curves/meltCurve_Q9BRX5_GINS3.pdf")</f>
        <v>Melting_Curves/meltCurve_Q9BRX5_GINS3.pdf</v>
      </c>
    </row>
    <row r="5015" spans="1:28" x14ac:dyDescent="0.25">
      <c r="A5015" t="s">
        <v>5019</v>
      </c>
      <c r="B5015">
        <v>0.99987803227770999</v>
      </c>
      <c r="C5015">
        <v>0.97388707127662899</v>
      </c>
      <c r="D5015">
        <v>0.92508073643593403</v>
      </c>
      <c r="E5015">
        <v>1.06175738145174</v>
      </c>
      <c r="F5015">
        <v>0.94099282547752905</v>
      </c>
      <c r="G5015">
        <v>0.83721967864926305</v>
      </c>
      <c r="H5015">
        <v>0.482125371393123</v>
      </c>
      <c r="I5015">
        <v>0.22349118072698601</v>
      </c>
      <c r="J5015">
        <v>8.2507250897057197E-2</v>
      </c>
      <c r="K5015">
        <v>5.52883812085464E-2</v>
      </c>
      <c r="L5015">
        <v>1510.13587452355</v>
      </c>
      <c r="M5015">
        <v>24.869256865884001</v>
      </c>
      <c r="N5015">
        <v>60.763864053601303</v>
      </c>
      <c r="O5015">
        <v>60.334468036962001</v>
      </c>
      <c r="P5015">
        <v>-0.102194292284079</v>
      </c>
      <c r="Q5015">
        <v>8.2932523671700297E-3</v>
      </c>
      <c r="R5015">
        <v>0.99178829401974</v>
      </c>
      <c r="S5015" t="s">
        <v>11326</v>
      </c>
      <c r="T5015" t="s">
        <v>12620</v>
      </c>
      <c r="U5015" t="s">
        <v>12620</v>
      </c>
      <c r="V5015" t="s">
        <v>12620</v>
      </c>
      <c r="W5015" t="s">
        <v>17578</v>
      </c>
      <c r="X5015">
        <v>2</v>
      </c>
      <c r="Y5015" t="s">
        <v>23684</v>
      </c>
      <c r="Z5015" t="s">
        <v>29962</v>
      </c>
      <c r="AA5015">
        <v>0.69993150018493855</v>
      </c>
      <c r="AB5015" t="str">
        <f>HYPERLINK("Melting_Curves/meltCurve_Q9BRX9_WDR83.pdf", "Melting_Curves/meltCurve_Q9BRX9_WDR83.pdf")</f>
        <v>Melting_Curves/meltCurve_Q9BRX9_WDR83.pdf</v>
      </c>
    </row>
    <row r="5016" spans="1:28" x14ac:dyDescent="0.25">
      <c r="A5016" t="s">
        <v>5020</v>
      </c>
      <c r="B5016">
        <v>0.99987803227770999</v>
      </c>
      <c r="C5016">
        <v>0.89672349219157199</v>
      </c>
      <c r="D5016">
        <v>1.0522872607998901</v>
      </c>
      <c r="E5016">
        <v>0.66919176885544795</v>
      </c>
      <c r="F5016">
        <v>0.62045601072813505</v>
      </c>
      <c r="G5016">
        <v>0.45529252716561203</v>
      </c>
      <c r="H5016">
        <v>0.42648190434178401</v>
      </c>
      <c r="I5016">
        <v>0.320787935000375</v>
      </c>
      <c r="J5016">
        <v>0.34678029735815902</v>
      </c>
      <c r="K5016">
        <v>0.31932490343251102</v>
      </c>
      <c r="L5016">
        <v>850.62008843401202</v>
      </c>
      <c r="M5016">
        <v>16.461931941250299</v>
      </c>
      <c r="N5016">
        <v>55.259158486242796</v>
      </c>
      <c r="O5016">
        <v>50.927490631867101</v>
      </c>
      <c r="P5016">
        <v>-5.4287214984278298E-2</v>
      </c>
      <c r="Q5016">
        <v>0.32826401580201198</v>
      </c>
      <c r="R5016">
        <v>0.95155195365087797</v>
      </c>
      <c r="S5016" t="s">
        <v>11327</v>
      </c>
      <c r="T5016" t="s">
        <v>12620</v>
      </c>
      <c r="U5016" t="s">
        <v>12620</v>
      </c>
      <c r="V5016" t="s">
        <v>12620</v>
      </c>
      <c r="W5016" t="s">
        <v>17579</v>
      </c>
      <c r="X5016">
        <v>1</v>
      </c>
      <c r="Y5016" t="s">
        <v>23685</v>
      </c>
      <c r="Z5016" t="s">
        <v>29963</v>
      </c>
      <c r="AA5016">
        <v>0.60268073394676513</v>
      </c>
      <c r="AB5016" t="str">
        <f>HYPERLINK("Melting_Curves/meltCurve_Q9BRZ2_TRIM56.pdf", "Melting_Curves/meltCurve_Q9BRZ2_TRIM56.pdf")</f>
        <v>Melting_Curves/meltCurve_Q9BRZ2_TRIM56.pdf</v>
      </c>
    </row>
    <row r="5017" spans="1:28" x14ac:dyDescent="0.25">
      <c r="A5017" t="s">
        <v>5021</v>
      </c>
      <c r="B5017">
        <v>0.99987803227770999</v>
      </c>
      <c r="C5017">
        <v>0.99205294168847202</v>
      </c>
      <c r="D5017">
        <v>1.04016879396722</v>
      </c>
      <c r="E5017">
        <v>1.0099992383398</v>
      </c>
      <c r="F5017">
        <v>0.87222168371122699</v>
      </c>
      <c r="G5017">
        <v>0.27175494261600103</v>
      </c>
      <c r="H5017">
        <v>0.26902028946541801</v>
      </c>
      <c r="I5017">
        <v>0.20486828429166101</v>
      </c>
      <c r="J5017">
        <v>9.0524720263907704E-2</v>
      </c>
      <c r="K5017">
        <v>5.17324086068826E-2</v>
      </c>
      <c r="L5017">
        <v>2499.4632020119898</v>
      </c>
      <c r="M5017">
        <v>45.475338008418198</v>
      </c>
      <c r="N5017">
        <v>55.389961445058603</v>
      </c>
      <c r="O5017">
        <v>54.8570795353194</v>
      </c>
      <c r="P5017">
        <v>-0.17660766239595899</v>
      </c>
      <c r="Q5017">
        <v>0.14783099406347699</v>
      </c>
      <c r="R5017">
        <v>0.98182997874476396</v>
      </c>
      <c r="S5017" t="s">
        <v>11328</v>
      </c>
      <c r="T5017" t="s">
        <v>12620</v>
      </c>
      <c r="U5017" t="s">
        <v>12620</v>
      </c>
      <c r="V5017" t="s">
        <v>12620</v>
      </c>
      <c r="W5017" t="s">
        <v>17580</v>
      </c>
      <c r="X5017">
        <v>15</v>
      </c>
      <c r="Y5017" t="s">
        <v>23686</v>
      </c>
      <c r="Z5017" t="s">
        <v>29964</v>
      </c>
      <c r="AA5017">
        <v>0.57536305014781919</v>
      </c>
      <c r="AB5017" t="str">
        <f>HYPERLINK("Melting_Curves/meltCurve_Q9BS26_ERP44.pdf", "Melting_Curves/meltCurve_Q9BS26_ERP44.pdf")</f>
        <v>Melting_Curves/meltCurve_Q9BS26_ERP44.pdf</v>
      </c>
    </row>
    <row r="5018" spans="1:28" x14ac:dyDescent="0.25">
      <c r="A5018" t="s">
        <v>5022</v>
      </c>
      <c r="B5018">
        <v>0.99987803227770999</v>
      </c>
      <c r="C5018">
        <v>0.85063271645915395</v>
      </c>
      <c r="D5018">
        <v>1.0187095736177301</v>
      </c>
      <c r="E5018">
        <v>0.83272398593343999</v>
      </c>
      <c r="F5018">
        <v>1.11067205396262</v>
      </c>
      <c r="G5018">
        <v>0.70326713090711601</v>
      </c>
      <c r="H5018">
        <v>0.21034812912464501</v>
      </c>
      <c r="I5018">
        <v>0.13072850231573999</v>
      </c>
      <c r="J5018">
        <v>9.4887309726397501E-2</v>
      </c>
      <c r="K5018">
        <v>7.3607491607072306E-2</v>
      </c>
      <c r="L5018">
        <v>2517.5721581488001</v>
      </c>
      <c r="M5018">
        <v>43.368867975038199</v>
      </c>
      <c r="N5018">
        <v>58.339088847053901</v>
      </c>
      <c r="O5018">
        <v>57.927197930673103</v>
      </c>
      <c r="P5018">
        <v>-0.16908436521146</v>
      </c>
      <c r="Q5018">
        <v>9.6626761736173503E-2</v>
      </c>
      <c r="R5018">
        <v>0.95860902621843902</v>
      </c>
      <c r="S5018" t="s">
        <v>11329</v>
      </c>
      <c r="T5018" t="s">
        <v>12620</v>
      </c>
      <c r="U5018" t="s">
        <v>12620</v>
      </c>
      <c r="V5018" t="s">
        <v>12620</v>
      </c>
      <c r="W5018" t="s">
        <v>17581</v>
      </c>
      <c r="X5018">
        <v>4</v>
      </c>
      <c r="Y5018" t="s">
        <v>23687</v>
      </c>
      <c r="Z5018" t="s">
        <v>29965</v>
      </c>
      <c r="AA5018">
        <v>0.64320536189749389</v>
      </c>
      <c r="AB5018" t="str">
        <f>HYPERLINK("Melting_Curves/meltCurve_Q9BS40_LXN.pdf", "Melting_Curves/meltCurve_Q9BS40_LXN.pdf")</f>
        <v>Melting_Curves/meltCurve_Q9BS40_LXN.pdf</v>
      </c>
    </row>
    <row r="5019" spans="1:28" x14ac:dyDescent="0.25">
      <c r="A5019" t="s">
        <v>5023</v>
      </c>
      <c r="B5019">
        <v>0.99987803227770999</v>
      </c>
      <c r="C5019">
        <v>0.90259426323024705</v>
      </c>
      <c r="D5019">
        <v>0.86318042416695395</v>
      </c>
      <c r="E5019">
        <v>0.76163586005931405</v>
      </c>
      <c r="F5019">
        <v>0.62461384495280903</v>
      </c>
      <c r="G5019">
        <v>0.56801503973662704</v>
      </c>
      <c r="H5019">
        <v>0.53519335304551496</v>
      </c>
      <c r="I5019">
        <v>0.60615090339516697</v>
      </c>
      <c r="J5019">
        <v>0.29758359065566398</v>
      </c>
      <c r="K5019">
        <v>0.16230298212078101</v>
      </c>
      <c r="L5019">
        <v>363.98839093483298</v>
      </c>
      <c r="M5019">
        <v>6.0486874360510701</v>
      </c>
      <c r="N5019">
        <v>60.176428799523798</v>
      </c>
      <c r="O5019">
        <v>54.590368475903297</v>
      </c>
      <c r="P5019">
        <v>-2.7787497919123501E-2</v>
      </c>
      <c r="Q5019">
        <v>0</v>
      </c>
      <c r="R5019">
        <v>0.88720916222981305</v>
      </c>
      <c r="S5019" t="s">
        <v>11330</v>
      </c>
      <c r="T5019" t="s">
        <v>12620</v>
      </c>
      <c r="U5019" t="s">
        <v>12620</v>
      </c>
      <c r="V5019" t="s">
        <v>12620</v>
      </c>
      <c r="W5019" t="s">
        <v>17582</v>
      </c>
      <c r="X5019">
        <v>8</v>
      </c>
      <c r="Y5019" t="s">
        <v>23688</v>
      </c>
      <c r="Z5019" t="s">
        <v>29966</v>
      </c>
      <c r="AA5019">
        <v>0.63687999772357395</v>
      </c>
      <c r="AB5019" t="str">
        <f>HYPERLINK("Melting_Curves/meltCurve_Q9BSB4_ATG101.pdf", "Melting_Curves/meltCurve_Q9BSB4_ATG101.pdf")</f>
        <v>Melting_Curves/meltCurve_Q9BSB4_ATG101.pdf</v>
      </c>
    </row>
    <row r="5020" spans="1:28" x14ac:dyDescent="0.25">
      <c r="A5020" t="s">
        <v>5024</v>
      </c>
      <c r="B5020">
        <v>0.99987803227770999</v>
      </c>
      <c r="C5020">
        <v>0.64507424762963095</v>
      </c>
      <c r="D5020">
        <v>0.38041202653169798</v>
      </c>
      <c r="E5020">
        <v>0.188555032436382</v>
      </c>
      <c r="F5020">
        <v>0.103135179795284</v>
      </c>
      <c r="G5020">
        <v>6.4033535503150399E-2</v>
      </c>
      <c r="H5020">
        <v>4.1829156612319202E-2</v>
      </c>
      <c r="I5020">
        <v>3.6781641405698499E-2</v>
      </c>
      <c r="J5020">
        <v>2.97258379901266E-2</v>
      </c>
      <c r="K5020">
        <v>2.0618874589015498E-2</v>
      </c>
      <c r="L5020">
        <v>857.91787935522905</v>
      </c>
      <c r="M5020">
        <v>19.2228994244023</v>
      </c>
      <c r="N5020">
        <v>44.831999769864602</v>
      </c>
      <c r="O5020">
        <v>44.1554191725509</v>
      </c>
      <c r="P5020">
        <v>-0.10432533300593699</v>
      </c>
      <c r="Q5020">
        <v>4.1486230002523598E-2</v>
      </c>
      <c r="R5020">
        <v>0.98560974815041102</v>
      </c>
      <c r="S5020" t="s">
        <v>11331</v>
      </c>
      <c r="T5020" t="s">
        <v>12620</v>
      </c>
      <c r="U5020" t="s">
        <v>12620</v>
      </c>
      <c r="V5020" t="s">
        <v>12620</v>
      </c>
      <c r="W5020" t="s">
        <v>17583</v>
      </c>
      <c r="X5020">
        <v>6</v>
      </c>
      <c r="Y5020" t="s">
        <v>23689</v>
      </c>
      <c r="Z5020" t="s">
        <v>29967</v>
      </c>
      <c r="AA5020">
        <v>0.2080239831664287</v>
      </c>
      <c r="AB5020" t="str">
        <f>HYPERLINK("Melting_Curves/meltCurve_Q9BSD7_NTPCR.pdf", "Melting_Curves/meltCurve_Q9BSD7_NTPCR.pdf")</f>
        <v>Melting_Curves/meltCurve_Q9BSD7_NTPCR.pdf</v>
      </c>
    </row>
    <row r="5021" spans="1:28" x14ac:dyDescent="0.25">
      <c r="A5021" t="s">
        <v>5025</v>
      </c>
      <c r="B5021">
        <v>0.99987803227770999</v>
      </c>
      <c r="C5021">
        <v>0.81059230926041803</v>
      </c>
      <c r="D5021">
        <v>1.08104288809335</v>
      </c>
      <c r="E5021">
        <v>0.85679069951569597</v>
      </c>
      <c r="F5021">
        <v>1.2711504855303499</v>
      </c>
      <c r="G5021">
        <v>1.0919289645836701</v>
      </c>
      <c r="H5021">
        <v>0.95975050453774002</v>
      </c>
      <c r="I5021">
        <v>1.04893828020117</v>
      </c>
      <c r="J5021">
        <v>0.72619620081012803</v>
      </c>
      <c r="K5021">
        <v>0.57184674281637005</v>
      </c>
      <c r="L5021">
        <v>15000</v>
      </c>
      <c r="M5021">
        <v>224.453549832405</v>
      </c>
      <c r="O5021">
        <v>66.823659561121204</v>
      </c>
      <c r="P5021">
        <v>-0.35954763220063302</v>
      </c>
      <c r="Q5021">
        <v>0.57182604430696204</v>
      </c>
      <c r="R5021">
        <v>0.60108057606409504</v>
      </c>
      <c r="S5021" t="s">
        <v>11332</v>
      </c>
      <c r="T5021" t="s">
        <v>12620</v>
      </c>
      <c r="U5021" t="s">
        <v>12620</v>
      </c>
      <c r="V5021" t="s">
        <v>12620</v>
      </c>
      <c r="W5021" t="s">
        <v>17584</v>
      </c>
      <c r="X5021">
        <v>1</v>
      </c>
      <c r="Y5021" t="s">
        <v>23690</v>
      </c>
      <c r="Z5021" t="s">
        <v>29968</v>
      </c>
      <c r="AA5021">
        <v>0.95480373571662558</v>
      </c>
      <c r="AB5021" t="str">
        <f>HYPERLINK("Melting_Curves/meltCurve_Q9BSE4_HERPUD2.pdf", "Melting_Curves/meltCurve_Q9BSE4_HERPUD2.pdf")</f>
        <v>Melting_Curves/meltCurve_Q9BSE4_HERPUD2.pdf</v>
      </c>
    </row>
    <row r="5022" spans="1:28" x14ac:dyDescent="0.25">
      <c r="A5022" t="s">
        <v>5026</v>
      </c>
      <c r="B5022">
        <v>0.99987803227770999</v>
      </c>
      <c r="C5022">
        <v>1.0202888597203399</v>
      </c>
      <c r="D5022">
        <v>0.94450053253514499</v>
      </c>
      <c r="E5022">
        <v>1.0276184498565699</v>
      </c>
      <c r="F5022">
        <v>0.81087081505458802</v>
      </c>
      <c r="G5022">
        <v>0.65405197480233701</v>
      </c>
      <c r="H5022">
        <v>0.902027211490669</v>
      </c>
      <c r="I5022">
        <v>0.89387592256960502</v>
      </c>
      <c r="J5022">
        <v>0.90216424778458504</v>
      </c>
      <c r="K5022">
        <v>0.55603398608764598</v>
      </c>
      <c r="L5022">
        <v>13151.0562665501</v>
      </c>
      <c r="M5022">
        <v>250</v>
      </c>
      <c r="O5022">
        <v>52.600858771357103</v>
      </c>
      <c r="P5022">
        <v>-0.25946512673806399</v>
      </c>
      <c r="Q5022">
        <v>0.781630584564314</v>
      </c>
      <c r="R5022">
        <v>0.48886824753199898</v>
      </c>
      <c r="S5022" t="s">
        <v>11333</v>
      </c>
      <c r="T5022" t="s">
        <v>12620</v>
      </c>
      <c r="U5022" t="s">
        <v>12620</v>
      </c>
      <c r="V5022" t="s">
        <v>12620</v>
      </c>
      <c r="W5022" t="s">
        <v>17585</v>
      </c>
      <c r="X5022">
        <v>8</v>
      </c>
      <c r="Y5022" t="s">
        <v>23691</v>
      </c>
      <c r="Z5022" t="s">
        <v>29969</v>
      </c>
      <c r="AA5022">
        <v>0.8733966529981223</v>
      </c>
      <c r="AB5022" t="str">
        <f>HYPERLINK("Melting_Curves/meltCurve_Q9BSE5_AGMAT.pdf", "Melting_Curves/meltCurve_Q9BSE5_AGMAT.pdf")</f>
        <v>Melting_Curves/meltCurve_Q9BSE5_AGMAT.pdf</v>
      </c>
    </row>
    <row r="5023" spans="1:28" x14ac:dyDescent="0.25">
      <c r="A5023" t="s">
        <v>5027</v>
      </c>
      <c r="B5023">
        <v>0.99987803227770999</v>
      </c>
      <c r="C5023">
        <v>0.49129660618978199</v>
      </c>
      <c r="D5023">
        <v>1.2821949058930799</v>
      </c>
      <c r="E5023">
        <v>0.69881063566471802</v>
      </c>
      <c r="F5023">
        <v>0.26047717741090298</v>
      </c>
      <c r="G5023">
        <v>0.14466518786096799</v>
      </c>
      <c r="H5023">
        <v>9.1319131345805493E-2</v>
      </c>
      <c r="I5023">
        <v>7.52998507021405E-2</v>
      </c>
      <c r="J5023">
        <v>6.6286075598690194E-2</v>
      </c>
      <c r="K5023">
        <v>4.7899746843560201E-2</v>
      </c>
      <c r="L5023">
        <v>2147.20942175964</v>
      </c>
      <c r="M5023">
        <v>42.086590505163102</v>
      </c>
      <c r="N5023">
        <v>51.244282758833599</v>
      </c>
      <c r="O5023">
        <v>50.904061803408702</v>
      </c>
      <c r="P5023">
        <v>-0.189228147824855</v>
      </c>
      <c r="Q5023">
        <v>8.4509717206914498E-2</v>
      </c>
      <c r="R5023">
        <v>0.80116866432992495</v>
      </c>
      <c r="S5023" t="s">
        <v>11334</v>
      </c>
      <c r="T5023" t="s">
        <v>12620</v>
      </c>
      <c r="U5023" t="s">
        <v>12620</v>
      </c>
      <c r="V5023" t="s">
        <v>12620</v>
      </c>
      <c r="W5023" t="s">
        <v>17586</v>
      </c>
      <c r="X5023">
        <v>9</v>
      </c>
      <c r="Y5023" t="s">
        <v>23692</v>
      </c>
      <c r="Z5023" t="s">
        <v>29970</v>
      </c>
      <c r="AA5023">
        <v>0.42367875259211352</v>
      </c>
      <c r="AB5023" t="str">
        <f>HYPERLINK("Melting_Curves/meltCurve_Q9BSH4_TACO1.pdf", "Melting_Curves/meltCurve_Q9BSH4_TACO1.pdf")</f>
        <v>Melting_Curves/meltCurve_Q9BSH4_TACO1.pdf</v>
      </c>
    </row>
    <row r="5024" spans="1:28" x14ac:dyDescent="0.25">
      <c r="A5024" t="s">
        <v>5028</v>
      </c>
      <c r="B5024">
        <v>0.99987803227770999</v>
      </c>
      <c r="C5024">
        <v>0.94464046666236001</v>
      </c>
      <c r="D5024">
        <v>0.99565504855396703</v>
      </c>
      <c r="E5024">
        <v>0.91141105841149705</v>
      </c>
      <c r="F5024">
        <v>0.974361750118794</v>
      </c>
      <c r="G5024">
        <v>0.71216166229719402</v>
      </c>
      <c r="H5024">
        <v>0.57975798042298299</v>
      </c>
      <c r="I5024">
        <v>0.333926030426835</v>
      </c>
      <c r="J5024">
        <v>0.121596289376948</v>
      </c>
      <c r="K5024">
        <v>8.7151984747742106E-2</v>
      </c>
      <c r="L5024">
        <v>1060.0361071710099</v>
      </c>
      <c r="M5024">
        <v>17.331208428959499</v>
      </c>
      <c r="N5024">
        <v>61.163427894758897</v>
      </c>
      <c r="O5024">
        <v>60.366550287821099</v>
      </c>
      <c r="P5024">
        <v>-7.1778995518889194E-2</v>
      </c>
      <c r="Q5024">
        <v>0</v>
      </c>
      <c r="R5024">
        <v>0.98137568682003395</v>
      </c>
      <c r="S5024" t="s">
        <v>11335</v>
      </c>
      <c r="T5024" t="s">
        <v>12620</v>
      </c>
      <c r="U5024" t="s">
        <v>12620</v>
      </c>
      <c r="V5024" t="s">
        <v>12620</v>
      </c>
      <c r="W5024" t="s">
        <v>17587</v>
      </c>
      <c r="X5024">
        <v>7</v>
      </c>
      <c r="Y5024" t="s">
        <v>23693</v>
      </c>
      <c r="Z5024" t="s">
        <v>29971</v>
      </c>
      <c r="AA5024">
        <v>0.70970945538370289</v>
      </c>
      <c r="AB5024" t="str">
        <f>HYPERLINK("Melting_Curves/meltCurve_Q9BSH5_HDHD3.pdf", "Melting_Curves/meltCurve_Q9BSH5_HDHD3.pdf")</f>
        <v>Melting_Curves/meltCurve_Q9BSH5_HDHD3.pdf</v>
      </c>
    </row>
    <row r="5025" spans="1:28" x14ac:dyDescent="0.25">
      <c r="A5025" t="s">
        <v>5029</v>
      </c>
      <c r="B5025">
        <v>0.99987803227770999</v>
      </c>
      <c r="C5025">
        <v>0.96270991784617399</v>
      </c>
      <c r="D5025">
        <v>0.76902133578891496</v>
      </c>
      <c r="E5025">
        <v>0.63574518644901901</v>
      </c>
      <c r="F5025">
        <v>0.33848043370795</v>
      </c>
      <c r="G5025">
        <v>0.18670746434270599</v>
      </c>
      <c r="H5025">
        <v>0.124803891633116</v>
      </c>
      <c r="I5025">
        <v>9.5058384687725303E-2</v>
      </c>
      <c r="J5025">
        <v>8.5358489238595195E-2</v>
      </c>
      <c r="K5025">
        <v>6.5700757599713694E-2</v>
      </c>
      <c r="L5025">
        <v>767.36785465292201</v>
      </c>
      <c r="M5025">
        <v>15.161307140723601</v>
      </c>
      <c r="N5025">
        <v>50.997444838360899</v>
      </c>
      <c r="O5025">
        <v>49.7575363081746</v>
      </c>
      <c r="P5025">
        <v>-7.2075002229953805E-2</v>
      </c>
      <c r="Q5025">
        <v>5.3926659130001497E-2</v>
      </c>
      <c r="R5025">
        <v>0.99220383685035896</v>
      </c>
      <c r="S5025" t="s">
        <v>11336</v>
      </c>
      <c r="T5025" t="s">
        <v>12620</v>
      </c>
      <c r="U5025" t="s">
        <v>12620</v>
      </c>
      <c r="V5025" t="s">
        <v>12620</v>
      </c>
      <c r="W5025" t="s">
        <v>17588</v>
      </c>
      <c r="X5025">
        <v>6</v>
      </c>
      <c r="Y5025" t="s">
        <v>23694</v>
      </c>
      <c r="Z5025" t="s">
        <v>29972</v>
      </c>
      <c r="AA5025">
        <v>0.41035998982616462</v>
      </c>
      <c r="AB5025" t="str">
        <f>HYPERLINK("Melting_Curves/meltCurve_Q9BSJ2_TUBGCP2.pdf", "Melting_Curves/meltCurve_Q9BSJ2_TUBGCP2.pdf")</f>
        <v>Melting_Curves/meltCurve_Q9BSJ2_TUBGCP2.pdf</v>
      </c>
    </row>
    <row r="5026" spans="1:28" x14ac:dyDescent="0.25">
      <c r="A5026" t="s">
        <v>5030</v>
      </c>
      <c r="B5026">
        <v>0.99987803227770999</v>
      </c>
      <c r="C5026">
        <v>0.92514720806555995</v>
      </c>
      <c r="D5026">
        <v>1.0416770321642099</v>
      </c>
      <c r="E5026">
        <v>0.70569249123973699</v>
      </c>
      <c r="F5026">
        <v>0.218644198987276</v>
      </c>
      <c r="G5026">
        <v>7.7660676869106202E-2</v>
      </c>
      <c r="H5026">
        <v>4.8234869914422003E-2</v>
      </c>
      <c r="I5026">
        <v>3.6403647495320997E-2</v>
      </c>
      <c r="J5026">
        <v>3.7651136323546497E-2</v>
      </c>
      <c r="K5026">
        <v>2.7292795938031501E-2</v>
      </c>
      <c r="L5026">
        <v>2062.2809462248701</v>
      </c>
      <c r="M5026">
        <v>40.4078239503379</v>
      </c>
      <c r="N5026">
        <v>51.148581974437903</v>
      </c>
      <c r="O5026">
        <v>50.912158095837398</v>
      </c>
      <c r="P5026">
        <v>-0.190025312813523</v>
      </c>
      <c r="Q5026">
        <v>4.2306401604017697E-2</v>
      </c>
      <c r="R5026">
        <v>0.99492484965158601</v>
      </c>
      <c r="S5026" t="s">
        <v>11337</v>
      </c>
      <c r="T5026" t="s">
        <v>12620</v>
      </c>
      <c r="U5026" t="s">
        <v>12620</v>
      </c>
      <c r="V5026" t="s">
        <v>12620</v>
      </c>
      <c r="W5026" t="s">
        <v>17589</v>
      </c>
      <c r="X5026">
        <v>3</v>
      </c>
      <c r="Y5026" t="s">
        <v>23695</v>
      </c>
      <c r="Z5026" t="s">
        <v>29973</v>
      </c>
      <c r="AA5026">
        <v>0.39794144299499817</v>
      </c>
      <c r="AB5026" t="str">
        <f>HYPERLINK("Melting_Curves/meltCurve_Q9BSJ5_3_C17orf80.pdf", "Melting_Curves/meltCurve_Q9BSJ5_3_C17orf80.pdf")</f>
        <v>Melting_Curves/meltCurve_Q9BSJ5_3_C17orf80.pdf</v>
      </c>
    </row>
    <row r="5027" spans="1:28" x14ac:dyDescent="0.25">
      <c r="A5027" t="s">
        <v>5031</v>
      </c>
      <c r="B5027">
        <v>0.99987803227770999</v>
      </c>
      <c r="C5027">
        <v>0.991199967354364</v>
      </c>
      <c r="D5027">
        <v>0.993845001581106</v>
      </c>
      <c r="E5027">
        <v>0.83890502272049405</v>
      </c>
      <c r="F5027">
        <v>0.95848635321273301</v>
      </c>
      <c r="G5027">
        <v>0.57823204247286697</v>
      </c>
      <c r="H5027">
        <v>0.65419910001538495</v>
      </c>
      <c r="I5027">
        <v>0.62824331678901402</v>
      </c>
      <c r="J5027">
        <v>0.55772359330735899</v>
      </c>
      <c r="K5027">
        <v>0.50038587102256504</v>
      </c>
      <c r="L5027">
        <v>900.122765397183</v>
      </c>
      <c r="M5027">
        <v>16.398853685518201</v>
      </c>
      <c r="O5027">
        <v>54.092614994578</v>
      </c>
      <c r="P5027">
        <v>-3.5419785442280603E-2</v>
      </c>
      <c r="Q5027">
        <v>0.53269601269383704</v>
      </c>
      <c r="R5027">
        <v>0.88377642362630704</v>
      </c>
      <c r="S5027" t="s">
        <v>11338</v>
      </c>
      <c r="T5027" t="s">
        <v>12620</v>
      </c>
      <c r="U5027" t="s">
        <v>12620</v>
      </c>
      <c r="V5027" t="s">
        <v>12620</v>
      </c>
      <c r="W5027" t="s">
        <v>17590</v>
      </c>
      <c r="X5027">
        <v>1</v>
      </c>
      <c r="Y5027" t="s">
        <v>23696</v>
      </c>
      <c r="Z5027" t="s">
        <v>29974</v>
      </c>
      <c r="AA5027">
        <v>0.77281722721839208</v>
      </c>
      <c r="AB5027" t="str">
        <f>HYPERLINK("Melting_Curves/meltCurve_Q9BSJ6_FAM64A.pdf", "Melting_Curves/meltCurve_Q9BSJ6_FAM64A.pdf")</f>
        <v>Melting_Curves/meltCurve_Q9BSJ6_FAM64A.pdf</v>
      </c>
    </row>
    <row r="5028" spans="1:28" x14ac:dyDescent="0.25">
      <c r="A5028" t="s">
        <v>5032</v>
      </c>
      <c r="B5028">
        <v>0.99987803227770999</v>
      </c>
      <c r="C5028">
        <v>0.93243965253375005</v>
      </c>
      <c r="D5028">
        <v>0.95079774570467002</v>
      </c>
      <c r="E5028">
        <v>0.85709928155958603</v>
      </c>
      <c r="F5028">
        <v>0.77521518786459398</v>
      </c>
      <c r="G5028">
        <v>0.45244897134808099</v>
      </c>
      <c r="H5028">
        <v>0.25534626187832599</v>
      </c>
      <c r="I5028">
        <v>0.23938235133298899</v>
      </c>
      <c r="J5028">
        <v>0.17001181965527701</v>
      </c>
      <c r="K5028">
        <v>0.14088481927944799</v>
      </c>
      <c r="L5028">
        <v>930.14224994414803</v>
      </c>
      <c r="M5028">
        <v>16.734782721822601</v>
      </c>
      <c r="N5028">
        <v>56.511323477938397</v>
      </c>
      <c r="O5028">
        <v>54.805901019560402</v>
      </c>
      <c r="P5028">
        <v>-6.7153083654853202E-2</v>
      </c>
      <c r="Q5028">
        <v>0.120360659327333</v>
      </c>
      <c r="R5028">
        <v>0.99214341045089305</v>
      </c>
      <c r="S5028" t="s">
        <v>11339</v>
      </c>
      <c r="T5028" t="s">
        <v>12620</v>
      </c>
      <c r="U5028" t="s">
        <v>12620</v>
      </c>
      <c r="V5028" t="s">
        <v>12620</v>
      </c>
      <c r="W5028" t="s">
        <v>17591</v>
      </c>
      <c r="X5028">
        <v>7</v>
      </c>
      <c r="Y5028" t="s">
        <v>23697</v>
      </c>
      <c r="Z5028" t="s">
        <v>29975</v>
      </c>
      <c r="AA5028">
        <v>0.59169208642554116</v>
      </c>
      <c r="AB5028" t="str">
        <f>HYPERLINK("Melting_Curves/meltCurve_Q9BSJ8_ESYT1.pdf", "Melting_Curves/meltCurve_Q9BSJ8_ESYT1.pdf")</f>
        <v>Melting_Curves/meltCurve_Q9BSJ8_ESYT1.pdf</v>
      </c>
    </row>
    <row r="5029" spans="1:28" x14ac:dyDescent="0.25">
      <c r="A5029" t="s">
        <v>5033</v>
      </c>
      <c r="B5029">
        <v>0.99987803227770999</v>
      </c>
      <c r="C5029">
        <v>0.999018217816382</v>
      </c>
      <c r="D5029">
        <v>0.99478095906935604</v>
      </c>
      <c r="E5029">
        <v>0.96851054567632899</v>
      </c>
      <c r="F5029">
        <v>0.91486950594405603</v>
      </c>
      <c r="G5029">
        <v>0.71237811747546997</v>
      </c>
      <c r="H5029">
        <v>0.50470165957306101</v>
      </c>
      <c r="I5029">
        <v>0.31779353684557099</v>
      </c>
      <c r="J5029">
        <v>0.24392119006940599</v>
      </c>
      <c r="K5029">
        <v>0.15338209597265601</v>
      </c>
      <c r="L5029">
        <v>945.80625188900297</v>
      </c>
      <c r="M5029">
        <v>15.6974254786087</v>
      </c>
      <c r="N5029">
        <v>60.817045881578103</v>
      </c>
      <c r="O5029">
        <v>59.299898865731898</v>
      </c>
      <c r="P5029">
        <v>-6.1695283149800398E-2</v>
      </c>
      <c r="Q5029">
        <v>6.7817948280109203E-2</v>
      </c>
      <c r="R5029">
        <v>0.99876045752620202</v>
      </c>
      <c r="S5029" t="s">
        <v>11340</v>
      </c>
      <c r="T5029" t="s">
        <v>12620</v>
      </c>
      <c r="U5029" t="s">
        <v>12620</v>
      </c>
      <c r="V5029" t="s">
        <v>12620</v>
      </c>
      <c r="W5029" t="s">
        <v>17592</v>
      </c>
      <c r="X5029">
        <v>7</v>
      </c>
      <c r="Y5029" t="s">
        <v>23698</v>
      </c>
      <c r="Z5029" t="s">
        <v>29976</v>
      </c>
      <c r="AA5029">
        <v>0.70312818122547549</v>
      </c>
      <c r="AB5029" t="str">
        <f>HYPERLINK("Melting_Curves/meltCurve_Q9BSL1_UBAC1.pdf", "Melting_Curves/meltCurve_Q9BSL1_UBAC1.pdf")</f>
        <v>Melting_Curves/meltCurve_Q9BSL1_UBAC1.pdf</v>
      </c>
    </row>
    <row r="5030" spans="1:28" x14ac:dyDescent="0.25">
      <c r="A5030" t="s">
        <v>5034</v>
      </c>
      <c r="B5030">
        <v>0.99987803227770999</v>
      </c>
      <c r="C5030">
        <v>1.13971104948645</v>
      </c>
      <c r="D5030">
        <v>0.92399532443194998</v>
      </c>
      <c r="E5030">
        <v>0.97936880144654104</v>
      </c>
      <c r="F5030">
        <v>0.774282515158772</v>
      </c>
      <c r="G5030">
        <v>0.64048430289762304</v>
      </c>
      <c r="H5030">
        <v>0.43830526531616398</v>
      </c>
      <c r="I5030">
        <v>0.320167291718222</v>
      </c>
      <c r="J5030">
        <v>0.229190544597285</v>
      </c>
      <c r="K5030">
        <v>0.13745022790724001</v>
      </c>
      <c r="L5030">
        <v>744.45228520211197</v>
      </c>
      <c r="M5030">
        <v>12.5243506800368</v>
      </c>
      <c r="N5030">
        <v>59.700240139783197</v>
      </c>
      <c r="O5030">
        <v>57.9860508362408</v>
      </c>
      <c r="P5030">
        <v>-5.2575603860721097E-2</v>
      </c>
      <c r="Q5030">
        <v>2.6527041443794801E-2</v>
      </c>
      <c r="R5030">
        <v>0.97265904178103901</v>
      </c>
      <c r="S5030" t="s">
        <v>11341</v>
      </c>
      <c r="T5030" t="s">
        <v>12620</v>
      </c>
      <c r="U5030" t="s">
        <v>12620</v>
      </c>
      <c r="V5030" t="s">
        <v>12620</v>
      </c>
      <c r="W5030" t="s">
        <v>17593</v>
      </c>
      <c r="X5030">
        <v>7</v>
      </c>
      <c r="Y5030" t="s">
        <v>23699</v>
      </c>
      <c r="Z5030" t="s">
        <v>29977</v>
      </c>
      <c r="AA5030">
        <v>0.66365940911674481</v>
      </c>
      <c r="AB5030" t="str">
        <f>HYPERLINK("Melting_Curves/meltCurve_Q9BSQ5_CCM2.pdf", "Melting_Curves/meltCurve_Q9BSQ5_CCM2.pdf")</f>
        <v>Melting_Curves/meltCurve_Q9BSQ5_CCM2.pdf</v>
      </c>
    </row>
    <row r="5031" spans="1:28" x14ac:dyDescent="0.25">
      <c r="A5031" t="s">
        <v>5035</v>
      </c>
      <c r="B5031">
        <v>0.99987803227770999</v>
      </c>
      <c r="C5031">
        <v>0.93646845941129098</v>
      </c>
      <c r="D5031">
        <v>0.91591825219349898</v>
      </c>
      <c r="E5031">
        <v>0.66589802388900898</v>
      </c>
      <c r="F5031">
        <v>0.26268918835539201</v>
      </c>
      <c r="G5031">
        <v>0.185882572330093</v>
      </c>
      <c r="H5031">
        <v>8.3380372170330896E-2</v>
      </c>
      <c r="I5031">
        <v>0.105003174847298</v>
      </c>
      <c r="J5031">
        <v>4.92669263450961E-2</v>
      </c>
      <c r="K5031">
        <v>4.5563119077261502E-2</v>
      </c>
      <c r="L5031">
        <v>1250.2932368592501</v>
      </c>
      <c r="M5031">
        <v>24.6041565425386</v>
      </c>
      <c r="N5031">
        <v>51.133394772139901</v>
      </c>
      <c r="O5031">
        <v>50.484217844032401</v>
      </c>
      <c r="P5031">
        <v>-0.113222769790776</v>
      </c>
      <c r="Q5031">
        <v>7.0745410888351803E-2</v>
      </c>
      <c r="R5031">
        <v>0.99129625493498197</v>
      </c>
      <c r="S5031" t="s">
        <v>11342</v>
      </c>
      <c r="T5031" t="s">
        <v>12620</v>
      </c>
      <c r="U5031" t="s">
        <v>12620</v>
      </c>
      <c r="V5031" t="s">
        <v>12620</v>
      </c>
      <c r="W5031" t="s">
        <v>17594</v>
      </c>
      <c r="X5031">
        <v>3</v>
      </c>
      <c r="Y5031" t="s">
        <v>23700</v>
      </c>
      <c r="Z5031" t="s">
        <v>29978</v>
      </c>
      <c r="AA5031">
        <v>0.41442932937253629</v>
      </c>
      <c r="AB5031" t="str">
        <f>HYPERLINK("Melting_Curves/meltCurve_Q9BST9_2_RTKN.pdf", "Melting_Curves/meltCurve_Q9BST9_2_RTKN.pdf")</f>
        <v>Melting_Curves/meltCurve_Q9BST9_2_RTKN.pdf</v>
      </c>
    </row>
    <row r="5032" spans="1:28" x14ac:dyDescent="0.25">
      <c r="A5032" t="s">
        <v>5036</v>
      </c>
      <c r="B5032">
        <v>0.99987803227770999</v>
      </c>
      <c r="C5032">
        <v>1.11290859138516</v>
      </c>
      <c r="D5032">
        <v>0.95571233381591503</v>
      </c>
      <c r="E5032">
        <v>1.1128097323563899</v>
      </c>
      <c r="F5032">
        <v>0.81822122348458604</v>
      </c>
      <c r="G5032">
        <v>0.455053930869666</v>
      </c>
      <c r="H5032">
        <v>0.12937828624803199</v>
      </c>
      <c r="I5032">
        <v>0.14232931605429899</v>
      </c>
      <c r="J5032">
        <v>7.0976983534482299E-2</v>
      </c>
      <c r="K5032">
        <v>4.4767913996317799E-2</v>
      </c>
      <c r="L5032">
        <v>1662.16498946362</v>
      </c>
      <c r="M5032">
        <v>29.5684095629972</v>
      </c>
      <c r="N5032">
        <v>56.496188186314299</v>
      </c>
      <c r="O5032">
        <v>55.958973310062802</v>
      </c>
      <c r="P5032">
        <v>-0.12303732378021399</v>
      </c>
      <c r="Q5032">
        <v>6.8601267825916801E-2</v>
      </c>
      <c r="R5032">
        <v>0.97928948485219403</v>
      </c>
      <c r="S5032" t="s">
        <v>11343</v>
      </c>
      <c r="T5032" t="s">
        <v>12620</v>
      </c>
      <c r="U5032" t="s">
        <v>12620</v>
      </c>
      <c r="V5032" t="s">
        <v>12620</v>
      </c>
      <c r="W5032" t="s">
        <v>17595</v>
      </c>
      <c r="X5032">
        <v>3</v>
      </c>
      <c r="Y5032" t="s">
        <v>23701</v>
      </c>
      <c r="Z5032" t="s">
        <v>29979</v>
      </c>
      <c r="AA5032">
        <v>0.57837652389949179</v>
      </c>
      <c r="AB5032" t="str">
        <f>HYPERLINK("Melting_Curves/meltCurve_Q9BSU1_C16orf70.pdf", "Melting_Curves/meltCurve_Q9BSU1_C16orf70.pdf")</f>
        <v>Melting_Curves/meltCurve_Q9BSU1_C16orf70.pdf</v>
      </c>
    </row>
    <row r="5033" spans="1:28" x14ac:dyDescent="0.25">
      <c r="A5033" t="s">
        <v>5037</v>
      </c>
      <c r="B5033">
        <v>0.99987803227770999</v>
      </c>
      <c r="C5033">
        <v>1.01402895183483</v>
      </c>
      <c r="D5033">
        <v>0.79467809204482498</v>
      </c>
      <c r="E5033">
        <v>0.50285669941342503</v>
      </c>
      <c r="F5033">
        <v>0.24884692082818599</v>
      </c>
      <c r="G5033">
        <v>0.14312053332447799</v>
      </c>
      <c r="H5033">
        <v>8.8907271217725903E-2</v>
      </c>
      <c r="I5033">
        <v>9.6344752552039697E-2</v>
      </c>
      <c r="J5033">
        <v>5.5257825985509199E-2</v>
      </c>
      <c r="K5033">
        <v>4.4657155652546403E-2</v>
      </c>
      <c r="L5033">
        <v>970.408084697155</v>
      </c>
      <c r="M5033">
        <v>19.597795530456199</v>
      </c>
      <c r="N5033">
        <v>49.853970364602297</v>
      </c>
      <c r="O5033">
        <v>49.009266997091103</v>
      </c>
      <c r="P5033">
        <v>-9.3757725420253304E-2</v>
      </c>
      <c r="Q5033">
        <v>6.2173022484383597E-2</v>
      </c>
      <c r="R5033">
        <v>0.99551318226635799</v>
      </c>
      <c r="S5033" t="s">
        <v>11344</v>
      </c>
      <c r="T5033" t="s">
        <v>12620</v>
      </c>
      <c r="U5033" t="s">
        <v>12620</v>
      </c>
      <c r="V5033" t="s">
        <v>12620</v>
      </c>
      <c r="W5033" t="s">
        <v>17596</v>
      </c>
      <c r="X5033">
        <v>8</v>
      </c>
      <c r="Y5033" t="s">
        <v>23702</v>
      </c>
      <c r="Z5033" t="s">
        <v>29980</v>
      </c>
      <c r="AA5033">
        <v>0.37328241162669712</v>
      </c>
      <c r="AB5033" t="str">
        <f>HYPERLINK("Melting_Curves/meltCurve_Q9BSV6_TSEN34.pdf", "Melting_Curves/meltCurve_Q9BSV6_TSEN34.pdf")</f>
        <v>Melting_Curves/meltCurve_Q9BSV6_TSEN34.pdf</v>
      </c>
    </row>
    <row r="5034" spans="1:28" x14ac:dyDescent="0.25">
      <c r="A5034" t="s">
        <v>5038</v>
      </c>
      <c r="B5034">
        <v>0.99987803227770999</v>
      </c>
      <c r="C5034">
        <v>0.84522811106755302</v>
      </c>
      <c r="D5034">
        <v>0.97599729724538997</v>
      </c>
      <c r="E5034">
        <v>0.80944182212176297</v>
      </c>
      <c r="F5034">
        <v>1.0495015473822</v>
      </c>
      <c r="G5034">
        <v>0.92345034065104903</v>
      </c>
      <c r="H5034">
        <v>0.85878226899709598</v>
      </c>
      <c r="I5034">
        <v>0.88770958248767295</v>
      </c>
      <c r="J5034">
        <v>0.81129591685944002</v>
      </c>
      <c r="K5034">
        <v>0.63020399822002804</v>
      </c>
      <c r="L5034">
        <v>575.44730187355105</v>
      </c>
      <c r="M5034">
        <v>7.4165124415104797</v>
      </c>
      <c r="Q5034">
        <v>0</v>
      </c>
      <c r="R5034">
        <v>0.449200509267073</v>
      </c>
      <c r="S5034" t="s">
        <v>11345</v>
      </c>
      <c r="T5034" t="s">
        <v>12620</v>
      </c>
      <c r="U5034" t="s">
        <v>12620</v>
      </c>
      <c r="V5034" t="s">
        <v>12620</v>
      </c>
      <c r="W5034" t="s">
        <v>17597</v>
      </c>
      <c r="X5034">
        <v>9</v>
      </c>
      <c r="Y5034" t="s">
        <v>23703</v>
      </c>
      <c r="Z5034" t="s">
        <v>29981</v>
      </c>
      <c r="AA5034">
        <v>0.91578375303954984</v>
      </c>
      <c r="AB5034" t="str">
        <f>HYPERLINK("Melting_Curves/meltCurve_Q9BSY4_CHCHD5.pdf", "Melting_Curves/meltCurve_Q9BSY4_CHCHD5.pdf")</f>
        <v>Melting_Curves/meltCurve_Q9BSY4_CHCHD5.pdf</v>
      </c>
    </row>
    <row r="5035" spans="1:28" x14ac:dyDescent="0.25">
      <c r="A5035" t="s">
        <v>5039</v>
      </c>
      <c r="B5035">
        <v>0.99987803227770999</v>
      </c>
      <c r="C5035">
        <v>0.90708159115804798</v>
      </c>
      <c r="D5035">
        <v>1.02252204262848</v>
      </c>
      <c r="E5035">
        <v>0.89644170381560995</v>
      </c>
      <c r="F5035">
        <v>0.96576076136941202</v>
      </c>
      <c r="G5035">
        <v>0.78728663327058501</v>
      </c>
      <c r="H5035">
        <v>0.76358118133861397</v>
      </c>
      <c r="I5035">
        <v>0.75190725017328797</v>
      </c>
      <c r="J5035">
        <v>0.699166407235845</v>
      </c>
      <c r="K5035">
        <v>0.561265606764622</v>
      </c>
      <c r="L5035">
        <v>395.33387914520301</v>
      </c>
      <c r="M5035">
        <v>5.2376964274899898</v>
      </c>
      <c r="O5035">
        <v>66.570135765392706</v>
      </c>
      <c r="P5035">
        <v>-1.97725620128524E-2</v>
      </c>
      <c r="Q5035">
        <v>0</v>
      </c>
      <c r="R5035">
        <v>0.88740176032168505</v>
      </c>
      <c r="S5035" t="s">
        <v>11346</v>
      </c>
      <c r="T5035" t="s">
        <v>12620</v>
      </c>
      <c r="U5035" t="s">
        <v>12620</v>
      </c>
      <c r="V5035" t="s">
        <v>12620</v>
      </c>
      <c r="W5035" t="s">
        <v>17598</v>
      </c>
      <c r="X5035">
        <v>12</v>
      </c>
      <c r="Y5035" t="s">
        <v>23704</v>
      </c>
      <c r="Z5035" t="s">
        <v>29982</v>
      </c>
      <c r="AA5035">
        <v>0.84654144036737888</v>
      </c>
      <c r="AB5035" t="str">
        <f>HYPERLINK("Melting_Curves/meltCurve_Q9BT09_CNPY3.pdf", "Melting_Curves/meltCurve_Q9BT09_CNPY3.pdf")</f>
        <v>Melting_Curves/meltCurve_Q9BT09_CNPY3.pdf</v>
      </c>
    </row>
    <row r="5036" spans="1:28" x14ac:dyDescent="0.25">
      <c r="A5036" t="s">
        <v>5040</v>
      </c>
      <c r="B5036">
        <v>0.99987803227770999</v>
      </c>
      <c r="C5036">
        <v>0.86287577950743</v>
      </c>
      <c r="D5036">
        <v>0.86585258230626005</v>
      </c>
      <c r="E5036">
        <v>0.50712736974996697</v>
      </c>
      <c r="F5036">
        <v>0.216527736401051</v>
      </c>
      <c r="G5036">
        <v>0.14264304471608999</v>
      </c>
      <c r="H5036">
        <v>0.110837605446307</v>
      </c>
      <c r="I5036">
        <v>0.10522305870470799</v>
      </c>
      <c r="J5036">
        <v>8.6893089883870303E-2</v>
      </c>
      <c r="K5036">
        <v>6.7256439955657096E-2</v>
      </c>
      <c r="L5036">
        <v>1029.6545546229099</v>
      </c>
      <c r="M5036">
        <v>20.8449822450936</v>
      </c>
      <c r="N5036">
        <v>49.820214777866603</v>
      </c>
      <c r="O5036">
        <v>48.947930980650199</v>
      </c>
      <c r="P5036">
        <v>-9.7806678323830304E-2</v>
      </c>
      <c r="Q5036">
        <v>8.1351616748661607E-2</v>
      </c>
      <c r="R5036">
        <v>0.98907377072317104</v>
      </c>
      <c r="S5036" t="s">
        <v>11347</v>
      </c>
      <c r="T5036" t="s">
        <v>12620</v>
      </c>
      <c r="U5036" t="s">
        <v>12620</v>
      </c>
      <c r="V5036" t="s">
        <v>12620</v>
      </c>
      <c r="W5036" t="s">
        <v>17599</v>
      </c>
      <c r="X5036">
        <v>7</v>
      </c>
      <c r="Y5036" t="s">
        <v>23705</v>
      </c>
      <c r="Z5036" t="s">
        <v>29983</v>
      </c>
      <c r="AA5036">
        <v>0.38087225943703101</v>
      </c>
      <c r="AB5036" t="str">
        <f>HYPERLINK("Melting_Curves/meltCurve_Q9BT17_MTG1.pdf", "Melting_Curves/meltCurve_Q9BT17_MTG1.pdf")</f>
        <v>Melting_Curves/meltCurve_Q9BT17_MTG1.pdf</v>
      </c>
    </row>
    <row r="5037" spans="1:28" x14ac:dyDescent="0.25">
      <c r="A5037" t="s">
        <v>5041</v>
      </c>
      <c r="B5037">
        <v>0.99987803227770999</v>
      </c>
      <c r="C5037">
        <v>1.14203278529451</v>
      </c>
      <c r="D5037">
        <v>0.69352622149343901</v>
      </c>
      <c r="E5037">
        <v>0.52187214946576199</v>
      </c>
      <c r="F5037">
        <v>0.34718831110049297</v>
      </c>
      <c r="G5037">
        <v>0.23995297893369999</v>
      </c>
      <c r="H5037">
        <v>0.18798907366822701</v>
      </c>
      <c r="I5037">
        <v>0.20831064100093399</v>
      </c>
      <c r="J5037">
        <v>0.14091402720165999</v>
      </c>
      <c r="K5037">
        <v>0.105252494131995</v>
      </c>
      <c r="L5037">
        <v>890.22083283583004</v>
      </c>
      <c r="M5037">
        <v>18.128503052913501</v>
      </c>
      <c r="N5037">
        <v>50.135862239392402</v>
      </c>
      <c r="O5037">
        <v>48.5203058220022</v>
      </c>
      <c r="P5037">
        <v>-7.8891634927525794E-2</v>
      </c>
      <c r="Q5037">
        <v>0.15543770488827299</v>
      </c>
      <c r="R5037">
        <v>0.95254768500005305</v>
      </c>
      <c r="S5037" t="s">
        <v>11348</v>
      </c>
      <c r="T5037" t="s">
        <v>12620</v>
      </c>
      <c r="U5037" t="s">
        <v>12620</v>
      </c>
      <c r="V5037" t="s">
        <v>12620</v>
      </c>
      <c r="W5037" t="s">
        <v>17600</v>
      </c>
      <c r="X5037">
        <v>4</v>
      </c>
      <c r="Y5037" t="s">
        <v>23706</v>
      </c>
      <c r="Z5037" t="s">
        <v>29984</v>
      </c>
      <c r="AA5037">
        <v>0.42618965293170358</v>
      </c>
      <c r="AB5037" t="str">
        <f>HYPERLINK("Melting_Curves/meltCurve_Q9BT25_3_HAUS8.pdf", "Melting_Curves/meltCurve_Q9BT25_3_HAUS8.pdf")</f>
        <v>Melting_Curves/meltCurve_Q9BT25_3_HAUS8.pdf</v>
      </c>
    </row>
    <row r="5038" spans="1:28" x14ac:dyDescent="0.25">
      <c r="A5038" t="s">
        <v>5042</v>
      </c>
      <c r="B5038">
        <v>0.99987803227770999</v>
      </c>
      <c r="C5038">
        <v>0.79928382698078704</v>
      </c>
      <c r="D5038">
        <v>0.73225597952119303</v>
      </c>
      <c r="E5038">
        <v>0.399277835918459</v>
      </c>
      <c r="F5038">
        <v>0.29645772276412502</v>
      </c>
      <c r="G5038">
        <v>0.233214084210978</v>
      </c>
      <c r="H5038">
        <v>0.16756254194959699</v>
      </c>
      <c r="I5038">
        <v>0.15177030080789999</v>
      </c>
      <c r="J5038">
        <v>8.8714143238950396E-2</v>
      </c>
      <c r="K5038">
        <v>4.5864869561849E-2</v>
      </c>
      <c r="L5038">
        <v>621.77989607931204</v>
      </c>
      <c r="M5038">
        <v>12.857785183561999</v>
      </c>
      <c r="N5038">
        <v>49.028261029564497</v>
      </c>
      <c r="O5038">
        <v>47.233307325770703</v>
      </c>
      <c r="P5038">
        <v>-6.2582983671340298E-2</v>
      </c>
      <c r="Q5038">
        <v>8.0570711468146206E-2</v>
      </c>
      <c r="R5038">
        <v>0.98361187010097695</v>
      </c>
      <c r="S5038" t="s">
        <v>11349</v>
      </c>
      <c r="T5038" t="s">
        <v>12620</v>
      </c>
      <c r="U5038" t="s">
        <v>12620</v>
      </c>
      <c r="V5038" t="s">
        <v>12620</v>
      </c>
      <c r="W5038" t="s">
        <v>17601</v>
      </c>
      <c r="X5038">
        <v>3</v>
      </c>
      <c r="Y5038" t="s">
        <v>23707</v>
      </c>
      <c r="Z5038" t="s">
        <v>29985</v>
      </c>
      <c r="AA5038">
        <v>0.36783500954659759</v>
      </c>
      <c r="AB5038" t="str">
        <f>HYPERLINK("Melting_Curves/meltCurve_Q9BT30_ALKBH7.pdf", "Melting_Curves/meltCurve_Q9BT30_ALKBH7.pdf")</f>
        <v>Melting_Curves/meltCurve_Q9BT30_ALKBH7.pdf</v>
      </c>
    </row>
    <row r="5039" spans="1:28" x14ac:dyDescent="0.25">
      <c r="A5039" t="s">
        <v>5043</v>
      </c>
      <c r="B5039">
        <v>0.99987803227770999</v>
      </c>
      <c r="C5039">
        <v>1.12682939143639</v>
      </c>
      <c r="D5039">
        <v>1.13312791777112</v>
      </c>
      <c r="E5039">
        <v>1.13714662464098</v>
      </c>
      <c r="F5039">
        <v>1.26712156760113</v>
      </c>
      <c r="G5039">
        <v>1.2221389951363</v>
      </c>
      <c r="H5039">
        <v>1.13019503602412</v>
      </c>
      <c r="I5039">
        <v>1.0385331059204601</v>
      </c>
      <c r="J5039">
        <v>0.53848258293339102</v>
      </c>
      <c r="K5039">
        <v>0.29058477444122499</v>
      </c>
      <c r="L5039">
        <v>15000</v>
      </c>
      <c r="M5039">
        <v>224.50192641702</v>
      </c>
      <c r="N5039">
        <v>67.074547574270994</v>
      </c>
      <c r="O5039">
        <v>66.809269512620901</v>
      </c>
      <c r="P5039">
        <v>-0.59599416897658097</v>
      </c>
      <c r="Q5039">
        <v>0.29055513039651898</v>
      </c>
      <c r="R5039">
        <v>0.78850678084870396</v>
      </c>
      <c r="S5039" t="s">
        <v>11350</v>
      </c>
      <c r="T5039" t="s">
        <v>12620</v>
      </c>
      <c r="U5039" t="s">
        <v>12620</v>
      </c>
      <c r="V5039" t="s">
        <v>12620</v>
      </c>
      <c r="W5039" t="s">
        <v>17602</v>
      </c>
      <c r="X5039">
        <v>1</v>
      </c>
      <c r="Y5039" t="s">
        <v>23708</v>
      </c>
      <c r="Z5039" t="s">
        <v>29986</v>
      </c>
      <c r="AA5039">
        <v>0.92477334654891252</v>
      </c>
      <c r="AB5039" t="str">
        <f>HYPERLINK("Melting_Curves/meltCurve_Q9BT73_PSMG3.pdf", "Melting_Curves/meltCurve_Q9BT73_PSMG3.pdf")</f>
        <v>Melting_Curves/meltCurve_Q9BT73_PSMG3.pdf</v>
      </c>
    </row>
    <row r="5040" spans="1:28" x14ac:dyDescent="0.25">
      <c r="A5040" t="s">
        <v>5044</v>
      </c>
      <c r="B5040">
        <v>0.99987803227770999</v>
      </c>
      <c r="C5040">
        <v>1.1123403670179199</v>
      </c>
      <c r="D5040">
        <v>0.87360160209457804</v>
      </c>
      <c r="E5040">
        <v>1.44469511653885</v>
      </c>
      <c r="F5040">
        <v>0.954501301232906</v>
      </c>
      <c r="G5040">
        <v>0.80898472706511404</v>
      </c>
      <c r="H5040">
        <v>0.23476694704112</v>
      </c>
      <c r="I5040">
        <v>0.14792940437268601</v>
      </c>
      <c r="J5040">
        <v>9.1974182823638104E-2</v>
      </c>
      <c r="K5040">
        <v>6.1589919985870503E-2</v>
      </c>
      <c r="L5040">
        <v>2496.2871160029199</v>
      </c>
      <c r="M5040">
        <v>42.486287631506698</v>
      </c>
      <c r="N5040">
        <v>59.019282928733503</v>
      </c>
      <c r="O5040">
        <v>58.625411364959199</v>
      </c>
      <c r="P5040">
        <v>-0.16548971554153799</v>
      </c>
      <c r="Q5040">
        <v>8.6586643285834597E-2</v>
      </c>
      <c r="R5040">
        <v>0.89599680036901796</v>
      </c>
      <c r="S5040" t="s">
        <v>11351</v>
      </c>
      <c r="T5040" t="s">
        <v>12620</v>
      </c>
      <c r="U5040" t="s">
        <v>12620</v>
      </c>
      <c r="V5040" t="s">
        <v>12620</v>
      </c>
      <c r="W5040" t="s">
        <v>17603</v>
      </c>
      <c r="X5040">
        <v>17</v>
      </c>
      <c r="Y5040" t="s">
        <v>23709</v>
      </c>
      <c r="Z5040" t="s">
        <v>29987</v>
      </c>
      <c r="AA5040">
        <v>0.66084296318840952</v>
      </c>
      <c r="AB5040" t="str">
        <f>HYPERLINK("Melting_Curves/meltCurve_Q9BT78_COPS4.pdf", "Melting_Curves/meltCurve_Q9BT78_COPS4.pdf")</f>
        <v>Melting_Curves/meltCurve_Q9BT78_COPS4.pdf</v>
      </c>
    </row>
    <row r="5041" spans="1:28" x14ac:dyDescent="0.25">
      <c r="A5041" t="s">
        <v>5045</v>
      </c>
      <c r="B5041">
        <v>0.99987803227770999</v>
      </c>
      <c r="C5041">
        <v>0.97645764980472904</v>
      </c>
      <c r="D5041">
        <v>0.94915991905164898</v>
      </c>
      <c r="E5041">
        <v>0.693561505974993</v>
      </c>
      <c r="F5041">
        <v>0.70908113975545195</v>
      </c>
      <c r="G5041">
        <v>0.55259683661680603</v>
      </c>
      <c r="H5041">
        <v>0.54876425818375496</v>
      </c>
      <c r="I5041">
        <v>0.52727054035476395</v>
      </c>
      <c r="J5041">
        <v>0.48561033667840098</v>
      </c>
      <c r="K5041">
        <v>0.412839465059264</v>
      </c>
      <c r="L5041">
        <v>674.89141693575198</v>
      </c>
      <c r="M5041">
        <v>13.1667370296865</v>
      </c>
      <c r="N5041">
        <v>62.795138909610799</v>
      </c>
      <c r="O5041">
        <v>50.118222560461902</v>
      </c>
      <c r="P5041">
        <v>-3.5767588930440498E-2</v>
      </c>
      <c r="Q5041">
        <v>0.45550494035309702</v>
      </c>
      <c r="R5041">
        <v>0.961375380279055</v>
      </c>
      <c r="S5041" t="s">
        <v>11352</v>
      </c>
      <c r="T5041" t="s">
        <v>12620</v>
      </c>
      <c r="U5041" t="s">
        <v>12620</v>
      </c>
      <c r="V5041" t="s">
        <v>12620</v>
      </c>
      <c r="W5041" t="s">
        <v>17604</v>
      </c>
      <c r="X5041">
        <v>10</v>
      </c>
      <c r="Y5041" t="s">
        <v>23710</v>
      </c>
      <c r="Z5041" t="s">
        <v>29988</v>
      </c>
      <c r="AA5041">
        <v>0.67511133844853199</v>
      </c>
      <c r="AB5041" t="str">
        <f>HYPERLINK("Melting_Curves/meltCurve_Q9BTA9_WAC.pdf", "Melting_Curves/meltCurve_Q9BTA9_WAC.pdf")</f>
        <v>Melting_Curves/meltCurve_Q9BTA9_WAC.pdf</v>
      </c>
    </row>
    <row r="5042" spans="1:28" x14ac:dyDescent="0.25">
      <c r="A5042" t="s">
        <v>5046</v>
      </c>
      <c r="B5042">
        <v>0.99987803227770999</v>
      </c>
      <c r="C5042">
        <v>0.95392980377051095</v>
      </c>
      <c r="D5042">
        <v>0.94405567130740897</v>
      </c>
      <c r="E5042">
        <v>0.83473838005311196</v>
      </c>
      <c r="F5042">
        <v>0.84623611765164097</v>
      </c>
      <c r="G5042">
        <v>0.73017638440606003</v>
      </c>
      <c r="H5042">
        <v>0.689324409319368</v>
      </c>
      <c r="I5042">
        <v>0.57101101519281805</v>
      </c>
      <c r="J5042">
        <v>0.57060442994010896</v>
      </c>
      <c r="K5042">
        <v>0.46209391104403202</v>
      </c>
      <c r="L5042">
        <v>354.71773898756402</v>
      </c>
      <c r="M5042">
        <v>5.1434811943191701</v>
      </c>
      <c r="N5042">
        <v>68.9645282946869</v>
      </c>
      <c r="O5042">
        <v>60.581356572511901</v>
      </c>
      <c r="P5042">
        <v>-2.1343533064682899E-2</v>
      </c>
      <c r="Q5042">
        <v>0</v>
      </c>
      <c r="R5042">
        <v>0.98008770873070095</v>
      </c>
      <c r="S5042" t="s">
        <v>11353</v>
      </c>
      <c r="T5042" t="s">
        <v>12620</v>
      </c>
      <c r="U5042" t="s">
        <v>12620</v>
      </c>
      <c r="V5042" t="s">
        <v>12620</v>
      </c>
      <c r="W5042" t="s">
        <v>17605</v>
      </c>
      <c r="X5042">
        <v>51</v>
      </c>
      <c r="Y5042" t="s">
        <v>23711</v>
      </c>
      <c r="Z5042" t="s">
        <v>29989</v>
      </c>
      <c r="AA5042">
        <v>0.76613182905923827</v>
      </c>
      <c r="AB5042" t="str">
        <f>HYPERLINK("Melting_Curves/meltCurve_Q9BTC0_DIDO1.pdf", "Melting_Curves/meltCurve_Q9BTC0_DIDO1.pdf")</f>
        <v>Melting_Curves/meltCurve_Q9BTC0_DIDO1.pdf</v>
      </c>
    </row>
    <row r="5043" spans="1:28" x14ac:dyDescent="0.25">
      <c r="A5043" t="s">
        <v>5047</v>
      </c>
      <c r="B5043">
        <v>0.99987803227770999</v>
      </c>
      <c r="C5043">
        <v>1.06978788837067</v>
      </c>
      <c r="D5043">
        <v>1.1627429000807501</v>
      </c>
      <c r="E5043">
        <v>1.1171729718297101</v>
      </c>
      <c r="F5043">
        <v>1.0474373645799</v>
      </c>
      <c r="G5043">
        <v>0.91679494119490301</v>
      </c>
      <c r="H5043">
        <v>0.77253521097956401</v>
      </c>
      <c r="I5043">
        <v>0.94609918727030196</v>
      </c>
      <c r="J5043">
        <v>0.48070461126001601</v>
      </c>
      <c r="K5043">
        <v>0.39403860410081698</v>
      </c>
      <c r="L5043">
        <v>1286.86461787748</v>
      </c>
      <c r="M5043">
        <v>18.898807044582298</v>
      </c>
      <c r="N5043">
        <v>68.092372972270596</v>
      </c>
      <c r="O5043">
        <v>67.343719369828506</v>
      </c>
      <c r="P5043">
        <v>-7.0160871554199505E-2</v>
      </c>
      <c r="Q5043">
        <v>0</v>
      </c>
      <c r="R5043">
        <v>0.82704867674786497</v>
      </c>
      <c r="S5043" t="s">
        <v>11354</v>
      </c>
      <c r="T5043" t="s">
        <v>12620</v>
      </c>
      <c r="U5043" t="s">
        <v>12620</v>
      </c>
      <c r="V5043" t="s">
        <v>12620</v>
      </c>
      <c r="W5043" t="s">
        <v>17606</v>
      </c>
      <c r="X5043">
        <v>6</v>
      </c>
      <c r="Y5043" t="s">
        <v>23712</v>
      </c>
      <c r="Z5043" t="s">
        <v>29990</v>
      </c>
      <c r="AA5043">
        <v>0.88982822413628904</v>
      </c>
      <c r="AB5043" t="str">
        <f>HYPERLINK("Melting_Curves/meltCurve_Q9BTD8_4_RBM42.pdf", "Melting_Curves/meltCurve_Q9BTD8_4_RBM42.pdf")</f>
        <v>Melting_Curves/meltCurve_Q9BTD8_4_RBM42.pdf</v>
      </c>
    </row>
    <row r="5044" spans="1:28" x14ac:dyDescent="0.25">
      <c r="A5044" t="s">
        <v>5048</v>
      </c>
      <c r="B5044">
        <v>0.99987803227770999</v>
      </c>
      <c r="C5044">
        <v>1.0147027047927399</v>
      </c>
      <c r="D5044">
        <v>1.0220836865468701</v>
      </c>
      <c r="E5044">
        <v>1.8518871242197901</v>
      </c>
      <c r="F5044">
        <v>1.4455791219523999</v>
      </c>
      <c r="G5044">
        <v>1.61413531539587</v>
      </c>
      <c r="H5044">
        <v>1.1982889767679801</v>
      </c>
      <c r="I5044">
        <v>0.77228764073948497</v>
      </c>
      <c r="J5044">
        <v>0.132956665403622</v>
      </c>
      <c r="K5044">
        <v>4.7268742906222003E-2</v>
      </c>
      <c r="L5044">
        <v>5633.0273840158497</v>
      </c>
      <c r="M5044">
        <v>86.818715002842097</v>
      </c>
      <c r="N5044">
        <v>64.977762356330999</v>
      </c>
      <c r="O5044">
        <v>64.848254951993695</v>
      </c>
      <c r="P5044">
        <v>-0.314726264688372</v>
      </c>
      <c r="Q5044">
        <v>5.9675472929276697E-2</v>
      </c>
      <c r="R5044">
        <v>0.55976456232625904</v>
      </c>
      <c r="S5044" t="s">
        <v>11355</v>
      </c>
      <c r="T5044" t="s">
        <v>12620</v>
      </c>
      <c r="U5044" t="s">
        <v>12620</v>
      </c>
      <c r="V5044" t="s">
        <v>12620</v>
      </c>
      <c r="W5044" t="s">
        <v>17607</v>
      </c>
      <c r="X5044">
        <v>2</v>
      </c>
      <c r="Y5044" t="s">
        <v>23713</v>
      </c>
      <c r="Z5044" t="s">
        <v>29991</v>
      </c>
      <c r="AA5044">
        <v>0.84044098755372465</v>
      </c>
      <c r="AB5044" t="str">
        <f>HYPERLINK("Melting_Curves/meltCurve_Q9BTE1_2_DCTN5.pdf", "Melting_Curves/meltCurve_Q9BTE1_2_DCTN5.pdf")</f>
        <v>Melting_Curves/meltCurve_Q9BTE1_2_DCTN5.pdf</v>
      </c>
    </row>
    <row r="5045" spans="1:28" x14ac:dyDescent="0.25">
      <c r="A5045" t="s">
        <v>5049</v>
      </c>
      <c r="B5045">
        <v>0.99987803227770999</v>
      </c>
      <c r="C5045">
        <v>0.98400504084209395</v>
      </c>
      <c r="D5045">
        <v>0.69406270167815398</v>
      </c>
      <c r="E5045">
        <v>0.71210482333917502</v>
      </c>
      <c r="F5045">
        <v>0.244030137685043</v>
      </c>
      <c r="G5045">
        <v>0.16519006814975801</v>
      </c>
      <c r="H5045">
        <v>0.117749927605413</v>
      </c>
      <c r="I5045">
        <v>0.105170686229143</v>
      </c>
      <c r="J5045">
        <v>8.5217140973343597E-2</v>
      </c>
      <c r="K5045">
        <v>6.47477234698349E-2</v>
      </c>
      <c r="L5045">
        <v>798.59527470851799</v>
      </c>
      <c r="M5045">
        <v>15.8763700417375</v>
      </c>
      <c r="N5045">
        <v>50.684237552709199</v>
      </c>
      <c r="O5045">
        <v>49.5231234284363</v>
      </c>
      <c r="P5045">
        <v>-7.5617877027617603E-2</v>
      </c>
      <c r="Q5045">
        <v>5.6577627933143297E-2</v>
      </c>
      <c r="R5045">
        <v>0.95761451334895997</v>
      </c>
      <c r="S5045" t="s">
        <v>11356</v>
      </c>
      <c r="T5045" t="s">
        <v>12620</v>
      </c>
      <c r="U5045" t="s">
        <v>12620</v>
      </c>
      <c r="V5045" t="s">
        <v>12620</v>
      </c>
      <c r="W5045" t="s">
        <v>17608</v>
      </c>
      <c r="X5045">
        <v>21</v>
      </c>
      <c r="Y5045" t="s">
        <v>23714</v>
      </c>
      <c r="Z5045" t="s">
        <v>29992</v>
      </c>
      <c r="AA5045">
        <v>0.40067637159349062</v>
      </c>
      <c r="AB5045" t="str">
        <f>HYPERLINK("Melting_Curves/meltCurve_Q9BTE3_2_MCMBP.pdf", "Melting_Curves/meltCurve_Q9BTE3_2_MCMBP.pdf")</f>
        <v>Melting_Curves/meltCurve_Q9BTE3_2_MCMBP.pdf</v>
      </c>
    </row>
    <row r="5046" spans="1:28" x14ac:dyDescent="0.25">
      <c r="A5046" t="s">
        <v>5050</v>
      </c>
      <c r="B5046">
        <v>0.99987803227770999</v>
      </c>
      <c r="C5046">
        <v>1.0281409421819101</v>
      </c>
      <c r="D5046">
        <v>0.77209018544183705</v>
      </c>
      <c r="E5046">
        <v>0.43762290868348502</v>
      </c>
      <c r="F5046">
        <v>0.20958243629814999</v>
      </c>
      <c r="G5046">
        <v>0.119403846207983</v>
      </c>
      <c r="H5046">
        <v>8.50895903574556E-2</v>
      </c>
      <c r="I5046">
        <v>7.5533642754360197E-2</v>
      </c>
      <c r="J5046">
        <v>6.0633433903337398E-2</v>
      </c>
      <c r="K5046">
        <v>4.6329679379016102E-2</v>
      </c>
      <c r="L5046">
        <v>1045.4881704639699</v>
      </c>
      <c r="M5046">
        <v>21.368577615267199</v>
      </c>
      <c r="N5046">
        <v>49.239196975428101</v>
      </c>
      <c r="O5046">
        <v>48.503993441994702</v>
      </c>
      <c r="P5046">
        <v>-0.10315119983832099</v>
      </c>
      <c r="Q5046">
        <v>6.3462494091602498E-2</v>
      </c>
      <c r="R5046">
        <v>0.99486154205587196</v>
      </c>
      <c r="S5046" t="s">
        <v>11357</v>
      </c>
      <c r="T5046" t="s">
        <v>12620</v>
      </c>
      <c r="U5046" t="s">
        <v>12620</v>
      </c>
      <c r="V5046" t="s">
        <v>12620</v>
      </c>
      <c r="W5046" t="s">
        <v>17609</v>
      </c>
      <c r="X5046">
        <v>17</v>
      </c>
      <c r="Y5046" t="s">
        <v>23715</v>
      </c>
      <c r="Z5046" t="s">
        <v>29993</v>
      </c>
      <c r="AA5046">
        <v>0.35359156945520698</v>
      </c>
      <c r="AB5046" t="str">
        <f>HYPERLINK("Melting_Curves/meltCurve_Q9BTE6_AARSD1.pdf", "Melting_Curves/meltCurve_Q9BTE6_AARSD1.pdf")</f>
        <v>Melting_Curves/meltCurve_Q9BTE6_AARSD1.pdf</v>
      </c>
    </row>
    <row r="5047" spans="1:28" x14ac:dyDescent="0.25">
      <c r="A5047" t="s">
        <v>5051</v>
      </c>
      <c r="B5047">
        <v>0.99987803227770999</v>
      </c>
      <c r="C5047">
        <v>0.76704875936500405</v>
      </c>
      <c r="D5047">
        <v>0.62479743556086798</v>
      </c>
      <c r="E5047">
        <v>0.25301931081224799</v>
      </c>
      <c r="F5047">
        <v>0.107577505883657</v>
      </c>
      <c r="G5047">
        <v>6.5122278545281895E-2</v>
      </c>
      <c r="H5047">
        <v>4.5234351065678503E-2</v>
      </c>
      <c r="I5047">
        <v>3.95577264714429E-2</v>
      </c>
      <c r="J5047">
        <v>3.0742701057042299E-2</v>
      </c>
      <c r="K5047">
        <v>2.43589373148979E-2</v>
      </c>
      <c r="L5047">
        <v>823.58381079656897</v>
      </c>
      <c r="M5047">
        <v>17.614954639142301</v>
      </c>
      <c r="N5047">
        <v>46.881613109528899</v>
      </c>
      <c r="O5047">
        <v>46.164731991487599</v>
      </c>
      <c r="P5047">
        <v>-9.3177691087677095E-2</v>
      </c>
      <c r="Q5047">
        <v>2.3263928248502298E-2</v>
      </c>
      <c r="R5047">
        <v>0.99219290328838095</v>
      </c>
      <c r="S5047" t="s">
        <v>11358</v>
      </c>
      <c r="T5047" t="s">
        <v>12620</v>
      </c>
      <c r="U5047" t="s">
        <v>12620</v>
      </c>
      <c r="V5047" t="s">
        <v>12620</v>
      </c>
      <c r="W5047" t="s">
        <v>17610</v>
      </c>
      <c r="X5047">
        <v>3</v>
      </c>
      <c r="Y5047" t="s">
        <v>23716</v>
      </c>
      <c r="Z5047" t="s">
        <v>29994</v>
      </c>
      <c r="AA5047">
        <v>0.26232295976021952</v>
      </c>
      <c r="AB5047" t="str">
        <f>HYPERLINK("Melting_Curves/meltCurve_Q9BTE7_DCUN1D5.pdf", "Melting_Curves/meltCurve_Q9BTE7_DCUN1D5.pdf")</f>
        <v>Melting_Curves/meltCurve_Q9BTE7_DCUN1D5.pdf</v>
      </c>
    </row>
    <row r="5048" spans="1:28" x14ac:dyDescent="0.25">
      <c r="A5048" t="s">
        <v>5052</v>
      </c>
      <c r="B5048">
        <v>0.99987803227770999</v>
      </c>
      <c r="C5048">
        <v>1.0988179847283699</v>
      </c>
      <c r="D5048">
        <v>1.04107158844624</v>
      </c>
      <c r="E5048">
        <v>1.08531484947976</v>
      </c>
      <c r="F5048">
        <v>0.92183592748225796</v>
      </c>
      <c r="G5048">
        <v>0.83652765661593498</v>
      </c>
      <c r="H5048">
        <v>0.63835596571794995</v>
      </c>
      <c r="I5048">
        <v>0.35299369557578297</v>
      </c>
      <c r="J5048">
        <v>0.21141234130167899</v>
      </c>
      <c r="K5048">
        <v>0.144797479800996</v>
      </c>
      <c r="L5048">
        <v>1244.1266341594901</v>
      </c>
      <c r="M5048">
        <v>20.0697515173696</v>
      </c>
      <c r="N5048">
        <v>62.288204975538797</v>
      </c>
      <c r="O5048">
        <v>61.384534878929998</v>
      </c>
      <c r="P5048">
        <v>-7.79978932052319E-2</v>
      </c>
      <c r="Q5048">
        <v>4.5785758795968703E-2</v>
      </c>
      <c r="R5048">
        <v>0.97965666125848605</v>
      </c>
      <c r="S5048" t="s">
        <v>11359</v>
      </c>
      <c r="T5048" t="s">
        <v>12620</v>
      </c>
      <c r="U5048" t="s">
        <v>12620</v>
      </c>
      <c r="V5048" t="s">
        <v>12620</v>
      </c>
      <c r="W5048" t="s">
        <v>17611</v>
      </c>
      <c r="X5048">
        <v>7</v>
      </c>
      <c r="Y5048" t="s">
        <v>23717</v>
      </c>
      <c r="Z5048" t="s">
        <v>29995</v>
      </c>
      <c r="AA5048">
        <v>0.7482299551307855</v>
      </c>
      <c r="AB5048" t="str">
        <f>HYPERLINK("Melting_Curves/meltCurve_Q9BTF0_THUMPD2.pdf", "Melting_Curves/meltCurve_Q9BTF0_THUMPD2.pdf")</f>
        <v>Melting_Curves/meltCurve_Q9BTF0_THUMPD2.pdf</v>
      </c>
    </row>
    <row r="5049" spans="1:28" x14ac:dyDescent="0.25">
      <c r="A5049" t="s">
        <v>5053</v>
      </c>
      <c r="B5049">
        <v>0.99987803227770999</v>
      </c>
      <c r="C5049">
        <v>1.0911028792169699</v>
      </c>
      <c r="D5049">
        <v>0.95942538467098204</v>
      </c>
      <c r="E5049">
        <v>1.0849365229815899</v>
      </c>
      <c r="F5049">
        <v>0.95930880001889796</v>
      </c>
      <c r="G5049">
        <v>0.80282580281959204</v>
      </c>
      <c r="H5049">
        <v>0.60013747968125097</v>
      </c>
      <c r="I5049">
        <v>0.66577578244242996</v>
      </c>
      <c r="J5049">
        <v>0.54096096980258801</v>
      </c>
      <c r="K5049">
        <v>0.44351554319979802</v>
      </c>
      <c r="L5049">
        <v>1167.98096796802</v>
      </c>
      <c r="M5049">
        <v>19.845492712654501</v>
      </c>
      <c r="O5049">
        <v>58.265902722381597</v>
      </c>
      <c r="P5049">
        <v>-4.4123972081233198E-2</v>
      </c>
      <c r="Q5049">
        <v>0.48182959073832998</v>
      </c>
      <c r="R5049">
        <v>0.92825928773623201</v>
      </c>
      <c r="S5049" t="s">
        <v>11360</v>
      </c>
      <c r="T5049" t="s">
        <v>12620</v>
      </c>
      <c r="U5049" t="s">
        <v>12620</v>
      </c>
      <c r="V5049" t="s">
        <v>12620</v>
      </c>
      <c r="W5049" t="s">
        <v>17612</v>
      </c>
      <c r="X5049">
        <v>4</v>
      </c>
      <c r="Y5049" t="s">
        <v>23718</v>
      </c>
      <c r="Z5049" t="s">
        <v>29996</v>
      </c>
      <c r="AA5049">
        <v>0.81283189626865682</v>
      </c>
      <c r="AB5049" t="str">
        <f>HYPERLINK("Melting_Curves/meltCurve_Q9BTL3_FAM103A1.pdf", "Melting_Curves/meltCurve_Q9BTL3_FAM103A1.pdf")</f>
        <v>Melting_Curves/meltCurve_Q9BTL3_FAM103A1.pdf</v>
      </c>
    </row>
    <row r="5050" spans="1:28" x14ac:dyDescent="0.25">
      <c r="A5050" t="s">
        <v>5054</v>
      </c>
      <c r="B5050">
        <v>0.99987803227770999</v>
      </c>
      <c r="C5050">
        <v>1.0013897914454799</v>
      </c>
      <c r="D5050">
        <v>0.89540467338688601</v>
      </c>
      <c r="E5050">
        <v>0.948331190179315</v>
      </c>
      <c r="F5050">
        <v>0.92391631175778</v>
      </c>
      <c r="G5050">
        <v>0.71428817742363304</v>
      </c>
      <c r="H5050">
        <v>0.46524178651293802</v>
      </c>
      <c r="I5050">
        <v>0.40254887706971298</v>
      </c>
      <c r="J5050">
        <v>0.22960082086261799</v>
      </c>
      <c r="K5050">
        <v>0.134335387341636</v>
      </c>
      <c r="L5050">
        <v>814.88759670613194</v>
      </c>
      <c r="M5050">
        <v>13.3446031367084</v>
      </c>
      <c r="N5050">
        <v>61.064955575644198</v>
      </c>
      <c r="O5050">
        <v>59.742570157192901</v>
      </c>
      <c r="P5050">
        <v>-5.5851035524639901E-2</v>
      </c>
      <c r="Q5050">
        <v>0</v>
      </c>
      <c r="R5050">
        <v>0.98547608679104803</v>
      </c>
      <c r="S5050" t="s">
        <v>11361</v>
      </c>
      <c r="T5050" t="s">
        <v>12620</v>
      </c>
      <c r="U5050" t="s">
        <v>12620</v>
      </c>
      <c r="V5050" t="s">
        <v>12620</v>
      </c>
      <c r="W5050" t="s">
        <v>17613</v>
      </c>
      <c r="X5050">
        <v>2</v>
      </c>
      <c r="Y5050" t="s">
        <v>23719</v>
      </c>
      <c r="Z5050" t="s">
        <v>29997</v>
      </c>
      <c r="AA5050">
        <v>0.70131442505726027</v>
      </c>
      <c r="AB5050" t="str">
        <f>HYPERLINK("Melting_Curves/meltCurve_Q9BTM9_URM1.pdf", "Melting_Curves/meltCurve_Q9BTM9_URM1.pdf")</f>
        <v>Melting_Curves/meltCurve_Q9BTM9_URM1.pdf</v>
      </c>
    </row>
    <row r="5051" spans="1:28" x14ac:dyDescent="0.25">
      <c r="A5051" t="s">
        <v>5055</v>
      </c>
      <c r="B5051">
        <v>0.99987803227770999</v>
      </c>
      <c r="C5051">
        <v>0.96171959018712305</v>
      </c>
      <c r="D5051">
        <v>0.85677858238004001</v>
      </c>
      <c r="E5051">
        <v>0.66317216283141101</v>
      </c>
      <c r="F5051">
        <v>0.43776121036813098</v>
      </c>
      <c r="G5051">
        <v>0.34098294213671299</v>
      </c>
      <c r="H5051">
        <v>0.223134545446146</v>
      </c>
      <c r="I5051">
        <v>0.26321588487238901</v>
      </c>
      <c r="J5051">
        <v>0.124492344847592</v>
      </c>
      <c r="K5051">
        <v>6.3737930143427907E-2</v>
      </c>
      <c r="L5051">
        <v>639.80756482170204</v>
      </c>
      <c r="M5051">
        <v>12.300974653029501</v>
      </c>
      <c r="N5051">
        <v>52.860333929393697</v>
      </c>
      <c r="O5051">
        <v>50.695453391659498</v>
      </c>
      <c r="P5051">
        <v>-5.5243917633846999E-2</v>
      </c>
      <c r="Q5051">
        <v>8.9502303981476197E-2</v>
      </c>
      <c r="R5051">
        <v>0.98443079582468695</v>
      </c>
      <c r="S5051" t="s">
        <v>11362</v>
      </c>
      <c r="T5051" t="s">
        <v>12620</v>
      </c>
      <c r="U5051" t="s">
        <v>12620</v>
      </c>
      <c r="V5051" t="s">
        <v>12620</v>
      </c>
      <c r="W5051" t="s">
        <v>17614</v>
      </c>
      <c r="X5051">
        <v>1</v>
      </c>
      <c r="Y5051" t="s">
        <v>23720</v>
      </c>
      <c r="Z5051" t="s">
        <v>29998</v>
      </c>
      <c r="AA5051">
        <v>0.48104967568828771</v>
      </c>
      <c r="AB5051" t="str">
        <f>HYPERLINK("Melting_Curves/meltCurve_Q9BTP7_FAAP24.pdf", "Melting_Curves/meltCurve_Q9BTP7_FAAP24.pdf")</f>
        <v>Melting_Curves/meltCurve_Q9BTP7_FAAP24.pdf</v>
      </c>
    </row>
    <row r="5052" spans="1:28" x14ac:dyDescent="0.25">
      <c r="A5052" t="s">
        <v>5056</v>
      </c>
      <c r="B5052">
        <v>0.99987803227770999</v>
      </c>
      <c r="C5052">
        <v>0.95573943181513399</v>
      </c>
      <c r="D5052">
        <v>1.0413934826090301</v>
      </c>
      <c r="E5052">
        <v>0.89168142540282103</v>
      </c>
      <c r="F5052">
        <v>0.83084660044907099</v>
      </c>
      <c r="G5052">
        <v>0.73477161473382901</v>
      </c>
      <c r="H5052">
        <v>0.71969293132706902</v>
      </c>
      <c r="I5052">
        <v>0.77781139125651499</v>
      </c>
      <c r="J5052">
        <v>0.68384961188609195</v>
      </c>
      <c r="K5052">
        <v>0.57242049158444097</v>
      </c>
      <c r="L5052">
        <v>578.00524320949705</v>
      </c>
      <c r="M5052">
        <v>10.4019494661463</v>
      </c>
      <c r="O5052">
        <v>53.631007212117403</v>
      </c>
      <c r="P5052">
        <v>-1.9148916767696901E-2</v>
      </c>
      <c r="Q5052">
        <v>0.60524849489740096</v>
      </c>
      <c r="R5052">
        <v>0.88017506219590702</v>
      </c>
      <c r="S5052" t="s">
        <v>11363</v>
      </c>
      <c r="T5052" t="s">
        <v>12620</v>
      </c>
      <c r="U5052" t="s">
        <v>12620</v>
      </c>
      <c r="V5052" t="s">
        <v>12620</v>
      </c>
      <c r="W5052" t="s">
        <v>17615</v>
      </c>
      <c r="X5052">
        <v>6</v>
      </c>
      <c r="Y5052" t="s">
        <v>23721</v>
      </c>
      <c r="Z5052" t="s">
        <v>29999</v>
      </c>
      <c r="AA5052">
        <v>0.81917453044550537</v>
      </c>
      <c r="AB5052" t="str">
        <f>HYPERLINK("Melting_Curves/meltCurve_Q9BTT0_ANP32E.pdf", "Melting_Curves/meltCurve_Q9BTT0_ANP32E.pdf")</f>
        <v>Melting_Curves/meltCurve_Q9BTT0_ANP32E.pdf</v>
      </c>
    </row>
    <row r="5053" spans="1:28" x14ac:dyDescent="0.25">
      <c r="A5053" t="s">
        <v>5057</v>
      </c>
      <c r="B5053">
        <v>0.99987803227770999</v>
      </c>
      <c r="C5053">
        <v>1.04044703617723</v>
      </c>
      <c r="D5053">
        <v>1.05320592132168</v>
      </c>
      <c r="E5053">
        <v>1.13634204094138</v>
      </c>
      <c r="F5053">
        <v>1.24364373884658</v>
      </c>
      <c r="G5053">
        <v>0.92745436993325803</v>
      </c>
      <c r="H5053">
        <v>0.76909854803140398</v>
      </c>
      <c r="I5053">
        <v>0.75925364565984399</v>
      </c>
      <c r="J5053">
        <v>0.60392970323706996</v>
      </c>
      <c r="K5053">
        <v>0.45716276290292102</v>
      </c>
      <c r="L5053">
        <v>1217.24326322613</v>
      </c>
      <c r="M5053">
        <v>18.719895777064501</v>
      </c>
      <c r="N5053">
        <v>69.214843607290405</v>
      </c>
      <c r="O5053">
        <v>64.295647583024405</v>
      </c>
      <c r="P5053">
        <v>-4.8112273603599001E-2</v>
      </c>
      <c r="Q5053">
        <v>0.33903926138213503</v>
      </c>
      <c r="R5053">
        <v>0.82161883339392505</v>
      </c>
      <c r="S5053" t="s">
        <v>11364</v>
      </c>
      <c r="T5053" t="s">
        <v>12620</v>
      </c>
      <c r="U5053" t="s">
        <v>12620</v>
      </c>
      <c r="V5053" t="s">
        <v>12620</v>
      </c>
      <c r="W5053" t="s">
        <v>17616</v>
      </c>
      <c r="X5053">
        <v>3</v>
      </c>
      <c r="Y5053" t="s">
        <v>23722</v>
      </c>
      <c r="Z5053" t="s">
        <v>30000</v>
      </c>
      <c r="AA5053">
        <v>0.8804666733053883</v>
      </c>
      <c r="AB5053" t="str">
        <f>HYPERLINK("Melting_Curves/meltCurve_Q9BTT4_MED10.pdf", "Melting_Curves/meltCurve_Q9BTT4_MED10.pdf")</f>
        <v>Melting_Curves/meltCurve_Q9BTT4_MED10.pdf</v>
      </c>
    </row>
    <row r="5054" spans="1:28" x14ac:dyDescent="0.25">
      <c r="A5054" t="s">
        <v>5058</v>
      </c>
      <c r="B5054">
        <v>0.99987803227770999</v>
      </c>
      <c r="C5054">
        <v>0.85105091172371095</v>
      </c>
      <c r="D5054">
        <v>0.79468295810977896</v>
      </c>
      <c r="E5054">
        <v>0.57090155245321605</v>
      </c>
      <c r="F5054">
        <v>0.45862043093357602</v>
      </c>
      <c r="G5054">
        <v>0.39062116427527599</v>
      </c>
      <c r="H5054">
        <v>0.29167755931353601</v>
      </c>
      <c r="I5054">
        <v>0.245882823771713</v>
      </c>
      <c r="J5054">
        <v>0.18431672626105</v>
      </c>
      <c r="K5054">
        <v>0.13717896627405499</v>
      </c>
      <c r="L5054">
        <v>478.29319361177801</v>
      </c>
      <c r="M5054">
        <v>9.3196045009414803</v>
      </c>
      <c r="N5054">
        <v>52.603673493650298</v>
      </c>
      <c r="O5054">
        <v>49.124416251976001</v>
      </c>
      <c r="P5054">
        <v>-4.2635785384034203E-2</v>
      </c>
      <c r="Q5054">
        <v>0.10162444357469901</v>
      </c>
      <c r="R5054">
        <v>0.98773352079104504</v>
      </c>
      <c r="S5054" t="s">
        <v>11365</v>
      </c>
      <c r="T5054" t="s">
        <v>12620</v>
      </c>
      <c r="U5054" t="s">
        <v>12620</v>
      </c>
      <c r="V5054" t="s">
        <v>12620</v>
      </c>
      <c r="W5054" t="s">
        <v>17617</v>
      </c>
      <c r="X5054">
        <v>4</v>
      </c>
      <c r="Y5054" t="s">
        <v>23723</v>
      </c>
      <c r="Z5054" t="s">
        <v>30001</v>
      </c>
      <c r="AA5054">
        <v>0.48004426770618619</v>
      </c>
      <c r="AB5054" t="str">
        <f>HYPERLINK("Melting_Curves/meltCurve_Q9BTT6_LRRC1.pdf", "Melting_Curves/meltCurve_Q9BTT6_LRRC1.pdf")</f>
        <v>Melting_Curves/meltCurve_Q9BTT6_LRRC1.pdf</v>
      </c>
    </row>
    <row r="5055" spans="1:28" x14ac:dyDescent="0.25">
      <c r="A5055" t="s">
        <v>5059</v>
      </c>
      <c r="B5055">
        <v>0.99987803227770999</v>
      </c>
      <c r="C5055">
        <v>1.0917418945669699</v>
      </c>
      <c r="D5055">
        <v>1.01275737549428</v>
      </c>
      <c r="E5055">
        <v>0.75779123024031203</v>
      </c>
      <c r="F5055">
        <v>0.31194636725341102</v>
      </c>
      <c r="G5055">
        <v>0.18890073122402101</v>
      </c>
      <c r="H5055">
        <v>0.122707479495947</v>
      </c>
      <c r="I5055">
        <v>9.9772271362069703E-2</v>
      </c>
      <c r="J5055">
        <v>7.5432450633282799E-2</v>
      </c>
      <c r="K5055">
        <v>5.8847646126551398E-2</v>
      </c>
      <c r="L5055">
        <v>1814.60601735772</v>
      </c>
      <c r="M5055">
        <v>35.316304410700397</v>
      </c>
      <c r="N5055">
        <v>51.709340578163399</v>
      </c>
      <c r="O5055">
        <v>51.217637390710102</v>
      </c>
      <c r="P5055">
        <v>-0.15509471603578801</v>
      </c>
      <c r="Q5055">
        <v>0.10029584147281501</v>
      </c>
      <c r="R5055">
        <v>0.99068664592230204</v>
      </c>
      <c r="S5055" t="s">
        <v>11366</v>
      </c>
      <c r="T5055" t="s">
        <v>12620</v>
      </c>
      <c r="U5055" t="s">
        <v>12620</v>
      </c>
      <c r="V5055" t="s">
        <v>12620</v>
      </c>
      <c r="W5055" t="s">
        <v>17618</v>
      </c>
      <c r="X5055">
        <v>4</v>
      </c>
      <c r="Y5055" t="s">
        <v>23724</v>
      </c>
      <c r="Z5055" t="s">
        <v>30002</v>
      </c>
      <c r="AA5055">
        <v>0.44573425868161881</v>
      </c>
      <c r="AB5055" t="str">
        <f>HYPERLINK("Melting_Curves/meltCurve_Q9BTV5_FSD1.pdf", "Melting_Curves/meltCurve_Q9BTV5_FSD1.pdf")</f>
        <v>Melting_Curves/meltCurve_Q9BTV5_FSD1.pdf</v>
      </c>
    </row>
    <row r="5056" spans="1:28" x14ac:dyDescent="0.25">
      <c r="A5056" t="s">
        <v>5060</v>
      </c>
      <c r="B5056">
        <v>0.99987803227770999</v>
      </c>
      <c r="C5056">
        <v>0.96584233442852097</v>
      </c>
      <c r="D5056">
        <v>0.96392972229326801</v>
      </c>
      <c r="E5056">
        <v>0.86027556448255205</v>
      </c>
      <c r="F5056">
        <v>0.87900095484437202</v>
      </c>
      <c r="G5056">
        <v>0.60781314437089295</v>
      </c>
      <c r="H5056">
        <v>0.543271351379497</v>
      </c>
      <c r="I5056">
        <v>0.22473319637497699</v>
      </c>
      <c r="J5056">
        <v>0.14729792251214499</v>
      </c>
      <c r="K5056">
        <v>0.12824611059201399</v>
      </c>
      <c r="L5056">
        <v>794.36620663734197</v>
      </c>
      <c r="M5056">
        <v>13.316081086453099</v>
      </c>
      <c r="N5056">
        <v>59.654653892205502</v>
      </c>
      <c r="O5056">
        <v>58.357444792269902</v>
      </c>
      <c r="P5056">
        <v>-5.7054518346439501E-2</v>
      </c>
      <c r="Q5056">
        <v>0</v>
      </c>
      <c r="R5056">
        <v>0.97504441370491801</v>
      </c>
      <c r="S5056" t="s">
        <v>11367</v>
      </c>
      <c r="T5056" t="s">
        <v>12620</v>
      </c>
      <c r="U5056" t="s">
        <v>12620</v>
      </c>
      <c r="V5056" t="s">
        <v>12620</v>
      </c>
      <c r="W5056" t="s">
        <v>17619</v>
      </c>
      <c r="X5056">
        <v>4</v>
      </c>
      <c r="Y5056" t="s">
        <v>23725</v>
      </c>
      <c r="Z5056" t="s">
        <v>30003</v>
      </c>
      <c r="AA5056">
        <v>0.66172850532992011</v>
      </c>
      <c r="AB5056" t="str">
        <f>HYPERLINK("Melting_Curves/meltCurve_Q9BTV6_WDR85.pdf", "Melting_Curves/meltCurve_Q9BTV6_WDR85.pdf")</f>
        <v>Melting_Curves/meltCurve_Q9BTV6_WDR85.pdf</v>
      </c>
    </row>
    <row r="5057" spans="1:28" x14ac:dyDescent="0.25">
      <c r="A5057" t="s">
        <v>5061</v>
      </c>
      <c r="B5057">
        <v>0.99987803227770999</v>
      </c>
      <c r="C5057">
        <v>1.21418086839775</v>
      </c>
      <c r="D5057">
        <v>0.76183528819095203</v>
      </c>
      <c r="E5057">
        <v>0.46371071843431599</v>
      </c>
      <c r="F5057">
        <v>0.20110168425802799</v>
      </c>
      <c r="G5057">
        <v>0.133979143140422</v>
      </c>
      <c r="H5057">
        <v>8.71441443449643E-2</v>
      </c>
      <c r="I5057">
        <v>8.0296954641536494E-2</v>
      </c>
      <c r="J5057">
        <v>6.5823134631605495E-2</v>
      </c>
      <c r="K5057">
        <v>4.97505860277297E-2</v>
      </c>
      <c r="L5057">
        <v>1192.12815046587</v>
      </c>
      <c r="M5057">
        <v>24.2625056528199</v>
      </c>
      <c r="N5057">
        <v>49.461499019856603</v>
      </c>
      <c r="O5057">
        <v>48.804426356691202</v>
      </c>
      <c r="P5057">
        <v>-0.115078811174069</v>
      </c>
      <c r="Q5057">
        <v>7.4081966116008494E-2</v>
      </c>
      <c r="R5057">
        <v>0.96002610444133496</v>
      </c>
      <c r="S5057" t="s">
        <v>11368</v>
      </c>
      <c r="T5057" t="s">
        <v>12620</v>
      </c>
      <c r="U5057" t="s">
        <v>12620</v>
      </c>
      <c r="V5057" t="s">
        <v>12620</v>
      </c>
      <c r="W5057" t="s">
        <v>17620</v>
      </c>
      <c r="X5057">
        <v>37</v>
      </c>
      <c r="Y5057" t="s">
        <v>23726</v>
      </c>
      <c r="Z5057" t="s">
        <v>30004</v>
      </c>
      <c r="AA5057">
        <v>0.36474430591079798</v>
      </c>
      <c r="AB5057" t="str">
        <f>HYPERLINK("Melting_Curves/meltCurve_Q9BTW9_TBCD.pdf", "Melting_Curves/meltCurve_Q9BTW9_TBCD.pdf")</f>
        <v>Melting_Curves/meltCurve_Q9BTW9_TBCD.pdf</v>
      </c>
    </row>
    <row r="5058" spans="1:28" x14ac:dyDescent="0.25">
      <c r="A5058" t="s">
        <v>5062</v>
      </c>
      <c r="B5058">
        <v>0.99987803227770999</v>
      </c>
      <c r="C5058">
        <v>0.89427835015446899</v>
      </c>
      <c r="D5058">
        <v>1.0093987776164199</v>
      </c>
      <c r="E5058">
        <v>0.87110740667863895</v>
      </c>
      <c r="F5058">
        <v>0.97527211204702302</v>
      </c>
      <c r="G5058">
        <v>0.83112374014444002</v>
      </c>
      <c r="H5058">
        <v>0.72858063399967599</v>
      </c>
      <c r="I5058">
        <v>0.52259996951179699</v>
      </c>
      <c r="J5058">
        <v>0.19422796557625599</v>
      </c>
      <c r="K5058">
        <v>0.10172927652076</v>
      </c>
      <c r="L5058">
        <v>1333.9059748696</v>
      </c>
      <c r="M5058">
        <v>20.999812618306599</v>
      </c>
      <c r="N5058">
        <v>63.519900469634798</v>
      </c>
      <c r="O5058">
        <v>62.952302172975401</v>
      </c>
      <c r="P5058">
        <v>-8.3397963257676094E-2</v>
      </c>
      <c r="Q5058">
        <v>0</v>
      </c>
      <c r="R5058">
        <v>0.95684470109720099</v>
      </c>
      <c r="S5058" t="s">
        <v>11369</v>
      </c>
      <c r="T5058" t="s">
        <v>12620</v>
      </c>
      <c r="U5058" t="s">
        <v>12620</v>
      </c>
      <c r="V5058" t="s">
        <v>12620</v>
      </c>
      <c r="W5058" t="s">
        <v>17621</v>
      </c>
      <c r="X5058">
        <v>9</v>
      </c>
      <c r="Y5058" t="s">
        <v>23727</v>
      </c>
      <c r="Z5058" t="s">
        <v>30005</v>
      </c>
      <c r="AA5058">
        <v>0.78180190326105103</v>
      </c>
      <c r="AB5058" t="str">
        <f>HYPERLINK("Melting_Curves/meltCurve_Q9BTX7_TTPAL.pdf", "Melting_Curves/meltCurve_Q9BTX7_TTPAL.pdf")</f>
        <v>Melting_Curves/meltCurve_Q9BTX7_TTPAL.pdf</v>
      </c>
    </row>
    <row r="5059" spans="1:28" x14ac:dyDescent="0.25">
      <c r="A5059" t="s">
        <v>5063</v>
      </c>
      <c r="B5059">
        <v>0.99987803227770999</v>
      </c>
      <c r="C5059">
        <v>1.04964482175622</v>
      </c>
      <c r="D5059">
        <v>0.98282779631036399</v>
      </c>
      <c r="E5059">
        <v>0.97510268192854299</v>
      </c>
      <c r="F5059">
        <v>0.84869099274000304</v>
      </c>
      <c r="G5059">
        <v>0.76553132117201494</v>
      </c>
      <c r="H5059">
        <v>0.55832181636532896</v>
      </c>
      <c r="I5059">
        <v>0.22247028021611501</v>
      </c>
      <c r="J5059">
        <v>0.14115556441832</v>
      </c>
      <c r="K5059">
        <v>0.101419941445687</v>
      </c>
      <c r="L5059">
        <v>1070.2395419386401</v>
      </c>
      <c r="M5059">
        <v>17.6245586522423</v>
      </c>
      <c r="N5059">
        <v>60.724331944720802</v>
      </c>
      <c r="O5059">
        <v>59.958746794596401</v>
      </c>
      <c r="P5059">
        <v>-7.3490126731688005E-2</v>
      </c>
      <c r="Q5059">
        <v>0</v>
      </c>
      <c r="R5059">
        <v>0.98443580293964905</v>
      </c>
      <c r="S5059" t="s">
        <v>11370</v>
      </c>
      <c r="T5059" t="s">
        <v>12620</v>
      </c>
      <c r="U5059" t="s">
        <v>12620</v>
      </c>
      <c r="V5059" t="s">
        <v>12620</v>
      </c>
      <c r="W5059" t="s">
        <v>17622</v>
      </c>
      <c r="X5059">
        <v>6</v>
      </c>
      <c r="Y5059" t="s">
        <v>23728</v>
      </c>
      <c r="Z5059" t="s">
        <v>30006</v>
      </c>
      <c r="AA5059">
        <v>0.69681384922327638</v>
      </c>
      <c r="AB5059" t="str">
        <f>HYPERLINK("Melting_Curves/meltCurve_Q9BTY2_FUCA2.pdf", "Melting_Curves/meltCurve_Q9BTY2_FUCA2.pdf")</f>
        <v>Melting_Curves/meltCurve_Q9BTY2_FUCA2.pdf</v>
      </c>
    </row>
    <row r="5060" spans="1:28" x14ac:dyDescent="0.25">
      <c r="A5060" t="s">
        <v>5064</v>
      </c>
      <c r="B5060">
        <v>0.99987803227770999</v>
      </c>
      <c r="C5060">
        <v>1.06219010189028</v>
      </c>
      <c r="D5060">
        <v>0.80796905244275996</v>
      </c>
      <c r="E5060">
        <v>0.38279379225385501</v>
      </c>
      <c r="F5060">
        <v>0.22444942794019801</v>
      </c>
      <c r="G5060">
        <v>0.16346476719469899</v>
      </c>
      <c r="H5060">
        <v>0.112192827251839</v>
      </c>
      <c r="I5060">
        <v>0.123830523142081</v>
      </c>
      <c r="J5060">
        <v>7.9407984632356696E-2</v>
      </c>
      <c r="K5060">
        <v>5.3132413513540401E-2</v>
      </c>
      <c r="L5060">
        <v>1229.9704650921601</v>
      </c>
      <c r="M5060">
        <v>25.309770561178599</v>
      </c>
      <c r="N5060">
        <v>49.041108174506803</v>
      </c>
      <c r="O5060">
        <v>48.296330137938199</v>
      </c>
      <c r="P5060">
        <v>-0.117587636065761</v>
      </c>
      <c r="Q5060">
        <v>0.10248430209203201</v>
      </c>
      <c r="R5060">
        <v>0.989718821283188</v>
      </c>
      <c r="S5060" t="s">
        <v>11371</v>
      </c>
      <c r="T5060" t="s">
        <v>12620</v>
      </c>
      <c r="U5060" t="s">
        <v>12620</v>
      </c>
      <c r="V5060" t="s">
        <v>12620</v>
      </c>
      <c r="W5060" t="s">
        <v>17623</v>
      </c>
      <c r="X5060">
        <v>15</v>
      </c>
      <c r="Y5060" t="s">
        <v>23729</v>
      </c>
      <c r="Z5060" t="s">
        <v>30007</v>
      </c>
      <c r="AA5060">
        <v>0.36740824452223458</v>
      </c>
      <c r="AB5060" t="str">
        <f>HYPERLINK("Melting_Curves/meltCurve_Q9BTY7_FAM203A.pdf", "Melting_Curves/meltCurve_Q9BTY7_FAM203A.pdf")</f>
        <v>Melting_Curves/meltCurve_Q9BTY7_FAM203A.pdf</v>
      </c>
    </row>
    <row r="5061" spans="1:28" x14ac:dyDescent="0.25">
      <c r="A5061" t="s">
        <v>5065</v>
      </c>
      <c r="B5061">
        <v>0.99987803227770999</v>
      </c>
      <c r="C5061">
        <v>0.93292517630984595</v>
      </c>
      <c r="D5061">
        <v>0.83638772653601401</v>
      </c>
      <c r="E5061">
        <v>0.556180260358904</v>
      </c>
      <c r="F5061">
        <v>0.329313072553443</v>
      </c>
      <c r="G5061">
        <v>0.25793277999709002</v>
      </c>
      <c r="H5061">
        <v>0.19197430585967801</v>
      </c>
      <c r="I5061">
        <v>0.120732893093306</v>
      </c>
      <c r="J5061">
        <v>6.3249512851664996E-2</v>
      </c>
      <c r="K5061">
        <v>4.78531881208029E-2</v>
      </c>
      <c r="L5061">
        <v>722.72672270703595</v>
      </c>
      <c r="M5061">
        <v>14.325134299332399</v>
      </c>
      <c r="N5061">
        <v>50.958229478893998</v>
      </c>
      <c r="O5061">
        <v>49.4990221628832</v>
      </c>
      <c r="P5061">
        <v>-6.7557166618980896E-2</v>
      </c>
      <c r="Q5061">
        <v>6.6365449655049702E-2</v>
      </c>
      <c r="R5061">
        <v>0.99171265396145702</v>
      </c>
      <c r="S5061" t="s">
        <v>11372</v>
      </c>
      <c r="T5061" t="s">
        <v>12620</v>
      </c>
      <c r="U5061" t="s">
        <v>12620</v>
      </c>
      <c r="V5061" t="s">
        <v>12620</v>
      </c>
      <c r="W5061" t="s">
        <v>17624</v>
      </c>
      <c r="X5061">
        <v>4</v>
      </c>
      <c r="Y5061" t="s">
        <v>23730</v>
      </c>
      <c r="Z5061" t="s">
        <v>30008</v>
      </c>
      <c r="AA5061">
        <v>0.41536454917063043</v>
      </c>
      <c r="AB5061" t="str">
        <f>HYPERLINK("Melting_Curves/meltCurve_Q9BTZ2_DHRS4.pdf", "Melting_Curves/meltCurve_Q9BTZ2_DHRS4.pdf")</f>
        <v>Melting_Curves/meltCurve_Q9BTZ2_DHRS4.pdf</v>
      </c>
    </row>
    <row r="5062" spans="1:28" x14ac:dyDescent="0.25">
      <c r="A5062" t="s">
        <v>5066</v>
      </c>
      <c r="B5062">
        <v>0.99987803227770999</v>
      </c>
      <c r="C5062">
        <v>0.87344244142300798</v>
      </c>
      <c r="D5062">
        <v>1.01083493997393</v>
      </c>
      <c r="E5062">
        <v>0.82075036404436097</v>
      </c>
      <c r="F5062">
        <v>0.90045300228179603</v>
      </c>
      <c r="G5062">
        <v>0.53896273475935697</v>
      </c>
      <c r="H5062">
        <v>0.374321372387243</v>
      </c>
      <c r="I5062">
        <v>0.337291084576199</v>
      </c>
      <c r="J5062">
        <v>0.25096054375569099</v>
      </c>
      <c r="K5062">
        <v>0.19326485508132901</v>
      </c>
      <c r="L5062">
        <v>830.65748563390605</v>
      </c>
      <c r="M5062">
        <v>14.5335151369247</v>
      </c>
      <c r="N5062">
        <v>58.639092650708299</v>
      </c>
      <c r="O5062">
        <v>56.105226836353097</v>
      </c>
      <c r="P5062">
        <v>-5.4798714891807501E-2</v>
      </c>
      <c r="Q5062">
        <v>0.15391621885607201</v>
      </c>
      <c r="R5062">
        <v>0.95955264770373705</v>
      </c>
      <c r="S5062" t="s">
        <v>11373</v>
      </c>
      <c r="T5062" t="s">
        <v>12620</v>
      </c>
      <c r="U5062" t="s">
        <v>12620</v>
      </c>
      <c r="V5062" t="s">
        <v>12620</v>
      </c>
      <c r="W5062" t="s">
        <v>17625</v>
      </c>
      <c r="X5062">
        <v>8</v>
      </c>
      <c r="Y5062" t="s">
        <v>23731</v>
      </c>
      <c r="Z5062" t="s">
        <v>30009</v>
      </c>
      <c r="AA5062">
        <v>0.65102374593194801</v>
      </c>
      <c r="AB5062" t="str">
        <f>HYPERLINK("Melting_Curves/meltCurve_Q9BU02_THTPA.pdf", "Melting_Curves/meltCurve_Q9BU02_THTPA.pdf")</f>
        <v>Melting_Curves/meltCurve_Q9BU02_THTPA.pdf</v>
      </c>
    </row>
    <row r="5063" spans="1:28" x14ac:dyDescent="0.25">
      <c r="A5063" t="s">
        <v>5067</v>
      </c>
      <c r="B5063">
        <v>0.99987803227770999</v>
      </c>
      <c r="C5063">
        <v>1.0361075714133801</v>
      </c>
      <c r="D5063">
        <v>0.96670920536386395</v>
      </c>
      <c r="E5063">
        <v>0.76369447529205103</v>
      </c>
      <c r="F5063">
        <v>0.84544393098149995</v>
      </c>
      <c r="G5063">
        <v>0.64727128614279705</v>
      </c>
      <c r="H5063">
        <v>0.66645283975754999</v>
      </c>
      <c r="I5063">
        <v>0.773062446707934</v>
      </c>
      <c r="J5063">
        <v>0.79444916502108498</v>
      </c>
      <c r="K5063">
        <v>0.52921917685823805</v>
      </c>
      <c r="L5063">
        <v>997.35785543738098</v>
      </c>
      <c r="M5063">
        <v>20.069659147303199</v>
      </c>
      <c r="O5063">
        <v>49.209309537307</v>
      </c>
      <c r="P5063">
        <v>-3.2262525317520198E-2</v>
      </c>
      <c r="Q5063">
        <v>0.68358886119173401</v>
      </c>
      <c r="R5063">
        <v>0.73860438912438897</v>
      </c>
      <c r="S5063" t="s">
        <v>11374</v>
      </c>
      <c r="T5063" t="s">
        <v>12620</v>
      </c>
      <c r="U5063" t="s">
        <v>12620</v>
      </c>
      <c r="V5063" t="s">
        <v>12620</v>
      </c>
      <c r="W5063" t="s">
        <v>17626</v>
      </c>
      <c r="X5063">
        <v>1</v>
      </c>
      <c r="Y5063" t="s">
        <v>23732</v>
      </c>
      <c r="Z5063" t="s">
        <v>30010</v>
      </c>
      <c r="AA5063">
        <v>0.79022094297611978</v>
      </c>
      <c r="AB5063" t="str">
        <f>HYPERLINK("Melting_Curves/meltCurve_Q9BU64_CENPO.pdf", "Melting_Curves/meltCurve_Q9BU64_CENPO.pdf")</f>
        <v>Melting_Curves/meltCurve_Q9BU64_CENPO.pdf</v>
      </c>
    </row>
    <row r="5064" spans="1:28" x14ac:dyDescent="0.25">
      <c r="A5064" t="s">
        <v>5068</v>
      </c>
      <c r="B5064">
        <v>0.99987803227770999</v>
      </c>
      <c r="C5064">
        <v>0.87845300023428297</v>
      </c>
      <c r="D5064">
        <v>0.93946257679955902</v>
      </c>
      <c r="E5064">
        <v>0.81176894423506896</v>
      </c>
      <c r="F5064">
        <v>0.84340825446123702</v>
      </c>
      <c r="G5064">
        <v>0.60087719197581502</v>
      </c>
      <c r="H5064">
        <v>0.66276944658412495</v>
      </c>
      <c r="I5064">
        <v>0.64221031811372198</v>
      </c>
      <c r="J5064">
        <v>0.63806428526429404</v>
      </c>
      <c r="K5064">
        <v>0.52385148553806404</v>
      </c>
      <c r="L5064">
        <v>423.45485841210399</v>
      </c>
      <c r="M5064">
        <v>7.7958213055090999</v>
      </c>
      <c r="O5064">
        <v>51.091624086738797</v>
      </c>
      <c r="P5064">
        <v>-1.9250881506755201E-2</v>
      </c>
      <c r="Q5064">
        <v>0.49596830038525602</v>
      </c>
      <c r="R5064">
        <v>0.88030491531181099</v>
      </c>
      <c r="S5064" t="s">
        <v>11375</v>
      </c>
      <c r="T5064" t="s">
        <v>12620</v>
      </c>
      <c r="U5064" t="s">
        <v>12620</v>
      </c>
      <c r="V5064" t="s">
        <v>12620</v>
      </c>
      <c r="W5064" t="s">
        <v>17627</v>
      </c>
      <c r="X5064">
        <v>8</v>
      </c>
      <c r="Y5064" t="s">
        <v>23733</v>
      </c>
      <c r="Z5064" t="s">
        <v>30011</v>
      </c>
      <c r="AA5064">
        <v>0.75275106789232238</v>
      </c>
      <c r="AB5064" t="str">
        <f>HYPERLINK("Melting_Curves/meltCurve_Q9BU76_4_MMTAG2.pdf", "Melting_Curves/meltCurve_Q9BU76_4_MMTAG2.pdf")</f>
        <v>Melting_Curves/meltCurve_Q9BU76_4_MMTAG2.pdf</v>
      </c>
    </row>
    <row r="5065" spans="1:28" x14ac:dyDescent="0.25">
      <c r="A5065" t="s">
        <v>5069</v>
      </c>
      <c r="B5065">
        <v>0.99987803227770999</v>
      </c>
      <c r="C5065">
        <v>0.87748858693207898</v>
      </c>
      <c r="D5065">
        <v>0.84980129212069799</v>
      </c>
      <c r="E5065">
        <v>0.61984191149621204</v>
      </c>
      <c r="F5065">
        <v>0.50080540581053201</v>
      </c>
      <c r="G5065">
        <v>0.32907486166072197</v>
      </c>
      <c r="H5065">
        <v>0.27917571378345801</v>
      </c>
      <c r="I5065">
        <v>0.26189962429442898</v>
      </c>
      <c r="J5065">
        <v>0.218776360271175</v>
      </c>
      <c r="K5065">
        <v>0.18521878751329199</v>
      </c>
      <c r="L5065">
        <v>616.12568632206899</v>
      </c>
      <c r="M5065">
        <v>12.106657119701399</v>
      </c>
      <c r="N5065">
        <v>52.757310929526099</v>
      </c>
      <c r="O5065">
        <v>49.562666390199801</v>
      </c>
      <c r="P5065">
        <v>-5.0444374976447402E-2</v>
      </c>
      <c r="Q5065">
        <v>0.17414851021913</v>
      </c>
      <c r="R5065">
        <v>0.99365210865367204</v>
      </c>
      <c r="S5065" t="s">
        <v>11376</v>
      </c>
      <c r="T5065" t="s">
        <v>12620</v>
      </c>
      <c r="U5065" t="s">
        <v>12620</v>
      </c>
      <c r="V5065" t="s">
        <v>12620</v>
      </c>
      <c r="W5065" t="s">
        <v>17628</v>
      </c>
      <c r="X5065">
        <v>12</v>
      </c>
      <c r="Y5065" t="s">
        <v>23734</v>
      </c>
      <c r="Z5065" t="s">
        <v>30012</v>
      </c>
      <c r="AA5065">
        <v>0.50074035162655017</v>
      </c>
      <c r="AB5065" t="str">
        <f>HYPERLINK("Melting_Curves/meltCurve_Q9BU89_DOHH.pdf", "Melting_Curves/meltCurve_Q9BU89_DOHH.pdf")</f>
        <v>Melting_Curves/meltCurve_Q9BU89_DOHH.pdf</v>
      </c>
    </row>
    <row r="5066" spans="1:28" x14ac:dyDescent="0.25">
      <c r="A5066" t="s">
        <v>5070</v>
      </c>
      <c r="B5066">
        <v>0.99987803227770999</v>
      </c>
      <c r="C5066">
        <v>0.86490429887654996</v>
      </c>
      <c r="D5066">
        <v>1.0346201387073399</v>
      </c>
      <c r="E5066">
        <v>0.89523214776478099</v>
      </c>
      <c r="F5066">
        <v>1.10775886219461</v>
      </c>
      <c r="G5066">
        <v>1.0403951527733599</v>
      </c>
      <c r="H5066">
        <v>1.0079035854065199</v>
      </c>
      <c r="I5066">
        <v>1.00504842881824</v>
      </c>
      <c r="J5066">
        <v>0.83942125095799303</v>
      </c>
      <c r="K5066">
        <v>0.68764640809341304</v>
      </c>
      <c r="L5066">
        <v>15000</v>
      </c>
      <c r="M5066">
        <v>223.93684229659701</v>
      </c>
      <c r="O5066">
        <v>66.977847136253004</v>
      </c>
      <c r="P5066">
        <v>-0.26110137430732999</v>
      </c>
      <c r="Q5066">
        <v>0.68762615049839104</v>
      </c>
      <c r="R5066">
        <v>0.68824578610432696</v>
      </c>
      <c r="S5066" t="s">
        <v>11377</v>
      </c>
      <c r="T5066" t="s">
        <v>12620</v>
      </c>
      <c r="U5066" t="s">
        <v>12620</v>
      </c>
      <c r="V5066" t="s">
        <v>12620</v>
      </c>
      <c r="W5066" t="s">
        <v>17629</v>
      </c>
      <c r="X5066">
        <v>10</v>
      </c>
      <c r="Y5066" t="s">
        <v>23735</v>
      </c>
      <c r="Z5066" t="s">
        <v>30013</v>
      </c>
      <c r="AA5066">
        <v>0.96863294049508142</v>
      </c>
      <c r="AB5066" t="str">
        <f>HYPERLINK("Melting_Curves/meltCurve_Q9BUA3_C11orf84.pdf", "Melting_Curves/meltCurve_Q9BUA3_C11orf84.pdf")</f>
        <v>Melting_Curves/meltCurve_Q9BUA3_C11orf84.pdf</v>
      </c>
    </row>
    <row r="5067" spans="1:28" x14ac:dyDescent="0.25">
      <c r="A5067" t="s">
        <v>5071</v>
      </c>
      <c r="B5067">
        <v>0.99987803227770999</v>
      </c>
      <c r="C5067">
        <v>1.2029324753230899</v>
      </c>
      <c r="D5067">
        <v>0.88549631303197895</v>
      </c>
      <c r="E5067">
        <v>0.40911588715229202</v>
      </c>
      <c r="F5067">
        <v>0.116631362343097</v>
      </c>
      <c r="G5067">
        <v>0.17780111324815301</v>
      </c>
      <c r="H5067">
        <v>0.14130386760573499</v>
      </c>
      <c r="I5067">
        <v>0.14276815137986801</v>
      </c>
      <c r="J5067">
        <v>8.0738477477232201E-2</v>
      </c>
      <c r="K5067">
        <v>4.0213381979565303E-2</v>
      </c>
      <c r="L5067">
        <v>1812.48194735886</v>
      </c>
      <c r="M5067">
        <v>37.018626709804799</v>
      </c>
      <c r="N5067">
        <v>49.289742872793099</v>
      </c>
      <c r="O5067">
        <v>48.819130750012803</v>
      </c>
      <c r="P5067">
        <v>-0.16885239702640401</v>
      </c>
      <c r="Q5067">
        <v>0.109291260819217</v>
      </c>
      <c r="R5067">
        <v>0.96616212793185197</v>
      </c>
      <c r="S5067" t="s">
        <v>11378</v>
      </c>
      <c r="T5067" t="s">
        <v>12620</v>
      </c>
      <c r="U5067" t="s">
        <v>12620</v>
      </c>
      <c r="V5067" t="s">
        <v>12620</v>
      </c>
      <c r="W5067" t="s">
        <v>17630</v>
      </c>
      <c r="X5067">
        <v>2</v>
      </c>
      <c r="Y5067" t="s">
        <v>23736</v>
      </c>
      <c r="Z5067" t="s">
        <v>30014</v>
      </c>
      <c r="AA5067">
        <v>0.37888722458745888</v>
      </c>
      <c r="AB5067" t="str">
        <f>HYPERLINK("Melting_Curves/meltCurve_Q9BUB4_ADAT1.pdf", "Melting_Curves/meltCurve_Q9BUB4_ADAT1.pdf")</f>
        <v>Melting_Curves/meltCurve_Q9BUB4_ADAT1.pdf</v>
      </c>
    </row>
    <row r="5068" spans="1:28" x14ac:dyDescent="0.25">
      <c r="A5068" t="s">
        <v>5072</v>
      </c>
      <c r="B5068">
        <v>0.99987803227770999</v>
      </c>
      <c r="C5068">
        <v>0.895960170024659</v>
      </c>
      <c r="D5068">
        <v>0.97619866124052701</v>
      </c>
      <c r="E5068">
        <v>0.77400118806350104</v>
      </c>
      <c r="F5068">
        <v>0.50151142847980601</v>
      </c>
      <c r="G5068">
        <v>0.139372059007451</v>
      </c>
      <c r="H5068">
        <v>5.66525606717425E-2</v>
      </c>
      <c r="I5068">
        <v>5.7561956899591302E-2</v>
      </c>
      <c r="J5068">
        <v>2.8258575627156599E-2</v>
      </c>
      <c r="K5068">
        <v>1.1409388516152299E-2</v>
      </c>
      <c r="L5068">
        <v>1222.3411252219</v>
      </c>
      <c r="M5068">
        <v>23.177340097911401</v>
      </c>
      <c r="N5068">
        <v>52.822466804428501</v>
      </c>
      <c r="O5068">
        <v>52.350729920398898</v>
      </c>
      <c r="P5068">
        <v>-0.108686123457529</v>
      </c>
      <c r="Q5068">
        <v>1.8059043623227199E-2</v>
      </c>
      <c r="R5068">
        <v>0.99290629041274503</v>
      </c>
      <c r="S5068" t="s">
        <v>11379</v>
      </c>
      <c r="T5068" t="s">
        <v>12620</v>
      </c>
      <c r="U5068" t="s">
        <v>12620</v>
      </c>
      <c r="V5068" t="s">
        <v>12620</v>
      </c>
      <c r="W5068" t="s">
        <v>17631</v>
      </c>
      <c r="X5068">
        <v>3</v>
      </c>
      <c r="Y5068" t="s">
        <v>23737</v>
      </c>
      <c r="Z5068" t="s">
        <v>30015</v>
      </c>
      <c r="AA5068">
        <v>0.44540581516683958</v>
      </c>
      <c r="AB5068" t="str">
        <f>HYPERLINK("Melting_Curves/meltCurve_Q9BUB5_2_MKNK1.pdf", "Melting_Curves/meltCurve_Q9BUB5_2_MKNK1.pdf")</f>
        <v>Melting_Curves/meltCurve_Q9BUB5_2_MKNK1.pdf</v>
      </c>
    </row>
    <row r="5069" spans="1:28" x14ac:dyDescent="0.25">
      <c r="A5069" t="s">
        <v>5073</v>
      </c>
      <c r="B5069">
        <v>0.99987803227770999</v>
      </c>
      <c r="C5069">
        <v>0.84347160202145499</v>
      </c>
      <c r="D5069">
        <v>1.17516449200416</v>
      </c>
      <c r="E5069">
        <v>0.86774742247121495</v>
      </c>
      <c r="F5069">
        <v>0.80601045990152698</v>
      </c>
      <c r="G5069">
        <v>0.459862895065974</v>
      </c>
      <c r="H5069">
        <v>0.24034318629649201</v>
      </c>
      <c r="I5069">
        <v>0.194217135558228</v>
      </c>
      <c r="J5069">
        <v>0.14262374093217101</v>
      </c>
      <c r="K5069">
        <v>0.10930453939373901</v>
      </c>
      <c r="L5069">
        <v>1161.4170485827301</v>
      </c>
      <c r="M5069">
        <v>20.779689124337999</v>
      </c>
      <c r="N5069">
        <v>56.587185338512299</v>
      </c>
      <c r="O5069">
        <v>55.3820263960042</v>
      </c>
      <c r="P5069">
        <v>-8.3236192234018999E-2</v>
      </c>
      <c r="Q5069">
        <v>0.112660437357524</v>
      </c>
      <c r="R5069">
        <v>0.95548232270257305</v>
      </c>
      <c r="S5069" t="s">
        <v>11380</v>
      </c>
      <c r="T5069" t="s">
        <v>12620</v>
      </c>
      <c r="U5069" t="s">
        <v>12620</v>
      </c>
      <c r="V5069" t="s">
        <v>12620</v>
      </c>
      <c r="W5069" t="s">
        <v>17632</v>
      </c>
      <c r="X5069">
        <v>5</v>
      </c>
      <c r="Y5069" t="s">
        <v>23738</v>
      </c>
      <c r="Z5069" t="s">
        <v>30016</v>
      </c>
      <c r="AA5069">
        <v>0.59359136703982884</v>
      </c>
      <c r="AB5069" t="str">
        <f>HYPERLINK("Melting_Curves/meltCurve_Q9BUE0_MED18.pdf", "Melting_Curves/meltCurve_Q9BUE0_MED18.pdf")</f>
        <v>Melting_Curves/meltCurve_Q9BUE0_MED18.pdf</v>
      </c>
    </row>
    <row r="5070" spans="1:28" x14ac:dyDescent="0.25">
      <c r="A5070" t="s">
        <v>5074</v>
      </c>
      <c r="B5070">
        <v>0.99987803227770999</v>
      </c>
      <c r="C5070">
        <v>0.93641138928619605</v>
      </c>
      <c r="D5070">
        <v>0.928213936907481</v>
      </c>
      <c r="E5070">
        <v>0.88948727935295202</v>
      </c>
      <c r="F5070">
        <v>0.57564432497990503</v>
      </c>
      <c r="G5070">
        <v>0.232602242393293</v>
      </c>
      <c r="H5070">
        <v>0.12077370886078199</v>
      </c>
      <c r="I5070">
        <v>0.106990324919764</v>
      </c>
      <c r="J5070">
        <v>8.8198615080266302E-2</v>
      </c>
      <c r="K5070">
        <v>6.83373463525868E-2</v>
      </c>
      <c r="L5070">
        <v>1370.4491979269301</v>
      </c>
      <c r="M5070">
        <v>25.661964240986201</v>
      </c>
      <c r="N5070">
        <v>53.776349121582598</v>
      </c>
      <c r="O5070">
        <v>53.0827697714412</v>
      </c>
      <c r="P5070">
        <v>-0.11101993359193001</v>
      </c>
      <c r="Q5070">
        <v>8.1414857420234896E-2</v>
      </c>
      <c r="R5070">
        <v>0.99450781815542699</v>
      </c>
      <c r="S5070" t="s">
        <v>11381</v>
      </c>
      <c r="T5070" t="s">
        <v>12620</v>
      </c>
      <c r="U5070" t="s">
        <v>12620</v>
      </c>
      <c r="V5070" t="s">
        <v>12620</v>
      </c>
      <c r="W5070" t="s">
        <v>17633</v>
      </c>
      <c r="X5070">
        <v>21</v>
      </c>
      <c r="Y5070" t="s">
        <v>23739</v>
      </c>
      <c r="Z5070" t="s">
        <v>30017</v>
      </c>
      <c r="AA5070">
        <v>0.49991183351520391</v>
      </c>
      <c r="AB5070" t="str">
        <f>HYPERLINK("Melting_Curves/meltCurve_Q9BUF5_TUBB6.pdf", "Melting_Curves/meltCurve_Q9BUF5_TUBB6.pdf")</f>
        <v>Melting_Curves/meltCurve_Q9BUF5_TUBB6.pdf</v>
      </c>
    </row>
    <row r="5071" spans="1:28" x14ac:dyDescent="0.25">
      <c r="A5071" t="s">
        <v>5075</v>
      </c>
      <c r="B5071">
        <v>0.99987803227770999</v>
      </c>
      <c r="C5071">
        <v>0.92361189010152001</v>
      </c>
      <c r="D5071">
        <v>1.02373803366132</v>
      </c>
      <c r="E5071">
        <v>0.89070633044854397</v>
      </c>
      <c r="F5071">
        <v>0.96148551685869299</v>
      </c>
      <c r="G5071">
        <v>0.77915843740733004</v>
      </c>
      <c r="H5071">
        <v>0.82362647849333703</v>
      </c>
      <c r="I5071">
        <v>0.73506926778729398</v>
      </c>
      <c r="J5071">
        <v>0.484174970021022</v>
      </c>
      <c r="K5071">
        <v>0.24709726954309</v>
      </c>
      <c r="L5071">
        <v>1000.62298849781</v>
      </c>
      <c r="M5071">
        <v>15.0383206053608</v>
      </c>
      <c r="N5071">
        <v>66.538235308946597</v>
      </c>
      <c r="O5071">
        <v>65.394889326217594</v>
      </c>
      <c r="P5071">
        <v>-5.7496178331570599E-2</v>
      </c>
      <c r="Q5071">
        <v>0</v>
      </c>
      <c r="R5071">
        <v>0.90304367776222905</v>
      </c>
      <c r="S5071" t="s">
        <v>11382</v>
      </c>
      <c r="T5071" t="s">
        <v>12620</v>
      </c>
      <c r="U5071" t="s">
        <v>12620</v>
      </c>
      <c r="V5071" t="s">
        <v>12620</v>
      </c>
      <c r="W5071" t="s">
        <v>17634</v>
      </c>
      <c r="X5071">
        <v>16</v>
      </c>
      <c r="Y5071" t="s">
        <v>23740</v>
      </c>
      <c r="Z5071" t="s">
        <v>30018</v>
      </c>
      <c r="AA5071">
        <v>0.84276140212893924</v>
      </c>
      <c r="AB5071" t="str">
        <f>HYPERLINK("Melting_Curves/meltCurve_Q9BUH6_C9orf142.pdf", "Melting_Curves/meltCurve_Q9BUH6_C9orf142.pdf")</f>
        <v>Melting_Curves/meltCurve_Q9BUH6_C9orf142.pdf</v>
      </c>
    </row>
    <row r="5072" spans="1:28" x14ac:dyDescent="0.25">
      <c r="A5072" t="s">
        <v>5076</v>
      </c>
      <c r="B5072">
        <v>0.99987803227770999</v>
      </c>
      <c r="C5072">
        <v>1.0005217406516</v>
      </c>
      <c r="D5072">
        <v>0.94845255082954205</v>
      </c>
      <c r="E5072">
        <v>0.90954563378666597</v>
      </c>
      <c r="F5072">
        <v>0.67664773762917596</v>
      </c>
      <c r="G5072">
        <v>0.37503138059427399</v>
      </c>
      <c r="H5072">
        <v>0.116569929216134</v>
      </c>
      <c r="I5072">
        <v>7.8432717647128003E-2</v>
      </c>
      <c r="J5072">
        <v>7.8396960623099296E-2</v>
      </c>
      <c r="K5072">
        <v>6.3952781178164095E-2</v>
      </c>
      <c r="L5072">
        <v>1150.66400675564</v>
      </c>
      <c r="M5072">
        <v>20.950464665100299</v>
      </c>
      <c r="N5072">
        <v>55.159009808084001</v>
      </c>
      <c r="O5072">
        <v>54.430038060582497</v>
      </c>
      <c r="P5072">
        <v>-9.2105132460927705E-2</v>
      </c>
      <c r="Q5072">
        <v>4.2856808136060499E-2</v>
      </c>
      <c r="R5072">
        <v>0.99741760069714203</v>
      </c>
      <c r="S5072" t="s">
        <v>11383</v>
      </c>
      <c r="T5072" t="s">
        <v>12620</v>
      </c>
      <c r="U5072" t="s">
        <v>12620</v>
      </c>
      <c r="V5072" t="s">
        <v>12620</v>
      </c>
      <c r="W5072" t="s">
        <v>17635</v>
      </c>
      <c r="X5072">
        <v>6</v>
      </c>
      <c r="Y5072" t="s">
        <v>23741</v>
      </c>
      <c r="Z5072" t="s">
        <v>30019</v>
      </c>
      <c r="AA5072">
        <v>0.53086424556758349</v>
      </c>
      <c r="AB5072" t="str">
        <f>HYPERLINK("Melting_Curves/meltCurve_Q9BUI4_POLR3C.pdf", "Melting_Curves/meltCurve_Q9BUI4_POLR3C.pdf")</f>
        <v>Melting_Curves/meltCurve_Q9BUI4_POLR3C.pdf</v>
      </c>
    </row>
    <row r="5073" spans="1:28" x14ac:dyDescent="0.25">
      <c r="A5073" t="s">
        <v>5077</v>
      </c>
      <c r="B5073">
        <v>0.99987803227770999</v>
      </c>
      <c r="C5073">
        <v>0.97847572028862695</v>
      </c>
      <c r="D5073">
        <v>0.97559682379318302</v>
      </c>
      <c r="E5073">
        <v>0.92639162480684401</v>
      </c>
      <c r="F5073">
        <v>0.82612518911257504</v>
      </c>
      <c r="G5073">
        <v>0.70518331315336102</v>
      </c>
      <c r="H5073">
        <v>0.59949274646265704</v>
      </c>
      <c r="I5073">
        <v>0.43470880323420402</v>
      </c>
      <c r="J5073">
        <v>0.41927923336906497</v>
      </c>
      <c r="K5073">
        <v>0.34596374163023402</v>
      </c>
      <c r="L5073">
        <v>635.11457458371797</v>
      </c>
      <c r="M5073">
        <v>10.5906786002764</v>
      </c>
      <c r="N5073">
        <v>63.108954486061201</v>
      </c>
      <c r="O5073">
        <v>57.949555053873702</v>
      </c>
      <c r="P5073">
        <v>-3.6346994643477501E-2</v>
      </c>
      <c r="Q5073">
        <v>0.20478362686264701</v>
      </c>
      <c r="R5073">
        <v>0.99403806021683505</v>
      </c>
      <c r="S5073" t="s">
        <v>11384</v>
      </c>
      <c r="T5073" t="s">
        <v>12620</v>
      </c>
      <c r="U5073" t="s">
        <v>12620</v>
      </c>
      <c r="V5073" t="s">
        <v>12620</v>
      </c>
      <c r="W5073" t="s">
        <v>17636</v>
      </c>
      <c r="X5073">
        <v>33</v>
      </c>
      <c r="Y5073" t="s">
        <v>23742</v>
      </c>
      <c r="Z5073" t="s">
        <v>30020</v>
      </c>
      <c r="AA5073">
        <v>0.73292023343473811</v>
      </c>
      <c r="AB5073" t="str">
        <f>HYPERLINK("Melting_Curves/meltCurve_Q9BUJ2_2_HNRNPUL1.pdf", "Melting_Curves/meltCurve_Q9BUJ2_2_HNRNPUL1.pdf")</f>
        <v>Melting_Curves/meltCurve_Q9BUJ2_2_HNRNPUL1.pdf</v>
      </c>
    </row>
    <row r="5074" spans="1:28" x14ac:dyDescent="0.25">
      <c r="A5074" t="s">
        <v>5078</v>
      </c>
      <c r="B5074">
        <v>0.99987803227770999</v>
      </c>
      <c r="C5074">
        <v>0.99946784931995503</v>
      </c>
      <c r="D5074">
        <v>0.94160659721374096</v>
      </c>
      <c r="E5074">
        <v>0.76953915915305404</v>
      </c>
      <c r="F5074">
        <v>0.45899839392043801</v>
      </c>
      <c r="G5074">
        <v>0.15102106652488001</v>
      </c>
      <c r="H5074">
        <v>9.7797495297052506E-2</v>
      </c>
      <c r="I5074">
        <v>8.5795258496649499E-2</v>
      </c>
      <c r="J5074">
        <v>6.0034626225222001E-2</v>
      </c>
      <c r="K5074">
        <v>4.5759344504957299E-2</v>
      </c>
      <c r="L5074">
        <v>1259.3196386414099</v>
      </c>
      <c r="M5074">
        <v>24.084317198150501</v>
      </c>
      <c r="N5074">
        <v>52.552285404611197</v>
      </c>
      <c r="O5074">
        <v>51.931482546212301</v>
      </c>
      <c r="P5074">
        <v>-0.10933044590121201</v>
      </c>
      <c r="Q5074">
        <v>5.7045763352145201E-2</v>
      </c>
      <c r="R5074">
        <v>0.99896019035345596</v>
      </c>
      <c r="S5074" t="s">
        <v>11385</v>
      </c>
      <c r="T5074" t="s">
        <v>12620</v>
      </c>
      <c r="U5074" t="s">
        <v>12620</v>
      </c>
      <c r="V5074" t="s">
        <v>12620</v>
      </c>
      <c r="W5074" t="s">
        <v>17637</v>
      </c>
      <c r="X5074">
        <v>12</v>
      </c>
      <c r="Y5074" t="s">
        <v>23743</v>
      </c>
      <c r="Z5074" t="s">
        <v>30021</v>
      </c>
      <c r="AA5074">
        <v>0.45254509782552782</v>
      </c>
      <c r="AB5074" t="str">
        <f>HYPERLINK("Melting_Curves/meltCurve_Q9BUK6_3_MSTO1.pdf", "Melting_Curves/meltCurve_Q9BUK6_3_MSTO1.pdf")</f>
        <v>Melting_Curves/meltCurve_Q9BUK6_3_MSTO1.pdf</v>
      </c>
    </row>
    <row r="5075" spans="1:28" x14ac:dyDescent="0.25">
      <c r="A5075" t="s">
        <v>5079</v>
      </c>
      <c r="B5075">
        <v>0.99987803227770999</v>
      </c>
      <c r="C5075">
        <v>0.79548933280229095</v>
      </c>
      <c r="D5075">
        <v>0.89669632628518603</v>
      </c>
      <c r="E5075">
        <v>0.96619085679379801</v>
      </c>
      <c r="F5075">
        <v>1.2591176432262801</v>
      </c>
      <c r="G5075">
        <v>0.99967083190412698</v>
      </c>
      <c r="H5075">
        <v>0.87077138802549203</v>
      </c>
      <c r="I5075">
        <v>0.52665436199284998</v>
      </c>
      <c r="J5075">
        <v>0.84989321616858804</v>
      </c>
      <c r="K5075">
        <v>0.73384931601477899</v>
      </c>
      <c r="L5075">
        <v>15000</v>
      </c>
      <c r="M5075">
        <v>245.643530200659</v>
      </c>
      <c r="O5075">
        <v>61.060047485252603</v>
      </c>
      <c r="P5075">
        <v>-0.29823734655719603</v>
      </c>
      <c r="Q5075">
        <v>0.703466455328983</v>
      </c>
      <c r="R5075">
        <v>0.47705268176528398</v>
      </c>
      <c r="S5075" t="s">
        <v>11386</v>
      </c>
      <c r="T5075" t="s">
        <v>12620</v>
      </c>
      <c r="U5075" t="s">
        <v>12620</v>
      </c>
      <c r="V5075" t="s">
        <v>12620</v>
      </c>
      <c r="W5075" t="s">
        <v>17638</v>
      </c>
      <c r="X5075">
        <v>3</v>
      </c>
      <c r="Y5075" t="s">
        <v>23744</v>
      </c>
      <c r="Z5075" t="s">
        <v>30022</v>
      </c>
      <c r="AA5075">
        <v>0.91170640188371099</v>
      </c>
      <c r="AB5075" t="str">
        <f>HYPERLINK("Melting_Curves/meltCurve_Q9BUL9_RPP25.pdf", "Melting_Curves/meltCurve_Q9BUL9_RPP25.pdf")</f>
        <v>Melting_Curves/meltCurve_Q9BUL9_RPP25.pdf</v>
      </c>
    </row>
    <row r="5076" spans="1:28" x14ac:dyDescent="0.25">
      <c r="A5076" t="s">
        <v>5080</v>
      </c>
      <c r="B5076">
        <v>0.99987803227770999</v>
      </c>
      <c r="C5076">
        <v>0.86261555836226</v>
      </c>
      <c r="D5076">
        <v>0.66508683875836605</v>
      </c>
      <c r="E5076">
        <v>0.287349748526876</v>
      </c>
      <c r="F5076">
        <v>0.17081342419875101</v>
      </c>
      <c r="G5076">
        <v>9.2932462337573504E-2</v>
      </c>
      <c r="H5076">
        <v>6.8950658459876302E-2</v>
      </c>
      <c r="I5076">
        <v>5.12503519589795E-2</v>
      </c>
      <c r="J5076">
        <v>3.9135841432528899E-2</v>
      </c>
      <c r="K5076">
        <v>2.8193209756309501E-2</v>
      </c>
      <c r="L5076">
        <v>883.69148816313896</v>
      </c>
      <c r="M5076">
        <v>18.646756902429999</v>
      </c>
      <c r="N5076">
        <v>47.6175134099324</v>
      </c>
      <c r="O5076">
        <v>46.856189242432102</v>
      </c>
      <c r="P5076">
        <v>-9.5273890611297901E-2</v>
      </c>
      <c r="Q5076">
        <v>4.24113843159242E-2</v>
      </c>
      <c r="R5076">
        <v>0.998085095166372</v>
      </c>
      <c r="S5076" t="s">
        <v>11387</v>
      </c>
      <c r="T5076" t="s">
        <v>12620</v>
      </c>
      <c r="U5076" t="s">
        <v>12620</v>
      </c>
      <c r="V5076" t="s">
        <v>12620</v>
      </c>
      <c r="W5076" t="s">
        <v>17639</v>
      </c>
      <c r="X5076">
        <v>6</v>
      </c>
      <c r="Y5076" t="s">
        <v>23745</v>
      </c>
      <c r="Z5076" t="s">
        <v>30023</v>
      </c>
      <c r="AA5076">
        <v>0.29442508253233918</v>
      </c>
      <c r="AB5076" t="str">
        <f>HYPERLINK("Melting_Curves/meltCurve_Q9BUP3_HTATIP2.pdf", "Melting_Curves/meltCurve_Q9BUP3_HTATIP2.pdf")</f>
        <v>Melting_Curves/meltCurve_Q9BUP3_HTATIP2.pdf</v>
      </c>
    </row>
    <row r="5077" spans="1:28" x14ac:dyDescent="0.25">
      <c r="A5077" t="s">
        <v>5081</v>
      </c>
      <c r="B5077">
        <v>0.99987803227770999</v>
      </c>
      <c r="C5077">
        <v>0.937635524756535</v>
      </c>
      <c r="D5077">
        <v>1.0399050740707201</v>
      </c>
      <c r="E5077">
        <v>1.2788276430616301</v>
      </c>
      <c r="F5077">
        <v>0.57900197177183699</v>
      </c>
      <c r="G5077">
        <v>0.28339860806079997</v>
      </c>
      <c r="H5077">
        <v>0.195078641317775</v>
      </c>
      <c r="I5077">
        <v>0.16802242396629999</v>
      </c>
      <c r="J5077">
        <v>0.15621781668872201</v>
      </c>
      <c r="K5077">
        <v>0.121483792517042</v>
      </c>
      <c r="L5077">
        <v>13246.5091622212</v>
      </c>
      <c r="M5077">
        <v>250</v>
      </c>
      <c r="N5077">
        <v>53.0840400896357</v>
      </c>
      <c r="O5077">
        <v>52.982641521310804</v>
      </c>
      <c r="P5077">
        <v>-0.961588173897302</v>
      </c>
      <c r="Q5077">
        <v>0.18484022945315201</v>
      </c>
      <c r="R5077">
        <v>0.945453762437233</v>
      </c>
      <c r="S5077" t="s">
        <v>11388</v>
      </c>
      <c r="T5077" t="s">
        <v>12620</v>
      </c>
      <c r="U5077" t="s">
        <v>12620</v>
      </c>
      <c r="V5077" t="s">
        <v>12620</v>
      </c>
      <c r="W5077" t="s">
        <v>17640</v>
      </c>
      <c r="X5077">
        <v>21</v>
      </c>
      <c r="Y5077" t="s">
        <v>23746</v>
      </c>
      <c r="Z5077" t="s">
        <v>30024</v>
      </c>
      <c r="AA5077">
        <v>0.53777251939154336</v>
      </c>
      <c r="AB5077" t="str">
        <f>HYPERLINK("Melting_Curves/meltCurve_Q9BUQ8_DDX23.pdf", "Melting_Curves/meltCurve_Q9BUQ8_DDX23.pdf")</f>
        <v>Melting_Curves/meltCurve_Q9BUQ8_DDX23.pdf</v>
      </c>
    </row>
    <row r="5078" spans="1:28" x14ac:dyDescent="0.25">
      <c r="A5078" t="s">
        <v>5082</v>
      </c>
      <c r="B5078">
        <v>0.99987803227770999</v>
      </c>
      <c r="C5078">
        <v>1.0403379421588299</v>
      </c>
      <c r="D5078">
        <v>1.0212152974752999</v>
      </c>
      <c r="E5078">
        <v>0.92503832241981099</v>
      </c>
      <c r="F5078">
        <v>0.70771227781067303</v>
      </c>
      <c r="G5078">
        <v>0.41985441603353002</v>
      </c>
      <c r="H5078">
        <v>0.18939774287838401</v>
      </c>
      <c r="I5078">
        <v>0.15817815383627501</v>
      </c>
      <c r="J5078">
        <v>9.1682727819752993E-2</v>
      </c>
      <c r="K5078">
        <v>8.3930011487760706E-2</v>
      </c>
      <c r="L5078">
        <v>1126.7212796925501</v>
      </c>
      <c r="M5078">
        <v>20.358286293103401</v>
      </c>
      <c r="N5078">
        <v>55.8093129197132</v>
      </c>
      <c r="O5078">
        <v>54.8189020440769</v>
      </c>
      <c r="P5078">
        <v>-8.5607503758883499E-2</v>
      </c>
      <c r="Q5078">
        <v>7.7964251212539207E-2</v>
      </c>
      <c r="R5078">
        <v>0.99663379737909596</v>
      </c>
      <c r="S5078" t="s">
        <v>11389</v>
      </c>
      <c r="T5078" t="s">
        <v>12620</v>
      </c>
      <c r="U5078" t="s">
        <v>12620</v>
      </c>
      <c r="V5078" t="s">
        <v>12620</v>
      </c>
      <c r="W5078" t="s">
        <v>17641</v>
      </c>
      <c r="X5078">
        <v>8</v>
      </c>
      <c r="Y5078" t="s">
        <v>23747</v>
      </c>
      <c r="Z5078" t="s">
        <v>30025</v>
      </c>
      <c r="AA5078">
        <v>0.56141856624825925</v>
      </c>
      <c r="AB5078" t="str">
        <f>HYPERLINK("Melting_Curves/meltCurve_Q9BUR4_WRAP53.pdf", "Melting_Curves/meltCurve_Q9BUR4_WRAP53.pdf")</f>
        <v>Melting_Curves/meltCurve_Q9BUR4_WRAP53.pdf</v>
      </c>
    </row>
    <row r="5079" spans="1:28" x14ac:dyDescent="0.25">
      <c r="A5079" t="s">
        <v>5083</v>
      </c>
      <c r="B5079">
        <v>0.99987803227770999</v>
      </c>
      <c r="C5079">
        <v>1.04475291911641</v>
      </c>
      <c r="D5079">
        <v>1.00428909913973</v>
      </c>
      <c r="E5079">
        <v>0.65238855145628205</v>
      </c>
      <c r="F5079">
        <v>0.27150951683506003</v>
      </c>
      <c r="G5079">
        <v>0.13370538309848801</v>
      </c>
      <c r="H5079">
        <v>0.11417842406961</v>
      </c>
      <c r="I5079">
        <v>9.5215598258419396E-2</v>
      </c>
      <c r="J5079">
        <v>7.5913686781355794E-2</v>
      </c>
      <c r="K5079">
        <v>5.5630631490896303E-2</v>
      </c>
      <c r="L5079">
        <v>1696.9214748772399</v>
      </c>
      <c r="M5079">
        <v>33.416629006878999</v>
      </c>
      <c r="N5079">
        <v>51.080973817879503</v>
      </c>
      <c r="O5079">
        <v>50.599928364777298</v>
      </c>
      <c r="P5079">
        <v>-0.15038245567931199</v>
      </c>
      <c r="Q5079">
        <v>8.9158977227944899E-2</v>
      </c>
      <c r="R5079">
        <v>0.99669008118229596</v>
      </c>
      <c r="S5079" t="s">
        <v>11390</v>
      </c>
      <c r="T5079" t="s">
        <v>12620</v>
      </c>
      <c r="U5079" t="s">
        <v>12620</v>
      </c>
      <c r="V5079" t="s">
        <v>12620</v>
      </c>
      <c r="W5079" t="s">
        <v>17642</v>
      </c>
      <c r="X5079">
        <v>4</v>
      </c>
      <c r="Y5079" t="s">
        <v>23748</v>
      </c>
      <c r="Z5079" t="s">
        <v>30026</v>
      </c>
      <c r="AA5079">
        <v>0.42107083294145359</v>
      </c>
      <c r="AB5079" t="str">
        <f>HYPERLINK("Melting_Curves/meltCurve_Q9BUT1_BDH2.pdf", "Melting_Curves/meltCurve_Q9BUT1_BDH2.pdf")</f>
        <v>Melting_Curves/meltCurve_Q9BUT1_BDH2.pdf</v>
      </c>
    </row>
    <row r="5080" spans="1:28" x14ac:dyDescent="0.25">
      <c r="A5080" t="s">
        <v>5084</v>
      </c>
      <c r="B5080">
        <v>0.99987803227770999</v>
      </c>
      <c r="C5080">
        <v>0.88951760884961095</v>
      </c>
      <c r="D5080">
        <v>0.97863010887169199</v>
      </c>
      <c r="E5080">
        <v>0.75882558486452201</v>
      </c>
      <c r="F5080">
        <v>0.91094222499074395</v>
      </c>
      <c r="G5080">
        <v>0.585195345894854</v>
      </c>
      <c r="H5080">
        <v>0.58145130756051799</v>
      </c>
      <c r="I5080">
        <v>0.51963678482932696</v>
      </c>
      <c r="J5080">
        <v>0.59463924698526305</v>
      </c>
      <c r="K5080">
        <v>0.49452884501213401</v>
      </c>
      <c r="L5080">
        <v>579.36514229361899</v>
      </c>
      <c r="M5080">
        <v>10.687148085824001</v>
      </c>
      <c r="O5080">
        <v>52.416683481207798</v>
      </c>
      <c r="P5080">
        <v>-2.7216053733211499E-2</v>
      </c>
      <c r="Q5080">
        <v>0.46626073025272202</v>
      </c>
      <c r="R5080">
        <v>0.85942273586729001</v>
      </c>
      <c r="S5080" t="s">
        <v>11391</v>
      </c>
      <c r="T5080" t="s">
        <v>12620</v>
      </c>
      <c r="U5080" t="s">
        <v>12620</v>
      </c>
      <c r="V5080" t="s">
        <v>12620</v>
      </c>
      <c r="W5080" t="s">
        <v>17643</v>
      </c>
      <c r="X5080">
        <v>3</v>
      </c>
      <c r="Y5080" t="s">
        <v>23749</v>
      </c>
      <c r="Z5080" t="s">
        <v>30027</v>
      </c>
      <c r="AA5080">
        <v>0.73407228585204842</v>
      </c>
      <c r="AB5080" t="str">
        <f>HYPERLINK("Melting_Curves/meltCurve_Q9BUT9_FAM195A.pdf", "Melting_Curves/meltCurve_Q9BUT9_FAM195A.pdf")</f>
        <v>Melting_Curves/meltCurve_Q9BUT9_FAM195A.pdf</v>
      </c>
    </row>
    <row r="5081" spans="1:28" x14ac:dyDescent="0.25">
      <c r="A5081" t="s">
        <v>5085</v>
      </c>
      <c r="B5081">
        <v>0.99987803227770999</v>
      </c>
      <c r="C5081">
        <v>1.05362165890332</v>
      </c>
      <c r="D5081">
        <v>1.21546288097987</v>
      </c>
      <c r="E5081">
        <v>1.04996616311098</v>
      </c>
      <c r="F5081">
        <v>1.0086930676086101</v>
      </c>
      <c r="G5081">
        <v>0.63759943530967</v>
      </c>
      <c r="H5081">
        <v>0.90528917487926597</v>
      </c>
      <c r="I5081">
        <v>0.82557119181447303</v>
      </c>
      <c r="J5081">
        <v>0.78125964354512001</v>
      </c>
      <c r="K5081">
        <v>0.70165552837092304</v>
      </c>
      <c r="L5081">
        <v>13659.2534310424</v>
      </c>
      <c r="M5081">
        <v>250</v>
      </c>
      <c r="O5081">
        <v>54.633517369160799</v>
      </c>
      <c r="P5081">
        <v>-0.26280208798322902</v>
      </c>
      <c r="Q5081">
        <v>0.77027516146995401</v>
      </c>
      <c r="R5081">
        <v>0.67268324212681996</v>
      </c>
      <c r="S5081" t="s">
        <v>11392</v>
      </c>
      <c r="T5081" t="s">
        <v>12620</v>
      </c>
      <c r="U5081" t="s">
        <v>12620</v>
      </c>
      <c r="V5081" t="s">
        <v>12620</v>
      </c>
      <c r="W5081" t="s">
        <v>17644</v>
      </c>
      <c r="X5081">
        <v>3</v>
      </c>
      <c r="Y5081" t="s">
        <v>23750</v>
      </c>
      <c r="Z5081" t="s">
        <v>30028</v>
      </c>
      <c r="AA5081">
        <v>0.88238004293209393</v>
      </c>
      <c r="AB5081" t="str">
        <f>HYPERLINK("Melting_Curves/meltCurve_Q9BUW7_C9orf16.pdf", "Melting_Curves/meltCurve_Q9BUW7_C9orf16.pdf")</f>
        <v>Melting_Curves/meltCurve_Q9BUW7_C9orf16.pdf</v>
      </c>
    </row>
    <row r="5082" spans="1:28" x14ac:dyDescent="0.25">
      <c r="A5082" t="s">
        <v>5086</v>
      </c>
      <c r="B5082">
        <v>0.99987803227770999</v>
      </c>
      <c r="C5082">
        <v>0.92050045211190901</v>
      </c>
      <c r="D5082">
        <v>0.999052045990939</v>
      </c>
      <c r="E5082">
        <v>0.97732532978104103</v>
      </c>
      <c r="F5082">
        <v>0.84904023387399696</v>
      </c>
      <c r="G5082">
        <v>0.59248046991873005</v>
      </c>
      <c r="H5082">
        <v>0.70578091042251401</v>
      </c>
      <c r="I5082">
        <v>0.65605384292540203</v>
      </c>
      <c r="J5082">
        <v>0.66885668557123701</v>
      </c>
      <c r="K5082">
        <v>0.49044557930849603</v>
      </c>
      <c r="L5082">
        <v>6565.5165466817798</v>
      </c>
      <c r="M5082">
        <v>123.473449133443</v>
      </c>
      <c r="O5082">
        <v>53.1595637562937</v>
      </c>
      <c r="P5082">
        <v>-0.21908251667245399</v>
      </c>
      <c r="Q5082">
        <v>0.62270979352616096</v>
      </c>
      <c r="R5082">
        <v>0.88646248343469103</v>
      </c>
      <c r="S5082" t="s">
        <v>11393</v>
      </c>
      <c r="T5082" t="s">
        <v>12620</v>
      </c>
      <c r="U5082" t="s">
        <v>12620</v>
      </c>
      <c r="V5082" t="s">
        <v>12620</v>
      </c>
      <c r="W5082" t="s">
        <v>17645</v>
      </c>
      <c r="X5082">
        <v>6</v>
      </c>
      <c r="Y5082" t="s">
        <v>23751</v>
      </c>
      <c r="Z5082" t="s">
        <v>30029</v>
      </c>
      <c r="AA5082">
        <v>0.78852875922107191</v>
      </c>
      <c r="AB5082" t="str">
        <f>HYPERLINK("Melting_Curves/meltCurve_Q9BV19_C1orf50.pdf", "Melting_Curves/meltCurve_Q9BV19_C1orf50.pdf")</f>
        <v>Melting_Curves/meltCurve_Q9BV19_C1orf50.pdf</v>
      </c>
    </row>
    <row r="5083" spans="1:28" x14ac:dyDescent="0.25">
      <c r="A5083" t="s">
        <v>5087</v>
      </c>
      <c r="B5083">
        <v>0.99987803227770999</v>
      </c>
      <c r="C5083">
        <v>1.0294518998256299</v>
      </c>
      <c r="D5083">
        <v>1.0143747514260799</v>
      </c>
      <c r="E5083">
        <v>1.0321650272835901</v>
      </c>
      <c r="F5083">
        <v>1.0538033687527</v>
      </c>
      <c r="G5083">
        <v>0.831510800817017</v>
      </c>
      <c r="H5083">
        <v>0.33892107196475502</v>
      </c>
      <c r="I5083">
        <v>0.23844887574224699</v>
      </c>
      <c r="J5083">
        <v>0.19837784985790899</v>
      </c>
      <c r="K5083">
        <v>0.115381954814754</v>
      </c>
      <c r="L5083">
        <v>2304.3629211040902</v>
      </c>
      <c r="M5083">
        <v>39.028038852287999</v>
      </c>
      <c r="N5083">
        <v>59.653012290265004</v>
      </c>
      <c r="O5083">
        <v>58.889410828202401</v>
      </c>
      <c r="P5083">
        <v>-0.13845109408811099</v>
      </c>
      <c r="Q5083">
        <v>0.16436657414858899</v>
      </c>
      <c r="R5083">
        <v>0.99271044671031605</v>
      </c>
      <c r="S5083" t="s">
        <v>11394</v>
      </c>
      <c r="T5083" t="s">
        <v>12620</v>
      </c>
      <c r="U5083" t="s">
        <v>12620</v>
      </c>
      <c r="V5083" t="s">
        <v>12620</v>
      </c>
      <c r="W5083" t="s">
        <v>17646</v>
      </c>
      <c r="X5083">
        <v>9</v>
      </c>
      <c r="Y5083" t="s">
        <v>23752</v>
      </c>
      <c r="Z5083" t="s">
        <v>30030</v>
      </c>
      <c r="AA5083">
        <v>0.69826521477371295</v>
      </c>
      <c r="AB5083" t="str">
        <f>HYPERLINK("Melting_Curves/meltCurve_Q9BV20_MRI1.pdf", "Melting_Curves/meltCurve_Q9BV20_MRI1.pdf")</f>
        <v>Melting_Curves/meltCurve_Q9BV20_MRI1.pdf</v>
      </c>
    </row>
    <row r="5084" spans="1:28" x14ac:dyDescent="0.25">
      <c r="A5084" t="s">
        <v>5088</v>
      </c>
      <c r="B5084">
        <v>0.99987803227770999</v>
      </c>
      <c r="C5084">
        <v>0.88471206790280799</v>
      </c>
      <c r="D5084">
        <v>1.0075289933654601</v>
      </c>
      <c r="E5084">
        <v>0.83042278567338801</v>
      </c>
      <c r="F5084">
        <v>0.92330525175519895</v>
      </c>
      <c r="G5084">
        <v>0.76035159090542903</v>
      </c>
      <c r="H5084">
        <v>0.69989774637840196</v>
      </c>
      <c r="I5084">
        <v>0.73282048387333898</v>
      </c>
      <c r="J5084">
        <v>0.52485856439259604</v>
      </c>
      <c r="K5084">
        <v>0.42635233596753103</v>
      </c>
      <c r="L5084">
        <v>435.08658775551902</v>
      </c>
      <c r="M5084">
        <v>6.2927109506113101</v>
      </c>
      <c r="N5084">
        <v>69.141373177534604</v>
      </c>
      <c r="O5084">
        <v>63.143804925392303</v>
      </c>
      <c r="P5084">
        <v>-2.4982225159839101E-2</v>
      </c>
      <c r="Q5084">
        <v>0</v>
      </c>
      <c r="R5084">
        <v>0.88572547335178697</v>
      </c>
      <c r="S5084" t="s">
        <v>11395</v>
      </c>
      <c r="T5084" t="s">
        <v>12620</v>
      </c>
      <c r="U5084" t="s">
        <v>12620</v>
      </c>
      <c r="V5084" t="s">
        <v>12620</v>
      </c>
      <c r="W5084" t="s">
        <v>17647</v>
      </c>
      <c r="X5084">
        <v>19</v>
      </c>
      <c r="Y5084" t="s">
        <v>23753</v>
      </c>
      <c r="Z5084" t="s">
        <v>30031</v>
      </c>
      <c r="AA5084">
        <v>0.79736275146497015</v>
      </c>
      <c r="AB5084" t="str">
        <f>HYPERLINK("Melting_Curves/meltCurve_Q9BV36_MLPH.pdf", "Melting_Curves/meltCurve_Q9BV36_MLPH.pdf")</f>
        <v>Melting_Curves/meltCurve_Q9BV36_MLPH.pdf</v>
      </c>
    </row>
    <row r="5085" spans="1:28" x14ac:dyDescent="0.25">
      <c r="A5085" t="s">
        <v>5089</v>
      </c>
      <c r="B5085">
        <v>0.99987803227770999</v>
      </c>
      <c r="C5085">
        <v>0.89051148339971098</v>
      </c>
      <c r="D5085">
        <v>0.97900145132761196</v>
      </c>
      <c r="E5085">
        <v>0.82604284504183001</v>
      </c>
      <c r="F5085">
        <v>0.93180596108255997</v>
      </c>
      <c r="G5085">
        <v>0.69609779101923097</v>
      </c>
      <c r="H5085">
        <v>0.66748717978983396</v>
      </c>
      <c r="I5085">
        <v>0.61020253573232797</v>
      </c>
      <c r="J5085">
        <v>0.57238753536778197</v>
      </c>
      <c r="K5085">
        <v>0.47316541087876102</v>
      </c>
      <c r="L5085">
        <v>359.58721801372002</v>
      </c>
      <c r="M5085">
        <v>5.1809756014101902</v>
      </c>
      <c r="N5085">
        <v>69.405310855259302</v>
      </c>
      <c r="O5085">
        <v>61.067327465030097</v>
      </c>
      <c r="P5085">
        <v>-2.1325114339226198E-2</v>
      </c>
      <c r="Q5085">
        <v>0</v>
      </c>
      <c r="R5085">
        <v>0.91915852201672299</v>
      </c>
      <c r="S5085" t="s">
        <v>11396</v>
      </c>
      <c r="T5085" t="s">
        <v>12620</v>
      </c>
      <c r="U5085" t="s">
        <v>12620</v>
      </c>
      <c r="V5085" t="s">
        <v>12620</v>
      </c>
      <c r="W5085" t="s">
        <v>17648</v>
      </c>
      <c r="X5085">
        <v>18</v>
      </c>
      <c r="Y5085" t="s">
        <v>23753</v>
      </c>
      <c r="Z5085" t="s">
        <v>30032</v>
      </c>
      <c r="AA5085">
        <v>0.7731961684334937</v>
      </c>
      <c r="AB5085" t="str">
        <f>HYPERLINK("Melting_Curves/meltCurve_Q9BV36_2_MLPH.pdf", "Melting_Curves/meltCurve_Q9BV36_2_MLPH.pdf")</f>
        <v>Melting_Curves/meltCurve_Q9BV36_2_MLPH.pdf</v>
      </c>
    </row>
    <row r="5086" spans="1:28" x14ac:dyDescent="0.25">
      <c r="A5086" t="s">
        <v>5090</v>
      </c>
      <c r="B5086">
        <v>0.99987803227770999</v>
      </c>
      <c r="C5086">
        <v>1.1958987366945599</v>
      </c>
      <c r="D5086">
        <v>1.08755918713817</v>
      </c>
      <c r="E5086">
        <v>1.22737672367935</v>
      </c>
      <c r="F5086">
        <v>1.03148214952161</v>
      </c>
      <c r="G5086">
        <v>0.93851895399666296</v>
      </c>
      <c r="H5086">
        <v>0.36475946748113802</v>
      </c>
      <c r="I5086">
        <v>0.16848295217276599</v>
      </c>
      <c r="J5086">
        <v>0.10257086551198399</v>
      </c>
      <c r="K5086">
        <v>6.6591686368967506E-2</v>
      </c>
      <c r="L5086">
        <v>2822.2122570360898</v>
      </c>
      <c r="M5086">
        <v>47.057380296499097</v>
      </c>
      <c r="N5086">
        <v>60.23559692325</v>
      </c>
      <c r="O5086">
        <v>59.8658451193185</v>
      </c>
      <c r="P5086">
        <v>-0.178341394609283</v>
      </c>
      <c r="Q5086">
        <v>9.2465765308361897E-2</v>
      </c>
      <c r="R5086">
        <v>0.95153872401154505</v>
      </c>
      <c r="S5086" t="s">
        <v>11397</v>
      </c>
      <c r="T5086" t="s">
        <v>12620</v>
      </c>
      <c r="U5086" t="s">
        <v>12620</v>
      </c>
      <c r="V5086" t="s">
        <v>12620</v>
      </c>
      <c r="W5086" t="s">
        <v>17649</v>
      </c>
      <c r="X5086">
        <v>13</v>
      </c>
      <c r="Y5086" t="s">
        <v>23754</v>
      </c>
      <c r="Z5086" t="s">
        <v>30033</v>
      </c>
      <c r="AA5086">
        <v>0.69934458742636862</v>
      </c>
      <c r="AB5086" t="str">
        <f>HYPERLINK("Melting_Curves/meltCurve_Q9BV44_THUMPD3.pdf", "Melting_Curves/meltCurve_Q9BV44_THUMPD3.pdf")</f>
        <v>Melting_Curves/meltCurve_Q9BV44_THUMPD3.pdf</v>
      </c>
    </row>
    <row r="5087" spans="1:28" x14ac:dyDescent="0.25">
      <c r="A5087" t="s">
        <v>5091</v>
      </c>
      <c r="B5087">
        <v>0.99987803227770999</v>
      </c>
      <c r="C5087">
        <v>0.72487261605692399</v>
      </c>
      <c r="D5087">
        <v>0.93337863083898098</v>
      </c>
      <c r="E5087">
        <v>0.71422162365054298</v>
      </c>
      <c r="F5087">
        <v>0.68403407868497201</v>
      </c>
      <c r="G5087">
        <v>0.29657001022268498</v>
      </c>
      <c r="H5087">
        <v>0.16664094617929801</v>
      </c>
      <c r="I5087">
        <v>0.140041814913162</v>
      </c>
      <c r="J5087">
        <v>9.8082866559127499E-2</v>
      </c>
      <c r="K5087">
        <v>7.0529021584208595E-2</v>
      </c>
      <c r="L5087">
        <v>644.17189439721903</v>
      </c>
      <c r="M5087">
        <v>11.8860874069382</v>
      </c>
      <c r="N5087">
        <v>54.195453089393197</v>
      </c>
      <c r="O5087">
        <v>52.7297151807226</v>
      </c>
      <c r="P5087">
        <v>-5.6367933422353099E-2</v>
      </c>
      <c r="Q5087">
        <v>0</v>
      </c>
      <c r="R5087">
        <v>0.93630543492098095</v>
      </c>
      <c r="S5087" t="s">
        <v>11398</v>
      </c>
      <c r="T5087" t="s">
        <v>12620</v>
      </c>
      <c r="U5087" t="s">
        <v>12620</v>
      </c>
      <c r="V5087" t="s">
        <v>12620</v>
      </c>
      <c r="W5087" t="s">
        <v>17650</v>
      </c>
      <c r="X5087">
        <v>12</v>
      </c>
      <c r="Y5087" t="s">
        <v>23755</v>
      </c>
      <c r="Z5087" t="s">
        <v>30034</v>
      </c>
      <c r="AA5087">
        <v>0.49902021931658541</v>
      </c>
      <c r="AB5087" t="str">
        <f>HYPERLINK("Melting_Curves/meltCurve_Q9BV57_ADI1.pdf", "Melting_Curves/meltCurve_Q9BV57_ADI1.pdf")</f>
        <v>Melting_Curves/meltCurve_Q9BV57_ADI1.pdf</v>
      </c>
    </row>
    <row r="5088" spans="1:28" x14ac:dyDescent="0.25">
      <c r="A5088" t="s">
        <v>5092</v>
      </c>
      <c r="B5088">
        <v>0.99987803227770999</v>
      </c>
      <c r="C5088">
        <v>0.92104440444373104</v>
      </c>
      <c r="D5088">
        <v>0.89965164949066201</v>
      </c>
      <c r="E5088">
        <v>0.81083145256540301</v>
      </c>
      <c r="F5088">
        <v>0.70416497267827105</v>
      </c>
      <c r="G5088">
        <v>0.64574958104821401</v>
      </c>
      <c r="H5088">
        <v>0.54187492652330405</v>
      </c>
      <c r="I5088">
        <v>0.52252206872624496</v>
      </c>
      <c r="J5088">
        <v>0.43022608890157898</v>
      </c>
      <c r="K5088">
        <v>0.364654649343996</v>
      </c>
      <c r="L5088">
        <v>370.40157434471098</v>
      </c>
      <c r="M5088">
        <v>6.1195504823969502</v>
      </c>
      <c r="N5088">
        <v>63.232644869137602</v>
      </c>
      <c r="O5088">
        <v>55.019564130125502</v>
      </c>
      <c r="P5088">
        <v>-2.4678214870411198E-2</v>
      </c>
      <c r="Q5088">
        <v>0.115164212763015</v>
      </c>
      <c r="R5088">
        <v>0.98918660812824799</v>
      </c>
      <c r="S5088" t="s">
        <v>11399</v>
      </c>
      <c r="T5088" t="s">
        <v>12620</v>
      </c>
      <c r="U5088" t="s">
        <v>12620</v>
      </c>
      <c r="V5088" t="s">
        <v>12620</v>
      </c>
      <c r="W5088" t="s">
        <v>17651</v>
      </c>
      <c r="X5088">
        <v>2</v>
      </c>
      <c r="Y5088" t="s">
        <v>23756</v>
      </c>
      <c r="Z5088" t="s">
        <v>30035</v>
      </c>
      <c r="AA5088">
        <v>0.68571327608631905</v>
      </c>
      <c r="AB5088" t="str">
        <f>HYPERLINK("Melting_Curves/meltCurve_Q9BV68_2_RNF126.pdf", "Melting_Curves/meltCurve_Q9BV68_2_RNF126.pdf")</f>
        <v>Melting_Curves/meltCurve_Q9BV68_2_RNF126.pdf</v>
      </c>
    </row>
    <row r="5089" spans="1:28" x14ac:dyDescent="0.25">
      <c r="A5089" t="s">
        <v>5093</v>
      </c>
      <c r="B5089">
        <v>0.99987803227770999</v>
      </c>
      <c r="C5089">
        <v>1.2366245097056801</v>
      </c>
      <c r="D5089">
        <v>0.89381679268408998</v>
      </c>
      <c r="E5089">
        <v>0.95293665956932705</v>
      </c>
      <c r="F5089">
        <v>0.50606306653414901</v>
      </c>
      <c r="G5089">
        <v>0.40451782235965</v>
      </c>
      <c r="H5089">
        <v>0.27760028715171597</v>
      </c>
      <c r="I5089">
        <v>0.23146567498149201</v>
      </c>
      <c r="J5089">
        <v>0.22364261117093301</v>
      </c>
      <c r="K5089">
        <v>0.14035070001354999</v>
      </c>
      <c r="L5089">
        <v>1300.98863409054</v>
      </c>
      <c r="M5089">
        <v>24.5579482551152</v>
      </c>
      <c r="N5089">
        <v>54.205706542092699</v>
      </c>
      <c r="O5089">
        <v>52.6287486427643</v>
      </c>
      <c r="P5089">
        <v>-9.17474980968528E-2</v>
      </c>
      <c r="Q5089">
        <v>0.21353590199140501</v>
      </c>
      <c r="R5089">
        <v>0.93143774951202796</v>
      </c>
      <c r="S5089" t="s">
        <v>11400</v>
      </c>
      <c r="T5089" t="s">
        <v>12620</v>
      </c>
      <c r="U5089" t="s">
        <v>12620</v>
      </c>
      <c r="V5089" t="s">
        <v>12620</v>
      </c>
      <c r="W5089" t="s">
        <v>17652</v>
      </c>
      <c r="X5089">
        <v>14</v>
      </c>
      <c r="Y5089" t="s">
        <v>23757</v>
      </c>
      <c r="Z5089" t="s">
        <v>30036</v>
      </c>
      <c r="AA5089">
        <v>0.56120103045001668</v>
      </c>
      <c r="AB5089" t="str">
        <f>HYPERLINK("Melting_Curves/meltCurve_Q9BV73_2_CEP250.pdf", "Melting_Curves/meltCurve_Q9BV73_2_CEP250.pdf")</f>
        <v>Melting_Curves/meltCurve_Q9BV73_2_CEP250.pdf</v>
      </c>
    </row>
    <row r="5090" spans="1:28" x14ac:dyDescent="0.25">
      <c r="A5090" t="s">
        <v>5094</v>
      </c>
      <c r="B5090">
        <v>0.99987803227770999</v>
      </c>
      <c r="C5090">
        <v>0.88939216980984703</v>
      </c>
      <c r="D5090">
        <v>0.87297443514614104</v>
      </c>
      <c r="E5090">
        <v>0.57970087891956901</v>
      </c>
      <c r="F5090">
        <v>0.24668789350103501</v>
      </c>
      <c r="G5090">
        <v>0.15019769431079999</v>
      </c>
      <c r="H5090">
        <v>0.119412940798867</v>
      </c>
      <c r="I5090">
        <v>7.9728313014383906E-2</v>
      </c>
      <c r="J5090">
        <v>6.4150064579739194E-2</v>
      </c>
      <c r="K5090">
        <v>3.4830115021844299E-2</v>
      </c>
      <c r="L5090">
        <v>984.53971880472398</v>
      </c>
      <c r="M5090">
        <v>19.640071145076501</v>
      </c>
      <c r="N5090">
        <v>50.449014268030503</v>
      </c>
      <c r="O5090">
        <v>49.618128873322803</v>
      </c>
      <c r="P5090">
        <v>-9.3166045301723899E-2</v>
      </c>
      <c r="Q5090">
        <v>5.85449122880582E-2</v>
      </c>
      <c r="R5090">
        <v>0.99084913942001995</v>
      </c>
      <c r="S5090" t="s">
        <v>11401</v>
      </c>
      <c r="T5090" t="s">
        <v>12620</v>
      </c>
      <c r="U5090" t="s">
        <v>12620</v>
      </c>
      <c r="V5090" t="s">
        <v>12620</v>
      </c>
      <c r="W5090" t="s">
        <v>17653</v>
      </c>
      <c r="X5090">
        <v>3</v>
      </c>
      <c r="Y5090" t="s">
        <v>23758</v>
      </c>
      <c r="Z5090" t="s">
        <v>30037</v>
      </c>
      <c r="AA5090">
        <v>0.38998466499779288</v>
      </c>
      <c r="AB5090" t="str">
        <f>HYPERLINK("Melting_Curves/meltCurve_Q9BV79_MECR.pdf", "Melting_Curves/meltCurve_Q9BV79_MECR.pdf")</f>
        <v>Melting_Curves/meltCurve_Q9BV79_MECR.pdf</v>
      </c>
    </row>
    <row r="5091" spans="1:28" x14ac:dyDescent="0.25">
      <c r="A5091" t="s">
        <v>5095</v>
      </c>
      <c r="B5091">
        <v>0.99987803227770999</v>
      </c>
      <c r="C5091">
        <v>0.67981103701317802</v>
      </c>
      <c r="D5091">
        <v>0.44191993290645798</v>
      </c>
      <c r="E5091">
        <v>0.152359234497697</v>
      </c>
      <c r="F5091">
        <v>7.2723675833262599E-2</v>
      </c>
      <c r="G5091">
        <v>4.3501772880216602E-2</v>
      </c>
      <c r="H5091">
        <v>2.9624109218953299E-2</v>
      </c>
      <c r="I5091">
        <v>2.4461381816302401E-2</v>
      </c>
      <c r="J5091">
        <v>1.9458073456871498E-2</v>
      </c>
      <c r="K5091">
        <v>1.2464733267278901E-2</v>
      </c>
      <c r="L5091">
        <v>869.96713697668997</v>
      </c>
      <c r="M5091">
        <v>19.283923896786501</v>
      </c>
      <c r="N5091">
        <v>45.213742886218903</v>
      </c>
      <c r="O5091">
        <v>44.636860787069502</v>
      </c>
      <c r="P5091">
        <v>-0.105750406454851</v>
      </c>
      <c r="Q5091">
        <v>2.09070945130948E-2</v>
      </c>
      <c r="R5091">
        <v>0.99109365647591596</v>
      </c>
      <c r="S5091" t="s">
        <v>11402</v>
      </c>
      <c r="T5091" t="s">
        <v>12620</v>
      </c>
      <c r="U5091" t="s">
        <v>12620</v>
      </c>
      <c r="V5091" t="s">
        <v>12620</v>
      </c>
      <c r="W5091" t="s">
        <v>17654</v>
      </c>
      <c r="X5091">
        <v>7</v>
      </c>
      <c r="Y5091" t="s">
        <v>23759</v>
      </c>
      <c r="Z5091" t="s">
        <v>30038</v>
      </c>
      <c r="AA5091">
        <v>0.20560960753398561</v>
      </c>
      <c r="AB5091" t="str">
        <f>HYPERLINK("Melting_Curves/meltCurve_Q9BV86_NTMT1.pdf", "Melting_Curves/meltCurve_Q9BV86_NTMT1.pdf")</f>
        <v>Melting_Curves/meltCurve_Q9BV86_NTMT1.pdf</v>
      </c>
    </row>
    <row r="5092" spans="1:28" x14ac:dyDescent="0.25">
      <c r="A5092" t="s">
        <v>5096</v>
      </c>
      <c r="B5092">
        <v>0.99987803227770999</v>
      </c>
      <c r="C5092">
        <v>0.98039940084398203</v>
      </c>
      <c r="D5092">
        <v>0.89291766769772396</v>
      </c>
      <c r="E5092">
        <v>0.65298815735787197</v>
      </c>
      <c r="F5092">
        <v>0.49941522565333202</v>
      </c>
      <c r="G5092">
        <v>0.37839190931419697</v>
      </c>
      <c r="H5092">
        <v>0.25579176527702602</v>
      </c>
      <c r="I5092">
        <v>0.17288813251236601</v>
      </c>
      <c r="J5092">
        <v>0.100564049316246</v>
      </c>
      <c r="K5092">
        <v>8.5999331700944606E-2</v>
      </c>
      <c r="L5092">
        <v>607.82681058344804</v>
      </c>
      <c r="M5092">
        <v>11.4186508281936</v>
      </c>
      <c r="N5092">
        <v>53.633835874654402</v>
      </c>
      <c r="O5092">
        <v>51.676888620626897</v>
      </c>
      <c r="P5092">
        <v>-5.2986248555646397E-2</v>
      </c>
      <c r="Q5092">
        <v>4.1089925740003003E-2</v>
      </c>
      <c r="R5092">
        <v>0.99306179534595396</v>
      </c>
      <c r="S5092" t="s">
        <v>11403</v>
      </c>
      <c r="T5092" t="s">
        <v>12620</v>
      </c>
      <c r="U5092" t="s">
        <v>12620</v>
      </c>
      <c r="V5092" t="s">
        <v>12620</v>
      </c>
      <c r="W5092" t="s">
        <v>17655</v>
      </c>
      <c r="X5092">
        <v>7</v>
      </c>
      <c r="Y5092" t="s">
        <v>23760</v>
      </c>
      <c r="Z5092" t="s">
        <v>30039</v>
      </c>
      <c r="AA5092">
        <v>0.4922303386599482</v>
      </c>
      <c r="AB5092" t="str">
        <f>HYPERLINK("Melting_Curves/meltCurve_Q9BVA0_KATNB1.pdf", "Melting_Curves/meltCurve_Q9BVA0_KATNB1.pdf")</f>
        <v>Melting_Curves/meltCurve_Q9BVA0_KATNB1.pdf</v>
      </c>
    </row>
    <row r="5093" spans="1:28" x14ac:dyDescent="0.25">
      <c r="A5093" t="s">
        <v>5097</v>
      </c>
      <c r="B5093">
        <v>0.99987803227770999</v>
      </c>
      <c r="C5093">
        <v>1.0455276985150499</v>
      </c>
      <c r="D5093">
        <v>1.05191029011099</v>
      </c>
      <c r="E5093">
        <v>1.0039292281954399</v>
      </c>
      <c r="F5093">
        <v>0.71862217887719504</v>
      </c>
      <c r="G5093">
        <v>0.67324081979027195</v>
      </c>
      <c r="H5093">
        <v>0.22276927094839899</v>
      </c>
      <c r="I5093">
        <v>0.137792033271043</v>
      </c>
      <c r="J5093">
        <v>6.7047196558808503E-2</v>
      </c>
      <c r="K5093">
        <v>5.4282526443314702E-2</v>
      </c>
      <c r="L5093">
        <v>1078.86196189969</v>
      </c>
      <c r="M5093">
        <v>18.641930783383501</v>
      </c>
      <c r="N5093">
        <v>57.872867560268404</v>
      </c>
      <c r="O5093">
        <v>57.219247605257102</v>
      </c>
      <c r="P5093">
        <v>-8.1453062889317904E-2</v>
      </c>
      <c r="Q5093">
        <v>0</v>
      </c>
      <c r="R5093">
        <v>0.97672623630367805</v>
      </c>
      <c r="S5093" t="s">
        <v>11404</v>
      </c>
      <c r="T5093" t="s">
        <v>12620</v>
      </c>
      <c r="U5093" t="s">
        <v>12620</v>
      </c>
      <c r="V5093" t="s">
        <v>12620</v>
      </c>
      <c r="W5093" t="s">
        <v>17656</v>
      </c>
      <c r="X5093">
        <v>21</v>
      </c>
      <c r="Y5093" t="s">
        <v>23761</v>
      </c>
      <c r="Z5093" t="s">
        <v>30040</v>
      </c>
      <c r="AA5093">
        <v>0.60798383214335705</v>
      </c>
      <c r="AB5093" t="str">
        <f>HYPERLINK("Melting_Curves/meltCurve_Q9BVA1_TUBB2B.pdf", "Melting_Curves/meltCurve_Q9BVA1_TUBB2B.pdf")</f>
        <v>Melting_Curves/meltCurve_Q9BVA1_TUBB2B.pdf</v>
      </c>
    </row>
    <row r="5094" spans="1:28" x14ac:dyDescent="0.25">
      <c r="A5094" t="s">
        <v>5098</v>
      </c>
      <c r="B5094">
        <v>0.99987803227770999</v>
      </c>
      <c r="C5094">
        <v>1.0396355505747801</v>
      </c>
      <c r="D5094">
        <v>0.852074740959055</v>
      </c>
      <c r="E5094">
        <v>0.48672578703645403</v>
      </c>
      <c r="F5094">
        <v>0.330727067632893</v>
      </c>
      <c r="G5094">
        <v>0.39018295230584699</v>
      </c>
      <c r="H5094">
        <v>0.20428263383894199</v>
      </c>
      <c r="I5094">
        <v>0.138384025937868</v>
      </c>
      <c r="J5094">
        <v>0.113208454832619</v>
      </c>
      <c r="K5094">
        <v>7.5711050880167302E-2</v>
      </c>
      <c r="L5094">
        <v>822.896559380555</v>
      </c>
      <c r="M5094">
        <v>16.5019722950287</v>
      </c>
      <c r="N5094">
        <v>50.827193492701298</v>
      </c>
      <c r="O5094">
        <v>49.151524999240998</v>
      </c>
      <c r="P5094">
        <v>-7.2694777632230895E-2</v>
      </c>
      <c r="Q5094">
        <v>0.13396767876264701</v>
      </c>
      <c r="R5094">
        <v>0.96100244817240399</v>
      </c>
      <c r="S5094" t="s">
        <v>11405</v>
      </c>
      <c r="T5094" t="s">
        <v>12620</v>
      </c>
      <c r="U5094" t="s">
        <v>12620</v>
      </c>
      <c r="V5094" t="s">
        <v>12620</v>
      </c>
      <c r="W5094" t="s">
        <v>17657</v>
      </c>
      <c r="X5094">
        <v>3</v>
      </c>
      <c r="Y5094" t="s">
        <v>23762</v>
      </c>
      <c r="Z5094" t="s">
        <v>30041</v>
      </c>
      <c r="AA5094">
        <v>0.43622211552342688</v>
      </c>
      <c r="AB5094" t="str">
        <f>HYPERLINK("Melting_Curves/meltCurve_Q9BVC3_DSCC1.pdf", "Melting_Curves/meltCurve_Q9BVC3_DSCC1.pdf")</f>
        <v>Melting_Curves/meltCurve_Q9BVC3_DSCC1.pdf</v>
      </c>
    </row>
    <row r="5095" spans="1:28" x14ac:dyDescent="0.25">
      <c r="A5095" t="s">
        <v>5099</v>
      </c>
      <c r="B5095">
        <v>0.99987803227770999</v>
      </c>
      <c r="C5095">
        <v>0.90641962244310803</v>
      </c>
      <c r="D5095">
        <v>0.97811983129459901</v>
      </c>
      <c r="E5095">
        <v>0.83201590148613502</v>
      </c>
      <c r="F5095">
        <v>0.67840324101697103</v>
      </c>
      <c r="G5095">
        <v>0.47605385257170901</v>
      </c>
      <c r="H5095">
        <v>0.51486909361861699</v>
      </c>
      <c r="I5095">
        <v>0.44124575102191199</v>
      </c>
      <c r="J5095">
        <v>0.41943680223506102</v>
      </c>
      <c r="K5095">
        <v>0.34754257815467199</v>
      </c>
      <c r="L5095">
        <v>837.07506608665301</v>
      </c>
      <c r="M5095">
        <v>15.8787834401917</v>
      </c>
      <c r="N5095">
        <v>58.164956204449702</v>
      </c>
      <c r="O5095">
        <v>51.901714961209898</v>
      </c>
      <c r="P5095">
        <v>-4.6887594373463799E-2</v>
      </c>
      <c r="Q5095">
        <v>0.38701855788933898</v>
      </c>
      <c r="R5095">
        <v>0.96903295995003802</v>
      </c>
      <c r="S5095" t="s">
        <v>11406</v>
      </c>
      <c r="T5095" t="s">
        <v>12620</v>
      </c>
      <c r="U5095" t="s">
        <v>12620</v>
      </c>
      <c r="V5095" t="s">
        <v>12620</v>
      </c>
      <c r="W5095" t="s">
        <v>17658</v>
      </c>
      <c r="X5095">
        <v>2</v>
      </c>
      <c r="Y5095" t="s">
        <v>23763</v>
      </c>
      <c r="Z5095" t="s">
        <v>30042</v>
      </c>
      <c r="AA5095">
        <v>0.65912952968729477</v>
      </c>
      <c r="AB5095" t="str">
        <f>HYPERLINK("Melting_Curves/meltCurve_Q9BVC4_MLST8.pdf", "Melting_Curves/meltCurve_Q9BVC4_MLST8.pdf")</f>
        <v>Melting_Curves/meltCurve_Q9BVC4_MLST8.pdf</v>
      </c>
    </row>
    <row r="5096" spans="1:28" x14ac:dyDescent="0.25">
      <c r="A5096" t="s">
        <v>5100</v>
      </c>
      <c r="B5096">
        <v>0.99987803227770999</v>
      </c>
      <c r="C5096">
        <v>1.0129054710466701</v>
      </c>
      <c r="D5096">
        <v>0.91495380062301102</v>
      </c>
      <c r="E5096">
        <v>0.78392460084527305</v>
      </c>
      <c r="F5096">
        <v>0.63584290609280902</v>
      </c>
      <c r="G5096">
        <v>0.480215128215632</v>
      </c>
      <c r="H5096">
        <v>0.68300967969520499</v>
      </c>
      <c r="I5096">
        <v>1.0578614162834901</v>
      </c>
      <c r="J5096">
        <v>0.84601591133966403</v>
      </c>
      <c r="K5096">
        <v>0.72076522938734999</v>
      </c>
      <c r="L5096">
        <v>2074.8368488117999</v>
      </c>
      <c r="M5096">
        <v>44.301397756800903</v>
      </c>
      <c r="O5096">
        <v>46.739452790858699</v>
      </c>
      <c r="P5096">
        <v>-6.1300528503520697E-2</v>
      </c>
      <c r="Q5096">
        <v>0.74130402639619197</v>
      </c>
      <c r="R5096">
        <v>0.37799427567224098</v>
      </c>
      <c r="S5096" t="s">
        <v>11407</v>
      </c>
      <c r="T5096" t="s">
        <v>12620</v>
      </c>
      <c r="U5096" t="s">
        <v>12620</v>
      </c>
      <c r="V5096" t="s">
        <v>12620</v>
      </c>
      <c r="W5096" t="s">
        <v>17659</v>
      </c>
      <c r="X5096">
        <v>4</v>
      </c>
      <c r="Y5096" t="s">
        <v>23764</v>
      </c>
      <c r="Z5096" t="s">
        <v>30043</v>
      </c>
      <c r="AA5096">
        <v>0.80092499562430675</v>
      </c>
      <c r="AB5096" t="str">
        <f>HYPERLINK("Melting_Curves/meltCurve_Q9BVC5_C2orf49.pdf", "Melting_Curves/meltCurve_Q9BVC5_C2orf49.pdf")</f>
        <v>Melting_Curves/meltCurve_Q9BVC5_C2orf49.pdf</v>
      </c>
    </row>
    <row r="5097" spans="1:28" x14ac:dyDescent="0.25">
      <c r="A5097" t="s">
        <v>5101</v>
      </c>
      <c r="B5097">
        <v>0.99987803227770999</v>
      </c>
      <c r="C5097">
        <v>0.94835071495732004</v>
      </c>
      <c r="D5097">
        <v>1.0293738082974</v>
      </c>
      <c r="E5097">
        <v>0.99902493977166296</v>
      </c>
      <c r="F5097">
        <v>1.1847329413249501</v>
      </c>
      <c r="G5097">
        <v>0.89735850218819802</v>
      </c>
      <c r="H5097">
        <v>0.49832481759981201</v>
      </c>
      <c r="I5097">
        <v>0.29596539777200698</v>
      </c>
      <c r="J5097">
        <v>0.20690013692886</v>
      </c>
      <c r="K5097">
        <v>0.14535632186731001</v>
      </c>
      <c r="L5097">
        <v>2114.7645086377702</v>
      </c>
      <c r="M5097">
        <v>35.014954261021401</v>
      </c>
      <c r="N5097">
        <v>61.108453713653802</v>
      </c>
      <c r="O5097">
        <v>60.200035237935303</v>
      </c>
      <c r="P5097">
        <v>-0.12104347167071</v>
      </c>
      <c r="Q5097">
        <v>0.16757868574787599</v>
      </c>
      <c r="R5097">
        <v>0.96939178419635597</v>
      </c>
      <c r="S5097" t="s">
        <v>11408</v>
      </c>
      <c r="T5097" t="s">
        <v>12620</v>
      </c>
      <c r="U5097" t="s">
        <v>12620</v>
      </c>
      <c r="V5097" t="s">
        <v>12620</v>
      </c>
      <c r="W5097" t="s">
        <v>17660</v>
      </c>
      <c r="X5097">
        <v>14</v>
      </c>
      <c r="Y5097" t="s">
        <v>23765</v>
      </c>
      <c r="Z5097" t="s">
        <v>30044</v>
      </c>
      <c r="AA5097">
        <v>0.73750040098968173</v>
      </c>
      <c r="AB5097" t="str">
        <f>HYPERLINK("Melting_Curves/meltCurve_Q9BVG4_PBDC1.pdf", "Melting_Curves/meltCurve_Q9BVG4_PBDC1.pdf")</f>
        <v>Melting_Curves/meltCurve_Q9BVG4_PBDC1.pdf</v>
      </c>
    </row>
    <row r="5098" spans="1:28" x14ac:dyDescent="0.25">
      <c r="A5098" t="s">
        <v>5102</v>
      </c>
      <c r="B5098">
        <v>0.99987803227770999</v>
      </c>
      <c r="C5098">
        <v>0.726191411895724</v>
      </c>
      <c r="D5098">
        <v>0.62581903719641796</v>
      </c>
      <c r="E5098">
        <v>0.58129951248135903</v>
      </c>
      <c r="F5098">
        <v>0.37909518075287801</v>
      </c>
      <c r="G5098">
        <v>0.22709332475522301</v>
      </c>
      <c r="H5098">
        <v>0.19447019416342001</v>
      </c>
      <c r="I5098">
        <v>0.18672183694359501</v>
      </c>
      <c r="J5098">
        <v>0.17224507851561899</v>
      </c>
      <c r="K5098">
        <v>0.14845703127218901</v>
      </c>
      <c r="L5098">
        <v>472.43052747496</v>
      </c>
      <c r="M5098">
        <v>9.7120244853667899</v>
      </c>
      <c r="N5098">
        <v>49.782144918535899</v>
      </c>
      <c r="O5098">
        <v>46.715899051073499</v>
      </c>
      <c r="P5098">
        <v>-4.6824363049389799E-2</v>
      </c>
      <c r="Q5098">
        <v>9.9568430854026002E-2</v>
      </c>
      <c r="R5098">
        <v>0.96232193098743402</v>
      </c>
      <c r="S5098" t="s">
        <v>11409</v>
      </c>
      <c r="T5098" t="s">
        <v>12620</v>
      </c>
      <c r="U5098" t="s">
        <v>12620</v>
      </c>
      <c r="V5098" t="s">
        <v>12620</v>
      </c>
      <c r="W5098" t="s">
        <v>17661</v>
      </c>
      <c r="X5098">
        <v>10</v>
      </c>
      <c r="Y5098" t="s">
        <v>23766</v>
      </c>
      <c r="Z5098" t="s">
        <v>30045</v>
      </c>
      <c r="AA5098">
        <v>0.40634518375202028</v>
      </c>
      <c r="AB5098" t="str">
        <f>HYPERLINK("Melting_Curves/meltCurve_Q9BVG8_2_KIFC3.pdf", "Melting_Curves/meltCurve_Q9BVG8_2_KIFC3.pdf")</f>
        <v>Melting_Curves/meltCurve_Q9BVG8_2_KIFC3.pdf</v>
      </c>
    </row>
    <row r="5099" spans="1:28" x14ac:dyDescent="0.25">
      <c r="A5099" t="s">
        <v>5103</v>
      </c>
      <c r="B5099">
        <v>0.99987803227770999</v>
      </c>
      <c r="C5099">
        <v>1.0422521028568399</v>
      </c>
      <c r="D5099">
        <v>0.88341176348152906</v>
      </c>
      <c r="E5099">
        <v>0.77817512102664599</v>
      </c>
      <c r="F5099">
        <v>0.80959602868177605</v>
      </c>
      <c r="G5099">
        <v>0.32524813344153702</v>
      </c>
      <c r="H5099">
        <v>0.270965756248918</v>
      </c>
      <c r="I5099">
        <v>0.212267446109593</v>
      </c>
      <c r="J5099">
        <v>0.19920191587816599</v>
      </c>
      <c r="K5099">
        <v>0.14000372224653199</v>
      </c>
      <c r="L5099">
        <v>941.44162366824503</v>
      </c>
      <c r="M5099">
        <v>17.247647894467601</v>
      </c>
      <c r="N5099">
        <v>55.628977186631801</v>
      </c>
      <c r="O5099">
        <v>53.865858245350601</v>
      </c>
      <c r="P5099">
        <v>-6.8974446112561594E-2</v>
      </c>
      <c r="Q5099">
        <v>0.13839826541379099</v>
      </c>
      <c r="R5099">
        <v>0.96486802764238799</v>
      </c>
      <c r="S5099" t="s">
        <v>11410</v>
      </c>
      <c r="T5099" t="s">
        <v>12620</v>
      </c>
      <c r="U5099" t="s">
        <v>12620</v>
      </c>
      <c r="V5099" t="s">
        <v>12620</v>
      </c>
      <c r="W5099" t="s">
        <v>17662</v>
      </c>
      <c r="X5099">
        <v>1</v>
      </c>
      <c r="Y5099" t="s">
        <v>23767</v>
      </c>
      <c r="Z5099" t="s">
        <v>30046</v>
      </c>
      <c r="AA5099">
        <v>0.57160356436950499</v>
      </c>
      <c r="AB5099" t="str">
        <f>HYPERLINK("Melting_Curves/meltCurve_Q9BVI4_NOC4L.pdf", "Melting_Curves/meltCurve_Q9BVI4_NOC4L.pdf")</f>
        <v>Melting_Curves/meltCurve_Q9BVI4_NOC4L.pdf</v>
      </c>
    </row>
    <row r="5100" spans="1:28" x14ac:dyDescent="0.25">
      <c r="A5100" t="s">
        <v>5104</v>
      </c>
      <c r="B5100">
        <v>0.99987803227770999</v>
      </c>
      <c r="C5100">
        <v>0.90521893128144204</v>
      </c>
      <c r="D5100">
        <v>1.0288418424636301</v>
      </c>
      <c r="E5100">
        <v>0.93576417722501304</v>
      </c>
      <c r="F5100">
        <v>1.09019431444679</v>
      </c>
      <c r="G5100">
        <v>0.97357660080442698</v>
      </c>
      <c r="H5100">
        <v>0.90616527084000098</v>
      </c>
      <c r="I5100">
        <v>0.89701242413652804</v>
      </c>
      <c r="J5100">
        <v>0.74032460038225201</v>
      </c>
      <c r="K5100">
        <v>0.63688697186386301</v>
      </c>
      <c r="L5100">
        <v>1205.4851877725</v>
      </c>
      <c r="M5100">
        <v>17.522793121799999</v>
      </c>
      <c r="O5100">
        <v>67.918034068273101</v>
      </c>
      <c r="P5100">
        <v>-4.1093022038892403E-2</v>
      </c>
      <c r="Q5100">
        <v>0.36293165053408999</v>
      </c>
      <c r="R5100">
        <v>0.846567496258404</v>
      </c>
      <c r="S5100" t="s">
        <v>11411</v>
      </c>
      <c r="T5100" t="s">
        <v>12620</v>
      </c>
      <c r="U5100" t="s">
        <v>12620</v>
      </c>
      <c r="V5100" t="s">
        <v>12620</v>
      </c>
      <c r="W5100" t="s">
        <v>17663</v>
      </c>
      <c r="X5100">
        <v>15</v>
      </c>
      <c r="Y5100" t="s">
        <v>23768</v>
      </c>
      <c r="Z5100" t="s">
        <v>30047</v>
      </c>
      <c r="AA5100">
        <v>0.93508563030749214</v>
      </c>
      <c r="AB5100" t="str">
        <f>HYPERLINK("Melting_Curves/meltCurve_Q9BVJ6_UTP14A.pdf", "Melting_Curves/meltCurve_Q9BVJ6_UTP14A.pdf")</f>
        <v>Melting_Curves/meltCurve_Q9BVJ6_UTP14A.pdf</v>
      </c>
    </row>
    <row r="5101" spans="1:28" x14ac:dyDescent="0.25">
      <c r="A5101" t="s">
        <v>5105</v>
      </c>
      <c r="B5101">
        <v>0.99987803227770999</v>
      </c>
      <c r="C5101">
        <v>0.867602588312824</v>
      </c>
      <c r="D5101">
        <v>0.99863105318647605</v>
      </c>
      <c r="E5101">
        <v>0.81433179348166296</v>
      </c>
      <c r="F5101">
        <v>0.91169975507497703</v>
      </c>
      <c r="G5101">
        <v>0.592505290169139</v>
      </c>
      <c r="H5101">
        <v>0.23646417922341001</v>
      </c>
      <c r="I5101">
        <v>0.15828008261068699</v>
      </c>
      <c r="J5101">
        <v>0.11007893899217</v>
      </c>
      <c r="K5101">
        <v>8.0423566014299994E-2</v>
      </c>
      <c r="L5101">
        <v>1156.4502491729199</v>
      </c>
      <c r="M5101">
        <v>20.096437644772401</v>
      </c>
      <c r="N5101">
        <v>57.825474006365603</v>
      </c>
      <c r="O5101">
        <v>56.984331204437503</v>
      </c>
      <c r="P5101">
        <v>-8.4075542441148093E-2</v>
      </c>
      <c r="Q5101">
        <v>4.64309246359699E-2</v>
      </c>
      <c r="R5101">
        <v>0.96851049125709499</v>
      </c>
      <c r="S5101" t="s">
        <v>11412</v>
      </c>
      <c r="T5101" t="s">
        <v>12620</v>
      </c>
      <c r="U5101" t="s">
        <v>12620</v>
      </c>
      <c r="V5101" t="s">
        <v>12620</v>
      </c>
      <c r="W5101" t="s">
        <v>17664</v>
      </c>
      <c r="X5101">
        <v>15</v>
      </c>
      <c r="Y5101" t="s">
        <v>23769</v>
      </c>
      <c r="Z5101" t="s">
        <v>30048</v>
      </c>
      <c r="AA5101">
        <v>0.61528880535403196</v>
      </c>
      <c r="AB5101" t="str">
        <f>HYPERLINK("Melting_Curves/meltCurve_Q9BVJ7_DUSP23.pdf", "Melting_Curves/meltCurve_Q9BVJ7_DUSP23.pdf")</f>
        <v>Melting_Curves/meltCurve_Q9BVJ7_DUSP23.pdf</v>
      </c>
    </row>
    <row r="5102" spans="1:28" x14ac:dyDescent="0.25">
      <c r="A5102" t="s">
        <v>5106</v>
      </c>
      <c r="B5102">
        <v>0.99987803227770999</v>
      </c>
      <c r="C5102">
        <v>0.83537788239298605</v>
      </c>
      <c r="D5102">
        <v>0.40370755376541001</v>
      </c>
      <c r="E5102">
        <v>0.240067647846335</v>
      </c>
      <c r="F5102">
        <v>0.12813868592021199</v>
      </c>
      <c r="G5102">
        <v>8.8626574449041304E-2</v>
      </c>
      <c r="H5102">
        <v>8.1735726922276805E-2</v>
      </c>
      <c r="I5102">
        <v>6.1660308290145099E-2</v>
      </c>
      <c r="J5102">
        <v>4.8254354898431197E-2</v>
      </c>
      <c r="K5102">
        <v>2.8223445885007001E-2</v>
      </c>
      <c r="L5102">
        <v>1034.7584693490001</v>
      </c>
      <c r="M5102">
        <v>22.805184229439899</v>
      </c>
      <c r="N5102">
        <v>45.678964237144598</v>
      </c>
      <c r="O5102">
        <v>45.029260592084803</v>
      </c>
      <c r="P5102">
        <v>-0.117669984554226</v>
      </c>
      <c r="Q5102">
        <v>7.0651778886934899E-2</v>
      </c>
      <c r="R5102">
        <v>0.98708961053154998</v>
      </c>
      <c r="S5102" t="s">
        <v>11413</v>
      </c>
      <c r="T5102" t="s">
        <v>12620</v>
      </c>
      <c r="U5102" t="s">
        <v>12620</v>
      </c>
      <c r="V5102" t="s">
        <v>12620</v>
      </c>
      <c r="W5102" t="s">
        <v>17665</v>
      </c>
      <c r="X5102">
        <v>5</v>
      </c>
      <c r="Y5102" t="s">
        <v>23770</v>
      </c>
      <c r="Z5102" t="s">
        <v>30049</v>
      </c>
      <c r="AA5102">
        <v>0.24824407600989559</v>
      </c>
      <c r="AB5102" t="str">
        <f>HYPERLINK("Melting_Curves/meltCurve_Q9BVL4_SELO.pdf", "Melting_Curves/meltCurve_Q9BVL4_SELO.pdf")</f>
        <v>Melting_Curves/meltCurve_Q9BVL4_SELO.pdf</v>
      </c>
    </row>
    <row r="5103" spans="1:28" x14ac:dyDescent="0.25">
      <c r="A5103" t="s">
        <v>5107</v>
      </c>
      <c r="B5103">
        <v>0.99987803227770999</v>
      </c>
      <c r="C5103">
        <v>0.89355130676592698</v>
      </c>
      <c r="D5103">
        <v>0.82556040335530601</v>
      </c>
      <c r="E5103">
        <v>0.72125107794634002</v>
      </c>
      <c r="F5103">
        <v>0.26514239149361901</v>
      </c>
      <c r="G5103">
        <v>0.169041242473292</v>
      </c>
      <c r="H5103">
        <v>0.146468196753477</v>
      </c>
      <c r="I5103">
        <v>0.13768813673984001</v>
      </c>
      <c r="J5103">
        <v>0.10796070896488399</v>
      </c>
      <c r="K5103">
        <v>8.1305270456567297E-2</v>
      </c>
      <c r="L5103">
        <v>1048.8491333991101</v>
      </c>
      <c r="M5103">
        <v>20.7076730445233</v>
      </c>
      <c r="N5103">
        <v>51.1871198923672</v>
      </c>
      <c r="O5103">
        <v>50.185006443537901</v>
      </c>
      <c r="P5103">
        <v>-9.30903261576536E-2</v>
      </c>
      <c r="Q5103">
        <v>9.7608682408203404E-2</v>
      </c>
      <c r="R5103">
        <v>0.97200196521649596</v>
      </c>
      <c r="S5103" t="s">
        <v>11414</v>
      </c>
      <c r="T5103" t="s">
        <v>12620</v>
      </c>
      <c r="U5103" t="s">
        <v>12620</v>
      </c>
      <c r="V5103" t="s">
        <v>12620</v>
      </c>
      <c r="W5103" t="s">
        <v>17666</v>
      </c>
      <c r="X5103">
        <v>3</v>
      </c>
      <c r="Y5103" t="s">
        <v>23771</v>
      </c>
      <c r="Z5103" t="s">
        <v>30050</v>
      </c>
      <c r="AA5103">
        <v>0.42969821000668218</v>
      </c>
      <c r="AB5103" t="str">
        <f>HYPERLINK("Melting_Curves/meltCurve_Q9BVM2_DPCD.pdf", "Melting_Curves/meltCurve_Q9BVM2_DPCD.pdf")</f>
        <v>Melting_Curves/meltCurve_Q9BVM2_DPCD.pdf</v>
      </c>
    </row>
    <row r="5104" spans="1:28" x14ac:dyDescent="0.25">
      <c r="A5104" t="s">
        <v>5108</v>
      </c>
      <c r="B5104">
        <v>0.99987803227770999</v>
      </c>
      <c r="C5104">
        <v>0.82060629789070705</v>
      </c>
      <c r="D5104">
        <v>0.96208132646419997</v>
      </c>
      <c r="E5104">
        <v>0.770053407200325</v>
      </c>
      <c r="F5104">
        <v>0.71107192891265403</v>
      </c>
      <c r="G5104">
        <v>0.26002460220603402</v>
      </c>
      <c r="H5104">
        <v>0.21727795430673499</v>
      </c>
      <c r="I5104">
        <v>0.18667422904926301</v>
      </c>
      <c r="J5104">
        <v>0.102705113551792</v>
      </c>
      <c r="K5104">
        <v>7.4366082827414207E-2</v>
      </c>
      <c r="L5104">
        <v>852.64923094158496</v>
      </c>
      <c r="M5104">
        <v>15.734158147446299</v>
      </c>
      <c r="N5104">
        <v>54.663795379200003</v>
      </c>
      <c r="O5104">
        <v>53.338248164836202</v>
      </c>
      <c r="P5104">
        <v>-6.9061064161783106E-2</v>
      </c>
      <c r="Q5104">
        <v>6.3620016372034405E-2</v>
      </c>
      <c r="R5104">
        <v>0.95998337632207797</v>
      </c>
      <c r="S5104" t="s">
        <v>11415</v>
      </c>
      <c r="T5104" t="s">
        <v>12620</v>
      </c>
      <c r="U5104" t="s">
        <v>12620</v>
      </c>
      <c r="V5104" t="s">
        <v>12620</v>
      </c>
      <c r="W5104" t="s">
        <v>17667</v>
      </c>
      <c r="X5104">
        <v>3</v>
      </c>
      <c r="Y5104" t="s">
        <v>23772</v>
      </c>
      <c r="Z5104" t="s">
        <v>30051</v>
      </c>
      <c r="AA5104">
        <v>0.52447252856549953</v>
      </c>
      <c r="AB5104" t="str">
        <f>HYPERLINK("Melting_Curves/meltCurve_Q9BVM4_GGACT.pdf", "Melting_Curves/meltCurve_Q9BVM4_GGACT.pdf")</f>
        <v>Melting_Curves/meltCurve_Q9BVM4_GGACT.pdf</v>
      </c>
    </row>
    <row r="5105" spans="1:28" x14ac:dyDescent="0.25">
      <c r="A5105" t="s">
        <v>5109</v>
      </c>
      <c r="B5105">
        <v>0.99987803227770999</v>
      </c>
      <c r="C5105">
        <v>1.3771286391589601</v>
      </c>
      <c r="D5105">
        <v>1.3076056949091499</v>
      </c>
      <c r="E5105">
        <v>1.65853837881288</v>
      </c>
      <c r="F5105">
        <v>1.1852095741759301</v>
      </c>
      <c r="G5105">
        <v>0.63156417279855603</v>
      </c>
      <c r="H5105">
        <v>0.29254249981100899</v>
      </c>
      <c r="I5105">
        <v>0.31949418196760099</v>
      </c>
      <c r="J5105">
        <v>0.16534580437459601</v>
      </c>
      <c r="K5105">
        <v>0.115928592551281</v>
      </c>
      <c r="L5105">
        <v>5203.6025390618497</v>
      </c>
      <c r="M5105">
        <v>91.178697852981401</v>
      </c>
      <c r="N5105">
        <v>57.441469255364801</v>
      </c>
      <c r="O5105">
        <v>57.042939506377003</v>
      </c>
      <c r="P5105">
        <v>-0.31066010098771202</v>
      </c>
      <c r="Q5105">
        <v>0.222583162414137</v>
      </c>
      <c r="R5105">
        <v>0.74728895461671496</v>
      </c>
      <c r="S5105" t="s">
        <v>11416</v>
      </c>
      <c r="T5105" t="s">
        <v>12620</v>
      </c>
      <c r="U5105" t="s">
        <v>12620</v>
      </c>
      <c r="V5105" t="s">
        <v>12620</v>
      </c>
      <c r="W5105" t="s">
        <v>17668</v>
      </c>
      <c r="X5105">
        <v>4</v>
      </c>
      <c r="Y5105" t="s">
        <v>23773</v>
      </c>
      <c r="Z5105" t="s">
        <v>30052</v>
      </c>
      <c r="AA5105">
        <v>0.66552929461533217</v>
      </c>
      <c r="AB5105" t="str">
        <f>HYPERLINK("Melting_Curves/meltCurve_Q9BVQ7_SPATA5L1.pdf", "Melting_Curves/meltCurve_Q9BVQ7_SPATA5L1.pdf")</f>
        <v>Melting_Curves/meltCurve_Q9BVQ7_SPATA5L1.pdf</v>
      </c>
    </row>
    <row r="5106" spans="1:28" x14ac:dyDescent="0.25">
      <c r="A5106" t="s">
        <v>5110</v>
      </c>
      <c r="B5106">
        <v>0.99987803227770999</v>
      </c>
      <c r="C5106">
        <v>1.0547741882275401</v>
      </c>
      <c r="D5106">
        <v>0.99208118574482596</v>
      </c>
      <c r="E5106">
        <v>1.1812133506389</v>
      </c>
      <c r="F5106">
        <v>1.12253232237819</v>
      </c>
      <c r="G5106">
        <v>0.62794858265774001</v>
      </c>
      <c r="H5106">
        <v>0.103395233674384</v>
      </c>
      <c r="I5106">
        <v>6.3962982947992103E-2</v>
      </c>
      <c r="J5106">
        <v>5.20561746886571E-2</v>
      </c>
      <c r="K5106">
        <v>3.5951821136398603E-2</v>
      </c>
      <c r="L5106">
        <v>4121.0526488617897</v>
      </c>
      <c r="M5106">
        <v>71.8625430586428</v>
      </c>
      <c r="N5106">
        <v>57.4489594587399</v>
      </c>
      <c r="O5106">
        <v>57.301962717861002</v>
      </c>
      <c r="P5106">
        <v>-0.29463790550477897</v>
      </c>
      <c r="Q5106">
        <v>6.0243281933275099E-2</v>
      </c>
      <c r="R5106">
        <v>0.97666475430742605</v>
      </c>
      <c r="S5106" t="s">
        <v>11417</v>
      </c>
      <c r="T5106" t="s">
        <v>12620</v>
      </c>
      <c r="U5106" t="s">
        <v>12620</v>
      </c>
      <c r="V5106" t="s">
        <v>12620</v>
      </c>
      <c r="W5106" t="s">
        <v>17669</v>
      </c>
      <c r="X5106">
        <v>1</v>
      </c>
      <c r="Y5106" t="s">
        <v>23774</v>
      </c>
      <c r="Z5106" t="s">
        <v>30053</v>
      </c>
      <c r="AA5106">
        <v>0.604768133185418</v>
      </c>
      <c r="AB5106" t="str">
        <f>HYPERLINK("Melting_Curves/meltCurve_Q9BVR6_TUBGCP4.pdf", "Melting_Curves/meltCurve_Q9BVR6_TUBGCP4.pdf")</f>
        <v>Melting_Curves/meltCurve_Q9BVR6_TUBGCP4.pdf</v>
      </c>
    </row>
    <row r="5107" spans="1:28" x14ac:dyDescent="0.25">
      <c r="A5107" t="s">
        <v>5111</v>
      </c>
      <c r="B5107">
        <v>0.99987803227770999</v>
      </c>
      <c r="C5107">
        <v>0.78619484123096095</v>
      </c>
      <c r="D5107">
        <v>0.65028111396134303</v>
      </c>
      <c r="E5107">
        <v>0.43765860981075</v>
      </c>
      <c r="F5107">
        <v>0.36404685190234398</v>
      </c>
      <c r="G5107">
        <v>0.224060178160437</v>
      </c>
      <c r="H5107">
        <v>0.211320007595315</v>
      </c>
      <c r="I5107">
        <v>0.189726234586964</v>
      </c>
      <c r="J5107">
        <v>0.151408541735155</v>
      </c>
      <c r="K5107">
        <v>0.12492514544274699</v>
      </c>
      <c r="L5107">
        <v>580.05302039412095</v>
      </c>
      <c r="M5107">
        <v>12.16378876474</v>
      </c>
      <c r="N5107">
        <v>48.948945212979801</v>
      </c>
      <c r="O5107">
        <v>46.452900356064802</v>
      </c>
      <c r="P5107">
        <v>-5.6664345101218802E-2</v>
      </c>
      <c r="Q5107">
        <v>0.13460475877017</v>
      </c>
      <c r="R5107">
        <v>0.98760285728675001</v>
      </c>
      <c r="S5107" t="s">
        <v>11418</v>
      </c>
      <c r="T5107" t="s">
        <v>12620</v>
      </c>
      <c r="U5107" t="s">
        <v>12620</v>
      </c>
      <c r="V5107" t="s">
        <v>12620</v>
      </c>
      <c r="W5107" t="s">
        <v>17670</v>
      </c>
      <c r="X5107">
        <v>4</v>
      </c>
      <c r="Y5107" t="s">
        <v>23775</v>
      </c>
      <c r="Z5107" t="s">
        <v>30054</v>
      </c>
      <c r="AA5107">
        <v>0.39009849595890222</v>
      </c>
      <c r="AB5107" t="str">
        <f>HYPERLINK("Melting_Curves/meltCurve_Q9BVS4_RIOK2.pdf", "Melting_Curves/meltCurve_Q9BVS4_RIOK2.pdf")</f>
        <v>Melting_Curves/meltCurve_Q9BVS4_RIOK2.pdf</v>
      </c>
    </row>
    <row r="5108" spans="1:28" x14ac:dyDescent="0.25">
      <c r="A5108" t="s">
        <v>5112</v>
      </c>
      <c r="B5108">
        <v>0.99987803227770999</v>
      </c>
      <c r="C5108">
        <v>1.0190215565215901</v>
      </c>
      <c r="D5108">
        <v>0.91275032388458899</v>
      </c>
      <c r="E5108">
        <v>1.172489456159</v>
      </c>
      <c r="F5108">
        <v>0.91133973521450895</v>
      </c>
      <c r="G5108">
        <v>0.924291228212341</v>
      </c>
      <c r="H5108">
        <v>0.34492950185375898</v>
      </c>
      <c r="I5108">
        <v>0.37759712983665</v>
      </c>
      <c r="J5108">
        <v>0.21372225584635701</v>
      </c>
      <c r="K5108">
        <v>0.139587932061745</v>
      </c>
      <c r="L5108">
        <v>2871.0798066564098</v>
      </c>
      <c r="M5108">
        <v>48.454674193893801</v>
      </c>
      <c r="N5108">
        <v>59.997321078926603</v>
      </c>
      <c r="O5108">
        <v>59.152235521340501</v>
      </c>
      <c r="P5108">
        <v>-0.15852138309653999</v>
      </c>
      <c r="Q5108">
        <v>0.22592524912419801</v>
      </c>
      <c r="R5108">
        <v>0.94615657827289601</v>
      </c>
      <c r="S5108" t="s">
        <v>11419</v>
      </c>
      <c r="T5108" t="s">
        <v>12620</v>
      </c>
      <c r="U5108" t="s">
        <v>12620</v>
      </c>
      <c r="V5108" t="s">
        <v>12620</v>
      </c>
      <c r="W5108" t="s">
        <v>17671</v>
      </c>
      <c r="X5108">
        <v>2</v>
      </c>
      <c r="Y5108" t="s">
        <v>23776</v>
      </c>
      <c r="Z5108" t="s">
        <v>30055</v>
      </c>
      <c r="AA5108">
        <v>0.7248257892272747</v>
      </c>
      <c r="AB5108" t="str">
        <f>HYPERLINK("Melting_Curves/meltCurve_Q9BVS5_TRMT61B.pdf", "Melting_Curves/meltCurve_Q9BVS5_TRMT61B.pdf")</f>
        <v>Melting_Curves/meltCurve_Q9BVS5_TRMT61B.pdf</v>
      </c>
    </row>
    <row r="5109" spans="1:28" x14ac:dyDescent="0.25">
      <c r="A5109" t="s">
        <v>5113</v>
      </c>
      <c r="B5109">
        <v>0.99987803227770999</v>
      </c>
      <c r="C5109">
        <v>0.940030050146616</v>
      </c>
      <c r="D5109">
        <v>0.984911813766847</v>
      </c>
      <c r="E5109">
        <v>0.86606426540583603</v>
      </c>
      <c r="F5109">
        <v>0.78646983237798596</v>
      </c>
      <c r="G5109">
        <v>0.67013441909817195</v>
      </c>
      <c r="H5109">
        <v>0.51352320357741399</v>
      </c>
      <c r="I5109">
        <v>0.55790412715501703</v>
      </c>
      <c r="J5109">
        <v>0.36892011918608603</v>
      </c>
      <c r="K5109">
        <v>0.31337499424868398</v>
      </c>
      <c r="L5109">
        <v>459.33257245159598</v>
      </c>
      <c r="M5109">
        <v>7.2998483787556196</v>
      </c>
      <c r="N5109">
        <v>62.971003836596601</v>
      </c>
      <c r="O5109">
        <v>58.717332837778898</v>
      </c>
      <c r="P5109">
        <v>-3.1044506525385099E-2</v>
      </c>
      <c r="Q5109">
        <v>2.7414232972815099E-3</v>
      </c>
      <c r="R5109">
        <v>0.97592210264125401</v>
      </c>
      <c r="S5109" t="s">
        <v>11420</v>
      </c>
      <c r="T5109" t="s">
        <v>12620</v>
      </c>
      <c r="U5109" t="s">
        <v>12620</v>
      </c>
      <c r="V5109" t="s">
        <v>12620</v>
      </c>
      <c r="W5109" t="s">
        <v>17672</v>
      </c>
      <c r="X5109">
        <v>2</v>
      </c>
      <c r="Y5109" t="s">
        <v>23777</v>
      </c>
      <c r="Z5109" t="s">
        <v>30056</v>
      </c>
      <c r="AA5109">
        <v>0.70891370964499234</v>
      </c>
      <c r="AB5109" t="str">
        <f>HYPERLINK("Melting_Curves/meltCurve_Q9BVV6_2_KIAA0586.pdf", "Melting_Curves/meltCurve_Q9BVV6_2_KIAA0586.pdf")</f>
        <v>Melting_Curves/meltCurve_Q9BVV6_2_KIAA0586.pdf</v>
      </c>
    </row>
    <row r="5110" spans="1:28" x14ac:dyDescent="0.25">
      <c r="A5110" t="s">
        <v>5114</v>
      </c>
      <c r="B5110">
        <v>0.99987803227770999</v>
      </c>
      <c r="C5110">
        <v>0.95468766257720505</v>
      </c>
      <c r="D5110">
        <v>1.1069792243951</v>
      </c>
      <c r="E5110">
        <v>0.99032680022469999</v>
      </c>
      <c r="F5110">
        <v>1.0458903024147601</v>
      </c>
      <c r="G5110">
        <v>0.94921513031743998</v>
      </c>
      <c r="H5110">
        <v>0.95427430542663905</v>
      </c>
      <c r="I5110">
        <v>0.955384655879571</v>
      </c>
      <c r="J5110">
        <v>0.93183030616636597</v>
      </c>
      <c r="K5110">
        <v>0.73319125518852102</v>
      </c>
      <c r="L5110">
        <v>1976.1438476164501</v>
      </c>
      <c r="M5110">
        <v>27.189534401628201</v>
      </c>
      <c r="Q5110">
        <v>0</v>
      </c>
      <c r="R5110">
        <v>0.75207938695002796</v>
      </c>
      <c r="S5110" t="s">
        <v>11421</v>
      </c>
      <c r="T5110" t="s">
        <v>12620</v>
      </c>
      <c r="U5110" t="s">
        <v>12620</v>
      </c>
      <c r="V5110" t="s">
        <v>12620</v>
      </c>
      <c r="W5110" t="s">
        <v>17673</v>
      </c>
      <c r="X5110">
        <v>5</v>
      </c>
      <c r="Y5110" t="s">
        <v>23778</v>
      </c>
      <c r="Z5110" t="s">
        <v>30057</v>
      </c>
      <c r="AA5110">
        <v>0.97673189357765133</v>
      </c>
      <c r="AB5110" t="str">
        <f>HYPERLINK("Melting_Curves/meltCurve_Q9BVW5_TIPIN.pdf", "Melting_Curves/meltCurve_Q9BVW5_TIPIN.pdf")</f>
        <v>Melting_Curves/meltCurve_Q9BVW5_TIPIN.pdf</v>
      </c>
    </row>
    <row r="5111" spans="1:28" x14ac:dyDescent="0.25">
      <c r="A5111" t="s">
        <v>5115</v>
      </c>
      <c r="B5111">
        <v>0.99987803227770999</v>
      </c>
      <c r="C5111">
        <v>0.88115987222603298</v>
      </c>
      <c r="D5111">
        <v>1.0529194117793099</v>
      </c>
      <c r="E5111">
        <v>0.82024063863074204</v>
      </c>
      <c r="F5111">
        <v>0.94489795894592699</v>
      </c>
      <c r="G5111">
        <v>0.775343594950619</v>
      </c>
      <c r="H5111">
        <v>0.81302211868253704</v>
      </c>
      <c r="I5111">
        <v>0.76837464879770301</v>
      </c>
      <c r="J5111">
        <v>0.76318804420003905</v>
      </c>
      <c r="K5111">
        <v>0.66628557641550701</v>
      </c>
      <c r="L5111">
        <v>260.794628465529</v>
      </c>
      <c r="M5111">
        <v>2.95572222995709</v>
      </c>
      <c r="O5111">
        <v>64.538937131103594</v>
      </c>
      <c r="P5111">
        <v>-1.1441648034384499E-2</v>
      </c>
      <c r="Q5111">
        <v>3.1884420727545097E-2</v>
      </c>
      <c r="R5111">
        <v>0.70615903687808801</v>
      </c>
      <c r="S5111" t="s">
        <v>11422</v>
      </c>
      <c r="T5111" t="s">
        <v>12620</v>
      </c>
      <c r="U5111" t="s">
        <v>12620</v>
      </c>
      <c r="V5111" t="s">
        <v>12620</v>
      </c>
      <c r="W5111" t="s">
        <v>17674</v>
      </c>
      <c r="X5111">
        <v>17</v>
      </c>
      <c r="Y5111" t="s">
        <v>23779</v>
      </c>
      <c r="Z5111" t="s">
        <v>30058</v>
      </c>
      <c r="AA5111">
        <v>0.85162966557324427</v>
      </c>
      <c r="AB5111" t="str">
        <f>HYPERLINK("Melting_Curves/meltCurve_Q9BW04_SARG.pdf", "Melting_Curves/meltCurve_Q9BW04_SARG.pdf")</f>
        <v>Melting_Curves/meltCurve_Q9BW04_SARG.pdf</v>
      </c>
    </row>
    <row r="5112" spans="1:28" x14ac:dyDescent="0.25">
      <c r="A5112" t="s">
        <v>5116</v>
      </c>
      <c r="B5112">
        <v>0.99987803227770999</v>
      </c>
      <c r="C5112">
        <v>0.85486993822648905</v>
      </c>
      <c r="D5112">
        <v>0.64621891915892504</v>
      </c>
      <c r="E5112">
        <v>0.44451785048897402</v>
      </c>
      <c r="F5112">
        <v>0.370039833920907</v>
      </c>
      <c r="G5112">
        <v>0.29922599521531201</v>
      </c>
      <c r="H5112">
        <v>0.29616710050137801</v>
      </c>
      <c r="I5112">
        <v>0.29667741403458098</v>
      </c>
      <c r="J5112">
        <v>0.24488060164488701</v>
      </c>
      <c r="K5112">
        <v>0.17922623825252701</v>
      </c>
      <c r="L5112">
        <v>729.40012412994201</v>
      </c>
      <c r="M5112">
        <v>15.5969167936452</v>
      </c>
      <c r="N5112">
        <v>48.905670867125203</v>
      </c>
      <c r="O5112">
        <v>46.017121602666798</v>
      </c>
      <c r="P5112">
        <v>-6.3783268030358095E-2</v>
      </c>
      <c r="Q5112">
        <v>0.24732100544569299</v>
      </c>
      <c r="R5112">
        <v>0.98372884838550301</v>
      </c>
      <c r="S5112" t="s">
        <v>11423</v>
      </c>
      <c r="T5112" t="s">
        <v>12620</v>
      </c>
      <c r="U5112" t="s">
        <v>12620</v>
      </c>
      <c r="V5112" t="s">
        <v>12620</v>
      </c>
      <c r="W5112" t="s">
        <v>17675</v>
      </c>
      <c r="X5112">
        <v>10</v>
      </c>
      <c r="Y5112" t="s">
        <v>23780</v>
      </c>
      <c r="Z5112" t="s">
        <v>30059</v>
      </c>
      <c r="AA5112">
        <v>0.43620351436364779</v>
      </c>
      <c r="AB5112" t="str">
        <f>HYPERLINK("Melting_Curves/meltCurve_Q9BW19_KIFC1.pdf", "Melting_Curves/meltCurve_Q9BW19_KIFC1.pdf")</f>
        <v>Melting_Curves/meltCurve_Q9BW19_KIFC1.pdf</v>
      </c>
    </row>
    <row r="5113" spans="1:28" x14ac:dyDescent="0.25">
      <c r="A5113" t="s">
        <v>5117</v>
      </c>
      <c r="B5113">
        <v>0.99987803227770999</v>
      </c>
      <c r="C5113">
        <v>0.98292290454723796</v>
      </c>
      <c r="D5113">
        <v>0.83679723649056703</v>
      </c>
      <c r="E5113">
        <v>1.1386474166574001</v>
      </c>
      <c r="F5113">
        <v>0.81805150480970501</v>
      </c>
      <c r="G5113">
        <v>0.43037642012834998</v>
      </c>
      <c r="H5113">
        <v>0.16526250309342599</v>
      </c>
      <c r="I5113">
        <v>0.11925034226256299</v>
      </c>
      <c r="J5113">
        <v>9.26256528419903E-2</v>
      </c>
      <c r="K5113">
        <v>6.4000616678324004E-2</v>
      </c>
      <c r="L5113">
        <v>1704.8677562963501</v>
      </c>
      <c r="M5113">
        <v>30.432443313849198</v>
      </c>
      <c r="N5113">
        <v>56.367901318090098</v>
      </c>
      <c r="O5113">
        <v>55.781158719501398</v>
      </c>
      <c r="P5113">
        <v>-0.1247571991774</v>
      </c>
      <c r="Q5113">
        <v>8.5310605116474203E-2</v>
      </c>
      <c r="R5113">
        <v>0.96701469536257101</v>
      </c>
      <c r="S5113" t="s">
        <v>11424</v>
      </c>
      <c r="T5113" t="s">
        <v>12620</v>
      </c>
      <c r="U5113" t="s">
        <v>12620</v>
      </c>
      <c r="V5113" t="s">
        <v>12620</v>
      </c>
      <c r="W5113" t="s">
        <v>17676</v>
      </c>
      <c r="X5113">
        <v>15</v>
      </c>
      <c r="Y5113" t="s">
        <v>23781</v>
      </c>
      <c r="Z5113" t="s">
        <v>30060</v>
      </c>
      <c r="AA5113">
        <v>0.57973873264437226</v>
      </c>
      <c r="AB5113" t="str">
        <f>HYPERLINK("Melting_Curves/meltCurve_Q9BW27_NUP85.pdf", "Melting_Curves/meltCurve_Q9BW27_NUP85.pdf")</f>
        <v>Melting_Curves/meltCurve_Q9BW27_NUP85.pdf</v>
      </c>
    </row>
    <row r="5114" spans="1:28" x14ac:dyDescent="0.25">
      <c r="A5114" t="s">
        <v>5118</v>
      </c>
      <c r="B5114">
        <v>0.99987803227770999</v>
      </c>
      <c r="C5114">
        <v>0.85719353251053299</v>
      </c>
      <c r="D5114">
        <v>1.0210891900978201</v>
      </c>
      <c r="E5114">
        <v>0.91761690101384097</v>
      </c>
      <c r="F5114">
        <v>1.0674535020171201</v>
      </c>
      <c r="G5114">
        <v>0.95638671533437403</v>
      </c>
      <c r="H5114">
        <v>0.94661288194926796</v>
      </c>
      <c r="I5114">
        <v>0.92605601483873301</v>
      </c>
      <c r="J5114">
        <v>0.88079213596781802</v>
      </c>
      <c r="K5114">
        <v>0.72828256494715804</v>
      </c>
      <c r="L5114">
        <v>1118.56901146167</v>
      </c>
      <c r="M5114">
        <v>14.929786081880099</v>
      </c>
      <c r="Q5114">
        <v>0</v>
      </c>
      <c r="R5114">
        <v>0.57253081657106097</v>
      </c>
      <c r="S5114" t="s">
        <v>11425</v>
      </c>
      <c r="T5114" t="s">
        <v>12620</v>
      </c>
      <c r="U5114" t="s">
        <v>12620</v>
      </c>
      <c r="V5114" t="s">
        <v>12620</v>
      </c>
      <c r="W5114" t="s">
        <v>17677</v>
      </c>
      <c r="X5114">
        <v>7</v>
      </c>
      <c r="Y5114" t="s">
        <v>23782</v>
      </c>
      <c r="Z5114" t="s">
        <v>30061</v>
      </c>
      <c r="AA5114">
        <v>0.96115999713783573</v>
      </c>
      <c r="AB5114" t="str">
        <f>HYPERLINK("Melting_Curves/meltCurve_Q9BW30_TPPP3.pdf", "Melting_Curves/meltCurve_Q9BW30_TPPP3.pdf")</f>
        <v>Melting_Curves/meltCurve_Q9BW30_TPPP3.pdf</v>
      </c>
    </row>
    <row r="5115" spans="1:28" x14ac:dyDescent="0.25">
      <c r="A5115" t="s">
        <v>5119</v>
      </c>
      <c r="B5115">
        <v>0.99987803227770999</v>
      </c>
      <c r="C5115">
        <v>1.12108327317501</v>
      </c>
      <c r="D5115">
        <v>0.97531388202789504</v>
      </c>
      <c r="E5115">
        <v>1.15218737473249</v>
      </c>
      <c r="F5115">
        <v>0.81451617043429503</v>
      </c>
      <c r="G5115">
        <v>0.76890083472113402</v>
      </c>
      <c r="H5115">
        <v>0.71217265297204202</v>
      </c>
      <c r="I5115">
        <v>0.52321082798394603</v>
      </c>
      <c r="J5115">
        <v>0.36651412877463602</v>
      </c>
      <c r="K5115">
        <v>0.30586285188546403</v>
      </c>
      <c r="L5115">
        <v>768.07235526255602</v>
      </c>
      <c r="M5115">
        <v>12.0300916886212</v>
      </c>
      <c r="N5115">
        <v>64.430637825490507</v>
      </c>
      <c r="O5115">
        <v>62.1585176734839</v>
      </c>
      <c r="P5115">
        <v>-4.5893596410282601E-2</v>
      </c>
      <c r="Q5115">
        <v>5.1712623069331901E-2</v>
      </c>
      <c r="R5115">
        <v>0.91500961299274597</v>
      </c>
      <c r="S5115" t="s">
        <v>11426</v>
      </c>
      <c r="T5115" t="s">
        <v>12620</v>
      </c>
      <c r="U5115" t="s">
        <v>12620</v>
      </c>
      <c r="V5115" t="s">
        <v>12620</v>
      </c>
      <c r="W5115" t="s">
        <v>17678</v>
      </c>
      <c r="X5115">
        <v>5</v>
      </c>
      <c r="Y5115" t="s">
        <v>23783</v>
      </c>
      <c r="Z5115" t="s">
        <v>30062</v>
      </c>
      <c r="AA5115">
        <v>0.7794003018942266</v>
      </c>
      <c r="AB5115" t="str">
        <f>HYPERLINK("Melting_Curves/meltCurve_Q9BW61_DDA1.pdf", "Melting_Curves/meltCurve_Q9BW61_DDA1.pdf")</f>
        <v>Melting_Curves/meltCurve_Q9BW61_DDA1.pdf</v>
      </c>
    </row>
    <row r="5116" spans="1:28" x14ac:dyDescent="0.25">
      <c r="A5116" t="s">
        <v>5120</v>
      </c>
      <c r="B5116">
        <v>0.99987803227770999</v>
      </c>
      <c r="C5116">
        <v>0.92896896474066604</v>
      </c>
      <c r="D5116">
        <v>0.90336797838382998</v>
      </c>
      <c r="E5116">
        <v>0.49937961221913102</v>
      </c>
      <c r="F5116">
        <v>0.28064545662565199</v>
      </c>
      <c r="G5116">
        <v>0.214675398061974</v>
      </c>
      <c r="H5116">
        <v>9.9051210473926996E-2</v>
      </c>
      <c r="I5116">
        <v>8.2508128062814795E-2</v>
      </c>
      <c r="J5116">
        <v>4.8533459077879801E-2</v>
      </c>
      <c r="K5116">
        <v>3.2460352193186201E-2</v>
      </c>
      <c r="L5116">
        <v>946.29996595232296</v>
      </c>
      <c r="M5116">
        <v>18.9236829640171</v>
      </c>
      <c r="N5116">
        <v>50.354586913612003</v>
      </c>
      <c r="O5116">
        <v>49.457748031065798</v>
      </c>
      <c r="P5116">
        <v>-8.9788863150079001E-2</v>
      </c>
      <c r="Q5116">
        <v>6.1372093168357601E-2</v>
      </c>
      <c r="R5116">
        <v>0.99145381086575801</v>
      </c>
      <c r="S5116" t="s">
        <v>11427</v>
      </c>
      <c r="T5116" t="s">
        <v>12620</v>
      </c>
      <c r="U5116" t="s">
        <v>12620</v>
      </c>
      <c r="V5116" t="s">
        <v>12620</v>
      </c>
      <c r="W5116" t="s">
        <v>17679</v>
      </c>
      <c r="X5116">
        <v>4</v>
      </c>
      <c r="Y5116" t="s">
        <v>23784</v>
      </c>
      <c r="Z5116" t="s">
        <v>30063</v>
      </c>
      <c r="AA5116">
        <v>0.38898481485562092</v>
      </c>
      <c r="AB5116" t="str">
        <f>HYPERLINK("Melting_Curves/meltCurve_Q9BW62_KATNAL1.pdf", "Melting_Curves/meltCurve_Q9BW62_KATNAL1.pdf")</f>
        <v>Melting_Curves/meltCurve_Q9BW62_KATNAL1.pdf</v>
      </c>
    </row>
    <row r="5117" spans="1:28" x14ac:dyDescent="0.25">
      <c r="A5117" t="s">
        <v>5121</v>
      </c>
      <c r="B5117">
        <v>0.99987803227770999</v>
      </c>
      <c r="C5117">
        <v>0.85326147631427296</v>
      </c>
      <c r="D5117">
        <v>1.0241173963750601</v>
      </c>
      <c r="E5117">
        <v>0.89828314942415499</v>
      </c>
      <c r="F5117">
        <v>1.0629469243015099</v>
      </c>
      <c r="G5117">
        <v>0.76341064163142502</v>
      </c>
      <c r="H5117">
        <v>0.98395884577261605</v>
      </c>
      <c r="I5117">
        <v>0.83164849188297796</v>
      </c>
      <c r="J5117">
        <v>0.92355141425235499</v>
      </c>
      <c r="K5117">
        <v>0.78642673700972299</v>
      </c>
      <c r="L5117">
        <v>199.45794883867899</v>
      </c>
      <c r="M5117">
        <v>1.19224916209859</v>
      </c>
      <c r="O5117">
        <v>68.942241679854007</v>
      </c>
      <c r="P5117">
        <v>-5.4775005313013802E-3</v>
      </c>
      <c r="Q5117">
        <v>0</v>
      </c>
      <c r="R5117">
        <v>0.194132942818457</v>
      </c>
      <c r="S5117" t="s">
        <v>11428</v>
      </c>
      <c r="T5117" t="s">
        <v>12620</v>
      </c>
      <c r="U5117" t="s">
        <v>12620</v>
      </c>
      <c r="V5117" t="s">
        <v>12620</v>
      </c>
      <c r="W5117" t="s">
        <v>17680</v>
      </c>
      <c r="X5117">
        <v>11</v>
      </c>
      <c r="Y5117" t="s">
        <v>23785</v>
      </c>
      <c r="Z5117" t="s">
        <v>30064</v>
      </c>
      <c r="AA5117">
        <v>0.91591438803220127</v>
      </c>
      <c r="AB5117" t="str">
        <f>HYPERLINK("Melting_Curves/meltCurve_Q9BW71_HIRIP3.pdf", "Melting_Curves/meltCurve_Q9BW71_HIRIP3.pdf")</f>
        <v>Melting_Curves/meltCurve_Q9BW71_HIRIP3.pdf</v>
      </c>
    </row>
    <row r="5118" spans="1:28" x14ac:dyDescent="0.25">
      <c r="A5118" t="s">
        <v>5122</v>
      </c>
      <c r="B5118">
        <v>0.99987803227770999</v>
      </c>
      <c r="C5118">
        <v>0.87966751377317798</v>
      </c>
      <c r="D5118">
        <v>0.89858869545061804</v>
      </c>
      <c r="E5118">
        <v>0.634092395906797</v>
      </c>
      <c r="F5118">
        <v>0.369421377064865</v>
      </c>
      <c r="G5118">
        <v>0.187611684566173</v>
      </c>
      <c r="H5118">
        <v>0.12208965568454901</v>
      </c>
      <c r="I5118">
        <v>0.11565955127486099</v>
      </c>
      <c r="J5118">
        <v>7.9449699982334698E-2</v>
      </c>
      <c r="K5118">
        <v>6.0883272366173198E-2</v>
      </c>
      <c r="L5118">
        <v>871.67155451615099</v>
      </c>
      <c r="M5118">
        <v>17.083018560529698</v>
      </c>
      <c r="N5118">
        <v>51.440709319557897</v>
      </c>
      <c r="O5118">
        <v>50.341799545373497</v>
      </c>
      <c r="P5118">
        <v>-7.9377886840245895E-2</v>
      </c>
      <c r="Q5118">
        <v>6.4384769940217496E-2</v>
      </c>
      <c r="R5118">
        <v>0.99275563385140697</v>
      </c>
      <c r="S5118" t="s">
        <v>11429</v>
      </c>
      <c r="T5118" t="s">
        <v>12620</v>
      </c>
      <c r="U5118" t="s">
        <v>12620</v>
      </c>
      <c r="V5118" t="s">
        <v>12620</v>
      </c>
      <c r="W5118" t="s">
        <v>17681</v>
      </c>
      <c r="X5118">
        <v>8</v>
      </c>
      <c r="Y5118" t="s">
        <v>23786</v>
      </c>
      <c r="Z5118" t="s">
        <v>30065</v>
      </c>
      <c r="AA5118">
        <v>0.42554120380870142</v>
      </c>
      <c r="AB5118" t="str">
        <f>HYPERLINK("Melting_Curves/meltCurve_Q9BW83_IFT27.pdf", "Melting_Curves/meltCurve_Q9BW83_IFT27.pdf")</f>
        <v>Melting_Curves/meltCurve_Q9BW83_IFT27.pdf</v>
      </c>
    </row>
    <row r="5119" spans="1:28" x14ac:dyDescent="0.25">
      <c r="A5119" t="s">
        <v>5123</v>
      </c>
      <c r="B5119">
        <v>0.99987803227770999</v>
      </c>
      <c r="C5119">
        <v>0.89983126724485496</v>
      </c>
      <c r="D5119">
        <v>1.00321779115224</v>
      </c>
      <c r="E5119">
        <v>0.92147504901770805</v>
      </c>
      <c r="F5119">
        <v>0.99555656243869295</v>
      </c>
      <c r="G5119">
        <v>0.801273595450953</v>
      </c>
      <c r="H5119">
        <v>0.57577761393071603</v>
      </c>
      <c r="I5119">
        <v>0.45120726570346298</v>
      </c>
      <c r="J5119">
        <v>0.29906469352831999</v>
      </c>
      <c r="K5119">
        <v>0.21348995828091299</v>
      </c>
      <c r="L5119">
        <v>961.65741366043096</v>
      </c>
      <c r="M5119">
        <v>15.535549788028099</v>
      </c>
      <c r="N5119">
        <v>62.676668024907997</v>
      </c>
      <c r="O5119">
        <v>60.9020198229546</v>
      </c>
      <c r="P5119">
        <v>-5.8196961635277801E-2</v>
      </c>
      <c r="Q5119">
        <v>8.7512071794302398E-2</v>
      </c>
      <c r="R5119">
        <v>0.97927898314081696</v>
      </c>
      <c r="S5119" t="s">
        <v>11430</v>
      </c>
      <c r="T5119" t="s">
        <v>12620</v>
      </c>
      <c r="U5119" t="s">
        <v>12620</v>
      </c>
      <c r="V5119" t="s">
        <v>12620</v>
      </c>
      <c r="W5119" t="s">
        <v>17682</v>
      </c>
      <c r="X5119">
        <v>17</v>
      </c>
      <c r="Y5119" t="s">
        <v>23787</v>
      </c>
      <c r="Z5119" t="s">
        <v>30066</v>
      </c>
      <c r="AA5119">
        <v>0.75248281667129213</v>
      </c>
      <c r="AB5119" t="str">
        <f>HYPERLINK("Melting_Curves/meltCurve_Q9BW85_CCDC94.pdf", "Melting_Curves/meltCurve_Q9BW85_CCDC94.pdf")</f>
        <v>Melting_Curves/meltCurve_Q9BW85_CCDC94.pdf</v>
      </c>
    </row>
    <row r="5120" spans="1:28" x14ac:dyDescent="0.25">
      <c r="A5120" t="s">
        <v>5124</v>
      </c>
      <c r="B5120">
        <v>0.99987803227770999</v>
      </c>
      <c r="C5120">
        <v>0.909724314348067</v>
      </c>
      <c r="D5120">
        <v>1.0181956981120199</v>
      </c>
      <c r="E5120">
        <v>0.89635343403817902</v>
      </c>
      <c r="F5120">
        <v>0.93289032358281598</v>
      </c>
      <c r="G5120">
        <v>0.57026957166118697</v>
      </c>
      <c r="H5120">
        <v>0.38830647302972898</v>
      </c>
      <c r="I5120">
        <v>0.28111017398233801</v>
      </c>
      <c r="J5120">
        <v>0.22128166437334701</v>
      </c>
      <c r="K5120">
        <v>0.174467544172352</v>
      </c>
      <c r="L5120">
        <v>1113.8131770413399</v>
      </c>
      <c r="M5120">
        <v>19.389856999836798</v>
      </c>
      <c r="N5120">
        <v>58.676140389294602</v>
      </c>
      <c r="O5120">
        <v>56.842553420541599</v>
      </c>
      <c r="P5120">
        <v>-7.1011363040277595E-2</v>
      </c>
      <c r="Q5120">
        <v>0.167334000166703</v>
      </c>
      <c r="R5120">
        <v>0.98174407653002405</v>
      </c>
      <c r="S5120" t="s">
        <v>11431</v>
      </c>
      <c r="T5120" t="s">
        <v>12620</v>
      </c>
      <c r="U5120" t="s">
        <v>12620</v>
      </c>
      <c r="V5120" t="s">
        <v>12620</v>
      </c>
      <c r="W5120" t="s">
        <v>17683</v>
      </c>
      <c r="X5120">
        <v>14</v>
      </c>
      <c r="Y5120" t="s">
        <v>23788</v>
      </c>
      <c r="Z5120" t="s">
        <v>30067</v>
      </c>
      <c r="AA5120">
        <v>0.66169443865890798</v>
      </c>
      <c r="AB5120" t="str">
        <f>HYPERLINK("Melting_Curves/meltCurve_Q9BW91_2_NUDT9.pdf", "Melting_Curves/meltCurve_Q9BW91_2_NUDT9.pdf")</f>
        <v>Melting_Curves/meltCurve_Q9BW91_2_NUDT9.pdf</v>
      </c>
    </row>
    <row r="5121" spans="1:28" x14ac:dyDescent="0.25">
      <c r="A5121" t="s">
        <v>5125</v>
      </c>
      <c r="B5121">
        <v>0.99987803227770999</v>
      </c>
      <c r="C5121">
        <v>1.0412871948270199</v>
      </c>
      <c r="D5121">
        <v>0.72721198743931503</v>
      </c>
      <c r="E5121">
        <v>0.59448031222795295</v>
      </c>
      <c r="F5121">
        <v>0.19828623177858301</v>
      </c>
      <c r="G5121">
        <v>0.115800599509785</v>
      </c>
      <c r="H5121">
        <v>5.4911547493940602E-2</v>
      </c>
      <c r="I5121">
        <v>4.8577740177459701E-2</v>
      </c>
      <c r="J5121">
        <v>3.4262498181299103E-2</v>
      </c>
      <c r="K5121">
        <v>2.9551393914156201E-2</v>
      </c>
      <c r="L5121">
        <v>928.968358665952</v>
      </c>
      <c r="M5121">
        <v>18.6248601923499</v>
      </c>
      <c r="N5121">
        <v>50.006791122047197</v>
      </c>
      <c r="O5121">
        <v>49.313527304121898</v>
      </c>
      <c r="P5121">
        <v>-9.2211312851826599E-2</v>
      </c>
      <c r="Q5121">
        <v>2.3440811972103199E-2</v>
      </c>
      <c r="R5121">
        <v>0.97916444494995403</v>
      </c>
      <c r="S5121" t="s">
        <v>11432</v>
      </c>
      <c r="T5121" t="s">
        <v>12620</v>
      </c>
      <c r="U5121" t="s">
        <v>12620</v>
      </c>
      <c r="V5121" t="s">
        <v>12620</v>
      </c>
      <c r="W5121" t="s">
        <v>17684</v>
      </c>
      <c r="X5121">
        <v>5</v>
      </c>
      <c r="Y5121" t="s">
        <v>23789</v>
      </c>
      <c r="Z5121" t="s">
        <v>30068</v>
      </c>
      <c r="AA5121">
        <v>0.36060813887971349</v>
      </c>
      <c r="AB5121" t="str">
        <f>HYPERLINK("Melting_Curves/meltCurve_Q9BW92_TARS2.pdf", "Melting_Curves/meltCurve_Q9BW92_TARS2.pdf")</f>
        <v>Melting_Curves/meltCurve_Q9BW92_TARS2.pdf</v>
      </c>
    </row>
    <row r="5122" spans="1:28" x14ac:dyDescent="0.25">
      <c r="A5122" t="s">
        <v>5126</v>
      </c>
      <c r="B5122">
        <v>0.99987803227770999</v>
      </c>
      <c r="C5122">
        <v>1.0542488924351501</v>
      </c>
      <c r="D5122">
        <v>1.01009854779889</v>
      </c>
      <c r="E5122">
        <v>1.0454576105606599</v>
      </c>
      <c r="F5122">
        <v>0.77777492725855502</v>
      </c>
      <c r="G5122">
        <v>0.68136683742844995</v>
      </c>
      <c r="H5122">
        <v>0.76419302491531205</v>
      </c>
      <c r="I5122">
        <v>0.36414833310523798</v>
      </c>
      <c r="J5122">
        <v>7.0271463492400696E-2</v>
      </c>
      <c r="K5122">
        <v>5.2557547132434698E-2</v>
      </c>
      <c r="L5122">
        <v>1102.7309270195699</v>
      </c>
      <c r="M5122">
        <v>17.8448850538466</v>
      </c>
      <c r="N5122">
        <v>61.795351896927897</v>
      </c>
      <c r="O5122">
        <v>61.0349929014399</v>
      </c>
      <c r="P5122">
        <v>-7.3096576449263401E-2</v>
      </c>
      <c r="Q5122">
        <v>0</v>
      </c>
      <c r="R5122">
        <v>0.91356194552117398</v>
      </c>
      <c r="S5122" t="s">
        <v>11433</v>
      </c>
      <c r="T5122" t="s">
        <v>12620</v>
      </c>
      <c r="U5122" t="s">
        <v>12620</v>
      </c>
      <c r="V5122" t="s">
        <v>12620</v>
      </c>
      <c r="W5122" t="s">
        <v>17685</v>
      </c>
      <c r="X5122">
        <v>17</v>
      </c>
      <c r="Y5122" t="s">
        <v>23790</v>
      </c>
      <c r="Z5122" t="s">
        <v>30069</v>
      </c>
      <c r="AA5122">
        <v>0.72872181258798985</v>
      </c>
      <c r="AB5122" t="str">
        <f>HYPERLINK("Melting_Curves/meltCurve_Q9BWD1_ACAT2.pdf", "Melting_Curves/meltCurve_Q9BWD1_ACAT2.pdf")</f>
        <v>Melting_Curves/meltCurve_Q9BWD1_ACAT2.pdf</v>
      </c>
    </row>
    <row r="5123" spans="1:28" x14ac:dyDescent="0.25">
      <c r="A5123" t="s">
        <v>5127</v>
      </c>
      <c r="B5123">
        <v>0.99987803227770999</v>
      </c>
      <c r="C5123">
        <v>1.1096428877580899</v>
      </c>
      <c r="D5123">
        <v>1.00900325594802</v>
      </c>
      <c r="E5123">
        <v>1.1093366603052199</v>
      </c>
      <c r="F5123">
        <v>0.94667423325323996</v>
      </c>
      <c r="G5123">
        <v>0.91607822960902396</v>
      </c>
      <c r="H5123">
        <v>0.76814533524428197</v>
      </c>
      <c r="I5123">
        <v>0.42932972657822899</v>
      </c>
      <c r="J5123">
        <v>0.32998514740842</v>
      </c>
      <c r="K5123">
        <v>0.17603303491261199</v>
      </c>
      <c r="L5123">
        <v>1558.6662876635701</v>
      </c>
      <c r="M5123">
        <v>24.747953747319698</v>
      </c>
      <c r="N5123">
        <v>63.727430347245601</v>
      </c>
      <c r="O5123">
        <v>62.574716121011299</v>
      </c>
      <c r="P5123">
        <v>-8.6443571067754493E-2</v>
      </c>
      <c r="Q5123">
        <v>0.125728819105587</v>
      </c>
      <c r="R5123">
        <v>0.968796320664287</v>
      </c>
      <c r="S5123" t="s">
        <v>11434</v>
      </c>
      <c r="T5123" t="s">
        <v>12620</v>
      </c>
      <c r="U5123" t="s">
        <v>12620</v>
      </c>
      <c r="V5123" t="s">
        <v>12620</v>
      </c>
      <c r="W5123" t="s">
        <v>17686</v>
      </c>
      <c r="X5123">
        <v>9</v>
      </c>
      <c r="Y5123" t="s">
        <v>23791</v>
      </c>
      <c r="Z5123" t="s">
        <v>30070</v>
      </c>
      <c r="AA5123">
        <v>0.79741540063718863</v>
      </c>
      <c r="AB5123" t="str">
        <f>HYPERLINK("Melting_Curves/meltCurve_Q9BWE0_REPIN1.pdf", "Melting_Curves/meltCurve_Q9BWE0_REPIN1.pdf")</f>
        <v>Melting_Curves/meltCurve_Q9BWE0_REPIN1.pdf</v>
      </c>
    </row>
    <row r="5124" spans="1:28" x14ac:dyDescent="0.25">
      <c r="A5124" t="s">
        <v>5128</v>
      </c>
      <c r="B5124">
        <v>0.99987803227770999</v>
      </c>
      <c r="C5124">
        <v>0.93309907985752205</v>
      </c>
      <c r="D5124">
        <v>1.0342721303620801</v>
      </c>
      <c r="E5124">
        <v>0.89542311108331396</v>
      </c>
      <c r="F5124">
        <v>0.90922333160660596</v>
      </c>
      <c r="G5124">
        <v>0.66975444927688499</v>
      </c>
      <c r="H5124">
        <v>0.60454760798020102</v>
      </c>
      <c r="I5124">
        <v>0.55964640848387803</v>
      </c>
      <c r="J5124">
        <v>0.49760159471981402</v>
      </c>
      <c r="K5124">
        <v>0.38256966084698801</v>
      </c>
      <c r="L5124">
        <v>645.25308219245096</v>
      </c>
      <c r="M5124">
        <v>10.8504673672482</v>
      </c>
      <c r="N5124">
        <v>65.199099927832407</v>
      </c>
      <c r="O5124">
        <v>57.5547675376718</v>
      </c>
      <c r="P5124">
        <v>-3.2656219337808601E-2</v>
      </c>
      <c r="Q5124">
        <v>0.307365200955805</v>
      </c>
      <c r="R5124">
        <v>0.96217736998508396</v>
      </c>
      <c r="S5124" t="s">
        <v>11435</v>
      </c>
      <c r="T5124" t="s">
        <v>12620</v>
      </c>
      <c r="U5124" t="s">
        <v>12620</v>
      </c>
      <c r="V5124" t="s">
        <v>12620</v>
      </c>
      <c r="W5124" t="s">
        <v>17687</v>
      </c>
      <c r="X5124">
        <v>10</v>
      </c>
      <c r="Y5124" t="s">
        <v>23792</v>
      </c>
      <c r="Z5124" t="s">
        <v>30071</v>
      </c>
      <c r="AA5124">
        <v>0.75872622281410051</v>
      </c>
      <c r="AB5124" t="str">
        <f>HYPERLINK("Melting_Curves/meltCurve_Q9BWF3_RBM4.pdf", "Melting_Curves/meltCurve_Q9BWF3_RBM4.pdf")</f>
        <v>Melting_Curves/meltCurve_Q9BWF3_RBM4.pdf</v>
      </c>
    </row>
    <row r="5125" spans="1:28" x14ac:dyDescent="0.25">
      <c r="A5125" t="s">
        <v>5129</v>
      </c>
      <c r="B5125">
        <v>0.99987803227770999</v>
      </c>
      <c r="C5125">
        <v>0.94652041941520404</v>
      </c>
      <c r="D5125">
        <v>0.95922525453025598</v>
      </c>
      <c r="E5125">
        <v>0.88318279983106396</v>
      </c>
      <c r="F5125">
        <v>1.2618346757212699</v>
      </c>
      <c r="G5125">
        <v>0.61843902638344805</v>
      </c>
      <c r="H5125">
        <v>1.11056920118936</v>
      </c>
      <c r="I5125">
        <v>1.1233753540432301</v>
      </c>
      <c r="J5125">
        <v>1.6629428927476899</v>
      </c>
      <c r="K5125">
        <v>1.4422796254236101</v>
      </c>
      <c r="L5125">
        <v>15000</v>
      </c>
      <c r="M5125">
        <v>233.25979930790399</v>
      </c>
      <c r="O5125">
        <v>64.301251952754299</v>
      </c>
      <c r="P5125">
        <v>0.45345111562420998</v>
      </c>
      <c r="Q5125">
        <v>1.5</v>
      </c>
      <c r="R5125">
        <v>0.65401855870639303</v>
      </c>
      <c r="S5125" t="s">
        <v>11436</v>
      </c>
      <c r="T5125" t="s">
        <v>12620</v>
      </c>
      <c r="U5125" t="s">
        <v>12620</v>
      </c>
      <c r="V5125" t="s">
        <v>12620</v>
      </c>
      <c r="W5125" t="s">
        <v>17688</v>
      </c>
      <c r="X5125">
        <v>1</v>
      </c>
      <c r="Y5125" t="s">
        <v>23793</v>
      </c>
      <c r="Z5125" t="s">
        <v>30072</v>
      </c>
      <c r="AA5125">
        <v>1.0948355125683531</v>
      </c>
      <c r="AB5125" t="str">
        <f>HYPERLINK("Melting_Curves/meltCurve_Q9BWH2_FUNDC2.pdf", "Melting_Curves/meltCurve_Q9BWH2_FUNDC2.pdf")</f>
        <v>Melting_Curves/meltCurve_Q9BWH2_FUNDC2.pdf</v>
      </c>
    </row>
    <row r="5126" spans="1:28" x14ac:dyDescent="0.25">
      <c r="A5126" t="s">
        <v>5130</v>
      </c>
      <c r="B5126">
        <v>0.99987803227770999</v>
      </c>
      <c r="C5126">
        <v>1.0608084918920699</v>
      </c>
      <c r="D5126">
        <v>0.96282624669245798</v>
      </c>
      <c r="E5126">
        <v>1.11819710804408</v>
      </c>
      <c r="F5126">
        <v>0.72746315030242603</v>
      </c>
      <c r="G5126">
        <v>0.34756057826285103</v>
      </c>
      <c r="H5126">
        <v>0.22658981826095001</v>
      </c>
      <c r="I5126">
        <v>0.217786299225188</v>
      </c>
      <c r="J5126">
        <v>0.14907046277425101</v>
      </c>
      <c r="K5126">
        <v>0.120378492609785</v>
      </c>
      <c r="L5126">
        <v>1885.7574951365</v>
      </c>
      <c r="M5126">
        <v>34.5707538011861</v>
      </c>
      <c r="N5126">
        <v>55.230138084509299</v>
      </c>
      <c r="O5126">
        <v>54.366215093826703</v>
      </c>
      <c r="P5126">
        <v>-0.131341606772436</v>
      </c>
      <c r="Q5126">
        <v>0.173808051488408</v>
      </c>
      <c r="R5126">
        <v>0.97614618713954104</v>
      </c>
      <c r="S5126" t="s">
        <v>11437</v>
      </c>
      <c r="T5126" t="s">
        <v>12620</v>
      </c>
      <c r="U5126" t="s">
        <v>12620</v>
      </c>
      <c r="V5126" t="s">
        <v>12620</v>
      </c>
      <c r="W5126" t="s">
        <v>17689</v>
      </c>
      <c r="X5126">
        <v>12</v>
      </c>
      <c r="Y5126" t="s">
        <v>23794</v>
      </c>
      <c r="Z5126" t="s">
        <v>30073</v>
      </c>
      <c r="AA5126">
        <v>0.57859650191365164</v>
      </c>
      <c r="AB5126" t="str">
        <f>HYPERLINK("Melting_Curves/meltCurve_Q9BWH6_RPAP1.pdf", "Melting_Curves/meltCurve_Q9BWH6_RPAP1.pdf")</f>
        <v>Melting_Curves/meltCurve_Q9BWH6_RPAP1.pdf</v>
      </c>
    </row>
    <row r="5127" spans="1:28" x14ac:dyDescent="0.25">
      <c r="A5127" t="s">
        <v>5131</v>
      </c>
      <c r="B5127">
        <v>0.99987803227770999</v>
      </c>
      <c r="C5127">
        <v>1.0524675113739601</v>
      </c>
      <c r="D5127">
        <v>0.93114687877917701</v>
      </c>
      <c r="E5127">
        <v>1.32075289870684</v>
      </c>
      <c r="F5127">
        <v>1.0193263465581099</v>
      </c>
      <c r="G5127">
        <v>0.61483810269517303</v>
      </c>
      <c r="H5127">
        <v>0.41292883205312803</v>
      </c>
      <c r="I5127">
        <v>0.48034251563744501</v>
      </c>
      <c r="J5127">
        <v>0.33799680730695902</v>
      </c>
      <c r="K5127">
        <v>0.31164569430440497</v>
      </c>
      <c r="L5127">
        <v>5123.9314137069496</v>
      </c>
      <c r="M5127">
        <v>90.409025157484507</v>
      </c>
      <c r="N5127">
        <v>57.6138473970747</v>
      </c>
      <c r="O5127">
        <v>56.647284204439899</v>
      </c>
      <c r="P5127">
        <v>-0.24522071134423501</v>
      </c>
      <c r="Q5127">
        <v>0.38541149861525098</v>
      </c>
      <c r="R5127">
        <v>0.88866837928033704</v>
      </c>
      <c r="S5127" t="s">
        <v>11438</v>
      </c>
      <c r="T5127" t="s">
        <v>12620</v>
      </c>
      <c r="U5127" t="s">
        <v>12620</v>
      </c>
      <c r="V5127" t="s">
        <v>12620</v>
      </c>
      <c r="W5127" t="s">
        <v>17690</v>
      </c>
      <c r="X5127">
        <v>3</v>
      </c>
      <c r="Y5127" t="s">
        <v>23795</v>
      </c>
      <c r="Z5127" t="s">
        <v>30074</v>
      </c>
      <c r="AA5127">
        <v>0.72748836145706897</v>
      </c>
      <c r="AB5127" t="str">
        <f>HYPERLINK("Melting_Curves/meltCurve_Q9BWJ5_SF3B5.pdf", "Melting_Curves/meltCurve_Q9BWJ5_SF3B5.pdf")</f>
        <v>Melting_Curves/meltCurve_Q9BWJ5_SF3B5.pdf</v>
      </c>
    </row>
    <row r="5128" spans="1:28" x14ac:dyDescent="0.25">
      <c r="A5128" t="s">
        <v>5132</v>
      </c>
      <c r="B5128">
        <v>0.99987803227770999</v>
      </c>
      <c r="C5128">
        <v>0.78594460803356203</v>
      </c>
      <c r="D5128">
        <v>0.90000888456893302</v>
      </c>
      <c r="E5128">
        <v>0.81439098438482205</v>
      </c>
      <c r="F5128">
        <v>1.0229093131712499</v>
      </c>
      <c r="G5128">
        <v>0.62219132560702295</v>
      </c>
      <c r="H5128">
        <v>0.86210232984231605</v>
      </c>
      <c r="I5128">
        <v>0.94254923438222604</v>
      </c>
      <c r="J5128">
        <v>0.96562127850886803</v>
      </c>
      <c r="K5128">
        <v>0.83285214033987998</v>
      </c>
      <c r="L5128">
        <v>10234.8051624994</v>
      </c>
      <c r="M5128">
        <v>250</v>
      </c>
      <c r="O5128">
        <v>40.936600941687303</v>
      </c>
      <c r="P5128">
        <v>-0.21229131986667699</v>
      </c>
      <c r="Q5128">
        <v>0.86095223988917902</v>
      </c>
      <c r="R5128">
        <v>0.13535306250281101</v>
      </c>
      <c r="S5128" t="s">
        <v>11439</v>
      </c>
      <c r="T5128" t="s">
        <v>12620</v>
      </c>
      <c r="U5128" t="s">
        <v>12620</v>
      </c>
      <c r="V5128" t="s">
        <v>12620</v>
      </c>
      <c r="W5128" t="s">
        <v>17691</v>
      </c>
      <c r="X5128">
        <v>3</v>
      </c>
      <c r="Y5128" t="s">
        <v>23796</v>
      </c>
      <c r="Z5128" t="s">
        <v>30075</v>
      </c>
      <c r="AA5128">
        <v>0.86531747418591365</v>
      </c>
      <c r="AB5128" t="str">
        <f>HYPERLINK("Melting_Curves/meltCurve_Q9BWK5_MRI.pdf", "Melting_Curves/meltCurve_Q9BWK5_MRI.pdf")</f>
        <v>Melting_Curves/meltCurve_Q9BWK5_MRI.pdf</v>
      </c>
    </row>
    <row r="5129" spans="1:28" x14ac:dyDescent="0.25">
      <c r="A5129" t="s">
        <v>5133</v>
      </c>
      <c r="B5129">
        <v>0.99987803227770999</v>
      </c>
      <c r="C5129">
        <v>0.88464625387541396</v>
      </c>
      <c r="D5129">
        <v>0.97020564228842798</v>
      </c>
      <c r="E5129">
        <v>0.689825004098225</v>
      </c>
      <c r="F5129">
        <v>0.208138570949227</v>
      </c>
      <c r="G5129">
        <v>0.150478954011148</v>
      </c>
      <c r="H5129">
        <v>8.7378179491304594E-2</v>
      </c>
      <c r="I5129">
        <v>7.1723092167048405E-2</v>
      </c>
      <c r="J5129">
        <v>6.02551048223052E-2</v>
      </c>
      <c r="K5129">
        <v>4.5263386098608901E-2</v>
      </c>
      <c r="L5129">
        <v>2035.6097452868501</v>
      </c>
      <c r="M5129">
        <v>40.070777450599898</v>
      </c>
      <c r="N5129">
        <v>51.016029205018803</v>
      </c>
      <c r="O5129">
        <v>50.674337468872601</v>
      </c>
      <c r="P5129">
        <v>-0.182285121874738</v>
      </c>
      <c r="Q5129">
        <v>7.79159004771591E-2</v>
      </c>
      <c r="R5129">
        <v>0.987736061463099</v>
      </c>
      <c r="S5129" t="s">
        <v>11440</v>
      </c>
      <c r="T5129" t="s">
        <v>12620</v>
      </c>
      <c r="U5129" t="s">
        <v>12620</v>
      </c>
      <c r="V5129" t="s">
        <v>12620</v>
      </c>
      <c r="W5129" t="s">
        <v>17692</v>
      </c>
      <c r="X5129">
        <v>3</v>
      </c>
      <c r="Y5129" t="s">
        <v>23797</v>
      </c>
      <c r="Z5129" t="s">
        <v>30076</v>
      </c>
      <c r="AA5129">
        <v>0.41310349717623829</v>
      </c>
      <c r="AB5129" t="str">
        <f>HYPERLINK("Melting_Curves/meltCurve_Q9BWS9_3_CHID1.pdf", "Melting_Curves/meltCurve_Q9BWS9_3_CHID1.pdf")</f>
        <v>Melting_Curves/meltCurve_Q9BWS9_3_CHID1.pdf</v>
      </c>
    </row>
    <row r="5130" spans="1:28" x14ac:dyDescent="0.25">
      <c r="A5130" t="s">
        <v>5134</v>
      </c>
      <c r="B5130">
        <v>0.99987803227770999</v>
      </c>
      <c r="C5130">
        <v>0.73002198071008095</v>
      </c>
      <c r="D5130">
        <v>0.86104508077699105</v>
      </c>
      <c r="E5130">
        <v>0.66918694798737099</v>
      </c>
      <c r="F5130">
        <v>0.79265005419249301</v>
      </c>
      <c r="G5130">
        <v>0.63621626168188095</v>
      </c>
      <c r="H5130">
        <v>0.66053801196152995</v>
      </c>
      <c r="I5130">
        <v>0.62297727797605396</v>
      </c>
      <c r="J5130">
        <v>0.52872785562247504</v>
      </c>
      <c r="K5130">
        <v>0.45683534304120299</v>
      </c>
      <c r="L5130">
        <v>197.63769971164101</v>
      </c>
      <c r="M5130">
        <v>2.7883714981260801</v>
      </c>
      <c r="O5130">
        <v>50.471253634582901</v>
      </c>
      <c r="P5130">
        <v>-1.43366549347819E-2</v>
      </c>
      <c r="Q5130">
        <v>0</v>
      </c>
      <c r="R5130">
        <v>0.77001296497762595</v>
      </c>
      <c r="S5130" t="s">
        <v>11441</v>
      </c>
      <c r="T5130" t="s">
        <v>12620</v>
      </c>
      <c r="U5130" t="s">
        <v>12620</v>
      </c>
      <c r="V5130" t="s">
        <v>12620</v>
      </c>
      <c r="W5130" t="s">
        <v>17693</v>
      </c>
      <c r="X5130">
        <v>6</v>
      </c>
      <c r="Y5130" t="s">
        <v>23798</v>
      </c>
      <c r="Z5130" t="s">
        <v>30077</v>
      </c>
      <c r="AA5130">
        <v>0.6956521934670491</v>
      </c>
      <c r="AB5130" t="str">
        <f>HYPERLINK("Melting_Curves/meltCurve_Q9BWT3_PAPOLG.pdf", "Melting_Curves/meltCurve_Q9BWT3_PAPOLG.pdf")</f>
        <v>Melting_Curves/meltCurve_Q9BWT3_PAPOLG.pdf</v>
      </c>
    </row>
    <row r="5131" spans="1:28" x14ac:dyDescent="0.25">
      <c r="A5131" t="s">
        <v>5135</v>
      </c>
      <c r="B5131">
        <v>0.99987803227770999</v>
      </c>
      <c r="C5131">
        <v>0.842480907309891</v>
      </c>
      <c r="D5131">
        <v>0.88712822769962596</v>
      </c>
      <c r="E5131">
        <v>0.71789939213709397</v>
      </c>
      <c r="F5131">
        <v>0.73319655987097199</v>
      </c>
      <c r="G5131">
        <v>0.55427644245804897</v>
      </c>
      <c r="H5131">
        <v>0.46214624666700599</v>
      </c>
      <c r="I5131">
        <v>0.48659706296790101</v>
      </c>
      <c r="J5131">
        <v>0.37850869646782898</v>
      </c>
      <c r="K5131">
        <v>0.31576241063521898</v>
      </c>
      <c r="L5131">
        <v>342.166975877543</v>
      </c>
      <c r="M5131">
        <v>5.7719549209643999</v>
      </c>
      <c r="N5131">
        <v>60.601805930305602</v>
      </c>
      <c r="O5131">
        <v>53.323854781694898</v>
      </c>
      <c r="P5131">
        <v>-2.5556046590734099E-2</v>
      </c>
      <c r="Q5131">
        <v>5.9104948421561297E-2</v>
      </c>
      <c r="R5131">
        <v>0.96323598254036602</v>
      </c>
      <c r="S5131" t="s">
        <v>11442</v>
      </c>
      <c r="T5131" t="s">
        <v>12620</v>
      </c>
      <c r="U5131" t="s">
        <v>12620</v>
      </c>
      <c r="V5131" t="s">
        <v>12620</v>
      </c>
      <c r="W5131" t="s">
        <v>17694</v>
      </c>
      <c r="X5131">
        <v>3</v>
      </c>
      <c r="Y5131" t="s">
        <v>23799</v>
      </c>
      <c r="Z5131" t="s">
        <v>30078</v>
      </c>
      <c r="AA5131">
        <v>0.63836466999735264</v>
      </c>
      <c r="AB5131" t="str">
        <f>HYPERLINK("Melting_Curves/meltCurve_Q9BWT6_MND1.pdf", "Melting_Curves/meltCurve_Q9BWT6_MND1.pdf")</f>
        <v>Melting_Curves/meltCurve_Q9BWT6_MND1.pdf</v>
      </c>
    </row>
    <row r="5132" spans="1:28" x14ac:dyDescent="0.25">
      <c r="A5132" t="s">
        <v>5136</v>
      </c>
      <c r="B5132">
        <v>0.99987803227770999</v>
      </c>
      <c r="C5132">
        <v>0.854230543064317</v>
      </c>
      <c r="D5132">
        <v>1.0079316888743599</v>
      </c>
      <c r="E5132">
        <v>0.92554031116177504</v>
      </c>
      <c r="F5132">
        <v>0.88925010647270797</v>
      </c>
      <c r="G5132">
        <v>0.582342460872046</v>
      </c>
      <c r="H5132">
        <v>0.45251683616571098</v>
      </c>
      <c r="I5132">
        <v>0.368269928263325</v>
      </c>
      <c r="J5132">
        <v>0.41484001862473902</v>
      </c>
      <c r="K5132">
        <v>0.33232183444829999</v>
      </c>
      <c r="L5132">
        <v>1320.7646225855599</v>
      </c>
      <c r="M5132">
        <v>23.6600179857715</v>
      </c>
      <c r="N5132">
        <v>58.974510523482699</v>
      </c>
      <c r="O5132">
        <v>55.428450407987299</v>
      </c>
      <c r="P5132">
        <v>-6.8425249837432006E-2</v>
      </c>
      <c r="Q5132">
        <v>0.35880998651150497</v>
      </c>
      <c r="R5132">
        <v>0.96025427415896603</v>
      </c>
      <c r="S5132" t="s">
        <v>11443</v>
      </c>
      <c r="T5132" t="s">
        <v>12620</v>
      </c>
      <c r="U5132" t="s">
        <v>12620</v>
      </c>
      <c r="V5132" t="s">
        <v>12620</v>
      </c>
      <c r="W5132" t="s">
        <v>17695</v>
      </c>
      <c r="X5132">
        <v>21</v>
      </c>
      <c r="Y5132" t="s">
        <v>23800</v>
      </c>
      <c r="Z5132" t="s">
        <v>30079</v>
      </c>
      <c r="AA5132">
        <v>0.70344588011541831</v>
      </c>
      <c r="AB5132" t="str">
        <f>HYPERLINK("Melting_Curves/meltCurve_Q9BWU0_SLC4A1AP.pdf", "Melting_Curves/meltCurve_Q9BWU0_SLC4A1AP.pdf")</f>
        <v>Melting_Curves/meltCurve_Q9BWU0_SLC4A1AP.pdf</v>
      </c>
    </row>
    <row r="5133" spans="1:28" x14ac:dyDescent="0.25">
      <c r="A5133" t="s">
        <v>5137</v>
      </c>
      <c r="B5133">
        <v>0.99987803227770999</v>
      </c>
      <c r="C5133">
        <v>1.06673487842271</v>
      </c>
      <c r="D5133">
        <v>1.0408753541936799</v>
      </c>
      <c r="E5133">
        <v>1.0435437392243501</v>
      </c>
      <c r="F5133">
        <v>0.97016747779887802</v>
      </c>
      <c r="G5133">
        <v>0.64016030617380104</v>
      </c>
      <c r="H5133">
        <v>0.57457236418384705</v>
      </c>
      <c r="I5133">
        <v>0.54345896495040003</v>
      </c>
      <c r="J5133">
        <v>0.42058908141610002</v>
      </c>
      <c r="K5133">
        <v>0.35451841215798202</v>
      </c>
      <c r="L5133">
        <v>1258.9439660335599</v>
      </c>
      <c r="M5133">
        <v>21.948954137636299</v>
      </c>
      <c r="N5133">
        <v>62.168868266071001</v>
      </c>
      <c r="O5133">
        <v>56.8880425147265</v>
      </c>
      <c r="P5133">
        <v>-5.70528821034069E-2</v>
      </c>
      <c r="Q5133">
        <v>0.40852678592724201</v>
      </c>
      <c r="R5133">
        <v>0.95456102164165602</v>
      </c>
      <c r="S5133" t="s">
        <v>11444</v>
      </c>
      <c r="T5133" t="s">
        <v>12620</v>
      </c>
      <c r="U5133" t="s">
        <v>12620</v>
      </c>
      <c r="V5133" t="s">
        <v>12620</v>
      </c>
      <c r="W5133" t="s">
        <v>17696</v>
      </c>
      <c r="X5133">
        <v>2</v>
      </c>
      <c r="Y5133" t="s">
        <v>23801</v>
      </c>
      <c r="Z5133" t="s">
        <v>30080</v>
      </c>
      <c r="AA5133">
        <v>0.75707150128817391</v>
      </c>
      <c r="AB5133" t="str">
        <f>HYPERLINK("Melting_Curves/meltCurve_Q9BWW5_SSDP4.pdf", "Melting_Curves/meltCurve_Q9BWW5_SSDP4.pdf")</f>
        <v>Melting_Curves/meltCurve_Q9BWW5_SSDP4.pdf</v>
      </c>
    </row>
    <row r="5134" spans="1:28" x14ac:dyDescent="0.25">
      <c r="A5134" t="s">
        <v>5138</v>
      </c>
      <c r="B5134">
        <v>0.99987803227770999</v>
      </c>
      <c r="C5134">
        <v>0.97242192105358904</v>
      </c>
      <c r="D5134">
        <v>0.97818240893199304</v>
      </c>
      <c r="E5134">
        <v>0.84055017701506796</v>
      </c>
      <c r="F5134">
        <v>0.73292581204607998</v>
      </c>
      <c r="G5134">
        <v>0.62063547244129802</v>
      </c>
      <c r="H5134">
        <v>0.62440061702919003</v>
      </c>
      <c r="I5134">
        <v>0.70276887263521604</v>
      </c>
      <c r="J5134">
        <v>0.59194411262870705</v>
      </c>
      <c r="K5134">
        <v>0.51703414463125297</v>
      </c>
      <c r="L5134">
        <v>1012.76816897443</v>
      </c>
      <c r="M5134">
        <v>19.792464944663699</v>
      </c>
      <c r="O5134">
        <v>50.6556198074937</v>
      </c>
      <c r="P5134">
        <v>-3.9423806032077298E-2</v>
      </c>
      <c r="Q5134">
        <v>0.59641820839448101</v>
      </c>
      <c r="R5134">
        <v>0.93770467543970404</v>
      </c>
      <c r="S5134" t="s">
        <v>11445</v>
      </c>
      <c r="T5134" t="s">
        <v>12620</v>
      </c>
      <c r="U5134" t="s">
        <v>12620</v>
      </c>
      <c r="V5134" t="s">
        <v>12620</v>
      </c>
      <c r="W5134" t="s">
        <v>17697</v>
      </c>
      <c r="X5134">
        <v>5</v>
      </c>
      <c r="Y5134" t="s">
        <v>22215</v>
      </c>
      <c r="Z5134" t="s">
        <v>30081</v>
      </c>
      <c r="AA5134">
        <v>0.75238622865648719</v>
      </c>
      <c r="AB5134" t="str">
        <f>HYPERLINK("Melting_Curves/meltCurve_Q9BX40_LSM14B.pdf", "Melting_Curves/meltCurve_Q9BX40_LSM14B.pdf")</f>
        <v>Melting_Curves/meltCurve_Q9BX40_LSM14B.pdf</v>
      </c>
    </row>
    <row r="5135" spans="1:28" x14ac:dyDescent="0.25">
      <c r="A5135" t="s">
        <v>5139</v>
      </c>
      <c r="B5135">
        <v>0.99987803227770999</v>
      </c>
      <c r="C5135">
        <v>0.74587526192661502</v>
      </c>
      <c r="D5135">
        <v>1.0204330053459501</v>
      </c>
      <c r="E5135">
        <v>0.69330391232520705</v>
      </c>
      <c r="F5135">
        <v>0.87665965407576696</v>
      </c>
      <c r="G5135">
        <v>0.29656718662878301</v>
      </c>
      <c r="H5135">
        <v>9.6512643778507101E-2</v>
      </c>
      <c r="I5135">
        <v>8.8375573528868906E-2</v>
      </c>
      <c r="J5135">
        <v>4.7841827719867898E-2</v>
      </c>
      <c r="K5135">
        <v>3.5085556884190003E-2</v>
      </c>
      <c r="L5135">
        <v>1119.6332775183</v>
      </c>
      <c r="M5135">
        <v>20.260084229047401</v>
      </c>
      <c r="N5135">
        <v>55.308781822265203</v>
      </c>
      <c r="O5135">
        <v>54.733069320998602</v>
      </c>
      <c r="P5135">
        <v>-9.1774269596091307E-2</v>
      </c>
      <c r="Q5135">
        <v>8.3097999352988797E-3</v>
      </c>
      <c r="R5135">
        <v>0.909835564074019</v>
      </c>
      <c r="S5135" t="s">
        <v>11446</v>
      </c>
      <c r="T5135" t="s">
        <v>12620</v>
      </c>
      <c r="U5135" t="s">
        <v>12620</v>
      </c>
      <c r="V5135" t="s">
        <v>12620</v>
      </c>
      <c r="W5135" t="s">
        <v>17698</v>
      </c>
      <c r="X5135">
        <v>3</v>
      </c>
      <c r="Y5135" t="s">
        <v>23802</v>
      </c>
      <c r="Z5135" t="s">
        <v>30082</v>
      </c>
      <c r="AA5135">
        <v>0.52571003370309755</v>
      </c>
      <c r="AB5135" t="str">
        <f>HYPERLINK("Melting_Curves/meltCurve_Q9BX63_BRIP1.pdf", "Melting_Curves/meltCurve_Q9BX63_BRIP1.pdf")</f>
        <v>Melting_Curves/meltCurve_Q9BX63_BRIP1.pdf</v>
      </c>
    </row>
    <row r="5136" spans="1:28" x14ac:dyDescent="0.25">
      <c r="A5136" t="s">
        <v>5140</v>
      </c>
      <c r="B5136">
        <v>0.99987803227770999</v>
      </c>
      <c r="C5136">
        <v>0.50547880553698299</v>
      </c>
      <c r="D5136">
        <v>1.03202464726648</v>
      </c>
      <c r="E5136">
        <v>0.67880684568876903</v>
      </c>
      <c r="F5136">
        <v>1.23289880835935</v>
      </c>
      <c r="G5136">
        <v>0.72596728161533797</v>
      </c>
      <c r="H5136">
        <v>0.77941774812076703</v>
      </c>
      <c r="I5136">
        <v>0.71252575284774</v>
      </c>
      <c r="J5136">
        <v>0.78357336061756899</v>
      </c>
      <c r="K5136">
        <v>0.64034692578704</v>
      </c>
      <c r="L5136">
        <v>116.84334518202201</v>
      </c>
      <c r="M5136">
        <v>0.68438111813198199</v>
      </c>
      <c r="O5136">
        <v>44.077280594419598</v>
      </c>
      <c r="P5136">
        <v>-6.4769121884357302E-3</v>
      </c>
      <c r="Q5136">
        <v>0</v>
      </c>
      <c r="R5136">
        <v>6.5817945187486196E-2</v>
      </c>
      <c r="S5136" t="s">
        <v>11447</v>
      </c>
      <c r="T5136" t="s">
        <v>12620</v>
      </c>
      <c r="U5136" t="s">
        <v>12620</v>
      </c>
      <c r="V5136" t="s">
        <v>12620</v>
      </c>
      <c r="W5136" t="s">
        <v>17699</v>
      </c>
      <c r="X5136">
        <v>2</v>
      </c>
      <c r="Y5136" t="s">
        <v>23803</v>
      </c>
      <c r="Z5136" t="s">
        <v>30083</v>
      </c>
      <c r="AA5136">
        <v>0.81105135012103302</v>
      </c>
      <c r="AB5136" t="str">
        <f>HYPERLINK("Melting_Curves/meltCurve_Q9BX66_4_SORBS1.pdf", "Melting_Curves/meltCurve_Q9BX66_4_SORBS1.pdf")</f>
        <v>Melting_Curves/meltCurve_Q9BX66_4_SORBS1.pdf</v>
      </c>
    </row>
    <row r="5137" spans="1:28" x14ac:dyDescent="0.25">
      <c r="A5137" t="s">
        <v>5141</v>
      </c>
      <c r="B5137">
        <v>0.99987803227770999</v>
      </c>
      <c r="C5137">
        <v>0.81888712681004505</v>
      </c>
      <c r="D5137">
        <v>0.96514018073234797</v>
      </c>
      <c r="E5137">
        <v>0.84646158065703903</v>
      </c>
      <c r="F5137">
        <v>1.09643257221485</v>
      </c>
      <c r="G5137">
        <v>0.69379540004698204</v>
      </c>
      <c r="H5137">
        <v>0.68218858937177496</v>
      </c>
      <c r="I5137">
        <v>0.51550633482452402</v>
      </c>
      <c r="J5137">
        <v>0.51088676954951895</v>
      </c>
      <c r="K5137">
        <v>0.33920548130556</v>
      </c>
      <c r="L5137">
        <v>576.67218606261395</v>
      </c>
      <c r="M5137">
        <v>8.7891800574058294</v>
      </c>
      <c r="N5137">
        <v>65.611600094134999</v>
      </c>
      <c r="O5137">
        <v>62.481059867671803</v>
      </c>
      <c r="P5137">
        <v>-3.5195310982206802E-2</v>
      </c>
      <c r="Q5137">
        <v>0</v>
      </c>
      <c r="R5137">
        <v>0.81905426372162904</v>
      </c>
      <c r="S5137" t="s">
        <v>11448</v>
      </c>
      <c r="T5137" t="s">
        <v>12620</v>
      </c>
      <c r="U5137" t="s">
        <v>12620</v>
      </c>
      <c r="V5137" t="s">
        <v>12620</v>
      </c>
      <c r="W5137" t="s">
        <v>17700</v>
      </c>
      <c r="X5137">
        <v>6</v>
      </c>
      <c r="Y5137" t="s">
        <v>23804</v>
      </c>
      <c r="Z5137" t="s">
        <v>30084</v>
      </c>
      <c r="AA5137">
        <v>0.779041022057406</v>
      </c>
      <c r="AB5137" t="str">
        <f>HYPERLINK("Melting_Curves/meltCurve_Q9BX68_HINT2.pdf", "Melting_Curves/meltCurve_Q9BX68_HINT2.pdf")</f>
        <v>Melting_Curves/meltCurve_Q9BX68_HINT2.pdf</v>
      </c>
    </row>
    <row r="5138" spans="1:28" x14ac:dyDescent="0.25">
      <c r="A5138" t="s">
        <v>5142</v>
      </c>
      <c r="B5138">
        <v>0.99987803227770999</v>
      </c>
      <c r="C5138">
        <v>0.81717153899594097</v>
      </c>
      <c r="D5138">
        <v>0.91076449264134596</v>
      </c>
      <c r="E5138">
        <v>0.71359398358751502</v>
      </c>
      <c r="F5138">
        <v>1.2145145684199501</v>
      </c>
      <c r="G5138">
        <v>1.0984111443756299</v>
      </c>
      <c r="H5138">
        <v>1.0050285510141801</v>
      </c>
      <c r="I5138">
        <v>1.3735776700831199</v>
      </c>
      <c r="J5138">
        <v>1.2294193749670701</v>
      </c>
      <c r="K5138">
        <v>1.00490300977703</v>
      </c>
      <c r="L5138">
        <v>12905.495485929599</v>
      </c>
      <c r="M5138">
        <v>250</v>
      </c>
      <c r="O5138">
        <v>51.6186903087698</v>
      </c>
      <c r="P5138">
        <v>0.18684878883681899</v>
      </c>
      <c r="Q5138">
        <v>1.1543182008289099</v>
      </c>
      <c r="R5138">
        <v>0.361370723841413</v>
      </c>
      <c r="S5138" t="s">
        <v>11449</v>
      </c>
      <c r="T5138" t="s">
        <v>12620</v>
      </c>
      <c r="U5138" t="s">
        <v>12620</v>
      </c>
      <c r="V5138" t="s">
        <v>12620</v>
      </c>
      <c r="W5138" t="s">
        <v>17701</v>
      </c>
      <c r="X5138">
        <v>2</v>
      </c>
      <c r="Y5138" t="s">
        <v>23805</v>
      </c>
      <c r="Z5138" t="s">
        <v>30085</v>
      </c>
      <c r="AA5138">
        <v>1.094521442131237</v>
      </c>
      <c r="AB5138" t="str">
        <f>HYPERLINK("Melting_Curves/meltCurve_Q9BX95_SGPP1.pdf", "Melting_Curves/meltCurve_Q9BX95_SGPP1.pdf")</f>
        <v>Melting_Curves/meltCurve_Q9BX95_SGPP1.pdf</v>
      </c>
    </row>
    <row r="5139" spans="1:28" x14ac:dyDescent="0.25">
      <c r="A5139" t="s">
        <v>5143</v>
      </c>
      <c r="B5139">
        <v>0.99987803227770999</v>
      </c>
      <c r="C5139">
        <v>1.0411440596725301</v>
      </c>
      <c r="D5139">
        <v>0.92538598031589203</v>
      </c>
      <c r="E5139">
        <v>0.989844468401334</v>
      </c>
      <c r="F5139">
        <v>0.63007756605586795</v>
      </c>
      <c r="G5139">
        <v>0.35339945022157698</v>
      </c>
      <c r="H5139">
        <v>0.194332372502205</v>
      </c>
      <c r="I5139">
        <v>0.13341832727431699</v>
      </c>
      <c r="J5139">
        <v>0.117840463111993</v>
      </c>
      <c r="K5139">
        <v>8.8758068086127198E-2</v>
      </c>
      <c r="L5139">
        <v>1285.7075673041199</v>
      </c>
      <c r="M5139">
        <v>23.639116332996199</v>
      </c>
      <c r="N5139">
        <v>54.955949699037397</v>
      </c>
      <c r="O5139">
        <v>54.004246211357099</v>
      </c>
      <c r="P5139">
        <v>-9.7591973646002403E-2</v>
      </c>
      <c r="Q5139">
        <v>0.108208208181235</v>
      </c>
      <c r="R5139">
        <v>0.98781255958243597</v>
      </c>
      <c r="S5139" t="s">
        <v>11450</v>
      </c>
      <c r="T5139" t="s">
        <v>12620</v>
      </c>
      <c r="U5139" t="s">
        <v>12620</v>
      </c>
      <c r="V5139" t="s">
        <v>12620</v>
      </c>
      <c r="W5139" t="s">
        <v>17702</v>
      </c>
      <c r="X5139">
        <v>7</v>
      </c>
      <c r="Y5139" t="s">
        <v>23806</v>
      </c>
      <c r="Z5139" t="s">
        <v>30086</v>
      </c>
      <c r="AA5139">
        <v>0.54505962807669239</v>
      </c>
      <c r="AB5139" t="str">
        <f>HYPERLINK("Melting_Curves/meltCurve_Q9BXB4_OSBPL11.pdf", "Melting_Curves/meltCurve_Q9BXB4_OSBPL11.pdf")</f>
        <v>Melting_Curves/meltCurve_Q9BXB4_OSBPL11.pdf</v>
      </c>
    </row>
    <row r="5140" spans="1:28" x14ac:dyDescent="0.25">
      <c r="A5140" t="s">
        <v>5144</v>
      </c>
      <c r="B5140">
        <v>0.99987803227770999</v>
      </c>
      <c r="C5140">
        <v>0.94269811702897699</v>
      </c>
      <c r="D5140">
        <v>0.94330969795559105</v>
      </c>
      <c r="E5140">
        <v>0.79174331343849103</v>
      </c>
      <c r="F5140">
        <v>0.46356522893507202</v>
      </c>
      <c r="G5140">
        <v>0.22918202972929999</v>
      </c>
      <c r="H5140">
        <v>0.18893578330701599</v>
      </c>
      <c r="I5140">
        <v>0.16623220251048201</v>
      </c>
      <c r="J5140">
        <v>0.175440757437094</v>
      </c>
      <c r="K5140">
        <v>0.15392646968906801</v>
      </c>
      <c r="L5140">
        <v>1372.4645730938701</v>
      </c>
      <c r="M5140">
        <v>26.440515827771101</v>
      </c>
      <c r="N5140">
        <v>52.695114793162404</v>
      </c>
      <c r="O5140">
        <v>51.613437345404101</v>
      </c>
      <c r="P5140">
        <v>-0.10716950667964199</v>
      </c>
      <c r="Q5140">
        <v>0.16320436467812299</v>
      </c>
      <c r="R5140">
        <v>0.99641936564754896</v>
      </c>
      <c r="S5140" t="s">
        <v>11451</v>
      </c>
      <c r="T5140" t="s">
        <v>12620</v>
      </c>
      <c r="U5140" t="s">
        <v>12620</v>
      </c>
      <c r="V5140" t="s">
        <v>12620</v>
      </c>
      <c r="W5140" t="s">
        <v>17703</v>
      </c>
      <c r="X5140">
        <v>5</v>
      </c>
      <c r="Y5140" t="s">
        <v>23807</v>
      </c>
      <c r="Z5140" t="s">
        <v>30087</v>
      </c>
      <c r="AA5140">
        <v>0.50219239722364961</v>
      </c>
      <c r="AB5140" t="str">
        <f>HYPERLINK("Melting_Curves/meltCurve_Q9BXB5_2_OSBPL10.pdf", "Melting_Curves/meltCurve_Q9BXB5_2_OSBPL10.pdf")</f>
        <v>Melting_Curves/meltCurve_Q9BXB5_2_OSBPL10.pdf</v>
      </c>
    </row>
    <row r="5141" spans="1:28" x14ac:dyDescent="0.25">
      <c r="A5141" t="s">
        <v>5145</v>
      </c>
      <c r="B5141">
        <v>0.99987803227770999</v>
      </c>
      <c r="C5141">
        <v>0.80019904606824199</v>
      </c>
      <c r="D5141">
        <v>0.91674730948711702</v>
      </c>
      <c r="E5141">
        <v>0.56565080595362704</v>
      </c>
      <c r="F5141">
        <v>0.65043446343565503</v>
      </c>
      <c r="G5141">
        <v>0.55759218305493197</v>
      </c>
      <c r="H5141">
        <v>0.52029593214205205</v>
      </c>
      <c r="I5141">
        <v>0.51761074725857703</v>
      </c>
      <c r="J5141">
        <v>0.47000547144435101</v>
      </c>
      <c r="K5141">
        <v>0.39485803065722602</v>
      </c>
      <c r="L5141">
        <v>478.23226546761401</v>
      </c>
      <c r="M5141">
        <v>9.7349167933175593</v>
      </c>
      <c r="N5141">
        <v>60.923281064440999</v>
      </c>
      <c r="O5141">
        <v>47.186975851680401</v>
      </c>
      <c r="P5141">
        <v>-2.9718888882832799E-2</v>
      </c>
      <c r="Q5141">
        <v>0.424098452399292</v>
      </c>
      <c r="R5141">
        <v>0.87473888991188198</v>
      </c>
      <c r="S5141" t="s">
        <v>11452</v>
      </c>
      <c r="T5141" t="s">
        <v>12620</v>
      </c>
      <c r="U5141" t="s">
        <v>12620</v>
      </c>
      <c r="V5141" t="s">
        <v>12620</v>
      </c>
      <c r="W5141" t="s">
        <v>17704</v>
      </c>
      <c r="X5141">
        <v>5</v>
      </c>
      <c r="Y5141" t="s">
        <v>23808</v>
      </c>
      <c r="Z5141" t="s">
        <v>30088</v>
      </c>
      <c r="AA5141">
        <v>0.62829176429792954</v>
      </c>
      <c r="AB5141" t="str">
        <f>HYPERLINK("Melting_Curves/meltCurve_Q9BXF6_RAB11FIP5.pdf", "Melting_Curves/meltCurve_Q9BXF6_RAB11FIP5.pdf")</f>
        <v>Melting_Curves/meltCurve_Q9BXF6_RAB11FIP5.pdf</v>
      </c>
    </row>
    <row r="5142" spans="1:28" x14ac:dyDescent="0.25">
      <c r="A5142" t="s">
        <v>5146</v>
      </c>
      <c r="B5142">
        <v>0.99987803227770999</v>
      </c>
      <c r="C5142">
        <v>0.87697976089631702</v>
      </c>
      <c r="D5142">
        <v>0.86447427090537399</v>
      </c>
      <c r="E5142">
        <v>0.68868071813689202</v>
      </c>
      <c r="F5142">
        <v>0.58917165460124399</v>
      </c>
      <c r="G5142">
        <v>0.44469980383011498</v>
      </c>
      <c r="H5142">
        <v>0.43588195093556398</v>
      </c>
      <c r="I5142">
        <v>0.41213740231199503</v>
      </c>
      <c r="J5142">
        <v>0.51448796339715597</v>
      </c>
      <c r="K5142">
        <v>0.41805161996408902</v>
      </c>
      <c r="L5142">
        <v>711.06469027692901</v>
      </c>
      <c r="M5142">
        <v>14.4652257654525</v>
      </c>
      <c r="N5142">
        <v>56.3963318323257</v>
      </c>
      <c r="O5142">
        <v>48.2460066562317</v>
      </c>
      <c r="P5142">
        <v>-4.3335346996136399E-2</v>
      </c>
      <c r="Q5142">
        <v>0.42192012347818802</v>
      </c>
      <c r="R5142">
        <v>0.96558555968454296</v>
      </c>
      <c r="S5142" t="s">
        <v>11453</v>
      </c>
      <c r="T5142" t="s">
        <v>12620</v>
      </c>
      <c r="U5142" t="s">
        <v>12620</v>
      </c>
      <c r="V5142" t="s">
        <v>12620</v>
      </c>
      <c r="W5142" t="s">
        <v>17705</v>
      </c>
      <c r="X5142">
        <v>7</v>
      </c>
      <c r="Y5142" t="s">
        <v>23809</v>
      </c>
      <c r="Z5142" t="s">
        <v>30089</v>
      </c>
      <c r="AA5142">
        <v>0.6135368784799955</v>
      </c>
      <c r="AB5142" t="str">
        <f>HYPERLINK("Melting_Curves/meltCurve_Q9BXI6_TBC1D10A.pdf", "Melting_Curves/meltCurve_Q9BXI6_TBC1D10A.pdf")</f>
        <v>Melting_Curves/meltCurve_Q9BXI6_TBC1D10A.pdf</v>
      </c>
    </row>
    <row r="5143" spans="1:28" x14ac:dyDescent="0.25">
      <c r="A5143" t="s">
        <v>5147</v>
      </c>
      <c r="B5143">
        <v>0.99987803227770999</v>
      </c>
      <c r="C5143">
        <v>1.1239460749163399</v>
      </c>
      <c r="D5143">
        <v>0.92556881430614302</v>
      </c>
      <c r="E5143">
        <v>1.1245915697004001</v>
      </c>
      <c r="F5143">
        <v>0.45215333399475299</v>
      </c>
      <c r="G5143">
        <v>0.18959370201771999</v>
      </c>
      <c r="H5143">
        <v>0.123769886527637</v>
      </c>
      <c r="I5143">
        <v>0.10597226504697201</v>
      </c>
      <c r="J5143">
        <v>8.1373097891881699E-2</v>
      </c>
      <c r="K5143">
        <v>6.0692642372593697E-2</v>
      </c>
      <c r="L5143">
        <v>13224.696637766099</v>
      </c>
      <c r="M5143">
        <v>250</v>
      </c>
      <c r="N5143">
        <v>52.952656819720701</v>
      </c>
      <c r="O5143">
        <v>52.895377252419898</v>
      </c>
      <c r="P5143">
        <v>-1.0489093588209399</v>
      </c>
      <c r="Q5143">
        <v>0.112280293421511</v>
      </c>
      <c r="R5143">
        <v>0.97655943903794895</v>
      </c>
      <c r="S5143" t="s">
        <v>11454</v>
      </c>
      <c r="T5143" t="s">
        <v>12620</v>
      </c>
      <c r="U5143" t="s">
        <v>12620</v>
      </c>
      <c r="V5143" t="s">
        <v>12620</v>
      </c>
      <c r="W5143" t="s">
        <v>17706</v>
      </c>
      <c r="X5143">
        <v>45</v>
      </c>
      <c r="Y5143" t="s">
        <v>23810</v>
      </c>
      <c r="Z5143" t="s">
        <v>30090</v>
      </c>
      <c r="AA5143">
        <v>0.49404627333152062</v>
      </c>
      <c r="AB5143" t="str">
        <f>HYPERLINK("Melting_Curves/meltCurve_Q9BXJ9_NAA15.pdf", "Melting_Curves/meltCurve_Q9BXJ9_NAA15.pdf")</f>
        <v>Melting_Curves/meltCurve_Q9BXJ9_NAA15.pdf</v>
      </c>
    </row>
    <row r="5144" spans="1:28" x14ac:dyDescent="0.25">
      <c r="A5144" t="s">
        <v>5148</v>
      </c>
      <c r="B5144">
        <v>0.99987803227770999</v>
      </c>
      <c r="C5144">
        <v>0.99838572885221899</v>
      </c>
      <c r="D5144">
        <v>1.0909498944818801</v>
      </c>
      <c r="E5144">
        <v>0.890543924233694</v>
      </c>
      <c r="F5144">
        <v>0.96571400030576204</v>
      </c>
      <c r="G5144">
        <v>0.78717413366785904</v>
      </c>
      <c r="H5144">
        <v>0.74151223861377502</v>
      </c>
      <c r="I5144">
        <v>0.730484766275041</v>
      </c>
      <c r="J5144">
        <v>0.57104808961423703</v>
      </c>
      <c r="K5144">
        <v>0.54084023171747297</v>
      </c>
      <c r="L5144">
        <v>600.68953701898999</v>
      </c>
      <c r="M5144">
        <v>9.35871311524952</v>
      </c>
      <c r="O5144">
        <v>61.458974770606297</v>
      </c>
      <c r="P5144">
        <v>-2.54515381926812E-2</v>
      </c>
      <c r="Q5144">
        <v>0.331854043385582</v>
      </c>
      <c r="R5144">
        <v>0.91924280791616197</v>
      </c>
      <c r="S5144" t="s">
        <v>11455</v>
      </c>
      <c r="T5144" t="s">
        <v>12620</v>
      </c>
      <c r="U5144" t="s">
        <v>12620</v>
      </c>
      <c r="V5144" t="s">
        <v>12620</v>
      </c>
      <c r="W5144" t="s">
        <v>17707</v>
      </c>
      <c r="X5144">
        <v>2</v>
      </c>
      <c r="Y5144" t="s">
        <v>23811</v>
      </c>
      <c r="Z5144" t="s">
        <v>30091</v>
      </c>
      <c r="AA5144">
        <v>0.83713464767268919</v>
      </c>
      <c r="AB5144" t="str">
        <f>HYPERLINK("Melting_Curves/meltCurve_Q9BXK1_KLF16.pdf", "Melting_Curves/meltCurve_Q9BXK1_KLF16.pdf")</f>
        <v>Melting_Curves/meltCurve_Q9BXK1_KLF16.pdf</v>
      </c>
    </row>
    <row r="5145" spans="1:28" x14ac:dyDescent="0.25">
      <c r="A5145" t="s">
        <v>5149</v>
      </c>
      <c r="B5145">
        <v>0.99987803227770999</v>
      </c>
      <c r="C5145">
        <v>1.0875356383219701</v>
      </c>
      <c r="D5145">
        <v>1.0156400869347599</v>
      </c>
      <c r="E5145">
        <v>0.86113931760652396</v>
      </c>
      <c r="F5145">
        <v>0.78574288768511003</v>
      </c>
      <c r="G5145">
        <v>0.59944345433054103</v>
      </c>
      <c r="H5145">
        <v>0.52693489505160795</v>
      </c>
      <c r="I5145">
        <v>0.55281272335112597</v>
      </c>
      <c r="J5145">
        <v>0.29413025509394097</v>
      </c>
      <c r="K5145">
        <v>0.216398241364679</v>
      </c>
      <c r="L5145">
        <v>542.41431513730004</v>
      </c>
      <c r="M5145">
        <v>8.7982768227043309</v>
      </c>
      <c r="N5145">
        <v>61.650055841037897</v>
      </c>
      <c r="O5145">
        <v>58.714148292357002</v>
      </c>
      <c r="P5145">
        <v>-3.7491978559117498E-2</v>
      </c>
      <c r="Q5145">
        <v>0</v>
      </c>
      <c r="R5145">
        <v>0.94823155453186403</v>
      </c>
      <c r="S5145" t="s">
        <v>11456</v>
      </c>
      <c r="T5145" t="s">
        <v>12620</v>
      </c>
      <c r="U5145" t="s">
        <v>12620</v>
      </c>
      <c r="V5145" t="s">
        <v>12620</v>
      </c>
      <c r="W5145" t="s">
        <v>17708</v>
      </c>
      <c r="X5145">
        <v>1</v>
      </c>
      <c r="Y5145" t="s">
        <v>23812</v>
      </c>
      <c r="Z5145" t="s">
        <v>30092</v>
      </c>
      <c r="AA5145">
        <v>0.69568026166695018</v>
      </c>
      <c r="AB5145" t="str">
        <f>HYPERLINK("Melting_Curves/meltCurve_Q9BXL8_CDCA4.pdf", "Melting_Curves/meltCurve_Q9BXL8_CDCA4.pdf")</f>
        <v>Melting_Curves/meltCurve_Q9BXL8_CDCA4.pdf</v>
      </c>
    </row>
    <row r="5146" spans="1:28" x14ac:dyDescent="0.25">
      <c r="A5146" t="s">
        <v>5150</v>
      </c>
      <c r="B5146">
        <v>0.99987803227770999</v>
      </c>
      <c r="C5146">
        <v>0.92279782234851704</v>
      </c>
      <c r="D5146">
        <v>0.61162097152138795</v>
      </c>
      <c r="E5146">
        <v>0.34648994795698301</v>
      </c>
      <c r="F5146">
        <v>0.18533776842743499</v>
      </c>
      <c r="G5146">
        <v>0.11140037904182699</v>
      </c>
      <c r="H5146">
        <v>8.7424308385742805E-2</v>
      </c>
      <c r="I5146">
        <v>7.8408972957507594E-2</v>
      </c>
      <c r="J5146">
        <v>6.7349251908353294E-2</v>
      </c>
      <c r="K5146">
        <v>5.0810979303713803E-2</v>
      </c>
      <c r="L5146">
        <v>876.17290222789495</v>
      </c>
      <c r="M5146">
        <v>18.498477335176499</v>
      </c>
      <c r="N5146">
        <v>47.7378709365275</v>
      </c>
      <c r="O5146">
        <v>46.8214827144011</v>
      </c>
      <c r="P5146">
        <v>-9.2124618671390296E-2</v>
      </c>
      <c r="Q5146">
        <v>6.73349984604696E-2</v>
      </c>
      <c r="R5146">
        <v>0.99520565198913802</v>
      </c>
      <c r="S5146" t="s">
        <v>11457</v>
      </c>
      <c r="T5146" t="s">
        <v>12620</v>
      </c>
      <c r="U5146" t="s">
        <v>12620</v>
      </c>
      <c r="V5146" t="s">
        <v>12620</v>
      </c>
      <c r="W5146" t="s">
        <v>17709</v>
      </c>
      <c r="X5146">
        <v>25</v>
      </c>
      <c r="Y5146" t="s">
        <v>23813</v>
      </c>
      <c r="Z5146" t="s">
        <v>30093</v>
      </c>
      <c r="AA5146">
        <v>0.31225192093172949</v>
      </c>
      <c r="AB5146" t="str">
        <f>HYPERLINK("Melting_Curves/meltCurve_Q9BXP5_4_SRRT.pdf", "Melting_Curves/meltCurve_Q9BXP5_4_SRRT.pdf")</f>
        <v>Melting_Curves/meltCurve_Q9BXP5_4_SRRT.pdf</v>
      </c>
    </row>
    <row r="5147" spans="1:28" x14ac:dyDescent="0.25">
      <c r="A5147" t="s">
        <v>5151</v>
      </c>
      <c r="B5147">
        <v>0.99987803227770999</v>
      </c>
      <c r="C5147">
        <v>0.84331101553854404</v>
      </c>
      <c r="D5147">
        <v>0.90839873665442705</v>
      </c>
      <c r="E5147">
        <v>0.90366475542342894</v>
      </c>
      <c r="F5147">
        <v>0.77757117820010102</v>
      </c>
      <c r="G5147">
        <v>0.33814778479661201</v>
      </c>
      <c r="H5147">
        <v>0.112251256721694</v>
      </c>
      <c r="I5147">
        <v>9.2477457805850802E-2</v>
      </c>
      <c r="J5147">
        <v>7.4229781552994201E-2</v>
      </c>
      <c r="K5147">
        <v>4.1508927537485002E-2</v>
      </c>
      <c r="L5147">
        <v>1359.60041174194</v>
      </c>
      <c r="M5147">
        <v>24.625284024858502</v>
      </c>
      <c r="N5147">
        <v>55.432233036340499</v>
      </c>
      <c r="O5147">
        <v>54.851326861482399</v>
      </c>
      <c r="P5147">
        <v>-0.10699793812364</v>
      </c>
      <c r="Q5147">
        <v>4.6687936324149699E-2</v>
      </c>
      <c r="R5147">
        <v>0.97738421649580598</v>
      </c>
      <c r="S5147" t="s">
        <v>11458</v>
      </c>
      <c r="T5147" t="s">
        <v>12620</v>
      </c>
      <c r="U5147" t="s">
        <v>12620</v>
      </c>
      <c r="V5147" t="s">
        <v>12620</v>
      </c>
      <c r="W5147" t="s">
        <v>17710</v>
      </c>
      <c r="X5147">
        <v>13</v>
      </c>
      <c r="Y5147" t="s">
        <v>23814</v>
      </c>
      <c r="Z5147" t="s">
        <v>30094</v>
      </c>
      <c r="AA5147">
        <v>0.53911122656043786</v>
      </c>
      <c r="AB5147" t="str">
        <f>HYPERLINK("Melting_Curves/meltCurve_Q9BXR0_QTRT1.pdf", "Melting_Curves/meltCurve_Q9BXR0_QTRT1.pdf")</f>
        <v>Melting_Curves/meltCurve_Q9BXR0_QTRT1.pdf</v>
      </c>
    </row>
    <row r="5148" spans="1:28" x14ac:dyDescent="0.25">
      <c r="A5148" t="s">
        <v>5152</v>
      </c>
      <c r="B5148">
        <v>0.99987803227770999</v>
      </c>
      <c r="C5148">
        <v>1.1316928268450599</v>
      </c>
      <c r="D5148">
        <v>0.95545738558811</v>
      </c>
      <c r="E5148">
        <v>1.17302673167</v>
      </c>
      <c r="F5148">
        <v>0.76620219024935898</v>
      </c>
      <c r="G5148">
        <v>0.57474644203750602</v>
      </c>
      <c r="H5148">
        <v>0.34608189443611298</v>
      </c>
      <c r="I5148">
        <v>0.15949902714438899</v>
      </c>
      <c r="J5148">
        <v>9.3637362882402694E-2</v>
      </c>
      <c r="K5148">
        <v>6.3160753385021196E-2</v>
      </c>
      <c r="L5148">
        <v>1123.4944625230401</v>
      </c>
      <c r="M5148">
        <v>19.395945077580599</v>
      </c>
      <c r="N5148">
        <v>58.152515936225598</v>
      </c>
      <c r="O5148">
        <v>57.319005978992003</v>
      </c>
      <c r="P5148">
        <v>-8.1497956451337394E-2</v>
      </c>
      <c r="Q5148">
        <v>3.6662520735937502E-2</v>
      </c>
      <c r="R5148">
        <v>0.95485641873641602</v>
      </c>
      <c r="S5148" t="s">
        <v>11459</v>
      </c>
      <c r="T5148" t="s">
        <v>12620</v>
      </c>
      <c r="U5148" t="s">
        <v>12620</v>
      </c>
      <c r="V5148" t="s">
        <v>12620</v>
      </c>
      <c r="W5148" t="s">
        <v>17711</v>
      </c>
      <c r="X5148">
        <v>16</v>
      </c>
      <c r="Y5148" t="s">
        <v>23815</v>
      </c>
      <c r="Z5148" t="s">
        <v>30095</v>
      </c>
      <c r="AA5148">
        <v>0.62354492204471124</v>
      </c>
      <c r="AB5148" t="str">
        <f>HYPERLINK("Melting_Curves/meltCurve_Q9BXS5_AP1M1.pdf", "Melting_Curves/meltCurve_Q9BXS5_AP1M1.pdf")</f>
        <v>Melting_Curves/meltCurve_Q9BXS5_AP1M1.pdf</v>
      </c>
    </row>
    <row r="5149" spans="1:28" x14ac:dyDescent="0.25">
      <c r="A5149" t="s">
        <v>5153</v>
      </c>
      <c r="B5149">
        <v>0.99987803227770999</v>
      </c>
      <c r="C5149">
        <v>0.89404718192563004</v>
      </c>
      <c r="D5149">
        <v>0.97310430286480498</v>
      </c>
      <c r="E5149">
        <v>0.91108868250590702</v>
      </c>
      <c r="F5149">
        <v>1.02506955354478</v>
      </c>
      <c r="G5149">
        <v>0.77817546123088399</v>
      </c>
      <c r="H5149">
        <v>0.73208151262534904</v>
      </c>
      <c r="I5149">
        <v>0.63021622210651496</v>
      </c>
      <c r="J5149">
        <v>0.690945193304913</v>
      </c>
      <c r="K5149">
        <v>0.51653088265973301</v>
      </c>
      <c r="L5149">
        <v>521.52624463272105</v>
      </c>
      <c r="M5149">
        <v>7.9709503631027303</v>
      </c>
      <c r="O5149">
        <v>61.695156521707602</v>
      </c>
      <c r="P5149">
        <v>-2.31736760274334E-2</v>
      </c>
      <c r="Q5149">
        <v>0.28336462754244301</v>
      </c>
      <c r="R5149">
        <v>0.85865127609747205</v>
      </c>
      <c r="S5149" t="s">
        <v>11460</v>
      </c>
      <c r="T5149" t="s">
        <v>12620</v>
      </c>
      <c r="U5149" t="s">
        <v>12620</v>
      </c>
      <c r="V5149" t="s">
        <v>12620</v>
      </c>
      <c r="W5149" t="s">
        <v>17712</v>
      </c>
      <c r="X5149">
        <v>12</v>
      </c>
      <c r="Y5149" t="s">
        <v>23816</v>
      </c>
      <c r="Z5149" t="s">
        <v>30096</v>
      </c>
      <c r="AA5149">
        <v>0.83196864735714271</v>
      </c>
      <c r="AB5149" t="str">
        <f>HYPERLINK("Melting_Curves/meltCurve_Q9BXS6_2_NUSAP1.pdf", "Melting_Curves/meltCurve_Q9BXS6_2_NUSAP1.pdf")</f>
        <v>Melting_Curves/meltCurve_Q9BXS6_2_NUSAP1.pdf</v>
      </c>
    </row>
    <row r="5150" spans="1:28" x14ac:dyDescent="0.25">
      <c r="A5150" t="s">
        <v>5154</v>
      </c>
      <c r="B5150">
        <v>0.99987803227770999</v>
      </c>
      <c r="C5150">
        <v>1.0200575826057601</v>
      </c>
      <c r="D5150">
        <v>0.93565734001563206</v>
      </c>
      <c r="E5150">
        <v>0.98835295119922095</v>
      </c>
      <c r="F5150">
        <v>1.00214427548727</v>
      </c>
      <c r="G5150">
        <v>0.85628276328258901</v>
      </c>
      <c r="H5150">
        <v>0.85930535794583496</v>
      </c>
      <c r="I5150">
        <v>0.83222584055821702</v>
      </c>
      <c r="J5150">
        <v>0.83109020655832899</v>
      </c>
      <c r="K5150">
        <v>0.60187815573565195</v>
      </c>
      <c r="L5150">
        <v>577.65596773793698</v>
      </c>
      <c r="M5150">
        <v>7.5571689010476097</v>
      </c>
      <c r="Q5150">
        <v>0</v>
      </c>
      <c r="R5150">
        <v>0.841696885262321</v>
      </c>
      <c r="S5150" t="s">
        <v>11461</v>
      </c>
      <c r="T5150" t="s">
        <v>12620</v>
      </c>
      <c r="U5150" t="s">
        <v>12620</v>
      </c>
      <c r="V5150" t="s">
        <v>12620</v>
      </c>
      <c r="W5150" t="s">
        <v>17713</v>
      </c>
      <c r="X5150">
        <v>4</v>
      </c>
      <c r="Y5150" t="s">
        <v>23817</v>
      </c>
      <c r="Z5150" t="s">
        <v>30097</v>
      </c>
      <c r="AA5150">
        <v>0.90826141244028236</v>
      </c>
      <c r="AB5150" t="str">
        <f>HYPERLINK("Melting_Curves/meltCurve_Q9BXV9_C14orf142.pdf", "Melting_Curves/meltCurve_Q9BXV9_C14orf142.pdf")</f>
        <v>Melting_Curves/meltCurve_Q9BXV9_C14orf142.pdf</v>
      </c>
    </row>
    <row r="5151" spans="1:28" x14ac:dyDescent="0.25">
      <c r="A5151" t="s">
        <v>5155</v>
      </c>
      <c r="B5151">
        <v>0.99987803227770999</v>
      </c>
      <c r="C5151">
        <v>0.99703755129639404</v>
      </c>
      <c r="D5151">
        <v>0.94477198247762795</v>
      </c>
      <c r="E5151">
        <v>0.99230570329573897</v>
      </c>
      <c r="F5151">
        <v>0.92024067703023904</v>
      </c>
      <c r="G5151">
        <v>0.50821445552772104</v>
      </c>
      <c r="H5151">
        <v>0.104213455877453</v>
      </c>
      <c r="I5151">
        <v>0.115351087256306</v>
      </c>
      <c r="J5151">
        <v>5.4675859801827001E-2</v>
      </c>
      <c r="K5151">
        <v>4.5525576526494103E-2</v>
      </c>
      <c r="L5151">
        <v>2017.72861093447</v>
      </c>
      <c r="M5151">
        <v>35.521012886597497</v>
      </c>
      <c r="N5151">
        <v>56.997281975489301</v>
      </c>
      <c r="O5151">
        <v>56.624672935776303</v>
      </c>
      <c r="P5151">
        <v>-0.147919428284084</v>
      </c>
      <c r="Q5151">
        <v>5.67993431643301E-2</v>
      </c>
      <c r="R5151">
        <v>0.996658801153816</v>
      </c>
      <c r="S5151" t="s">
        <v>11462</v>
      </c>
      <c r="T5151" t="s">
        <v>12620</v>
      </c>
      <c r="U5151" t="s">
        <v>12620</v>
      </c>
      <c r="V5151" t="s">
        <v>12620</v>
      </c>
      <c r="W5151" t="s">
        <v>17714</v>
      </c>
      <c r="X5151">
        <v>2</v>
      </c>
      <c r="Y5151" t="s">
        <v>23818</v>
      </c>
      <c r="Z5151" t="s">
        <v>30098</v>
      </c>
      <c r="AA5151">
        <v>0.58971857743331302</v>
      </c>
      <c r="AB5151" t="str">
        <f>HYPERLINK("Melting_Curves/meltCurve_Q9BXW6_OSBPL1A.pdf", "Melting_Curves/meltCurve_Q9BXW6_OSBPL1A.pdf")</f>
        <v>Melting_Curves/meltCurve_Q9BXW6_OSBPL1A.pdf</v>
      </c>
    </row>
    <row r="5152" spans="1:28" x14ac:dyDescent="0.25">
      <c r="A5152" t="s">
        <v>5156</v>
      </c>
      <c r="B5152">
        <v>0.99987803227770999</v>
      </c>
      <c r="C5152">
        <v>0.96181473401403705</v>
      </c>
      <c r="D5152">
        <v>0.57831963983168599</v>
      </c>
      <c r="E5152">
        <v>0.35607830904821902</v>
      </c>
      <c r="F5152">
        <v>0.259387721654182</v>
      </c>
      <c r="G5152">
        <v>0.24053925728633199</v>
      </c>
      <c r="H5152">
        <v>0.18618966342596899</v>
      </c>
      <c r="I5152">
        <v>0.33025435189482599</v>
      </c>
      <c r="J5152">
        <v>0.101022170546631</v>
      </c>
      <c r="K5152">
        <v>6.6657777704953403E-2</v>
      </c>
      <c r="L5152">
        <v>1041.6485332033601</v>
      </c>
      <c r="M5152">
        <v>22.415706029216199</v>
      </c>
      <c r="N5152">
        <v>47.461399632179301</v>
      </c>
      <c r="O5152">
        <v>46.104499129944401</v>
      </c>
      <c r="P5152">
        <v>-9.8820031083573207E-2</v>
      </c>
      <c r="Q5152">
        <v>0.187007151874021</v>
      </c>
      <c r="R5152">
        <v>0.94567580048405797</v>
      </c>
      <c r="S5152" t="s">
        <v>11463</v>
      </c>
      <c r="T5152" t="s">
        <v>12620</v>
      </c>
      <c r="U5152" t="s">
        <v>12620</v>
      </c>
      <c r="V5152" t="s">
        <v>12620</v>
      </c>
      <c r="W5152" t="s">
        <v>17715</v>
      </c>
      <c r="X5152">
        <v>12</v>
      </c>
      <c r="Y5152" t="s">
        <v>23819</v>
      </c>
      <c r="Z5152" t="s">
        <v>30099</v>
      </c>
      <c r="AA5152">
        <v>0.37175776845945713</v>
      </c>
      <c r="AB5152" t="str">
        <f>HYPERLINK("Melting_Curves/meltCurve_Q9BXW7_2_CECR5.pdf", "Melting_Curves/meltCurve_Q9BXW7_2_CECR5.pdf")</f>
        <v>Melting_Curves/meltCurve_Q9BXW7_2_CECR5.pdf</v>
      </c>
    </row>
    <row r="5153" spans="1:28" x14ac:dyDescent="0.25">
      <c r="A5153" t="s">
        <v>5157</v>
      </c>
      <c r="B5153">
        <v>0.99987803227770999</v>
      </c>
      <c r="C5153">
        <v>0.94535373945329104</v>
      </c>
      <c r="D5153">
        <v>0.63486311134530404</v>
      </c>
      <c r="E5153">
        <v>0.41279490509936201</v>
      </c>
      <c r="F5153">
        <v>0.283212336041194</v>
      </c>
      <c r="G5153">
        <v>0.17590721889108701</v>
      </c>
      <c r="H5153">
        <v>0.13819056868548699</v>
      </c>
      <c r="I5153">
        <v>0.11623512100169001</v>
      </c>
      <c r="J5153">
        <v>0.10300143473945</v>
      </c>
      <c r="K5153">
        <v>7.3260813546184994E-2</v>
      </c>
      <c r="L5153">
        <v>769.22345552050695</v>
      </c>
      <c r="M5153">
        <v>16.035274006614699</v>
      </c>
      <c r="N5153">
        <v>48.634308795450799</v>
      </c>
      <c r="O5153">
        <v>47.243247718853603</v>
      </c>
      <c r="P5153">
        <v>-7.6523038045486005E-2</v>
      </c>
      <c r="Q5153">
        <v>9.8259049884995606E-2</v>
      </c>
      <c r="R5153">
        <v>0.99011366987956995</v>
      </c>
      <c r="S5153" t="s">
        <v>11464</v>
      </c>
      <c r="T5153" t="s">
        <v>12620</v>
      </c>
      <c r="U5153" t="s">
        <v>12620</v>
      </c>
      <c r="V5153" t="s">
        <v>12620</v>
      </c>
      <c r="W5153" t="s">
        <v>17716</v>
      </c>
      <c r="X5153">
        <v>12</v>
      </c>
      <c r="Y5153" t="s">
        <v>23820</v>
      </c>
      <c r="Z5153" t="s">
        <v>30100</v>
      </c>
      <c r="AA5153">
        <v>0.35816762499440702</v>
      </c>
      <c r="AB5153" t="str">
        <f>HYPERLINK("Melting_Curves/meltCurve_Q9BXW9_2_FANCD2.pdf", "Melting_Curves/meltCurve_Q9BXW9_2_FANCD2.pdf")</f>
        <v>Melting_Curves/meltCurve_Q9BXW9_2_FANCD2.pdf</v>
      </c>
    </row>
    <row r="5154" spans="1:28" x14ac:dyDescent="0.25">
      <c r="A5154" t="s">
        <v>5158</v>
      </c>
      <c r="B5154">
        <v>0.99987803227770999</v>
      </c>
      <c r="C5154">
        <v>1.14506401779199</v>
      </c>
      <c r="D5154">
        <v>1.1841039534866999</v>
      </c>
      <c r="E5154">
        <v>1.36725114816452</v>
      </c>
      <c r="F5154">
        <v>1.47198770818268</v>
      </c>
      <c r="G5154">
        <v>0.797492121622422</v>
      </c>
      <c r="H5154">
        <v>0.34367182441057897</v>
      </c>
      <c r="I5154">
        <v>0.22400950481398699</v>
      </c>
      <c r="J5154">
        <v>0.20531994978486601</v>
      </c>
      <c r="K5154">
        <v>0.14207720065940599</v>
      </c>
      <c r="L5154">
        <v>2673.5810985165999</v>
      </c>
      <c r="M5154">
        <v>45.4732677192087</v>
      </c>
      <c r="N5154">
        <v>59.409070865490797</v>
      </c>
      <c r="O5154">
        <v>58.681200309061701</v>
      </c>
      <c r="P5154">
        <v>-0.15738461441450899</v>
      </c>
      <c r="Q5154">
        <v>0.18761003666735601</v>
      </c>
      <c r="R5154">
        <v>0.82394173009253802</v>
      </c>
      <c r="S5154" t="s">
        <v>11465</v>
      </c>
      <c r="T5154" t="s">
        <v>12620</v>
      </c>
      <c r="U5154" t="s">
        <v>12620</v>
      </c>
      <c r="V5154" t="s">
        <v>12620</v>
      </c>
      <c r="W5154" t="s">
        <v>17717</v>
      </c>
      <c r="X5154">
        <v>2</v>
      </c>
      <c r="Y5154" t="s">
        <v>23821</v>
      </c>
      <c r="Z5154" t="s">
        <v>30101</v>
      </c>
      <c r="AA5154">
        <v>0.69907471878782579</v>
      </c>
      <c r="AB5154" t="str">
        <f>HYPERLINK("Melting_Curves/meltCurve_Q9BXY0_MAK16.pdf", "Melting_Curves/meltCurve_Q9BXY0_MAK16.pdf")</f>
        <v>Melting_Curves/meltCurve_Q9BXY0_MAK16.pdf</v>
      </c>
    </row>
    <row r="5155" spans="1:28" x14ac:dyDescent="0.25">
      <c r="A5155" t="s">
        <v>5159</v>
      </c>
      <c r="B5155">
        <v>0.99987803227770999</v>
      </c>
      <c r="C5155">
        <v>0.72575187185337997</v>
      </c>
      <c r="D5155">
        <v>0.93682983140856202</v>
      </c>
      <c r="E5155">
        <v>0.42846087565952301</v>
      </c>
      <c r="F5155">
        <v>1.3437189977253201</v>
      </c>
      <c r="G5155">
        <v>1.4072890596802801</v>
      </c>
      <c r="H5155">
        <v>0.372235089053435</v>
      </c>
      <c r="I5155">
        <v>0.80496000079758001</v>
      </c>
      <c r="J5155">
        <v>0.39459001293858098</v>
      </c>
      <c r="K5155">
        <v>0.10655779328369901</v>
      </c>
      <c r="L5155">
        <v>1394.09760474725</v>
      </c>
      <c r="M5155">
        <v>21.389749187196401</v>
      </c>
      <c r="N5155">
        <v>65.175961710333198</v>
      </c>
      <c r="O5155">
        <v>64.614322710862098</v>
      </c>
      <c r="P5155">
        <v>-8.2761392102844E-2</v>
      </c>
      <c r="Q5155">
        <v>0</v>
      </c>
      <c r="R5155">
        <v>0.41631128708811799</v>
      </c>
      <c r="S5155" t="s">
        <v>11466</v>
      </c>
      <c r="T5155" t="s">
        <v>12620</v>
      </c>
      <c r="U5155" t="s">
        <v>12620</v>
      </c>
      <c r="V5155" t="s">
        <v>12620</v>
      </c>
      <c r="W5155" t="s">
        <v>17718</v>
      </c>
      <c r="X5155">
        <v>5</v>
      </c>
      <c r="Y5155" t="s">
        <v>23822</v>
      </c>
      <c r="Z5155" t="s">
        <v>30102</v>
      </c>
      <c r="AA5155">
        <v>0.82811250292801908</v>
      </c>
      <c r="AB5155" t="str">
        <f>HYPERLINK("Melting_Curves/meltCurve_Q9BY32_ITPA.pdf", "Melting_Curves/meltCurve_Q9BY32_ITPA.pdf")</f>
        <v>Melting_Curves/meltCurve_Q9BY32_ITPA.pdf</v>
      </c>
    </row>
    <row r="5156" spans="1:28" x14ac:dyDescent="0.25">
      <c r="A5156" t="s">
        <v>5160</v>
      </c>
      <c r="B5156">
        <v>0.99987803227770999</v>
      </c>
      <c r="C5156">
        <v>0.558548729935891</v>
      </c>
      <c r="D5156">
        <v>0.97926557384405</v>
      </c>
      <c r="E5156">
        <v>0.71351995868429496</v>
      </c>
      <c r="F5156">
        <v>0.62679449129354703</v>
      </c>
      <c r="G5156">
        <v>0.20915137548223001</v>
      </c>
      <c r="H5156">
        <v>0.133439346853857</v>
      </c>
      <c r="I5156">
        <v>0.109852698338911</v>
      </c>
      <c r="J5156">
        <v>0.116128380644633</v>
      </c>
      <c r="K5156">
        <v>8.8021237279450798E-2</v>
      </c>
      <c r="L5156">
        <v>613.36736827642801</v>
      </c>
      <c r="M5156">
        <v>11.5208636429858</v>
      </c>
      <c r="N5156">
        <v>53.2397023158005</v>
      </c>
      <c r="O5156">
        <v>51.711451221686303</v>
      </c>
      <c r="P5156">
        <v>-5.5713555486930903E-2</v>
      </c>
      <c r="Q5156">
        <v>0</v>
      </c>
      <c r="R5156">
        <v>0.84114965506404504</v>
      </c>
      <c r="S5156" t="s">
        <v>11467</v>
      </c>
      <c r="T5156" t="s">
        <v>12620</v>
      </c>
      <c r="U5156" t="s">
        <v>12620</v>
      </c>
      <c r="V5156" t="s">
        <v>12620</v>
      </c>
      <c r="W5156" t="s">
        <v>17719</v>
      </c>
      <c r="X5156">
        <v>13</v>
      </c>
      <c r="Y5156" t="s">
        <v>23823</v>
      </c>
      <c r="Z5156" t="s">
        <v>30103</v>
      </c>
      <c r="AA5156">
        <v>0.4704720082067152</v>
      </c>
      <c r="AB5156" t="str">
        <f>HYPERLINK("Melting_Curves/meltCurve_Q9BY42_RTFDC1.pdf", "Melting_Curves/meltCurve_Q9BY42_RTFDC1.pdf")</f>
        <v>Melting_Curves/meltCurve_Q9BY42_RTFDC1.pdf</v>
      </c>
    </row>
    <row r="5157" spans="1:28" x14ac:dyDescent="0.25">
      <c r="A5157" t="s">
        <v>5161</v>
      </c>
      <c r="B5157">
        <v>0.99987803227770999</v>
      </c>
      <c r="C5157">
        <v>0.85155685282744598</v>
      </c>
      <c r="D5157">
        <v>1.0279533288852301</v>
      </c>
      <c r="E5157">
        <v>0.864898534650411</v>
      </c>
      <c r="F5157">
        <v>1.11912206946355</v>
      </c>
      <c r="G5157">
        <v>0.85615301270569899</v>
      </c>
      <c r="H5157">
        <v>1.00290191804808</v>
      </c>
      <c r="I5157">
        <v>0.96390076528556201</v>
      </c>
      <c r="J5157">
        <v>1.0907458442237601</v>
      </c>
      <c r="K5157">
        <v>0.93333318412465305</v>
      </c>
      <c r="L5157">
        <v>10201.552895229799</v>
      </c>
      <c r="M5157">
        <v>250</v>
      </c>
      <c r="O5157">
        <v>40.8036007803545</v>
      </c>
      <c r="P5157">
        <v>-4.92592561992398E-2</v>
      </c>
      <c r="Q5157">
        <v>0.96784072005737198</v>
      </c>
      <c r="R5157">
        <v>1.13258615927829E-2</v>
      </c>
      <c r="S5157" t="s">
        <v>11468</v>
      </c>
      <c r="T5157" t="s">
        <v>12620</v>
      </c>
      <c r="U5157" t="s">
        <v>12620</v>
      </c>
      <c r="V5157" t="s">
        <v>12620</v>
      </c>
      <c r="W5157" t="s">
        <v>17720</v>
      </c>
      <c r="X5157">
        <v>16</v>
      </c>
      <c r="Y5157" t="s">
        <v>23824</v>
      </c>
      <c r="Z5157" t="s">
        <v>30104</v>
      </c>
      <c r="AA5157">
        <v>0.96870834033352105</v>
      </c>
      <c r="AB5157" t="str">
        <f>HYPERLINK("Melting_Curves/meltCurve_Q9BY43_CHMP4A.pdf", "Melting_Curves/meltCurve_Q9BY43_CHMP4A.pdf")</f>
        <v>Melting_Curves/meltCurve_Q9BY43_CHMP4A.pdf</v>
      </c>
    </row>
    <row r="5158" spans="1:28" x14ac:dyDescent="0.25">
      <c r="A5158" t="s">
        <v>5162</v>
      </c>
      <c r="B5158">
        <v>0.99987803227770999</v>
      </c>
      <c r="C5158">
        <v>0.89928334121269304</v>
      </c>
      <c r="D5158">
        <v>0.86596109614369599</v>
      </c>
      <c r="E5158">
        <v>0.849621779464654</v>
      </c>
      <c r="F5158">
        <v>0.82340938407949305</v>
      </c>
      <c r="G5158">
        <v>0.69503849562698805</v>
      </c>
      <c r="H5158">
        <v>0.79140496636912405</v>
      </c>
      <c r="I5158">
        <v>0.70028884478855802</v>
      </c>
      <c r="J5158">
        <v>0.94754216279256498</v>
      </c>
      <c r="K5158">
        <v>0.41273183457670298</v>
      </c>
      <c r="L5158">
        <v>210.734488248633</v>
      </c>
      <c r="M5158">
        <v>2.4249376307245099</v>
      </c>
      <c r="O5158">
        <v>57.671126554300898</v>
      </c>
      <c r="P5158">
        <v>-1.1094825917821001E-2</v>
      </c>
      <c r="Q5158">
        <v>0</v>
      </c>
      <c r="R5158">
        <v>0.42691222443279297</v>
      </c>
      <c r="S5158" t="s">
        <v>11469</v>
      </c>
      <c r="T5158" t="s">
        <v>12620</v>
      </c>
      <c r="U5158" t="s">
        <v>12620</v>
      </c>
      <c r="V5158" t="s">
        <v>12620</v>
      </c>
      <c r="W5158" t="s">
        <v>17721</v>
      </c>
      <c r="X5158">
        <v>6</v>
      </c>
      <c r="Y5158" t="s">
        <v>23825</v>
      </c>
      <c r="Z5158" t="s">
        <v>30105</v>
      </c>
      <c r="AA5158">
        <v>0.80031541353976765</v>
      </c>
      <c r="AB5158" t="str">
        <f>HYPERLINK("Melting_Curves/meltCurve_Q9BY67_2_CADM1.pdf", "Melting_Curves/meltCurve_Q9BY67_2_CADM1.pdf")</f>
        <v>Melting_Curves/meltCurve_Q9BY67_2_CADM1.pdf</v>
      </c>
    </row>
    <row r="5159" spans="1:28" x14ac:dyDescent="0.25">
      <c r="A5159" t="s">
        <v>5163</v>
      </c>
      <c r="B5159">
        <v>0.99987803227770999</v>
      </c>
      <c r="C5159">
        <v>0.84996154282403102</v>
      </c>
      <c r="D5159">
        <v>1.04976974672551</v>
      </c>
      <c r="E5159">
        <v>0.83547250150963004</v>
      </c>
      <c r="F5159">
        <v>0.93911835419872103</v>
      </c>
      <c r="G5159">
        <v>0.71961354747134698</v>
      </c>
      <c r="H5159">
        <v>0.53501300978911603</v>
      </c>
      <c r="I5159">
        <v>0.48425774334794203</v>
      </c>
      <c r="J5159">
        <v>0.341507764668536</v>
      </c>
      <c r="K5159">
        <v>0.29476902333789101</v>
      </c>
      <c r="L5159">
        <v>627.07945462947202</v>
      </c>
      <c r="M5159">
        <v>10.1234159319909</v>
      </c>
      <c r="N5159">
        <v>62.775149299573997</v>
      </c>
      <c r="O5159">
        <v>59.672130034053602</v>
      </c>
      <c r="P5159">
        <v>-3.9769303945586101E-2</v>
      </c>
      <c r="Q5159">
        <v>6.2759740011725199E-2</v>
      </c>
      <c r="R5159">
        <v>0.937343009442418</v>
      </c>
      <c r="S5159" t="s">
        <v>11470</v>
      </c>
      <c r="T5159" t="s">
        <v>12620</v>
      </c>
      <c r="U5159" t="s">
        <v>12620</v>
      </c>
      <c r="V5159" t="s">
        <v>12620</v>
      </c>
      <c r="W5159" t="s">
        <v>17722</v>
      </c>
      <c r="X5159">
        <v>4</v>
      </c>
      <c r="Y5159" t="s">
        <v>23826</v>
      </c>
      <c r="Z5159" t="s">
        <v>30106</v>
      </c>
      <c r="AA5159">
        <v>0.7296212922987364</v>
      </c>
      <c r="AB5159" t="str">
        <f>HYPERLINK("Melting_Curves/meltCurve_Q9BY77_POLDIP3.pdf", "Melting_Curves/meltCurve_Q9BY77_POLDIP3.pdf")</f>
        <v>Melting_Curves/meltCurve_Q9BY77_POLDIP3.pdf</v>
      </c>
    </row>
    <row r="5160" spans="1:28" x14ac:dyDescent="0.25">
      <c r="A5160" t="s">
        <v>5164</v>
      </c>
      <c r="B5160">
        <v>0.99987803227770999</v>
      </c>
      <c r="C5160">
        <v>0.90596283958269597</v>
      </c>
      <c r="D5160">
        <v>1.02372389631302</v>
      </c>
      <c r="E5160">
        <v>0.89186838632732002</v>
      </c>
      <c r="F5160">
        <v>1.0240057085479699</v>
      </c>
      <c r="G5160">
        <v>0.90594040398603004</v>
      </c>
      <c r="H5160">
        <v>0.93686417066516003</v>
      </c>
      <c r="I5160">
        <v>0.85950073213649303</v>
      </c>
      <c r="J5160">
        <v>0.84836385446607299</v>
      </c>
      <c r="K5160">
        <v>0.71693342463508103</v>
      </c>
      <c r="L5160">
        <v>549.11783674733704</v>
      </c>
      <c r="M5160">
        <v>6.7464975849996298</v>
      </c>
      <c r="Q5160">
        <v>0</v>
      </c>
      <c r="R5160">
        <v>0.67109415334266898</v>
      </c>
      <c r="S5160" t="s">
        <v>11471</v>
      </c>
      <c r="T5160" t="s">
        <v>12620</v>
      </c>
      <c r="U5160" t="s">
        <v>12620</v>
      </c>
      <c r="V5160" t="s">
        <v>12620</v>
      </c>
      <c r="W5160" t="s">
        <v>17723</v>
      </c>
      <c r="X5160">
        <v>29</v>
      </c>
      <c r="Y5160" t="s">
        <v>23827</v>
      </c>
      <c r="Z5160" t="s">
        <v>30107</v>
      </c>
      <c r="AA5160">
        <v>0.93163451679505749</v>
      </c>
      <c r="AB5160" t="str">
        <f>HYPERLINK("Melting_Curves/meltCurve_Q9BY89_KIAA1671.pdf", "Melting_Curves/meltCurve_Q9BY89_KIAA1671.pdf")</f>
        <v>Melting_Curves/meltCurve_Q9BY89_KIAA1671.pdf</v>
      </c>
    </row>
    <row r="5161" spans="1:28" x14ac:dyDescent="0.25">
      <c r="A5161" t="s">
        <v>5165</v>
      </c>
      <c r="B5161">
        <v>0.99987803227770999</v>
      </c>
      <c r="C5161">
        <v>0.92168748739877504</v>
      </c>
      <c r="D5161">
        <v>1.02142172649202</v>
      </c>
      <c r="E5161">
        <v>0.91186223781749798</v>
      </c>
      <c r="F5161">
        <v>1.0398275663191601</v>
      </c>
      <c r="G5161">
        <v>0.76127185088624905</v>
      </c>
      <c r="H5161">
        <v>0.54751774198361303</v>
      </c>
      <c r="I5161">
        <v>0.25527803930881598</v>
      </c>
      <c r="J5161">
        <v>9.4579746625171005E-2</v>
      </c>
      <c r="K5161">
        <v>7.4062333848070303E-2</v>
      </c>
      <c r="L5161">
        <v>1312.69310053716</v>
      </c>
      <c r="M5161">
        <v>21.517379408297501</v>
      </c>
      <c r="N5161">
        <v>61.006192653024101</v>
      </c>
      <c r="O5161">
        <v>60.486590261532399</v>
      </c>
      <c r="P5161">
        <v>-8.8936670566771195E-2</v>
      </c>
      <c r="Q5161">
        <v>0</v>
      </c>
      <c r="R5161">
        <v>0.98111899860280505</v>
      </c>
      <c r="S5161" t="s">
        <v>11472</v>
      </c>
      <c r="T5161" t="s">
        <v>12620</v>
      </c>
      <c r="U5161" t="s">
        <v>12620</v>
      </c>
      <c r="V5161" t="s">
        <v>12620</v>
      </c>
      <c r="W5161" t="s">
        <v>17724</v>
      </c>
      <c r="X5161">
        <v>9</v>
      </c>
      <c r="Y5161" t="s">
        <v>23828</v>
      </c>
      <c r="Z5161" t="s">
        <v>30108</v>
      </c>
      <c r="AA5161">
        <v>0.7065228843867134</v>
      </c>
      <c r="AB5161" t="str">
        <f>HYPERLINK("Melting_Curves/meltCurve_Q9BYB4_GNB1L.pdf", "Melting_Curves/meltCurve_Q9BYB4_GNB1L.pdf")</f>
        <v>Melting_Curves/meltCurve_Q9BYB4_GNB1L.pdf</v>
      </c>
    </row>
    <row r="5162" spans="1:28" x14ac:dyDescent="0.25">
      <c r="A5162" t="s">
        <v>5166</v>
      </c>
      <c r="B5162">
        <v>0.99987803227770999</v>
      </c>
      <c r="C5162">
        <v>0.97784995168744604</v>
      </c>
      <c r="D5162">
        <v>1.1662636660510499</v>
      </c>
      <c r="E5162">
        <v>0.95555619505425404</v>
      </c>
      <c r="F5162">
        <v>1.0478314311607699</v>
      </c>
      <c r="G5162">
        <v>0.89655362862610599</v>
      </c>
      <c r="H5162">
        <v>0.74596073083187597</v>
      </c>
      <c r="I5162">
        <v>0.650184796201975</v>
      </c>
      <c r="J5162">
        <v>0.44061407083896997</v>
      </c>
      <c r="K5162">
        <v>0.351163439898245</v>
      </c>
      <c r="L5162">
        <v>1088.49406309918</v>
      </c>
      <c r="M5162">
        <v>16.887053572569499</v>
      </c>
      <c r="N5162">
        <v>66.157591792714001</v>
      </c>
      <c r="O5162">
        <v>63.573765732551003</v>
      </c>
      <c r="P5162">
        <v>-5.47200787770869E-2</v>
      </c>
      <c r="Q5162">
        <v>0.17604538936271999</v>
      </c>
      <c r="R5162">
        <v>0.94234792237519505</v>
      </c>
      <c r="S5162" t="s">
        <v>11473</v>
      </c>
      <c r="T5162" t="s">
        <v>12620</v>
      </c>
      <c r="U5162" t="s">
        <v>12620</v>
      </c>
      <c r="V5162" t="s">
        <v>12620</v>
      </c>
      <c r="W5162" t="s">
        <v>17725</v>
      </c>
      <c r="X5162">
        <v>3</v>
      </c>
      <c r="Y5162" t="s">
        <v>23829</v>
      </c>
      <c r="Z5162" t="s">
        <v>30109</v>
      </c>
      <c r="AA5162">
        <v>0.8354628553653306</v>
      </c>
      <c r="AB5162" t="str">
        <f>HYPERLINK("Melting_Curves/meltCurve_Q9BYC8_MRPL32.pdf", "Melting_Curves/meltCurve_Q9BYC8_MRPL32.pdf")</f>
        <v>Melting_Curves/meltCurve_Q9BYC8_MRPL32.pdf</v>
      </c>
    </row>
    <row r="5163" spans="1:28" x14ac:dyDescent="0.25">
      <c r="A5163" t="s">
        <v>5167</v>
      </c>
      <c r="B5163">
        <v>0.99987803227770999</v>
      </c>
      <c r="C5163">
        <v>0.99962662713986805</v>
      </c>
      <c r="D5163">
        <v>1.01098097801873</v>
      </c>
      <c r="E5163">
        <v>0.99232905954224004</v>
      </c>
      <c r="F5163">
        <v>1.0081188680742701</v>
      </c>
      <c r="G5163">
        <v>0.39042421804275801</v>
      </c>
      <c r="H5163">
        <v>0.28605863000523901</v>
      </c>
      <c r="I5163">
        <v>0.262326823268272</v>
      </c>
      <c r="J5163">
        <v>0.16070102712416301</v>
      </c>
      <c r="K5163">
        <v>0.124335393537268</v>
      </c>
      <c r="L5163">
        <v>4569.9119128771299</v>
      </c>
      <c r="M5163">
        <v>81.369869925469004</v>
      </c>
      <c r="N5163">
        <v>56.535389708256702</v>
      </c>
      <c r="O5163">
        <v>56.128320265351597</v>
      </c>
      <c r="P5163">
        <v>-0.28712243018016897</v>
      </c>
      <c r="Q5163">
        <v>0.20778062754351001</v>
      </c>
      <c r="R5163">
        <v>0.98751474703448106</v>
      </c>
      <c r="S5163" t="s">
        <v>11474</v>
      </c>
      <c r="T5163" t="s">
        <v>12620</v>
      </c>
      <c r="U5163" t="s">
        <v>12620</v>
      </c>
      <c r="V5163" t="s">
        <v>12620</v>
      </c>
      <c r="W5163" t="s">
        <v>17726</v>
      </c>
      <c r="X5163">
        <v>2</v>
      </c>
      <c r="Y5163" t="s">
        <v>23830</v>
      </c>
      <c r="Z5163" t="s">
        <v>30110</v>
      </c>
      <c r="AA5163">
        <v>0.63531967914491938</v>
      </c>
      <c r="AB5163" t="str">
        <f>HYPERLINK("Melting_Curves/meltCurve_Q9BYD1_MRPL13.pdf", "Melting_Curves/meltCurve_Q9BYD1_MRPL13.pdf")</f>
        <v>Melting_Curves/meltCurve_Q9BYD1_MRPL13.pdf</v>
      </c>
    </row>
    <row r="5164" spans="1:28" x14ac:dyDescent="0.25">
      <c r="A5164" t="s">
        <v>5168</v>
      </c>
      <c r="B5164">
        <v>0.99987803227770999</v>
      </c>
      <c r="C5164">
        <v>0.70169892072597995</v>
      </c>
      <c r="D5164">
        <v>0.34982772342600799</v>
      </c>
      <c r="E5164">
        <v>0.26407569011855803</v>
      </c>
      <c r="F5164">
        <v>0.17106623463867299</v>
      </c>
      <c r="G5164">
        <v>0.108985171374383</v>
      </c>
      <c r="H5164">
        <v>6.8141174204806504E-2</v>
      </c>
      <c r="I5164">
        <v>5.5683753632582197E-2</v>
      </c>
      <c r="J5164">
        <v>3.9394665382452197E-2</v>
      </c>
      <c r="K5164">
        <v>2.65782136543747E-2</v>
      </c>
      <c r="L5164">
        <v>830.27153764224101</v>
      </c>
      <c r="M5164">
        <v>18.543324768515099</v>
      </c>
      <c r="N5164">
        <v>45.137432658820501</v>
      </c>
      <c r="O5164">
        <v>44.263708172363998</v>
      </c>
      <c r="P5164">
        <v>-9.7486016855795499E-2</v>
      </c>
      <c r="Q5164">
        <v>6.9227700575120801E-2</v>
      </c>
      <c r="R5164">
        <v>0.97259768071953301</v>
      </c>
      <c r="S5164" t="s">
        <v>11475</v>
      </c>
      <c r="T5164" t="s">
        <v>12620</v>
      </c>
      <c r="U5164" t="s">
        <v>12620</v>
      </c>
      <c r="V5164" t="s">
        <v>12620</v>
      </c>
      <c r="W5164" t="s">
        <v>17727</v>
      </c>
      <c r="X5164">
        <v>3</v>
      </c>
      <c r="Y5164" t="s">
        <v>23831</v>
      </c>
      <c r="Z5164" t="s">
        <v>30111</v>
      </c>
      <c r="AA5164">
        <v>0.2366322184193892</v>
      </c>
      <c r="AB5164" t="str">
        <f>HYPERLINK("Melting_Curves/meltCurve_Q9BYD6_MRPL1.pdf", "Melting_Curves/meltCurve_Q9BYD6_MRPL1.pdf")</f>
        <v>Melting_Curves/meltCurve_Q9BYD6_MRPL1.pdf</v>
      </c>
    </row>
    <row r="5165" spans="1:28" x14ac:dyDescent="0.25">
      <c r="A5165" t="s">
        <v>5169</v>
      </c>
      <c r="B5165">
        <v>0.99987803227770999</v>
      </c>
      <c r="C5165">
        <v>1.0823234531355099</v>
      </c>
      <c r="D5165">
        <v>1.01868989994538</v>
      </c>
      <c r="E5165">
        <v>0.77746310423374498</v>
      </c>
      <c r="F5165">
        <v>0.35001377841043702</v>
      </c>
      <c r="G5165">
        <v>0.21692610114510699</v>
      </c>
      <c r="H5165">
        <v>0.15420865161564701</v>
      </c>
      <c r="I5165">
        <v>0.14021844605367101</v>
      </c>
      <c r="J5165">
        <v>0.10830012548309</v>
      </c>
      <c r="K5165">
        <v>7.4251300312489096E-2</v>
      </c>
      <c r="L5165">
        <v>1783.3995829565499</v>
      </c>
      <c r="M5165">
        <v>34.625619529222398</v>
      </c>
      <c r="N5165">
        <v>51.953531732604802</v>
      </c>
      <c r="O5165">
        <v>51.334316290257</v>
      </c>
      <c r="P5165">
        <v>-0.14685047732136</v>
      </c>
      <c r="Q5165">
        <v>0.12914873988108899</v>
      </c>
      <c r="R5165">
        <v>0.990342938116202</v>
      </c>
      <c r="S5165" t="s">
        <v>11476</v>
      </c>
      <c r="T5165" t="s">
        <v>12620</v>
      </c>
      <c r="U5165" t="s">
        <v>12620</v>
      </c>
      <c r="V5165" t="s">
        <v>12620</v>
      </c>
      <c r="W5165" t="s">
        <v>17728</v>
      </c>
      <c r="X5165">
        <v>6</v>
      </c>
      <c r="Y5165" t="s">
        <v>18876</v>
      </c>
      <c r="Z5165" t="s">
        <v>30112</v>
      </c>
      <c r="AA5165">
        <v>0.46726920026505692</v>
      </c>
      <c r="AB5165" t="str">
        <f>HYPERLINK("Melting_Curves/meltCurve_Q9BYG5_PARD6B.pdf", "Melting_Curves/meltCurve_Q9BYG5_PARD6B.pdf")</f>
        <v>Melting_Curves/meltCurve_Q9BYG5_PARD6B.pdf</v>
      </c>
    </row>
    <row r="5166" spans="1:28" x14ac:dyDescent="0.25">
      <c r="A5166" t="s">
        <v>5170</v>
      </c>
      <c r="B5166">
        <v>0.99987803227770999</v>
      </c>
      <c r="C5166">
        <v>0.90301253303923401</v>
      </c>
      <c r="D5166">
        <v>0.90836316862942901</v>
      </c>
      <c r="E5166">
        <v>0.73862348326726202</v>
      </c>
      <c r="F5166">
        <v>0.97276170763708403</v>
      </c>
      <c r="G5166">
        <v>0.99471151544699798</v>
      </c>
      <c r="H5166">
        <v>0.95494249592651004</v>
      </c>
      <c r="I5166">
        <v>1.1512052121523699</v>
      </c>
      <c r="J5166">
        <v>0.95601074798165997</v>
      </c>
      <c r="K5166">
        <v>0.66260516437732697</v>
      </c>
      <c r="L5166">
        <v>10243.0412703358</v>
      </c>
      <c r="M5166">
        <v>250</v>
      </c>
      <c r="O5166">
        <v>40.969533778972099</v>
      </c>
      <c r="P5166">
        <v>-0.128443102414212</v>
      </c>
      <c r="Q5166">
        <v>0.91580391643487202</v>
      </c>
      <c r="R5166">
        <v>3.7395477225098901E-2</v>
      </c>
      <c r="S5166" t="s">
        <v>11477</v>
      </c>
      <c r="T5166" t="s">
        <v>12620</v>
      </c>
      <c r="U5166" t="s">
        <v>12620</v>
      </c>
      <c r="V5166" t="s">
        <v>12620</v>
      </c>
      <c r="W5166" t="s">
        <v>17729</v>
      </c>
      <c r="X5166">
        <v>6</v>
      </c>
      <c r="Y5166" t="s">
        <v>23832</v>
      </c>
      <c r="Z5166" t="s">
        <v>30113</v>
      </c>
      <c r="AA5166">
        <v>0.91853938519087974</v>
      </c>
      <c r="AB5166" t="str">
        <f>HYPERLINK("Melting_Curves/meltCurve_Q9BYJ9_YTHDF1.pdf", "Melting_Curves/meltCurve_Q9BYJ9_YTHDF1.pdf")</f>
        <v>Melting_Curves/meltCurve_Q9BYJ9_YTHDF1.pdf</v>
      </c>
    </row>
    <row r="5167" spans="1:28" x14ac:dyDescent="0.25">
      <c r="A5167" t="s">
        <v>5171</v>
      </c>
      <c r="B5167">
        <v>0.99987803227770999</v>
      </c>
      <c r="C5167">
        <v>0.98821611700192302</v>
      </c>
      <c r="D5167">
        <v>0.95183594990385001</v>
      </c>
      <c r="E5167">
        <v>0.87183032919113301</v>
      </c>
      <c r="F5167">
        <v>0.80768950580814902</v>
      </c>
      <c r="G5167">
        <v>0.51042603739404302</v>
      </c>
      <c r="H5167">
        <v>0.39652485120094899</v>
      </c>
      <c r="I5167">
        <v>0.33215323428720001</v>
      </c>
      <c r="J5167">
        <v>0.32578950952389601</v>
      </c>
      <c r="K5167">
        <v>0.23965586696306901</v>
      </c>
      <c r="L5167">
        <v>890.04099210210597</v>
      </c>
      <c r="M5167">
        <v>16.015670504615599</v>
      </c>
      <c r="N5167">
        <v>58.007007098051702</v>
      </c>
      <c r="O5167">
        <v>54.728372410411303</v>
      </c>
      <c r="P5167">
        <v>-5.5265308577397101E-2</v>
      </c>
      <c r="Q5167">
        <v>0.24465376833695901</v>
      </c>
      <c r="R5167">
        <v>0.99225611590176199</v>
      </c>
      <c r="S5167" t="s">
        <v>11478</v>
      </c>
      <c r="T5167" t="s">
        <v>12620</v>
      </c>
      <c r="U5167" t="s">
        <v>12620</v>
      </c>
      <c r="V5167" t="s">
        <v>12620</v>
      </c>
      <c r="W5167" t="s">
        <v>17730</v>
      </c>
      <c r="X5167">
        <v>18</v>
      </c>
      <c r="Y5167" t="s">
        <v>23833</v>
      </c>
      <c r="Z5167" t="s">
        <v>30114</v>
      </c>
      <c r="AA5167">
        <v>0.64980028365898235</v>
      </c>
      <c r="AB5167" t="str">
        <f>HYPERLINK("Melting_Curves/meltCurve_Q9BYM8_RBCK1.pdf", "Melting_Curves/meltCurve_Q9BYM8_RBCK1.pdf")</f>
        <v>Melting_Curves/meltCurve_Q9BYM8_RBCK1.pdf</v>
      </c>
    </row>
    <row r="5168" spans="1:28" x14ac:dyDescent="0.25">
      <c r="A5168" t="s">
        <v>5172</v>
      </c>
      <c r="B5168">
        <v>0.99987803227770999</v>
      </c>
      <c r="C5168">
        <v>0.84496534139816903</v>
      </c>
      <c r="D5168">
        <v>0.96957919687287597</v>
      </c>
      <c r="E5168">
        <v>0.75062282031659899</v>
      </c>
      <c r="F5168">
        <v>0.77294399689906101</v>
      </c>
      <c r="G5168">
        <v>0.40690329380976897</v>
      </c>
      <c r="H5168">
        <v>0.29503351556745799</v>
      </c>
      <c r="I5168">
        <v>0.26222048469932902</v>
      </c>
      <c r="J5168">
        <v>0.23392734761008099</v>
      </c>
      <c r="K5168">
        <v>0.18080618389223799</v>
      </c>
      <c r="L5168">
        <v>702.50933103273803</v>
      </c>
      <c r="M5168">
        <v>12.795619455350799</v>
      </c>
      <c r="N5168">
        <v>56.246662817902099</v>
      </c>
      <c r="O5168">
        <v>53.613199463992103</v>
      </c>
      <c r="P5168">
        <v>-5.1815601162506698E-2</v>
      </c>
      <c r="Q5168">
        <v>0.13174089607066</v>
      </c>
      <c r="R5168">
        <v>0.95961485119468903</v>
      </c>
      <c r="S5168" t="s">
        <v>11479</v>
      </c>
      <c r="T5168" t="s">
        <v>12620</v>
      </c>
      <c r="U5168" t="s">
        <v>12620</v>
      </c>
      <c r="V5168" t="s">
        <v>12620</v>
      </c>
      <c r="W5168" t="s">
        <v>17731</v>
      </c>
      <c r="X5168">
        <v>7</v>
      </c>
      <c r="Y5168" t="s">
        <v>23834</v>
      </c>
      <c r="Z5168" t="s">
        <v>30115</v>
      </c>
      <c r="AA5168">
        <v>0.58265469677838599</v>
      </c>
      <c r="AB5168" t="str">
        <f>HYPERLINK("Melting_Curves/meltCurve_Q9BYN0_SRXN1.pdf", "Melting_Curves/meltCurve_Q9BYN0_SRXN1.pdf")</f>
        <v>Melting_Curves/meltCurve_Q9BYN0_SRXN1.pdf</v>
      </c>
    </row>
    <row r="5169" spans="1:28" x14ac:dyDescent="0.25">
      <c r="A5169" t="s">
        <v>5173</v>
      </c>
      <c r="B5169">
        <v>0.99987803227770999</v>
      </c>
      <c r="C5169">
        <v>1.09707783775908</v>
      </c>
      <c r="D5169">
        <v>0.97151541837480904</v>
      </c>
      <c r="E5169">
        <v>0.94049330548009302</v>
      </c>
      <c r="F5169">
        <v>0.70063659579594695</v>
      </c>
      <c r="G5169">
        <v>0.67488010963762202</v>
      </c>
      <c r="H5169">
        <v>0.41559812515051803</v>
      </c>
      <c r="I5169">
        <v>0.22280730927099399</v>
      </c>
      <c r="J5169">
        <v>0.165624911794236</v>
      </c>
      <c r="K5169">
        <v>0.14800128201517801</v>
      </c>
      <c r="L5169">
        <v>743.27646667467695</v>
      </c>
      <c r="M5169">
        <v>12.608967161713601</v>
      </c>
      <c r="N5169">
        <v>58.9533152840825</v>
      </c>
      <c r="O5169">
        <v>57.524471119630299</v>
      </c>
      <c r="P5169">
        <v>-5.4779465287965103E-2</v>
      </c>
      <c r="Q5169">
        <v>5.42076671998674E-4</v>
      </c>
      <c r="R5169">
        <v>0.97439782926414498</v>
      </c>
      <c r="S5169" t="s">
        <v>11480</v>
      </c>
      <c r="T5169" t="s">
        <v>12620</v>
      </c>
      <c r="U5169" t="s">
        <v>12620</v>
      </c>
      <c r="V5169" t="s">
        <v>12620</v>
      </c>
      <c r="W5169" t="s">
        <v>17732</v>
      </c>
      <c r="X5169">
        <v>1</v>
      </c>
      <c r="Y5169" t="s">
        <v>23835</v>
      </c>
      <c r="Z5169" t="s">
        <v>30116</v>
      </c>
      <c r="AA5169">
        <v>0.64080115341244637</v>
      </c>
      <c r="AB5169" t="str">
        <f>HYPERLINK("Melting_Curves/meltCurve_Q9BYN8_MRPS26.pdf", "Melting_Curves/meltCurve_Q9BYN8_MRPS26.pdf")</f>
        <v>Melting_Curves/meltCurve_Q9BYN8_MRPS26.pdf</v>
      </c>
    </row>
    <row r="5170" spans="1:28" x14ac:dyDescent="0.25">
      <c r="A5170" t="s">
        <v>5174</v>
      </c>
      <c r="B5170">
        <v>0.99987803227770999</v>
      </c>
      <c r="C5170">
        <v>1.0142797568536199</v>
      </c>
      <c r="D5170">
        <v>0.99850800019764896</v>
      </c>
      <c r="E5170">
        <v>0.82024145192468201</v>
      </c>
      <c r="F5170">
        <v>0.62681117458083402</v>
      </c>
      <c r="G5170">
        <v>0.48742464835766602</v>
      </c>
      <c r="H5170">
        <v>0.19821247816739501</v>
      </c>
      <c r="I5170">
        <v>0.109554981879166</v>
      </c>
      <c r="J5170">
        <v>6.6969377811359004E-2</v>
      </c>
      <c r="K5170">
        <v>4.7476825297064797E-2</v>
      </c>
      <c r="L5170">
        <v>811.83385681333903</v>
      </c>
      <c r="M5170">
        <v>14.5852057865417</v>
      </c>
      <c r="N5170">
        <v>55.661449738451601</v>
      </c>
      <c r="O5170">
        <v>54.6465027382161</v>
      </c>
      <c r="P5170">
        <v>-6.6732775759249602E-2</v>
      </c>
      <c r="Q5170">
        <v>0</v>
      </c>
      <c r="R5170">
        <v>0.99236658424284396</v>
      </c>
      <c r="S5170" t="s">
        <v>11481</v>
      </c>
      <c r="T5170" t="s">
        <v>12620</v>
      </c>
      <c r="U5170" t="s">
        <v>12620</v>
      </c>
      <c r="V5170" t="s">
        <v>12620</v>
      </c>
      <c r="W5170" t="s">
        <v>17733</v>
      </c>
      <c r="X5170">
        <v>37</v>
      </c>
      <c r="Y5170" t="s">
        <v>23836</v>
      </c>
      <c r="Z5170" t="s">
        <v>30117</v>
      </c>
      <c r="AA5170">
        <v>0.54081920150523055</v>
      </c>
      <c r="AB5170" t="str">
        <f>HYPERLINK("Melting_Curves/meltCurve_Q9BYT8_NLN.pdf", "Melting_Curves/meltCurve_Q9BYT8_NLN.pdf")</f>
        <v>Melting_Curves/meltCurve_Q9BYT8_NLN.pdf</v>
      </c>
    </row>
    <row r="5171" spans="1:28" x14ac:dyDescent="0.25">
      <c r="A5171" t="s">
        <v>5175</v>
      </c>
      <c r="B5171">
        <v>0.99987803227770999</v>
      </c>
      <c r="C5171">
        <v>0.88307621611984999</v>
      </c>
      <c r="D5171">
        <v>1.0153098834473799</v>
      </c>
      <c r="E5171">
        <v>0.68439735370503796</v>
      </c>
      <c r="F5171">
        <v>0.390794413105302</v>
      </c>
      <c r="G5171">
        <v>0.235359769257864</v>
      </c>
      <c r="H5171">
        <v>0.20822810662272101</v>
      </c>
      <c r="I5171">
        <v>0.17703581556002801</v>
      </c>
      <c r="J5171">
        <v>0.18429634330647399</v>
      </c>
      <c r="K5171">
        <v>0.148501629435907</v>
      </c>
      <c r="L5171">
        <v>1404.9531854601801</v>
      </c>
      <c r="M5171">
        <v>27.565368338399601</v>
      </c>
      <c r="N5171">
        <v>51.800514145078701</v>
      </c>
      <c r="O5171">
        <v>50.702079833997303</v>
      </c>
      <c r="P5171">
        <v>-0.11159775911893</v>
      </c>
      <c r="Q5171">
        <v>0.178942698117385</v>
      </c>
      <c r="R5171">
        <v>0.98535746197023899</v>
      </c>
      <c r="S5171" t="s">
        <v>11482</v>
      </c>
      <c r="T5171" t="s">
        <v>12620</v>
      </c>
      <c r="U5171" t="s">
        <v>12620</v>
      </c>
      <c r="V5171" t="s">
        <v>12620</v>
      </c>
      <c r="W5171" t="s">
        <v>17734</v>
      </c>
      <c r="X5171">
        <v>8</v>
      </c>
      <c r="Y5171" t="s">
        <v>23837</v>
      </c>
      <c r="Z5171" t="s">
        <v>30118</v>
      </c>
      <c r="AA5171">
        <v>0.48523299672289949</v>
      </c>
      <c r="AB5171" t="str">
        <f>HYPERLINK("Melting_Curves/meltCurve_Q9BYV8_CEP41.pdf", "Melting_Curves/meltCurve_Q9BYV8_CEP41.pdf")</f>
        <v>Melting_Curves/meltCurve_Q9BYV8_CEP41.pdf</v>
      </c>
    </row>
    <row r="5172" spans="1:28" x14ac:dyDescent="0.25">
      <c r="A5172" t="s">
        <v>5176</v>
      </c>
      <c r="B5172">
        <v>0.99987803227770999</v>
      </c>
      <c r="C5172">
        <v>0.92439182587718005</v>
      </c>
      <c r="D5172">
        <v>0.90299111865969806</v>
      </c>
      <c r="E5172">
        <v>0.77153376459931899</v>
      </c>
      <c r="F5172">
        <v>0.82495900684637702</v>
      </c>
      <c r="G5172">
        <v>0.74075918462958501</v>
      </c>
      <c r="H5172">
        <v>0.69753859996116796</v>
      </c>
      <c r="I5172">
        <v>0.55938726908401604</v>
      </c>
      <c r="J5172">
        <v>0.62555331827444705</v>
      </c>
      <c r="K5172">
        <v>0.51837061779184201</v>
      </c>
      <c r="L5172">
        <v>291.977452575315</v>
      </c>
      <c r="M5172">
        <v>4.39587112217664</v>
      </c>
      <c r="O5172">
        <v>56.086993990546198</v>
      </c>
      <c r="P5172">
        <v>-1.64293529877696E-2</v>
      </c>
      <c r="Q5172">
        <v>0.169361887120521</v>
      </c>
      <c r="R5172">
        <v>0.93359055138445501</v>
      </c>
      <c r="S5172" t="s">
        <v>11483</v>
      </c>
      <c r="T5172" t="s">
        <v>12620</v>
      </c>
      <c r="U5172" t="s">
        <v>12620</v>
      </c>
      <c r="V5172" t="s">
        <v>12620</v>
      </c>
      <c r="W5172" t="s">
        <v>17735</v>
      </c>
      <c r="X5172">
        <v>22</v>
      </c>
      <c r="Y5172" t="s">
        <v>23838</v>
      </c>
      <c r="Z5172" t="s">
        <v>30119</v>
      </c>
      <c r="AA5172">
        <v>0.75782454836723501</v>
      </c>
      <c r="AB5172" t="str">
        <f>HYPERLINK("Melting_Curves/meltCurve_Q9BYW2_SETD2.pdf", "Melting_Curves/meltCurve_Q9BYW2_SETD2.pdf")</f>
        <v>Melting_Curves/meltCurve_Q9BYW2_SETD2.pdf</v>
      </c>
    </row>
    <row r="5173" spans="1:28" x14ac:dyDescent="0.25">
      <c r="A5173" t="s">
        <v>5177</v>
      </c>
      <c r="B5173">
        <v>0.99987803227770999</v>
      </c>
      <c r="C5173">
        <v>1.1762242364053099</v>
      </c>
      <c r="D5173">
        <v>0.78506274386634201</v>
      </c>
      <c r="E5173">
        <v>0.48668196408019898</v>
      </c>
      <c r="F5173">
        <v>0.22006266669820199</v>
      </c>
      <c r="G5173">
        <v>0.19153997921093199</v>
      </c>
      <c r="H5173">
        <v>9.8352232076343596E-2</v>
      </c>
      <c r="I5173">
        <v>0.105308883432675</v>
      </c>
      <c r="J5173">
        <v>1.6989465553476701E-2</v>
      </c>
      <c r="K5173">
        <v>1.26011666977858E-2</v>
      </c>
      <c r="L5173">
        <v>1091.7139530782299</v>
      </c>
      <c r="M5173">
        <v>22.0614663473891</v>
      </c>
      <c r="N5173">
        <v>49.8043818796517</v>
      </c>
      <c r="O5173">
        <v>49.083877506117197</v>
      </c>
      <c r="P5173">
        <v>-0.104958891508771</v>
      </c>
      <c r="Q5173">
        <v>6.5941041641116402E-2</v>
      </c>
      <c r="R5173">
        <v>0.96349111983716695</v>
      </c>
      <c r="S5173" t="s">
        <v>11484</v>
      </c>
      <c r="T5173" t="s">
        <v>12620</v>
      </c>
      <c r="U5173" t="s">
        <v>12620</v>
      </c>
      <c r="V5173" t="s">
        <v>12620</v>
      </c>
      <c r="W5173" t="s">
        <v>17736</v>
      </c>
      <c r="X5173">
        <v>3</v>
      </c>
      <c r="Y5173" t="s">
        <v>23839</v>
      </c>
      <c r="Z5173" t="s">
        <v>30120</v>
      </c>
      <c r="AA5173">
        <v>0.37196895748390912</v>
      </c>
      <c r="AB5173" t="str">
        <f>HYPERLINK("Melting_Curves/meltCurve_Q9BYX2_4_TBC1D2.pdf", "Melting_Curves/meltCurve_Q9BYX2_4_TBC1D2.pdf")</f>
        <v>Melting_Curves/meltCurve_Q9BYX2_4_TBC1D2.pdf</v>
      </c>
    </row>
    <row r="5174" spans="1:28" x14ac:dyDescent="0.25">
      <c r="A5174" t="s">
        <v>5178</v>
      </c>
      <c r="B5174">
        <v>0.99987803227770999</v>
      </c>
      <c r="C5174">
        <v>0.98481419799083403</v>
      </c>
      <c r="D5174">
        <v>0.96573203739708602</v>
      </c>
      <c r="E5174">
        <v>0.59799994987548499</v>
      </c>
      <c r="F5174">
        <v>0.32726376255648598</v>
      </c>
      <c r="G5174">
        <v>0.20379663672759499</v>
      </c>
      <c r="H5174">
        <v>0.15037929909377601</v>
      </c>
      <c r="I5174">
        <v>0.14065767336791801</v>
      </c>
      <c r="J5174">
        <v>0.122271712183932</v>
      </c>
      <c r="K5174">
        <v>9.76771031879545E-2</v>
      </c>
      <c r="L5174">
        <v>1288.01542223458</v>
      </c>
      <c r="M5174">
        <v>25.531774819828399</v>
      </c>
      <c r="N5174">
        <v>51.047971290828002</v>
      </c>
      <c r="O5174">
        <v>50.1411224559711</v>
      </c>
      <c r="P5174">
        <v>-0.110789656842987</v>
      </c>
      <c r="Q5174">
        <v>0.129704228894403</v>
      </c>
      <c r="R5174">
        <v>0.99732901776105398</v>
      </c>
      <c r="S5174" t="s">
        <v>11485</v>
      </c>
      <c r="T5174" t="s">
        <v>12620</v>
      </c>
      <c r="U5174" t="s">
        <v>12620</v>
      </c>
      <c r="V5174" t="s">
        <v>12620</v>
      </c>
      <c r="W5174" t="s">
        <v>17737</v>
      </c>
      <c r="X5174">
        <v>12</v>
      </c>
      <c r="Y5174" t="s">
        <v>23840</v>
      </c>
      <c r="Z5174" t="s">
        <v>30121</v>
      </c>
      <c r="AA5174">
        <v>0.44028011237930581</v>
      </c>
      <c r="AB5174" t="str">
        <f>HYPERLINK("Melting_Curves/meltCurve_Q9BZ23_3_PANK2.pdf", "Melting_Curves/meltCurve_Q9BZ23_3_PANK2.pdf")</f>
        <v>Melting_Curves/meltCurve_Q9BZ23_3_PANK2.pdf</v>
      </c>
    </row>
    <row r="5175" spans="1:28" x14ac:dyDescent="0.25">
      <c r="A5175" t="s">
        <v>5179</v>
      </c>
      <c r="B5175">
        <v>0.99987803227770999</v>
      </c>
      <c r="C5175">
        <v>0.92860505487302403</v>
      </c>
      <c r="D5175">
        <v>0.88390548061054797</v>
      </c>
      <c r="E5175">
        <v>1.18204986803837</v>
      </c>
      <c r="F5175">
        <v>0.69632881603727104</v>
      </c>
      <c r="G5175">
        <v>0.56496602423341202</v>
      </c>
      <c r="H5175">
        <v>0.52003472783503302</v>
      </c>
      <c r="I5175">
        <v>0.31264715082122801</v>
      </c>
      <c r="J5175">
        <v>0.15199665590159001</v>
      </c>
      <c r="K5175">
        <v>0.110933515726663</v>
      </c>
      <c r="L5175">
        <v>761.21584754483104</v>
      </c>
      <c r="M5175">
        <v>12.783414957126499</v>
      </c>
      <c r="N5175">
        <v>59.547143799613998</v>
      </c>
      <c r="O5175">
        <v>58.146382779231303</v>
      </c>
      <c r="P5175">
        <v>-5.4972576621121302E-2</v>
      </c>
      <c r="Q5175">
        <v>0</v>
      </c>
      <c r="R5175">
        <v>0.90410701846243802</v>
      </c>
      <c r="S5175" t="s">
        <v>11486</v>
      </c>
      <c r="T5175" t="s">
        <v>12620</v>
      </c>
      <c r="U5175" t="s">
        <v>12620</v>
      </c>
      <c r="V5175" t="s">
        <v>12620</v>
      </c>
      <c r="W5175" t="s">
        <v>17738</v>
      </c>
      <c r="X5175">
        <v>10</v>
      </c>
      <c r="Y5175" t="s">
        <v>23841</v>
      </c>
      <c r="Z5175" t="s">
        <v>30122</v>
      </c>
      <c r="AA5175">
        <v>0.65791458177149786</v>
      </c>
      <c r="AB5175" t="str">
        <f>HYPERLINK("Melting_Curves/meltCurve_Q9BZ29_3_DOCK9.pdf", "Melting_Curves/meltCurve_Q9BZ29_3_DOCK9.pdf")</f>
        <v>Melting_Curves/meltCurve_Q9BZ29_3_DOCK9.pdf</v>
      </c>
    </row>
    <row r="5176" spans="1:28" x14ac:dyDescent="0.25">
      <c r="A5176" t="s">
        <v>5180</v>
      </c>
      <c r="B5176">
        <v>0.99987803227770999</v>
      </c>
      <c r="C5176">
        <v>0.98911276100480106</v>
      </c>
      <c r="D5176">
        <v>0.94256238241725598</v>
      </c>
      <c r="E5176">
        <v>0.84657162278707498</v>
      </c>
      <c r="F5176">
        <v>0.70976118652526299</v>
      </c>
      <c r="G5176">
        <v>0.42141149671869599</v>
      </c>
      <c r="H5176">
        <v>0.29518253588546101</v>
      </c>
      <c r="I5176">
        <v>0.17597735608735801</v>
      </c>
      <c r="J5176">
        <v>0.10094221279194</v>
      </c>
      <c r="K5176">
        <v>9.2620577390137196E-2</v>
      </c>
      <c r="L5176">
        <v>774.59319652575095</v>
      </c>
      <c r="M5176">
        <v>13.8415448241114</v>
      </c>
      <c r="N5176">
        <v>56.209882287997999</v>
      </c>
      <c r="O5176">
        <v>54.832193866719997</v>
      </c>
      <c r="P5176">
        <v>-6.1244785601881097E-2</v>
      </c>
      <c r="Q5176">
        <v>2.9668588789251299E-2</v>
      </c>
      <c r="R5176">
        <v>0.99781409444160296</v>
      </c>
      <c r="S5176" t="s">
        <v>11487</v>
      </c>
      <c r="T5176" t="s">
        <v>12620</v>
      </c>
      <c r="U5176" t="s">
        <v>12620</v>
      </c>
      <c r="V5176" t="s">
        <v>12620</v>
      </c>
      <c r="W5176" t="s">
        <v>17739</v>
      </c>
      <c r="X5176">
        <v>8</v>
      </c>
      <c r="Y5176" t="s">
        <v>23842</v>
      </c>
      <c r="Z5176" t="s">
        <v>30123</v>
      </c>
      <c r="AA5176">
        <v>0.56432762976036088</v>
      </c>
      <c r="AB5176" t="str">
        <f>HYPERLINK("Melting_Curves/meltCurve_Q9BZ67_2_FRMD8.pdf", "Melting_Curves/meltCurve_Q9BZ67_2_FRMD8.pdf")</f>
        <v>Melting_Curves/meltCurve_Q9BZ67_2_FRMD8.pdf</v>
      </c>
    </row>
    <row r="5177" spans="1:28" x14ac:dyDescent="0.25">
      <c r="A5177" t="s">
        <v>5181</v>
      </c>
      <c r="B5177">
        <v>0.99987803227770999</v>
      </c>
      <c r="C5177">
        <v>0.95850106568131199</v>
      </c>
      <c r="D5177">
        <v>1.0889101210393799</v>
      </c>
      <c r="E5177">
        <v>0.84751178480186196</v>
      </c>
      <c r="F5177">
        <v>0.60695252264226895</v>
      </c>
      <c r="G5177">
        <v>0.45092807825340803</v>
      </c>
      <c r="H5177">
        <v>0.37750321546878801</v>
      </c>
      <c r="I5177">
        <v>0.425504965760933</v>
      </c>
      <c r="J5177">
        <v>0.27412482849769199</v>
      </c>
      <c r="K5177">
        <v>0.22676761373010201</v>
      </c>
      <c r="L5177">
        <v>1135.4682375507</v>
      </c>
      <c r="M5177">
        <v>21.4618340280078</v>
      </c>
      <c r="N5177">
        <v>55.388948519519197</v>
      </c>
      <c r="O5177">
        <v>52.453483207622199</v>
      </c>
      <c r="P5177">
        <v>-7.0691963161999105E-2</v>
      </c>
      <c r="Q5177">
        <v>0.30892229222003098</v>
      </c>
      <c r="R5177">
        <v>0.96031163555704802</v>
      </c>
      <c r="S5177" t="s">
        <v>11488</v>
      </c>
      <c r="T5177" t="s">
        <v>12620</v>
      </c>
      <c r="U5177" t="s">
        <v>12620</v>
      </c>
      <c r="V5177" t="s">
        <v>12620</v>
      </c>
      <c r="W5177" t="s">
        <v>17740</v>
      </c>
      <c r="X5177">
        <v>5</v>
      </c>
      <c r="Y5177" t="s">
        <v>23843</v>
      </c>
      <c r="Z5177" t="s">
        <v>30124</v>
      </c>
      <c r="AA5177">
        <v>0.61464287318020494</v>
      </c>
      <c r="AB5177" t="str">
        <f>HYPERLINK("Melting_Curves/meltCurve_Q9BZ95_4_WHSC1L1.pdf", "Melting_Curves/meltCurve_Q9BZ95_4_WHSC1L1.pdf")</f>
        <v>Melting_Curves/meltCurve_Q9BZ95_4_WHSC1L1.pdf</v>
      </c>
    </row>
    <row r="5178" spans="1:28" x14ac:dyDescent="0.25">
      <c r="A5178" t="s">
        <v>5182</v>
      </c>
      <c r="B5178">
        <v>0.99987803227770999</v>
      </c>
      <c r="C5178">
        <v>0.86612212128839094</v>
      </c>
      <c r="D5178">
        <v>0.94909864485917805</v>
      </c>
      <c r="E5178">
        <v>0.81901504375590295</v>
      </c>
      <c r="F5178">
        <v>1.01905794461317</v>
      </c>
      <c r="G5178">
        <v>0.91484741785942103</v>
      </c>
      <c r="H5178">
        <v>0.79856303309985599</v>
      </c>
      <c r="I5178">
        <v>0.78084108395281104</v>
      </c>
      <c r="J5178">
        <v>0.70357090440438297</v>
      </c>
      <c r="K5178">
        <v>0.58068147786886704</v>
      </c>
      <c r="L5178">
        <v>436.92077107231802</v>
      </c>
      <c r="M5178">
        <v>5.72770796018259</v>
      </c>
      <c r="O5178">
        <v>68.516718570967399</v>
      </c>
      <c r="P5178">
        <v>-2.0978759477739702E-2</v>
      </c>
      <c r="Q5178">
        <v>0</v>
      </c>
      <c r="R5178">
        <v>0.71577998328273795</v>
      </c>
      <c r="S5178" t="s">
        <v>11489</v>
      </c>
      <c r="T5178" t="s">
        <v>12620</v>
      </c>
      <c r="U5178" t="s">
        <v>12620</v>
      </c>
      <c r="V5178" t="s">
        <v>12620</v>
      </c>
      <c r="W5178" t="s">
        <v>17741</v>
      </c>
      <c r="X5178">
        <v>2</v>
      </c>
      <c r="Y5178" t="s">
        <v>23844</v>
      </c>
      <c r="Z5178" t="s">
        <v>30125</v>
      </c>
      <c r="AA5178">
        <v>0.86835107669377876</v>
      </c>
      <c r="AB5178" t="str">
        <f>HYPERLINK("Melting_Curves/meltCurve_Q9BZA5_TXLNG2P.pdf", "Melting_Curves/meltCurve_Q9BZA5_TXLNG2P.pdf")</f>
        <v>Melting_Curves/meltCurve_Q9BZA5_TXLNG2P.pdf</v>
      </c>
    </row>
    <row r="5179" spans="1:28" x14ac:dyDescent="0.25">
      <c r="A5179" t="s">
        <v>5183</v>
      </c>
      <c r="B5179">
        <v>0.99987803227770999</v>
      </c>
      <c r="C5179">
        <v>1.0878741532676599</v>
      </c>
      <c r="D5179">
        <v>0.51124335038356605</v>
      </c>
      <c r="E5179">
        <v>0.313024261434455</v>
      </c>
      <c r="F5179">
        <v>0.16390848793132001</v>
      </c>
      <c r="G5179">
        <v>0.115546076631208</v>
      </c>
      <c r="H5179">
        <v>8.7330144828948894E-2</v>
      </c>
      <c r="I5179">
        <v>6.9546281315212094E-2</v>
      </c>
      <c r="J5179">
        <v>5.7526033941949002E-2</v>
      </c>
      <c r="K5179">
        <v>3.8830475431393403E-2</v>
      </c>
      <c r="L5179">
        <v>1190.2539186547101</v>
      </c>
      <c r="M5179">
        <v>25.498861750278699</v>
      </c>
      <c r="N5179">
        <v>47.027993715263598</v>
      </c>
      <c r="O5179">
        <v>46.394457181145697</v>
      </c>
      <c r="P5179">
        <v>-0.12555113702524401</v>
      </c>
      <c r="Q5179">
        <v>8.6264557193378805E-2</v>
      </c>
      <c r="R5179">
        <v>0.95975432821767803</v>
      </c>
      <c r="S5179" t="s">
        <v>11490</v>
      </c>
      <c r="T5179" t="s">
        <v>12620</v>
      </c>
      <c r="U5179" t="s">
        <v>12620</v>
      </c>
      <c r="V5179" t="s">
        <v>12620</v>
      </c>
      <c r="W5179" t="s">
        <v>17742</v>
      </c>
      <c r="X5179">
        <v>5</v>
      </c>
      <c r="Y5179" t="s">
        <v>23845</v>
      </c>
      <c r="Z5179" t="s">
        <v>30126</v>
      </c>
      <c r="AA5179">
        <v>0.29754922063900968</v>
      </c>
      <c r="AB5179" t="str">
        <f>HYPERLINK("Melting_Curves/meltCurve_Q9BZD4_NUF2.pdf", "Melting_Curves/meltCurve_Q9BZD4_NUF2.pdf")</f>
        <v>Melting_Curves/meltCurve_Q9BZD4_NUF2.pdf</v>
      </c>
    </row>
    <row r="5180" spans="1:28" x14ac:dyDescent="0.25">
      <c r="A5180" t="s">
        <v>5184</v>
      </c>
      <c r="B5180">
        <v>0.99987803227770999</v>
      </c>
      <c r="C5180">
        <v>1.0477845516300901</v>
      </c>
      <c r="D5180">
        <v>0.73902501826495004</v>
      </c>
      <c r="E5180">
        <v>0.67821661720222504</v>
      </c>
      <c r="F5180">
        <v>0.49699366119859301</v>
      </c>
      <c r="G5180">
        <v>0.31819104403203202</v>
      </c>
      <c r="H5180">
        <v>0.23101303716094701</v>
      </c>
      <c r="I5180">
        <v>0.14971384622146</v>
      </c>
      <c r="J5180">
        <v>9.9423774069098206E-2</v>
      </c>
      <c r="K5180">
        <v>6.0197480995497203E-2</v>
      </c>
      <c r="L5180">
        <v>578.46440082113702</v>
      </c>
      <c r="M5180">
        <v>10.928772205604099</v>
      </c>
      <c r="N5180">
        <v>53.068276731625197</v>
      </c>
      <c r="O5180">
        <v>51.250752142416403</v>
      </c>
      <c r="P5180">
        <v>-5.2582317509924502E-2</v>
      </c>
      <c r="Q5180">
        <v>1.3996680034785601E-2</v>
      </c>
      <c r="R5180">
        <v>0.97792211000047302</v>
      </c>
      <c r="S5180" t="s">
        <v>11491</v>
      </c>
      <c r="T5180" t="s">
        <v>12620</v>
      </c>
      <c r="U5180" t="s">
        <v>12620</v>
      </c>
      <c r="V5180" t="s">
        <v>12620</v>
      </c>
      <c r="W5180" t="s">
        <v>17743</v>
      </c>
      <c r="X5180">
        <v>4</v>
      </c>
      <c r="Y5180" t="s">
        <v>23846</v>
      </c>
      <c r="Z5180" t="s">
        <v>30127</v>
      </c>
      <c r="AA5180">
        <v>0.47018016337551333</v>
      </c>
      <c r="AB5180" t="str">
        <f>HYPERLINK("Melting_Curves/meltCurve_Q9BZE4_GTPBP4.pdf", "Melting_Curves/meltCurve_Q9BZE4_GTPBP4.pdf")</f>
        <v>Melting_Curves/meltCurve_Q9BZE4_GTPBP4.pdf</v>
      </c>
    </row>
    <row r="5181" spans="1:28" x14ac:dyDescent="0.25">
      <c r="A5181" t="s">
        <v>5185</v>
      </c>
      <c r="B5181">
        <v>0.99987803227770999</v>
      </c>
      <c r="C5181">
        <v>0.94687459109804695</v>
      </c>
      <c r="D5181">
        <v>0.88273813732186901</v>
      </c>
      <c r="E5181">
        <v>1.2395084476594</v>
      </c>
      <c r="F5181">
        <v>0.79385302946644298</v>
      </c>
      <c r="G5181">
        <v>0.35780459478078502</v>
      </c>
      <c r="H5181">
        <v>0.18328235654592701</v>
      </c>
      <c r="I5181">
        <v>0.166689699306449</v>
      </c>
      <c r="J5181">
        <v>0.129622863303852</v>
      </c>
      <c r="K5181">
        <v>9.1152808141705594E-2</v>
      </c>
      <c r="L5181">
        <v>2061.5476078848401</v>
      </c>
      <c r="M5181">
        <v>37.320841174372902</v>
      </c>
      <c r="N5181">
        <v>55.712917312782402</v>
      </c>
      <c r="O5181">
        <v>55.080632840342901</v>
      </c>
      <c r="P5181">
        <v>-0.14633326034286301</v>
      </c>
      <c r="Q5181">
        <v>0.13612815516061</v>
      </c>
      <c r="R5181">
        <v>0.947674924272637</v>
      </c>
      <c r="S5181" t="s">
        <v>11492</v>
      </c>
      <c r="T5181" t="s">
        <v>12620</v>
      </c>
      <c r="U5181" t="s">
        <v>12620</v>
      </c>
      <c r="V5181" t="s">
        <v>12620</v>
      </c>
      <c r="W5181" t="s">
        <v>17744</v>
      </c>
      <c r="X5181">
        <v>13</v>
      </c>
      <c r="Y5181" t="s">
        <v>23847</v>
      </c>
      <c r="Z5181" t="s">
        <v>30128</v>
      </c>
      <c r="AA5181">
        <v>0.5786991790210424</v>
      </c>
      <c r="AB5181" t="str">
        <f>HYPERLINK("Melting_Curves/meltCurve_Q9BZE9_ASPSCR1.pdf", "Melting_Curves/meltCurve_Q9BZE9_ASPSCR1.pdf")</f>
        <v>Melting_Curves/meltCurve_Q9BZE9_ASPSCR1.pdf</v>
      </c>
    </row>
    <row r="5182" spans="1:28" x14ac:dyDescent="0.25">
      <c r="A5182" t="s">
        <v>5186</v>
      </c>
      <c r="B5182">
        <v>0.99987803227770999</v>
      </c>
      <c r="C5182">
        <v>0.95808009820707496</v>
      </c>
      <c r="D5182">
        <v>0.98368827414573101</v>
      </c>
      <c r="E5182">
        <v>0.76067691977630403</v>
      </c>
      <c r="F5182">
        <v>0.401545270404773</v>
      </c>
      <c r="G5182">
        <v>0.17196133344753201</v>
      </c>
      <c r="H5182">
        <v>8.1122166263269499E-2</v>
      </c>
      <c r="I5182">
        <v>6.2082513673502503E-2</v>
      </c>
      <c r="J5182">
        <v>4.3201638355391203E-2</v>
      </c>
      <c r="K5182">
        <v>3.14665048339446E-2</v>
      </c>
      <c r="L5182">
        <v>1291.0705876459899</v>
      </c>
      <c r="M5182">
        <v>24.7902814330347</v>
      </c>
      <c r="N5182">
        <v>52.290529929511699</v>
      </c>
      <c r="O5182">
        <v>51.744375981857601</v>
      </c>
      <c r="P5182">
        <v>-0.11407828307505501</v>
      </c>
      <c r="Q5182">
        <v>4.7558006593161901E-2</v>
      </c>
      <c r="R5182">
        <v>0.99795829612953701</v>
      </c>
      <c r="S5182" t="s">
        <v>11493</v>
      </c>
      <c r="T5182" t="s">
        <v>12620</v>
      </c>
      <c r="U5182" t="s">
        <v>12620</v>
      </c>
      <c r="V5182" t="s">
        <v>12620</v>
      </c>
      <c r="W5182" t="s">
        <v>17745</v>
      </c>
      <c r="X5182">
        <v>12</v>
      </c>
      <c r="Y5182" t="s">
        <v>20430</v>
      </c>
      <c r="Z5182" t="s">
        <v>30129</v>
      </c>
      <c r="AA5182">
        <v>0.43990873704734779</v>
      </c>
      <c r="AB5182" t="str">
        <f>HYPERLINK("Melting_Curves/meltCurve_Q9BZG1_RAB34.pdf", "Melting_Curves/meltCurve_Q9BZG1_RAB34.pdf")</f>
        <v>Melting_Curves/meltCurve_Q9BZG1_RAB34.pdf</v>
      </c>
    </row>
    <row r="5183" spans="1:28" x14ac:dyDescent="0.25">
      <c r="A5183" t="s">
        <v>5187</v>
      </c>
      <c r="B5183">
        <v>0.99987803227770999</v>
      </c>
      <c r="C5183">
        <v>1.03915403470537</v>
      </c>
      <c r="D5183">
        <v>1.0183038993727</v>
      </c>
      <c r="E5183">
        <v>1.7005756032744599</v>
      </c>
      <c r="F5183">
        <v>1.4133059035225499</v>
      </c>
      <c r="G5183">
        <v>0.85994009536258498</v>
      </c>
      <c r="H5183">
        <v>0.254000012927248</v>
      </c>
      <c r="I5183">
        <v>0.18829806111804201</v>
      </c>
      <c r="J5183">
        <v>0.165334240647595</v>
      </c>
      <c r="K5183">
        <v>0.12307343551677</v>
      </c>
      <c r="L5183">
        <v>3369.2663029785199</v>
      </c>
      <c r="M5183">
        <v>57.373701782521799</v>
      </c>
      <c r="N5183">
        <v>59.116021668426299</v>
      </c>
      <c r="O5183">
        <v>58.653707521314402</v>
      </c>
      <c r="P5183">
        <v>-0.20592532708327299</v>
      </c>
      <c r="Q5183">
        <v>0.157922339269953</v>
      </c>
      <c r="R5183">
        <v>0.767043388461912</v>
      </c>
      <c r="S5183" t="s">
        <v>11494</v>
      </c>
      <c r="T5183" t="s">
        <v>12620</v>
      </c>
      <c r="U5183" t="s">
        <v>12620</v>
      </c>
      <c r="V5183" t="s">
        <v>12620</v>
      </c>
      <c r="W5183" t="s">
        <v>17746</v>
      </c>
      <c r="X5183">
        <v>12</v>
      </c>
      <c r="Y5183" t="s">
        <v>23848</v>
      </c>
      <c r="Z5183" t="s">
        <v>30130</v>
      </c>
      <c r="AA5183">
        <v>0.68516730103795365</v>
      </c>
      <c r="AB5183" t="str">
        <f>HYPERLINK("Melting_Curves/meltCurve_Q9BZH6_WDR11.pdf", "Melting_Curves/meltCurve_Q9BZH6_WDR11.pdf")</f>
        <v>Melting_Curves/meltCurve_Q9BZH6_WDR11.pdf</v>
      </c>
    </row>
    <row r="5184" spans="1:28" x14ac:dyDescent="0.25">
      <c r="A5184" t="s">
        <v>5188</v>
      </c>
      <c r="B5184">
        <v>0.99987803227770999</v>
      </c>
      <c r="C5184">
        <v>1.01229162055183</v>
      </c>
      <c r="D5184">
        <v>0.87414732606453205</v>
      </c>
      <c r="E5184">
        <v>1.0294901040625</v>
      </c>
      <c r="F5184">
        <v>0.69687441449697995</v>
      </c>
      <c r="G5184">
        <v>0.40431777230361199</v>
      </c>
      <c r="H5184">
        <v>0.37952025993462002</v>
      </c>
      <c r="I5184">
        <v>0.311448201260276</v>
      </c>
      <c r="J5184">
        <v>0.40780408213984598</v>
      </c>
      <c r="K5184">
        <v>0.33073482046826003</v>
      </c>
      <c r="L5184">
        <v>13254.519688632001</v>
      </c>
      <c r="M5184">
        <v>250</v>
      </c>
      <c r="N5184">
        <v>53.300034594586002</v>
      </c>
      <c r="O5184">
        <v>53.014685965968603</v>
      </c>
      <c r="P5184">
        <v>-0.74653250280262895</v>
      </c>
      <c r="Q5184">
        <v>0.36676502175162201</v>
      </c>
      <c r="R5184">
        <v>0.97149311358229495</v>
      </c>
      <c r="S5184" t="s">
        <v>11495</v>
      </c>
      <c r="T5184" t="s">
        <v>12620</v>
      </c>
      <c r="U5184" t="s">
        <v>12620</v>
      </c>
      <c r="V5184" t="s">
        <v>12620</v>
      </c>
      <c r="W5184" t="s">
        <v>17747</v>
      </c>
      <c r="X5184">
        <v>4</v>
      </c>
      <c r="Y5184" t="s">
        <v>23849</v>
      </c>
      <c r="Z5184" t="s">
        <v>30131</v>
      </c>
      <c r="AA5184">
        <v>0.64160736890400261</v>
      </c>
      <c r="AB5184" t="str">
        <f>HYPERLINK("Melting_Curves/meltCurve_Q9BZI7_2_UPF3B.pdf", "Melting_Curves/meltCurve_Q9BZI7_2_UPF3B.pdf")</f>
        <v>Melting_Curves/meltCurve_Q9BZI7_2_UPF3B.pdf</v>
      </c>
    </row>
    <row r="5185" spans="1:28" x14ac:dyDescent="0.25">
      <c r="A5185" t="s">
        <v>5189</v>
      </c>
      <c r="B5185">
        <v>0.99987803227770999</v>
      </c>
      <c r="C5185">
        <v>0.99869522688918799</v>
      </c>
      <c r="D5185">
        <v>0.91339377080767503</v>
      </c>
      <c r="E5185">
        <v>0.34169702047366501</v>
      </c>
      <c r="F5185">
        <v>0.22659355458573899</v>
      </c>
      <c r="G5185">
        <v>0.14646342065689999</v>
      </c>
      <c r="H5185">
        <v>0.110021577718737</v>
      </c>
      <c r="I5185">
        <v>7.2252215087163396E-2</v>
      </c>
      <c r="J5185">
        <v>5.31818721392983E-2</v>
      </c>
      <c r="K5185">
        <v>3.3192184256653302E-2</v>
      </c>
      <c r="L5185">
        <v>1511.51723211851</v>
      </c>
      <c r="M5185">
        <v>30.962047207065702</v>
      </c>
      <c r="N5185">
        <v>49.123854185917899</v>
      </c>
      <c r="O5185">
        <v>48.6160934944673</v>
      </c>
      <c r="P5185">
        <v>-0.145275876666664</v>
      </c>
      <c r="Q5185">
        <v>8.7566088700630304E-2</v>
      </c>
      <c r="R5185">
        <v>0.99049160134060699</v>
      </c>
      <c r="S5185" t="s">
        <v>11496</v>
      </c>
      <c r="T5185" t="s">
        <v>12620</v>
      </c>
      <c r="U5185" t="s">
        <v>12620</v>
      </c>
      <c r="V5185" t="s">
        <v>12620</v>
      </c>
      <c r="W5185" t="s">
        <v>17748</v>
      </c>
      <c r="X5185">
        <v>12</v>
      </c>
      <c r="Y5185" t="s">
        <v>23850</v>
      </c>
      <c r="Z5185" t="s">
        <v>30132</v>
      </c>
      <c r="AA5185">
        <v>0.36096795245038338</v>
      </c>
      <c r="AB5185" t="str">
        <f>HYPERLINK("Melting_Curves/meltCurve_Q9BZJ0_2_CRNKL1.pdf", "Melting_Curves/meltCurve_Q9BZJ0_2_CRNKL1.pdf")</f>
        <v>Melting_Curves/meltCurve_Q9BZJ0_2_CRNKL1.pdf</v>
      </c>
    </row>
    <row r="5186" spans="1:28" x14ac:dyDescent="0.25">
      <c r="A5186" t="s">
        <v>5190</v>
      </c>
      <c r="B5186">
        <v>0.99987803227770999</v>
      </c>
      <c r="C5186">
        <v>0.98932458871018003</v>
      </c>
      <c r="D5186">
        <v>0.91716278225030201</v>
      </c>
      <c r="E5186">
        <v>1.0411465614791999</v>
      </c>
      <c r="F5186">
        <v>0.931036223366145</v>
      </c>
      <c r="G5186">
        <v>0.82708552152924997</v>
      </c>
      <c r="H5186">
        <v>0.44817858535489502</v>
      </c>
      <c r="I5186">
        <v>0.230429551994073</v>
      </c>
      <c r="J5186">
        <v>0.119201405933473</v>
      </c>
      <c r="K5186">
        <v>8.3590376081115303E-2</v>
      </c>
      <c r="L5186">
        <v>1506.0750656867201</v>
      </c>
      <c r="M5186">
        <v>25.004918667267798</v>
      </c>
      <c r="N5186">
        <v>60.498958607977897</v>
      </c>
      <c r="O5186">
        <v>59.849892647454801</v>
      </c>
      <c r="P5186">
        <v>-9.8977705042673197E-2</v>
      </c>
      <c r="Q5186">
        <v>5.2390517632537603E-2</v>
      </c>
      <c r="R5186">
        <v>0.99225291446515895</v>
      </c>
      <c r="S5186" t="s">
        <v>11497</v>
      </c>
      <c r="T5186" t="s">
        <v>12620</v>
      </c>
      <c r="U5186" t="s">
        <v>12620</v>
      </c>
      <c r="V5186" t="s">
        <v>12620</v>
      </c>
      <c r="W5186" t="s">
        <v>17749</v>
      </c>
      <c r="X5186">
        <v>10</v>
      </c>
      <c r="Y5186" t="s">
        <v>23851</v>
      </c>
      <c r="Z5186" t="s">
        <v>30133</v>
      </c>
      <c r="AA5186">
        <v>0.69824681579058023</v>
      </c>
      <c r="AB5186" t="str">
        <f>HYPERLINK("Melting_Curves/meltCurve_Q9BZK7_TBL1XR1.pdf", "Melting_Curves/meltCurve_Q9BZK7_TBL1XR1.pdf")</f>
        <v>Melting_Curves/meltCurve_Q9BZK7_TBL1XR1.pdf</v>
      </c>
    </row>
    <row r="5187" spans="1:28" x14ac:dyDescent="0.25">
      <c r="A5187" t="s">
        <v>5191</v>
      </c>
      <c r="B5187">
        <v>0.99987803227770999</v>
      </c>
      <c r="C5187">
        <v>0.76326049592496203</v>
      </c>
      <c r="D5187">
        <v>0.98996869706200197</v>
      </c>
      <c r="E5187">
        <v>0.60507952590851</v>
      </c>
      <c r="F5187">
        <v>0.79868984003045096</v>
      </c>
      <c r="G5187">
        <v>0.408307962462226</v>
      </c>
      <c r="H5187">
        <v>0.217757305969628</v>
      </c>
      <c r="I5187">
        <v>0.124659349225374</v>
      </c>
      <c r="J5187">
        <v>9.58299029004403E-2</v>
      </c>
      <c r="K5187">
        <v>6.1448400005547799E-2</v>
      </c>
      <c r="L5187">
        <v>643.88427129365198</v>
      </c>
      <c r="M5187">
        <v>11.6726408281656</v>
      </c>
      <c r="N5187">
        <v>55.161833617606902</v>
      </c>
      <c r="O5187">
        <v>53.617435526434299</v>
      </c>
      <c r="P5187">
        <v>-5.4440187240707198E-2</v>
      </c>
      <c r="Q5187">
        <v>0</v>
      </c>
      <c r="R5187">
        <v>0.911115128979745</v>
      </c>
      <c r="S5187" t="s">
        <v>11498</v>
      </c>
      <c r="T5187" t="s">
        <v>12620</v>
      </c>
      <c r="U5187" t="s">
        <v>12620</v>
      </c>
      <c r="V5187" t="s">
        <v>12620</v>
      </c>
      <c r="W5187" t="s">
        <v>17750</v>
      </c>
      <c r="X5187">
        <v>7</v>
      </c>
      <c r="Y5187" t="s">
        <v>23852</v>
      </c>
      <c r="Z5187" t="s">
        <v>30134</v>
      </c>
      <c r="AA5187">
        <v>0.52877821405684111</v>
      </c>
      <c r="AB5187" t="str">
        <f>HYPERLINK("Melting_Curves/meltCurve_Q9BZL1_UBL5.pdf", "Melting_Curves/meltCurve_Q9BZL1_UBL5.pdf")</f>
        <v>Melting_Curves/meltCurve_Q9BZL1_UBL5.pdf</v>
      </c>
    </row>
    <row r="5188" spans="1:28" x14ac:dyDescent="0.25">
      <c r="A5188" t="s">
        <v>5192</v>
      </c>
      <c r="B5188">
        <v>0.99987803227770999</v>
      </c>
      <c r="C5188">
        <v>0.67303952285167801</v>
      </c>
      <c r="D5188">
        <v>0.97664974276588001</v>
      </c>
      <c r="E5188">
        <v>0.59406428804803302</v>
      </c>
      <c r="F5188">
        <v>0.80793378922697301</v>
      </c>
      <c r="G5188">
        <v>0.67786588910398404</v>
      </c>
      <c r="H5188">
        <v>0.70494275678321805</v>
      </c>
      <c r="I5188">
        <v>0.761925120513263</v>
      </c>
      <c r="J5188">
        <v>0.736689975272384</v>
      </c>
      <c r="K5188">
        <v>0.52829567774776098</v>
      </c>
      <c r="L5188">
        <v>379.82679611585797</v>
      </c>
      <c r="M5188">
        <v>8.5253612298065509</v>
      </c>
      <c r="O5188">
        <v>42.3041911727627</v>
      </c>
      <c r="P5188">
        <v>-1.74262686249398E-2</v>
      </c>
      <c r="Q5188">
        <v>0.65442032556146001</v>
      </c>
      <c r="R5188">
        <v>0.33496600377303498</v>
      </c>
      <c r="S5188" t="s">
        <v>11499</v>
      </c>
      <c r="T5188" t="s">
        <v>12620</v>
      </c>
      <c r="U5188" t="s">
        <v>12620</v>
      </c>
      <c r="V5188" t="s">
        <v>12620</v>
      </c>
      <c r="W5188" t="s">
        <v>17751</v>
      </c>
      <c r="X5188">
        <v>33</v>
      </c>
      <c r="Y5188" t="s">
        <v>23853</v>
      </c>
      <c r="Z5188" t="s">
        <v>30135</v>
      </c>
      <c r="AA5188">
        <v>0.73834418703235016</v>
      </c>
      <c r="AB5188" t="str">
        <f>HYPERLINK("Melting_Curves/meltCurve_Q9BZL4_PPP1R12C.pdf", "Melting_Curves/meltCurve_Q9BZL4_PPP1R12C.pdf")</f>
        <v>Melting_Curves/meltCurve_Q9BZL4_PPP1R12C.pdf</v>
      </c>
    </row>
    <row r="5189" spans="1:28" x14ac:dyDescent="0.25">
      <c r="A5189" t="s">
        <v>5193</v>
      </c>
      <c r="B5189">
        <v>0.99987803227770999</v>
      </c>
      <c r="C5189">
        <v>0.95156420409773002</v>
      </c>
      <c r="D5189">
        <v>1.0111314989284499</v>
      </c>
      <c r="E5189">
        <v>0.91106948042435798</v>
      </c>
      <c r="F5189">
        <v>1.01606452297835</v>
      </c>
      <c r="G5189">
        <v>0.78438879551922003</v>
      </c>
      <c r="H5189">
        <v>0.82810700946599902</v>
      </c>
      <c r="I5189">
        <v>0.757851525575859</v>
      </c>
      <c r="J5189">
        <v>0.80734214404903804</v>
      </c>
      <c r="K5189">
        <v>0.67222374703566601</v>
      </c>
      <c r="L5189">
        <v>544.582236193526</v>
      </c>
      <c r="M5189">
        <v>8.9424129986153904</v>
      </c>
      <c r="O5189">
        <v>58.084416698617503</v>
      </c>
      <c r="P5189">
        <v>-1.4445982430565199E-2</v>
      </c>
      <c r="Q5189">
        <v>0.62495013445969805</v>
      </c>
      <c r="R5189">
        <v>0.793686803806814</v>
      </c>
      <c r="S5189" t="s">
        <v>11500</v>
      </c>
      <c r="T5189" t="s">
        <v>12620</v>
      </c>
      <c r="U5189" t="s">
        <v>12620</v>
      </c>
      <c r="V5189" t="s">
        <v>12620</v>
      </c>
      <c r="W5189" t="s">
        <v>17752</v>
      </c>
      <c r="X5189">
        <v>34</v>
      </c>
      <c r="Y5189" t="s">
        <v>23853</v>
      </c>
      <c r="Z5189" t="s">
        <v>30136</v>
      </c>
      <c r="AA5189">
        <v>0.87968176551463251</v>
      </c>
      <c r="AB5189" t="str">
        <f>HYPERLINK("Melting_Curves/meltCurve_Q9BZL4_3_PPP1R12C.pdf", "Melting_Curves/meltCurve_Q9BZL4_3_PPP1R12C.pdf")</f>
        <v>Melting_Curves/meltCurve_Q9BZL4_3_PPP1R12C.pdf</v>
      </c>
    </row>
    <row r="5190" spans="1:28" x14ac:dyDescent="0.25">
      <c r="A5190" t="s">
        <v>5194</v>
      </c>
      <c r="B5190">
        <v>0.99987803227770999</v>
      </c>
      <c r="C5190">
        <v>1.0769831387396001</v>
      </c>
      <c r="D5190">
        <v>0.62423677303903402</v>
      </c>
      <c r="E5190">
        <v>0.39786995091893701</v>
      </c>
      <c r="F5190">
        <v>0.206726717677404</v>
      </c>
      <c r="G5190">
        <v>0.13473889806635</v>
      </c>
      <c r="H5190">
        <v>9.3288953745421704E-2</v>
      </c>
      <c r="I5190">
        <v>0.11248304987225299</v>
      </c>
      <c r="J5190">
        <v>4.5721134900480499E-2</v>
      </c>
      <c r="K5190">
        <v>3.3058349287901898E-2</v>
      </c>
      <c r="L5190">
        <v>956.63365287811803</v>
      </c>
      <c r="M5190">
        <v>19.9161251176041</v>
      </c>
      <c r="N5190">
        <v>48.420880186578202</v>
      </c>
      <c r="O5190">
        <v>47.556722627788801</v>
      </c>
      <c r="P5190">
        <v>-9.6982374436171401E-2</v>
      </c>
      <c r="Q5190">
        <v>7.3713142616314703E-2</v>
      </c>
      <c r="R5190">
        <v>0.97095694511771002</v>
      </c>
      <c r="S5190" t="s">
        <v>11501</v>
      </c>
      <c r="T5190" t="s">
        <v>12620</v>
      </c>
      <c r="U5190" t="s">
        <v>12620</v>
      </c>
      <c r="V5190" t="s">
        <v>12620</v>
      </c>
      <c r="W5190" t="s">
        <v>17753</v>
      </c>
      <c r="X5190">
        <v>4</v>
      </c>
      <c r="Y5190" t="s">
        <v>23854</v>
      </c>
      <c r="Z5190" t="s">
        <v>30137</v>
      </c>
      <c r="AA5190">
        <v>0.33501808031392699</v>
      </c>
      <c r="AB5190" t="str">
        <f>HYPERLINK("Melting_Curves/meltCurve_Q9BZL6_PRKD2.pdf", "Melting_Curves/meltCurve_Q9BZL6_PRKD2.pdf")</f>
        <v>Melting_Curves/meltCurve_Q9BZL6_PRKD2.pdf</v>
      </c>
    </row>
    <row r="5191" spans="1:28" x14ac:dyDescent="0.25">
      <c r="A5191" t="s">
        <v>5195</v>
      </c>
      <c r="B5191">
        <v>0.99987803227770999</v>
      </c>
      <c r="C5191">
        <v>0.85070387026021799</v>
      </c>
      <c r="D5191">
        <v>0.60838264029482703</v>
      </c>
      <c r="E5191">
        <v>0.44308151485277503</v>
      </c>
      <c r="F5191">
        <v>0.21620468385362901</v>
      </c>
      <c r="G5191">
        <v>0.14142553634338501</v>
      </c>
      <c r="H5191">
        <v>6.6511432024568801E-2</v>
      </c>
      <c r="I5191">
        <v>4.8503945697833201E-2</v>
      </c>
      <c r="J5191">
        <v>2.8395340354157399E-2</v>
      </c>
      <c r="K5191">
        <v>2.2006937913322099E-2</v>
      </c>
      <c r="L5191">
        <v>643.92807322759404</v>
      </c>
      <c r="M5191">
        <v>13.334403713092501</v>
      </c>
      <c r="N5191">
        <v>48.369266905422599</v>
      </c>
      <c r="O5191">
        <v>47.243414254388398</v>
      </c>
      <c r="P5191">
        <v>-6.9817737601069602E-2</v>
      </c>
      <c r="Q5191">
        <v>1.07092992602761E-2</v>
      </c>
      <c r="R5191">
        <v>0.99167342146647397</v>
      </c>
      <c r="S5191" t="s">
        <v>11502</v>
      </c>
      <c r="T5191" t="s">
        <v>12620</v>
      </c>
      <c r="U5191" t="s">
        <v>12620</v>
      </c>
      <c r="V5191" t="s">
        <v>12620</v>
      </c>
      <c r="W5191" t="s">
        <v>17754</v>
      </c>
      <c r="X5191">
        <v>7</v>
      </c>
      <c r="Y5191" t="s">
        <v>23855</v>
      </c>
      <c r="Z5191" t="s">
        <v>30138</v>
      </c>
      <c r="AA5191">
        <v>0.31553819044704601</v>
      </c>
      <c r="AB5191" t="str">
        <f>HYPERLINK("Melting_Curves/meltCurve_Q9BZX2_UCK2.pdf", "Melting_Curves/meltCurve_Q9BZX2_UCK2.pdf")</f>
        <v>Melting_Curves/meltCurve_Q9BZX2_UCK2.pdf</v>
      </c>
    </row>
    <row r="5192" spans="1:28" x14ac:dyDescent="0.25">
      <c r="A5192" t="s">
        <v>5196</v>
      </c>
      <c r="B5192">
        <v>0.99987803227770999</v>
      </c>
      <c r="C5192">
        <v>1.0023451011129201</v>
      </c>
      <c r="D5192">
        <v>1.05636708457435</v>
      </c>
      <c r="E5192">
        <v>1.0355275568308</v>
      </c>
      <c r="F5192">
        <v>1.04313681201134</v>
      </c>
      <c r="G5192">
        <v>0.40273862306547298</v>
      </c>
      <c r="H5192">
        <v>0.14543882871967101</v>
      </c>
      <c r="I5192">
        <v>0.131534481820095</v>
      </c>
      <c r="J5192">
        <v>9.3539182033357704E-2</v>
      </c>
      <c r="K5192">
        <v>7.1373871031326599E-2</v>
      </c>
      <c r="L5192">
        <v>10250.274862424099</v>
      </c>
      <c r="M5192">
        <v>180.54406145775101</v>
      </c>
      <c r="N5192">
        <v>56.852987374540803</v>
      </c>
      <c r="O5192">
        <v>56.767401754776401</v>
      </c>
      <c r="P5192">
        <v>-0.70726883057264101</v>
      </c>
      <c r="Q5192">
        <v>0.110470578334499</v>
      </c>
      <c r="R5192">
        <v>0.99489447044299895</v>
      </c>
      <c r="S5192" t="s">
        <v>11503</v>
      </c>
      <c r="T5192" t="s">
        <v>12620</v>
      </c>
      <c r="U5192" t="s">
        <v>12620</v>
      </c>
      <c r="V5192" t="s">
        <v>12620</v>
      </c>
      <c r="W5192" t="s">
        <v>17755</v>
      </c>
      <c r="X5192">
        <v>26</v>
      </c>
      <c r="Y5192" t="s">
        <v>23856</v>
      </c>
      <c r="Z5192" t="s">
        <v>30139</v>
      </c>
      <c r="AA5192">
        <v>0.60801699635728879</v>
      </c>
      <c r="AB5192" t="str">
        <f>HYPERLINK("Melting_Curves/meltCurve_Q9BZZ5_2_API5.pdf", "Melting_Curves/meltCurve_Q9BZZ5_2_API5.pdf")</f>
        <v>Melting_Curves/meltCurve_Q9BZZ5_2_API5.pdf</v>
      </c>
    </row>
    <row r="5193" spans="1:28" x14ac:dyDescent="0.25">
      <c r="A5193" t="s">
        <v>5197</v>
      </c>
      <c r="B5193">
        <v>0.99987803227770999</v>
      </c>
      <c r="C5193">
        <v>0.96291881582940297</v>
      </c>
      <c r="D5193">
        <v>0.94464754464325695</v>
      </c>
      <c r="E5193">
        <v>0.93562790215852198</v>
      </c>
      <c r="F5193">
        <v>1.1466051870715399</v>
      </c>
      <c r="G5193">
        <v>0.884778055999212</v>
      </c>
      <c r="H5193">
        <v>1.1574273375732</v>
      </c>
      <c r="I5193">
        <v>1.0376440546632</v>
      </c>
      <c r="J5193">
        <v>1.2993038939008299</v>
      </c>
      <c r="K5193">
        <v>1.0808135158885199</v>
      </c>
      <c r="L5193">
        <v>14797.8147138652</v>
      </c>
      <c r="M5193">
        <v>250</v>
      </c>
      <c r="O5193">
        <v>59.187460284377401</v>
      </c>
      <c r="P5193">
        <v>0.15186373647307999</v>
      </c>
      <c r="Q5193">
        <v>1.1438148878988099</v>
      </c>
      <c r="R5193">
        <v>0.42962410601947698</v>
      </c>
      <c r="S5193" t="s">
        <v>11504</v>
      </c>
      <c r="T5193" t="s">
        <v>12620</v>
      </c>
      <c r="U5193" t="s">
        <v>12620</v>
      </c>
      <c r="V5193" t="s">
        <v>12620</v>
      </c>
      <c r="W5193" t="s">
        <v>17756</v>
      </c>
      <c r="X5193">
        <v>5</v>
      </c>
      <c r="Y5193" t="s">
        <v>23857</v>
      </c>
      <c r="Z5193" t="s">
        <v>30140</v>
      </c>
      <c r="AA5193">
        <v>1.0518003237480871</v>
      </c>
      <c r="AB5193" t="str">
        <f>HYPERLINK("Melting_Curves/meltCurve_Q9C005_DPY30.pdf", "Melting_Curves/meltCurve_Q9C005_DPY30.pdf")</f>
        <v>Melting_Curves/meltCurve_Q9C005_DPY30.pdf</v>
      </c>
    </row>
    <row r="5194" spans="1:28" x14ac:dyDescent="0.25">
      <c r="A5194" t="s">
        <v>5198</v>
      </c>
      <c r="B5194">
        <v>0.99987803227770999</v>
      </c>
      <c r="C5194">
        <v>0.95807030644436897</v>
      </c>
      <c r="D5194">
        <v>0.93651164754880301</v>
      </c>
      <c r="E5194">
        <v>0.72277941859494599</v>
      </c>
      <c r="F5194">
        <v>0.76315144476823504</v>
      </c>
      <c r="G5194">
        <v>0.65610933377034697</v>
      </c>
      <c r="H5194">
        <v>0.57498142234560301</v>
      </c>
      <c r="I5194">
        <v>0.22215417616392799</v>
      </c>
      <c r="J5194">
        <v>0.124217892051708</v>
      </c>
      <c r="K5194">
        <v>8.5885499453219202E-2</v>
      </c>
      <c r="L5194">
        <v>639.46086373295395</v>
      </c>
      <c r="M5194">
        <v>10.861110971374</v>
      </c>
      <c r="N5194">
        <v>58.876170055633203</v>
      </c>
      <c r="O5194">
        <v>56.985733967841099</v>
      </c>
      <c r="P5194">
        <v>-4.7665258938803398E-2</v>
      </c>
      <c r="Q5194">
        <v>0</v>
      </c>
      <c r="R5194">
        <v>0.93174646475868095</v>
      </c>
      <c r="S5194" t="s">
        <v>11505</v>
      </c>
      <c r="T5194" t="s">
        <v>12620</v>
      </c>
      <c r="U5194" t="s">
        <v>12620</v>
      </c>
      <c r="V5194" t="s">
        <v>12620</v>
      </c>
      <c r="W5194" t="s">
        <v>17757</v>
      </c>
      <c r="X5194">
        <v>5</v>
      </c>
      <c r="Y5194" t="s">
        <v>23858</v>
      </c>
      <c r="Z5194" t="s">
        <v>30141</v>
      </c>
      <c r="AA5194">
        <v>0.63566006207564307</v>
      </c>
      <c r="AB5194" t="str">
        <f>HYPERLINK("Melting_Curves/meltCurve_Q9C026_5_TRIM9.pdf", "Melting_Curves/meltCurve_Q9C026_5_TRIM9.pdf")</f>
        <v>Melting_Curves/meltCurve_Q9C026_5_TRIM9.pdf</v>
      </c>
    </row>
    <row r="5195" spans="1:28" x14ac:dyDescent="0.25">
      <c r="A5195" t="s">
        <v>5199</v>
      </c>
      <c r="B5195">
        <v>0.99987803227770999</v>
      </c>
      <c r="C5195">
        <v>0.84757544792486705</v>
      </c>
      <c r="D5195">
        <v>1.40013085766451</v>
      </c>
      <c r="E5195">
        <v>0.62193371531626696</v>
      </c>
      <c r="F5195">
        <v>0.60813606818982302</v>
      </c>
      <c r="G5195">
        <v>0.37105500567349198</v>
      </c>
      <c r="H5195">
        <v>0.27146964281929897</v>
      </c>
      <c r="I5195">
        <v>0.41331723732636699</v>
      </c>
      <c r="J5195">
        <v>0.31775405899687797</v>
      </c>
      <c r="K5195">
        <v>0.231888741031123</v>
      </c>
      <c r="L5195">
        <v>1475.2448250152299</v>
      </c>
      <c r="M5195">
        <v>28.772665176194401</v>
      </c>
      <c r="N5195">
        <v>53.144906433098001</v>
      </c>
      <c r="O5195">
        <v>51.026686489148098</v>
      </c>
      <c r="P5195">
        <v>-9.6060683909114195E-2</v>
      </c>
      <c r="Q5195">
        <v>0.31857258996201399</v>
      </c>
      <c r="R5195">
        <v>0.79860445513739797</v>
      </c>
      <c r="S5195" t="s">
        <v>11506</v>
      </c>
      <c r="T5195" t="s">
        <v>12620</v>
      </c>
      <c r="U5195" t="s">
        <v>12620</v>
      </c>
      <c r="V5195" t="s">
        <v>12620</v>
      </c>
      <c r="W5195" t="s">
        <v>17758</v>
      </c>
      <c r="X5195">
        <v>3</v>
      </c>
      <c r="Y5195" t="s">
        <v>23859</v>
      </c>
      <c r="Z5195" t="s">
        <v>30142</v>
      </c>
      <c r="AA5195">
        <v>0.57929507607038977</v>
      </c>
      <c r="AB5195" t="str">
        <f>HYPERLINK("Melting_Curves/meltCurve_Q9C029_1_TRIM7.pdf", "Melting_Curves/meltCurve_Q9C029_1_TRIM7.pdf")</f>
        <v>Melting_Curves/meltCurve_Q9C029_1_TRIM7.pdf</v>
      </c>
    </row>
    <row r="5196" spans="1:28" x14ac:dyDescent="0.25">
      <c r="A5196" t="s">
        <v>5200</v>
      </c>
      <c r="B5196">
        <v>0.99987803227770999</v>
      </c>
      <c r="C5196">
        <v>0.83390308787705103</v>
      </c>
      <c r="D5196">
        <v>0.80026103625551703</v>
      </c>
      <c r="E5196">
        <v>7.8840197450804006E-2</v>
      </c>
      <c r="F5196">
        <v>0.264556941371138</v>
      </c>
      <c r="G5196">
        <v>0.176445606910061</v>
      </c>
      <c r="H5196">
        <v>0.185151154036543</v>
      </c>
      <c r="I5196">
        <v>0.17685381228077501</v>
      </c>
      <c r="J5196">
        <v>0.10604542004530999</v>
      </c>
      <c r="K5196">
        <v>6.9628831597327606E-2</v>
      </c>
      <c r="L5196">
        <v>9658.9865045938805</v>
      </c>
      <c r="M5196">
        <v>208.799259951083</v>
      </c>
      <c r="N5196">
        <v>46.339518200646701</v>
      </c>
      <c r="O5196">
        <v>46.255434710311803</v>
      </c>
      <c r="P5196">
        <v>-0.95802259984733795</v>
      </c>
      <c r="Q5196">
        <v>0.15107455370322001</v>
      </c>
      <c r="R5196">
        <v>0.95109742810210196</v>
      </c>
      <c r="S5196" t="s">
        <v>11507</v>
      </c>
      <c r="T5196" t="s">
        <v>12620</v>
      </c>
      <c r="U5196" t="s">
        <v>12620</v>
      </c>
      <c r="V5196" t="s">
        <v>12620</v>
      </c>
      <c r="W5196" t="s">
        <v>17759</v>
      </c>
      <c r="X5196">
        <v>8</v>
      </c>
      <c r="Y5196" t="s">
        <v>23860</v>
      </c>
      <c r="Z5196" t="s">
        <v>30143</v>
      </c>
      <c r="AA5196">
        <v>0.32830669320874639</v>
      </c>
      <c r="AB5196" t="str">
        <f>HYPERLINK("Melting_Curves/meltCurve_Q9C035_2_TRIM5.pdf", "Melting_Curves/meltCurve_Q9C035_2_TRIM5.pdf")</f>
        <v>Melting_Curves/meltCurve_Q9C035_2_TRIM5.pdf</v>
      </c>
    </row>
    <row r="5197" spans="1:28" x14ac:dyDescent="0.25">
      <c r="A5197" t="s">
        <v>5201</v>
      </c>
      <c r="B5197">
        <v>0.99987803227770999</v>
      </c>
      <c r="C5197">
        <v>0.92177758697027201</v>
      </c>
      <c r="D5197">
        <v>0.92682008996420295</v>
      </c>
      <c r="E5197">
        <v>0.86395692460218299</v>
      </c>
      <c r="F5197">
        <v>0.88823667387511496</v>
      </c>
      <c r="G5197">
        <v>0.66316043239683797</v>
      </c>
      <c r="H5197">
        <v>0.48722811534396299</v>
      </c>
      <c r="I5197">
        <v>0.47885366939886798</v>
      </c>
      <c r="J5197">
        <v>0.33801390058474101</v>
      </c>
      <c r="K5197">
        <v>0.31957452513846102</v>
      </c>
      <c r="L5197">
        <v>568.24303372022996</v>
      </c>
      <c r="M5197">
        <v>9.4301328441122596</v>
      </c>
      <c r="N5197">
        <v>62.021157556358403</v>
      </c>
      <c r="O5197">
        <v>57.734901502517701</v>
      </c>
      <c r="P5197">
        <v>-3.6055062821031797E-2</v>
      </c>
      <c r="Q5197">
        <v>0.117564949020329</v>
      </c>
      <c r="R5197">
        <v>0.97465476343447799</v>
      </c>
      <c r="S5197" t="s">
        <v>11508</v>
      </c>
      <c r="T5197" t="s">
        <v>12620</v>
      </c>
      <c r="U5197" t="s">
        <v>12620</v>
      </c>
      <c r="V5197" t="s">
        <v>12620</v>
      </c>
      <c r="W5197" t="s">
        <v>17760</v>
      </c>
      <c r="X5197">
        <v>2</v>
      </c>
      <c r="Y5197" t="s">
        <v>23861</v>
      </c>
      <c r="Z5197" t="s">
        <v>30144</v>
      </c>
      <c r="AA5197">
        <v>0.70572916319575163</v>
      </c>
      <c r="AB5197" t="str">
        <f>HYPERLINK("Melting_Curves/meltCurve_Q9C073_FAM117A.pdf", "Melting_Curves/meltCurve_Q9C073_FAM117A.pdf")</f>
        <v>Melting_Curves/meltCurve_Q9C073_FAM117A.pdf</v>
      </c>
    </row>
    <row r="5198" spans="1:28" x14ac:dyDescent="0.25">
      <c r="A5198" t="s">
        <v>5202</v>
      </c>
      <c r="B5198">
        <v>0.99987803227770999</v>
      </c>
      <c r="C5198">
        <v>0.94517028055484098</v>
      </c>
      <c r="D5198">
        <v>1.0709305867662799</v>
      </c>
      <c r="E5198">
        <v>0.88269988018130097</v>
      </c>
      <c r="F5198">
        <v>0.89259835199042903</v>
      </c>
      <c r="G5198">
        <v>0.57629291475880295</v>
      </c>
      <c r="H5198">
        <v>0.49472769432397701</v>
      </c>
      <c r="I5198">
        <v>0.42298622515818002</v>
      </c>
      <c r="J5198">
        <v>0.39509992593439303</v>
      </c>
      <c r="K5198">
        <v>0.30342519438061499</v>
      </c>
      <c r="L5198">
        <v>990.21495281621901</v>
      </c>
      <c r="M5198">
        <v>17.563064836676901</v>
      </c>
      <c r="N5198">
        <v>60.035710065694701</v>
      </c>
      <c r="O5198">
        <v>55.664831251650497</v>
      </c>
      <c r="P5198">
        <v>-5.29797120681577E-2</v>
      </c>
      <c r="Q5198">
        <v>0.328375438716278</v>
      </c>
      <c r="R5198">
        <v>0.96910055265333805</v>
      </c>
      <c r="S5198" t="s">
        <v>11509</v>
      </c>
      <c r="T5198" t="s">
        <v>12620</v>
      </c>
      <c r="U5198" t="s">
        <v>12620</v>
      </c>
      <c r="V5198" t="s">
        <v>12620</v>
      </c>
      <c r="W5198" t="s">
        <v>17761</v>
      </c>
      <c r="X5198">
        <v>14</v>
      </c>
      <c r="Y5198" t="s">
        <v>23862</v>
      </c>
      <c r="Z5198" t="s">
        <v>30145</v>
      </c>
      <c r="AA5198">
        <v>0.70501644765469063</v>
      </c>
      <c r="AB5198" t="str">
        <f>HYPERLINK("Melting_Curves/meltCurve_Q9C0B0_UNK.pdf", "Melting_Curves/meltCurve_Q9C0B0_UNK.pdf")</f>
        <v>Melting_Curves/meltCurve_Q9C0B0_UNK.pdf</v>
      </c>
    </row>
    <row r="5199" spans="1:28" x14ac:dyDescent="0.25">
      <c r="A5199" t="s">
        <v>5203</v>
      </c>
      <c r="B5199">
        <v>0.99987803227770999</v>
      </c>
      <c r="C5199">
        <v>0.99686525412598503</v>
      </c>
      <c r="D5199">
        <v>1.0425359551320901</v>
      </c>
      <c r="E5199">
        <v>0.83907586812108104</v>
      </c>
      <c r="F5199">
        <v>0.61593468059594003</v>
      </c>
      <c r="G5199">
        <v>0.46843549794112099</v>
      </c>
      <c r="H5199">
        <v>0.39872638806434402</v>
      </c>
      <c r="I5199">
        <v>0.32632680526160202</v>
      </c>
      <c r="J5199">
        <v>0.24441015459623</v>
      </c>
      <c r="K5199">
        <v>0.17596707714005699</v>
      </c>
      <c r="L5199">
        <v>795.73868165066699</v>
      </c>
      <c r="M5199">
        <v>14.617793027939999</v>
      </c>
      <c r="N5199">
        <v>56.463181556813602</v>
      </c>
      <c r="O5199">
        <v>53.4479748102112</v>
      </c>
      <c r="P5199">
        <v>-5.44218478729342E-2</v>
      </c>
      <c r="Q5199">
        <v>0.204144574168762</v>
      </c>
      <c r="R5199">
        <v>0.97852649905961897</v>
      </c>
      <c r="S5199" t="s">
        <v>11510</v>
      </c>
      <c r="T5199" t="s">
        <v>12620</v>
      </c>
      <c r="U5199" t="s">
        <v>12620</v>
      </c>
      <c r="V5199" t="s">
        <v>12620</v>
      </c>
      <c r="W5199" t="s">
        <v>17762</v>
      </c>
      <c r="X5199">
        <v>18</v>
      </c>
      <c r="Y5199" t="s">
        <v>23863</v>
      </c>
      <c r="Z5199" t="s">
        <v>30146</v>
      </c>
      <c r="AA5199">
        <v>0.60352318677550698</v>
      </c>
      <c r="AB5199" t="str">
        <f>HYPERLINK("Melting_Curves/meltCurve_Q9C0B1_FTO.pdf", "Melting_Curves/meltCurve_Q9C0B1_FTO.pdf")</f>
        <v>Melting_Curves/meltCurve_Q9C0B1_FTO.pdf</v>
      </c>
    </row>
    <row r="5200" spans="1:28" x14ac:dyDescent="0.25">
      <c r="A5200" t="s">
        <v>5204</v>
      </c>
      <c r="B5200">
        <v>0.99987803227770999</v>
      </c>
      <c r="C5200">
        <v>0.90566799982184498</v>
      </c>
      <c r="D5200">
        <v>1.03759164940707</v>
      </c>
      <c r="E5200">
        <v>0.89199582901975005</v>
      </c>
      <c r="F5200">
        <v>1.18552107664357</v>
      </c>
      <c r="G5200">
        <v>1.03392233181574</v>
      </c>
      <c r="H5200">
        <v>1.1092321881766301</v>
      </c>
      <c r="I5200">
        <v>1.11413206916088</v>
      </c>
      <c r="J5200">
        <v>1.1327177411228799</v>
      </c>
      <c r="K5200">
        <v>0.97050264593818503</v>
      </c>
      <c r="L5200">
        <v>3024.3287247653998</v>
      </c>
      <c r="M5200">
        <v>58.694575768456403</v>
      </c>
      <c r="O5200">
        <v>51.466853287242401</v>
      </c>
      <c r="P5200">
        <v>2.4935534438412399E-2</v>
      </c>
      <c r="Q5200">
        <v>1.08745969629225</v>
      </c>
      <c r="R5200">
        <v>0.33843279206681198</v>
      </c>
      <c r="S5200" t="s">
        <v>11511</v>
      </c>
      <c r="T5200" t="s">
        <v>12620</v>
      </c>
      <c r="U5200" t="s">
        <v>12620</v>
      </c>
      <c r="V5200" t="s">
        <v>12620</v>
      </c>
      <c r="W5200" t="s">
        <v>17763</v>
      </c>
      <c r="X5200">
        <v>8</v>
      </c>
      <c r="Y5200" t="s">
        <v>23864</v>
      </c>
      <c r="Z5200" t="s">
        <v>30147</v>
      </c>
      <c r="AA5200">
        <v>1.053712061170982</v>
      </c>
      <c r="AB5200" t="str">
        <f>HYPERLINK("Melting_Curves/meltCurve_Q9C0B5_2_ZDHHC5.pdf", "Melting_Curves/meltCurve_Q9C0B5_2_ZDHHC5.pdf")</f>
        <v>Melting_Curves/meltCurve_Q9C0B5_2_ZDHHC5.pdf</v>
      </c>
    </row>
    <row r="5201" spans="1:28" x14ac:dyDescent="0.25">
      <c r="A5201" t="s">
        <v>5205</v>
      </c>
      <c r="B5201">
        <v>0.99987803227770999</v>
      </c>
      <c r="C5201">
        <v>1.0592195108339499</v>
      </c>
      <c r="D5201">
        <v>0.93989131532723302</v>
      </c>
      <c r="E5201">
        <v>0.67608118777697102</v>
      </c>
      <c r="F5201">
        <v>0.311481828813366</v>
      </c>
      <c r="G5201">
        <v>0.212460884059163</v>
      </c>
      <c r="H5201">
        <v>0.14995027207200101</v>
      </c>
      <c r="I5201">
        <v>0.134168505833616</v>
      </c>
      <c r="J5201">
        <v>9.8908272233602296E-2</v>
      </c>
      <c r="K5201">
        <v>7.51301503875762E-2</v>
      </c>
      <c r="L5201">
        <v>1375.4914380324699</v>
      </c>
      <c r="M5201">
        <v>27.032554210724001</v>
      </c>
      <c r="N5201">
        <v>51.3939065005654</v>
      </c>
      <c r="O5201">
        <v>50.606772103799599</v>
      </c>
      <c r="P5201">
        <v>-0.117803012741372</v>
      </c>
      <c r="Q5201">
        <v>0.117867832723902</v>
      </c>
      <c r="R5201">
        <v>0.99276853301596402</v>
      </c>
      <c r="S5201" t="s">
        <v>11512</v>
      </c>
      <c r="T5201" t="s">
        <v>12620</v>
      </c>
      <c r="U5201" t="s">
        <v>12620</v>
      </c>
      <c r="V5201" t="s">
        <v>12620</v>
      </c>
      <c r="W5201" t="s">
        <v>17764</v>
      </c>
      <c r="X5201">
        <v>14</v>
      </c>
      <c r="Y5201" t="s">
        <v>23865</v>
      </c>
      <c r="Z5201" t="s">
        <v>30148</v>
      </c>
      <c r="AA5201">
        <v>0.44468613972910631</v>
      </c>
      <c r="AB5201" t="str">
        <f>HYPERLINK("Melting_Curves/meltCurve_Q9C0B7_TANGO6.pdf", "Melting_Curves/meltCurve_Q9C0B7_TANGO6.pdf")</f>
        <v>Melting_Curves/meltCurve_Q9C0B7_TANGO6.pdf</v>
      </c>
    </row>
    <row r="5202" spans="1:28" x14ac:dyDescent="0.25">
      <c r="A5202" t="s">
        <v>5206</v>
      </c>
      <c r="B5202">
        <v>0.99987803227770999</v>
      </c>
      <c r="C5202">
        <v>0.97663725254582601</v>
      </c>
      <c r="D5202">
        <v>0.96938960655838802</v>
      </c>
      <c r="E5202">
        <v>1.05499260825257</v>
      </c>
      <c r="F5202">
        <v>1.08416492295427</v>
      </c>
      <c r="G5202">
        <v>1.12812133637578</v>
      </c>
      <c r="H5202">
        <v>1.2864218609803</v>
      </c>
      <c r="I5202">
        <v>1.2150783779355301</v>
      </c>
      <c r="J5202">
        <v>1.1734597399152999</v>
      </c>
      <c r="K5202">
        <v>0.924303245554431</v>
      </c>
      <c r="L5202">
        <v>1675.6467401257</v>
      </c>
      <c r="M5202">
        <v>32.418404434723797</v>
      </c>
      <c r="O5202">
        <v>51.492648698590202</v>
      </c>
      <c r="P5202">
        <v>2.2907297206729599E-2</v>
      </c>
      <c r="Q5202">
        <v>1.14554098110153</v>
      </c>
      <c r="R5202">
        <v>0.38857242248638202</v>
      </c>
      <c r="S5202" t="s">
        <v>11513</v>
      </c>
      <c r="T5202" t="s">
        <v>12620</v>
      </c>
      <c r="U5202" t="s">
        <v>12620</v>
      </c>
      <c r="V5202" t="s">
        <v>12620</v>
      </c>
      <c r="W5202" t="s">
        <v>17765</v>
      </c>
      <c r="X5202">
        <v>69</v>
      </c>
      <c r="Y5202" t="s">
        <v>23866</v>
      </c>
      <c r="Z5202" t="s">
        <v>30149</v>
      </c>
      <c r="AA5202">
        <v>1.088044854568988</v>
      </c>
      <c r="AB5202" t="str">
        <f>HYPERLINK("Melting_Curves/meltCurve_Q9C0C2_TNKS1BP1.pdf", "Melting_Curves/meltCurve_Q9C0C2_TNKS1BP1.pdf")</f>
        <v>Melting_Curves/meltCurve_Q9C0C2_TNKS1BP1.pdf</v>
      </c>
    </row>
    <row r="5203" spans="1:28" x14ac:dyDescent="0.25">
      <c r="A5203" t="s">
        <v>5207</v>
      </c>
      <c r="B5203">
        <v>0.99987803227770999</v>
      </c>
      <c r="C5203">
        <v>0.90724222752684602</v>
      </c>
      <c r="D5203">
        <v>0.88325846689774201</v>
      </c>
      <c r="E5203">
        <v>0.915475863875578</v>
      </c>
      <c r="F5203">
        <v>0.918823059975861</v>
      </c>
      <c r="G5203">
        <v>0.74935079841987795</v>
      </c>
      <c r="H5203">
        <v>0.60599585948186396</v>
      </c>
      <c r="I5203">
        <v>0.77402588747549705</v>
      </c>
      <c r="J5203">
        <v>0.556233935952821</v>
      </c>
      <c r="K5203">
        <v>0.53522869758120795</v>
      </c>
      <c r="L5203">
        <v>329.39789886785701</v>
      </c>
      <c r="M5203">
        <v>4.5312220524300999</v>
      </c>
      <c r="O5203">
        <v>61.898239807572203</v>
      </c>
      <c r="P5203">
        <v>-1.8457514697075399E-2</v>
      </c>
      <c r="Q5203">
        <v>0</v>
      </c>
      <c r="R5203">
        <v>0.84316687741402196</v>
      </c>
      <c r="S5203" t="s">
        <v>11514</v>
      </c>
      <c r="T5203" t="s">
        <v>12620</v>
      </c>
      <c r="U5203" t="s">
        <v>12620</v>
      </c>
      <c r="V5203" t="s">
        <v>12620</v>
      </c>
      <c r="W5203" t="s">
        <v>17766</v>
      </c>
      <c r="X5203">
        <v>1</v>
      </c>
      <c r="Y5203" t="s">
        <v>23867</v>
      </c>
      <c r="Z5203" t="s">
        <v>30150</v>
      </c>
      <c r="AA5203">
        <v>0.79307128463295462</v>
      </c>
      <c r="AB5203" t="str">
        <f>HYPERLINK("Melting_Curves/meltCurve_Q9C0C7_4_AMBRA1.pdf", "Melting_Curves/meltCurve_Q9C0C7_4_AMBRA1.pdf")</f>
        <v>Melting_Curves/meltCurve_Q9C0C7_4_AMBRA1.pdf</v>
      </c>
    </row>
    <row r="5204" spans="1:28" x14ac:dyDescent="0.25">
      <c r="A5204" t="s">
        <v>5208</v>
      </c>
      <c r="B5204">
        <v>0.99987803227770999</v>
      </c>
      <c r="C5204">
        <v>1.2355674794534</v>
      </c>
      <c r="D5204">
        <v>0.97127150855048405</v>
      </c>
      <c r="E5204">
        <v>1.10102771552037</v>
      </c>
      <c r="F5204">
        <v>0.56673513498355998</v>
      </c>
      <c r="G5204">
        <v>0.43708414541740098</v>
      </c>
      <c r="H5204">
        <v>0.28972853169796597</v>
      </c>
      <c r="I5204">
        <v>0.18241008358282701</v>
      </c>
      <c r="J5204">
        <v>0.16562722480673001</v>
      </c>
      <c r="K5204">
        <v>0.104064965200655</v>
      </c>
      <c r="L5204">
        <v>1256.73367501495</v>
      </c>
      <c r="M5204">
        <v>23.039870389796299</v>
      </c>
      <c r="N5204">
        <v>55.464126617910097</v>
      </c>
      <c r="O5204">
        <v>54.140120108958598</v>
      </c>
      <c r="P5204">
        <v>-8.9524729684529597E-2</v>
      </c>
      <c r="Q5204">
        <v>0.15853894995644699</v>
      </c>
      <c r="R5204">
        <v>0.92507910312736596</v>
      </c>
      <c r="S5204" t="s">
        <v>11515</v>
      </c>
      <c r="T5204" t="s">
        <v>12620</v>
      </c>
      <c r="U5204" t="s">
        <v>12620</v>
      </c>
      <c r="V5204" t="s">
        <v>12620</v>
      </c>
      <c r="W5204" t="s">
        <v>17767</v>
      </c>
      <c r="X5204">
        <v>41</v>
      </c>
      <c r="Y5204" t="s">
        <v>19687</v>
      </c>
      <c r="Z5204" t="s">
        <v>30151</v>
      </c>
      <c r="AA5204">
        <v>0.57552381741814929</v>
      </c>
      <c r="AB5204" t="str">
        <f>HYPERLINK("Melting_Curves/meltCurve_Q9C0C9_UBE2O.pdf", "Melting_Curves/meltCurve_Q9C0C9_UBE2O.pdf")</f>
        <v>Melting_Curves/meltCurve_Q9C0C9_UBE2O.pdf</v>
      </c>
    </row>
    <row r="5205" spans="1:28" x14ac:dyDescent="0.25">
      <c r="A5205" t="s">
        <v>5209</v>
      </c>
      <c r="B5205">
        <v>0.99987803227770999</v>
      </c>
      <c r="C5205">
        <v>1.0848153625533099</v>
      </c>
      <c r="D5205">
        <v>0.91731918655304601</v>
      </c>
      <c r="E5205">
        <v>1.0457706961752899</v>
      </c>
      <c r="F5205">
        <v>0.65461089888219404</v>
      </c>
      <c r="G5205">
        <v>0.36654982484779097</v>
      </c>
      <c r="H5205">
        <v>0.17231859734240701</v>
      </c>
      <c r="I5205">
        <v>0.16130654508272199</v>
      </c>
      <c r="J5205">
        <v>0.104338656323834</v>
      </c>
      <c r="K5205">
        <v>8.52699170706811E-2</v>
      </c>
      <c r="L5205">
        <v>1410.4127211688101</v>
      </c>
      <c r="M5205">
        <v>25.814745616641002</v>
      </c>
      <c r="N5205">
        <v>55.173665766398798</v>
      </c>
      <c r="O5205">
        <v>54.311245873145197</v>
      </c>
      <c r="P5205">
        <v>-0.105613025908821</v>
      </c>
      <c r="Q5205">
        <v>0.111220296132195</v>
      </c>
      <c r="R5205">
        <v>0.97836093905661004</v>
      </c>
      <c r="S5205" t="s">
        <v>11516</v>
      </c>
      <c r="T5205" t="s">
        <v>12620</v>
      </c>
      <c r="U5205" t="s">
        <v>12620</v>
      </c>
      <c r="V5205" t="s">
        <v>12620</v>
      </c>
      <c r="W5205" t="s">
        <v>17768</v>
      </c>
      <c r="X5205">
        <v>12</v>
      </c>
      <c r="Y5205" t="s">
        <v>23868</v>
      </c>
      <c r="Z5205" t="s">
        <v>30152</v>
      </c>
      <c r="AA5205">
        <v>0.55259421013459897</v>
      </c>
      <c r="AB5205" t="str">
        <f>HYPERLINK("Melting_Curves/meltCurve_Q9C0D3_ZYG11B.pdf", "Melting_Curves/meltCurve_Q9C0D3_ZYG11B.pdf")</f>
        <v>Melting_Curves/meltCurve_Q9C0D3_ZYG11B.pdf</v>
      </c>
    </row>
    <row r="5206" spans="1:28" x14ac:dyDescent="0.25">
      <c r="A5206" t="s">
        <v>5210</v>
      </c>
      <c r="B5206">
        <v>0.99987803227770999</v>
      </c>
      <c r="C5206">
        <v>0.97792604867606603</v>
      </c>
      <c r="D5206">
        <v>0.901844784326438</v>
      </c>
      <c r="E5206">
        <v>0.67850933247891698</v>
      </c>
      <c r="F5206">
        <v>0.56664135367301205</v>
      </c>
      <c r="G5206">
        <v>0.41896829791444101</v>
      </c>
      <c r="H5206">
        <v>0.41459151929300597</v>
      </c>
      <c r="I5206">
        <v>0.39037640747110097</v>
      </c>
      <c r="J5206">
        <v>0.39438015831505502</v>
      </c>
      <c r="K5206">
        <v>0.32467817626669199</v>
      </c>
      <c r="L5206">
        <v>868.96781677314505</v>
      </c>
      <c r="M5206">
        <v>17.284368751908101</v>
      </c>
      <c r="N5206">
        <v>54.362964218613598</v>
      </c>
      <c r="O5206">
        <v>49.6162906267624</v>
      </c>
      <c r="P5206">
        <v>-5.5417945244017802E-2</v>
      </c>
      <c r="Q5206">
        <v>0.36370865856919898</v>
      </c>
      <c r="R5206">
        <v>0.99333350198667003</v>
      </c>
      <c r="S5206" t="s">
        <v>11517</v>
      </c>
      <c r="T5206" t="s">
        <v>12620</v>
      </c>
      <c r="U5206" t="s">
        <v>12620</v>
      </c>
      <c r="V5206" t="s">
        <v>12620</v>
      </c>
      <c r="W5206" t="s">
        <v>17769</v>
      </c>
      <c r="X5206">
        <v>15</v>
      </c>
      <c r="Y5206" t="s">
        <v>23869</v>
      </c>
      <c r="Z5206" t="s">
        <v>30153</v>
      </c>
      <c r="AA5206">
        <v>0.59329466890387805</v>
      </c>
      <c r="AB5206" t="str">
        <f>HYPERLINK("Melting_Curves/meltCurve_Q9C0D5_TANC1.pdf", "Melting_Curves/meltCurve_Q9C0D5_TANC1.pdf")</f>
        <v>Melting_Curves/meltCurve_Q9C0D5_TANC1.pdf</v>
      </c>
    </row>
    <row r="5207" spans="1:28" x14ac:dyDescent="0.25">
      <c r="A5207" t="s">
        <v>5211</v>
      </c>
      <c r="B5207">
        <v>0.99987803227770999</v>
      </c>
      <c r="C5207">
        <v>0.99303639822885004</v>
      </c>
      <c r="D5207">
        <v>0.94673244253687205</v>
      </c>
      <c r="E5207">
        <v>0.81309531166035698</v>
      </c>
      <c r="F5207">
        <v>0.530401067931077</v>
      </c>
      <c r="G5207">
        <v>0.29401282227682202</v>
      </c>
      <c r="H5207">
        <v>0.20403525384028701</v>
      </c>
      <c r="I5207">
        <v>0.15268416160537401</v>
      </c>
      <c r="J5207">
        <v>0.144021165566667</v>
      </c>
      <c r="K5207">
        <v>0.116898290254634</v>
      </c>
      <c r="L5207">
        <v>1070.2355541817101</v>
      </c>
      <c r="M5207">
        <v>20.254959867881801</v>
      </c>
      <c r="N5207">
        <v>53.628963062399301</v>
      </c>
      <c r="O5207">
        <v>52.331239678178797</v>
      </c>
      <c r="P5207">
        <v>-8.4274303424380706E-2</v>
      </c>
      <c r="Q5207">
        <v>0.129093675630506</v>
      </c>
      <c r="R5207">
        <v>0.99857281759942595</v>
      </c>
      <c r="S5207" t="s">
        <v>11518</v>
      </c>
      <c r="T5207" t="s">
        <v>12620</v>
      </c>
      <c r="U5207" t="s">
        <v>12620</v>
      </c>
      <c r="V5207" t="s">
        <v>12620</v>
      </c>
      <c r="W5207" t="s">
        <v>17770</v>
      </c>
      <c r="X5207">
        <v>6</v>
      </c>
      <c r="Y5207" t="s">
        <v>23870</v>
      </c>
      <c r="Z5207" t="s">
        <v>30154</v>
      </c>
      <c r="AA5207">
        <v>0.51352376597335814</v>
      </c>
      <c r="AB5207" t="str">
        <f>HYPERLINK("Melting_Curves/meltCurve_Q9C0F1_CEP44.pdf", "Melting_Curves/meltCurve_Q9C0F1_CEP44.pdf")</f>
        <v>Melting_Curves/meltCurve_Q9C0F1_CEP44.pdf</v>
      </c>
    </row>
    <row r="5208" spans="1:28" x14ac:dyDescent="0.25">
      <c r="A5208" t="s">
        <v>5212</v>
      </c>
      <c r="B5208">
        <v>0.99987803227770999</v>
      </c>
      <c r="C5208">
        <v>0.84374158129855203</v>
      </c>
      <c r="D5208">
        <v>0.93453760981049205</v>
      </c>
      <c r="E5208">
        <v>0.73626617693582397</v>
      </c>
      <c r="F5208">
        <v>0.91270723558970401</v>
      </c>
      <c r="G5208">
        <v>0.56376245992950502</v>
      </c>
      <c r="H5208">
        <v>0.68803491808235295</v>
      </c>
      <c r="I5208">
        <v>0.63394635738013405</v>
      </c>
      <c r="J5208">
        <v>0.316947091009112</v>
      </c>
      <c r="K5208">
        <v>0.23346346899667</v>
      </c>
      <c r="L5208">
        <v>427.79518373547398</v>
      </c>
      <c r="M5208">
        <v>6.7601008436845502</v>
      </c>
      <c r="N5208">
        <v>63.282367108985497</v>
      </c>
      <c r="O5208">
        <v>58.436129352952698</v>
      </c>
      <c r="P5208">
        <v>-2.89818042653689E-2</v>
      </c>
      <c r="Q5208">
        <v>0</v>
      </c>
      <c r="R5208">
        <v>0.80441477367883896</v>
      </c>
      <c r="S5208" t="s">
        <v>11519</v>
      </c>
      <c r="T5208" t="s">
        <v>12620</v>
      </c>
      <c r="U5208" t="s">
        <v>12620</v>
      </c>
      <c r="V5208" t="s">
        <v>12620</v>
      </c>
      <c r="W5208" t="s">
        <v>17771</v>
      </c>
      <c r="X5208">
        <v>4</v>
      </c>
      <c r="Y5208" t="s">
        <v>23871</v>
      </c>
      <c r="Z5208" t="s">
        <v>30155</v>
      </c>
      <c r="AA5208">
        <v>0.70783050466570485</v>
      </c>
      <c r="AB5208" t="str">
        <f>HYPERLINK("Melting_Curves/meltCurve_Q9C0H5_ARHGAP39.pdf", "Melting_Curves/meltCurve_Q9C0H5_ARHGAP39.pdf")</f>
        <v>Melting_Curves/meltCurve_Q9C0H5_ARHGAP39.pdf</v>
      </c>
    </row>
    <row r="5209" spans="1:28" x14ac:dyDescent="0.25">
      <c r="A5209" t="s">
        <v>5213</v>
      </c>
      <c r="B5209">
        <v>0.99987803227770999</v>
      </c>
      <c r="C5209">
        <v>1.0137926317247801</v>
      </c>
      <c r="D5209">
        <v>1.0093771092670301</v>
      </c>
      <c r="E5209">
        <v>1.10748566795204</v>
      </c>
      <c r="F5209">
        <v>0.904446184349736</v>
      </c>
      <c r="G5209">
        <v>0.75164706433772499</v>
      </c>
      <c r="H5209">
        <v>0.53265900337111804</v>
      </c>
      <c r="I5209">
        <v>0.220335050193916</v>
      </c>
      <c r="J5209">
        <v>0.152435954556699</v>
      </c>
      <c r="K5209">
        <v>0.115998984201772</v>
      </c>
      <c r="L5209">
        <v>1240.80997851601</v>
      </c>
      <c r="M5209">
        <v>20.548030212373501</v>
      </c>
      <c r="N5209">
        <v>60.6600444989473</v>
      </c>
      <c r="O5209">
        <v>59.8226301944215</v>
      </c>
      <c r="P5209">
        <v>-8.2064580581203E-2</v>
      </c>
      <c r="Q5209">
        <v>4.43511311464568E-2</v>
      </c>
      <c r="R5209">
        <v>0.98247368702782101</v>
      </c>
      <c r="S5209" t="s">
        <v>11520</v>
      </c>
      <c r="T5209" t="s">
        <v>12620</v>
      </c>
      <c r="U5209" t="s">
        <v>12620</v>
      </c>
      <c r="V5209" t="s">
        <v>12620</v>
      </c>
      <c r="W5209" t="s">
        <v>17772</v>
      </c>
      <c r="X5209">
        <v>8</v>
      </c>
      <c r="Y5209" t="s">
        <v>23872</v>
      </c>
      <c r="Z5209" t="s">
        <v>30156</v>
      </c>
      <c r="AA5209">
        <v>0.70097532118374728</v>
      </c>
      <c r="AB5209" t="str">
        <f>HYPERLINK("Melting_Curves/meltCurve_Q9C0I1_MTMR12.pdf", "Melting_Curves/meltCurve_Q9C0I1_MTMR12.pdf")</f>
        <v>Melting_Curves/meltCurve_Q9C0I1_MTMR12.pdf</v>
      </c>
    </row>
    <row r="5210" spans="1:28" x14ac:dyDescent="0.25">
      <c r="A5210" t="s">
        <v>5214</v>
      </c>
      <c r="B5210">
        <v>0.99987803227770999</v>
      </c>
      <c r="C5210">
        <v>0.933861301892706</v>
      </c>
      <c r="D5210">
        <v>0.966116540352839</v>
      </c>
      <c r="E5210">
        <v>0.84840598515334797</v>
      </c>
      <c r="F5210">
        <v>0.938015564741283</v>
      </c>
      <c r="G5210">
        <v>0.72958575852040297</v>
      </c>
      <c r="H5210">
        <v>0.79588128622298504</v>
      </c>
      <c r="I5210">
        <v>0.779961968827943</v>
      </c>
      <c r="J5210">
        <v>0.85604447139906004</v>
      </c>
      <c r="K5210">
        <v>0.64809049888292103</v>
      </c>
      <c r="L5210">
        <v>373.11843405131901</v>
      </c>
      <c r="M5210">
        <v>6.6908155606498303</v>
      </c>
      <c r="O5210">
        <v>51.417358690607401</v>
      </c>
      <c r="P5210">
        <v>-1.08683364566324E-2</v>
      </c>
      <c r="Q5210">
        <v>0.666646352270582</v>
      </c>
      <c r="R5210">
        <v>0.66798455863906703</v>
      </c>
      <c r="S5210" t="s">
        <v>11521</v>
      </c>
      <c r="T5210" t="s">
        <v>12620</v>
      </c>
      <c r="U5210" t="s">
        <v>12620</v>
      </c>
      <c r="V5210" t="s">
        <v>12620</v>
      </c>
      <c r="W5210" t="s">
        <v>17773</v>
      </c>
      <c r="X5210">
        <v>24</v>
      </c>
      <c r="Y5210" t="s">
        <v>23873</v>
      </c>
      <c r="Z5210" t="s">
        <v>30157</v>
      </c>
      <c r="AA5210">
        <v>0.84831939362456132</v>
      </c>
      <c r="AB5210" t="str">
        <f>HYPERLINK("Melting_Curves/meltCurve_Q9C0J8_WDR33.pdf", "Melting_Curves/meltCurve_Q9C0J8_WDR33.pdf")</f>
        <v>Melting_Curves/meltCurve_Q9C0J8_WDR33.pdf</v>
      </c>
    </row>
    <row r="5211" spans="1:28" x14ac:dyDescent="0.25">
      <c r="A5211" t="s">
        <v>5215</v>
      </c>
      <c r="B5211">
        <v>0.99987803227770999</v>
      </c>
      <c r="C5211">
        <v>1.08732036136217</v>
      </c>
      <c r="D5211">
        <v>0.93479781456186595</v>
      </c>
      <c r="E5211">
        <v>1.11605954851699</v>
      </c>
      <c r="F5211">
        <v>0.97131928815532698</v>
      </c>
      <c r="G5211">
        <v>1.0017595956027301</v>
      </c>
      <c r="H5211">
        <v>1.3629392120143</v>
      </c>
      <c r="I5211">
        <v>1.1966005067754699</v>
      </c>
      <c r="J5211">
        <v>1.17616236728602</v>
      </c>
      <c r="K5211">
        <v>0.495952633442721</v>
      </c>
      <c r="L5211">
        <v>15000</v>
      </c>
      <c r="M5211">
        <v>214.30170905123001</v>
      </c>
      <c r="N5211">
        <v>69.994775452034503</v>
      </c>
      <c r="O5211">
        <v>69.988679989839</v>
      </c>
      <c r="P5211">
        <v>-0.76548703976931198</v>
      </c>
      <c r="Q5211">
        <v>0</v>
      </c>
      <c r="R5211">
        <v>0.51562375634503499</v>
      </c>
      <c r="S5211" t="s">
        <v>11522</v>
      </c>
      <c r="T5211" t="s">
        <v>12620</v>
      </c>
      <c r="U5211" t="s">
        <v>12620</v>
      </c>
      <c r="V5211" t="s">
        <v>12620</v>
      </c>
      <c r="W5211" t="s">
        <v>17774</v>
      </c>
      <c r="X5211">
        <v>6</v>
      </c>
      <c r="Y5211" t="s">
        <v>23874</v>
      </c>
      <c r="Z5211" t="s">
        <v>30158</v>
      </c>
      <c r="AA5211">
        <v>0.99244841019035868</v>
      </c>
      <c r="AB5211" t="str">
        <f>HYPERLINK("Melting_Curves/meltCurve_Q9GZL7_WDR12.pdf", "Melting_Curves/meltCurve_Q9GZL7_WDR12.pdf")</f>
        <v>Melting_Curves/meltCurve_Q9GZL7_WDR12.pdf</v>
      </c>
    </row>
    <row r="5212" spans="1:28" x14ac:dyDescent="0.25">
      <c r="A5212" t="s">
        <v>5216</v>
      </c>
      <c r="B5212">
        <v>0.99987803227770999</v>
      </c>
      <c r="C5212">
        <v>0.879212186949198</v>
      </c>
      <c r="D5212">
        <v>0.999486610596798</v>
      </c>
      <c r="E5212">
        <v>0.87979175314211999</v>
      </c>
      <c r="F5212">
        <v>1.0075388859296199</v>
      </c>
      <c r="G5212">
        <v>0.819683263361901</v>
      </c>
      <c r="H5212">
        <v>0.47681100842042101</v>
      </c>
      <c r="I5212">
        <v>0.25757952115939797</v>
      </c>
      <c r="J5212">
        <v>0.132385016337948</v>
      </c>
      <c r="K5212">
        <v>9.2550065964809594E-2</v>
      </c>
      <c r="L5212">
        <v>1445.34701525747</v>
      </c>
      <c r="M5212">
        <v>23.898842720666099</v>
      </c>
      <c r="N5212">
        <v>60.767677583867901</v>
      </c>
      <c r="O5212">
        <v>60.059035646839099</v>
      </c>
      <c r="P5212">
        <v>-9.4121133013631897E-2</v>
      </c>
      <c r="Q5212">
        <v>5.3890072468592898E-2</v>
      </c>
      <c r="R5212">
        <v>0.97704100104170899</v>
      </c>
      <c r="S5212" t="s">
        <v>11523</v>
      </c>
      <c r="T5212" t="s">
        <v>12620</v>
      </c>
      <c r="U5212" t="s">
        <v>12620</v>
      </c>
      <c r="V5212" t="s">
        <v>12620</v>
      </c>
      <c r="W5212" t="s">
        <v>17775</v>
      </c>
      <c r="X5212">
        <v>9</v>
      </c>
      <c r="Y5212" t="s">
        <v>23875</v>
      </c>
      <c r="Z5212" t="s">
        <v>30159</v>
      </c>
      <c r="AA5212">
        <v>0.70642971593901505</v>
      </c>
      <c r="AB5212" t="str">
        <f>HYPERLINK("Melting_Curves/meltCurve_Q9GZN8_C20orf27.pdf", "Melting_Curves/meltCurve_Q9GZN8_C20orf27.pdf")</f>
        <v>Melting_Curves/meltCurve_Q9GZN8_C20orf27.pdf</v>
      </c>
    </row>
    <row r="5213" spans="1:28" x14ac:dyDescent="0.25">
      <c r="A5213" t="s">
        <v>5217</v>
      </c>
      <c r="B5213">
        <v>0.99987803227770999</v>
      </c>
      <c r="C5213">
        <v>0.82193836033002898</v>
      </c>
      <c r="D5213">
        <v>0.90842317915181803</v>
      </c>
      <c r="E5213">
        <v>0.881644475005261</v>
      </c>
      <c r="F5213">
        <v>1.1139648760659899</v>
      </c>
      <c r="G5213">
        <v>1.06839742863054</v>
      </c>
      <c r="H5213">
        <v>0.88166103995914202</v>
      </c>
      <c r="I5213">
        <v>0.69694288561179696</v>
      </c>
      <c r="J5213">
        <v>0.45638049521755097</v>
      </c>
      <c r="K5213">
        <v>0.22192030931738299</v>
      </c>
      <c r="L5213">
        <v>1723.2868647533701</v>
      </c>
      <c r="M5213">
        <v>26.107416466233701</v>
      </c>
      <c r="N5213">
        <v>66.308007634518404</v>
      </c>
      <c r="O5213">
        <v>65.623938704046196</v>
      </c>
      <c r="P5213">
        <v>-9.3911403678615904E-2</v>
      </c>
      <c r="Q5213">
        <v>5.5783052368198201E-2</v>
      </c>
      <c r="R5213">
        <v>0.892201838164841</v>
      </c>
      <c r="S5213" t="s">
        <v>11524</v>
      </c>
      <c r="T5213" t="s">
        <v>12620</v>
      </c>
      <c r="U5213" t="s">
        <v>12620</v>
      </c>
      <c r="V5213" t="s">
        <v>12620</v>
      </c>
      <c r="W5213" t="s">
        <v>17776</v>
      </c>
      <c r="X5213">
        <v>15</v>
      </c>
      <c r="Y5213" t="s">
        <v>23876</v>
      </c>
      <c r="Z5213" t="s">
        <v>30160</v>
      </c>
      <c r="AA5213">
        <v>0.86458712253869119</v>
      </c>
      <c r="AB5213" t="str">
        <f>HYPERLINK("Melting_Curves/meltCurve_Q9GZP4_PITHD1.pdf", "Melting_Curves/meltCurve_Q9GZP4_PITHD1.pdf")</f>
        <v>Melting_Curves/meltCurve_Q9GZP4_PITHD1.pdf</v>
      </c>
    </row>
    <row r="5214" spans="1:28" x14ac:dyDescent="0.25">
      <c r="A5214" t="s">
        <v>5218</v>
      </c>
      <c r="B5214">
        <v>0.99987803227770999</v>
      </c>
      <c r="C5214">
        <v>0.93404259987554294</v>
      </c>
      <c r="D5214">
        <v>0.93704334196016204</v>
      </c>
      <c r="E5214">
        <v>1.28282988352725</v>
      </c>
      <c r="F5214">
        <v>1.42191054244899</v>
      </c>
      <c r="G5214">
        <v>0.554378830692421</v>
      </c>
      <c r="H5214">
        <v>0.16845722247707301</v>
      </c>
      <c r="I5214">
        <v>0.112900718671543</v>
      </c>
      <c r="J5214">
        <v>9.7855394775560101E-2</v>
      </c>
      <c r="K5214">
        <v>6.7882886660163205E-2</v>
      </c>
      <c r="L5214">
        <v>12466.186598661499</v>
      </c>
      <c r="M5214">
        <v>218.71181852692499</v>
      </c>
      <c r="N5214">
        <v>57.064246050638502</v>
      </c>
      <c r="O5214">
        <v>56.993464742128197</v>
      </c>
      <c r="P5214">
        <v>-0.85213957760143699</v>
      </c>
      <c r="Q5214">
        <v>0.111773892254142</v>
      </c>
      <c r="R5214">
        <v>0.88932314874313501</v>
      </c>
      <c r="S5214" t="s">
        <v>11525</v>
      </c>
      <c r="T5214" t="s">
        <v>12620</v>
      </c>
      <c r="U5214" t="s">
        <v>12620</v>
      </c>
      <c r="V5214" t="s">
        <v>12620</v>
      </c>
      <c r="W5214" t="s">
        <v>17777</v>
      </c>
      <c r="X5214">
        <v>6</v>
      </c>
      <c r="Y5214" t="s">
        <v>23877</v>
      </c>
      <c r="Z5214" t="s">
        <v>30161</v>
      </c>
      <c r="AA5214">
        <v>0.61516572067921271</v>
      </c>
      <c r="AB5214" t="str">
        <f>HYPERLINK("Melting_Curves/meltCurve_Q9GZQ3_COMMD5.pdf", "Melting_Curves/meltCurve_Q9GZQ3_COMMD5.pdf")</f>
        <v>Melting_Curves/meltCurve_Q9GZQ3_COMMD5.pdf</v>
      </c>
    </row>
    <row r="5215" spans="1:28" x14ac:dyDescent="0.25">
      <c r="A5215" t="s">
        <v>5219</v>
      </c>
      <c r="B5215">
        <v>0.99987803227770999</v>
      </c>
      <c r="C5215">
        <v>0.860243455912993</v>
      </c>
      <c r="D5215">
        <v>0.95825532887934195</v>
      </c>
      <c r="E5215">
        <v>0.53013119117957397</v>
      </c>
      <c r="F5215">
        <v>0.41421691151849999</v>
      </c>
      <c r="G5215">
        <v>0.27699703395031</v>
      </c>
      <c r="H5215">
        <v>0.20145790239578701</v>
      </c>
      <c r="I5215">
        <v>0.18660434973065601</v>
      </c>
      <c r="J5215">
        <v>0.147175581769664</v>
      </c>
      <c r="K5215">
        <v>0.10954242493567901</v>
      </c>
      <c r="L5215">
        <v>824.77093685379896</v>
      </c>
      <c r="M5215">
        <v>16.370574703667199</v>
      </c>
      <c r="N5215">
        <v>51.411075693471297</v>
      </c>
      <c r="O5215">
        <v>49.647519854744999</v>
      </c>
      <c r="P5215">
        <v>-7.0916183203311195E-2</v>
      </c>
      <c r="Q5215">
        <v>0.139783339622917</v>
      </c>
      <c r="R5215">
        <v>0.97479304565533098</v>
      </c>
      <c r="S5215" t="s">
        <v>11526</v>
      </c>
      <c r="T5215" t="s">
        <v>12620</v>
      </c>
      <c r="U5215" t="s">
        <v>12620</v>
      </c>
      <c r="V5215" t="s">
        <v>12620</v>
      </c>
      <c r="W5215" t="s">
        <v>17778</v>
      </c>
      <c r="X5215">
        <v>9</v>
      </c>
      <c r="Y5215" t="s">
        <v>23878</v>
      </c>
      <c r="Z5215" t="s">
        <v>30162</v>
      </c>
      <c r="AA5215">
        <v>0.45482593868411142</v>
      </c>
      <c r="AB5215" t="str">
        <f>HYPERLINK("Melting_Curves/meltCurve_Q9GZR1_2_SENP6.pdf", "Melting_Curves/meltCurve_Q9GZR1_2_SENP6.pdf")</f>
        <v>Melting_Curves/meltCurve_Q9GZR1_2_SENP6.pdf</v>
      </c>
    </row>
    <row r="5216" spans="1:28" x14ac:dyDescent="0.25">
      <c r="A5216" t="s">
        <v>5220</v>
      </c>
      <c r="B5216">
        <v>0.99987803227770999</v>
      </c>
      <c r="C5216">
        <v>0.92023001115541803</v>
      </c>
      <c r="D5216">
        <v>0.830839612069871</v>
      </c>
      <c r="E5216">
        <v>0.493619536670798</v>
      </c>
      <c r="F5216">
        <v>0.30120243603006203</v>
      </c>
      <c r="G5216">
        <v>0.15762371907009901</v>
      </c>
      <c r="H5216">
        <v>0.142359648438528</v>
      </c>
      <c r="I5216">
        <v>0.112278847889902</v>
      </c>
      <c r="J5216">
        <v>0.125396717211508</v>
      </c>
      <c r="K5216">
        <v>0.120692650392277</v>
      </c>
      <c r="L5216">
        <v>939.62990694647306</v>
      </c>
      <c r="M5216">
        <v>19.067375326590199</v>
      </c>
      <c r="N5216">
        <v>49.942214229013899</v>
      </c>
      <c r="O5216">
        <v>48.747031217912799</v>
      </c>
      <c r="P5216">
        <v>-8.6860273835436597E-2</v>
      </c>
      <c r="Q5216">
        <v>0.111778649544494</v>
      </c>
      <c r="R5216">
        <v>0.99851606413676397</v>
      </c>
      <c r="S5216" t="s">
        <v>11527</v>
      </c>
      <c r="T5216" t="s">
        <v>12620</v>
      </c>
      <c r="U5216" t="s">
        <v>12620</v>
      </c>
      <c r="V5216" t="s">
        <v>12620</v>
      </c>
      <c r="W5216" t="s">
        <v>17779</v>
      </c>
      <c r="X5216">
        <v>5</v>
      </c>
      <c r="Y5216" t="s">
        <v>23879</v>
      </c>
      <c r="Z5216" t="s">
        <v>30163</v>
      </c>
      <c r="AA5216">
        <v>0.40017706814251069</v>
      </c>
      <c r="AB5216" t="str">
        <f>HYPERLINK("Melting_Curves/meltCurve_Q9GZS1_2_POLR1E.pdf", "Melting_Curves/meltCurve_Q9GZS1_2_POLR1E.pdf")</f>
        <v>Melting_Curves/meltCurve_Q9GZS1_2_POLR1E.pdf</v>
      </c>
    </row>
    <row r="5217" spans="1:28" x14ac:dyDescent="0.25">
      <c r="A5217" t="s">
        <v>5221</v>
      </c>
      <c r="B5217">
        <v>0.99987803227770999</v>
      </c>
      <c r="C5217">
        <v>0.83430002395444303</v>
      </c>
      <c r="D5217">
        <v>0.85517346282218698</v>
      </c>
      <c r="E5217">
        <v>0.82318834494842497</v>
      </c>
      <c r="F5217">
        <v>0.99434650550048098</v>
      </c>
      <c r="G5217">
        <v>0.50712214102784903</v>
      </c>
      <c r="H5217">
        <v>0.14307356305244101</v>
      </c>
      <c r="I5217">
        <v>0.118172069369406</v>
      </c>
      <c r="J5217">
        <v>8.2433400274878402E-2</v>
      </c>
      <c r="K5217">
        <v>6.7581758748205295E-2</v>
      </c>
      <c r="L5217">
        <v>2381.26094711007</v>
      </c>
      <c r="M5217">
        <v>41.909036991312497</v>
      </c>
      <c r="N5217">
        <v>57.081303408188802</v>
      </c>
      <c r="O5217">
        <v>56.690835616572002</v>
      </c>
      <c r="P5217">
        <v>-0.16866816413171101</v>
      </c>
      <c r="Q5217">
        <v>8.7364132252231899E-2</v>
      </c>
      <c r="R5217">
        <v>0.94423825096610303</v>
      </c>
      <c r="S5217" t="s">
        <v>11528</v>
      </c>
      <c r="T5217" t="s">
        <v>12620</v>
      </c>
      <c r="U5217" t="s">
        <v>12620</v>
      </c>
      <c r="V5217" t="s">
        <v>12620</v>
      </c>
      <c r="W5217" t="s">
        <v>17780</v>
      </c>
      <c r="X5217">
        <v>10</v>
      </c>
      <c r="Y5217" t="s">
        <v>23880</v>
      </c>
      <c r="Z5217" t="s">
        <v>30164</v>
      </c>
      <c r="AA5217">
        <v>0.60227972287333098</v>
      </c>
      <c r="AB5217" t="str">
        <f>HYPERLINK("Melting_Curves/meltCurve_Q9GZS3_WDR61.pdf", "Melting_Curves/meltCurve_Q9GZS3_WDR61.pdf")</f>
        <v>Melting_Curves/meltCurve_Q9GZS3_WDR61.pdf</v>
      </c>
    </row>
    <row r="5218" spans="1:28" x14ac:dyDescent="0.25">
      <c r="A5218" t="s">
        <v>5222</v>
      </c>
      <c r="B5218">
        <v>0.99987803227770999</v>
      </c>
      <c r="C5218">
        <v>1.07285298147266</v>
      </c>
      <c r="D5218">
        <v>0.56350423197356703</v>
      </c>
      <c r="E5218">
        <v>0.45382275062146599</v>
      </c>
      <c r="F5218">
        <v>0.43040501376759199</v>
      </c>
      <c r="G5218">
        <v>0.34084928394262098</v>
      </c>
      <c r="H5218">
        <v>0.27939804207997998</v>
      </c>
      <c r="I5218">
        <v>0.323281717979434</v>
      </c>
      <c r="J5218">
        <v>0.23218639082732201</v>
      </c>
      <c r="K5218">
        <v>0.242944131626986</v>
      </c>
      <c r="L5218">
        <v>11471.423128303</v>
      </c>
      <c r="M5218">
        <v>250</v>
      </c>
      <c r="N5218">
        <v>46.083456722477202</v>
      </c>
      <c r="O5218">
        <v>45.882734068526602</v>
      </c>
      <c r="P5218">
        <v>-0.91403632775169696</v>
      </c>
      <c r="Q5218">
        <v>0.32898390358909202</v>
      </c>
      <c r="R5218">
        <v>0.93918107946629603</v>
      </c>
      <c r="S5218" t="s">
        <v>11529</v>
      </c>
      <c r="T5218" t="s">
        <v>12620</v>
      </c>
      <c r="U5218" t="s">
        <v>12620</v>
      </c>
      <c r="V5218" t="s">
        <v>12620</v>
      </c>
      <c r="W5218" t="s">
        <v>17781</v>
      </c>
      <c r="X5218">
        <v>6</v>
      </c>
      <c r="Y5218" t="s">
        <v>23881</v>
      </c>
      <c r="Z5218" t="s">
        <v>30165</v>
      </c>
      <c r="AA5218">
        <v>0.46068442012340682</v>
      </c>
      <c r="AB5218" t="str">
        <f>HYPERLINK("Melting_Curves/meltCurve_Q9GZT3_2_SLIRP.pdf", "Melting_Curves/meltCurve_Q9GZT3_2_SLIRP.pdf")</f>
        <v>Melting_Curves/meltCurve_Q9GZT3_2_SLIRP.pdf</v>
      </c>
    </row>
    <row r="5219" spans="1:28" x14ac:dyDescent="0.25">
      <c r="A5219" t="s">
        <v>5223</v>
      </c>
      <c r="B5219">
        <v>0.99987803227770999</v>
      </c>
      <c r="C5219">
        <v>0.83674415304657401</v>
      </c>
      <c r="D5219">
        <v>0.90690813546755999</v>
      </c>
      <c r="E5219">
        <v>0.53715135123906999</v>
      </c>
      <c r="F5219">
        <v>0.29078057178689998</v>
      </c>
      <c r="G5219">
        <v>0.22121250371338</v>
      </c>
      <c r="H5219">
        <v>0.15550459074842499</v>
      </c>
      <c r="I5219">
        <v>0.123997845701253</v>
      </c>
      <c r="J5219">
        <v>8.1230478730509204E-2</v>
      </c>
      <c r="K5219">
        <v>3.82115591280301E-2</v>
      </c>
      <c r="L5219">
        <v>825.41470985938895</v>
      </c>
      <c r="M5219">
        <v>16.4852544344043</v>
      </c>
      <c r="N5219">
        <v>50.577888709152703</v>
      </c>
      <c r="O5219">
        <v>49.350500338016303</v>
      </c>
      <c r="P5219">
        <v>-7.7144679298097402E-2</v>
      </c>
      <c r="Q5219">
        <v>7.6298634386371994E-2</v>
      </c>
      <c r="R5219">
        <v>0.97881524183023505</v>
      </c>
      <c r="S5219" t="s">
        <v>11530</v>
      </c>
      <c r="T5219" t="s">
        <v>12620</v>
      </c>
      <c r="U5219" t="s">
        <v>12620</v>
      </c>
      <c r="V5219" t="s">
        <v>12620</v>
      </c>
      <c r="W5219" t="s">
        <v>17782</v>
      </c>
      <c r="X5219">
        <v>6</v>
      </c>
      <c r="Y5219" t="s">
        <v>23882</v>
      </c>
      <c r="Z5219" t="s">
        <v>30166</v>
      </c>
      <c r="AA5219">
        <v>0.4048923593399622</v>
      </c>
      <c r="AB5219" t="str">
        <f>HYPERLINK("Melting_Curves/meltCurve_Q9GZT4_SRR.pdf", "Melting_Curves/meltCurve_Q9GZT4_SRR.pdf")</f>
        <v>Melting_Curves/meltCurve_Q9GZT4_SRR.pdf</v>
      </c>
    </row>
    <row r="5220" spans="1:28" x14ac:dyDescent="0.25">
      <c r="A5220" t="s">
        <v>5224</v>
      </c>
      <c r="B5220">
        <v>0.99987803227770999</v>
      </c>
      <c r="C5220">
        <v>1.25336158615202</v>
      </c>
      <c r="D5220">
        <v>0.94364450107618503</v>
      </c>
      <c r="E5220">
        <v>1.3608460312089099</v>
      </c>
      <c r="F5220">
        <v>0.92898256989842098</v>
      </c>
      <c r="G5220">
        <v>1.1032007344416299</v>
      </c>
      <c r="H5220">
        <v>1.4197370879932101</v>
      </c>
      <c r="I5220">
        <v>1.3641195289949699</v>
      </c>
      <c r="J5220">
        <v>0.91956330195686498</v>
      </c>
      <c r="K5220">
        <v>0.30467647340403797</v>
      </c>
      <c r="L5220">
        <v>15000</v>
      </c>
      <c r="M5220">
        <v>221.84585898603501</v>
      </c>
      <c r="N5220">
        <v>67.901639430719499</v>
      </c>
      <c r="O5220">
        <v>67.609019481606396</v>
      </c>
      <c r="P5220">
        <v>-0.57068947387589397</v>
      </c>
      <c r="Q5220">
        <v>0.30431415859955502</v>
      </c>
      <c r="R5220">
        <v>0.46524625955992999</v>
      </c>
      <c r="S5220" t="s">
        <v>11531</v>
      </c>
      <c r="T5220" t="s">
        <v>12620</v>
      </c>
      <c r="U5220" t="s">
        <v>12620</v>
      </c>
      <c r="V5220" t="s">
        <v>12620</v>
      </c>
      <c r="W5220" t="s">
        <v>17783</v>
      </c>
      <c r="X5220">
        <v>13</v>
      </c>
      <c r="Y5220" t="s">
        <v>23883</v>
      </c>
      <c r="Z5220" t="s">
        <v>30167</v>
      </c>
      <c r="AA5220">
        <v>0.94478257109161601</v>
      </c>
      <c r="AB5220" t="str">
        <f>HYPERLINK("Melting_Curves/meltCurve_Q9GZT8_NIF3L1.pdf", "Melting_Curves/meltCurve_Q9GZT8_NIF3L1.pdf")</f>
        <v>Melting_Curves/meltCurve_Q9GZT8_NIF3L1.pdf</v>
      </c>
    </row>
    <row r="5221" spans="1:28" x14ac:dyDescent="0.25">
      <c r="A5221" t="s">
        <v>5225</v>
      </c>
      <c r="B5221">
        <v>0.99987803227770999</v>
      </c>
      <c r="C5221">
        <v>0.73332333950155304</v>
      </c>
      <c r="D5221">
        <v>0.60692827703559205</v>
      </c>
      <c r="E5221">
        <v>0.47637751854048399</v>
      </c>
      <c r="F5221">
        <v>0.479433375332455</v>
      </c>
      <c r="G5221">
        <v>0.37069031706529598</v>
      </c>
      <c r="H5221">
        <v>0.35740096886025302</v>
      </c>
      <c r="I5221">
        <v>0.29849246514147598</v>
      </c>
      <c r="J5221">
        <v>0.30568550154735402</v>
      </c>
      <c r="K5221">
        <v>0.22177523536277299</v>
      </c>
      <c r="L5221">
        <v>508.786083593755</v>
      </c>
      <c r="M5221">
        <v>10.9840747812137</v>
      </c>
      <c r="N5221">
        <v>49.893041218266603</v>
      </c>
      <c r="O5221">
        <v>44.864466416749401</v>
      </c>
      <c r="P5221">
        <v>-4.4556017427190703E-2</v>
      </c>
      <c r="Q5221">
        <v>0.27229082011599298</v>
      </c>
      <c r="R5221">
        <v>0.94671479347892595</v>
      </c>
      <c r="S5221" t="s">
        <v>11532</v>
      </c>
      <c r="T5221" t="s">
        <v>12620</v>
      </c>
      <c r="U5221" t="s">
        <v>12620</v>
      </c>
      <c r="V5221" t="s">
        <v>12620</v>
      </c>
      <c r="W5221" t="s">
        <v>17784</v>
      </c>
      <c r="X5221">
        <v>18</v>
      </c>
      <c r="Y5221" t="s">
        <v>23884</v>
      </c>
      <c r="Z5221" t="s">
        <v>30168</v>
      </c>
      <c r="AA5221">
        <v>0.4633983490600454</v>
      </c>
      <c r="AB5221" t="str">
        <f>HYPERLINK("Melting_Curves/meltCurve_Q9GZT9_EGLN1.pdf", "Melting_Curves/meltCurve_Q9GZT9_EGLN1.pdf")</f>
        <v>Melting_Curves/meltCurve_Q9GZT9_EGLN1.pdf</v>
      </c>
    </row>
    <row r="5222" spans="1:28" x14ac:dyDescent="0.25">
      <c r="A5222" t="s">
        <v>5226</v>
      </c>
      <c r="B5222">
        <v>0.99987803227770999</v>
      </c>
      <c r="C5222">
        <v>0.82416061032251298</v>
      </c>
      <c r="D5222">
        <v>1.0246247250760601</v>
      </c>
      <c r="E5222">
        <v>0.89860056517156905</v>
      </c>
      <c r="F5222">
        <v>1.07193734894966</v>
      </c>
      <c r="G5222">
        <v>0.689410579094904</v>
      </c>
      <c r="H5222">
        <v>0.93576689113664901</v>
      </c>
      <c r="I5222">
        <v>0.95283779626809995</v>
      </c>
      <c r="J5222">
        <v>1.1430837837079399</v>
      </c>
      <c r="K5222">
        <v>0.95398223731744503</v>
      </c>
      <c r="L5222">
        <v>10212.804089507001</v>
      </c>
      <c r="M5222">
        <v>250</v>
      </c>
      <c r="O5222">
        <v>40.8486021648704</v>
      </c>
      <c r="P5222">
        <v>-8.5953286600848403E-2</v>
      </c>
      <c r="Q5222">
        <v>0.94382285433878998</v>
      </c>
      <c r="R5222">
        <v>1.9261527643079E-2</v>
      </c>
      <c r="S5222" t="s">
        <v>11533</v>
      </c>
      <c r="T5222" t="s">
        <v>12620</v>
      </c>
      <c r="U5222" t="s">
        <v>12620</v>
      </c>
      <c r="V5222" t="s">
        <v>12620</v>
      </c>
      <c r="W5222" t="s">
        <v>17785</v>
      </c>
      <c r="X5222">
        <v>19</v>
      </c>
      <c r="Y5222" t="s">
        <v>23885</v>
      </c>
      <c r="Z5222" t="s">
        <v>30169</v>
      </c>
      <c r="AA5222">
        <v>0.94542226600655921</v>
      </c>
      <c r="AB5222" t="str">
        <f>HYPERLINK("Melting_Curves/meltCurve_Q9GZU8_FAM192A.pdf", "Melting_Curves/meltCurve_Q9GZU8_FAM192A.pdf")</f>
        <v>Melting_Curves/meltCurve_Q9GZU8_FAM192A.pdf</v>
      </c>
    </row>
    <row r="5223" spans="1:28" x14ac:dyDescent="0.25">
      <c r="A5223" t="s">
        <v>5227</v>
      </c>
      <c r="B5223">
        <v>0.99987803227770999</v>
      </c>
      <c r="C5223">
        <v>0.85466502906609998</v>
      </c>
      <c r="D5223">
        <v>0.96149538600461704</v>
      </c>
      <c r="E5223">
        <v>0.68709748280205096</v>
      </c>
      <c r="F5223">
        <v>0.45482215343931698</v>
      </c>
      <c r="G5223">
        <v>0.249200934611746</v>
      </c>
      <c r="H5223">
        <v>0.177911689770197</v>
      </c>
      <c r="I5223">
        <v>0.15471585606280699</v>
      </c>
      <c r="J5223">
        <v>0.144997640902781</v>
      </c>
      <c r="K5223">
        <v>0.109855484012614</v>
      </c>
      <c r="L5223">
        <v>920.22008348424197</v>
      </c>
      <c r="M5223">
        <v>17.817129743484799</v>
      </c>
      <c r="N5223">
        <v>52.445021577899396</v>
      </c>
      <c r="O5223">
        <v>51.010612402866599</v>
      </c>
      <c r="P5223">
        <v>-7.6968366666385901E-2</v>
      </c>
      <c r="Q5223">
        <v>0.118600602061806</v>
      </c>
      <c r="R5223">
        <v>0.98460768175432001</v>
      </c>
      <c r="S5223" t="s">
        <v>11534</v>
      </c>
      <c r="T5223" t="s">
        <v>12620</v>
      </c>
      <c r="U5223" t="s">
        <v>12620</v>
      </c>
      <c r="V5223" t="s">
        <v>12620</v>
      </c>
      <c r="W5223" t="s">
        <v>17786</v>
      </c>
      <c r="X5223">
        <v>8</v>
      </c>
      <c r="Y5223" t="s">
        <v>23886</v>
      </c>
      <c r="Z5223" t="s">
        <v>30170</v>
      </c>
      <c r="AA5223">
        <v>0.47581934125486341</v>
      </c>
      <c r="AB5223" t="str">
        <f>HYPERLINK("Melting_Curves/meltCurve_Q9GZV1_ANKRD2.pdf", "Melting_Curves/meltCurve_Q9GZV1_ANKRD2.pdf")</f>
        <v>Melting_Curves/meltCurve_Q9GZV1_ANKRD2.pdf</v>
      </c>
    </row>
    <row r="5224" spans="1:28" x14ac:dyDescent="0.25">
      <c r="A5224" t="s">
        <v>5228</v>
      </c>
      <c r="B5224">
        <v>0.99987803227770999</v>
      </c>
      <c r="C5224">
        <v>1.05423861722281</v>
      </c>
      <c r="D5224">
        <v>0.98153734360959799</v>
      </c>
      <c r="E5224">
        <v>0.96301426947737001</v>
      </c>
      <c r="F5224">
        <v>0.86758988972900597</v>
      </c>
      <c r="G5224">
        <v>0.72962572657024105</v>
      </c>
      <c r="H5224">
        <v>0.66323511913637501</v>
      </c>
      <c r="I5224">
        <v>0.75276562553510395</v>
      </c>
      <c r="J5224">
        <v>0.68208928964540805</v>
      </c>
      <c r="K5224">
        <v>0.65940437387252904</v>
      </c>
      <c r="L5224">
        <v>1606.9293536539301</v>
      </c>
      <c r="M5224">
        <v>30.043700316756599</v>
      </c>
      <c r="O5224">
        <v>53.251084021453003</v>
      </c>
      <c r="P5224">
        <v>-4.4148974472415399E-2</v>
      </c>
      <c r="Q5224">
        <v>0.68699373271820696</v>
      </c>
      <c r="R5224">
        <v>0.95800282940202397</v>
      </c>
      <c r="S5224" t="s">
        <v>11535</v>
      </c>
      <c r="T5224" t="s">
        <v>12620</v>
      </c>
      <c r="U5224" t="s">
        <v>12620</v>
      </c>
      <c r="V5224" t="s">
        <v>12620</v>
      </c>
      <c r="W5224" t="s">
        <v>17787</v>
      </c>
      <c r="X5224">
        <v>5</v>
      </c>
      <c r="Y5224" t="s">
        <v>23887</v>
      </c>
      <c r="Z5224" t="s">
        <v>30171</v>
      </c>
      <c r="AA5224">
        <v>0.82974206031410636</v>
      </c>
      <c r="AB5224" t="str">
        <f>HYPERLINK("Melting_Curves/meltCurve_Q9GZV5_WWTR1.pdf", "Melting_Curves/meltCurve_Q9GZV5_WWTR1.pdf")</f>
        <v>Melting_Curves/meltCurve_Q9GZV5_WWTR1.pdf</v>
      </c>
    </row>
    <row r="5225" spans="1:28" x14ac:dyDescent="0.25">
      <c r="A5225" t="s">
        <v>5229</v>
      </c>
      <c r="B5225">
        <v>0.99987803227770999</v>
      </c>
      <c r="C5225">
        <v>0.82391239523419302</v>
      </c>
      <c r="D5225">
        <v>0.95636171405648196</v>
      </c>
      <c r="E5225">
        <v>0.84477226185104004</v>
      </c>
      <c r="F5225">
        <v>0.94941114043141595</v>
      </c>
      <c r="G5225">
        <v>0.82092213584876805</v>
      </c>
      <c r="H5225">
        <v>0.87219154629155204</v>
      </c>
      <c r="I5225">
        <v>0.92836833933084895</v>
      </c>
      <c r="J5225">
        <v>0.80792541391363404</v>
      </c>
      <c r="K5225">
        <v>0.67411790381020897</v>
      </c>
      <c r="L5225">
        <v>165.96424402620701</v>
      </c>
      <c r="M5225">
        <v>1.1016966128575501</v>
      </c>
      <c r="O5225">
        <v>58.303657042079699</v>
      </c>
      <c r="P5225">
        <v>-6.1803163809472598E-3</v>
      </c>
      <c r="Q5225">
        <v>0</v>
      </c>
      <c r="R5225">
        <v>0.37142331392774403</v>
      </c>
      <c r="S5225" t="s">
        <v>11536</v>
      </c>
      <c r="T5225" t="s">
        <v>12620</v>
      </c>
      <c r="U5225" t="s">
        <v>12620</v>
      </c>
      <c r="V5225" t="s">
        <v>12620</v>
      </c>
      <c r="W5225" t="s">
        <v>17788</v>
      </c>
      <c r="X5225">
        <v>3</v>
      </c>
      <c r="Y5225" t="s">
        <v>23888</v>
      </c>
      <c r="Z5225" t="s">
        <v>30172</v>
      </c>
      <c r="AA5225">
        <v>0.8704543320659881</v>
      </c>
      <c r="AB5225" t="str">
        <f>HYPERLINK("Melting_Curves/meltCurve_Q9GZY8_2_MFF.pdf", "Melting_Curves/meltCurve_Q9GZY8_2_MFF.pdf")</f>
        <v>Melting_Curves/meltCurve_Q9GZY8_2_MFF.pdf</v>
      </c>
    </row>
    <row r="5226" spans="1:28" x14ac:dyDescent="0.25">
      <c r="A5226" t="s">
        <v>5230</v>
      </c>
      <c r="B5226">
        <v>0.99987803227770999</v>
      </c>
      <c r="C5226">
        <v>0.93024629775951195</v>
      </c>
      <c r="D5226">
        <v>0.87061859215312298</v>
      </c>
      <c r="E5226">
        <v>0.66510097195085904</v>
      </c>
      <c r="F5226">
        <v>0.41342756486536802</v>
      </c>
      <c r="G5226">
        <v>0.26385418816474498</v>
      </c>
      <c r="H5226">
        <v>0.15649933988950099</v>
      </c>
      <c r="I5226">
        <v>9.9768644214962399E-2</v>
      </c>
      <c r="J5226">
        <v>8.2207782595739298E-2</v>
      </c>
      <c r="K5226">
        <v>5.5158603247544201E-2</v>
      </c>
      <c r="L5226">
        <v>734.84587067195298</v>
      </c>
      <c r="M5226">
        <v>14.175497863122899</v>
      </c>
      <c r="N5226">
        <v>52.163547365447002</v>
      </c>
      <c r="O5226">
        <v>50.840226528075803</v>
      </c>
      <c r="P5226">
        <v>-6.6773646661162506E-2</v>
      </c>
      <c r="Q5226">
        <v>4.21896834034979E-2</v>
      </c>
      <c r="R5226">
        <v>0.99779697070182904</v>
      </c>
      <c r="S5226" t="s">
        <v>11537</v>
      </c>
      <c r="T5226" t="s">
        <v>12620</v>
      </c>
      <c r="U5226" t="s">
        <v>12620</v>
      </c>
      <c r="V5226" t="s">
        <v>12620</v>
      </c>
      <c r="W5226" t="s">
        <v>17789</v>
      </c>
      <c r="X5226">
        <v>5</v>
      </c>
      <c r="Y5226" t="s">
        <v>23889</v>
      </c>
      <c r="Z5226" t="s">
        <v>30173</v>
      </c>
      <c r="AA5226">
        <v>0.44364272883222861</v>
      </c>
      <c r="AB5226" t="str">
        <f>HYPERLINK("Melting_Curves/meltCurve_Q9GZZ9_UBA5.pdf", "Melting_Curves/meltCurve_Q9GZZ9_UBA5.pdf")</f>
        <v>Melting_Curves/meltCurve_Q9GZZ9_UBA5.pdf</v>
      </c>
    </row>
    <row r="5227" spans="1:28" x14ac:dyDescent="0.25">
      <c r="A5227" t="s">
        <v>5231</v>
      </c>
      <c r="B5227">
        <v>0.99987803227770999</v>
      </c>
      <c r="C5227">
        <v>0.88011519837103203</v>
      </c>
      <c r="D5227">
        <v>1.03383581713857</v>
      </c>
      <c r="E5227">
        <v>0.897144899567618</v>
      </c>
      <c r="F5227">
        <v>1.04889381200053</v>
      </c>
      <c r="G5227">
        <v>0.74981312328928196</v>
      </c>
      <c r="H5227">
        <v>0.25406061920001399</v>
      </c>
      <c r="I5227">
        <v>6.8302326163080698E-2</v>
      </c>
      <c r="J5227">
        <v>2.9017769242563999E-2</v>
      </c>
      <c r="K5227">
        <v>1.98488892201866E-2</v>
      </c>
      <c r="L5227">
        <v>2039.4773557109199</v>
      </c>
      <c r="M5227">
        <v>34.625441154904202</v>
      </c>
      <c r="N5227">
        <v>58.953114848370703</v>
      </c>
      <c r="O5227">
        <v>58.705695288035599</v>
      </c>
      <c r="P5227">
        <v>-0.14523674843040299</v>
      </c>
      <c r="Q5227">
        <v>1.5037205167027E-2</v>
      </c>
      <c r="R5227">
        <v>0.982921502377189</v>
      </c>
      <c r="S5227" t="s">
        <v>11538</v>
      </c>
      <c r="T5227" t="s">
        <v>12620</v>
      </c>
      <c r="U5227" t="s">
        <v>12620</v>
      </c>
      <c r="V5227" t="s">
        <v>12620</v>
      </c>
      <c r="W5227" t="s">
        <v>17790</v>
      </c>
      <c r="X5227">
        <v>6</v>
      </c>
      <c r="Y5227" t="s">
        <v>23890</v>
      </c>
      <c r="Z5227" t="s">
        <v>30174</v>
      </c>
      <c r="AA5227">
        <v>0.64062004285376539</v>
      </c>
      <c r="AB5227" t="str">
        <f>HYPERLINK("Melting_Curves/meltCurve_Q9H008_LHPP.pdf", "Melting_Curves/meltCurve_Q9H008_LHPP.pdf")</f>
        <v>Melting_Curves/meltCurve_Q9H008_LHPP.pdf</v>
      </c>
    </row>
    <row r="5228" spans="1:28" x14ac:dyDescent="0.25">
      <c r="A5228" t="s">
        <v>5232</v>
      </c>
      <c r="B5228">
        <v>0.99987803227770999</v>
      </c>
      <c r="C5228">
        <v>1.0934079622310999</v>
      </c>
      <c r="D5228">
        <v>1.0159433416196499</v>
      </c>
      <c r="E5228">
        <v>1.0886790910405399</v>
      </c>
      <c r="F5228">
        <v>0.94012470851347596</v>
      </c>
      <c r="G5228">
        <v>0.94393383443428402</v>
      </c>
      <c r="H5228">
        <v>0.61507924871863395</v>
      </c>
      <c r="I5228">
        <v>0.188952080312981</v>
      </c>
      <c r="J5228">
        <v>8.3194809407386799E-2</v>
      </c>
      <c r="K5228">
        <v>5.6285315204585899E-2</v>
      </c>
      <c r="L5228">
        <v>2599.7289168642501</v>
      </c>
      <c r="M5228">
        <v>42.274781912120602</v>
      </c>
      <c r="N5228">
        <v>61.645878556578403</v>
      </c>
      <c r="O5228">
        <v>61.358849866007198</v>
      </c>
      <c r="P5228">
        <v>-0.163831258053482</v>
      </c>
      <c r="Q5228">
        <v>4.8843797365031201E-2</v>
      </c>
      <c r="R5228">
        <v>0.98738302219114504</v>
      </c>
      <c r="S5228" t="s">
        <v>11539</v>
      </c>
      <c r="T5228" t="s">
        <v>12620</v>
      </c>
      <c r="U5228" t="s">
        <v>12620</v>
      </c>
      <c r="V5228" t="s">
        <v>12620</v>
      </c>
      <c r="W5228" t="s">
        <v>17791</v>
      </c>
      <c r="X5228">
        <v>17</v>
      </c>
      <c r="Y5228" t="s">
        <v>23891</v>
      </c>
      <c r="Z5228" t="s">
        <v>30175</v>
      </c>
      <c r="AA5228">
        <v>0.73362441867237704</v>
      </c>
      <c r="AB5228" t="str">
        <f>HYPERLINK("Melting_Curves/meltCurve_Q9H074_PAIP1.pdf", "Melting_Curves/meltCurve_Q9H074_PAIP1.pdf")</f>
        <v>Melting_Curves/meltCurve_Q9H074_PAIP1.pdf</v>
      </c>
    </row>
    <row r="5229" spans="1:28" x14ac:dyDescent="0.25">
      <c r="A5229" t="s">
        <v>5233</v>
      </c>
      <c r="B5229">
        <v>0.99987803227770999</v>
      </c>
      <c r="C5229">
        <v>0.97245974497798104</v>
      </c>
      <c r="D5229">
        <v>0.95614127619803502</v>
      </c>
      <c r="E5229">
        <v>0.82527414015211997</v>
      </c>
      <c r="F5229">
        <v>0.45420326161916702</v>
      </c>
      <c r="G5229">
        <v>0.28325478998666498</v>
      </c>
      <c r="H5229">
        <v>0.233079944181462</v>
      </c>
      <c r="I5229">
        <v>0.23614606443994701</v>
      </c>
      <c r="J5229">
        <v>0.15595345650685699</v>
      </c>
      <c r="K5229">
        <v>0.122379854418377</v>
      </c>
      <c r="L5229">
        <v>1398.47837181924</v>
      </c>
      <c r="M5229">
        <v>26.891783557916501</v>
      </c>
      <c r="N5229">
        <v>52.904712057534397</v>
      </c>
      <c r="O5229">
        <v>51.718906619332799</v>
      </c>
      <c r="P5229">
        <v>-0.10611421413705401</v>
      </c>
      <c r="Q5229">
        <v>0.18368286886523</v>
      </c>
      <c r="R5229">
        <v>0.98993250606365002</v>
      </c>
      <c r="S5229" t="s">
        <v>11540</v>
      </c>
      <c r="T5229" t="s">
        <v>12620</v>
      </c>
      <c r="U5229" t="s">
        <v>12620</v>
      </c>
      <c r="V5229" t="s">
        <v>12620</v>
      </c>
      <c r="W5229" t="s">
        <v>17792</v>
      </c>
      <c r="X5229">
        <v>11</v>
      </c>
      <c r="Y5229" t="s">
        <v>23892</v>
      </c>
      <c r="Z5229" t="s">
        <v>30176</v>
      </c>
      <c r="AA5229">
        <v>0.51678599966952343</v>
      </c>
      <c r="AB5229" t="str">
        <f>HYPERLINK("Melting_Curves/meltCurve_Q9H078_2_CLPB.pdf", "Melting_Curves/meltCurve_Q9H078_2_CLPB.pdf")</f>
        <v>Melting_Curves/meltCurve_Q9H078_2_CLPB.pdf</v>
      </c>
    </row>
    <row r="5230" spans="1:28" x14ac:dyDescent="0.25">
      <c r="A5230" t="s">
        <v>5234</v>
      </c>
      <c r="B5230">
        <v>0.99987803227770999</v>
      </c>
      <c r="C5230">
        <v>1.0799453442597</v>
      </c>
      <c r="D5230">
        <v>1.11574289003496</v>
      </c>
      <c r="E5230">
        <v>0.79883083788581399</v>
      </c>
      <c r="F5230">
        <v>0.39506487990422101</v>
      </c>
      <c r="G5230">
        <v>0.237431899014348</v>
      </c>
      <c r="H5230">
        <v>0.189263799706854</v>
      </c>
      <c r="I5230">
        <v>0.21137605402840501</v>
      </c>
      <c r="J5230">
        <v>8.4276256733934005E-2</v>
      </c>
      <c r="K5230">
        <v>5.5042696407422098E-2</v>
      </c>
      <c r="L5230">
        <v>1789.5565505918901</v>
      </c>
      <c r="M5230">
        <v>34.569276253295399</v>
      </c>
      <c r="N5230">
        <v>52.284980455849499</v>
      </c>
      <c r="O5230">
        <v>51.5949407437422</v>
      </c>
      <c r="P5230">
        <v>-0.143225946176226</v>
      </c>
      <c r="Q5230">
        <v>0.14493935480140499</v>
      </c>
      <c r="R5230">
        <v>0.97392507257764305</v>
      </c>
      <c r="S5230" t="s">
        <v>11541</v>
      </c>
      <c r="T5230" t="s">
        <v>12620</v>
      </c>
      <c r="U5230" t="s">
        <v>12620</v>
      </c>
      <c r="V5230" t="s">
        <v>12620</v>
      </c>
      <c r="W5230" t="s">
        <v>17793</v>
      </c>
      <c r="X5230">
        <v>5</v>
      </c>
      <c r="Y5230" t="s">
        <v>23893</v>
      </c>
      <c r="Z5230" t="s">
        <v>30177</v>
      </c>
      <c r="AA5230">
        <v>0.48443055936226581</v>
      </c>
      <c r="AB5230" t="str">
        <f>HYPERLINK("Melting_Curves/meltCurve_Q9H081_MIS12.pdf", "Melting_Curves/meltCurve_Q9H081_MIS12.pdf")</f>
        <v>Melting_Curves/meltCurve_Q9H081_MIS12.pdf</v>
      </c>
    </row>
    <row r="5231" spans="1:28" x14ac:dyDescent="0.25">
      <c r="A5231" t="s">
        <v>5235</v>
      </c>
      <c r="B5231">
        <v>0.99987803227770999</v>
      </c>
      <c r="C5231">
        <v>0.75570737657688802</v>
      </c>
      <c r="D5231">
        <v>0.99925829831561896</v>
      </c>
      <c r="E5231">
        <v>0.82818313934584198</v>
      </c>
      <c r="F5231">
        <v>1.15886927772538</v>
      </c>
      <c r="G5231">
        <v>0.94459577972301501</v>
      </c>
      <c r="H5231">
        <v>1.0938302306702199</v>
      </c>
      <c r="I5231">
        <v>1.09062619352238</v>
      </c>
      <c r="J5231">
        <v>1.1417670940806699</v>
      </c>
      <c r="K5231">
        <v>1.0185121878997501</v>
      </c>
      <c r="L5231">
        <v>14760.5420511508</v>
      </c>
      <c r="M5231">
        <v>249.46257191983699</v>
      </c>
      <c r="O5231">
        <v>59.165562553727703</v>
      </c>
      <c r="P5231">
        <v>9.0859546372418498E-2</v>
      </c>
      <c r="Q5231">
        <v>1.0861973982806601</v>
      </c>
      <c r="R5231">
        <v>0.191203754572629</v>
      </c>
      <c r="S5231" t="s">
        <v>11542</v>
      </c>
      <c r="T5231" t="s">
        <v>12620</v>
      </c>
      <c r="U5231" t="s">
        <v>12620</v>
      </c>
      <c r="V5231" t="s">
        <v>12620</v>
      </c>
      <c r="W5231" t="s">
        <v>17794</v>
      </c>
      <c r="X5231">
        <v>15</v>
      </c>
      <c r="Y5231" t="s">
        <v>23894</v>
      </c>
      <c r="Z5231" t="s">
        <v>30178</v>
      </c>
      <c r="AA5231">
        <v>1.0311100949088059</v>
      </c>
      <c r="AB5231" t="str">
        <f>HYPERLINK("Melting_Curves/meltCurve_Q9H098_FAM107B.pdf", "Melting_Curves/meltCurve_Q9H098_FAM107B.pdf")</f>
        <v>Melting_Curves/meltCurve_Q9H098_FAM107B.pdf</v>
      </c>
    </row>
    <row r="5232" spans="1:28" x14ac:dyDescent="0.25">
      <c r="A5232" t="s">
        <v>5236</v>
      </c>
      <c r="B5232">
        <v>0.99987803227770999</v>
      </c>
      <c r="C5232">
        <v>0.96697726468726197</v>
      </c>
      <c r="D5232">
        <v>0.997102169214797</v>
      </c>
      <c r="E5232">
        <v>1.0331191235218</v>
      </c>
      <c r="F5232">
        <v>0.78869612451733095</v>
      </c>
      <c r="G5232">
        <v>0.41282565311367098</v>
      </c>
      <c r="H5232">
        <v>0.169719081705245</v>
      </c>
      <c r="I5232">
        <v>0.120699213556842</v>
      </c>
      <c r="J5232">
        <v>8.0092862472673498E-2</v>
      </c>
      <c r="K5232">
        <v>5.4793129989047902E-2</v>
      </c>
      <c r="L5232">
        <v>1475.35860556938</v>
      </c>
      <c r="M5232">
        <v>26.4304090242961</v>
      </c>
      <c r="N5232">
        <v>56.149550591735</v>
      </c>
      <c r="O5232">
        <v>55.503887239588799</v>
      </c>
      <c r="P5232">
        <v>-0.11050766069670299</v>
      </c>
      <c r="Q5232">
        <v>7.1745191749534504E-2</v>
      </c>
      <c r="R5232">
        <v>0.99508531505389197</v>
      </c>
      <c r="S5232" t="s">
        <v>11543</v>
      </c>
      <c r="T5232" t="s">
        <v>12620</v>
      </c>
      <c r="U5232" t="s">
        <v>12620</v>
      </c>
      <c r="V5232" t="s">
        <v>12620</v>
      </c>
      <c r="W5232" t="s">
        <v>17795</v>
      </c>
      <c r="X5232">
        <v>6</v>
      </c>
      <c r="Y5232" t="s">
        <v>23895</v>
      </c>
      <c r="Z5232" t="s">
        <v>30179</v>
      </c>
      <c r="AA5232">
        <v>0.56902488909544102</v>
      </c>
      <c r="AB5232" t="str">
        <f>HYPERLINK("Melting_Curves/meltCurve_Q9H0A8_COMMD4.pdf", "Melting_Curves/meltCurve_Q9H0A8_COMMD4.pdf")</f>
        <v>Melting_Curves/meltCurve_Q9H0A8_COMMD4.pdf</v>
      </c>
    </row>
    <row r="5233" spans="1:28" x14ac:dyDescent="0.25">
      <c r="A5233" t="s">
        <v>5237</v>
      </c>
      <c r="B5233">
        <v>0.99987803227770999</v>
      </c>
      <c r="C5233">
        <v>1.1543723284918399</v>
      </c>
      <c r="D5233">
        <v>0.89554057528804698</v>
      </c>
      <c r="E5233">
        <v>0.82548210103622599</v>
      </c>
      <c r="F5233">
        <v>0.35321158936262198</v>
      </c>
      <c r="G5233">
        <v>0.24803004626886299</v>
      </c>
      <c r="H5233">
        <v>0.236635335228951</v>
      </c>
      <c r="I5233">
        <v>0.236170752926851</v>
      </c>
      <c r="J5233">
        <v>0.213873099653765</v>
      </c>
      <c r="K5233">
        <v>0.176959176410139</v>
      </c>
      <c r="L5233">
        <v>2382.2224959376199</v>
      </c>
      <c r="M5233">
        <v>46.457130161373897</v>
      </c>
      <c r="N5233">
        <v>51.924828790388702</v>
      </c>
      <c r="O5233">
        <v>51.1831394754185</v>
      </c>
      <c r="P5233">
        <v>-0.177057232247361</v>
      </c>
      <c r="Q5233">
        <v>0.219725216155437</v>
      </c>
      <c r="R5233">
        <v>0.97239697360647803</v>
      </c>
      <c r="S5233" t="s">
        <v>11544</v>
      </c>
      <c r="T5233" t="s">
        <v>12620</v>
      </c>
      <c r="U5233" t="s">
        <v>12620</v>
      </c>
      <c r="V5233" t="s">
        <v>12620</v>
      </c>
      <c r="W5233" t="s">
        <v>17796</v>
      </c>
      <c r="X5233">
        <v>31</v>
      </c>
      <c r="Y5233" t="s">
        <v>23896</v>
      </c>
      <c r="Z5233" t="s">
        <v>30180</v>
      </c>
      <c r="AA5233">
        <v>0.51509901183225681</v>
      </c>
      <c r="AB5233" t="str">
        <f>HYPERLINK("Melting_Curves/meltCurve_Q9H0B6_KLC2.pdf", "Melting_Curves/meltCurve_Q9H0B6_KLC2.pdf")</f>
        <v>Melting_Curves/meltCurve_Q9H0B6_KLC2.pdf</v>
      </c>
    </row>
    <row r="5234" spans="1:28" x14ac:dyDescent="0.25">
      <c r="A5234" t="s">
        <v>5238</v>
      </c>
      <c r="B5234">
        <v>0.99987803227770999</v>
      </c>
      <c r="C5234">
        <v>0.64639350841499399</v>
      </c>
      <c r="D5234">
        <v>0.89362136367242695</v>
      </c>
      <c r="E5234">
        <v>0.56060391237338003</v>
      </c>
      <c r="F5234">
        <v>0.24874021949660199</v>
      </c>
      <c r="G5234">
        <v>0.166112604058228</v>
      </c>
      <c r="H5234">
        <v>0.101573924648311</v>
      </c>
      <c r="I5234">
        <v>7.8317939543824405E-2</v>
      </c>
      <c r="J5234">
        <v>6.1425832998781502E-2</v>
      </c>
      <c r="K5234">
        <v>4.6103710953483E-2</v>
      </c>
      <c r="L5234">
        <v>614.65799347928203</v>
      </c>
      <c r="M5234">
        <v>12.300524135201499</v>
      </c>
      <c r="N5234">
        <v>50.021102009459298</v>
      </c>
      <c r="O5234">
        <v>48.704417501254099</v>
      </c>
      <c r="P5234">
        <v>-6.2758670636009498E-2</v>
      </c>
      <c r="Q5234">
        <v>6.2359369281488903E-3</v>
      </c>
      <c r="R5234">
        <v>0.92263602148639501</v>
      </c>
      <c r="S5234" t="s">
        <v>11545</v>
      </c>
      <c r="T5234" t="s">
        <v>12620</v>
      </c>
      <c r="U5234" t="s">
        <v>12620</v>
      </c>
      <c r="V5234" t="s">
        <v>12620</v>
      </c>
      <c r="W5234" t="s">
        <v>17797</v>
      </c>
      <c r="X5234">
        <v>18</v>
      </c>
      <c r="Y5234" t="s">
        <v>23897</v>
      </c>
      <c r="Z5234" t="s">
        <v>30181</v>
      </c>
      <c r="AA5234">
        <v>0.36964129317497391</v>
      </c>
      <c r="AB5234" t="str">
        <f>HYPERLINK("Melting_Curves/meltCurve_Q9H0C8_ILKAP.pdf", "Melting_Curves/meltCurve_Q9H0C8_ILKAP.pdf")</f>
        <v>Melting_Curves/meltCurve_Q9H0C8_ILKAP.pdf</v>
      </c>
    </row>
    <row r="5235" spans="1:28" x14ac:dyDescent="0.25">
      <c r="A5235" t="s">
        <v>5239</v>
      </c>
      <c r="B5235">
        <v>0.99987803227770999</v>
      </c>
      <c r="C5235">
        <v>1.0731684553771099</v>
      </c>
      <c r="D5235">
        <v>1.02013949021448</v>
      </c>
      <c r="E5235">
        <v>1.14100042372364</v>
      </c>
      <c r="F5235">
        <v>0.97063032011956096</v>
      </c>
      <c r="G5235">
        <v>1.0152599083806699</v>
      </c>
      <c r="H5235">
        <v>0.91790636373137502</v>
      </c>
      <c r="I5235">
        <v>0.418576929261116</v>
      </c>
      <c r="J5235">
        <v>0.123822817105342</v>
      </c>
      <c r="K5235">
        <v>9.0568626210785902E-2</v>
      </c>
      <c r="L5235">
        <v>3754.0578905583502</v>
      </c>
      <c r="M5235">
        <v>59.220429894449502</v>
      </c>
      <c r="N5235">
        <v>63.597731343426503</v>
      </c>
      <c r="O5235">
        <v>63.3190797651311</v>
      </c>
      <c r="P5235">
        <v>-0.21336957385194</v>
      </c>
      <c r="Q5235">
        <v>8.7452524650525498E-2</v>
      </c>
      <c r="R5235">
        <v>0.98177942491456205</v>
      </c>
      <c r="S5235" t="s">
        <v>11546</v>
      </c>
      <c r="T5235" t="s">
        <v>12620</v>
      </c>
      <c r="U5235" t="s">
        <v>12620</v>
      </c>
      <c r="V5235" t="s">
        <v>12620</v>
      </c>
      <c r="W5235" t="s">
        <v>17798</v>
      </c>
      <c r="X5235">
        <v>35</v>
      </c>
      <c r="Y5235" t="s">
        <v>23898</v>
      </c>
      <c r="Z5235" t="s">
        <v>30182</v>
      </c>
      <c r="AA5235">
        <v>0.80063612103406612</v>
      </c>
      <c r="AB5235" t="str">
        <f>HYPERLINK("Melting_Curves/meltCurve_Q9H0D6_XRN2.pdf", "Melting_Curves/meltCurve_Q9H0D6_XRN2.pdf")</f>
        <v>Melting_Curves/meltCurve_Q9H0D6_XRN2.pdf</v>
      </c>
    </row>
    <row r="5236" spans="1:28" x14ac:dyDescent="0.25">
      <c r="A5236" t="s">
        <v>5240</v>
      </c>
      <c r="B5236">
        <v>0.99987803227770999</v>
      </c>
      <c r="C5236">
        <v>0.977461970166422</v>
      </c>
      <c r="D5236">
        <v>0.984477475360236</v>
      </c>
      <c r="E5236">
        <v>0.92167161158857003</v>
      </c>
      <c r="F5236">
        <v>0.66506989044315001</v>
      </c>
      <c r="G5236">
        <v>0.32200421288884101</v>
      </c>
      <c r="H5236">
        <v>0.234111665590052</v>
      </c>
      <c r="I5236">
        <v>0.21468628500022099</v>
      </c>
      <c r="J5236">
        <v>0.151857057557579</v>
      </c>
      <c r="K5236">
        <v>0.12320069908359001</v>
      </c>
      <c r="L5236">
        <v>1361.80964133461</v>
      </c>
      <c r="M5236">
        <v>25.239485420457601</v>
      </c>
      <c r="N5236">
        <v>54.798913962790998</v>
      </c>
      <c r="O5236">
        <v>53.620235949155699</v>
      </c>
      <c r="P5236">
        <v>-9.8738614849719894E-2</v>
      </c>
      <c r="Q5236">
        <v>0.16094660142254399</v>
      </c>
      <c r="R5236">
        <v>0.99594123477473995</v>
      </c>
      <c r="S5236" t="s">
        <v>11547</v>
      </c>
      <c r="T5236" t="s">
        <v>12620</v>
      </c>
      <c r="U5236" t="s">
        <v>12620</v>
      </c>
      <c r="V5236" t="s">
        <v>12620</v>
      </c>
      <c r="W5236" t="s">
        <v>17799</v>
      </c>
      <c r="X5236">
        <v>8</v>
      </c>
      <c r="Y5236" t="s">
        <v>23899</v>
      </c>
      <c r="Z5236" t="s">
        <v>30183</v>
      </c>
      <c r="AA5236">
        <v>0.55889020976728188</v>
      </c>
      <c r="AB5236" t="str">
        <f>HYPERLINK("Melting_Curves/meltCurve_Q9H0E2_TOLLIP.pdf", "Melting_Curves/meltCurve_Q9H0E2_TOLLIP.pdf")</f>
        <v>Melting_Curves/meltCurve_Q9H0E2_TOLLIP.pdf</v>
      </c>
    </row>
    <row r="5237" spans="1:28" x14ac:dyDescent="0.25">
      <c r="A5237" t="s">
        <v>5241</v>
      </c>
      <c r="B5237">
        <v>0.99987803227770999</v>
      </c>
      <c r="C5237">
        <v>0.951914106426336</v>
      </c>
      <c r="D5237">
        <v>0.98722644718729102</v>
      </c>
      <c r="E5237">
        <v>0.83318893931054405</v>
      </c>
      <c r="F5237">
        <v>0.81796485248277795</v>
      </c>
      <c r="G5237">
        <v>0.430767336424698</v>
      </c>
      <c r="H5237">
        <v>0.339270809584924</v>
      </c>
      <c r="I5237">
        <v>0.31365134579468601</v>
      </c>
      <c r="J5237">
        <v>0.25442398725998</v>
      </c>
      <c r="K5237">
        <v>0.234225959435688</v>
      </c>
      <c r="L5237">
        <v>1061.40273726551</v>
      </c>
      <c r="M5237">
        <v>19.354782947348699</v>
      </c>
      <c r="N5237">
        <v>56.7183662831387</v>
      </c>
      <c r="O5237">
        <v>54.2639461886506</v>
      </c>
      <c r="P5237">
        <v>-6.8067912990754903E-2</v>
      </c>
      <c r="Q5237">
        <v>0.236675149515536</v>
      </c>
      <c r="R5237">
        <v>0.98319867653131299</v>
      </c>
      <c r="S5237" t="s">
        <v>11548</v>
      </c>
      <c r="T5237" t="s">
        <v>12620</v>
      </c>
      <c r="U5237" t="s">
        <v>12620</v>
      </c>
      <c r="V5237" t="s">
        <v>12620</v>
      </c>
      <c r="W5237" t="s">
        <v>17800</v>
      </c>
      <c r="X5237">
        <v>4</v>
      </c>
      <c r="Y5237" t="s">
        <v>23900</v>
      </c>
      <c r="Z5237" t="s">
        <v>30184</v>
      </c>
      <c r="AA5237">
        <v>0.62496592312087951</v>
      </c>
      <c r="AB5237" t="str">
        <f>HYPERLINK("Melting_Curves/meltCurve_Q9H0E3_3_SAP130.pdf", "Melting_Curves/meltCurve_Q9H0E3_3_SAP130.pdf")</f>
        <v>Melting_Curves/meltCurve_Q9H0E3_3_SAP130.pdf</v>
      </c>
    </row>
    <row r="5238" spans="1:28" x14ac:dyDescent="0.25">
      <c r="A5238" t="s">
        <v>5242</v>
      </c>
      <c r="B5238">
        <v>0.99987803227770999</v>
      </c>
      <c r="C5238">
        <v>1.02628960226206</v>
      </c>
      <c r="D5238">
        <v>1.0392541374742099</v>
      </c>
      <c r="E5238">
        <v>1.08456022372261</v>
      </c>
      <c r="F5238">
        <v>1.0866641097312599</v>
      </c>
      <c r="G5238">
        <v>0.80930891576046304</v>
      </c>
      <c r="H5238">
        <v>0.62019323897470002</v>
      </c>
      <c r="I5238">
        <v>0.57557171539709795</v>
      </c>
      <c r="J5238">
        <v>0.49280718536660301</v>
      </c>
      <c r="K5238">
        <v>0.35603750254432298</v>
      </c>
      <c r="L5238">
        <v>1307.43414572504</v>
      </c>
      <c r="M5238">
        <v>21.709988733617401</v>
      </c>
      <c r="N5238">
        <v>64.696931167194194</v>
      </c>
      <c r="O5238">
        <v>59.718724963203798</v>
      </c>
      <c r="P5238">
        <v>-5.55688519366212E-2</v>
      </c>
      <c r="Q5238">
        <v>0.38859063560801299</v>
      </c>
      <c r="R5238">
        <v>0.94662989513872398</v>
      </c>
      <c r="S5238" t="s">
        <v>11549</v>
      </c>
      <c r="T5238" t="s">
        <v>12620</v>
      </c>
      <c r="U5238" t="s">
        <v>12620</v>
      </c>
      <c r="V5238" t="s">
        <v>12620</v>
      </c>
      <c r="W5238" t="s">
        <v>17801</v>
      </c>
      <c r="X5238">
        <v>16</v>
      </c>
      <c r="Y5238" t="s">
        <v>23901</v>
      </c>
      <c r="Z5238" t="s">
        <v>30185</v>
      </c>
      <c r="AA5238">
        <v>0.80550594226245542</v>
      </c>
      <c r="AB5238" t="str">
        <f>HYPERLINK("Melting_Curves/meltCurve_Q9H0E9_2_BRD8.pdf", "Melting_Curves/meltCurve_Q9H0E9_2_BRD8.pdf")</f>
        <v>Melting_Curves/meltCurve_Q9H0E9_2_BRD8.pdf</v>
      </c>
    </row>
    <row r="5239" spans="1:28" x14ac:dyDescent="0.25">
      <c r="A5239" t="s">
        <v>5243</v>
      </c>
      <c r="B5239">
        <v>0.99987803227770999</v>
      </c>
      <c r="C5239">
        <v>0.95202122608497897</v>
      </c>
      <c r="D5239">
        <v>0.91125415024493195</v>
      </c>
      <c r="E5239">
        <v>0.73666221495695705</v>
      </c>
      <c r="F5239">
        <v>0.57707386719289999</v>
      </c>
      <c r="G5239">
        <v>0.35282909622559699</v>
      </c>
      <c r="H5239">
        <v>0.25887290789184197</v>
      </c>
      <c r="I5239">
        <v>0.24853915274562699</v>
      </c>
      <c r="J5239">
        <v>0.17442970344820699</v>
      </c>
      <c r="K5239">
        <v>0.12523993765664099</v>
      </c>
      <c r="L5239">
        <v>704.60569525884</v>
      </c>
      <c r="M5239">
        <v>13.2419271557338</v>
      </c>
      <c r="N5239">
        <v>54.3306154071959</v>
      </c>
      <c r="O5239">
        <v>52.040610333558199</v>
      </c>
      <c r="P5239">
        <v>-5.6021964941725302E-2</v>
      </c>
      <c r="Q5239">
        <v>0.119482258420124</v>
      </c>
      <c r="R5239">
        <v>0.99641667023235703</v>
      </c>
      <c r="S5239" t="s">
        <v>11550</v>
      </c>
      <c r="T5239" t="s">
        <v>12620</v>
      </c>
      <c r="U5239" t="s">
        <v>12620</v>
      </c>
      <c r="V5239" t="s">
        <v>12620</v>
      </c>
      <c r="W5239" t="s">
        <v>17802</v>
      </c>
      <c r="X5239">
        <v>8</v>
      </c>
      <c r="Y5239" t="s">
        <v>23902</v>
      </c>
      <c r="Z5239" t="s">
        <v>30186</v>
      </c>
      <c r="AA5239">
        <v>0.52924202565223621</v>
      </c>
      <c r="AB5239" t="str">
        <f>HYPERLINK("Melting_Curves/meltCurve_Q9H0F6_SHARPIN.pdf", "Melting_Curves/meltCurve_Q9H0F6_SHARPIN.pdf")</f>
        <v>Melting_Curves/meltCurve_Q9H0F6_SHARPIN.pdf</v>
      </c>
    </row>
    <row r="5240" spans="1:28" x14ac:dyDescent="0.25">
      <c r="A5240" t="s">
        <v>5244</v>
      </c>
      <c r="B5240">
        <v>0.99987803227770999</v>
      </c>
      <c r="C5240">
        <v>0.85169302634031196</v>
      </c>
      <c r="D5240">
        <v>0.27965199185577</v>
      </c>
      <c r="E5240">
        <v>0.50944061866619095</v>
      </c>
      <c r="F5240">
        <v>0.50236873438363505</v>
      </c>
      <c r="G5240">
        <v>0.341673670982577</v>
      </c>
      <c r="H5240">
        <v>0.248045580037797</v>
      </c>
      <c r="I5240">
        <v>0.262399098515326</v>
      </c>
      <c r="J5240">
        <v>0.129152911355703</v>
      </c>
      <c r="K5240">
        <v>0.11641835600485501</v>
      </c>
      <c r="L5240">
        <v>413.11796747250798</v>
      </c>
      <c r="M5240">
        <v>8.7373426659022009</v>
      </c>
      <c r="N5240">
        <v>48.998975386423197</v>
      </c>
      <c r="O5240">
        <v>45.001153620940102</v>
      </c>
      <c r="P5240">
        <v>-4.2172527741240001E-2</v>
      </c>
      <c r="Q5240">
        <v>0.13187672772838799</v>
      </c>
      <c r="R5240">
        <v>0.77505555584052199</v>
      </c>
      <c r="S5240" t="s">
        <v>11551</v>
      </c>
      <c r="T5240" t="s">
        <v>12620</v>
      </c>
      <c r="U5240" t="s">
        <v>12620</v>
      </c>
      <c r="V5240" t="s">
        <v>12620</v>
      </c>
      <c r="W5240" t="s">
        <v>17803</v>
      </c>
      <c r="X5240">
        <v>1</v>
      </c>
      <c r="Y5240" t="s">
        <v>23903</v>
      </c>
      <c r="Z5240" t="s">
        <v>30187</v>
      </c>
      <c r="AA5240">
        <v>0.40232496264637019</v>
      </c>
      <c r="AB5240" t="str">
        <f>HYPERLINK("Melting_Curves/meltCurve_Q9H0F7_ARL6.pdf", "Melting_Curves/meltCurve_Q9H0F7_ARL6.pdf")</f>
        <v>Melting_Curves/meltCurve_Q9H0F7_ARL6.pdf</v>
      </c>
    </row>
    <row r="5241" spans="1:28" x14ac:dyDescent="0.25">
      <c r="A5241" t="s">
        <v>5245</v>
      </c>
      <c r="B5241">
        <v>0.99987803227770999</v>
      </c>
      <c r="C5241">
        <v>0.90260360722662203</v>
      </c>
      <c r="D5241">
        <v>0.98122370226607802</v>
      </c>
      <c r="E5241">
        <v>0.93426851528781996</v>
      </c>
      <c r="F5241">
        <v>1.09927031655659</v>
      </c>
      <c r="G5241">
        <v>0.80004129957995596</v>
      </c>
      <c r="H5241">
        <v>0.96472371737344198</v>
      </c>
      <c r="I5241">
        <v>0.91274808884319303</v>
      </c>
      <c r="J5241">
        <v>1.1568181579616299</v>
      </c>
      <c r="K5241">
        <v>0.93507475887727698</v>
      </c>
      <c r="L5241">
        <v>10209.025346902699</v>
      </c>
      <c r="M5241">
        <v>250</v>
      </c>
      <c r="O5241">
        <v>40.833488167398002</v>
      </c>
      <c r="P5241">
        <v>-5.3269751572295798E-2</v>
      </c>
      <c r="Q5241">
        <v>0.96519696372922104</v>
      </c>
      <c r="R5241">
        <v>1.1786109268944999E-2</v>
      </c>
      <c r="S5241" t="s">
        <v>11552</v>
      </c>
      <c r="T5241" t="s">
        <v>12620</v>
      </c>
      <c r="U5241" t="s">
        <v>12620</v>
      </c>
      <c r="V5241" t="s">
        <v>12620</v>
      </c>
      <c r="W5241" t="s">
        <v>17804</v>
      </c>
      <c r="X5241">
        <v>16</v>
      </c>
      <c r="Y5241" t="s">
        <v>23904</v>
      </c>
      <c r="Z5241" t="s">
        <v>30188</v>
      </c>
      <c r="AA5241">
        <v>0.96617038761324803</v>
      </c>
      <c r="AB5241" t="str">
        <f>HYPERLINK("Melting_Curves/meltCurve_Q9H0G5_NSRP1.pdf", "Melting_Curves/meltCurve_Q9H0G5_NSRP1.pdf")</f>
        <v>Melting_Curves/meltCurve_Q9H0G5_NSRP1.pdf</v>
      </c>
    </row>
    <row r="5242" spans="1:28" x14ac:dyDescent="0.25">
      <c r="A5242" t="s">
        <v>5246</v>
      </c>
      <c r="B5242">
        <v>0.99987803227770999</v>
      </c>
      <c r="C5242">
        <v>1.6517720490277701</v>
      </c>
      <c r="D5242">
        <v>1.0707547145413301</v>
      </c>
      <c r="E5242">
        <v>2.5705776321567102</v>
      </c>
      <c r="F5242">
        <v>0.563779911568422</v>
      </c>
      <c r="G5242">
        <v>0.36340645097702701</v>
      </c>
      <c r="H5242">
        <v>0.20007558649115401</v>
      </c>
      <c r="I5242">
        <v>0.146898305935243</v>
      </c>
      <c r="J5242">
        <v>0.120340904707931</v>
      </c>
      <c r="K5242">
        <v>8.6321930254148194E-2</v>
      </c>
      <c r="L5242">
        <v>13242.7396892162</v>
      </c>
      <c r="M5242">
        <v>250</v>
      </c>
      <c r="N5242">
        <v>53.067970313249901</v>
      </c>
      <c r="O5242">
        <v>52.967556998447002</v>
      </c>
      <c r="P5242">
        <v>-0.96355128739478202</v>
      </c>
      <c r="Q5242">
        <v>0.183408492013586</v>
      </c>
      <c r="R5242">
        <v>0.507103834775679</v>
      </c>
      <c r="S5242" t="s">
        <v>11553</v>
      </c>
      <c r="T5242" t="s">
        <v>12620</v>
      </c>
      <c r="U5242" t="s">
        <v>12620</v>
      </c>
      <c r="V5242" t="s">
        <v>12620</v>
      </c>
      <c r="W5242" t="s">
        <v>17805</v>
      </c>
      <c r="X5242">
        <v>1</v>
      </c>
      <c r="Y5242" t="s">
        <v>23905</v>
      </c>
      <c r="Z5242" t="s">
        <v>30189</v>
      </c>
      <c r="AA5242">
        <v>0.53655023068989161</v>
      </c>
      <c r="AB5242" t="str">
        <f>HYPERLINK("Melting_Curves/meltCurve_Q9H0H3_KLHL25.pdf", "Melting_Curves/meltCurve_Q9H0H3_KLHL25.pdf")</f>
        <v>Melting_Curves/meltCurve_Q9H0H3_KLHL25.pdf</v>
      </c>
    </row>
    <row r="5243" spans="1:28" x14ac:dyDescent="0.25">
      <c r="A5243" t="s">
        <v>5247</v>
      </c>
      <c r="B5243">
        <v>0.99987803227770999</v>
      </c>
      <c r="C5243">
        <v>1.0281985773537801</v>
      </c>
      <c r="D5243">
        <v>0.93000343701287802</v>
      </c>
      <c r="E5243">
        <v>0.89595538009926101</v>
      </c>
      <c r="F5243">
        <v>0.46659821495221998</v>
      </c>
      <c r="G5243">
        <v>0.26714718511580199</v>
      </c>
      <c r="H5243">
        <v>0.183850397604262</v>
      </c>
      <c r="I5243">
        <v>0.15599563540273501</v>
      </c>
      <c r="J5243">
        <v>0.132105323119596</v>
      </c>
      <c r="K5243">
        <v>0.108963644163243</v>
      </c>
      <c r="L5243">
        <v>1651.45646935948</v>
      </c>
      <c r="M5243">
        <v>31.482235382682202</v>
      </c>
      <c r="N5243">
        <v>53.057253220446803</v>
      </c>
      <c r="O5243">
        <v>52.246488141166502</v>
      </c>
      <c r="P5243">
        <v>-0.12806668553398701</v>
      </c>
      <c r="Q5243">
        <v>0.14987006242076201</v>
      </c>
      <c r="R5243">
        <v>0.99051323641557398</v>
      </c>
      <c r="S5243" t="s">
        <v>11554</v>
      </c>
      <c r="T5243" t="s">
        <v>12620</v>
      </c>
      <c r="U5243" t="s">
        <v>12620</v>
      </c>
      <c r="V5243" t="s">
        <v>12620</v>
      </c>
      <c r="W5243" t="s">
        <v>17806</v>
      </c>
      <c r="X5243">
        <v>12</v>
      </c>
      <c r="Y5243" t="s">
        <v>23906</v>
      </c>
      <c r="Z5243" t="s">
        <v>30190</v>
      </c>
      <c r="AA5243">
        <v>0.50783804630415663</v>
      </c>
      <c r="AB5243" t="str">
        <f>HYPERLINK("Melting_Curves/meltCurve_Q9H0H5_RACGAP1.pdf", "Melting_Curves/meltCurve_Q9H0H5_RACGAP1.pdf")</f>
        <v>Melting_Curves/meltCurve_Q9H0H5_RACGAP1.pdf</v>
      </c>
    </row>
    <row r="5244" spans="1:28" x14ac:dyDescent="0.25">
      <c r="A5244" t="s">
        <v>5248</v>
      </c>
      <c r="B5244">
        <v>0.99987803227770999</v>
      </c>
      <c r="C5244">
        <v>0.92951661473181302</v>
      </c>
      <c r="D5244">
        <v>0.93061510098853895</v>
      </c>
      <c r="E5244">
        <v>0.72724425192047804</v>
      </c>
      <c r="F5244">
        <v>0.79500981688279204</v>
      </c>
      <c r="G5244">
        <v>0.53741113958875997</v>
      </c>
      <c r="H5244">
        <v>0.40258383380595197</v>
      </c>
      <c r="I5244">
        <v>0.28199859152998802</v>
      </c>
      <c r="J5244">
        <v>0.20647297174474299</v>
      </c>
      <c r="K5244">
        <v>0.15044267962237101</v>
      </c>
      <c r="L5244">
        <v>547.17099199987001</v>
      </c>
      <c r="M5244">
        <v>9.4328778406563298</v>
      </c>
      <c r="N5244">
        <v>58.0067929427398</v>
      </c>
      <c r="O5244">
        <v>55.5790704059864</v>
      </c>
      <c r="P5244">
        <v>-4.2455775380225103E-2</v>
      </c>
      <c r="Q5244">
        <v>0</v>
      </c>
      <c r="R5244">
        <v>0.98051106035319702</v>
      </c>
      <c r="S5244" t="s">
        <v>11555</v>
      </c>
      <c r="T5244" t="s">
        <v>12620</v>
      </c>
      <c r="U5244" t="s">
        <v>12620</v>
      </c>
      <c r="V5244" t="s">
        <v>12620</v>
      </c>
      <c r="W5244" t="s">
        <v>17807</v>
      </c>
      <c r="X5244">
        <v>2</v>
      </c>
      <c r="Y5244" t="s">
        <v>23907</v>
      </c>
      <c r="Z5244" t="s">
        <v>30191</v>
      </c>
      <c r="AA5244">
        <v>0.60874356094382365</v>
      </c>
      <c r="AB5244" t="str">
        <f>HYPERLINK("Melting_Curves/meltCurve_Q9H0K1_SIK2.pdf", "Melting_Curves/meltCurve_Q9H0K1_SIK2.pdf")</f>
        <v>Melting_Curves/meltCurve_Q9H0K1_SIK2.pdf</v>
      </c>
    </row>
    <row r="5245" spans="1:28" x14ac:dyDescent="0.25">
      <c r="A5245" t="s">
        <v>5249</v>
      </c>
      <c r="B5245">
        <v>0.99987803227770999</v>
      </c>
      <c r="C5245">
        <v>1.2364893580404801</v>
      </c>
      <c r="D5245">
        <v>1.03006819000692</v>
      </c>
      <c r="E5245">
        <v>1.1353399701603399</v>
      </c>
      <c r="F5245">
        <v>0.660179780325579</v>
      </c>
      <c r="G5245">
        <v>0.35656413978427298</v>
      </c>
      <c r="H5245">
        <v>0.18096545703379999</v>
      </c>
      <c r="I5245">
        <v>0.16695240182129201</v>
      </c>
      <c r="J5245">
        <v>0.113684936428408</v>
      </c>
      <c r="K5245">
        <v>9.7175634977078804E-2</v>
      </c>
      <c r="L5245">
        <v>1704.7266538049601</v>
      </c>
      <c r="M5245">
        <v>31.275814869438701</v>
      </c>
      <c r="N5245">
        <v>55.058364327529802</v>
      </c>
      <c r="O5245">
        <v>54.284845954330201</v>
      </c>
      <c r="P5245">
        <v>-0.124647751860924</v>
      </c>
      <c r="Q5245">
        <v>0.13460972416641601</v>
      </c>
      <c r="R5245">
        <v>0.94688384077409005</v>
      </c>
      <c r="S5245" t="s">
        <v>11556</v>
      </c>
      <c r="T5245" t="s">
        <v>12620</v>
      </c>
      <c r="U5245" t="s">
        <v>12620</v>
      </c>
      <c r="V5245" t="s">
        <v>12620</v>
      </c>
      <c r="W5245" t="s">
        <v>17808</v>
      </c>
      <c r="X5245">
        <v>8</v>
      </c>
      <c r="Y5245" t="s">
        <v>23908</v>
      </c>
      <c r="Z5245" t="s">
        <v>30192</v>
      </c>
      <c r="AA5245">
        <v>0.55833756752379138</v>
      </c>
      <c r="AB5245" t="str">
        <f>HYPERLINK("Melting_Curves/meltCurve_Q9H0K6_PUS7L.pdf", "Melting_Curves/meltCurve_Q9H0K6_PUS7L.pdf")</f>
        <v>Melting_Curves/meltCurve_Q9H0K6_PUS7L.pdf</v>
      </c>
    </row>
    <row r="5246" spans="1:28" x14ac:dyDescent="0.25">
      <c r="A5246" t="s">
        <v>5250</v>
      </c>
      <c r="B5246">
        <v>0.99987803227770999</v>
      </c>
      <c r="C5246">
        <v>0.93228939842432801</v>
      </c>
      <c r="D5246">
        <v>0.98092680625001305</v>
      </c>
      <c r="E5246">
        <v>0.96410805865725502</v>
      </c>
      <c r="F5246">
        <v>0.958086843453411</v>
      </c>
      <c r="G5246">
        <v>0.61408407746890803</v>
      </c>
      <c r="H5246">
        <v>0.53080130476157505</v>
      </c>
      <c r="I5246">
        <v>0.49340766744036402</v>
      </c>
      <c r="J5246">
        <v>0.47783936214270301</v>
      </c>
      <c r="K5246">
        <v>0.36586574523628501</v>
      </c>
      <c r="L5246">
        <v>1886.1828331055301</v>
      </c>
      <c r="M5246">
        <v>33.728647096414903</v>
      </c>
      <c r="N5246">
        <v>60.108066169798498</v>
      </c>
      <c r="O5246">
        <v>55.7267956671378</v>
      </c>
      <c r="P5246">
        <v>-8.2880639934408806E-2</v>
      </c>
      <c r="Q5246">
        <v>0.45225747398606098</v>
      </c>
      <c r="R5246">
        <v>0.96794481973776103</v>
      </c>
      <c r="S5246" t="s">
        <v>11557</v>
      </c>
      <c r="T5246" t="s">
        <v>12620</v>
      </c>
      <c r="U5246" t="s">
        <v>12620</v>
      </c>
      <c r="V5246" t="s">
        <v>12620</v>
      </c>
      <c r="W5246" t="s">
        <v>17809</v>
      </c>
      <c r="X5246">
        <v>16</v>
      </c>
      <c r="Y5246" t="s">
        <v>23909</v>
      </c>
      <c r="Z5246" t="s">
        <v>30193</v>
      </c>
      <c r="AA5246">
        <v>0.74589922160602617</v>
      </c>
      <c r="AB5246" t="str">
        <f>HYPERLINK("Melting_Curves/meltCurve_Q9H0L4_CSTF2T.pdf", "Melting_Curves/meltCurve_Q9H0L4_CSTF2T.pdf")</f>
        <v>Melting_Curves/meltCurve_Q9H0L4_CSTF2T.pdf</v>
      </c>
    </row>
    <row r="5247" spans="1:28" x14ac:dyDescent="0.25">
      <c r="A5247" t="s">
        <v>5251</v>
      </c>
      <c r="B5247">
        <v>0.99987803227770999</v>
      </c>
      <c r="C5247">
        <v>0.86821710622777104</v>
      </c>
      <c r="D5247">
        <v>0.97188632866765801</v>
      </c>
      <c r="E5247">
        <v>0.51003034458238905</v>
      </c>
      <c r="F5247">
        <v>0.19589756201470501</v>
      </c>
      <c r="G5247">
        <v>0.13178466754754201</v>
      </c>
      <c r="H5247">
        <v>8.4707934865460605E-2</v>
      </c>
      <c r="I5247">
        <v>6.3024091508719501E-2</v>
      </c>
      <c r="J5247">
        <v>5.34233948367491E-2</v>
      </c>
      <c r="K5247">
        <v>3.9745986599674397E-2</v>
      </c>
      <c r="L5247">
        <v>1511.90841031992</v>
      </c>
      <c r="M5247">
        <v>30.307369489627799</v>
      </c>
      <c r="N5247">
        <v>50.1261854748251</v>
      </c>
      <c r="O5247">
        <v>49.670136161694103</v>
      </c>
      <c r="P5247">
        <v>-0.14222801575162899</v>
      </c>
      <c r="Q5247">
        <v>6.7626936337267102E-2</v>
      </c>
      <c r="R5247">
        <v>0.98637689438394704</v>
      </c>
      <c r="S5247" t="s">
        <v>11558</v>
      </c>
      <c r="T5247" t="s">
        <v>12620</v>
      </c>
      <c r="U5247" t="s">
        <v>12620</v>
      </c>
      <c r="V5247" t="s">
        <v>12620</v>
      </c>
      <c r="W5247" t="s">
        <v>17810</v>
      </c>
      <c r="X5247">
        <v>6</v>
      </c>
      <c r="Y5247" t="s">
        <v>23910</v>
      </c>
      <c r="Z5247" t="s">
        <v>30194</v>
      </c>
      <c r="AA5247">
        <v>0.38050837658129072</v>
      </c>
      <c r="AB5247" t="str">
        <f>HYPERLINK("Melting_Curves/meltCurve_Q9H0P0_1_NT5C3A.pdf", "Melting_Curves/meltCurve_Q9H0P0_1_NT5C3A.pdf")</f>
        <v>Melting_Curves/meltCurve_Q9H0P0_1_NT5C3A.pdf</v>
      </c>
    </row>
    <row r="5248" spans="1:28" x14ac:dyDescent="0.25">
      <c r="A5248" t="s">
        <v>5252</v>
      </c>
      <c r="B5248">
        <v>0.99987803227770999</v>
      </c>
      <c r="C5248">
        <v>0.91262142722556905</v>
      </c>
      <c r="D5248">
        <v>0.86977960137468302</v>
      </c>
      <c r="E5248">
        <v>0.63221442581968201</v>
      </c>
      <c r="F5248">
        <v>0.38940504432822398</v>
      </c>
      <c r="G5248">
        <v>0.227352832989028</v>
      </c>
      <c r="H5248">
        <v>0.179330217750999</v>
      </c>
      <c r="I5248">
        <v>0.17746156014447401</v>
      </c>
      <c r="J5248">
        <v>0.150415142362154</v>
      </c>
      <c r="K5248">
        <v>0.11144534911755601</v>
      </c>
      <c r="L5248">
        <v>849.81954443185202</v>
      </c>
      <c r="M5248">
        <v>16.786237603503299</v>
      </c>
      <c r="N5248">
        <v>51.522673300603302</v>
      </c>
      <c r="O5248">
        <v>49.923856972207901</v>
      </c>
      <c r="P5248">
        <v>-7.3416120234965798E-2</v>
      </c>
      <c r="Q5248">
        <v>0.12667081457551499</v>
      </c>
      <c r="R5248">
        <v>0.99583113797034495</v>
      </c>
      <c r="S5248" t="s">
        <v>11559</v>
      </c>
      <c r="T5248" t="s">
        <v>12620</v>
      </c>
      <c r="U5248" t="s">
        <v>12620</v>
      </c>
      <c r="V5248" t="s">
        <v>12620</v>
      </c>
      <c r="W5248" t="s">
        <v>17811</v>
      </c>
      <c r="X5248">
        <v>3</v>
      </c>
      <c r="Y5248" t="s">
        <v>23911</v>
      </c>
      <c r="Z5248" t="s">
        <v>30195</v>
      </c>
      <c r="AA5248">
        <v>0.45277934463827357</v>
      </c>
      <c r="AB5248" t="str">
        <f>HYPERLINK("Melting_Curves/meltCurve_Q9H0R1_AP5M1.pdf", "Melting_Curves/meltCurve_Q9H0R1_AP5M1.pdf")</f>
        <v>Melting_Curves/meltCurve_Q9H0R1_AP5M1.pdf</v>
      </c>
    </row>
    <row r="5249" spans="1:28" x14ac:dyDescent="0.25">
      <c r="A5249" t="s">
        <v>5253</v>
      </c>
      <c r="B5249">
        <v>0.99987803227770999</v>
      </c>
      <c r="C5249">
        <v>0.94939340109966497</v>
      </c>
      <c r="D5249">
        <v>1.0261408917898001</v>
      </c>
      <c r="E5249">
        <v>0.94761529818424695</v>
      </c>
      <c r="F5249">
        <v>1.00799305795475</v>
      </c>
      <c r="G5249">
        <v>0.68892992809614495</v>
      </c>
      <c r="H5249">
        <v>0.88281089195310702</v>
      </c>
      <c r="I5249">
        <v>0.82954160314084702</v>
      </c>
      <c r="J5249">
        <v>0.57258822721262403</v>
      </c>
      <c r="K5249">
        <v>0.28098558382458499</v>
      </c>
      <c r="L5249">
        <v>1250.15022680382</v>
      </c>
      <c r="M5249">
        <v>18.4803697725938</v>
      </c>
      <c r="N5249">
        <v>67.647468216592699</v>
      </c>
      <c r="O5249">
        <v>66.870293526793901</v>
      </c>
      <c r="P5249">
        <v>-6.9093429519583194E-2</v>
      </c>
      <c r="Q5249">
        <v>0</v>
      </c>
      <c r="R5249">
        <v>0.810331890849049</v>
      </c>
      <c r="S5249" t="s">
        <v>11560</v>
      </c>
      <c r="T5249" t="s">
        <v>12620</v>
      </c>
      <c r="U5249" t="s">
        <v>12620</v>
      </c>
      <c r="V5249" t="s">
        <v>12620</v>
      </c>
      <c r="W5249" t="s">
        <v>17812</v>
      </c>
      <c r="X5249">
        <v>7</v>
      </c>
      <c r="Y5249" t="s">
        <v>23912</v>
      </c>
      <c r="Z5249" t="s">
        <v>30196</v>
      </c>
      <c r="AA5249">
        <v>0.87943053235938706</v>
      </c>
      <c r="AB5249" t="str">
        <f>HYPERLINK("Melting_Curves/meltCurve_Q9H0R4_HDHD2.pdf", "Melting_Curves/meltCurve_Q9H0R4_HDHD2.pdf")</f>
        <v>Melting_Curves/meltCurve_Q9H0R4_HDHD2.pdf</v>
      </c>
    </row>
    <row r="5250" spans="1:28" x14ac:dyDescent="0.25">
      <c r="A5250" t="s">
        <v>5254</v>
      </c>
      <c r="B5250">
        <v>0.99987803227770999</v>
      </c>
      <c r="C5250">
        <v>1.31654318343538</v>
      </c>
      <c r="D5250">
        <v>1.1411386502779099</v>
      </c>
      <c r="E5250">
        <v>0.79066308927667295</v>
      </c>
      <c r="F5250">
        <v>0.26372770356566</v>
      </c>
      <c r="G5250">
        <v>0.165993691030069</v>
      </c>
      <c r="H5250">
        <v>8.8218439485353795E-2</v>
      </c>
      <c r="I5250">
        <v>7.8101446195302807E-2</v>
      </c>
      <c r="J5250">
        <v>7.2885959762489794E-2</v>
      </c>
      <c r="K5250">
        <v>6.1507864101738099E-2</v>
      </c>
      <c r="L5250">
        <v>2368.1585951523698</v>
      </c>
      <c r="M5250">
        <v>46.117165276722197</v>
      </c>
      <c r="N5250">
        <v>51.574883520797002</v>
      </c>
      <c r="O5250">
        <v>51.254639556070401</v>
      </c>
      <c r="P5250">
        <v>-0.20452750848106199</v>
      </c>
      <c r="Q5250">
        <v>9.0753233950635198E-2</v>
      </c>
      <c r="R5250">
        <v>0.94476652508064296</v>
      </c>
      <c r="S5250" t="s">
        <v>11561</v>
      </c>
      <c r="T5250" t="s">
        <v>12620</v>
      </c>
      <c r="U5250" t="s">
        <v>12620</v>
      </c>
      <c r="V5250" t="s">
        <v>12620</v>
      </c>
      <c r="W5250" t="s">
        <v>17813</v>
      </c>
      <c r="X5250">
        <v>3</v>
      </c>
      <c r="Y5250" t="s">
        <v>23913</v>
      </c>
      <c r="Z5250" t="s">
        <v>30197</v>
      </c>
      <c r="AA5250">
        <v>0.43720238604089329</v>
      </c>
      <c r="AB5250" t="str">
        <f>HYPERLINK("Melting_Curves/meltCurve_Q9H0S4_2_DDX47.pdf", "Melting_Curves/meltCurve_Q9H0S4_2_DDX47.pdf")</f>
        <v>Melting_Curves/meltCurve_Q9H0S4_2_DDX47.pdf</v>
      </c>
    </row>
    <row r="5251" spans="1:28" x14ac:dyDescent="0.25">
      <c r="A5251" t="s">
        <v>5255</v>
      </c>
      <c r="B5251">
        <v>0.99987803227770999</v>
      </c>
      <c r="C5251">
        <v>0.90916086237515004</v>
      </c>
      <c r="D5251">
        <v>1.05550140221084</v>
      </c>
      <c r="E5251">
        <v>0.96572993174440702</v>
      </c>
      <c r="F5251">
        <v>1.01755895358837</v>
      </c>
      <c r="G5251">
        <v>0.75711950709502096</v>
      </c>
      <c r="H5251">
        <v>0.32495613666915801</v>
      </c>
      <c r="I5251">
        <v>0.19921662472703999</v>
      </c>
      <c r="J5251">
        <v>0.141511502370821</v>
      </c>
      <c r="K5251">
        <v>9.3398609701859606E-2</v>
      </c>
      <c r="L5251">
        <v>1854.85928835713</v>
      </c>
      <c r="M5251">
        <v>31.522019813707701</v>
      </c>
      <c r="N5251">
        <v>59.322524491513001</v>
      </c>
      <c r="O5251">
        <v>58.607986395030601</v>
      </c>
      <c r="P5251">
        <v>-0.119347768090207</v>
      </c>
      <c r="Q5251">
        <v>0.112405258331664</v>
      </c>
      <c r="R5251">
        <v>0.98946680720563895</v>
      </c>
      <c r="S5251" t="s">
        <v>11562</v>
      </c>
      <c r="T5251" t="s">
        <v>12620</v>
      </c>
      <c r="U5251" t="s">
        <v>12620</v>
      </c>
      <c r="V5251" t="s">
        <v>12620</v>
      </c>
      <c r="W5251" t="s">
        <v>17814</v>
      </c>
      <c r="X5251">
        <v>12</v>
      </c>
      <c r="Y5251" t="s">
        <v>23914</v>
      </c>
      <c r="Z5251" t="s">
        <v>30198</v>
      </c>
      <c r="AA5251">
        <v>0.67520269946846168</v>
      </c>
      <c r="AB5251" t="str">
        <f>HYPERLINK("Melting_Curves/meltCurve_Q9H0U4_RAB1B.pdf", "Melting_Curves/meltCurve_Q9H0U4_RAB1B.pdf")</f>
        <v>Melting_Curves/meltCurve_Q9H0U4_RAB1B.pdf</v>
      </c>
    </row>
    <row r="5252" spans="1:28" x14ac:dyDescent="0.25">
      <c r="A5252" t="s">
        <v>5256</v>
      </c>
      <c r="B5252">
        <v>0.99987803227770999</v>
      </c>
      <c r="C5252">
        <v>0.80177505260469395</v>
      </c>
      <c r="D5252">
        <v>0.89226829397202301</v>
      </c>
      <c r="E5252">
        <v>0.77341624845794998</v>
      </c>
      <c r="F5252">
        <v>0.85219257986751495</v>
      </c>
      <c r="G5252">
        <v>0.65948672818652798</v>
      </c>
      <c r="H5252">
        <v>0.65150339904936805</v>
      </c>
      <c r="I5252">
        <v>0.54016291653368398</v>
      </c>
      <c r="J5252">
        <v>0.56860458036621797</v>
      </c>
      <c r="K5252">
        <v>0.48544537838944701</v>
      </c>
      <c r="L5252">
        <v>254.43147199936399</v>
      </c>
      <c r="M5252">
        <v>3.6418465770667701</v>
      </c>
      <c r="N5252">
        <v>69.863291098791905</v>
      </c>
      <c r="O5252">
        <v>55.5714697790348</v>
      </c>
      <c r="P5252">
        <v>-1.6666824153837499E-2</v>
      </c>
      <c r="Q5252">
        <v>0</v>
      </c>
      <c r="R5252">
        <v>0.88238561012236805</v>
      </c>
      <c r="S5252" t="s">
        <v>11563</v>
      </c>
      <c r="T5252" t="s">
        <v>12620</v>
      </c>
      <c r="U5252" t="s">
        <v>12620</v>
      </c>
      <c r="V5252" t="s">
        <v>12620</v>
      </c>
      <c r="W5252" t="s">
        <v>17815</v>
      </c>
      <c r="X5252">
        <v>1</v>
      </c>
      <c r="Y5252" t="s">
        <v>23915</v>
      </c>
      <c r="Z5252" t="s">
        <v>30199</v>
      </c>
      <c r="AA5252">
        <v>0.72538461691029077</v>
      </c>
      <c r="AB5252" t="str">
        <f>HYPERLINK("Melting_Curves/meltCurve_Q9H0U9_TSPYL1.pdf", "Melting_Curves/meltCurve_Q9H0U9_TSPYL1.pdf")</f>
        <v>Melting_Curves/meltCurve_Q9H0U9_TSPYL1.pdf</v>
      </c>
    </row>
    <row r="5253" spans="1:28" x14ac:dyDescent="0.25">
      <c r="A5253" t="s">
        <v>5257</v>
      </c>
      <c r="B5253">
        <v>0.99987803227770999</v>
      </c>
      <c r="C5253">
        <v>0.78136587916605105</v>
      </c>
      <c r="D5253">
        <v>0.822618128288646</v>
      </c>
      <c r="E5253">
        <v>0.58700210461770397</v>
      </c>
      <c r="F5253">
        <v>0.64264907934484095</v>
      </c>
      <c r="G5253">
        <v>0.49545541360450801</v>
      </c>
      <c r="H5253">
        <v>0.55214204239583897</v>
      </c>
      <c r="I5253">
        <v>0.45532496937023198</v>
      </c>
      <c r="J5253">
        <v>0.59484991415806898</v>
      </c>
      <c r="K5253">
        <v>0.50597855529010205</v>
      </c>
      <c r="L5253">
        <v>619.25517157554305</v>
      </c>
      <c r="M5253">
        <v>13.454320319658301</v>
      </c>
      <c r="O5253">
        <v>45.045398639361103</v>
      </c>
      <c r="P5253">
        <v>-3.6413122432039799E-2</v>
      </c>
      <c r="Q5253">
        <v>0.51242746310003295</v>
      </c>
      <c r="R5253">
        <v>0.87189145182600603</v>
      </c>
      <c r="S5253" t="s">
        <v>11564</v>
      </c>
      <c r="T5253" t="s">
        <v>12620</v>
      </c>
      <c r="U5253" t="s">
        <v>12620</v>
      </c>
      <c r="V5253" t="s">
        <v>12620</v>
      </c>
      <c r="W5253" t="s">
        <v>17816</v>
      </c>
      <c r="X5253">
        <v>8</v>
      </c>
      <c r="Y5253" t="s">
        <v>23916</v>
      </c>
      <c r="Z5253" t="s">
        <v>30200</v>
      </c>
      <c r="AA5253">
        <v>0.62812769710089855</v>
      </c>
      <c r="AB5253" t="str">
        <f>HYPERLINK("Melting_Curves/meltCurve_Q9H0W8_SMG9.pdf", "Melting_Curves/meltCurve_Q9H0W8_SMG9.pdf")</f>
        <v>Melting_Curves/meltCurve_Q9H0W8_SMG9.pdf</v>
      </c>
    </row>
    <row r="5254" spans="1:28" x14ac:dyDescent="0.25">
      <c r="A5254" t="s">
        <v>5258</v>
      </c>
      <c r="B5254">
        <v>0.99987803227770999</v>
      </c>
      <c r="C5254">
        <v>0.92658128343805801</v>
      </c>
      <c r="D5254">
        <v>1.01483289523039</v>
      </c>
      <c r="E5254">
        <v>0.95777144066681796</v>
      </c>
      <c r="F5254">
        <v>1.0633427444566801</v>
      </c>
      <c r="G5254">
        <v>0.69091761948807695</v>
      </c>
      <c r="H5254">
        <v>0.29405139836924399</v>
      </c>
      <c r="I5254">
        <v>0.156490991974153</v>
      </c>
      <c r="J5254">
        <v>8.1529410647470393E-2</v>
      </c>
      <c r="K5254">
        <v>6.4169880877745403E-2</v>
      </c>
      <c r="L5254">
        <v>1809.2472048505799</v>
      </c>
      <c r="M5254">
        <v>30.8917613935538</v>
      </c>
      <c r="N5254">
        <v>58.865398810296497</v>
      </c>
      <c r="O5254">
        <v>58.323500537303602</v>
      </c>
      <c r="P5254">
        <v>-0.12282852135419001</v>
      </c>
      <c r="Q5254">
        <v>7.2406408548867193E-2</v>
      </c>
      <c r="R5254">
        <v>0.98863290203727205</v>
      </c>
      <c r="S5254" t="s">
        <v>11565</v>
      </c>
      <c r="T5254" t="s">
        <v>12620</v>
      </c>
      <c r="U5254" t="s">
        <v>12620</v>
      </c>
      <c r="V5254" t="s">
        <v>12620</v>
      </c>
      <c r="W5254" t="s">
        <v>17817</v>
      </c>
      <c r="X5254">
        <v>12</v>
      </c>
      <c r="Y5254" t="s">
        <v>23917</v>
      </c>
      <c r="Z5254" t="s">
        <v>30201</v>
      </c>
      <c r="AA5254">
        <v>0.65225502550967529</v>
      </c>
      <c r="AB5254" t="str">
        <f>HYPERLINK("Melting_Curves/meltCurve_Q9H0W9_2_C11orf54.pdf", "Melting_Curves/meltCurve_Q9H0W9_2_C11orf54.pdf")</f>
        <v>Melting_Curves/meltCurve_Q9H0W9_2_C11orf54.pdf</v>
      </c>
    </row>
    <row r="5255" spans="1:28" x14ac:dyDescent="0.25">
      <c r="A5255" t="s">
        <v>5259</v>
      </c>
      <c r="B5255">
        <v>0.99987803227770999</v>
      </c>
      <c r="C5255">
        <v>1.00552680356645</v>
      </c>
      <c r="D5255">
        <v>0.72363851253354095</v>
      </c>
      <c r="E5255">
        <v>0.47944486249101298</v>
      </c>
      <c r="F5255">
        <v>0.28161884494101203</v>
      </c>
      <c r="G5255">
        <v>0.14002628938352099</v>
      </c>
      <c r="H5255">
        <v>0.116722645394416</v>
      </c>
      <c r="I5255">
        <v>8.8621012666713503E-2</v>
      </c>
      <c r="J5255">
        <v>8.6774725651520598E-2</v>
      </c>
      <c r="K5255">
        <v>6.3405995785007593E-2</v>
      </c>
      <c r="L5255">
        <v>855.628122892031</v>
      </c>
      <c r="M5255">
        <v>17.431215837861899</v>
      </c>
      <c r="N5255">
        <v>49.539324247632997</v>
      </c>
      <c r="O5255">
        <v>48.4536145289321</v>
      </c>
      <c r="P5255">
        <v>-8.3311793035092896E-2</v>
      </c>
      <c r="Q5255">
        <v>7.37236529843526E-2</v>
      </c>
      <c r="R5255">
        <v>0.99237971631035704</v>
      </c>
      <c r="S5255" t="s">
        <v>11566</v>
      </c>
      <c r="T5255" t="s">
        <v>12620</v>
      </c>
      <c r="U5255" t="s">
        <v>12620</v>
      </c>
      <c r="V5255" t="s">
        <v>12620</v>
      </c>
      <c r="W5255" t="s">
        <v>17818</v>
      </c>
      <c r="X5255">
        <v>1</v>
      </c>
      <c r="Y5255" t="s">
        <v>23918</v>
      </c>
      <c r="Z5255" t="s">
        <v>30202</v>
      </c>
      <c r="AA5255">
        <v>0.37132959907485408</v>
      </c>
      <c r="AB5255" t="str">
        <f>HYPERLINK("Melting_Curves/meltCurve_Q9H147_DNTTIP1.pdf", "Melting_Curves/meltCurve_Q9H147_DNTTIP1.pdf")</f>
        <v>Melting_Curves/meltCurve_Q9H147_DNTTIP1.pdf</v>
      </c>
    </row>
    <row r="5256" spans="1:28" x14ac:dyDescent="0.25">
      <c r="A5256" t="s">
        <v>5260</v>
      </c>
      <c r="B5256">
        <v>0.99987803227770999</v>
      </c>
      <c r="C5256">
        <v>0.95175301165333304</v>
      </c>
      <c r="D5256">
        <v>1.0244492635764799</v>
      </c>
      <c r="E5256">
        <v>0.79544087785961903</v>
      </c>
      <c r="F5256">
        <v>0.46638009536705599</v>
      </c>
      <c r="G5256">
        <v>0.32646779049450497</v>
      </c>
      <c r="H5256">
        <v>0.262783528183551</v>
      </c>
      <c r="I5256">
        <v>0.236624919676095</v>
      </c>
      <c r="J5256">
        <v>0.226631507900487</v>
      </c>
      <c r="K5256">
        <v>0.18126089463518399</v>
      </c>
      <c r="L5256">
        <v>1460.7149084698001</v>
      </c>
      <c r="M5256">
        <v>28.232826579708799</v>
      </c>
      <c r="N5256">
        <v>52.890974791401803</v>
      </c>
      <c r="O5256">
        <v>51.480691220353798</v>
      </c>
      <c r="P5256">
        <v>-0.105601454502952</v>
      </c>
      <c r="Q5256">
        <v>0.22977733395588301</v>
      </c>
      <c r="R5256">
        <v>0.99137079780200998</v>
      </c>
      <c r="S5256" t="s">
        <v>11567</v>
      </c>
      <c r="T5256" t="s">
        <v>12620</v>
      </c>
      <c r="U5256" t="s">
        <v>12620</v>
      </c>
      <c r="V5256" t="s">
        <v>12620</v>
      </c>
      <c r="W5256" t="s">
        <v>17819</v>
      </c>
      <c r="X5256">
        <v>4</v>
      </c>
      <c r="Y5256" t="s">
        <v>23919</v>
      </c>
      <c r="Z5256" t="s">
        <v>30203</v>
      </c>
      <c r="AA5256">
        <v>0.53667188655636289</v>
      </c>
      <c r="AB5256" t="str">
        <f>HYPERLINK("Melting_Curves/meltCurve_Q9H173_SIL1.pdf", "Melting_Curves/meltCurve_Q9H173_SIL1.pdf")</f>
        <v>Melting_Curves/meltCurve_Q9H173_SIL1.pdf</v>
      </c>
    </row>
    <row r="5257" spans="1:28" x14ac:dyDescent="0.25">
      <c r="A5257" t="s">
        <v>5261</v>
      </c>
      <c r="B5257">
        <v>0.99987803227770999</v>
      </c>
      <c r="C5257">
        <v>0.81238809112815102</v>
      </c>
      <c r="D5257">
        <v>0.81169478222918801</v>
      </c>
      <c r="E5257">
        <v>1.3684549130927799</v>
      </c>
      <c r="F5257">
        <v>1.0394664536256799</v>
      </c>
      <c r="G5257">
        <v>0.42834214298699402</v>
      </c>
      <c r="H5257">
        <v>0.30104973883469399</v>
      </c>
      <c r="I5257">
        <v>0.290783819038886</v>
      </c>
      <c r="J5257">
        <v>0.18865099433225099</v>
      </c>
      <c r="K5257">
        <v>0.11287353062436301</v>
      </c>
      <c r="L5257">
        <v>8715.5743844755598</v>
      </c>
      <c r="M5257">
        <v>153.930227147735</v>
      </c>
      <c r="N5257">
        <v>56.838790138801897</v>
      </c>
      <c r="O5257">
        <v>56.610736279912501</v>
      </c>
      <c r="P5257">
        <v>-0.52795790086357097</v>
      </c>
      <c r="Q5257">
        <v>0.22333421590341901</v>
      </c>
      <c r="R5257">
        <v>0.858722899039566</v>
      </c>
      <c r="S5257" t="s">
        <v>11568</v>
      </c>
      <c r="T5257" t="s">
        <v>12620</v>
      </c>
      <c r="U5257" t="s">
        <v>12620</v>
      </c>
      <c r="V5257" t="s">
        <v>12620</v>
      </c>
      <c r="W5257" t="s">
        <v>17820</v>
      </c>
      <c r="X5257">
        <v>5</v>
      </c>
      <c r="Y5257" t="s">
        <v>23920</v>
      </c>
      <c r="Z5257" t="s">
        <v>30204</v>
      </c>
      <c r="AA5257">
        <v>0.65381825863133947</v>
      </c>
      <c r="AB5257" t="str">
        <f>HYPERLINK("Melting_Curves/meltCurve_Q9H1A4_ANAPC1.pdf", "Melting_Curves/meltCurve_Q9H1A4_ANAPC1.pdf")</f>
        <v>Melting_Curves/meltCurve_Q9H1A4_ANAPC1.pdf</v>
      </c>
    </row>
    <row r="5258" spans="1:28" x14ac:dyDescent="0.25">
      <c r="A5258" t="s">
        <v>5262</v>
      </c>
      <c r="B5258">
        <v>0.99987803227770999</v>
      </c>
      <c r="C5258">
        <v>0.95841703632944197</v>
      </c>
      <c r="D5258">
        <v>0.97324090833548405</v>
      </c>
      <c r="E5258">
        <v>0.71607925654085602</v>
      </c>
      <c r="F5258">
        <v>0.51680442266837801</v>
      </c>
      <c r="G5258">
        <v>0.37674883123988701</v>
      </c>
      <c r="H5258">
        <v>0.33017117348040698</v>
      </c>
      <c r="I5258">
        <v>0.317275121216258</v>
      </c>
      <c r="J5258">
        <v>0.29900180706115298</v>
      </c>
      <c r="K5258">
        <v>0.235554753729215</v>
      </c>
      <c r="L5258">
        <v>1034.9474605225</v>
      </c>
      <c r="M5258">
        <v>20.205096957865099</v>
      </c>
      <c r="N5258">
        <v>53.439199772682002</v>
      </c>
      <c r="O5258">
        <v>50.7282652571865</v>
      </c>
      <c r="P5258">
        <v>-7.1320715919888505E-2</v>
      </c>
      <c r="Q5258">
        <v>0.28377215432995501</v>
      </c>
      <c r="R5258">
        <v>0.99288017498055303</v>
      </c>
      <c r="S5258" t="s">
        <v>11569</v>
      </c>
      <c r="T5258" t="s">
        <v>12620</v>
      </c>
      <c r="U5258" t="s">
        <v>12620</v>
      </c>
      <c r="V5258" t="s">
        <v>12620</v>
      </c>
      <c r="W5258" t="s">
        <v>17821</v>
      </c>
      <c r="X5258">
        <v>18</v>
      </c>
      <c r="Y5258" t="s">
        <v>23921</v>
      </c>
      <c r="Z5258" t="s">
        <v>30205</v>
      </c>
      <c r="AA5258">
        <v>0.56144171906525453</v>
      </c>
      <c r="AB5258" t="str">
        <f>HYPERLINK("Melting_Curves/meltCurve_Q9H1B7_IRF2BPL.pdf", "Melting_Curves/meltCurve_Q9H1B7_IRF2BPL.pdf")</f>
        <v>Melting_Curves/meltCurve_Q9H1B7_IRF2BPL.pdf</v>
      </c>
    </row>
    <row r="5259" spans="1:28" x14ac:dyDescent="0.25">
      <c r="A5259" t="s">
        <v>5263</v>
      </c>
      <c r="B5259">
        <v>0.99987803227770999</v>
      </c>
      <c r="C5259">
        <v>1.09896630916298</v>
      </c>
      <c r="D5259">
        <v>1.0928809661864001</v>
      </c>
      <c r="E5259">
        <v>1.24520667224767</v>
      </c>
      <c r="F5259">
        <v>0.95782691973515599</v>
      </c>
      <c r="G5259">
        <v>0.52598219627632603</v>
      </c>
      <c r="H5259">
        <v>0.186003621954935</v>
      </c>
      <c r="I5259">
        <v>0.15681821575233301</v>
      </c>
      <c r="J5259">
        <v>0.10891617651994</v>
      </c>
      <c r="K5259">
        <v>8.1996602503289301E-2</v>
      </c>
      <c r="L5259">
        <v>2412.9788228292</v>
      </c>
      <c r="M5259">
        <v>42.449097625135302</v>
      </c>
      <c r="N5259">
        <v>57.207990948739798</v>
      </c>
      <c r="O5259">
        <v>56.718335367698799</v>
      </c>
      <c r="P5259">
        <v>-0.164965419290722</v>
      </c>
      <c r="Q5259">
        <v>0.11832768710757099</v>
      </c>
      <c r="R5259">
        <v>0.95977522742936705</v>
      </c>
      <c r="S5259" t="s">
        <v>11570</v>
      </c>
      <c r="T5259" t="s">
        <v>12620</v>
      </c>
      <c r="U5259" t="s">
        <v>12620</v>
      </c>
      <c r="V5259" t="s">
        <v>12620</v>
      </c>
      <c r="W5259" t="s">
        <v>17822</v>
      </c>
      <c r="X5259">
        <v>5</v>
      </c>
      <c r="Y5259" t="s">
        <v>23922</v>
      </c>
      <c r="Z5259" t="s">
        <v>30206</v>
      </c>
      <c r="AA5259">
        <v>0.61641103544395093</v>
      </c>
      <c r="AB5259" t="str">
        <f>HYPERLINK("Melting_Curves/meltCurve_Q9H1D9_POLR3F.pdf", "Melting_Curves/meltCurve_Q9H1D9_POLR3F.pdf")</f>
        <v>Melting_Curves/meltCurve_Q9H1D9_POLR3F.pdf</v>
      </c>
    </row>
    <row r="5260" spans="1:28" x14ac:dyDescent="0.25">
      <c r="A5260" t="s">
        <v>5264</v>
      </c>
      <c r="B5260">
        <v>0.99987803227770999</v>
      </c>
      <c r="C5260">
        <v>0.71159113201165802</v>
      </c>
      <c r="D5260">
        <v>0.91854382990118699</v>
      </c>
      <c r="E5260">
        <v>0.76982639608660297</v>
      </c>
      <c r="F5260">
        <v>1.0605496616507499</v>
      </c>
      <c r="G5260">
        <v>0.91972051142502798</v>
      </c>
      <c r="H5260">
        <v>1.00220077743631</v>
      </c>
      <c r="I5260">
        <v>0.90363953954216603</v>
      </c>
      <c r="J5260">
        <v>1.01953245865566</v>
      </c>
      <c r="K5260">
        <v>0.82474416851697496</v>
      </c>
      <c r="L5260">
        <v>1.03438085693122E-5</v>
      </c>
      <c r="M5260">
        <v>15.6076894988873</v>
      </c>
      <c r="Q5260">
        <v>0.91302263672796402</v>
      </c>
      <c r="R5260">
        <v>-1.9984014443252802E-15</v>
      </c>
      <c r="S5260" t="s">
        <v>11571</v>
      </c>
      <c r="T5260" t="s">
        <v>12620</v>
      </c>
      <c r="U5260" t="s">
        <v>12620</v>
      </c>
      <c r="V5260" t="s">
        <v>12620</v>
      </c>
      <c r="W5260" t="s">
        <v>17823</v>
      </c>
      <c r="X5260">
        <v>17</v>
      </c>
      <c r="Y5260" t="s">
        <v>23923</v>
      </c>
      <c r="Z5260" t="s">
        <v>30207</v>
      </c>
      <c r="AA5260">
        <v>0.91302265121811188</v>
      </c>
      <c r="AB5260" t="str">
        <f>HYPERLINK("Melting_Curves/meltCurve_Q9H1E3_NUCKS1.pdf", "Melting_Curves/meltCurve_Q9H1E3_NUCKS1.pdf")</f>
        <v>Melting_Curves/meltCurve_Q9H1E3_NUCKS1.pdf</v>
      </c>
    </row>
    <row r="5261" spans="1:28" x14ac:dyDescent="0.25">
      <c r="A5261" t="s">
        <v>5265</v>
      </c>
      <c r="B5261">
        <v>0.99987803227770999</v>
      </c>
      <c r="C5261">
        <v>1.07052304197362</v>
      </c>
      <c r="D5261">
        <v>0.91969271752208404</v>
      </c>
      <c r="E5261">
        <v>0.94250824474436001</v>
      </c>
      <c r="F5261">
        <v>0.53442495924807598</v>
      </c>
      <c r="G5261">
        <v>0.402446962723845</v>
      </c>
      <c r="H5261">
        <v>0.33182736556192499</v>
      </c>
      <c r="I5261">
        <v>0.30054149151978299</v>
      </c>
      <c r="J5261">
        <v>0.32336193163037402</v>
      </c>
      <c r="K5261">
        <v>0.254420989214935</v>
      </c>
      <c r="L5261">
        <v>2383.4794130271998</v>
      </c>
      <c r="M5261">
        <v>45.631465436099703</v>
      </c>
      <c r="N5261">
        <v>53.412611758738798</v>
      </c>
      <c r="O5261">
        <v>52.133216854632799</v>
      </c>
      <c r="P5261">
        <v>-0.14935779709616701</v>
      </c>
      <c r="Q5261">
        <v>0.31744522554820798</v>
      </c>
      <c r="R5261">
        <v>0.97870725541613202</v>
      </c>
      <c r="S5261" t="s">
        <v>11572</v>
      </c>
      <c r="T5261" t="s">
        <v>12620</v>
      </c>
      <c r="U5261" t="s">
        <v>12620</v>
      </c>
      <c r="V5261" t="s">
        <v>12620</v>
      </c>
      <c r="W5261" t="s">
        <v>17824</v>
      </c>
      <c r="X5261">
        <v>23</v>
      </c>
      <c r="Y5261" t="s">
        <v>23924</v>
      </c>
      <c r="Z5261" t="s">
        <v>30208</v>
      </c>
      <c r="AA5261">
        <v>0.59766367712338186</v>
      </c>
      <c r="AB5261" t="str">
        <f>HYPERLINK("Melting_Curves/meltCurve_Q9H1H9_3_KIF13A.pdf", "Melting_Curves/meltCurve_Q9H1H9_3_KIF13A.pdf")</f>
        <v>Melting_Curves/meltCurve_Q9H1H9_3_KIF13A.pdf</v>
      </c>
    </row>
    <row r="5262" spans="1:28" x14ac:dyDescent="0.25">
      <c r="A5262" t="s">
        <v>5266</v>
      </c>
      <c r="B5262">
        <v>0.99987803227770999</v>
      </c>
      <c r="C5262">
        <v>0.993904638405532</v>
      </c>
      <c r="D5262">
        <v>0.95990151233106202</v>
      </c>
      <c r="E5262">
        <v>0.79660137844735401</v>
      </c>
      <c r="F5262">
        <v>0.61320312959216094</v>
      </c>
      <c r="G5262">
        <v>0.37497205187003801</v>
      </c>
      <c r="H5262">
        <v>0.31432143561235598</v>
      </c>
      <c r="I5262">
        <v>0.24895521136118501</v>
      </c>
      <c r="J5262">
        <v>0.146809352074729</v>
      </c>
      <c r="K5262">
        <v>0.117593246018103</v>
      </c>
      <c r="L5262">
        <v>758.56737954948903</v>
      </c>
      <c r="M5262">
        <v>13.988700093537799</v>
      </c>
      <c r="N5262">
        <v>55.230394408926301</v>
      </c>
      <c r="O5262">
        <v>53.155015702561997</v>
      </c>
      <c r="P5262">
        <v>-5.8418289749090101E-2</v>
      </c>
      <c r="Q5262">
        <v>0.11219378362992399</v>
      </c>
      <c r="R5262">
        <v>0.99303732394542599</v>
      </c>
      <c r="S5262" t="s">
        <v>11573</v>
      </c>
      <c r="T5262" t="s">
        <v>12620</v>
      </c>
      <c r="U5262" t="s">
        <v>12620</v>
      </c>
      <c r="V5262" t="s">
        <v>12620</v>
      </c>
      <c r="W5262" t="s">
        <v>17825</v>
      </c>
      <c r="X5262">
        <v>2</v>
      </c>
      <c r="Y5262" t="s">
        <v>23925</v>
      </c>
      <c r="Z5262" t="s">
        <v>30209</v>
      </c>
      <c r="AA5262">
        <v>0.55271742798160084</v>
      </c>
      <c r="AB5262" t="str">
        <f>HYPERLINK("Melting_Curves/meltCurve_Q9H1I8_3_ASCC2.pdf", "Melting_Curves/meltCurve_Q9H1I8_3_ASCC2.pdf")</f>
        <v>Melting_Curves/meltCurve_Q9H1I8_3_ASCC2.pdf</v>
      </c>
    </row>
    <row r="5263" spans="1:28" x14ac:dyDescent="0.25">
      <c r="A5263" t="s">
        <v>5267</v>
      </c>
      <c r="B5263">
        <v>0.99987803227770999</v>
      </c>
      <c r="C5263">
        <v>1.0572151354989301</v>
      </c>
      <c r="D5263">
        <v>1.1516989554188599</v>
      </c>
      <c r="E5263">
        <v>0.81754036656850104</v>
      </c>
      <c r="F5263">
        <v>1.0717329631357499</v>
      </c>
      <c r="G5263">
        <v>0.717701314919856</v>
      </c>
      <c r="H5263">
        <v>0.94776318194300502</v>
      </c>
      <c r="I5263">
        <v>0.95797514570303</v>
      </c>
      <c r="J5263">
        <v>1.1964876687289501</v>
      </c>
      <c r="K5263">
        <v>0.99774340069543499</v>
      </c>
      <c r="L5263">
        <v>1986.32865940221</v>
      </c>
      <c r="M5263">
        <v>30.315967337897501</v>
      </c>
      <c r="O5263">
        <v>65.237758892647193</v>
      </c>
      <c r="P5263">
        <v>9.3084801293658592E-3</v>
      </c>
      <c r="Q5263">
        <v>1.0801241914833499</v>
      </c>
      <c r="R5263">
        <v>4.2046447231712997E-2</v>
      </c>
      <c r="S5263" t="s">
        <v>11574</v>
      </c>
      <c r="T5263" t="s">
        <v>12620</v>
      </c>
      <c r="U5263" t="s">
        <v>12620</v>
      </c>
      <c r="V5263" t="s">
        <v>12620</v>
      </c>
      <c r="W5263" t="s">
        <v>17826</v>
      </c>
      <c r="X5263">
        <v>2</v>
      </c>
      <c r="Y5263" t="s">
        <v>23926</v>
      </c>
      <c r="Z5263" t="s">
        <v>30210</v>
      </c>
      <c r="AA5263">
        <v>1.012284125209657</v>
      </c>
      <c r="AB5263" t="str">
        <f>HYPERLINK("Melting_Curves/meltCurve_Q9H1J1_2_UPF3A.pdf", "Melting_Curves/meltCurve_Q9H1J1_2_UPF3A.pdf")</f>
        <v>Melting_Curves/meltCurve_Q9H1J1_2_UPF3A.pdf</v>
      </c>
    </row>
    <row r="5264" spans="1:28" x14ac:dyDescent="0.25">
      <c r="A5264" t="s">
        <v>5268</v>
      </c>
      <c r="B5264">
        <v>0.99987803227770999</v>
      </c>
      <c r="C5264">
        <v>0.95685258776044602</v>
      </c>
      <c r="D5264">
        <v>1.1048992688236501</v>
      </c>
      <c r="E5264">
        <v>0.84371716850170098</v>
      </c>
      <c r="F5264">
        <v>0.69083217731550195</v>
      </c>
      <c r="G5264">
        <v>0.54522462270313399</v>
      </c>
      <c r="H5264">
        <v>0.56906916595582901</v>
      </c>
      <c r="I5264">
        <v>0.539410317753935</v>
      </c>
      <c r="J5264">
        <v>0.54056120434223798</v>
      </c>
      <c r="K5264">
        <v>0.46111407564495999</v>
      </c>
      <c r="L5264">
        <v>1572.0232076477</v>
      </c>
      <c r="M5264">
        <v>30.428822932198401</v>
      </c>
      <c r="O5264">
        <v>51.440733748884398</v>
      </c>
      <c r="P5264">
        <v>-7.0161902943399607E-2</v>
      </c>
      <c r="Q5264">
        <v>0.52556083001689702</v>
      </c>
      <c r="R5264">
        <v>0.95364706740150496</v>
      </c>
      <c r="S5264" t="s">
        <v>11575</v>
      </c>
      <c r="T5264" t="s">
        <v>12620</v>
      </c>
      <c r="U5264" t="s">
        <v>12620</v>
      </c>
      <c r="V5264" t="s">
        <v>12620</v>
      </c>
      <c r="W5264" t="s">
        <v>17827</v>
      </c>
      <c r="X5264">
        <v>13</v>
      </c>
      <c r="Y5264" t="s">
        <v>23927</v>
      </c>
      <c r="Z5264" t="s">
        <v>30211</v>
      </c>
      <c r="AA5264">
        <v>0.71292722794519114</v>
      </c>
      <c r="AB5264" t="str">
        <f>HYPERLINK("Melting_Curves/meltCurve_Q9H1K0_ZFYVE20.pdf", "Melting_Curves/meltCurve_Q9H1K0_ZFYVE20.pdf")</f>
        <v>Melting_Curves/meltCurve_Q9H1K0_ZFYVE20.pdf</v>
      </c>
    </row>
    <row r="5265" spans="1:28" x14ac:dyDescent="0.25">
      <c r="A5265" t="s">
        <v>5269</v>
      </c>
      <c r="B5265">
        <v>0.99987803227770999</v>
      </c>
      <c r="C5265">
        <v>0.83411346154099397</v>
      </c>
      <c r="D5265">
        <v>1.0379880017762499</v>
      </c>
      <c r="E5265">
        <v>0.84177753412942602</v>
      </c>
      <c r="F5265">
        <v>1.0932839421110501</v>
      </c>
      <c r="G5265">
        <v>0.95093595581606805</v>
      </c>
      <c r="H5265">
        <v>0.96515267213289802</v>
      </c>
      <c r="I5265">
        <v>0.92276638620453399</v>
      </c>
      <c r="J5265">
        <v>0.82210013816420802</v>
      </c>
      <c r="K5265">
        <v>0.66788467787206895</v>
      </c>
      <c r="L5265">
        <v>1261.0913197202599</v>
      </c>
      <c r="M5265">
        <v>17.306655703847799</v>
      </c>
      <c r="Q5265">
        <v>0</v>
      </c>
      <c r="R5265">
        <v>0.53710110459156302</v>
      </c>
      <c r="S5265" t="s">
        <v>11576</v>
      </c>
      <c r="T5265" t="s">
        <v>12620</v>
      </c>
      <c r="U5265" t="s">
        <v>12620</v>
      </c>
      <c r="V5265" t="s">
        <v>12620</v>
      </c>
      <c r="W5265" t="s">
        <v>17828</v>
      </c>
      <c r="X5265">
        <v>8</v>
      </c>
      <c r="Y5265" t="s">
        <v>23928</v>
      </c>
      <c r="Z5265" t="s">
        <v>30212</v>
      </c>
      <c r="AA5265">
        <v>0.95360468539511878</v>
      </c>
      <c r="AB5265" t="str">
        <f>HYPERLINK("Melting_Curves/meltCurve_Q9H1K1_ISCU.pdf", "Melting_Curves/meltCurve_Q9H1K1_ISCU.pdf")</f>
        <v>Melting_Curves/meltCurve_Q9H1K1_ISCU.pdf</v>
      </c>
    </row>
    <row r="5266" spans="1:28" x14ac:dyDescent="0.25">
      <c r="A5266" t="s">
        <v>5270</v>
      </c>
      <c r="B5266">
        <v>0.99987803227770999</v>
      </c>
      <c r="C5266">
        <v>0.95207473001738996</v>
      </c>
      <c r="D5266">
        <v>0.82861929494669195</v>
      </c>
      <c r="E5266">
        <v>0.92303464398429702</v>
      </c>
      <c r="F5266">
        <v>0.89766264895327597</v>
      </c>
      <c r="G5266">
        <v>0.56078444609494904</v>
      </c>
      <c r="H5266">
        <v>0.20323913006819899</v>
      </c>
      <c r="I5266">
        <v>9.7019515222277503E-2</v>
      </c>
      <c r="J5266">
        <v>6.7081233364453E-2</v>
      </c>
      <c r="K5266">
        <v>6.4613463352295203E-2</v>
      </c>
      <c r="L5266">
        <v>1396.1694045751501</v>
      </c>
      <c r="M5266">
        <v>24.367373755080799</v>
      </c>
      <c r="N5266">
        <v>57.4850601635789</v>
      </c>
      <c r="O5266">
        <v>56.914963026355998</v>
      </c>
      <c r="P5266">
        <v>-0.10292815134736499</v>
      </c>
      <c r="Q5266">
        <v>3.8375686832757099E-2</v>
      </c>
      <c r="R5266">
        <v>0.97711765334900902</v>
      </c>
      <c r="S5266" t="s">
        <v>11577</v>
      </c>
      <c r="T5266" t="s">
        <v>12620</v>
      </c>
      <c r="U5266" t="s">
        <v>12620</v>
      </c>
      <c r="V5266" t="s">
        <v>12620</v>
      </c>
      <c r="W5266" t="s">
        <v>17829</v>
      </c>
      <c r="X5266">
        <v>1</v>
      </c>
      <c r="Y5266" t="s">
        <v>23929</v>
      </c>
      <c r="Z5266" t="s">
        <v>30213</v>
      </c>
      <c r="AA5266">
        <v>0.60172926572220453</v>
      </c>
      <c r="AB5266" t="str">
        <f>HYPERLINK("Melting_Curves/meltCurve_Q9H1K6_MESDC1.pdf", "Melting_Curves/meltCurve_Q9H1K6_MESDC1.pdf")</f>
        <v>Melting_Curves/meltCurve_Q9H1K6_MESDC1.pdf</v>
      </c>
    </row>
    <row r="5267" spans="1:28" x14ac:dyDescent="0.25">
      <c r="A5267" t="s">
        <v>5271</v>
      </c>
      <c r="B5267">
        <v>0.99987803227770999</v>
      </c>
      <c r="C5267">
        <v>0.93214767312990898</v>
      </c>
      <c r="D5267">
        <v>0.92893748161985101</v>
      </c>
      <c r="E5267">
        <v>0.68272445543234495</v>
      </c>
      <c r="F5267">
        <v>0.20299906358963801</v>
      </c>
      <c r="G5267">
        <v>0.119906918162764</v>
      </c>
      <c r="H5267">
        <v>7.0101240832043193E-2</v>
      </c>
      <c r="I5267">
        <v>6.7669954487160094E-2</v>
      </c>
      <c r="J5267">
        <v>5.7197983119777598E-2</v>
      </c>
      <c r="K5267">
        <v>4.0261637229943303E-2</v>
      </c>
      <c r="L5267">
        <v>1915.71937345579</v>
      </c>
      <c r="M5267">
        <v>37.720855991422098</v>
      </c>
      <c r="N5267">
        <v>50.973909664199802</v>
      </c>
      <c r="O5267">
        <v>50.644638574563302</v>
      </c>
      <c r="P5267">
        <v>-0.17416169969398801</v>
      </c>
      <c r="Q5267">
        <v>6.4673143277559603E-2</v>
      </c>
      <c r="R5267">
        <v>0.99350073910376002</v>
      </c>
      <c r="S5267" t="s">
        <v>11578</v>
      </c>
      <c r="T5267" t="s">
        <v>12620</v>
      </c>
      <c r="U5267" t="s">
        <v>12620</v>
      </c>
      <c r="V5267" t="s">
        <v>12620</v>
      </c>
      <c r="W5267" t="s">
        <v>17830</v>
      </c>
      <c r="X5267">
        <v>6</v>
      </c>
      <c r="Y5267" t="s">
        <v>23930</v>
      </c>
      <c r="Z5267" t="s">
        <v>30214</v>
      </c>
      <c r="AA5267">
        <v>0.40467309186279998</v>
      </c>
      <c r="AB5267" t="str">
        <f>HYPERLINK("Melting_Curves/meltCurve_Q9H1P3_2_OSBPL2.pdf", "Melting_Curves/meltCurve_Q9H1P3_2_OSBPL2.pdf")</f>
        <v>Melting_Curves/meltCurve_Q9H1P3_2_OSBPL2.pdf</v>
      </c>
    </row>
    <row r="5268" spans="1:28" x14ac:dyDescent="0.25">
      <c r="A5268" t="s">
        <v>5272</v>
      </c>
      <c r="B5268">
        <v>0.99987803227770999</v>
      </c>
      <c r="C5268">
        <v>0.87760447734124702</v>
      </c>
      <c r="D5268">
        <v>1.1330971998172501</v>
      </c>
      <c r="E5268">
        <v>0.90354369394892997</v>
      </c>
      <c r="F5268">
        <v>0.96958281133689295</v>
      </c>
      <c r="G5268">
        <v>1.0474995279016699</v>
      </c>
      <c r="H5268">
        <v>1.2691353009251101</v>
      </c>
      <c r="I5268">
        <v>1.0091447123121899</v>
      </c>
      <c r="J5268">
        <v>1.29245108379372</v>
      </c>
      <c r="K5268">
        <v>0.92566061434464297</v>
      </c>
      <c r="L5268">
        <v>14277.2376786231</v>
      </c>
      <c r="M5268">
        <v>250</v>
      </c>
      <c r="O5268">
        <v>57.105300735023803</v>
      </c>
      <c r="P5268">
        <v>0.13582137874817801</v>
      </c>
      <c r="Q5268">
        <v>1.12409792071357</v>
      </c>
      <c r="R5268">
        <v>0.23927048122959599</v>
      </c>
      <c r="S5268" t="s">
        <v>11579</v>
      </c>
      <c r="T5268" t="s">
        <v>12620</v>
      </c>
      <c r="U5268" t="s">
        <v>12620</v>
      </c>
      <c r="V5268" t="s">
        <v>12620</v>
      </c>
      <c r="W5268" t="s">
        <v>17831</v>
      </c>
      <c r="X5268">
        <v>2</v>
      </c>
      <c r="Y5268" t="s">
        <v>23931</v>
      </c>
      <c r="Z5268" t="s">
        <v>30215</v>
      </c>
      <c r="AA5268">
        <v>1.053312642651145</v>
      </c>
      <c r="AB5268" t="str">
        <f>HYPERLINK("Melting_Curves/meltCurve_Q9H1U4_MEGF9.pdf", "Melting_Curves/meltCurve_Q9H1U4_MEGF9.pdf")</f>
        <v>Melting_Curves/meltCurve_Q9H1U4_MEGF9.pdf</v>
      </c>
    </row>
    <row r="5269" spans="1:28" x14ac:dyDescent="0.25">
      <c r="A5269" t="s">
        <v>5273</v>
      </c>
      <c r="B5269">
        <v>0.99987803227770999</v>
      </c>
      <c r="C5269">
        <v>1.14054222865141</v>
      </c>
      <c r="D5269">
        <v>0.992984522450723</v>
      </c>
      <c r="E5269">
        <v>1.12919636055636</v>
      </c>
      <c r="F5269">
        <v>0.97439786049743504</v>
      </c>
      <c r="G5269">
        <v>0.42048100935391303</v>
      </c>
      <c r="H5269">
        <v>0.14513166767575</v>
      </c>
      <c r="I5269">
        <v>0.119494405630396</v>
      </c>
      <c r="J5269">
        <v>8.6565688271192501E-2</v>
      </c>
      <c r="K5269">
        <v>6.6492150447986606E-2</v>
      </c>
      <c r="L5269">
        <v>2934.76298416808</v>
      </c>
      <c r="M5269">
        <v>52.056302139341099</v>
      </c>
      <c r="N5269">
        <v>56.616457213073502</v>
      </c>
      <c r="O5269">
        <v>56.293696070229302</v>
      </c>
      <c r="P5269">
        <v>-0.208314250518884</v>
      </c>
      <c r="Q5269">
        <v>9.8916360960428898E-2</v>
      </c>
      <c r="R5269">
        <v>0.98079565813560798</v>
      </c>
      <c r="S5269" t="s">
        <v>11580</v>
      </c>
      <c r="T5269" t="s">
        <v>12620</v>
      </c>
      <c r="U5269" t="s">
        <v>12620</v>
      </c>
      <c r="V5269" t="s">
        <v>12620</v>
      </c>
      <c r="W5269" t="s">
        <v>17832</v>
      </c>
      <c r="X5269">
        <v>7</v>
      </c>
      <c r="Y5269" t="s">
        <v>23932</v>
      </c>
      <c r="Z5269" t="s">
        <v>30216</v>
      </c>
      <c r="AA5269">
        <v>0.59287345159590488</v>
      </c>
      <c r="AB5269" t="str">
        <f>HYPERLINK("Melting_Curves/meltCurve_Q9H1Y0_ATG5.pdf", "Melting_Curves/meltCurve_Q9H1Y0_ATG5.pdf")</f>
        <v>Melting_Curves/meltCurve_Q9H1Y0_ATG5.pdf</v>
      </c>
    </row>
    <row r="5270" spans="1:28" x14ac:dyDescent="0.25">
      <c r="A5270" t="s">
        <v>5274</v>
      </c>
      <c r="B5270">
        <v>0.99987803227770999</v>
      </c>
      <c r="C5270">
        <v>1.01427259008445</v>
      </c>
      <c r="D5270">
        <v>0.934467183005387</v>
      </c>
      <c r="E5270">
        <v>0.810824803904858</v>
      </c>
      <c r="F5270">
        <v>0.72271669947374995</v>
      </c>
      <c r="G5270">
        <v>0.62172421319844196</v>
      </c>
      <c r="H5270">
        <v>0.42014828129941301</v>
      </c>
      <c r="I5270">
        <v>0.24524198999504501</v>
      </c>
      <c r="J5270">
        <v>9.2766068720386799E-2</v>
      </c>
      <c r="K5270">
        <v>4.5777844642944598E-2</v>
      </c>
      <c r="L5270">
        <v>708.64585916675799</v>
      </c>
      <c r="M5270">
        <v>12.206550266897899</v>
      </c>
      <c r="N5270">
        <v>58.054563745614097</v>
      </c>
      <c r="O5270">
        <v>56.562368625049203</v>
      </c>
      <c r="P5270">
        <v>-5.3963902305232701E-2</v>
      </c>
      <c r="Q5270">
        <v>0</v>
      </c>
      <c r="R5270">
        <v>0.97958609376462003</v>
      </c>
      <c r="S5270" t="s">
        <v>11581</v>
      </c>
      <c r="T5270" t="s">
        <v>12620</v>
      </c>
      <c r="U5270" t="s">
        <v>12620</v>
      </c>
      <c r="V5270" t="s">
        <v>12620</v>
      </c>
      <c r="W5270" t="s">
        <v>17833</v>
      </c>
      <c r="X5270">
        <v>5</v>
      </c>
      <c r="Y5270" t="s">
        <v>23933</v>
      </c>
      <c r="Z5270" t="s">
        <v>30217</v>
      </c>
      <c r="AA5270">
        <v>0.61444064035403911</v>
      </c>
      <c r="AB5270" t="str">
        <f>HYPERLINK("Melting_Curves/meltCurve_Q9H1Z4_WDR13.pdf", "Melting_Curves/meltCurve_Q9H1Z4_WDR13.pdf")</f>
        <v>Melting_Curves/meltCurve_Q9H1Z4_WDR13.pdf</v>
      </c>
    </row>
    <row r="5271" spans="1:28" x14ac:dyDescent="0.25">
      <c r="A5271" t="s">
        <v>5275</v>
      </c>
      <c r="B5271">
        <v>0.99987803227770999</v>
      </c>
      <c r="C5271">
        <v>0.96786210940059403</v>
      </c>
      <c r="D5271">
        <v>1.0365172131234299</v>
      </c>
      <c r="E5271">
        <v>1.23440946979623</v>
      </c>
      <c r="F5271">
        <v>1.2035057965345599</v>
      </c>
      <c r="G5271">
        <v>1.8615814873771901</v>
      </c>
      <c r="H5271">
        <v>2.0214253130361799</v>
      </c>
      <c r="I5271">
        <v>2.0757900126540698</v>
      </c>
      <c r="J5271">
        <v>1.73690960449482</v>
      </c>
      <c r="K5271">
        <v>1.47023897363068</v>
      </c>
      <c r="L5271">
        <v>1772.4846230359999</v>
      </c>
      <c r="M5271">
        <v>34.577677418321102</v>
      </c>
      <c r="O5271">
        <v>51.090405801807499</v>
      </c>
      <c r="P5271">
        <v>8.4599558518822796E-2</v>
      </c>
      <c r="Q5271">
        <v>1.5</v>
      </c>
      <c r="R5271">
        <v>0.49781128142732001</v>
      </c>
      <c r="S5271" t="s">
        <v>11582</v>
      </c>
      <c r="T5271" t="s">
        <v>12620</v>
      </c>
      <c r="U5271" t="s">
        <v>12620</v>
      </c>
      <c r="V5271" t="s">
        <v>12620</v>
      </c>
      <c r="W5271" t="s">
        <v>17834</v>
      </c>
      <c r="X5271">
        <v>1</v>
      </c>
      <c r="Y5271" t="s">
        <v>23934</v>
      </c>
      <c r="Z5271" t="s">
        <v>30218</v>
      </c>
      <c r="AA5271">
        <v>1.309942679506211</v>
      </c>
      <c r="AB5271" t="str">
        <f>HYPERLINK("Melting_Curves/meltCurve_Q9H204_MED28.pdf", "Melting_Curves/meltCurve_Q9H204_MED28.pdf")</f>
        <v>Melting_Curves/meltCurve_Q9H204_MED28.pdf</v>
      </c>
    </row>
    <row r="5272" spans="1:28" x14ac:dyDescent="0.25">
      <c r="A5272" t="s">
        <v>5276</v>
      </c>
      <c r="B5272">
        <v>0.99987803227770999</v>
      </c>
      <c r="C5272">
        <v>1.07551578798626</v>
      </c>
      <c r="D5272">
        <v>0.91926976214781198</v>
      </c>
      <c r="E5272">
        <v>0.823453345037367</v>
      </c>
      <c r="F5272">
        <v>0.45692856465238502</v>
      </c>
      <c r="G5272">
        <v>0.20982838601381501</v>
      </c>
      <c r="H5272">
        <v>0.16896326486723801</v>
      </c>
      <c r="I5272">
        <v>0.158710775734932</v>
      </c>
      <c r="J5272">
        <v>0.13808703032169201</v>
      </c>
      <c r="K5272">
        <v>0.10928447341389801</v>
      </c>
      <c r="L5272">
        <v>1489.1180183788499</v>
      </c>
      <c r="M5272">
        <v>28.567251656556198</v>
      </c>
      <c r="N5272">
        <v>52.724316814420803</v>
      </c>
      <c r="O5272">
        <v>51.873325512656898</v>
      </c>
      <c r="P5272">
        <v>-0.118638923202917</v>
      </c>
      <c r="Q5272">
        <v>0.13829351740360701</v>
      </c>
      <c r="R5272">
        <v>0.99186164802886101</v>
      </c>
      <c r="S5272" t="s">
        <v>11583</v>
      </c>
      <c r="T5272" t="s">
        <v>12620</v>
      </c>
      <c r="U5272" t="s">
        <v>12620</v>
      </c>
      <c r="V5272" t="s">
        <v>12620</v>
      </c>
      <c r="W5272" t="s">
        <v>17835</v>
      </c>
      <c r="X5272">
        <v>1</v>
      </c>
      <c r="Y5272" t="s">
        <v>23935</v>
      </c>
      <c r="Z5272" t="s">
        <v>30219</v>
      </c>
      <c r="AA5272">
        <v>0.49269291741667298</v>
      </c>
      <c r="AB5272" t="str">
        <f>HYPERLINK("Melting_Curves/meltCurve_Q9H211_CDT1.pdf", "Melting_Curves/meltCurve_Q9H211_CDT1.pdf")</f>
        <v>Melting_Curves/meltCurve_Q9H211_CDT1.pdf</v>
      </c>
    </row>
    <row r="5273" spans="1:28" x14ac:dyDescent="0.25">
      <c r="A5273" t="s">
        <v>5277</v>
      </c>
      <c r="B5273">
        <v>0.99987803227770999</v>
      </c>
      <c r="C5273">
        <v>1.0289960454323199</v>
      </c>
      <c r="D5273">
        <v>0.69334580810178204</v>
      </c>
      <c r="E5273">
        <v>0.31037191404027797</v>
      </c>
      <c r="F5273">
        <v>0.15964990694860401</v>
      </c>
      <c r="G5273">
        <v>0.10802884821820601</v>
      </c>
      <c r="H5273">
        <v>7.6713866066652203E-2</v>
      </c>
      <c r="I5273">
        <v>7.4251390850220603E-2</v>
      </c>
      <c r="J5273">
        <v>5.4809399705031403E-2</v>
      </c>
      <c r="K5273">
        <v>3.9905961700161502E-2</v>
      </c>
      <c r="L5273">
        <v>1159.51313474629</v>
      </c>
      <c r="M5273">
        <v>24.290942056841601</v>
      </c>
      <c r="N5273">
        <v>48.025277053015998</v>
      </c>
      <c r="O5273">
        <v>47.414396809445101</v>
      </c>
      <c r="P5273">
        <v>-0.11931783949629</v>
      </c>
      <c r="Q5273">
        <v>6.8410258600924007E-2</v>
      </c>
      <c r="R5273">
        <v>0.99238650267073703</v>
      </c>
      <c r="S5273" t="s">
        <v>11584</v>
      </c>
      <c r="T5273" t="s">
        <v>12620</v>
      </c>
      <c r="U5273" t="s">
        <v>12620</v>
      </c>
      <c r="V5273" t="s">
        <v>12620</v>
      </c>
      <c r="W5273" t="s">
        <v>17836</v>
      </c>
      <c r="X5273">
        <v>20</v>
      </c>
      <c r="Y5273" t="s">
        <v>23936</v>
      </c>
      <c r="Z5273" t="s">
        <v>30220</v>
      </c>
      <c r="AA5273">
        <v>0.31735375159455043</v>
      </c>
      <c r="AB5273" t="str">
        <f>HYPERLINK("Melting_Curves/meltCurve_Q9H223_EHD4.pdf", "Melting_Curves/meltCurve_Q9H223_EHD4.pdf")</f>
        <v>Melting_Curves/meltCurve_Q9H223_EHD4.pdf</v>
      </c>
    </row>
    <row r="5274" spans="1:28" x14ac:dyDescent="0.25">
      <c r="A5274" t="s">
        <v>5278</v>
      </c>
      <c r="B5274">
        <v>0.99987803227770999</v>
      </c>
      <c r="C5274">
        <v>1.0492505058577699</v>
      </c>
      <c r="D5274">
        <v>0.87314695005378096</v>
      </c>
      <c r="E5274">
        <v>0.63450183974984797</v>
      </c>
      <c r="F5274">
        <v>0.24627404385618501</v>
      </c>
      <c r="G5274">
        <v>0.20162578569518899</v>
      </c>
      <c r="H5274">
        <v>8.8569801715117497E-2</v>
      </c>
      <c r="I5274">
        <v>7.5995586882925598E-2</v>
      </c>
      <c r="J5274">
        <v>5.1474503431377001E-2</v>
      </c>
      <c r="K5274">
        <v>3.4831256538229501E-2</v>
      </c>
      <c r="L5274">
        <v>1148.7385805075901</v>
      </c>
      <c r="M5274">
        <v>22.702812937772801</v>
      </c>
      <c r="N5274">
        <v>50.9006773128745</v>
      </c>
      <c r="O5274">
        <v>50.211275404955302</v>
      </c>
      <c r="P5274">
        <v>-0.105922140897068</v>
      </c>
      <c r="Q5274">
        <v>6.2956476687009905E-2</v>
      </c>
      <c r="R5274">
        <v>0.98884788509500599</v>
      </c>
      <c r="S5274" t="s">
        <v>11585</v>
      </c>
      <c r="T5274" t="s">
        <v>12620</v>
      </c>
      <c r="U5274" t="s">
        <v>12620</v>
      </c>
      <c r="V5274" t="s">
        <v>12620</v>
      </c>
      <c r="W5274" t="s">
        <v>17837</v>
      </c>
      <c r="X5274">
        <v>20</v>
      </c>
      <c r="Y5274" t="s">
        <v>23937</v>
      </c>
      <c r="Z5274" t="s">
        <v>30221</v>
      </c>
      <c r="AA5274">
        <v>0.40420486963029478</v>
      </c>
      <c r="AB5274" t="str">
        <f>HYPERLINK("Melting_Curves/meltCurve_Q9H267_VPS33B.pdf", "Melting_Curves/meltCurve_Q9H267_VPS33B.pdf")</f>
        <v>Melting_Curves/meltCurve_Q9H267_VPS33B.pdf</v>
      </c>
    </row>
    <row r="5275" spans="1:28" x14ac:dyDescent="0.25">
      <c r="A5275" t="s">
        <v>5279</v>
      </c>
      <c r="B5275">
        <v>0.99987803227770999</v>
      </c>
      <c r="C5275">
        <v>0.99439696793301902</v>
      </c>
      <c r="D5275">
        <v>0.74120434790523304</v>
      </c>
      <c r="E5275">
        <v>0.77685853938217098</v>
      </c>
      <c r="F5275">
        <v>0.38776578153164898</v>
      </c>
      <c r="G5275">
        <v>0.27572113605534598</v>
      </c>
      <c r="H5275">
        <v>0.25370876963274802</v>
      </c>
      <c r="I5275">
        <v>0.20023197732357201</v>
      </c>
      <c r="J5275">
        <v>0.21203982329745999</v>
      </c>
      <c r="K5275">
        <v>0.17935633100759901</v>
      </c>
      <c r="L5275">
        <v>784.86616844382195</v>
      </c>
      <c r="M5275">
        <v>15.432837431554301</v>
      </c>
      <c r="N5275">
        <v>52.288386760041597</v>
      </c>
      <c r="O5275">
        <v>50.025958711709997</v>
      </c>
      <c r="P5275">
        <v>-6.3841744577057893E-2</v>
      </c>
      <c r="Q5275">
        <v>0.17229621085327301</v>
      </c>
      <c r="R5275">
        <v>0.95861001511398003</v>
      </c>
      <c r="S5275" t="s">
        <v>11586</v>
      </c>
      <c r="T5275" t="s">
        <v>12620</v>
      </c>
      <c r="U5275" t="s">
        <v>12620</v>
      </c>
      <c r="V5275" t="s">
        <v>12620</v>
      </c>
      <c r="W5275" t="s">
        <v>17838</v>
      </c>
      <c r="X5275">
        <v>6</v>
      </c>
      <c r="Y5275" t="s">
        <v>23938</v>
      </c>
      <c r="Z5275" t="s">
        <v>30222</v>
      </c>
      <c r="AA5275">
        <v>0.49015126479405191</v>
      </c>
      <c r="AB5275" t="str">
        <f>HYPERLINK("Melting_Curves/meltCurve_Q9H269_VPS16.pdf", "Melting_Curves/meltCurve_Q9H269_VPS16.pdf")</f>
        <v>Melting_Curves/meltCurve_Q9H269_VPS16.pdf</v>
      </c>
    </row>
    <row r="5276" spans="1:28" x14ac:dyDescent="0.25">
      <c r="A5276" t="s">
        <v>5280</v>
      </c>
      <c r="B5276">
        <v>0.99987803227770999</v>
      </c>
      <c r="C5276">
        <v>0.88806219103208495</v>
      </c>
      <c r="D5276">
        <v>0.78758462525060302</v>
      </c>
      <c r="E5276">
        <v>0.945861925482956</v>
      </c>
      <c r="F5276">
        <v>0.34580860162286597</v>
      </c>
      <c r="G5276">
        <v>0.21673727073679899</v>
      </c>
      <c r="H5276">
        <v>0.125989329805583</v>
      </c>
      <c r="I5276">
        <v>0.106218161755453</v>
      </c>
      <c r="J5276">
        <v>8.8127942040708701E-2</v>
      </c>
      <c r="K5276">
        <v>5.8686676808012699E-2</v>
      </c>
      <c r="L5276">
        <v>3112.1469021149001</v>
      </c>
      <c r="M5276">
        <v>59.7315468245178</v>
      </c>
      <c r="N5276">
        <v>52.336135056015699</v>
      </c>
      <c r="O5276">
        <v>52.043943401952603</v>
      </c>
      <c r="P5276">
        <v>-0.25331449115216098</v>
      </c>
      <c r="Q5276">
        <v>0.117151569027719</v>
      </c>
      <c r="R5276">
        <v>0.95016545706889399</v>
      </c>
      <c r="S5276" t="s">
        <v>11587</v>
      </c>
      <c r="T5276" t="s">
        <v>12620</v>
      </c>
      <c r="U5276" t="s">
        <v>12620</v>
      </c>
      <c r="V5276" t="s">
        <v>12620</v>
      </c>
      <c r="W5276" t="s">
        <v>17839</v>
      </c>
      <c r="X5276">
        <v>7</v>
      </c>
      <c r="Y5276" t="s">
        <v>23939</v>
      </c>
      <c r="Z5276" t="s">
        <v>30223</v>
      </c>
      <c r="AA5276">
        <v>0.47471877603018259</v>
      </c>
      <c r="AB5276" t="str">
        <f>HYPERLINK("Melting_Curves/meltCurve_Q9H270_VPS11.pdf", "Melting_Curves/meltCurve_Q9H270_VPS11.pdf")</f>
        <v>Melting_Curves/meltCurve_Q9H270_VPS11.pdf</v>
      </c>
    </row>
    <row r="5277" spans="1:28" x14ac:dyDescent="0.25">
      <c r="A5277" t="s">
        <v>5281</v>
      </c>
      <c r="B5277">
        <v>0.99987803227770999</v>
      </c>
      <c r="C5277">
        <v>1.1125989898342901</v>
      </c>
      <c r="D5277">
        <v>0.93869434809228003</v>
      </c>
      <c r="E5277">
        <v>1.05055900187331</v>
      </c>
      <c r="F5277">
        <v>0.80629813914557702</v>
      </c>
      <c r="G5277">
        <v>0.457662398490853</v>
      </c>
      <c r="H5277">
        <v>0.14502223161261901</v>
      </c>
      <c r="I5277">
        <v>0.121663484289445</v>
      </c>
      <c r="J5277">
        <v>9.8667105551992401E-2</v>
      </c>
      <c r="K5277">
        <v>7.1956115070230697E-2</v>
      </c>
      <c r="L5277">
        <v>1551.10122037684</v>
      </c>
      <c r="M5277">
        <v>27.657268063666301</v>
      </c>
      <c r="N5277">
        <v>56.431679526386802</v>
      </c>
      <c r="O5277">
        <v>55.792203798784101</v>
      </c>
      <c r="P5277">
        <v>-0.11419592307317999</v>
      </c>
      <c r="Q5277">
        <v>7.8551732105874003E-2</v>
      </c>
      <c r="R5277">
        <v>0.98541513445365803</v>
      </c>
      <c r="S5277" t="s">
        <v>11588</v>
      </c>
      <c r="T5277" t="s">
        <v>12620</v>
      </c>
      <c r="U5277" t="s">
        <v>12620</v>
      </c>
      <c r="V5277" t="s">
        <v>12620</v>
      </c>
      <c r="W5277" t="s">
        <v>17840</v>
      </c>
      <c r="X5277">
        <v>14</v>
      </c>
      <c r="Y5277" t="s">
        <v>23940</v>
      </c>
      <c r="Z5277" t="s">
        <v>30224</v>
      </c>
      <c r="AA5277">
        <v>0.5796494715630357</v>
      </c>
      <c r="AB5277" t="str">
        <f>HYPERLINK("Melting_Curves/meltCurve_Q9H2C0_GAN.pdf", "Melting_Curves/meltCurve_Q9H2C0_GAN.pdf")</f>
        <v>Melting_Curves/meltCurve_Q9H2C0_GAN.pdf</v>
      </c>
    </row>
    <row r="5278" spans="1:28" x14ac:dyDescent="0.25">
      <c r="A5278" t="s">
        <v>5282</v>
      </c>
      <c r="B5278">
        <v>0.99987803227770999</v>
      </c>
      <c r="C5278">
        <v>1.29654629361396</v>
      </c>
      <c r="D5278">
        <v>1.31584578345438</v>
      </c>
      <c r="E5278">
        <v>1.26703145621641</v>
      </c>
      <c r="F5278">
        <v>1.16526563437793</v>
      </c>
      <c r="G5278">
        <v>0.73977206484075997</v>
      </c>
      <c r="H5278">
        <v>0.58904683608688202</v>
      </c>
      <c r="I5278">
        <v>0.48183379624921602</v>
      </c>
      <c r="J5278">
        <v>0.48155273974622598</v>
      </c>
      <c r="K5278">
        <v>0.37997672010504602</v>
      </c>
      <c r="L5278">
        <v>2328.9098928650801</v>
      </c>
      <c r="M5278">
        <v>40.397973770838398</v>
      </c>
      <c r="N5278">
        <v>61.552935481749103</v>
      </c>
      <c r="O5278">
        <v>57.508471152788204</v>
      </c>
      <c r="P5278">
        <v>-9.4582826860074604E-2</v>
      </c>
      <c r="Q5278">
        <v>0.46142831264901302</v>
      </c>
      <c r="R5278">
        <v>0.75968691450997305</v>
      </c>
      <c r="S5278" t="s">
        <v>11589</v>
      </c>
      <c r="T5278" t="s">
        <v>12620</v>
      </c>
      <c r="U5278" t="s">
        <v>12620</v>
      </c>
      <c r="V5278" t="s">
        <v>12620</v>
      </c>
      <c r="W5278" t="s">
        <v>17841</v>
      </c>
      <c r="X5278">
        <v>27</v>
      </c>
      <c r="Y5278" t="s">
        <v>23941</v>
      </c>
      <c r="Z5278" t="s">
        <v>30225</v>
      </c>
      <c r="AA5278">
        <v>0.78034518985387824</v>
      </c>
      <c r="AB5278" t="str">
        <f>HYPERLINK("Melting_Curves/meltCurve_Q9H2D6_3_TRIOBP.pdf", "Melting_Curves/meltCurve_Q9H2D6_3_TRIOBP.pdf")</f>
        <v>Melting_Curves/meltCurve_Q9H2D6_3_TRIOBP.pdf</v>
      </c>
    </row>
    <row r="5279" spans="1:28" x14ac:dyDescent="0.25">
      <c r="A5279" t="s">
        <v>5283</v>
      </c>
      <c r="B5279">
        <v>0.99987803227770999</v>
      </c>
      <c r="C5279">
        <v>1.0021272383805799</v>
      </c>
      <c r="D5279">
        <v>0.91258480846409695</v>
      </c>
      <c r="E5279">
        <v>0.94958896927220005</v>
      </c>
      <c r="F5279">
        <v>0.26046950778601602</v>
      </c>
      <c r="G5279">
        <v>0.17542533005636499</v>
      </c>
      <c r="H5279">
        <v>0.125855310827371</v>
      </c>
      <c r="I5279">
        <v>0.10555053334247901</v>
      </c>
      <c r="J5279">
        <v>9.6788509961568001E-2</v>
      </c>
      <c r="K5279">
        <v>7.0760561236753505E-2</v>
      </c>
      <c r="L5279">
        <v>3871.6282130284699</v>
      </c>
      <c r="M5279">
        <v>74.662344712213894</v>
      </c>
      <c r="N5279">
        <v>52.036372241540199</v>
      </c>
      <c r="O5279">
        <v>51.818000038687899</v>
      </c>
      <c r="P5279">
        <v>-0.318979774368785</v>
      </c>
      <c r="Q5279">
        <v>0.114472424568722</v>
      </c>
      <c r="R5279">
        <v>0.99182241332955701</v>
      </c>
      <c r="S5279" t="s">
        <v>11590</v>
      </c>
      <c r="T5279" t="s">
        <v>12620</v>
      </c>
      <c r="U5279" t="s">
        <v>12620</v>
      </c>
      <c r="V5279" t="s">
        <v>12620</v>
      </c>
      <c r="W5279" t="s">
        <v>17842</v>
      </c>
      <c r="X5279">
        <v>43</v>
      </c>
      <c r="Y5279" t="s">
        <v>23942</v>
      </c>
      <c r="Z5279" t="s">
        <v>30226</v>
      </c>
      <c r="AA5279">
        <v>0.46531386370832528</v>
      </c>
      <c r="AB5279" t="str">
        <f>HYPERLINK("Melting_Curves/meltCurve_Q9H2G2_SLK.pdf", "Melting_Curves/meltCurve_Q9H2G2_SLK.pdf")</f>
        <v>Melting_Curves/meltCurve_Q9H2G2_SLK.pdf</v>
      </c>
    </row>
    <row r="5280" spans="1:28" x14ac:dyDescent="0.25">
      <c r="A5280" t="s">
        <v>5284</v>
      </c>
      <c r="B5280">
        <v>0.99987803227770999</v>
      </c>
      <c r="C5280">
        <v>0.58958390035829999</v>
      </c>
      <c r="D5280">
        <v>1.1081083110358501</v>
      </c>
      <c r="E5280">
        <v>0.69902554678934603</v>
      </c>
      <c r="F5280">
        <v>0.34477258531149702</v>
      </c>
      <c r="G5280">
        <v>0.16106819608377401</v>
      </c>
      <c r="H5280">
        <v>0.129182839051044</v>
      </c>
      <c r="I5280">
        <v>0.11823113191550801</v>
      </c>
      <c r="J5280">
        <v>9.1928088201705199E-2</v>
      </c>
      <c r="K5280">
        <v>6.19557399470212E-2</v>
      </c>
      <c r="L5280">
        <v>1582.0433471824899</v>
      </c>
      <c r="M5280">
        <v>30.8584061038102</v>
      </c>
      <c r="N5280">
        <v>51.651424579821096</v>
      </c>
      <c r="O5280">
        <v>51.053963746768602</v>
      </c>
      <c r="P5280">
        <v>-0.135633347548654</v>
      </c>
      <c r="Q5280">
        <v>0.10240604756581501</v>
      </c>
      <c r="R5280">
        <v>0.86590145617318504</v>
      </c>
      <c r="S5280" t="s">
        <v>11591</v>
      </c>
      <c r="T5280" t="s">
        <v>12620</v>
      </c>
      <c r="U5280" t="s">
        <v>12620</v>
      </c>
      <c r="V5280" t="s">
        <v>12620</v>
      </c>
      <c r="W5280" t="s">
        <v>17843</v>
      </c>
      <c r="X5280">
        <v>9</v>
      </c>
      <c r="Y5280" t="s">
        <v>23943</v>
      </c>
      <c r="Z5280" t="s">
        <v>30227</v>
      </c>
      <c r="AA5280">
        <v>0.44489451713514588</v>
      </c>
      <c r="AB5280" t="str">
        <f>HYPERLINK("Melting_Curves/meltCurve_Q9H2H8_PPIL3.pdf", "Melting_Curves/meltCurve_Q9H2H8_PPIL3.pdf")</f>
        <v>Melting_Curves/meltCurve_Q9H2H8_PPIL3.pdf</v>
      </c>
    </row>
    <row r="5281" spans="1:28" x14ac:dyDescent="0.25">
      <c r="A5281" t="s">
        <v>5285</v>
      </c>
      <c r="B5281">
        <v>0.99987803227770999</v>
      </c>
      <c r="C5281">
        <v>0.75250460317141898</v>
      </c>
      <c r="D5281">
        <v>0.82146639125300203</v>
      </c>
      <c r="E5281">
        <v>1.0209423395828601</v>
      </c>
      <c r="F5281">
        <v>0.98878794259401603</v>
      </c>
      <c r="G5281">
        <v>0.94644352776026697</v>
      </c>
      <c r="H5281">
        <v>0.70352268326364498</v>
      </c>
      <c r="I5281">
        <v>0.27792645660599402</v>
      </c>
      <c r="J5281">
        <v>0.200895503643506</v>
      </c>
      <c r="K5281">
        <v>0.136186693178552</v>
      </c>
      <c r="L5281">
        <v>2789.04205539847</v>
      </c>
      <c r="M5281">
        <v>45.149874213994103</v>
      </c>
      <c r="N5281">
        <v>62.258444176636601</v>
      </c>
      <c r="O5281">
        <v>61.652136785111601</v>
      </c>
      <c r="P5281">
        <v>-0.15591709071819099</v>
      </c>
      <c r="Q5281">
        <v>0.148381871583561</v>
      </c>
      <c r="R5281">
        <v>0.91221377184915198</v>
      </c>
      <c r="S5281" t="s">
        <v>11592</v>
      </c>
      <c r="T5281" t="s">
        <v>12620</v>
      </c>
      <c r="U5281" t="s">
        <v>12620</v>
      </c>
      <c r="V5281" t="s">
        <v>12620</v>
      </c>
      <c r="W5281" t="s">
        <v>17844</v>
      </c>
      <c r="X5281">
        <v>9</v>
      </c>
      <c r="Y5281" t="s">
        <v>23944</v>
      </c>
      <c r="Z5281" t="s">
        <v>30228</v>
      </c>
      <c r="AA5281">
        <v>0.7690465223193973</v>
      </c>
      <c r="AB5281" t="str">
        <f>HYPERLINK("Melting_Curves/meltCurve_Q9H2J4_PDCL3.pdf", "Melting_Curves/meltCurve_Q9H2J4_PDCL3.pdf")</f>
        <v>Melting_Curves/meltCurve_Q9H2J4_PDCL3.pdf</v>
      </c>
    </row>
    <row r="5282" spans="1:28" x14ac:dyDescent="0.25">
      <c r="A5282" t="s">
        <v>5286</v>
      </c>
      <c r="B5282">
        <v>0.99987803227770999</v>
      </c>
      <c r="C5282">
        <v>0.97773821015315399</v>
      </c>
      <c r="D5282">
        <v>0.96053799308031096</v>
      </c>
      <c r="E5282">
        <v>0.88658307642113499</v>
      </c>
      <c r="F5282">
        <v>0.46419665867483401</v>
      </c>
      <c r="G5282">
        <v>0.30388896316021402</v>
      </c>
      <c r="H5282">
        <v>0.247406451365488</v>
      </c>
      <c r="I5282">
        <v>0.24873759176365201</v>
      </c>
      <c r="J5282">
        <v>0.20629182182932199</v>
      </c>
      <c r="K5282">
        <v>0.15301917077354699</v>
      </c>
      <c r="L5282">
        <v>1984.4063417729301</v>
      </c>
      <c r="M5282">
        <v>38.119194596363897</v>
      </c>
      <c r="N5282">
        <v>52.877930690021302</v>
      </c>
      <c r="O5282">
        <v>51.915291729843702</v>
      </c>
      <c r="P5282">
        <v>-0.142601567256808</v>
      </c>
      <c r="Q5282">
        <v>0.22315445952808</v>
      </c>
      <c r="R5282">
        <v>0.99024373999919002</v>
      </c>
      <c r="S5282" t="s">
        <v>11593</v>
      </c>
      <c r="T5282" t="s">
        <v>12620</v>
      </c>
      <c r="U5282" t="s">
        <v>12620</v>
      </c>
      <c r="V5282" t="s">
        <v>12620</v>
      </c>
      <c r="W5282" t="s">
        <v>17845</v>
      </c>
      <c r="X5282">
        <v>15</v>
      </c>
      <c r="Y5282" t="s">
        <v>23945</v>
      </c>
      <c r="Z5282" t="s">
        <v>30229</v>
      </c>
      <c r="AA5282">
        <v>0.53847073342112273</v>
      </c>
      <c r="AB5282" t="str">
        <f>HYPERLINK("Melting_Curves/meltCurve_Q9H2K8_TAOK3.pdf", "Melting_Curves/meltCurve_Q9H2K8_TAOK3.pdf")</f>
        <v>Melting_Curves/meltCurve_Q9H2K8_TAOK3.pdf</v>
      </c>
    </row>
    <row r="5283" spans="1:28" x14ac:dyDescent="0.25">
      <c r="A5283" t="s">
        <v>5287</v>
      </c>
      <c r="B5283">
        <v>0.99987803227770999</v>
      </c>
      <c r="C5283">
        <v>1.06567947889597</v>
      </c>
      <c r="D5283">
        <v>0.82259932222288101</v>
      </c>
      <c r="E5283">
        <v>0.66975786924186997</v>
      </c>
      <c r="F5283">
        <v>0.39203282670682799</v>
      </c>
      <c r="G5283">
        <v>0.26934962464416301</v>
      </c>
      <c r="H5283">
        <v>0.18360402060094699</v>
      </c>
      <c r="I5283">
        <v>0.17427767848094999</v>
      </c>
      <c r="J5283">
        <v>0.15235007611784701</v>
      </c>
      <c r="K5283">
        <v>0.11815445641894499</v>
      </c>
      <c r="L5283">
        <v>898.31043342135195</v>
      </c>
      <c r="M5283">
        <v>17.649793623519098</v>
      </c>
      <c r="N5283">
        <v>51.835604986155303</v>
      </c>
      <c r="O5283">
        <v>50.256502117795002</v>
      </c>
      <c r="P5283">
        <v>-7.5787049684771304E-2</v>
      </c>
      <c r="Q5283">
        <v>0.13685384695956901</v>
      </c>
      <c r="R5283">
        <v>0.98649231351773004</v>
      </c>
      <c r="S5283" t="s">
        <v>11594</v>
      </c>
      <c r="T5283" t="s">
        <v>12620</v>
      </c>
      <c r="U5283" t="s">
        <v>12620</v>
      </c>
      <c r="V5283" t="s">
        <v>12620</v>
      </c>
      <c r="W5283" t="s">
        <v>17846</v>
      </c>
      <c r="X5283">
        <v>26</v>
      </c>
      <c r="Y5283" t="s">
        <v>23946</v>
      </c>
      <c r="Z5283" t="s">
        <v>30230</v>
      </c>
      <c r="AA5283">
        <v>0.46544634406707758</v>
      </c>
      <c r="AB5283" t="str">
        <f>HYPERLINK("Melting_Curves/meltCurve_Q9H2M9_RAB3GAP2.pdf", "Melting_Curves/meltCurve_Q9H2M9_RAB3GAP2.pdf")</f>
        <v>Melting_Curves/meltCurve_Q9H2M9_RAB3GAP2.pdf</v>
      </c>
    </row>
    <row r="5284" spans="1:28" x14ac:dyDescent="0.25">
      <c r="A5284" t="s">
        <v>5288</v>
      </c>
      <c r="B5284">
        <v>0.99987803227770999</v>
      </c>
      <c r="C5284">
        <v>1.2103515497723301</v>
      </c>
      <c r="D5284">
        <v>1.06786744538851</v>
      </c>
      <c r="E5284">
        <v>0.81119872753042499</v>
      </c>
      <c r="F5284">
        <v>0.71782501788282704</v>
      </c>
      <c r="G5284">
        <v>0.52702030028754698</v>
      </c>
      <c r="H5284">
        <v>0.48119223768893798</v>
      </c>
      <c r="I5284">
        <v>0.41064764843905199</v>
      </c>
      <c r="J5284">
        <v>0.42784206057420798</v>
      </c>
      <c r="K5284">
        <v>0.36222296145897098</v>
      </c>
      <c r="L5284">
        <v>1089.7463939188001</v>
      </c>
      <c r="M5284">
        <v>20.507166175750001</v>
      </c>
      <c r="N5284">
        <v>57.743521353128003</v>
      </c>
      <c r="O5284">
        <v>52.642214979820402</v>
      </c>
      <c r="P5284">
        <v>-5.8189713358972002E-2</v>
      </c>
      <c r="Q5284">
        <v>0.40252201408281202</v>
      </c>
      <c r="R5284">
        <v>0.92680942319175796</v>
      </c>
      <c r="S5284" t="s">
        <v>11595</v>
      </c>
      <c r="T5284" t="s">
        <v>12620</v>
      </c>
      <c r="U5284" t="s">
        <v>12620</v>
      </c>
      <c r="V5284" t="s">
        <v>12620</v>
      </c>
      <c r="W5284" t="s">
        <v>17847</v>
      </c>
      <c r="X5284">
        <v>12</v>
      </c>
      <c r="Y5284" t="s">
        <v>23947</v>
      </c>
      <c r="Z5284" t="s">
        <v>30231</v>
      </c>
      <c r="AA5284">
        <v>0.67207717491611463</v>
      </c>
      <c r="AB5284" t="str">
        <f>HYPERLINK("Melting_Curves/meltCurve_Q9H2P0_ADNP.pdf", "Melting_Curves/meltCurve_Q9H2P0_ADNP.pdf")</f>
        <v>Melting_Curves/meltCurve_Q9H2P0_ADNP.pdf</v>
      </c>
    </row>
    <row r="5285" spans="1:28" x14ac:dyDescent="0.25">
      <c r="A5285" t="s">
        <v>5289</v>
      </c>
      <c r="B5285">
        <v>0.99987803227770999</v>
      </c>
      <c r="C5285">
        <v>1.05981485561914</v>
      </c>
      <c r="D5285">
        <v>1.01360079461428</v>
      </c>
      <c r="E5285">
        <v>0.90808944557925897</v>
      </c>
      <c r="F5285">
        <v>0.565147698238611</v>
      </c>
      <c r="G5285">
        <v>0.22325642734228501</v>
      </c>
      <c r="H5285">
        <v>0.101419117372919</v>
      </c>
      <c r="I5285">
        <v>8.1582354779477298E-2</v>
      </c>
      <c r="J5285">
        <v>5.9403885381779702E-2</v>
      </c>
      <c r="K5285">
        <v>3.9382777958889503E-2</v>
      </c>
      <c r="L5285">
        <v>1493.01486028866</v>
      </c>
      <c r="M5285">
        <v>27.918930547143599</v>
      </c>
      <c r="N5285">
        <v>53.731327455374299</v>
      </c>
      <c r="O5285">
        <v>53.204668470443501</v>
      </c>
      <c r="P5285">
        <v>-0.123061516297943</v>
      </c>
      <c r="Q5285">
        <v>6.1942153311971698E-2</v>
      </c>
      <c r="R5285">
        <v>0.99630311022151796</v>
      </c>
      <c r="S5285" t="s">
        <v>11596</v>
      </c>
      <c r="T5285" t="s">
        <v>12620</v>
      </c>
      <c r="U5285" t="s">
        <v>12620</v>
      </c>
      <c r="V5285" t="s">
        <v>12620</v>
      </c>
      <c r="W5285" t="s">
        <v>17848</v>
      </c>
      <c r="X5285">
        <v>5</v>
      </c>
      <c r="Y5285" t="s">
        <v>23948</v>
      </c>
      <c r="Z5285" t="s">
        <v>30232</v>
      </c>
      <c r="AA5285">
        <v>0.49037680626146513</v>
      </c>
      <c r="AB5285" t="str">
        <f>HYPERLINK("Melting_Curves/meltCurve_Q9H2P9_3_DPH5.pdf", "Melting_Curves/meltCurve_Q9H2P9_3_DPH5.pdf")</f>
        <v>Melting_Curves/meltCurve_Q9H2P9_3_DPH5.pdf</v>
      </c>
    </row>
    <row r="5286" spans="1:28" x14ac:dyDescent="0.25">
      <c r="A5286" t="s">
        <v>5290</v>
      </c>
      <c r="B5286">
        <v>0.99987803227770999</v>
      </c>
      <c r="C5286">
        <v>0.67038496969558503</v>
      </c>
      <c r="D5286">
        <v>0.89229536467540504</v>
      </c>
      <c r="E5286">
        <v>0.913424477751692</v>
      </c>
      <c r="F5286">
        <v>0.481156079804204</v>
      </c>
      <c r="G5286">
        <v>0.25095059580721901</v>
      </c>
      <c r="H5286">
        <v>0.224778367835963</v>
      </c>
      <c r="I5286">
        <v>0.195383846401191</v>
      </c>
      <c r="J5286">
        <v>0.18028813349128001</v>
      </c>
      <c r="K5286">
        <v>0.145330815439494</v>
      </c>
      <c r="L5286">
        <v>2071.3818619972999</v>
      </c>
      <c r="M5286">
        <v>39.584426126131298</v>
      </c>
      <c r="N5286">
        <v>52.972198595119103</v>
      </c>
      <c r="O5286">
        <v>52.195186348070798</v>
      </c>
      <c r="P5286">
        <v>-0.153386886240924</v>
      </c>
      <c r="Q5286">
        <v>0.190990943683428</v>
      </c>
      <c r="R5286">
        <v>0.88303308994027396</v>
      </c>
      <c r="S5286" t="s">
        <v>11597</v>
      </c>
      <c r="T5286" t="s">
        <v>12620</v>
      </c>
      <c r="U5286" t="s">
        <v>12620</v>
      </c>
      <c r="V5286" t="s">
        <v>12620</v>
      </c>
      <c r="W5286" t="s">
        <v>17849</v>
      </c>
      <c r="X5286">
        <v>24</v>
      </c>
      <c r="Y5286" t="s">
        <v>23949</v>
      </c>
      <c r="Z5286" t="s">
        <v>30233</v>
      </c>
      <c r="AA5286">
        <v>0.52643159012806751</v>
      </c>
      <c r="AB5286" t="str">
        <f>HYPERLINK("Melting_Curves/meltCurve_Q9H2U1_3_DHX36.pdf", "Melting_Curves/meltCurve_Q9H2U1_3_DHX36.pdf")</f>
        <v>Melting_Curves/meltCurve_Q9H2U1_3_DHX36.pdf</v>
      </c>
    </row>
    <row r="5287" spans="1:28" x14ac:dyDescent="0.25">
      <c r="A5287" t="s">
        <v>5291</v>
      </c>
      <c r="B5287">
        <v>0.99987803227770999</v>
      </c>
      <c r="C5287">
        <v>0.79330635746998401</v>
      </c>
      <c r="D5287">
        <v>1.06976114899671</v>
      </c>
      <c r="E5287">
        <v>0.86308301306235502</v>
      </c>
      <c r="F5287">
        <v>0.44862318147180202</v>
      </c>
      <c r="G5287">
        <v>0.18624435234897899</v>
      </c>
      <c r="H5287">
        <v>0.100968811193813</v>
      </c>
      <c r="I5287">
        <v>6.4284171006348798E-2</v>
      </c>
      <c r="J5287">
        <v>4.8605615650457103E-2</v>
      </c>
      <c r="K5287">
        <v>3.2881384534794701E-2</v>
      </c>
      <c r="L5287">
        <v>1619.4883946131699</v>
      </c>
      <c r="M5287">
        <v>30.788231163305898</v>
      </c>
      <c r="N5287">
        <v>52.834707360837399</v>
      </c>
      <c r="O5287">
        <v>52.380482916434097</v>
      </c>
      <c r="P5287">
        <v>-0.13758729376016399</v>
      </c>
      <c r="Q5287">
        <v>6.3688273963252107E-2</v>
      </c>
      <c r="R5287">
        <v>0.96735297863921599</v>
      </c>
      <c r="S5287" t="s">
        <v>11598</v>
      </c>
      <c r="T5287" t="s">
        <v>12620</v>
      </c>
      <c r="U5287" t="s">
        <v>12620</v>
      </c>
      <c r="V5287" t="s">
        <v>12620</v>
      </c>
      <c r="W5287" t="s">
        <v>17850</v>
      </c>
      <c r="X5287">
        <v>12</v>
      </c>
      <c r="Y5287" t="s">
        <v>23950</v>
      </c>
      <c r="Z5287" t="s">
        <v>30234</v>
      </c>
      <c r="AA5287">
        <v>0.46270319549187028</v>
      </c>
      <c r="AB5287" t="str">
        <f>HYPERLINK("Melting_Curves/meltCurve_Q9H2U2_PPA2.pdf", "Melting_Curves/meltCurve_Q9H2U2_PPA2.pdf")</f>
        <v>Melting_Curves/meltCurve_Q9H2U2_PPA2.pdf</v>
      </c>
    </row>
    <row r="5288" spans="1:28" x14ac:dyDescent="0.25">
      <c r="A5288" t="s">
        <v>5292</v>
      </c>
      <c r="B5288">
        <v>0.99987803227770999</v>
      </c>
      <c r="C5288">
        <v>0.89992384505760803</v>
      </c>
      <c r="D5288">
        <v>0.65376183286564404</v>
      </c>
      <c r="E5288">
        <v>0.271480817745758</v>
      </c>
      <c r="F5288">
        <v>0.14496454992758001</v>
      </c>
      <c r="G5288">
        <v>9.4221216274768302E-2</v>
      </c>
      <c r="H5288">
        <v>5.9302553438626497E-2</v>
      </c>
      <c r="I5288">
        <v>4.2682071925574702E-2</v>
      </c>
      <c r="J5288">
        <v>3.7247706094189002E-2</v>
      </c>
      <c r="K5288">
        <v>2.2353428088482601E-2</v>
      </c>
      <c r="L5288">
        <v>971.502538454866</v>
      </c>
      <c r="M5288">
        <v>20.5371955437633</v>
      </c>
      <c r="N5288">
        <v>47.507551611737199</v>
      </c>
      <c r="O5288">
        <v>46.862879962758797</v>
      </c>
      <c r="P5288">
        <v>-0.104960506881913</v>
      </c>
      <c r="Q5288">
        <v>4.2009908197575399E-2</v>
      </c>
      <c r="R5288">
        <v>0.99864423169860395</v>
      </c>
      <c r="S5288" t="s">
        <v>11599</v>
      </c>
      <c r="T5288" t="s">
        <v>12620</v>
      </c>
      <c r="U5288" t="s">
        <v>12620</v>
      </c>
      <c r="V5288" t="s">
        <v>12620</v>
      </c>
      <c r="W5288" t="s">
        <v>17851</v>
      </c>
      <c r="X5288">
        <v>3</v>
      </c>
      <c r="Y5288" t="s">
        <v>23951</v>
      </c>
      <c r="Z5288" t="s">
        <v>30235</v>
      </c>
      <c r="AA5288">
        <v>0.28835373243317058</v>
      </c>
      <c r="AB5288" t="str">
        <f>HYPERLINK("Melting_Curves/meltCurve_Q9H2W6_MRPL46.pdf", "Melting_Curves/meltCurve_Q9H2W6_MRPL46.pdf")</f>
        <v>Melting_Curves/meltCurve_Q9H2W6_MRPL46.pdf</v>
      </c>
    </row>
    <row r="5289" spans="1:28" x14ac:dyDescent="0.25">
      <c r="A5289" t="s">
        <v>5293</v>
      </c>
      <c r="B5289">
        <v>0.99987803227770999</v>
      </c>
      <c r="C5289">
        <v>0.87005064215945405</v>
      </c>
      <c r="D5289">
        <v>0.96253507186257503</v>
      </c>
      <c r="E5289">
        <v>0.82745865908225003</v>
      </c>
      <c r="F5289">
        <v>0.86837783801246105</v>
      </c>
      <c r="G5289">
        <v>0.61354719200711205</v>
      </c>
      <c r="H5289">
        <v>0.63564708426450101</v>
      </c>
      <c r="I5289">
        <v>0.59709524819316395</v>
      </c>
      <c r="J5289">
        <v>0.57845121458232895</v>
      </c>
      <c r="K5289">
        <v>0.51253567522943599</v>
      </c>
      <c r="L5289">
        <v>454.36699124945</v>
      </c>
      <c r="M5289">
        <v>8.0866624500149307</v>
      </c>
      <c r="O5289">
        <v>53.064176365346697</v>
      </c>
      <c r="P5289">
        <v>-2.16395257336825E-2</v>
      </c>
      <c r="Q5289">
        <v>0.43262755788123203</v>
      </c>
      <c r="R5289">
        <v>0.90831083751520802</v>
      </c>
      <c r="S5289" t="s">
        <v>11600</v>
      </c>
      <c r="T5289" t="s">
        <v>12620</v>
      </c>
      <c r="U5289" t="s">
        <v>12620</v>
      </c>
      <c r="V5289" t="s">
        <v>12620</v>
      </c>
      <c r="W5289" t="s">
        <v>17852</v>
      </c>
      <c r="X5289">
        <v>10</v>
      </c>
      <c r="Y5289" t="s">
        <v>23952</v>
      </c>
      <c r="Z5289" t="s">
        <v>30236</v>
      </c>
      <c r="AA5289">
        <v>0.7492794617474805</v>
      </c>
      <c r="AB5289" t="str">
        <f>HYPERLINK("Melting_Curves/meltCurve_Q9H2Y7_ZNF106.pdf", "Melting_Curves/meltCurve_Q9H2Y7_ZNF106.pdf")</f>
        <v>Melting_Curves/meltCurve_Q9H2Y7_ZNF106.pdf</v>
      </c>
    </row>
    <row r="5290" spans="1:28" x14ac:dyDescent="0.25">
      <c r="A5290" t="s">
        <v>5294</v>
      </c>
      <c r="B5290">
        <v>0.99987803227770999</v>
      </c>
      <c r="C5290">
        <v>0.91522270759110702</v>
      </c>
      <c r="D5290">
        <v>1.07673602905736</v>
      </c>
      <c r="E5290">
        <v>1.0487553156617599</v>
      </c>
      <c r="F5290">
        <v>1.04678707080054</v>
      </c>
      <c r="G5290">
        <v>0.79473687119732805</v>
      </c>
      <c r="H5290">
        <v>0.80145246958533101</v>
      </c>
      <c r="I5290">
        <v>0.71697150440356705</v>
      </c>
      <c r="J5290">
        <v>0.77883568299321804</v>
      </c>
      <c r="K5290">
        <v>0.64497620254726096</v>
      </c>
      <c r="L5290">
        <v>13316.743098660299</v>
      </c>
      <c r="M5290">
        <v>234.870818259641</v>
      </c>
      <c r="O5290">
        <v>56.694037561029603</v>
      </c>
      <c r="P5290">
        <v>-0.27388008436132799</v>
      </c>
      <c r="Q5290">
        <v>0.735558960659904</v>
      </c>
      <c r="R5290">
        <v>0.84999515977463602</v>
      </c>
      <c r="S5290" t="s">
        <v>11601</v>
      </c>
      <c r="T5290" t="s">
        <v>12620</v>
      </c>
      <c r="U5290" t="s">
        <v>12620</v>
      </c>
      <c r="V5290" t="s">
        <v>12620</v>
      </c>
      <c r="W5290" t="s">
        <v>17853</v>
      </c>
      <c r="X5290">
        <v>12</v>
      </c>
      <c r="Y5290" t="s">
        <v>23953</v>
      </c>
      <c r="Z5290" t="s">
        <v>30237</v>
      </c>
      <c r="AA5290">
        <v>0.88277806147190785</v>
      </c>
      <c r="AB5290" t="str">
        <f>HYPERLINK("Melting_Curves/meltCurve_Q9H307_PNN.pdf", "Melting_Curves/meltCurve_Q9H307_PNN.pdf")</f>
        <v>Melting_Curves/meltCurve_Q9H307_PNN.pdf</v>
      </c>
    </row>
    <row r="5291" spans="1:28" x14ac:dyDescent="0.25">
      <c r="A5291" t="s">
        <v>5295</v>
      </c>
      <c r="B5291">
        <v>0.99987803227770999</v>
      </c>
      <c r="C5291">
        <v>0.81274077325669902</v>
      </c>
      <c r="D5291">
        <v>0.91315697068788304</v>
      </c>
      <c r="E5291">
        <v>0.78730465179104303</v>
      </c>
      <c r="F5291">
        <v>0.80253625799760098</v>
      </c>
      <c r="G5291">
        <v>0.46822328289820198</v>
      </c>
      <c r="H5291">
        <v>0.385541979247644</v>
      </c>
      <c r="I5291">
        <v>0.248503654177502</v>
      </c>
      <c r="J5291">
        <v>0.17751637412469701</v>
      </c>
      <c r="K5291">
        <v>0.13097197010487899</v>
      </c>
      <c r="L5291">
        <v>571.32738890299402</v>
      </c>
      <c r="M5291">
        <v>9.9515780343654505</v>
      </c>
      <c r="N5291">
        <v>57.410732942840902</v>
      </c>
      <c r="O5291">
        <v>55.236818428514901</v>
      </c>
      <c r="P5291">
        <v>-4.5062828737770198E-2</v>
      </c>
      <c r="Q5291">
        <v>0</v>
      </c>
      <c r="R5291">
        <v>0.95832576233398004</v>
      </c>
      <c r="S5291" t="s">
        <v>11602</v>
      </c>
      <c r="T5291" t="s">
        <v>12620</v>
      </c>
      <c r="U5291" t="s">
        <v>12620</v>
      </c>
      <c r="V5291" t="s">
        <v>12620</v>
      </c>
      <c r="W5291" t="s">
        <v>17854</v>
      </c>
      <c r="X5291">
        <v>5</v>
      </c>
      <c r="Y5291" t="s">
        <v>23954</v>
      </c>
      <c r="Z5291" t="s">
        <v>30238</v>
      </c>
      <c r="AA5291">
        <v>0.59374741122270003</v>
      </c>
      <c r="AB5291" t="str">
        <f>HYPERLINK("Melting_Curves/meltCurve_Q9H3F6_KCTD10.pdf", "Melting_Curves/meltCurve_Q9H3F6_KCTD10.pdf")</f>
        <v>Melting_Curves/meltCurve_Q9H3F6_KCTD10.pdf</v>
      </c>
    </row>
    <row r="5292" spans="1:28" x14ac:dyDescent="0.25">
      <c r="A5292" t="s">
        <v>5296</v>
      </c>
      <c r="B5292">
        <v>0.99987803227770999</v>
      </c>
      <c r="C5292">
        <v>1.25314337905688</v>
      </c>
      <c r="D5292">
        <v>0.81122332097929495</v>
      </c>
      <c r="E5292">
        <v>0.41214734184937502</v>
      </c>
      <c r="F5292">
        <v>0.26178800776378103</v>
      </c>
      <c r="G5292">
        <v>0.19032953845473</v>
      </c>
      <c r="H5292">
        <v>9.0517692011411605E-2</v>
      </c>
      <c r="I5292">
        <v>9.9652088313461104E-2</v>
      </c>
      <c r="J5292">
        <v>5.41906806969654E-2</v>
      </c>
      <c r="K5292">
        <v>5.50721978337219E-2</v>
      </c>
      <c r="L5292">
        <v>1256.8788087835501</v>
      </c>
      <c r="M5292">
        <v>25.6088651097207</v>
      </c>
      <c r="N5292">
        <v>49.487331750803797</v>
      </c>
      <c r="O5292">
        <v>48.783488161852901</v>
      </c>
      <c r="P5292">
        <v>-0.1187632527678</v>
      </c>
      <c r="Q5292">
        <v>9.5061041816237493E-2</v>
      </c>
      <c r="R5292">
        <v>0.94823866704870396</v>
      </c>
      <c r="S5292" t="s">
        <v>11603</v>
      </c>
      <c r="T5292" t="s">
        <v>12620</v>
      </c>
      <c r="U5292" t="s">
        <v>12620</v>
      </c>
      <c r="V5292" t="s">
        <v>12620</v>
      </c>
      <c r="W5292" t="s">
        <v>17855</v>
      </c>
      <c r="X5292">
        <v>4</v>
      </c>
      <c r="Y5292" t="s">
        <v>23955</v>
      </c>
      <c r="Z5292" t="s">
        <v>30239</v>
      </c>
      <c r="AA5292">
        <v>0.37658681241221059</v>
      </c>
      <c r="AB5292" t="str">
        <f>HYPERLINK("Melting_Curves/meltCurve_Q9H3H1_4_TRIT1.pdf", "Melting_Curves/meltCurve_Q9H3H1_4_TRIT1.pdf")</f>
        <v>Melting_Curves/meltCurve_Q9H3H1_4_TRIT1.pdf</v>
      </c>
    </row>
    <row r="5293" spans="1:28" x14ac:dyDescent="0.25">
      <c r="A5293" t="s">
        <v>5297</v>
      </c>
      <c r="B5293">
        <v>0.99987803227770999</v>
      </c>
      <c r="C5293">
        <v>1.0240045505090101</v>
      </c>
      <c r="D5293">
        <v>1.05878519116126</v>
      </c>
      <c r="E5293">
        <v>0.93350894099523196</v>
      </c>
      <c r="F5293">
        <v>0.95488804987827502</v>
      </c>
      <c r="G5293">
        <v>0.34151565150138302</v>
      </c>
      <c r="H5293">
        <v>0.126219001234572</v>
      </c>
      <c r="I5293">
        <v>9.44755459127085E-2</v>
      </c>
      <c r="J5293">
        <v>7.2795433688899902E-2</v>
      </c>
      <c r="K5293">
        <v>2.44562139310513E-2</v>
      </c>
      <c r="L5293">
        <v>2633.9569027416301</v>
      </c>
      <c r="M5293">
        <v>47.0667187402236</v>
      </c>
      <c r="N5293">
        <v>56.1499228882872</v>
      </c>
      <c r="O5293">
        <v>55.861474998049701</v>
      </c>
      <c r="P5293">
        <v>-0.19530567569843499</v>
      </c>
      <c r="Q5293">
        <v>7.2801604565744998E-2</v>
      </c>
      <c r="R5293">
        <v>0.99362868685902905</v>
      </c>
      <c r="S5293" t="s">
        <v>11604</v>
      </c>
      <c r="T5293" t="s">
        <v>12620</v>
      </c>
      <c r="U5293" t="s">
        <v>12620</v>
      </c>
      <c r="V5293" t="s">
        <v>12620</v>
      </c>
      <c r="W5293" t="s">
        <v>17856</v>
      </c>
      <c r="X5293">
        <v>8</v>
      </c>
      <c r="Y5293" t="s">
        <v>23956</v>
      </c>
      <c r="Z5293" t="s">
        <v>30240</v>
      </c>
      <c r="AA5293">
        <v>0.56871901277517578</v>
      </c>
      <c r="AB5293" t="str">
        <f>HYPERLINK("Melting_Curves/meltCurve_Q9H3H3_2_C11orf68.pdf", "Melting_Curves/meltCurve_Q9H3H3_2_C11orf68.pdf")</f>
        <v>Melting_Curves/meltCurve_Q9H3H3_2_C11orf68.pdf</v>
      </c>
    </row>
    <row r="5294" spans="1:28" x14ac:dyDescent="0.25">
      <c r="A5294" t="s">
        <v>5298</v>
      </c>
      <c r="B5294">
        <v>0.99987803227770999</v>
      </c>
      <c r="C5294">
        <v>0.81745583423881596</v>
      </c>
      <c r="D5294">
        <v>0.97666699025748005</v>
      </c>
      <c r="E5294">
        <v>0.76623321697609403</v>
      </c>
      <c r="F5294">
        <v>0.99674914538144899</v>
      </c>
      <c r="G5294">
        <v>0.706008440635289</v>
      </c>
      <c r="H5294">
        <v>0.66017000419932903</v>
      </c>
      <c r="I5294">
        <v>0.49260672380167098</v>
      </c>
      <c r="J5294">
        <v>0.41326447037091701</v>
      </c>
      <c r="K5294">
        <v>0.28833088650887401</v>
      </c>
      <c r="L5294">
        <v>539.18983382049805</v>
      </c>
      <c r="M5294">
        <v>8.41265734924702</v>
      </c>
      <c r="N5294">
        <v>64.092685995142503</v>
      </c>
      <c r="O5294">
        <v>60.778279818743499</v>
      </c>
      <c r="P5294">
        <v>-3.4636297711403301E-2</v>
      </c>
      <c r="Q5294">
        <v>0</v>
      </c>
      <c r="R5294">
        <v>0.86483458860134599</v>
      </c>
      <c r="S5294" t="s">
        <v>11605</v>
      </c>
      <c r="T5294" t="s">
        <v>12620</v>
      </c>
      <c r="U5294" t="s">
        <v>12620</v>
      </c>
      <c r="V5294" t="s">
        <v>12620</v>
      </c>
      <c r="W5294" t="s">
        <v>17857</v>
      </c>
      <c r="X5294">
        <v>7</v>
      </c>
      <c r="Y5294" t="s">
        <v>23957</v>
      </c>
      <c r="Z5294" t="s">
        <v>30241</v>
      </c>
      <c r="AA5294">
        <v>0.7448657049644386</v>
      </c>
      <c r="AB5294" t="str">
        <f>HYPERLINK("Melting_Curves/meltCurve_Q9H3K6_BOLA2.pdf", "Melting_Curves/meltCurve_Q9H3K6_BOLA2.pdf")</f>
        <v>Melting_Curves/meltCurve_Q9H3K6_BOLA2.pdf</v>
      </c>
    </row>
    <row r="5295" spans="1:28" x14ac:dyDescent="0.25">
      <c r="A5295" t="s">
        <v>5299</v>
      </c>
      <c r="B5295">
        <v>0.99987803227770999</v>
      </c>
      <c r="C5295">
        <v>1.00869497730385</v>
      </c>
      <c r="D5295">
        <v>1.0323419724841301</v>
      </c>
      <c r="E5295">
        <v>0.88685133439950503</v>
      </c>
      <c r="F5295">
        <v>0.49823595848060098</v>
      </c>
      <c r="G5295">
        <v>0.25355359603509797</v>
      </c>
      <c r="H5295">
        <v>0.11182640839703099</v>
      </c>
      <c r="I5295">
        <v>7.5306204612580196E-2</v>
      </c>
      <c r="J5295">
        <v>4.9145343831439599E-2</v>
      </c>
      <c r="K5295">
        <v>4.9398139788259701E-2</v>
      </c>
      <c r="L5295">
        <v>1368.9874813379399</v>
      </c>
      <c r="M5295">
        <v>25.752713653630899</v>
      </c>
      <c r="N5295">
        <v>53.445743678708901</v>
      </c>
      <c r="O5295">
        <v>52.841526412528403</v>
      </c>
      <c r="P5295">
        <v>-0.11397823855047701</v>
      </c>
      <c r="Q5295">
        <v>6.4531653005688194E-2</v>
      </c>
      <c r="R5295">
        <v>0.99416754605542101</v>
      </c>
      <c r="S5295" t="s">
        <v>11606</v>
      </c>
      <c r="T5295" t="s">
        <v>12620</v>
      </c>
      <c r="U5295" t="s">
        <v>12620</v>
      </c>
      <c r="V5295" t="s">
        <v>12620</v>
      </c>
      <c r="W5295" t="s">
        <v>17858</v>
      </c>
      <c r="X5295">
        <v>3</v>
      </c>
      <c r="Y5295" t="s">
        <v>23958</v>
      </c>
      <c r="Z5295" t="s">
        <v>30242</v>
      </c>
      <c r="AA5295">
        <v>0.48301309432168388</v>
      </c>
      <c r="AB5295" t="str">
        <f>HYPERLINK("Melting_Curves/meltCurve_Q9H3L0_MMADHC.pdf", "Melting_Curves/meltCurve_Q9H3L0_MMADHC.pdf")</f>
        <v>Melting_Curves/meltCurve_Q9H3L0_MMADHC.pdf</v>
      </c>
    </row>
    <row r="5296" spans="1:28" x14ac:dyDescent="0.25">
      <c r="A5296" t="s">
        <v>5300</v>
      </c>
      <c r="B5296">
        <v>0.99987803227770999</v>
      </c>
      <c r="C5296">
        <v>0.73947527117696199</v>
      </c>
      <c r="D5296">
        <v>0.98049250983704594</v>
      </c>
      <c r="E5296">
        <v>0.79160164325397697</v>
      </c>
      <c r="F5296">
        <v>1.04578211775054</v>
      </c>
      <c r="G5296">
        <v>0.84978045408047698</v>
      </c>
      <c r="H5296">
        <v>1.0619359629884899</v>
      </c>
      <c r="I5296">
        <v>1.0068987738914299</v>
      </c>
      <c r="J5296">
        <v>1.2231569536340601</v>
      </c>
      <c r="K5296">
        <v>1.12788270233085</v>
      </c>
      <c r="L5296">
        <v>15000</v>
      </c>
      <c r="M5296">
        <v>231.27988147920999</v>
      </c>
      <c r="O5296">
        <v>64.851635110512603</v>
      </c>
      <c r="P5296">
        <v>0.15651001136443701</v>
      </c>
      <c r="Q5296">
        <v>1.1755436752691</v>
      </c>
      <c r="R5296">
        <v>0.288390610922796</v>
      </c>
      <c r="S5296" t="s">
        <v>11607</v>
      </c>
      <c r="T5296" t="s">
        <v>12620</v>
      </c>
      <c r="U5296" t="s">
        <v>12620</v>
      </c>
      <c r="V5296" t="s">
        <v>12620</v>
      </c>
      <c r="W5296" t="s">
        <v>17859</v>
      </c>
      <c r="X5296">
        <v>2</v>
      </c>
      <c r="Y5296" t="s">
        <v>23959</v>
      </c>
      <c r="Z5296" t="s">
        <v>30243</v>
      </c>
      <c r="AA5296">
        <v>1.030073708057182</v>
      </c>
      <c r="AB5296" t="str">
        <f>HYPERLINK("Melting_Curves/meltCurve_Q9H3N1_TMX1.pdf", "Melting_Curves/meltCurve_Q9H3N1_TMX1.pdf")</f>
        <v>Melting_Curves/meltCurve_Q9H3N1_TMX1.pdf</v>
      </c>
    </row>
    <row r="5297" spans="1:28" x14ac:dyDescent="0.25">
      <c r="A5297" t="s">
        <v>5301</v>
      </c>
      <c r="B5297">
        <v>0.99987803227770999</v>
      </c>
      <c r="C5297">
        <v>0.85433403175232003</v>
      </c>
      <c r="D5297">
        <v>0.87927193633516099</v>
      </c>
      <c r="E5297">
        <v>0.67358677553908097</v>
      </c>
      <c r="F5297">
        <v>0.78518979397336797</v>
      </c>
      <c r="G5297">
        <v>0.61209964708637599</v>
      </c>
      <c r="H5297">
        <v>0.609453782289885</v>
      </c>
      <c r="I5297">
        <v>0.57256298687899698</v>
      </c>
      <c r="J5297">
        <v>0.55364735234830198</v>
      </c>
      <c r="K5297">
        <v>0.46681285941930001</v>
      </c>
      <c r="L5297">
        <v>339.42214630077001</v>
      </c>
      <c r="M5297">
        <v>6.3030275590776004</v>
      </c>
      <c r="O5297">
        <v>49.192636616524702</v>
      </c>
      <c r="P5297">
        <v>-1.9517012783921799E-2</v>
      </c>
      <c r="Q5297">
        <v>0.39235894240514901</v>
      </c>
      <c r="R5297">
        <v>0.90341142703496702</v>
      </c>
      <c r="S5297" t="s">
        <v>11608</v>
      </c>
      <c r="T5297" t="s">
        <v>12620</v>
      </c>
      <c r="U5297" t="s">
        <v>12620</v>
      </c>
      <c r="V5297" t="s">
        <v>12620</v>
      </c>
      <c r="W5297" t="s">
        <v>17860</v>
      </c>
      <c r="X5297">
        <v>7</v>
      </c>
      <c r="Y5297" t="s">
        <v>23960</v>
      </c>
      <c r="Z5297" t="s">
        <v>30244</v>
      </c>
      <c r="AA5297">
        <v>0.69610060975804466</v>
      </c>
      <c r="AB5297" t="str">
        <f>HYPERLINK("Melting_Curves/meltCurve_Q9H3P2_NELFA.pdf", "Melting_Curves/meltCurve_Q9H3P2_NELFA.pdf")</f>
        <v>Melting_Curves/meltCurve_Q9H3P2_NELFA.pdf</v>
      </c>
    </row>
    <row r="5298" spans="1:28" x14ac:dyDescent="0.25">
      <c r="A5298" t="s">
        <v>5302</v>
      </c>
      <c r="B5298">
        <v>0.99987803227770999</v>
      </c>
      <c r="C5298">
        <v>0.90705833929874602</v>
      </c>
      <c r="D5298">
        <v>0.91610973146993102</v>
      </c>
      <c r="E5298">
        <v>0.66528061052549803</v>
      </c>
      <c r="F5298">
        <v>0.34732292925599201</v>
      </c>
      <c r="G5298">
        <v>0.23963744824788699</v>
      </c>
      <c r="H5298">
        <v>0.16793320078485799</v>
      </c>
      <c r="I5298">
        <v>0.15083076381448399</v>
      </c>
      <c r="J5298">
        <v>0.122634750487244</v>
      </c>
      <c r="K5298">
        <v>7.9590228524179699E-2</v>
      </c>
      <c r="L5298">
        <v>980.07087141102204</v>
      </c>
      <c r="M5298">
        <v>19.2484263297914</v>
      </c>
      <c r="N5298">
        <v>51.610252062096897</v>
      </c>
      <c r="O5298">
        <v>50.3769219844608</v>
      </c>
      <c r="P5298">
        <v>-8.4642897686060495E-2</v>
      </c>
      <c r="Q5298">
        <v>0.113925104278966</v>
      </c>
      <c r="R5298">
        <v>0.99081832037353001</v>
      </c>
      <c r="S5298" t="s">
        <v>11609</v>
      </c>
      <c r="T5298" t="s">
        <v>12620</v>
      </c>
      <c r="U5298" t="s">
        <v>12620</v>
      </c>
      <c r="V5298" t="s">
        <v>12620</v>
      </c>
      <c r="W5298" t="s">
        <v>17861</v>
      </c>
      <c r="X5298">
        <v>12</v>
      </c>
      <c r="Y5298" t="s">
        <v>23961</v>
      </c>
      <c r="Z5298" t="s">
        <v>30245</v>
      </c>
      <c r="AA5298">
        <v>0.44958055582705042</v>
      </c>
      <c r="AB5298" t="str">
        <f>HYPERLINK("Melting_Curves/meltCurve_Q9H3P7_ACBD3.pdf", "Melting_Curves/meltCurve_Q9H3P7_ACBD3.pdf")</f>
        <v>Melting_Curves/meltCurve_Q9H3P7_ACBD3.pdf</v>
      </c>
    </row>
    <row r="5299" spans="1:28" x14ac:dyDescent="0.25">
      <c r="A5299" t="s">
        <v>5303</v>
      </c>
      <c r="B5299">
        <v>0.99987803227770999</v>
      </c>
      <c r="C5299">
        <v>0.889576323039311</v>
      </c>
      <c r="D5299">
        <v>1.07815548531043</v>
      </c>
      <c r="E5299">
        <v>0.92506441148227303</v>
      </c>
      <c r="F5299">
        <v>1.0801667853310699</v>
      </c>
      <c r="G5299">
        <v>0.94707407295013801</v>
      </c>
      <c r="H5299">
        <v>0.911445939518573</v>
      </c>
      <c r="I5299">
        <v>0.91875984271841604</v>
      </c>
      <c r="J5299">
        <v>0.69349321422361998</v>
      </c>
      <c r="K5299">
        <v>0.64116746243779899</v>
      </c>
      <c r="L5299">
        <v>1629.0000823257501</v>
      </c>
      <c r="M5299">
        <v>24.5668056732313</v>
      </c>
      <c r="O5299">
        <v>65.874308300993206</v>
      </c>
      <c r="P5299">
        <v>-4.418746097647E-2</v>
      </c>
      <c r="Q5299">
        <v>0.526063500932615</v>
      </c>
      <c r="R5299">
        <v>0.79114240474841502</v>
      </c>
      <c r="S5299" t="s">
        <v>11610</v>
      </c>
      <c r="T5299" t="s">
        <v>12620</v>
      </c>
      <c r="U5299" t="s">
        <v>12620</v>
      </c>
      <c r="V5299" t="s">
        <v>12620</v>
      </c>
      <c r="W5299" t="s">
        <v>17862</v>
      </c>
      <c r="X5299">
        <v>15</v>
      </c>
      <c r="Y5299" t="s">
        <v>23962</v>
      </c>
      <c r="Z5299" t="s">
        <v>30246</v>
      </c>
      <c r="AA5299">
        <v>0.93481756380194059</v>
      </c>
      <c r="AB5299" t="str">
        <f>HYPERLINK("Melting_Curves/meltCurve_Q9H3Q1_CDC42EP4.pdf", "Melting_Curves/meltCurve_Q9H3Q1_CDC42EP4.pdf")</f>
        <v>Melting_Curves/meltCurve_Q9H3Q1_CDC42EP4.pdf</v>
      </c>
    </row>
    <row r="5300" spans="1:28" x14ac:dyDescent="0.25">
      <c r="A5300" t="s">
        <v>5304</v>
      </c>
      <c r="B5300">
        <v>0.99987803227770999</v>
      </c>
      <c r="C5300">
        <v>1.06024668692333</v>
      </c>
      <c r="D5300">
        <v>1.02373389920028</v>
      </c>
      <c r="E5300">
        <v>0.96327914992307595</v>
      </c>
      <c r="F5300">
        <v>0.34993957339713699</v>
      </c>
      <c r="G5300">
        <v>0.18753885689534899</v>
      </c>
      <c r="H5300">
        <v>0.11728664279196201</v>
      </c>
      <c r="I5300">
        <v>0.105600124104871</v>
      </c>
      <c r="J5300">
        <v>7.3027651689532E-2</v>
      </c>
      <c r="K5300">
        <v>5.3890217279058898E-2</v>
      </c>
      <c r="L5300">
        <v>3464.5521443319299</v>
      </c>
      <c r="M5300">
        <v>66.332087164161194</v>
      </c>
      <c r="N5300">
        <v>52.419320845080101</v>
      </c>
      <c r="O5300">
        <v>52.182999808193102</v>
      </c>
      <c r="P5300">
        <v>-0.28400332310524501</v>
      </c>
      <c r="Q5300">
        <v>0.106306353391545</v>
      </c>
      <c r="R5300">
        <v>0.99230159185433997</v>
      </c>
      <c r="S5300" t="s">
        <v>11611</v>
      </c>
      <c r="T5300" t="s">
        <v>12620</v>
      </c>
      <c r="U5300" t="s">
        <v>12620</v>
      </c>
      <c r="V5300" t="s">
        <v>12620</v>
      </c>
      <c r="W5300" t="s">
        <v>17863</v>
      </c>
      <c r="X5300">
        <v>28</v>
      </c>
      <c r="Y5300" t="s">
        <v>23963</v>
      </c>
      <c r="Z5300" t="s">
        <v>30247</v>
      </c>
      <c r="AA5300">
        <v>0.47181475185750149</v>
      </c>
      <c r="AB5300" t="str">
        <f>HYPERLINK("Melting_Curves/meltCurve_Q9H3S7_PTPN23.pdf", "Melting_Curves/meltCurve_Q9H3S7_PTPN23.pdf")</f>
        <v>Melting_Curves/meltCurve_Q9H3S7_PTPN23.pdf</v>
      </c>
    </row>
    <row r="5301" spans="1:28" x14ac:dyDescent="0.25">
      <c r="A5301" t="s">
        <v>5305</v>
      </c>
      <c r="B5301">
        <v>0.99987803227770999</v>
      </c>
      <c r="C5301">
        <v>1.0673844784393101</v>
      </c>
      <c r="D5301">
        <v>0.72650928771905798</v>
      </c>
      <c r="E5301">
        <v>0.37582307616348098</v>
      </c>
      <c r="F5301">
        <v>0.171657295438853</v>
      </c>
      <c r="G5301">
        <v>0.110866944428393</v>
      </c>
      <c r="H5301">
        <v>8.0636429228073195E-2</v>
      </c>
      <c r="I5301">
        <v>7.4062041671418305E-2</v>
      </c>
      <c r="J5301">
        <v>5.8823027289052802E-2</v>
      </c>
      <c r="K5301">
        <v>4.3516796014480101E-2</v>
      </c>
      <c r="L5301">
        <v>1129.5490475905001</v>
      </c>
      <c r="M5301">
        <v>23.378898282372901</v>
      </c>
      <c r="N5301">
        <v>48.613361958341301</v>
      </c>
      <c r="O5301">
        <v>47.9655755562735</v>
      </c>
      <c r="P5301">
        <v>-0.11370800252237601</v>
      </c>
      <c r="Q5301">
        <v>6.6855444164110406E-2</v>
      </c>
      <c r="R5301">
        <v>0.98845621074815804</v>
      </c>
      <c r="S5301" t="s">
        <v>11612</v>
      </c>
      <c r="T5301" t="s">
        <v>12620</v>
      </c>
      <c r="U5301" t="s">
        <v>12620</v>
      </c>
      <c r="V5301" t="s">
        <v>12620</v>
      </c>
      <c r="W5301" t="s">
        <v>17864</v>
      </c>
      <c r="X5301">
        <v>43</v>
      </c>
      <c r="Y5301" t="s">
        <v>23964</v>
      </c>
      <c r="Z5301" t="s">
        <v>30248</v>
      </c>
      <c r="AA5301">
        <v>0.33498461260073309</v>
      </c>
      <c r="AB5301" t="str">
        <f>HYPERLINK("Melting_Curves/meltCurve_Q9H3U1_UNC45A.pdf", "Melting_Curves/meltCurve_Q9H3U1_UNC45A.pdf")</f>
        <v>Melting_Curves/meltCurve_Q9H3U1_UNC45A.pdf</v>
      </c>
    </row>
    <row r="5302" spans="1:28" x14ac:dyDescent="0.25">
      <c r="A5302" t="s">
        <v>5306</v>
      </c>
      <c r="B5302">
        <v>0.99987803227770999</v>
      </c>
      <c r="C5302">
        <v>1.6854886540737299</v>
      </c>
      <c r="D5302">
        <v>1.8999443592632801</v>
      </c>
      <c r="E5302">
        <v>1.5055274269227501</v>
      </c>
      <c r="F5302">
        <v>0.80933795435298495</v>
      </c>
      <c r="G5302">
        <v>0.65027790098853899</v>
      </c>
      <c r="H5302">
        <v>0.90555550457529399</v>
      </c>
      <c r="I5302">
        <v>0.90583293327745296</v>
      </c>
      <c r="J5302">
        <v>1.8040434127537801</v>
      </c>
      <c r="K5302">
        <v>1.6405022801384801</v>
      </c>
      <c r="L5302">
        <v>15000</v>
      </c>
      <c r="M5302">
        <v>229.69871634426701</v>
      </c>
      <c r="O5302">
        <v>65.297984013126296</v>
      </c>
      <c r="P5302">
        <v>0.439712501575445</v>
      </c>
      <c r="Q5302">
        <v>1.5</v>
      </c>
      <c r="R5302">
        <v>7.8331474395571504E-2</v>
      </c>
      <c r="S5302" t="s">
        <v>11613</v>
      </c>
      <c r="T5302" t="s">
        <v>12620</v>
      </c>
      <c r="U5302" t="s">
        <v>12620</v>
      </c>
      <c r="V5302" t="s">
        <v>12620</v>
      </c>
      <c r="W5302" t="s">
        <v>17865</v>
      </c>
      <c r="X5302">
        <v>1</v>
      </c>
      <c r="Y5302" t="s">
        <v>23965</v>
      </c>
      <c r="Z5302" t="s">
        <v>30249</v>
      </c>
      <c r="AA5302">
        <v>1.0782165603624221</v>
      </c>
      <c r="AB5302" t="str">
        <f>HYPERLINK("Melting_Curves/meltCurve_Q9H3Y8_PPDPF.pdf", "Melting_Curves/meltCurve_Q9H3Y8_PPDPF.pdf")</f>
        <v>Melting_Curves/meltCurve_Q9H3Y8_PPDPF.pdf</v>
      </c>
    </row>
    <row r="5303" spans="1:28" x14ac:dyDescent="0.25">
      <c r="A5303" t="s">
        <v>5307</v>
      </c>
      <c r="B5303">
        <v>0.99987803227770999</v>
      </c>
      <c r="C5303">
        <v>1.0700763824811199</v>
      </c>
      <c r="D5303">
        <v>0.89567704963531902</v>
      </c>
      <c r="E5303">
        <v>0.55697786096617696</v>
      </c>
      <c r="F5303">
        <v>0.35709060746236598</v>
      </c>
      <c r="G5303">
        <v>0.25404345343309798</v>
      </c>
      <c r="H5303">
        <v>0.218043388327224</v>
      </c>
      <c r="I5303">
        <v>0.20712431091872699</v>
      </c>
      <c r="J5303">
        <v>0.15010857470788899</v>
      </c>
      <c r="K5303">
        <v>0.11438924053192</v>
      </c>
      <c r="L5303">
        <v>1121.6718047627801</v>
      </c>
      <c r="M5303">
        <v>22.463786273718799</v>
      </c>
      <c r="N5303">
        <v>50.895252031029003</v>
      </c>
      <c r="O5303">
        <v>49.541819902171703</v>
      </c>
      <c r="P5303">
        <v>-9.3737357056417295E-2</v>
      </c>
      <c r="Q5303">
        <v>0.173100824527186</v>
      </c>
      <c r="R5303">
        <v>0.98728887858798697</v>
      </c>
      <c r="S5303" t="s">
        <v>11614</v>
      </c>
      <c r="T5303" t="s">
        <v>12620</v>
      </c>
      <c r="U5303" t="s">
        <v>12620</v>
      </c>
      <c r="V5303" t="s">
        <v>12620</v>
      </c>
      <c r="W5303" t="s">
        <v>17866</v>
      </c>
      <c r="X5303">
        <v>7</v>
      </c>
      <c r="Y5303" t="s">
        <v>23966</v>
      </c>
      <c r="Z5303" t="s">
        <v>30250</v>
      </c>
      <c r="AA5303">
        <v>0.45602414522243417</v>
      </c>
      <c r="AB5303" t="str">
        <f>HYPERLINK("Melting_Curves/meltCurve_Q9H410_DSN1.pdf", "Melting_Curves/meltCurve_Q9H410_DSN1.pdf")</f>
        <v>Melting_Curves/meltCurve_Q9H410_DSN1.pdf</v>
      </c>
    </row>
    <row r="5304" spans="1:28" x14ac:dyDescent="0.25">
      <c r="A5304" t="s">
        <v>5308</v>
      </c>
      <c r="B5304">
        <v>0.99987803227770999</v>
      </c>
      <c r="C5304">
        <v>0.87097566505641999</v>
      </c>
      <c r="D5304">
        <v>1.033427713604</v>
      </c>
      <c r="E5304">
        <v>0.87358877068396701</v>
      </c>
      <c r="F5304">
        <v>0.99608974533593497</v>
      </c>
      <c r="G5304">
        <v>0.81327144920809102</v>
      </c>
      <c r="H5304">
        <v>0.86253981978657301</v>
      </c>
      <c r="I5304">
        <v>0.84691182627773698</v>
      </c>
      <c r="J5304">
        <v>0.75650799249909295</v>
      </c>
      <c r="K5304">
        <v>0.67336359463678597</v>
      </c>
      <c r="L5304">
        <v>332.65359724539098</v>
      </c>
      <c r="M5304">
        <v>3.8440156723472398</v>
      </c>
      <c r="Q5304">
        <v>0</v>
      </c>
      <c r="R5304">
        <v>0.67960642471160204</v>
      </c>
      <c r="S5304" t="s">
        <v>11615</v>
      </c>
      <c r="T5304" t="s">
        <v>12620</v>
      </c>
      <c r="U5304" t="s">
        <v>12620</v>
      </c>
      <c r="V5304" t="s">
        <v>12620</v>
      </c>
      <c r="W5304" t="s">
        <v>17867</v>
      </c>
      <c r="X5304">
        <v>8</v>
      </c>
      <c r="Y5304" t="s">
        <v>23967</v>
      </c>
      <c r="Z5304" t="s">
        <v>30251</v>
      </c>
      <c r="AA5304">
        <v>0.88304513211748137</v>
      </c>
      <c r="AB5304" t="str">
        <f>HYPERLINK("Melting_Curves/meltCurve_Q9H425_C1orf198.pdf", "Melting_Curves/meltCurve_Q9H425_C1orf198.pdf")</f>
        <v>Melting_Curves/meltCurve_Q9H425_C1orf198.pdf</v>
      </c>
    </row>
    <row r="5305" spans="1:28" x14ac:dyDescent="0.25">
      <c r="A5305" t="s">
        <v>5309</v>
      </c>
      <c r="B5305">
        <v>0.99987803227770999</v>
      </c>
      <c r="C5305">
        <v>0.933809359574441</v>
      </c>
      <c r="D5305">
        <v>1.1055846255100401</v>
      </c>
      <c r="E5305">
        <v>0.92201050388304795</v>
      </c>
      <c r="F5305">
        <v>1.07696034231093</v>
      </c>
      <c r="G5305">
        <v>0.76609968591275202</v>
      </c>
      <c r="H5305">
        <v>0.92135440939593305</v>
      </c>
      <c r="I5305">
        <v>0.94553836991837603</v>
      </c>
      <c r="J5305">
        <v>1.0453923265348</v>
      </c>
      <c r="K5305">
        <v>0.89339343237357105</v>
      </c>
      <c r="L5305">
        <v>3085.6713736066699</v>
      </c>
      <c r="M5305">
        <v>56.538264184267199</v>
      </c>
      <c r="O5305">
        <v>54.508539175141202</v>
      </c>
      <c r="P5305">
        <v>-2.1163052380922798E-2</v>
      </c>
      <c r="Q5305">
        <v>0.91838684932099701</v>
      </c>
      <c r="R5305">
        <v>0.192146438598429</v>
      </c>
      <c r="S5305" t="s">
        <v>11616</v>
      </c>
      <c r="T5305" t="s">
        <v>12620</v>
      </c>
      <c r="U5305" t="s">
        <v>12620</v>
      </c>
      <c r="V5305" t="s">
        <v>12620</v>
      </c>
      <c r="W5305" t="s">
        <v>17868</v>
      </c>
      <c r="X5305">
        <v>12</v>
      </c>
      <c r="Y5305" t="s">
        <v>23968</v>
      </c>
      <c r="Z5305" t="s">
        <v>30252</v>
      </c>
      <c r="AA5305">
        <v>0.9581952937912589</v>
      </c>
      <c r="AB5305" t="str">
        <f>HYPERLINK("Melting_Curves/meltCurve_Q9H444_CHMP4B.pdf", "Melting_Curves/meltCurve_Q9H444_CHMP4B.pdf")</f>
        <v>Melting_Curves/meltCurve_Q9H444_CHMP4B.pdf</v>
      </c>
    </row>
    <row r="5306" spans="1:28" x14ac:dyDescent="0.25">
      <c r="A5306" t="s">
        <v>5310</v>
      </c>
      <c r="B5306">
        <v>0.99987803227770999</v>
      </c>
      <c r="C5306">
        <v>1.1958147290468</v>
      </c>
      <c r="D5306">
        <v>1.4705927956267799</v>
      </c>
      <c r="E5306">
        <v>0.92751790207492302</v>
      </c>
      <c r="F5306">
        <v>1.0290645649790899</v>
      </c>
      <c r="G5306">
        <v>0.94944567701414995</v>
      </c>
      <c r="H5306">
        <v>0.98801940293026103</v>
      </c>
      <c r="I5306">
        <v>0.91441490362466404</v>
      </c>
      <c r="J5306">
        <v>1.02846531798142</v>
      </c>
      <c r="K5306">
        <v>0.61110936274393202</v>
      </c>
      <c r="L5306">
        <v>15000</v>
      </c>
      <c r="M5306">
        <v>213.83371465581999</v>
      </c>
      <c r="Q5306">
        <v>0</v>
      </c>
      <c r="R5306">
        <v>0.35139346387416798</v>
      </c>
      <c r="S5306" t="s">
        <v>11617</v>
      </c>
      <c r="T5306" t="s">
        <v>12620</v>
      </c>
      <c r="U5306" t="s">
        <v>12620</v>
      </c>
      <c r="V5306" t="s">
        <v>12620</v>
      </c>
      <c r="W5306" t="s">
        <v>17869</v>
      </c>
      <c r="X5306">
        <v>1</v>
      </c>
      <c r="Y5306" t="s">
        <v>23969</v>
      </c>
      <c r="Z5306" t="s">
        <v>30253</v>
      </c>
      <c r="AA5306">
        <v>0.99469325941109188</v>
      </c>
      <c r="AB5306" t="str">
        <f>HYPERLINK("Melting_Curves/meltCurve_Q9H461_FZD8.pdf", "Melting_Curves/meltCurve_Q9H461_FZD8.pdf")</f>
        <v>Melting_Curves/meltCurve_Q9H461_FZD8.pdf</v>
      </c>
    </row>
    <row r="5307" spans="1:28" x14ac:dyDescent="0.25">
      <c r="A5307" t="s">
        <v>5311</v>
      </c>
      <c r="B5307">
        <v>0.99987803227770999</v>
      </c>
      <c r="C5307">
        <v>0.880393165037755</v>
      </c>
      <c r="D5307">
        <v>0.95060738696795299</v>
      </c>
      <c r="E5307">
        <v>0.83835460473776202</v>
      </c>
      <c r="F5307">
        <v>0.97370228991274599</v>
      </c>
      <c r="G5307">
        <v>0.80000919476146404</v>
      </c>
      <c r="H5307">
        <v>0.87381721862078698</v>
      </c>
      <c r="I5307">
        <v>0.62792094956501399</v>
      </c>
      <c r="J5307">
        <v>0.74851216145800603</v>
      </c>
      <c r="K5307">
        <v>0.563898251646761</v>
      </c>
      <c r="L5307">
        <v>331.19463858508499</v>
      </c>
      <c r="M5307">
        <v>4.2281948611760001</v>
      </c>
      <c r="O5307">
        <v>65.407398500339397</v>
      </c>
      <c r="P5307">
        <v>-1.6334574917818302E-2</v>
      </c>
      <c r="Q5307">
        <v>0</v>
      </c>
      <c r="R5307">
        <v>0.71926563073777905</v>
      </c>
      <c r="S5307" t="s">
        <v>11618</v>
      </c>
      <c r="T5307" t="s">
        <v>12620</v>
      </c>
      <c r="U5307" t="s">
        <v>12620</v>
      </c>
      <c r="V5307" t="s">
        <v>12620</v>
      </c>
      <c r="W5307" t="s">
        <v>17870</v>
      </c>
      <c r="X5307">
        <v>9</v>
      </c>
      <c r="Y5307" t="s">
        <v>23970</v>
      </c>
      <c r="Z5307" t="s">
        <v>30254</v>
      </c>
      <c r="AA5307">
        <v>0.83814154117668471</v>
      </c>
      <c r="AB5307" t="str">
        <f>HYPERLINK("Melting_Curves/meltCurve_Q9H467_CUEDC2.pdf", "Melting_Curves/meltCurve_Q9H467_CUEDC2.pdf")</f>
        <v>Melting_Curves/meltCurve_Q9H467_CUEDC2.pdf</v>
      </c>
    </row>
    <row r="5308" spans="1:28" x14ac:dyDescent="0.25">
      <c r="A5308" t="s">
        <v>5312</v>
      </c>
      <c r="B5308">
        <v>0.99987803227770999</v>
      </c>
      <c r="C5308">
        <v>0.90026410132774104</v>
      </c>
      <c r="D5308">
        <v>0.97503934647346602</v>
      </c>
      <c r="E5308">
        <v>0.90363324668010903</v>
      </c>
      <c r="F5308">
        <v>1.0053556406195301</v>
      </c>
      <c r="G5308">
        <v>0.77127386887303295</v>
      </c>
      <c r="H5308">
        <v>0.41384980667724303</v>
      </c>
      <c r="I5308">
        <v>0.22562380658863401</v>
      </c>
      <c r="J5308">
        <v>0.13192037027187101</v>
      </c>
      <c r="K5308">
        <v>9.4180540612693306E-2</v>
      </c>
      <c r="L5308">
        <v>1468.3375747400901</v>
      </c>
      <c r="M5308">
        <v>24.603678908601498</v>
      </c>
      <c r="N5308">
        <v>60.063484805316399</v>
      </c>
      <c r="O5308">
        <v>59.289507684026702</v>
      </c>
      <c r="P5308">
        <v>-9.6197197723425401E-2</v>
      </c>
      <c r="Q5308">
        <v>7.2755762958983505E-2</v>
      </c>
      <c r="R5308">
        <v>0.98433793468317399</v>
      </c>
      <c r="S5308" t="s">
        <v>11619</v>
      </c>
      <c r="T5308" t="s">
        <v>12620</v>
      </c>
      <c r="U5308" t="s">
        <v>12620</v>
      </c>
      <c r="V5308" t="s">
        <v>12620</v>
      </c>
      <c r="W5308" t="s">
        <v>17871</v>
      </c>
      <c r="X5308">
        <v>8</v>
      </c>
      <c r="Y5308" t="s">
        <v>23971</v>
      </c>
      <c r="Z5308" t="s">
        <v>30255</v>
      </c>
      <c r="AA5308">
        <v>0.68826961863932312</v>
      </c>
      <c r="AB5308" t="str">
        <f>HYPERLINK("Melting_Curves/meltCurve_Q9H479_FN3K.pdf", "Melting_Curves/meltCurve_Q9H479_FN3K.pdf")</f>
        <v>Melting_Curves/meltCurve_Q9H479_FN3K.pdf</v>
      </c>
    </row>
    <row r="5309" spans="1:28" x14ac:dyDescent="0.25">
      <c r="A5309" t="s">
        <v>5313</v>
      </c>
      <c r="B5309">
        <v>0.99987803227770999</v>
      </c>
      <c r="C5309">
        <v>0.91695476661387998</v>
      </c>
      <c r="D5309">
        <v>1.04942422882327</v>
      </c>
      <c r="E5309">
        <v>0.92467587269229701</v>
      </c>
      <c r="F5309">
        <v>0.91263783820875999</v>
      </c>
      <c r="G5309">
        <v>0.43607264606237001</v>
      </c>
      <c r="H5309">
        <v>0.111623826530408</v>
      </c>
      <c r="I5309">
        <v>8.7997039476206407E-2</v>
      </c>
      <c r="J5309">
        <v>5.8620454304274899E-2</v>
      </c>
      <c r="K5309">
        <v>4.2436618163307398E-2</v>
      </c>
      <c r="L5309">
        <v>1883.2421482344701</v>
      </c>
      <c r="M5309">
        <v>33.419294734440697</v>
      </c>
      <c r="N5309">
        <v>56.538721781798799</v>
      </c>
      <c r="O5309">
        <v>56.151313818140999</v>
      </c>
      <c r="P5309">
        <v>-0.141015430504279</v>
      </c>
      <c r="Q5309">
        <v>5.2263892288330997E-2</v>
      </c>
      <c r="R5309">
        <v>0.992112888499604</v>
      </c>
      <c r="S5309" t="s">
        <v>11620</v>
      </c>
      <c r="T5309" t="s">
        <v>12620</v>
      </c>
      <c r="U5309" t="s">
        <v>12620</v>
      </c>
      <c r="V5309" t="s">
        <v>12620</v>
      </c>
      <c r="W5309" t="s">
        <v>17872</v>
      </c>
      <c r="X5309">
        <v>9</v>
      </c>
      <c r="Y5309" t="s">
        <v>23972</v>
      </c>
      <c r="Z5309" t="s">
        <v>30256</v>
      </c>
      <c r="AA5309">
        <v>0.57402040756292838</v>
      </c>
      <c r="AB5309" t="str">
        <f>HYPERLINK("Melting_Curves/meltCurve_Q9H488_POFUT1.pdf", "Melting_Curves/meltCurve_Q9H488_POFUT1.pdf")</f>
        <v>Melting_Curves/meltCurve_Q9H488_POFUT1.pdf</v>
      </c>
    </row>
    <row r="5310" spans="1:28" x14ac:dyDescent="0.25">
      <c r="A5310" t="s">
        <v>5314</v>
      </c>
      <c r="B5310">
        <v>0.99987803227770999</v>
      </c>
      <c r="C5310">
        <v>1.2285013894608401</v>
      </c>
      <c r="D5310">
        <v>1.01620392232074</v>
      </c>
      <c r="E5310">
        <v>1.15686135547142</v>
      </c>
      <c r="F5310">
        <v>0.59209888593078797</v>
      </c>
      <c r="G5310">
        <v>0.30437451706727697</v>
      </c>
      <c r="H5310">
        <v>9.3126335136139798E-2</v>
      </c>
      <c r="I5310">
        <v>6.13478771683445E-2</v>
      </c>
      <c r="J5310">
        <v>5.21770014214782E-2</v>
      </c>
      <c r="K5310">
        <v>3.5951506558059003E-2</v>
      </c>
      <c r="L5310">
        <v>1727.20303548263</v>
      </c>
      <c r="M5310">
        <v>31.827139397167301</v>
      </c>
      <c r="N5310">
        <v>54.4925692699968</v>
      </c>
      <c r="O5310">
        <v>54.055353796286902</v>
      </c>
      <c r="P5310">
        <v>-0.13815984843708801</v>
      </c>
      <c r="Q5310">
        <v>6.1399688908927698E-2</v>
      </c>
      <c r="R5310">
        <v>0.94828490325153703</v>
      </c>
      <c r="S5310" t="s">
        <v>11621</v>
      </c>
      <c r="T5310" t="s">
        <v>12620</v>
      </c>
      <c r="U5310" t="s">
        <v>12620</v>
      </c>
      <c r="V5310" t="s">
        <v>12620</v>
      </c>
      <c r="W5310" t="s">
        <v>17873</v>
      </c>
      <c r="X5310">
        <v>4</v>
      </c>
      <c r="Y5310" t="s">
        <v>23973</v>
      </c>
      <c r="Z5310" t="s">
        <v>30257</v>
      </c>
      <c r="AA5310">
        <v>0.51332208239518973</v>
      </c>
      <c r="AB5310" t="str">
        <f>HYPERLINK("Melting_Curves/meltCurve_Q9H492_MAP1LC3A.pdf", "Melting_Curves/meltCurve_Q9H492_MAP1LC3A.pdf")</f>
        <v>Melting_Curves/meltCurve_Q9H492_MAP1LC3A.pdf</v>
      </c>
    </row>
    <row r="5311" spans="1:28" x14ac:dyDescent="0.25">
      <c r="A5311" t="s">
        <v>5315</v>
      </c>
      <c r="B5311">
        <v>0.99987803227770999</v>
      </c>
      <c r="C5311">
        <v>1.0807732129704199</v>
      </c>
      <c r="D5311">
        <v>0.77698544092741595</v>
      </c>
      <c r="E5311">
        <v>0.48176790187658403</v>
      </c>
      <c r="F5311">
        <v>0.246111299815268</v>
      </c>
      <c r="G5311">
        <v>0.14342005671296401</v>
      </c>
      <c r="H5311">
        <v>9.3523283565417101E-2</v>
      </c>
      <c r="I5311">
        <v>8.3146947523147802E-2</v>
      </c>
      <c r="J5311">
        <v>6.1506666305177399E-2</v>
      </c>
      <c r="K5311">
        <v>2.7464919789480801E-2</v>
      </c>
      <c r="L5311">
        <v>1007.81365540468</v>
      </c>
      <c r="M5311">
        <v>20.399984195948001</v>
      </c>
      <c r="N5311">
        <v>49.7270757340033</v>
      </c>
      <c r="O5311">
        <v>48.935293733394303</v>
      </c>
      <c r="P5311">
        <v>-9.7728810227105695E-2</v>
      </c>
      <c r="Q5311">
        <v>6.2304353030857899E-2</v>
      </c>
      <c r="R5311">
        <v>0.986777715241</v>
      </c>
      <c r="S5311" t="s">
        <v>11622</v>
      </c>
      <c r="T5311" t="s">
        <v>12620</v>
      </c>
      <c r="U5311" t="s">
        <v>12620</v>
      </c>
      <c r="V5311" t="s">
        <v>12620</v>
      </c>
      <c r="W5311" t="s">
        <v>17874</v>
      </c>
      <c r="X5311">
        <v>2</v>
      </c>
      <c r="Y5311" t="s">
        <v>23974</v>
      </c>
      <c r="Z5311" t="s">
        <v>30258</v>
      </c>
      <c r="AA5311">
        <v>0.36878349650722808</v>
      </c>
      <c r="AB5311" t="str">
        <f>HYPERLINK("Melting_Curves/meltCurve_Q9H496_IFRG15.pdf", "Melting_Curves/meltCurve_Q9H496_IFRG15.pdf")</f>
        <v>Melting_Curves/meltCurve_Q9H496_IFRG15.pdf</v>
      </c>
    </row>
    <row r="5312" spans="1:28" x14ac:dyDescent="0.25">
      <c r="A5312" t="s">
        <v>5316</v>
      </c>
      <c r="B5312">
        <v>0.99987803227770999</v>
      </c>
      <c r="C5312">
        <v>0.94028360700359903</v>
      </c>
      <c r="D5312">
        <v>0.800900110167452</v>
      </c>
      <c r="E5312">
        <v>0.73102679201655496</v>
      </c>
      <c r="F5312">
        <v>0.39766118315418703</v>
      </c>
      <c r="G5312">
        <v>0.23636199702337499</v>
      </c>
      <c r="H5312">
        <v>0.14000529026537201</v>
      </c>
      <c r="I5312">
        <v>0.11952007846441901</v>
      </c>
      <c r="J5312">
        <v>8.2872840619596794E-2</v>
      </c>
      <c r="K5312">
        <v>6.6495612247358601E-2</v>
      </c>
      <c r="L5312">
        <v>743.06598245281998</v>
      </c>
      <c r="M5312">
        <v>14.351175602456401</v>
      </c>
      <c r="N5312">
        <v>52.125442373538803</v>
      </c>
      <c r="O5312">
        <v>50.803142438598996</v>
      </c>
      <c r="P5312">
        <v>-6.7402709612902706E-2</v>
      </c>
      <c r="Q5312">
        <v>4.5692597363060798E-2</v>
      </c>
      <c r="R5312">
        <v>0.98829447673881998</v>
      </c>
      <c r="S5312" t="s">
        <v>11623</v>
      </c>
      <c r="T5312" t="s">
        <v>12620</v>
      </c>
      <c r="U5312" t="s">
        <v>12620</v>
      </c>
      <c r="V5312" t="s">
        <v>12620</v>
      </c>
      <c r="W5312" t="s">
        <v>17875</v>
      </c>
      <c r="X5312">
        <v>1</v>
      </c>
      <c r="Y5312" t="s">
        <v>23975</v>
      </c>
      <c r="Z5312" t="s">
        <v>30259</v>
      </c>
      <c r="AA5312">
        <v>0.44334116458264922</v>
      </c>
      <c r="AB5312" t="str">
        <f>HYPERLINK("Melting_Curves/meltCurve_Q9H497_2_TOR3A.pdf", "Melting_Curves/meltCurve_Q9H497_2_TOR3A.pdf")</f>
        <v>Melting_Curves/meltCurve_Q9H497_2_TOR3A.pdf</v>
      </c>
    </row>
    <row r="5313" spans="1:28" x14ac:dyDescent="0.25">
      <c r="A5313" t="s">
        <v>5317</v>
      </c>
      <c r="B5313">
        <v>0.99987803227770999</v>
      </c>
      <c r="C5313">
        <v>1.01683088880826</v>
      </c>
      <c r="D5313">
        <v>1.0197614787117899</v>
      </c>
      <c r="E5313">
        <v>0.87351201226029096</v>
      </c>
      <c r="F5313">
        <v>0.47009274639661403</v>
      </c>
      <c r="G5313">
        <v>0.209092056389583</v>
      </c>
      <c r="H5313">
        <v>0.14088594105858501</v>
      </c>
      <c r="I5313">
        <v>0.114706539015587</v>
      </c>
      <c r="J5313">
        <v>9.3635443112666195E-2</v>
      </c>
      <c r="K5313">
        <v>6.8911393532350498E-2</v>
      </c>
      <c r="L5313">
        <v>1684.83982171918</v>
      </c>
      <c r="M5313">
        <v>32.060719431989298</v>
      </c>
      <c r="N5313">
        <v>52.947173339677398</v>
      </c>
      <c r="O5313">
        <v>52.348350152583997</v>
      </c>
      <c r="P5313">
        <v>-0.13680323936758501</v>
      </c>
      <c r="Q5313">
        <v>0.106521977239992</v>
      </c>
      <c r="R5313">
        <v>0.99665607271616496</v>
      </c>
      <c r="S5313" t="s">
        <v>11624</v>
      </c>
      <c r="T5313" t="s">
        <v>12620</v>
      </c>
      <c r="U5313" t="s">
        <v>12620</v>
      </c>
      <c r="V5313" t="s">
        <v>12620</v>
      </c>
      <c r="W5313" t="s">
        <v>17876</v>
      </c>
      <c r="X5313">
        <v>26</v>
      </c>
      <c r="Y5313" t="s">
        <v>23976</v>
      </c>
      <c r="Z5313" t="s">
        <v>30260</v>
      </c>
      <c r="AA5313">
        <v>0.48538704550064332</v>
      </c>
      <c r="AB5313" t="str">
        <f>HYPERLINK("Melting_Curves/meltCurve_Q9H4A4_RNPEP.pdf", "Melting_Curves/meltCurve_Q9H4A4_RNPEP.pdf")</f>
        <v>Melting_Curves/meltCurve_Q9H4A4_RNPEP.pdf</v>
      </c>
    </row>
    <row r="5314" spans="1:28" x14ac:dyDescent="0.25">
      <c r="A5314" t="s">
        <v>5318</v>
      </c>
      <c r="B5314">
        <v>0.99987803227770999</v>
      </c>
      <c r="C5314">
        <v>0.83303515846764897</v>
      </c>
      <c r="D5314">
        <v>0.91977695806762105</v>
      </c>
      <c r="E5314">
        <v>0.40148814507997199</v>
      </c>
      <c r="F5314">
        <v>0.22546089801357</v>
      </c>
      <c r="G5314">
        <v>0.105696196909013</v>
      </c>
      <c r="H5314">
        <v>6.3721752619776903E-2</v>
      </c>
      <c r="I5314">
        <v>5.1790340535526197E-2</v>
      </c>
      <c r="J5314">
        <v>4.9703191533946603E-2</v>
      </c>
      <c r="K5314">
        <v>3.6341424770097802E-2</v>
      </c>
      <c r="L5314">
        <v>1129.15597705596</v>
      </c>
      <c r="M5314">
        <v>22.934440696928601</v>
      </c>
      <c r="N5314">
        <v>49.459989945891699</v>
      </c>
      <c r="O5314">
        <v>48.864326025988497</v>
      </c>
      <c r="P5314">
        <v>-0.111504495691347</v>
      </c>
      <c r="Q5314">
        <v>4.9727771440954499E-2</v>
      </c>
      <c r="R5314">
        <v>0.98085626399429604</v>
      </c>
      <c r="S5314" t="s">
        <v>11625</v>
      </c>
      <c r="T5314" t="s">
        <v>12620</v>
      </c>
      <c r="U5314" t="s">
        <v>12620</v>
      </c>
      <c r="V5314" t="s">
        <v>12620</v>
      </c>
      <c r="W5314" t="s">
        <v>17877</v>
      </c>
      <c r="X5314">
        <v>2</v>
      </c>
      <c r="Y5314" t="s">
        <v>23977</v>
      </c>
      <c r="Z5314" t="s">
        <v>30261</v>
      </c>
      <c r="AA5314">
        <v>0.35228574799513401</v>
      </c>
      <c r="AB5314" t="str">
        <f>HYPERLINK("Melting_Curves/meltCurve_Q9H4A5_GOLPH3L.pdf", "Melting_Curves/meltCurve_Q9H4A5_GOLPH3L.pdf")</f>
        <v>Melting_Curves/meltCurve_Q9H4A5_GOLPH3L.pdf</v>
      </c>
    </row>
    <row r="5315" spans="1:28" x14ac:dyDescent="0.25">
      <c r="A5315" t="s">
        <v>5319</v>
      </c>
      <c r="B5315">
        <v>0.99987803227770999</v>
      </c>
      <c r="C5315">
        <v>0.926199931395433</v>
      </c>
      <c r="D5315">
        <v>1.0229827733185399</v>
      </c>
      <c r="E5315">
        <v>0.81832081859495598</v>
      </c>
      <c r="F5315">
        <v>0.63677901073941001</v>
      </c>
      <c r="G5315">
        <v>0.26636218661025801</v>
      </c>
      <c r="H5315">
        <v>0.18379162428617299</v>
      </c>
      <c r="I5315">
        <v>0.154038703885055</v>
      </c>
      <c r="J5315">
        <v>0.147222057339534</v>
      </c>
      <c r="K5315">
        <v>0.10742161518910499</v>
      </c>
      <c r="L5315">
        <v>1227.3361969596899</v>
      </c>
      <c r="M5315">
        <v>22.954666166155601</v>
      </c>
      <c r="N5315">
        <v>54.142115746821297</v>
      </c>
      <c r="O5315">
        <v>53.066995188996898</v>
      </c>
      <c r="P5315">
        <v>-9.4697571185253807E-2</v>
      </c>
      <c r="Q5315">
        <v>0.12432249323891199</v>
      </c>
      <c r="R5315">
        <v>0.992262602923495</v>
      </c>
      <c r="S5315" t="s">
        <v>11626</v>
      </c>
      <c r="T5315" t="s">
        <v>12620</v>
      </c>
      <c r="U5315" t="s">
        <v>12620</v>
      </c>
      <c r="V5315" t="s">
        <v>12620</v>
      </c>
      <c r="W5315" t="s">
        <v>17878</v>
      </c>
      <c r="X5315">
        <v>6</v>
      </c>
      <c r="Y5315" t="s">
        <v>23978</v>
      </c>
      <c r="Z5315" t="s">
        <v>30262</v>
      </c>
      <c r="AA5315">
        <v>0.52688489529067795</v>
      </c>
      <c r="AB5315" t="str">
        <f>HYPERLINK("Melting_Curves/meltCurve_Q9H4A6_GOLPH3.pdf", "Melting_Curves/meltCurve_Q9H4A6_GOLPH3.pdf")</f>
        <v>Melting_Curves/meltCurve_Q9H4A6_GOLPH3.pdf</v>
      </c>
    </row>
    <row r="5316" spans="1:28" x14ac:dyDescent="0.25">
      <c r="A5316" t="s">
        <v>5320</v>
      </c>
      <c r="B5316">
        <v>0.99987803227770999</v>
      </c>
      <c r="C5316">
        <v>0.84664937190966205</v>
      </c>
      <c r="D5316">
        <v>0.79282294666752295</v>
      </c>
      <c r="E5316">
        <v>0.466949978236542</v>
      </c>
      <c r="F5316">
        <v>0.30541490940784399</v>
      </c>
      <c r="G5316">
        <v>0.208014989123777</v>
      </c>
      <c r="H5316">
        <v>0.16726577763307601</v>
      </c>
      <c r="I5316">
        <v>0.14095624322213399</v>
      </c>
      <c r="J5316">
        <v>9.3187430855470293E-2</v>
      </c>
      <c r="K5316">
        <v>7.7340088321570993E-2</v>
      </c>
      <c r="L5316">
        <v>711.42939729446903</v>
      </c>
      <c r="M5316">
        <v>14.5006944924514</v>
      </c>
      <c r="N5316">
        <v>49.747630554397901</v>
      </c>
      <c r="O5316">
        <v>48.1569884001795</v>
      </c>
      <c r="P5316">
        <v>-6.8465640342938297E-2</v>
      </c>
      <c r="Q5316">
        <v>9.0603896221700397E-2</v>
      </c>
      <c r="R5316">
        <v>0.992242167169753</v>
      </c>
      <c r="S5316" t="s">
        <v>11627</v>
      </c>
      <c r="T5316" t="s">
        <v>12620</v>
      </c>
      <c r="U5316" t="s">
        <v>12620</v>
      </c>
      <c r="V5316" t="s">
        <v>12620</v>
      </c>
      <c r="W5316" t="s">
        <v>17879</v>
      </c>
      <c r="X5316">
        <v>3</v>
      </c>
      <c r="Y5316" t="s">
        <v>23979</v>
      </c>
      <c r="Z5316" t="s">
        <v>30263</v>
      </c>
      <c r="AA5316">
        <v>0.38914370665663273</v>
      </c>
      <c r="AB5316" t="str">
        <f>HYPERLINK("Melting_Curves/meltCurve_Q9H4B0_OSGEPL1.pdf", "Melting_Curves/meltCurve_Q9H4B0_OSGEPL1.pdf")</f>
        <v>Melting_Curves/meltCurve_Q9H4B0_OSGEPL1.pdf</v>
      </c>
    </row>
    <row r="5317" spans="1:28" x14ac:dyDescent="0.25">
      <c r="A5317" t="s">
        <v>5321</v>
      </c>
      <c r="B5317">
        <v>0.99987803227770999</v>
      </c>
      <c r="C5317">
        <v>1.13950169979089</v>
      </c>
      <c r="D5317">
        <v>0.97767610516733205</v>
      </c>
      <c r="E5317">
        <v>0.95802749047709101</v>
      </c>
      <c r="F5317">
        <v>1.0370959606386201</v>
      </c>
      <c r="G5317">
        <v>1.10536573107728</v>
      </c>
      <c r="H5317">
        <v>0.90876284014555897</v>
      </c>
      <c r="I5317">
        <v>0.59183283327144998</v>
      </c>
      <c r="J5317">
        <v>0.21296915901385499</v>
      </c>
      <c r="K5317">
        <v>0.27536962285635302</v>
      </c>
      <c r="L5317">
        <v>3757.6040454068502</v>
      </c>
      <c r="M5317">
        <v>58.9312975901153</v>
      </c>
      <c r="N5317">
        <v>64.423194149703306</v>
      </c>
      <c r="O5317">
        <v>63.689153040539999</v>
      </c>
      <c r="P5317">
        <v>-0.17885900007747799</v>
      </c>
      <c r="Q5317">
        <v>0.226803167125842</v>
      </c>
      <c r="R5317">
        <v>0.95968493136595301</v>
      </c>
      <c r="S5317" t="s">
        <v>11628</v>
      </c>
      <c r="T5317" t="s">
        <v>12620</v>
      </c>
      <c r="U5317" t="s">
        <v>12620</v>
      </c>
      <c r="V5317" t="s">
        <v>12620</v>
      </c>
      <c r="W5317" t="s">
        <v>17880</v>
      </c>
      <c r="X5317">
        <v>1</v>
      </c>
      <c r="Y5317" t="s">
        <v>23980</v>
      </c>
      <c r="Z5317" t="s">
        <v>30264</v>
      </c>
      <c r="AA5317">
        <v>0.84061862972775969</v>
      </c>
      <c r="AB5317" t="str">
        <f>HYPERLINK("Melting_Curves/meltCurve_Q9H4B6_SAV1.pdf", "Melting_Curves/meltCurve_Q9H4B6_SAV1.pdf")</f>
        <v>Melting_Curves/meltCurve_Q9H4B6_SAV1.pdf</v>
      </c>
    </row>
    <row r="5318" spans="1:28" x14ac:dyDescent="0.25">
      <c r="A5318" t="s">
        <v>5322</v>
      </c>
      <c r="B5318">
        <v>0.99987803227770999</v>
      </c>
      <c r="C5318">
        <v>0.97893713277858696</v>
      </c>
      <c r="D5318">
        <v>1.1862675841460599</v>
      </c>
      <c r="E5318">
        <v>0.67451183606981802</v>
      </c>
      <c r="F5318">
        <v>0.57820268539193498</v>
      </c>
      <c r="G5318">
        <v>0.47318852044830101</v>
      </c>
      <c r="H5318">
        <v>0.440437325230153</v>
      </c>
      <c r="I5318">
        <v>0.42296457512386398</v>
      </c>
      <c r="J5318">
        <v>0.38503794281431702</v>
      </c>
      <c r="K5318">
        <v>0.30392337781479001</v>
      </c>
      <c r="L5318">
        <v>1616.2237428942401</v>
      </c>
      <c r="M5318">
        <v>31.986267293990899</v>
      </c>
      <c r="N5318">
        <v>53.323645051383302</v>
      </c>
      <c r="O5318">
        <v>50.332412178796702</v>
      </c>
      <c r="P5318">
        <v>-9.4294251781320698E-2</v>
      </c>
      <c r="Q5318">
        <v>0.40649121351418299</v>
      </c>
      <c r="R5318">
        <v>0.91703229476151304</v>
      </c>
      <c r="S5318" t="s">
        <v>11629</v>
      </c>
      <c r="T5318" t="s">
        <v>12620</v>
      </c>
      <c r="U5318" t="s">
        <v>12620</v>
      </c>
      <c r="V5318" t="s">
        <v>12620</v>
      </c>
      <c r="W5318" t="s">
        <v>17881</v>
      </c>
      <c r="X5318">
        <v>24</v>
      </c>
      <c r="Y5318" t="s">
        <v>19562</v>
      </c>
      <c r="Z5318" t="s">
        <v>30265</v>
      </c>
      <c r="AA5318">
        <v>0.61804088376257804</v>
      </c>
      <c r="AB5318" t="str">
        <f>HYPERLINK("Melting_Curves/meltCurve_Q9H4G0_EPB41L1.pdf", "Melting_Curves/meltCurve_Q9H4G0_EPB41L1.pdf")</f>
        <v>Melting_Curves/meltCurve_Q9H4G0_EPB41L1.pdf</v>
      </c>
    </row>
    <row r="5319" spans="1:28" x14ac:dyDescent="0.25">
      <c r="A5319" t="s">
        <v>5323</v>
      </c>
      <c r="B5319">
        <v>0.99987803227770999</v>
      </c>
      <c r="C5319">
        <v>0.803642912611648</v>
      </c>
      <c r="D5319">
        <v>0.94655752389346504</v>
      </c>
      <c r="E5319">
        <v>0.68987440888206797</v>
      </c>
      <c r="F5319">
        <v>0.780534043093983</v>
      </c>
      <c r="G5319">
        <v>0.65365811999671797</v>
      </c>
      <c r="H5319">
        <v>0.74176502325955196</v>
      </c>
      <c r="I5319">
        <v>0.69428402329535299</v>
      </c>
      <c r="J5319">
        <v>0.72903071026363497</v>
      </c>
      <c r="K5319">
        <v>0.6449835852736</v>
      </c>
      <c r="L5319">
        <v>560.87192805241295</v>
      </c>
      <c r="M5319">
        <v>12.229437372963799</v>
      </c>
      <c r="O5319">
        <v>44.687871786119999</v>
      </c>
      <c r="P5319">
        <v>-2.1668988918782099E-2</v>
      </c>
      <c r="Q5319">
        <v>0.68334640047071804</v>
      </c>
      <c r="R5319">
        <v>0.68576157271238303</v>
      </c>
      <c r="S5319" t="s">
        <v>11630</v>
      </c>
      <c r="T5319" t="s">
        <v>12620</v>
      </c>
      <c r="U5319" t="s">
        <v>12620</v>
      </c>
      <c r="V5319" t="s">
        <v>12620</v>
      </c>
      <c r="W5319" t="s">
        <v>17882</v>
      </c>
      <c r="X5319">
        <v>23</v>
      </c>
      <c r="Y5319" t="s">
        <v>19562</v>
      </c>
      <c r="Z5319" t="s">
        <v>30266</v>
      </c>
      <c r="AA5319">
        <v>0.75929990773245981</v>
      </c>
      <c r="AB5319" t="str">
        <f>HYPERLINK("Melting_Curves/meltCurve_Q9H4G0_2_EPB41L1.pdf", "Melting_Curves/meltCurve_Q9H4G0_2_EPB41L1.pdf")</f>
        <v>Melting_Curves/meltCurve_Q9H4G0_2_EPB41L1.pdf</v>
      </c>
    </row>
    <row r="5320" spans="1:28" x14ac:dyDescent="0.25">
      <c r="A5320" t="s">
        <v>5324</v>
      </c>
      <c r="B5320">
        <v>0.99987803227770999</v>
      </c>
      <c r="C5320">
        <v>0.93068062295226195</v>
      </c>
      <c r="D5320">
        <v>0.99475695846433299</v>
      </c>
      <c r="E5320">
        <v>0.72193956359625799</v>
      </c>
      <c r="F5320">
        <v>0.80594230013985502</v>
      </c>
      <c r="G5320">
        <v>0.92112488910532897</v>
      </c>
      <c r="H5320">
        <v>0.70120102860619404</v>
      </c>
      <c r="I5320">
        <v>0.75935787067399496</v>
      </c>
      <c r="J5320">
        <v>0.61511024377031298</v>
      </c>
      <c r="K5320">
        <v>0.48182610635352702</v>
      </c>
      <c r="L5320">
        <v>316.94970375024297</v>
      </c>
      <c r="M5320">
        <v>4.2581584175623304</v>
      </c>
      <c r="O5320">
        <v>62.282830736831698</v>
      </c>
      <c r="P5320">
        <v>-1.7271411989033099E-2</v>
      </c>
      <c r="Q5320">
        <v>0</v>
      </c>
      <c r="R5320">
        <v>0.73591627143312799</v>
      </c>
      <c r="S5320" t="s">
        <v>11631</v>
      </c>
      <c r="T5320" t="s">
        <v>12620</v>
      </c>
      <c r="U5320" t="s">
        <v>12620</v>
      </c>
      <c r="V5320" t="s">
        <v>12620</v>
      </c>
      <c r="W5320" t="s">
        <v>17883</v>
      </c>
      <c r="X5320">
        <v>22</v>
      </c>
      <c r="Y5320" t="s">
        <v>19562</v>
      </c>
      <c r="Z5320" t="s">
        <v>30267</v>
      </c>
      <c r="AA5320">
        <v>0.80173029598100953</v>
      </c>
      <c r="AB5320" t="str">
        <f>HYPERLINK("Melting_Curves/meltCurve_Q9H4G0_4_EPB41L1.pdf", "Melting_Curves/meltCurve_Q9H4G0_4_EPB41L1.pdf")</f>
        <v>Melting_Curves/meltCurve_Q9H4G0_4_EPB41L1.pdf</v>
      </c>
    </row>
    <row r="5321" spans="1:28" x14ac:dyDescent="0.25">
      <c r="A5321" t="s">
        <v>5325</v>
      </c>
      <c r="B5321">
        <v>0.99987803227770999</v>
      </c>
      <c r="C5321">
        <v>1.06492275313086</v>
      </c>
      <c r="D5321">
        <v>0.84961011732422997</v>
      </c>
      <c r="E5321">
        <v>0.92939061656118405</v>
      </c>
      <c r="F5321">
        <v>0.46028785302841702</v>
      </c>
      <c r="G5321">
        <v>0.291498346856433</v>
      </c>
      <c r="H5321">
        <v>0.18662531575938501</v>
      </c>
      <c r="I5321">
        <v>0.14236075576561799</v>
      </c>
      <c r="J5321">
        <v>0.128852397163467</v>
      </c>
      <c r="K5321">
        <v>9.1219396372704403E-2</v>
      </c>
      <c r="L5321">
        <v>1466.3783770534001</v>
      </c>
      <c r="M5321">
        <v>27.842722617028901</v>
      </c>
      <c r="N5321">
        <v>53.282703596229602</v>
      </c>
      <c r="O5321">
        <v>52.397066871784702</v>
      </c>
      <c r="P5321">
        <v>-0.11455956372849101</v>
      </c>
      <c r="Q5321">
        <v>0.137651783699556</v>
      </c>
      <c r="R5321">
        <v>0.97058031552268198</v>
      </c>
      <c r="S5321" t="s">
        <v>11632</v>
      </c>
      <c r="T5321" t="s">
        <v>12620</v>
      </c>
      <c r="U5321" t="s">
        <v>12620</v>
      </c>
      <c r="V5321" t="s">
        <v>12620</v>
      </c>
      <c r="W5321" t="s">
        <v>17884</v>
      </c>
      <c r="X5321">
        <v>3</v>
      </c>
      <c r="Y5321" t="s">
        <v>23981</v>
      </c>
      <c r="Z5321" t="s">
        <v>30268</v>
      </c>
      <c r="AA5321">
        <v>0.50818952840703724</v>
      </c>
      <c r="AB5321" t="str">
        <f>HYPERLINK("Melting_Curves/meltCurve_Q9H4H8_FAM83D.pdf", "Melting_Curves/meltCurve_Q9H4H8_FAM83D.pdf")</f>
        <v>Melting_Curves/meltCurve_Q9H4H8_FAM83D.pdf</v>
      </c>
    </row>
    <row r="5322" spans="1:28" x14ac:dyDescent="0.25">
      <c r="A5322" t="s">
        <v>5326</v>
      </c>
      <c r="B5322">
        <v>0.99987803227770999</v>
      </c>
      <c r="C5322">
        <v>0.90094477147321606</v>
      </c>
      <c r="D5322">
        <v>0.65956604308851297</v>
      </c>
      <c r="E5322">
        <v>0.39362532672553602</v>
      </c>
      <c r="F5322">
        <v>0.33999068352702499</v>
      </c>
      <c r="G5322">
        <v>0.26214600530236198</v>
      </c>
      <c r="H5322">
        <v>0.25839994383357201</v>
      </c>
      <c r="I5322">
        <v>0.262905679487627</v>
      </c>
      <c r="J5322">
        <v>0.24510558898217299</v>
      </c>
      <c r="K5322">
        <v>0.189003834086026</v>
      </c>
      <c r="L5322">
        <v>921.59456270614305</v>
      </c>
      <c r="M5322">
        <v>19.738428630224</v>
      </c>
      <c r="N5322">
        <v>48.294739215046803</v>
      </c>
      <c r="O5322">
        <v>46.219055042738397</v>
      </c>
      <c r="P5322">
        <v>-8.1095002564604807E-2</v>
      </c>
      <c r="Q5322">
        <v>0.240465197607374</v>
      </c>
      <c r="R5322">
        <v>0.992823680707562</v>
      </c>
      <c r="S5322" t="s">
        <v>11633</v>
      </c>
      <c r="T5322" t="s">
        <v>12620</v>
      </c>
      <c r="U5322" t="s">
        <v>12620</v>
      </c>
      <c r="V5322" t="s">
        <v>12620</v>
      </c>
      <c r="W5322" t="s">
        <v>17885</v>
      </c>
      <c r="X5322">
        <v>10</v>
      </c>
      <c r="Y5322" t="s">
        <v>23982</v>
      </c>
      <c r="Z5322" t="s">
        <v>30269</v>
      </c>
      <c r="AA5322">
        <v>0.42146010382998489</v>
      </c>
      <c r="AB5322" t="str">
        <f>HYPERLINK("Melting_Curves/meltCurve_Q9H4L7_SMARCAD1.pdf", "Melting_Curves/meltCurve_Q9H4L7_SMARCAD1.pdf")</f>
        <v>Melting_Curves/meltCurve_Q9H4L7_SMARCAD1.pdf</v>
      </c>
    </row>
    <row r="5323" spans="1:28" x14ac:dyDescent="0.25">
      <c r="A5323" t="s">
        <v>5327</v>
      </c>
      <c r="B5323">
        <v>0.99987803227770999</v>
      </c>
      <c r="C5323">
        <v>1.0348945077381</v>
      </c>
      <c r="D5323">
        <v>0.92243189976304096</v>
      </c>
      <c r="E5323">
        <v>0.74924120269993799</v>
      </c>
      <c r="F5323">
        <v>0.19738283286635799</v>
      </c>
      <c r="G5323">
        <v>0.126389255825855</v>
      </c>
      <c r="H5323">
        <v>0.103522179943122</v>
      </c>
      <c r="I5323">
        <v>0.120227805312591</v>
      </c>
      <c r="J5323">
        <v>6.2154406658618197E-2</v>
      </c>
      <c r="K5323">
        <v>4.5722152716868199E-2</v>
      </c>
      <c r="L5323">
        <v>2527.8987500398598</v>
      </c>
      <c r="M5323">
        <v>49.619609659313397</v>
      </c>
      <c r="N5323">
        <v>51.148595108178597</v>
      </c>
      <c r="O5323">
        <v>50.863015022187497</v>
      </c>
      <c r="P5323">
        <v>-0.22208628406178299</v>
      </c>
      <c r="Q5323">
        <v>8.93948454289481E-2</v>
      </c>
      <c r="R5323">
        <v>0.99309220781492902</v>
      </c>
      <c r="S5323" t="s">
        <v>11634</v>
      </c>
      <c r="T5323" t="s">
        <v>12620</v>
      </c>
      <c r="U5323" t="s">
        <v>12620</v>
      </c>
      <c r="V5323" t="s">
        <v>12620</v>
      </c>
      <c r="W5323" t="s">
        <v>17886</v>
      </c>
      <c r="X5323">
        <v>29</v>
      </c>
      <c r="Y5323" t="s">
        <v>23983</v>
      </c>
      <c r="Z5323" t="s">
        <v>30270</v>
      </c>
      <c r="AA5323">
        <v>0.42370888086584102</v>
      </c>
      <c r="AB5323" t="str">
        <f>HYPERLINK("Melting_Curves/meltCurve_Q9H4M9_EHD1.pdf", "Melting_Curves/meltCurve_Q9H4M9_EHD1.pdf")</f>
        <v>Melting_Curves/meltCurve_Q9H4M9_EHD1.pdf</v>
      </c>
    </row>
    <row r="5324" spans="1:28" x14ac:dyDescent="0.25">
      <c r="A5324" t="s">
        <v>5328</v>
      </c>
      <c r="B5324">
        <v>0.99987803227770999</v>
      </c>
      <c r="C5324">
        <v>1.12478046413598</v>
      </c>
      <c r="D5324">
        <v>1.0847723864021801</v>
      </c>
      <c r="E5324">
        <v>0.95439262609250897</v>
      </c>
      <c r="F5324">
        <v>0.58641417321170097</v>
      </c>
      <c r="G5324">
        <v>0.41694175125472699</v>
      </c>
      <c r="H5324">
        <v>0.23450618161190101</v>
      </c>
      <c r="I5324">
        <v>0.20597924178493299</v>
      </c>
      <c r="J5324">
        <v>0.17535848806308499</v>
      </c>
      <c r="K5324">
        <v>9.3089677566176199E-2</v>
      </c>
      <c r="L5324">
        <v>1191.68139792032</v>
      </c>
      <c r="M5324">
        <v>21.988917219947702</v>
      </c>
      <c r="N5324">
        <v>55.102595049144398</v>
      </c>
      <c r="O5324">
        <v>53.752382342733299</v>
      </c>
      <c r="P5324">
        <v>-8.6729377949238795E-2</v>
      </c>
      <c r="Q5324">
        <v>0.151971643145073</v>
      </c>
      <c r="R5324">
        <v>0.96929460890503905</v>
      </c>
      <c r="S5324" t="s">
        <v>11635</v>
      </c>
      <c r="T5324" t="s">
        <v>12620</v>
      </c>
      <c r="U5324" t="s">
        <v>12620</v>
      </c>
      <c r="V5324" t="s">
        <v>12620</v>
      </c>
      <c r="W5324" t="s">
        <v>17887</v>
      </c>
      <c r="X5324">
        <v>2</v>
      </c>
      <c r="Y5324" t="s">
        <v>23984</v>
      </c>
      <c r="Z5324" t="s">
        <v>30271</v>
      </c>
      <c r="AA5324">
        <v>0.56305214024028882</v>
      </c>
      <c r="AB5324" t="str">
        <f>HYPERLINK("Melting_Curves/meltCurve_Q9H4P4_2_RNF41.pdf", "Melting_Curves/meltCurve_Q9H4P4_2_RNF41.pdf")</f>
        <v>Melting_Curves/meltCurve_Q9H4P4_2_RNF41.pdf</v>
      </c>
    </row>
    <row r="5325" spans="1:28" x14ac:dyDescent="0.25">
      <c r="A5325" t="s">
        <v>5329</v>
      </c>
      <c r="B5325">
        <v>0.99987803227770999</v>
      </c>
      <c r="C5325">
        <v>0.89892731429123496</v>
      </c>
      <c r="D5325">
        <v>0.91079316365261598</v>
      </c>
      <c r="E5325">
        <v>0.50563718930206303</v>
      </c>
      <c r="F5325">
        <v>0.36907572000872602</v>
      </c>
      <c r="G5325">
        <v>0.27927588960703598</v>
      </c>
      <c r="H5325">
        <v>0.25055622561165503</v>
      </c>
      <c r="I5325">
        <v>0.20197436877921501</v>
      </c>
      <c r="J5325">
        <v>0.15720792994663799</v>
      </c>
      <c r="K5325">
        <v>0.111078098032491</v>
      </c>
      <c r="L5325">
        <v>887.20513430242897</v>
      </c>
      <c r="M5325">
        <v>17.875969705718799</v>
      </c>
      <c r="N5325">
        <v>50.806656323762802</v>
      </c>
      <c r="O5325">
        <v>49.022559730052798</v>
      </c>
      <c r="P5325">
        <v>-7.5726388198393293E-2</v>
      </c>
      <c r="Q5325">
        <v>0.16936245592976601</v>
      </c>
      <c r="R5325">
        <v>0.98124497012876999</v>
      </c>
      <c r="S5325" t="s">
        <v>11636</v>
      </c>
      <c r="T5325" t="s">
        <v>12620</v>
      </c>
      <c r="U5325" t="s">
        <v>12620</v>
      </c>
      <c r="V5325" t="s">
        <v>12620</v>
      </c>
      <c r="W5325" t="s">
        <v>17888</v>
      </c>
      <c r="X5325">
        <v>11</v>
      </c>
      <c r="Y5325" t="s">
        <v>23985</v>
      </c>
      <c r="Z5325" t="s">
        <v>30272</v>
      </c>
      <c r="AA5325">
        <v>0.45045834301687848</v>
      </c>
      <c r="AB5325" t="str">
        <f>HYPERLINK("Melting_Curves/meltCurve_Q9H4Z3_PCIF1.pdf", "Melting_Curves/meltCurve_Q9H4Z3_PCIF1.pdf")</f>
        <v>Melting_Curves/meltCurve_Q9H4Z3_PCIF1.pdf</v>
      </c>
    </row>
    <row r="5326" spans="1:28" x14ac:dyDescent="0.25">
      <c r="A5326" t="s">
        <v>5330</v>
      </c>
      <c r="B5326">
        <v>0.99987803227770999</v>
      </c>
      <c r="C5326">
        <v>1.05088572658947</v>
      </c>
      <c r="D5326">
        <v>1.0812989279048</v>
      </c>
      <c r="E5326">
        <v>1.1548970252125601</v>
      </c>
      <c r="F5326">
        <v>1.0958675013082</v>
      </c>
      <c r="G5326">
        <v>0.81160265518542996</v>
      </c>
      <c r="H5326">
        <v>0.61390100264124403</v>
      </c>
      <c r="I5326">
        <v>0.513744042585768</v>
      </c>
      <c r="J5326">
        <v>0.49267655058552901</v>
      </c>
      <c r="K5326">
        <v>0.41832274089302302</v>
      </c>
      <c r="L5326">
        <v>1809.52646389647</v>
      </c>
      <c r="M5326">
        <v>30.718778532513301</v>
      </c>
      <c r="N5326">
        <v>63.967869947917301</v>
      </c>
      <c r="O5326">
        <v>58.658251927574902</v>
      </c>
      <c r="P5326">
        <v>-7.1220613635310404E-2</v>
      </c>
      <c r="Q5326">
        <v>0.45601328060697399</v>
      </c>
      <c r="R5326">
        <v>0.93099657201538899</v>
      </c>
      <c r="S5326" t="s">
        <v>11637</v>
      </c>
      <c r="T5326" t="s">
        <v>12620</v>
      </c>
      <c r="U5326" t="s">
        <v>12620</v>
      </c>
      <c r="V5326" t="s">
        <v>12620</v>
      </c>
      <c r="W5326" t="s">
        <v>17889</v>
      </c>
      <c r="X5326">
        <v>13</v>
      </c>
      <c r="Y5326" t="s">
        <v>23986</v>
      </c>
      <c r="Z5326" t="s">
        <v>30273</v>
      </c>
      <c r="AA5326">
        <v>0.80220855265664137</v>
      </c>
      <c r="AB5326" t="str">
        <f>HYPERLINK("Melting_Curves/meltCurve_Q9H501_ESF1.pdf", "Melting_Curves/meltCurve_Q9H501_ESF1.pdf")</f>
        <v>Melting_Curves/meltCurve_Q9H501_ESF1.pdf</v>
      </c>
    </row>
    <row r="5327" spans="1:28" x14ac:dyDescent="0.25">
      <c r="A5327" t="s">
        <v>5331</v>
      </c>
      <c r="B5327">
        <v>0.99987803227770999</v>
      </c>
      <c r="C5327">
        <v>0.86919707364981402</v>
      </c>
      <c r="D5327">
        <v>1.0904831201665399</v>
      </c>
      <c r="E5327">
        <v>0.85991243548762097</v>
      </c>
      <c r="F5327">
        <v>1.09030856407397</v>
      </c>
      <c r="G5327">
        <v>0.95828900535329298</v>
      </c>
      <c r="H5327">
        <v>0.88735687152367904</v>
      </c>
      <c r="I5327">
        <v>0.90472099385860105</v>
      </c>
      <c r="J5327">
        <v>0.87093825551518</v>
      </c>
      <c r="K5327">
        <v>0.77976459789091801</v>
      </c>
      <c r="L5327">
        <v>576.31956819178697</v>
      </c>
      <c r="M5327">
        <v>6.8879835591995704</v>
      </c>
      <c r="Q5327">
        <v>0</v>
      </c>
      <c r="R5327">
        <v>0.39562500953534202</v>
      </c>
      <c r="S5327" t="s">
        <v>11638</v>
      </c>
      <c r="T5327" t="s">
        <v>12620</v>
      </c>
      <c r="U5327" t="s">
        <v>12620</v>
      </c>
      <c r="V5327" t="s">
        <v>12620</v>
      </c>
      <c r="W5327" t="s">
        <v>17890</v>
      </c>
      <c r="X5327">
        <v>1</v>
      </c>
      <c r="Y5327" t="s">
        <v>23987</v>
      </c>
      <c r="Z5327" t="s">
        <v>30274</v>
      </c>
      <c r="AA5327">
        <v>0.94697090700245601</v>
      </c>
      <c r="AB5327" t="str">
        <f>HYPERLINK("Melting_Curves/meltCurve_Q9H582_2_ZNF644.pdf", "Melting_Curves/meltCurve_Q9H582_2_ZNF644.pdf")</f>
        <v>Melting_Curves/meltCurve_Q9H582_2_ZNF644.pdf</v>
      </c>
    </row>
    <row r="5328" spans="1:28" x14ac:dyDescent="0.25">
      <c r="A5328" t="s">
        <v>5332</v>
      </c>
      <c r="B5328">
        <v>0.99987803227770999</v>
      </c>
      <c r="C5328">
        <v>1.0629183196029</v>
      </c>
      <c r="D5328">
        <v>1.0372621727208899</v>
      </c>
      <c r="E5328">
        <v>0.92481678194598604</v>
      </c>
      <c r="F5328">
        <v>0.88949745434473004</v>
      </c>
      <c r="G5328">
        <v>0.703361439870271</v>
      </c>
      <c r="H5328">
        <v>0.75086494631618095</v>
      </c>
      <c r="I5328">
        <v>0.73857960131851697</v>
      </c>
      <c r="J5328">
        <v>0.704999759966353</v>
      </c>
      <c r="K5328">
        <v>0.54926117730239798</v>
      </c>
      <c r="L5328">
        <v>840.80669109718099</v>
      </c>
      <c r="M5328">
        <v>15.232313736449701</v>
      </c>
      <c r="O5328">
        <v>54.273741401667699</v>
      </c>
      <c r="P5328">
        <v>-2.5524874981347302E-2</v>
      </c>
      <c r="Q5328">
        <v>0.63624732967153697</v>
      </c>
      <c r="R5328">
        <v>0.88131845043927404</v>
      </c>
      <c r="S5328" t="s">
        <v>11639</v>
      </c>
      <c r="T5328" t="s">
        <v>12620</v>
      </c>
      <c r="U5328" t="s">
        <v>12620</v>
      </c>
      <c r="V5328" t="s">
        <v>12620</v>
      </c>
      <c r="W5328" t="s">
        <v>17891</v>
      </c>
      <c r="X5328">
        <v>26</v>
      </c>
      <c r="Y5328" t="s">
        <v>23988</v>
      </c>
      <c r="Z5328" t="s">
        <v>30275</v>
      </c>
      <c r="AA5328">
        <v>0.82733821766564541</v>
      </c>
      <c r="AB5328" t="str">
        <f>HYPERLINK("Melting_Curves/meltCurve_Q9H5N1_RABEP2.pdf", "Melting_Curves/meltCurve_Q9H5N1_RABEP2.pdf")</f>
        <v>Melting_Curves/meltCurve_Q9H5N1_RABEP2.pdf</v>
      </c>
    </row>
    <row r="5329" spans="1:28" x14ac:dyDescent="0.25">
      <c r="A5329" t="s">
        <v>5333</v>
      </c>
      <c r="B5329">
        <v>0.99987803227770999</v>
      </c>
      <c r="C5329">
        <v>0.95947026762375998</v>
      </c>
      <c r="D5329">
        <v>0.92412620891098296</v>
      </c>
      <c r="E5329">
        <v>0.638974396199956</v>
      </c>
      <c r="F5329">
        <v>0.28511376725495202</v>
      </c>
      <c r="G5329">
        <v>0.166239486357974</v>
      </c>
      <c r="H5329">
        <v>0.13173174955779801</v>
      </c>
      <c r="I5329">
        <v>0.138607092723917</v>
      </c>
      <c r="J5329">
        <v>8.1293564837216101E-2</v>
      </c>
      <c r="K5329">
        <v>6.1613988789226699E-2</v>
      </c>
      <c r="L5329">
        <v>1298.5723894356099</v>
      </c>
      <c r="M5329">
        <v>25.664447440560799</v>
      </c>
      <c r="N5329">
        <v>51.040104960711901</v>
      </c>
      <c r="O5329">
        <v>50.293901403146002</v>
      </c>
      <c r="P5329">
        <v>-0.11486219831305899</v>
      </c>
      <c r="Q5329">
        <v>9.9641931849945006E-2</v>
      </c>
      <c r="R5329">
        <v>0.99554251015018402</v>
      </c>
      <c r="S5329" t="s">
        <v>11640</v>
      </c>
      <c r="T5329" t="s">
        <v>12620</v>
      </c>
      <c r="U5329" t="s">
        <v>12620</v>
      </c>
      <c r="V5329" t="s">
        <v>12620</v>
      </c>
      <c r="W5329" t="s">
        <v>17892</v>
      </c>
      <c r="X5329">
        <v>6</v>
      </c>
      <c r="Y5329" t="s">
        <v>23989</v>
      </c>
      <c r="Z5329" t="s">
        <v>30276</v>
      </c>
      <c r="AA5329">
        <v>0.4253983998404261</v>
      </c>
      <c r="AB5329" t="str">
        <f>HYPERLINK("Melting_Curves/meltCurve_Q9H5Q4_TFB2M.pdf", "Melting_Curves/meltCurve_Q9H5Q4_TFB2M.pdf")</f>
        <v>Melting_Curves/meltCurve_Q9H5Q4_TFB2M.pdf</v>
      </c>
    </row>
    <row r="5330" spans="1:28" x14ac:dyDescent="0.25">
      <c r="A5330" t="s">
        <v>5334</v>
      </c>
      <c r="B5330">
        <v>0.99987803227770999</v>
      </c>
      <c r="C5330">
        <v>0.80291775861729997</v>
      </c>
      <c r="D5330">
        <v>0.94121937864223704</v>
      </c>
      <c r="E5330">
        <v>0.80489486048324299</v>
      </c>
      <c r="F5330">
        <v>0.88397503726478699</v>
      </c>
      <c r="G5330">
        <v>0.52855787377909302</v>
      </c>
      <c r="H5330">
        <v>0.39609196144818898</v>
      </c>
      <c r="I5330">
        <v>0.29736268436917601</v>
      </c>
      <c r="J5330">
        <v>0.29094608737893901</v>
      </c>
      <c r="K5330">
        <v>0.21836062020776401</v>
      </c>
      <c r="L5330">
        <v>590.08689865132396</v>
      </c>
      <c r="M5330">
        <v>10.171869961955901</v>
      </c>
      <c r="N5330">
        <v>58.8875694104985</v>
      </c>
      <c r="O5330">
        <v>55.903480733018903</v>
      </c>
      <c r="P5330">
        <v>-4.2314217607280803E-2</v>
      </c>
      <c r="Q5330">
        <v>7.0206253571283295E-2</v>
      </c>
      <c r="R5330">
        <v>0.93086198912098095</v>
      </c>
      <c r="S5330" t="s">
        <v>11641</v>
      </c>
      <c r="T5330" t="s">
        <v>12620</v>
      </c>
      <c r="U5330" t="s">
        <v>12620</v>
      </c>
      <c r="V5330" t="s">
        <v>12620</v>
      </c>
      <c r="W5330" t="s">
        <v>17893</v>
      </c>
      <c r="X5330">
        <v>9</v>
      </c>
      <c r="Y5330" t="s">
        <v>23990</v>
      </c>
      <c r="Z5330" t="s">
        <v>30277</v>
      </c>
      <c r="AA5330">
        <v>0.6379223299336384</v>
      </c>
      <c r="AB5330" t="str">
        <f>HYPERLINK("Melting_Curves/meltCurve_Q9H5V9_3_CXorf56.pdf", "Melting_Curves/meltCurve_Q9H5V9_3_CXorf56.pdf")</f>
        <v>Melting_Curves/meltCurve_Q9H5V9_3_CXorf56.pdf</v>
      </c>
    </row>
    <row r="5331" spans="1:28" x14ac:dyDescent="0.25">
      <c r="A5331" t="s">
        <v>5335</v>
      </c>
      <c r="B5331">
        <v>0.99987803227770999</v>
      </c>
      <c r="C5331">
        <v>1.0448237768880899</v>
      </c>
      <c r="D5331">
        <v>1.0323899517338899</v>
      </c>
      <c r="E5331">
        <v>1.0666357457555899</v>
      </c>
      <c r="F5331">
        <v>1.1275046043378301</v>
      </c>
      <c r="G5331">
        <v>0.900962617765378</v>
      </c>
      <c r="H5331">
        <v>0.86473091496336396</v>
      </c>
      <c r="I5331">
        <v>0.73081450484716304</v>
      </c>
      <c r="J5331">
        <v>0.423220780838441</v>
      </c>
      <c r="K5331">
        <v>0.27426211033745501</v>
      </c>
      <c r="L5331">
        <v>1499.42599505864</v>
      </c>
      <c r="M5331">
        <v>22.702853506955599</v>
      </c>
      <c r="N5331">
        <v>66.413931424377395</v>
      </c>
      <c r="O5331">
        <v>65.539680972744094</v>
      </c>
      <c r="P5331">
        <v>-8.1480030609845003E-2</v>
      </c>
      <c r="Q5331">
        <v>5.9136794153769899E-2</v>
      </c>
      <c r="R5331">
        <v>0.95609799890070701</v>
      </c>
      <c r="S5331" t="s">
        <v>11642</v>
      </c>
      <c r="T5331" t="s">
        <v>12620</v>
      </c>
      <c r="U5331" t="s">
        <v>12620</v>
      </c>
      <c r="V5331" t="s">
        <v>12620</v>
      </c>
      <c r="W5331" t="s">
        <v>17894</v>
      </c>
      <c r="X5331">
        <v>2</v>
      </c>
      <c r="Y5331" t="s">
        <v>23991</v>
      </c>
      <c r="Z5331" t="s">
        <v>30278</v>
      </c>
      <c r="AA5331">
        <v>0.86155633596462045</v>
      </c>
      <c r="AB5331" t="str">
        <f>HYPERLINK("Melting_Curves/meltCurve_Q9H5X1_FAM96A.pdf", "Melting_Curves/meltCurve_Q9H5X1_FAM96A.pdf")</f>
        <v>Melting_Curves/meltCurve_Q9H5X1_FAM96A.pdf</v>
      </c>
    </row>
    <row r="5332" spans="1:28" x14ac:dyDescent="0.25">
      <c r="A5332" t="s">
        <v>5336</v>
      </c>
      <c r="B5332">
        <v>0.99987803227770999</v>
      </c>
      <c r="C5332">
        <v>1.0932350950053</v>
      </c>
      <c r="D5332">
        <v>0.80189811767385</v>
      </c>
      <c r="E5332">
        <v>0.55968887452001803</v>
      </c>
      <c r="F5332">
        <v>0.27680918893418699</v>
      </c>
      <c r="G5332">
        <v>0.20349538628899</v>
      </c>
      <c r="H5332">
        <v>0.15232973431801</v>
      </c>
      <c r="I5332">
        <v>0.13957027825901799</v>
      </c>
      <c r="J5332">
        <v>9.1617094383322495E-2</v>
      </c>
      <c r="K5332">
        <v>6.4564335294892194E-2</v>
      </c>
      <c r="L5332">
        <v>1016.66906231722</v>
      </c>
      <c r="M5332">
        <v>20.412426473390902</v>
      </c>
      <c r="N5332">
        <v>50.396505751526703</v>
      </c>
      <c r="O5332">
        <v>49.3357724179873</v>
      </c>
      <c r="P5332">
        <v>-9.2443699317138098E-2</v>
      </c>
      <c r="Q5332">
        <v>0.106300784841403</v>
      </c>
      <c r="R5332">
        <v>0.98182326619497995</v>
      </c>
      <c r="S5332" t="s">
        <v>11643</v>
      </c>
      <c r="T5332" t="s">
        <v>12620</v>
      </c>
      <c r="U5332" t="s">
        <v>12620</v>
      </c>
      <c r="V5332" t="s">
        <v>12620</v>
      </c>
      <c r="W5332" t="s">
        <v>17895</v>
      </c>
      <c r="X5332">
        <v>1</v>
      </c>
      <c r="Y5332" t="s">
        <v>23992</v>
      </c>
      <c r="Z5332" t="s">
        <v>30279</v>
      </c>
      <c r="AA5332">
        <v>0.41039334045107673</v>
      </c>
      <c r="AB5332" t="str">
        <f>HYPERLINK("Melting_Curves/meltCurve_Q9H672_ASB7.pdf", "Melting_Curves/meltCurve_Q9H672_ASB7.pdf")</f>
        <v>Melting_Curves/meltCurve_Q9H672_ASB7.pdf</v>
      </c>
    </row>
    <row r="5333" spans="1:28" x14ac:dyDescent="0.25">
      <c r="A5333" t="s">
        <v>5337</v>
      </c>
      <c r="B5333">
        <v>0.99987803227770999</v>
      </c>
      <c r="C5333">
        <v>0.94623483480295201</v>
      </c>
      <c r="D5333">
        <v>0.93471625922142898</v>
      </c>
      <c r="E5333">
        <v>0.70650472178054102</v>
      </c>
      <c r="F5333">
        <v>0.61309485333018698</v>
      </c>
      <c r="G5333">
        <v>0.45018515608610699</v>
      </c>
      <c r="H5333">
        <v>0.40367095148496901</v>
      </c>
      <c r="I5333">
        <v>0.36961402285462203</v>
      </c>
      <c r="J5333">
        <v>0.342768783859353</v>
      </c>
      <c r="K5333">
        <v>0.28350470787058002</v>
      </c>
      <c r="L5333">
        <v>698.256566713128</v>
      </c>
      <c r="M5333">
        <v>13.4418273664823</v>
      </c>
      <c r="N5333">
        <v>55.7267516458881</v>
      </c>
      <c r="O5333">
        <v>50.837251260502299</v>
      </c>
      <c r="P5333">
        <v>-4.6338041338866903E-2</v>
      </c>
      <c r="Q5333">
        <v>0.29910323253148102</v>
      </c>
      <c r="R5333">
        <v>0.99192460058697995</v>
      </c>
      <c r="S5333" t="s">
        <v>11644</v>
      </c>
      <c r="T5333" t="s">
        <v>12620</v>
      </c>
      <c r="U5333" t="s">
        <v>12620</v>
      </c>
      <c r="V5333" t="s">
        <v>12620</v>
      </c>
      <c r="W5333" t="s">
        <v>17896</v>
      </c>
      <c r="X5333">
        <v>17</v>
      </c>
      <c r="Y5333" t="s">
        <v>23993</v>
      </c>
      <c r="Z5333" t="s">
        <v>30280</v>
      </c>
      <c r="AA5333">
        <v>0.59667228876172496</v>
      </c>
      <c r="AB5333" t="str">
        <f>HYPERLINK("Melting_Curves/meltCurve_Q9H694_BICC1.pdf", "Melting_Curves/meltCurve_Q9H694_BICC1.pdf")</f>
        <v>Melting_Curves/meltCurve_Q9H694_BICC1.pdf</v>
      </c>
    </row>
    <row r="5334" spans="1:28" x14ac:dyDescent="0.25">
      <c r="A5334" t="s">
        <v>5338</v>
      </c>
      <c r="B5334">
        <v>0.99987803227770999</v>
      </c>
      <c r="C5334">
        <v>0.92789430239813298</v>
      </c>
      <c r="D5334">
        <v>0.96220683862087997</v>
      </c>
      <c r="E5334">
        <v>0.88787106617736</v>
      </c>
      <c r="F5334">
        <v>0.86971943829845899</v>
      </c>
      <c r="G5334">
        <v>0.52210021950001295</v>
      </c>
      <c r="H5334">
        <v>0.68824851712303203</v>
      </c>
      <c r="I5334">
        <v>0.81078541516394098</v>
      </c>
      <c r="J5334">
        <v>0.70968286392174396</v>
      </c>
      <c r="K5334">
        <v>0.62049757531093797</v>
      </c>
      <c r="L5334">
        <v>1857.23629616108</v>
      </c>
      <c r="M5334">
        <v>35.496301247140899</v>
      </c>
      <c r="O5334">
        <v>52.156739033560001</v>
      </c>
      <c r="P5334">
        <v>-5.5385673405465199E-2</v>
      </c>
      <c r="Q5334">
        <v>0.67447578695116495</v>
      </c>
      <c r="R5334">
        <v>0.70695511860681604</v>
      </c>
      <c r="S5334" t="s">
        <v>11645</v>
      </c>
      <c r="T5334" t="s">
        <v>12620</v>
      </c>
      <c r="U5334" t="s">
        <v>12620</v>
      </c>
      <c r="V5334" t="s">
        <v>12620</v>
      </c>
      <c r="W5334" t="s">
        <v>17897</v>
      </c>
      <c r="X5334">
        <v>1</v>
      </c>
      <c r="Y5334" t="s">
        <v>23994</v>
      </c>
      <c r="Z5334" t="s">
        <v>30281</v>
      </c>
      <c r="AA5334">
        <v>0.80967431262188883</v>
      </c>
      <c r="AB5334" t="str">
        <f>HYPERLINK("Melting_Curves/meltCurve_Q9H6A9_PCNXL3.pdf", "Melting_Curves/meltCurve_Q9H6A9_PCNXL3.pdf")</f>
        <v>Melting_Curves/meltCurve_Q9H6A9_PCNXL3.pdf</v>
      </c>
    </row>
    <row r="5335" spans="1:28" x14ac:dyDescent="0.25">
      <c r="A5335" t="s">
        <v>5339</v>
      </c>
      <c r="B5335">
        <v>0.99987803227770999</v>
      </c>
      <c r="C5335">
        <v>0.99877344163603599</v>
      </c>
      <c r="D5335">
        <v>0.87799316541105699</v>
      </c>
      <c r="E5335">
        <v>0.74915854101020696</v>
      </c>
      <c r="F5335">
        <v>0.67678046352737498</v>
      </c>
      <c r="G5335">
        <v>0.69558536621232003</v>
      </c>
      <c r="H5335">
        <v>0.61097142444038799</v>
      </c>
      <c r="I5335">
        <v>0.52344032253655204</v>
      </c>
      <c r="J5335">
        <v>0.45777707455794597</v>
      </c>
      <c r="K5335">
        <v>0.32236790677149502</v>
      </c>
      <c r="L5335">
        <v>339.59620859735901</v>
      </c>
      <c r="M5335">
        <v>5.3191275069546204</v>
      </c>
      <c r="N5335">
        <v>63.844337744997603</v>
      </c>
      <c r="O5335">
        <v>56.496602174438998</v>
      </c>
      <c r="P5335">
        <v>-2.3653885113456001E-2</v>
      </c>
      <c r="Q5335">
        <v>0</v>
      </c>
      <c r="R5335">
        <v>0.94545398876018205</v>
      </c>
      <c r="S5335" t="s">
        <v>11646</v>
      </c>
      <c r="T5335" t="s">
        <v>12620</v>
      </c>
      <c r="U5335" t="s">
        <v>12620</v>
      </c>
      <c r="V5335" t="s">
        <v>12620</v>
      </c>
      <c r="W5335" t="s">
        <v>17898</v>
      </c>
      <c r="X5335">
        <v>6</v>
      </c>
      <c r="Y5335" t="s">
        <v>23995</v>
      </c>
      <c r="Z5335" t="s">
        <v>30282</v>
      </c>
      <c r="AA5335">
        <v>0.69241422372514827</v>
      </c>
      <c r="AB5335" t="str">
        <f>HYPERLINK("Melting_Curves/meltCurve_Q9H6D7_HAUS4.pdf", "Melting_Curves/meltCurve_Q9H6D7_HAUS4.pdf")</f>
        <v>Melting_Curves/meltCurve_Q9H6D7_HAUS4.pdf</v>
      </c>
    </row>
    <row r="5336" spans="1:28" x14ac:dyDescent="0.25">
      <c r="A5336" t="s">
        <v>5340</v>
      </c>
      <c r="B5336">
        <v>0.99987803227770999</v>
      </c>
      <c r="C5336">
        <v>0.85886331160865403</v>
      </c>
      <c r="D5336">
        <v>1.0111650157768</v>
      </c>
      <c r="E5336">
        <v>0.73753263698342197</v>
      </c>
      <c r="F5336">
        <v>0.48483820600257799</v>
      </c>
      <c r="G5336">
        <v>0.22528083303196</v>
      </c>
      <c r="H5336">
        <v>0.15770402840574299</v>
      </c>
      <c r="I5336">
        <v>0.12749126685137399</v>
      </c>
      <c r="J5336">
        <v>0.11448052870103199</v>
      </c>
      <c r="K5336">
        <v>8.3382796539569107E-2</v>
      </c>
      <c r="L5336">
        <v>1099.43615075558</v>
      </c>
      <c r="M5336">
        <v>21.046335655538702</v>
      </c>
      <c r="N5336">
        <v>52.803080382497399</v>
      </c>
      <c r="O5336">
        <v>51.7740811137188</v>
      </c>
      <c r="P5336">
        <v>-9.1394646866033005E-2</v>
      </c>
      <c r="Q5336">
        <v>0.100698946189414</v>
      </c>
      <c r="R5336">
        <v>0.98364866158755704</v>
      </c>
      <c r="S5336" t="s">
        <v>11647</v>
      </c>
      <c r="T5336" t="s">
        <v>12620</v>
      </c>
      <c r="U5336" t="s">
        <v>12620</v>
      </c>
      <c r="V5336" t="s">
        <v>12620</v>
      </c>
      <c r="W5336" t="s">
        <v>17899</v>
      </c>
      <c r="X5336">
        <v>5</v>
      </c>
      <c r="Y5336" t="s">
        <v>23996</v>
      </c>
      <c r="Z5336" t="s">
        <v>30283</v>
      </c>
      <c r="AA5336">
        <v>0.47892490795174758</v>
      </c>
      <c r="AB5336" t="str">
        <f>HYPERLINK("Melting_Curves/meltCurve_Q9H6E4_CCDC134.pdf", "Melting_Curves/meltCurve_Q9H6E4_CCDC134.pdf")</f>
        <v>Melting_Curves/meltCurve_Q9H6E4_CCDC134.pdf</v>
      </c>
    </row>
    <row r="5337" spans="1:28" x14ac:dyDescent="0.25">
      <c r="A5337" t="s">
        <v>5341</v>
      </c>
      <c r="B5337">
        <v>0.99987803227770999</v>
      </c>
      <c r="C5337">
        <v>1.0285594869983199</v>
      </c>
      <c r="D5337">
        <v>0.73964540133763801</v>
      </c>
      <c r="E5337">
        <v>0.55392035647135995</v>
      </c>
      <c r="F5337">
        <v>0.42434960536655902</v>
      </c>
      <c r="G5337">
        <v>0.280160055592033</v>
      </c>
      <c r="H5337">
        <v>0.21139159568817301</v>
      </c>
      <c r="I5337">
        <v>0.17470504707883999</v>
      </c>
      <c r="J5337">
        <v>0.201653431876436</v>
      </c>
      <c r="K5337">
        <v>0.15145963133894699</v>
      </c>
      <c r="L5337">
        <v>747.64939859710796</v>
      </c>
      <c r="M5337">
        <v>15.0437883717596</v>
      </c>
      <c r="N5337">
        <v>51.037322514835502</v>
      </c>
      <c r="O5337">
        <v>48.844853056923498</v>
      </c>
      <c r="P5337">
        <v>-6.4448683643358207E-2</v>
      </c>
      <c r="Q5337">
        <v>0.163063985941099</v>
      </c>
      <c r="R5337">
        <v>0.98362014648412999</v>
      </c>
      <c r="S5337" t="s">
        <v>11648</v>
      </c>
      <c r="T5337" t="s">
        <v>12620</v>
      </c>
      <c r="U5337" t="s">
        <v>12620</v>
      </c>
      <c r="V5337" t="s">
        <v>12620</v>
      </c>
      <c r="W5337" t="s">
        <v>17900</v>
      </c>
      <c r="X5337">
        <v>5</v>
      </c>
      <c r="Y5337" t="s">
        <v>23997</v>
      </c>
      <c r="Z5337" t="s">
        <v>30284</v>
      </c>
      <c r="AA5337">
        <v>0.45367361069383288</v>
      </c>
      <c r="AB5337" t="str">
        <f>HYPERLINK("Melting_Curves/meltCurve_Q9H6E5_TUT1.pdf", "Melting_Curves/meltCurve_Q9H6E5_TUT1.pdf")</f>
        <v>Melting_Curves/meltCurve_Q9H6E5_TUT1.pdf</v>
      </c>
    </row>
    <row r="5338" spans="1:28" x14ac:dyDescent="0.25">
      <c r="A5338" t="s">
        <v>5342</v>
      </c>
      <c r="B5338">
        <v>0.99987803227770999</v>
      </c>
      <c r="C5338">
        <v>1.06346006473737</v>
      </c>
      <c r="D5338">
        <v>1.13261304077965</v>
      </c>
      <c r="E5338">
        <v>1.1166034236906699</v>
      </c>
      <c r="F5338">
        <v>1.18151445073856</v>
      </c>
      <c r="G5338">
        <v>1.06509112641557</v>
      </c>
      <c r="H5338">
        <v>1.09478057775933</v>
      </c>
      <c r="I5338">
        <v>0.89631762339746601</v>
      </c>
      <c r="J5338">
        <v>0.91571811606300402</v>
      </c>
      <c r="K5338">
        <v>0.66309221239859795</v>
      </c>
      <c r="L5338">
        <v>2204.8264332887702</v>
      </c>
      <c r="M5338">
        <v>30.8020180229469</v>
      </c>
      <c r="Q5338">
        <v>0</v>
      </c>
      <c r="R5338">
        <v>0.57788335540549496</v>
      </c>
      <c r="S5338" t="s">
        <v>11649</v>
      </c>
      <c r="T5338" t="s">
        <v>12620</v>
      </c>
      <c r="U5338" t="s">
        <v>12620</v>
      </c>
      <c r="V5338" t="s">
        <v>12620</v>
      </c>
      <c r="W5338" t="s">
        <v>17901</v>
      </c>
      <c r="X5338">
        <v>14</v>
      </c>
      <c r="Y5338" t="s">
        <v>23998</v>
      </c>
      <c r="Z5338" t="s">
        <v>30285</v>
      </c>
      <c r="AA5338">
        <v>0.9719386562691289</v>
      </c>
      <c r="AB5338" t="str">
        <f>HYPERLINK("Melting_Curves/meltCurve_Q9H6F5_CCDC86.pdf", "Melting_Curves/meltCurve_Q9H6F5_CCDC86.pdf")</f>
        <v>Melting_Curves/meltCurve_Q9H6F5_CCDC86.pdf</v>
      </c>
    </row>
    <row r="5339" spans="1:28" x14ac:dyDescent="0.25">
      <c r="A5339" t="s">
        <v>5343</v>
      </c>
      <c r="B5339">
        <v>0.99987803227770999</v>
      </c>
      <c r="C5339">
        <v>0.80414196583372199</v>
      </c>
      <c r="D5339">
        <v>1.0180135249881901</v>
      </c>
      <c r="E5339">
        <v>0.73028178347294204</v>
      </c>
      <c r="F5339">
        <v>0.54627335168825997</v>
      </c>
      <c r="G5339">
        <v>0.22756737383662001</v>
      </c>
      <c r="H5339">
        <v>0.17607127432876901</v>
      </c>
      <c r="I5339">
        <v>0.16024190274920599</v>
      </c>
      <c r="J5339">
        <v>0.12776108649850901</v>
      </c>
      <c r="K5339">
        <v>0.100855489736772</v>
      </c>
      <c r="L5339">
        <v>1022.2049693543</v>
      </c>
      <c r="M5339">
        <v>19.472511772431201</v>
      </c>
      <c r="N5339">
        <v>53.177081252525603</v>
      </c>
      <c r="O5339">
        <v>51.950537095875802</v>
      </c>
      <c r="P5339">
        <v>-8.3351539614092099E-2</v>
      </c>
      <c r="Q5339">
        <v>0.11054092081214301</v>
      </c>
      <c r="R5339">
        <v>0.96545152500003695</v>
      </c>
      <c r="S5339" t="s">
        <v>11650</v>
      </c>
      <c r="T5339" t="s">
        <v>12620</v>
      </c>
      <c r="U5339" t="s">
        <v>12620</v>
      </c>
      <c r="V5339" t="s">
        <v>12620</v>
      </c>
      <c r="W5339" t="s">
        <v>17902</v>
      </c>
      <c r="X5339">
        <v>3</v>
      </c>
      <c r="Y5339" t="s">
        <v>23999</v>
      </c>
      <c r="Z5339" t="s">
        <v>30286</v>
      </c>
      <c r="AA5339">
        <v>0.49385634551887442</v>
      </c>
      <c r="AB5339" t="str">
        <f>HYPERLINK("Melting_Curves/meltCurve_Q9H6K1_C6orf106.pdf", "Melting_Curves/meltCurve_Q9H6K1_C6orf106.pdf")</f>
        <v>Melting_Curves/meltCurve_Q9H6K1_C6orf106.pdf</v>
      </c>
    </row>
    <row r="5340" spans="1:28" x14ac:dyDescent="0.25">
      <c r="A5340" t="s">
        <v>5344</v>
      </c>
      <c r="B5340">
        <v>0.99987803227770999</v>
      </c>
      <c r="C5340">
        <v>0.92778710428925704</v>
      </c>
      <c r="D5340">
        <v>0.84349358885353298</v>
      </c>
      <c r="E5340">
        <v>0.92373094669266198</v>
      </c>
      <c r="F5340">
        <v>0.67908912833678503</v>
      </c>
      <c r="G5340">
        <v>0.50826809497426295</v>
      </c>
      <c r="H5340">
        <v>0.41107402533274301</v>
      </c>
      <c r="I5340">
        <v>0.59852671190807405</v>
      </c>
      <c r="J5340">
        <v>0.17385059159257901</v>
      </c>
      <c r="K5340">
        <v>0.110055023541341</v>
      </c>
      <c r="L5340">
        <v>494.129916477802</v>
      </c>
      <c r="M5340">
        <v>8.3686358978567803</v>
      </c>
      <c r="N5340">
        <v>59.045455241214597</v>
      </c>
      <c r="O5340">
        <v>55.962570197961703</v>
      </c>
      <c r="P5340">
        <v>-3.7420686454960099E-2</v>
      </c>
      <c r="Q5340">
        <v>0</v>
      </c>
      <c r="R5340">
        <v>0.87917956424475796</v>
      </c>
      <c r="S5340" t="s">
        <v>11651</v>
      </c>
      <c r="T5340" t="s">
        <v>12620</v>
      </c>
      <c r="U5340" t="s">
        <v>12620</v>
      </c>
      <c r="V5340" t="s">
        <v>12620</v>
      </c>
      <c r="W5340" t="s">
        <v>17903</v>
      </c>
      <c r="X5340">
        <v>2</v>
      </c>
      <c r="Y5340" t="s">
        <v>24000</v>
      </c>
      <c r="Z5340" t="s">
        <v>30287</v>
      </c>
      <c r="AA5340">
        <v>0.63105835539531596</v>
      </c>
      <c r="AB5340" t="str">
        <f>HYPERLINK("Melting_Curves/meltCurve_Q9H6L4_ARMC7.pdf", "Melting_Curves/meltCurve_Q9H6L4_ARMC7.pdf")</f>
        <v>Melting_Curves/meltCurve_Q9H6L4_ARMC7.pdf</v>
      </c>
    </row>
    <row r="5341" spans="1:28" x14ac:dyDescent="0.25">
      <c r="A5341" t="s">
        <v>5345</v>
      </c>
      <c r="B5341">
        <v>0.99987803227770999</v>
      </c>
      <c r="C5341">
        <v>1.0462357194005101</v>
      </c>
      <c r="D5341">
        <v>1.07931529493331</v>
      </c>
      <c r="E5341">
        <v>0.845071805984972</v>
      </c>
      <c r="F5341">
        <v>0.684480947665977</v>
      </c>
      <c r="G5341">
        <v>0.392147853204104</v>
      </c>
      <c r="H5341">
        <v>0.16815536556586</v>
      </c>
      <c r="I5341">
        <v>7.8073344932129293E-2</v>
      </c>
      <c r="J5341">
        <v>6.7685100077587004E-2</v>
      </c>
      <c r="K5341">
        <v>5.0221398800941897E-2</v>
      </c>
      <c r="L5341">
        <v>1039.9025829260499</v>
      </c>
      <c r="M5341">
        <v>18.840987981113301</v>
      </c>
      <c r="N5341">
        <v>55.366517201593801</v>
      </c>
      <c r="O5341">
        <v>54.583139612223597</v>
      </c>
      <c r="P5341">
        <v>-8.3833048396272994E-2</v>
      </c>
      <c r="Q5341">
        <v>2.85685334564388E-2</v>
      </c>
      <c r="R5341">
        <v>0.99131034755052705</v>
      </c>
      <c r="S5341" t="s">
        <v>11652</v>
      </c>
      <c r="T5341" t="s">
        <v>12620</v>
      </c>
      <c r="U5341" t="s">
        <v>12620</v>
      </c>
      <c r="V5341" t="s">
        <v>12620</v>
      </c>
      <c r="W5341" t="s">
        <v>17904</v>
      </c>
      <c r="X5341">
        <v>7</v>
      </c>
      <c r="Y5341" t="s">
        <v>24001</v>
      </c>
      <c r="Z5341" t="s">
        <v>30288</v>
      </c>
      <c r="AA5341">
        <v>0.53456737459287273</v>
      </c>
      <c r="AB5341" t="str">
        <f>HYPERLINK("Melting_Curves/meltCurve_Q9H6Q4_NARFL.pdf", "Melting_Curves/meltCurve_Q9H6Q4_NARFL.pdf")</f>
        <v>Melting_Curves/meltCurve_Q9H6Q4_NARFL.pdf</v>
      </c>
    </row>
    <row r="5342" spans="1:28" x14ac:dyDescent="0.25">
      <c r="A5342" t="s">
        <v>5346</v>
      </c>
      <c r="B5342">
        <v>0.99987803227770999</v>
      </c>
      <c r="C5342">
        <v>1.01879541850903</v>
      </c>
      <c r="D5342">
        <v>0.99306771330918198</v>
      </c>
      <c r="E5342">
        <v>0.87446868218951601</v>
      </c>
      <c r="F5342">
        <v>0.88031987270248602</v>
      </c>
      <c r="G5342">
        <v>0.47599571202112301</v>
      </c>
      <c r="H5342">
        <v>0.51866776447124197</v>
      </c>
      <c r="I5342">
        <v>0.50204771937266601</v>
      </c>
      <c r="J5342">
        <v>0.68964743170877196</v>
      </c>
      <c r="K5342">
        <v>0.60595348813300998</v>
      </c>
      <c r="L5342">
        <v>8931.6805886150596</v>
      </c>
      <c r="M5342">
        <v>167.53319051299201</v>
      </c>
      <c r="O5342">
        <v>53.305306401767197</v>
      </c>
      <c r="P5342">
        <v>-0.34692764860115499</v>
      </c>
      <c r="Q5342">
        <v>0.55846159641147097</v>
      </c>
      <c r="R5342">
        <v>0.89283674911096</v>
      </c>
      <c r="S5342" t="s">
        <v>11653</v>
      </c>
      <c r="T5342" t="s">
        <v>12620</v>
      </c>
      <c r="U5342" t="s">
        <v>12620</v>
      </c>
      <c r="V5342" t="s">
        <v>12620</v>
      </c>
      <c r="W5342" t="s">
        <v>17905</v>
      </c>
      <c r="X5342">
        <v>2</v>
      </c>
      <c r="Y5342" t="s">
        <v>24002</v>
      </c>
      <c r="Z5342" t="s">
        <v>30289</v>
      </c>
      <c r="AA5342">
        <v>0.75449219894257469</v>
      </c>
      <c r="AB5342" t="str">
        <f>HYPERLINK("Melting_Curves/meltCurve_Q9H6R4_2_NOL6.pdf", "Melting_Curves/meltCurve_Q9H6R4_2_NOL6.pdf")</f>
        <v>Melting_Curves/meltCurve_Q9H6R4_2_NOL6.pdf</v>
      </c>
    </row>
    <row r="5343" spans="1:28" x14ac:dyDescent="0.25">
      <c r="A5343" t="s">
        <v>5347</v>
      </c>
      <c r="B5343">
        <v>0.99987803227770999</v>
      </c>
      <c r="C5343">
        <v>0.91560020801516595</v>
      </c>
      <c r="D5343">
        <v>0.93807469116070596</v>
      </c>
      <c r="E5343">
        <v>1.07718354789507</v>
      </c>
      <c r="F5343">
        <v>1.02853875428721</v>
      </c>
      <c r="G5343">
        <v>0.77806297137929603</v>
      </c>
      <c r="H5343">
        <v>0.54981385951713602</v>
      </c>
      <c r="I5343">
        <v>0.40043698198424599</v>
      </c>
      <c r="J5343">
        <v>0.33732716624180797</v>
      </c>
      <c r="K5343">
        <v>0.17356999071246099</v>
      </c>
      <c r="L5343">
        <v>1196.3001043859399</v>
      </c>
      <c r="M5343">
        <v>19.7016360957433</v>
      </c>
      <c r="N5343">
        <v>61.993761037704203</v>
      </c>
      <c r="O5343">
        <v>60.105650715070503</v>
      </c>
      <c r="P5343">
        <v>-6.8316010308128394E-2</v>
      </c>
      <c r="Q5343">
        <v>0.166356256704182</v>
      </c>
      <c r="R5343">
        <v>0.96700279661640498</v>
      </c>
      <c r="S5343" t="s">
        <v>11654</v>
      </c>
      <c r="T5343" t="s">
        <v>12620</v>
      </c>
      <c r="U5343" t="s">
        <v>12620</v>
      </c>
      <c r="V5343" t="s">
        <v>12620</v>
      </c>
      <c r="W5343" t="s">
        <v>17906</v>
      </c>
      <c r="X5343">
        <v>4</v>
      </c>
      <c r="Y5343" t="s">
        <v>24003</v>
      </c>
      <c r="Z5343" t="s">
        <v>30290</v>
      </c>
      <c r="AA5343">
        <v>0.74775702088868923</v>
      </c>
      <c r="AB5343" t="str">
        <f>HYPERLINK("Melting_Curves/meltCurve_Q9H6R7_2_C2orf44.pdf", "Melting_Curves/meltCurve_Q9H6R7_2_C2orf44.pdf")</f>
        <v>Melting_Curves/meltCurve_Q9H6R7_2_C2orf44.pdf</v>
      </c>
    </row>
    <row r="5344" spans="1:28" x14ac:dyDescent="0.25">
      <c r="A5344" t="s">
        <v>5348</v>
      </c>
      <c r="B5344">
        <v>0.99987803227770999</v>
      </c>
      <c r="C5344">
        <v>0.99916675295478996</v>
      </c>
      <c r="D5344">
        <v>0.84419682658863304</v>
      </c>
      <c r="E5344">
        <v>0.69849769828393404</v>
      </c>
      <c r="F5344">
        <v>0.49577566916487598</v>
      </c>
      <c r="G5344">
        <v>0.31521128226927497</v>
      </c>
      <c r="H5344">
        <v>0.28020704568420302</v>
      </c>
      <c r="I5344">
        <v>0.37945537772009102</v>
      </c>
      <c r="J5344">
        <v>0.227399888908386</v>
      </c>
      <c r="K5344">
        <v>0.22390687195433701</v>
      </c>
      <c r="L5344">
        <v>849.53989451815198</v>
      </c>
      <c r="M5344">
        <v>16.744904077086499</v>
      </c>
      <c r="N5344">
        <v>52.922564921661099</v>
      </c>
      <c r="O5344">
        <v>50.027223299234898</v>
      </c>
      <c r="P5344">
        <v>-6.2779057688137102E-2</v>
      </c>
      <c r="Q5344">
        <v>0.24981213610667599</v>
      </c>
      <c r="R5344">
        <v>0.97845599378405401</v>
      </c>
      <c r="S5344" t="s">
        <v>11655</v>
      </c>
      <c r="T5344" t="s">
        <v>12620</v>
      </c>
      <c r="U5344" t="s">
        <v>12620</v>
      </c>
      <c r="V5344" t="s">
        <v>12620</v>
      </c>
      <c r="W5344" t="s">
        <v>17907</v>
      </c>
      <c r="X5344">
        <v>2</v>
      </c>
      <c r="Y5344" t="s">
        <v>24004</v>
      </c>
      <c r="Z5344" t="s">
        <v>30291</v>
      </c>
      <c r="AA5344">
        <v>0.53267998200677102</v>
      </c>
      <c r="AB5344" t="str">
        <f>HYPERLINK("Melting_Curves/meltCurve_Q9H6S0_YTHDC2.pdf", "Melting_Curves/meltCurve_Q9H6S0_YTHDC2.pdf")</f>
        <v>Melting_Curves/meltCurve_Q9H6S0_YTHDC2.pdf</v>
      </c>
    </row>
    <row r="5345" spans="1:28" x14ac:dyDescent="0.25">
      <c r="A5345" t="s">
        <v>5349</v>
      </c>
      <c r="B5345">
        <v>0.99987803227770999</v>
      </c>
      <c r="C5345">
        <v>1.02578490252483</v>
      </c>
      <c r="D5345">
        <v>0.87311047830780797</v>
      </c>
      <c r="E5345">
        <v>0.600724499599678</v>
      </c>
      <c r="F5345">
        <v>0.36931502556361001</v>
      </c>
      <c r="G5345">
        <v>0.247944966331925</v>
      </c>
      <c r="H5345">
        <v>0.20450103824973501</v>
      </c>
      <c r="I5345">
        <v>0.18608408833113901</v>
      </c>
      <c r="J5345">
        <v>0.180070736992131</v>
      </c>
      <c r="K5345">
        <v>0.14586887602416099</v>
      </c>
      <c r="L5345">
        <v>1036.9409032628701</v>
      </c>
      <c r="M5345">
        <v>20.6768888905567</v>
      </c>
      <c r="N5345">
        <v>51.190103903252002</v>
      </c>
      <c r="O5345">
        <v>49.687741447182802</v>
      </c>
      <c r="P5345">
        <v>-8.6189619920435306E-2</v>
      </c>
      <c r="Q5345">
        <v>0.171549380232798</v>
      </c>
      <c r="R5345">
        <v>0.99658002849819904</v>
      </c>
      <c r="S5345" t="s">
        <v>11656</v>
      </c>
      <c r="T5345" t="s">
        <v>12620</v>
      </c>
      <c r="U5345" t="s">
        <v>12620</v>
      </c>
      <c r="V5345" t="s">
        <v>12620</v>
      </c>
      <c r="W5345" t="s">
        <v>17908</v>
      </c>
      <c r="X5345">
        <v>5</v>
      </c>
      <c r="Y5345" t="s">
        <v>24005</v>
      </c>
      <c r="Z5345" t="s">
        <v>30292</v>
      </c>
      <c r="AA5345">
        <v>0.46263906925428072</v>
      </c>
      <c r="AB5345" t="str">
        <f>HYPERLINK("Melting_Curves/meltCurve_Q9H6S1_AZI2.pdf", "Melting_Curves/meltCurve_Q9H6S1_AZI2.pdf")</f>
        <v>Melting_Curves/meltCurve_Q9H6S1_AZI2.pdf</v>
      </c>
    </row>
    <row r="5346" spans="1:28" x14ac:dyDescent="0.25">
      <c r="A5346" t="s">
        <v>5350</v>
      </c>
      <c r="B5346">
        <v>0.99987803227770999</v>
      </c>
      <c r="C5346">
        <v>0.942760445548252</v>
      </c>
      <c r="D5346">
        <v>1.04415157265546</v>
      </c>
      <c r="E5346">
        <v>0.92960349634581196</v>
      </c>
      <c r="F5346">
        <v>0.81860954748905401</v>
      </c>
      <c r="G5346">
        <v>0.33004970561713598</v>
      </c>
      <c r="H5346">
        <v>0.25636855950936399</v>
      </c>
      <c r="I5346">
        <v>0.247446260809566</v>
      </c>
      <c r="J5346">
        <v>0.20917942338089801</v>
      </c>
      <c r="K5346">
        <v>0.16792638081272299</v>
      </c>
      <c r="L5346">
        <v>2013.4487955146999</v>
      </c>
      <c r="M5346">
        <v>36.898569068796803</v>
      </c>
      <c r="N5346">
        <v>55.395968045603396</v>
      </c>
      <c r="O5346">
        <v>54.407592555315603</v>
      </c>
      <c r="P5346">
        <v>-0.13358215034250401</v>
      </c>
      <c r="Q5346">
        <v>0.212125310743801</v>
      </c>
      <c r="R5346">
        <v>0.99094347889611301</v>
      </c>
      <c r="S5346" t="s">
        <v>11657</v>
      </c>
      <c r="T5346" t="s">
        <v>12620</v>
      </c>
      <c r="U5346" t="s">
        <v>12620</v>
      </c>
      <c r="V5346" t="s">
        <v>12620</v>
      </c>
      <c r="W5346" t="s">
        <v>17909</v>
      </c>
      <c r="X5346">
        <v>25</v>
      </c>
      <c r="Y5346" t="s">
        <v>24006</v>
      </c>
      <c r="Z5346" t="s">
        <v>30293</v>
      </c>
      <c r="AA5346">
        <v>0.59817286963400595</v>
      </c>
      <c r="AB5346" t="str">
        <f>HYPERLINK("Melting_Curves/meltCurve_Q9H6S3_EPS8L2.pdf", "Melting_Curves/meltCurve_Q9H6S3_EPS8L2.pdf")</f>
        <v>Melting_Curves/meltCurve_Q9H6S3_EPS8L2.pdf</v>
      </c>
    </row>
    <row r="5347" spans="1:28" x14ac:dyDescent="0.25">
      <c r="A5347" t="s">
        <v>5351</v>
      </c>
      <c r="B5347">
        <v>0.99987803227770999</v>
      </c>
      <c r="C5347">
        <v>0.96554257242014996</v>
      </c>
      <c r="D5347">
        <v>0.90444843764088101</v>
      </c>
      <c r="E5347">
        <v>0.94298083695397195</v>
      </c>
      <c r="F5347">
        <v>0.545097505031931</v>
      </c>
      <c r="G5347">
        <v>0.36733370950734401</v>
      </c>
      <c r="H5347">
        <v>0.27573748343377402</v>
      </c>
      <c r="I5347">
        <v>0.23097106309367099</v>
      </c>
      <c r="J5347">
        <v>0.212527712064564</v>
      </c>
      <c r="K5347">
        <v>0.15157347196762899</v>
      </c>
      <c r="L5347">
        <v>1269.66467881781</v>
      </c>
      <c r="M5347">
        <v>23.897792792233201</v>
      </c>
      <c r="N5347">
        <v>54.3280211046063</v>
      </c>
      <c r="O5347">
        <v>52.761124601134199</v>
      </c>
      <c r="P5347">
        <v>-9.0030131205181302E-2</v>
      </c>
      <c r="Q5347">
        <v>0.204945060970186</v>
      </c>
      <c r="R5347">
        <v>0.97801007113301197</v>
      </c>
      <c r="S5347" t="s">
        <v>11658</v>
      </c>
      <c r="T5347" t="s">
        <v>12620</v>
      </c>
      <c r="U5347" t="s">
        <v>12620</v>
      </c>
      <c r="V5347" t="s">
        <v>12620</v>
      </c>
      <c r="W5347" t="s">
        <v>17910</v>
      </c>
      <c r="X5347">
        <v>20</v>
      </c>
      <c r="Y5347" t="s">
        <v>24007</v>
      </c>
      <c r="Z5347" t="s">
        <v>30294</v>
      </c>
      <c r="AA5347">
        <v>0.56085270886599858</v>
      </c>
      <c r="AB5347" t="str">
        <f>HYPERLINK("Melting_Curves/meltCurve_Q9H6T3_2_RPAP3.pdf", "Melting_Curves/meltCurve_Q9H6T3_2_RPAP3.pdf")</f>
        <v>Melting_Curves/meltCurve_Q9H6T3_2_RPAP3.pdf</v>
      </c>
    </row>
    <row r="5348" spans="1:28" x14ac:dyDescent="0.25">
      <c r="A5348" t="s">
        <v>5352</v>
      </c>
      <c r="B5348">
        <v>0.99987803227770999</v>
      </c>
      <c r="C5348">
        <v>1.15584442857231</v>
      </c>
      <c r="D5348">
        <v>1.0059860734144599</v>
      </c>
      <c r="E5348">
        <v>1.0712576762163799</v>
      </c>
      <c r="F5348">
        <v>0.82085143679625405</v>
      </c>
      <c r="G5348">
        <v>0.44060412550275802</v>
      </c>
      <c r="H5348">
        <v>0.216005534462341</v>
      </c>
      <c r="I5348">
        <v>0.194053897433974</v>
      </c>
      <c r="J5348">
        <v>0.14875951052664199</v>
      </c>
      <c r="K5348">
        <v>0.11200888000470401</v>
      </c>
      <c r="L5348">
        <v>1662.0944660656901</v>
      </c>
      <c r="M5348">
        <v>29.802974483296499</v>
      </c>
      <c r="N5348">
        <v>56.418551063722298</v>
      </c>
      <c r="O5348">
        <v>55.520132242153103</v>
      </c>
      <c r="P5348">
        <v>-0.114721188984161</v>
      </c>
      <c r="Q5348">
        <v>0.14514667103632301</v>
      </c>
      <c r="R5348">
        <v>0.97790383925086799</v>
      </c>
      <c r="S5348" t="s">
        <v>11659</v>
      </c>
      <c r="T5348" t="s">
        <v>12620</v>
      </c>
      <c r="U5348" t="s">
        <v>12620</v>
      </c>
      <c r="V5348" t="s">
        <v>12620</v>
      </c>
      <c r="W5348" t="s">
        <v>17911</v>
      </c>
      <c r="X5348">
        <v>13</v>
      </c>
      <c r="Y5348" t="s">
        <v>24008</v>
      </c>
      <c r="Z5348" t="s">
        <v>30295</v>
      </c>
      <c r="AA5348">
        <v>0.6002640220190566</v>
      </c>
      <c r="AB5348" t="str">
        <f>HYPERLINK("Melting_Curves/meltCurve_Q9H6U6_2_BCAS3.pdf", "Melting_Curves/meltCurve_Q9H6U6_2_BCAS3.pdf")</f>
        <v>Melting_Curves/meltCurve_Q9H6U6_2_BCAS3.pdf</v>
      </c>
    </row>
    <row r="5349" spans="1:28" x14ac:dyDescent="0.25">
      <c r="A5349" t="s">
        <v>5353</v>
      </c>
      <c r="B5349">
        <v>0.99987803227770999</v>
      </c>
      <c r="C5349">
        <v>1.0077371858216</v>
      </c>
      <c r="D5349">
        <v>0.75969679638213505</v>
      </c>
      <c r="E5349">
        <v>0.66280818579517897</v>
      </c>
      <c r="F5349">
        <v>0.48492854919702599</v>
      </c>
      <c r="G5349">
        <v>0.32316055243228797</v>
      </c>
      <c r="H5349">
        <v>0.25871785109633999</v>
      </c>
      <c r="I5349">
        <v>0.143657553673601</v>
      </c>
      <c r="J5349">
        <v>0.16448225221804699</v>
      </c>
      <c r="K5349">
        <v>0.123646796325355</v>
      </c>
      <c r="L5349">
        <v>613.463571019867</v>
      </c>
      <c r="M5349">
        <v>11.8271410905088</v>
      </c>
      <c r="N5349">
        <v>52.772462908519103</v>
      </c>
      <c r="O5349">
        <v>50.452923985485498</v>
      </c>
      <c r="P5349">
        <v>-5.3248075884570201E-2</v>
      </c>
      <c r="Q5349">
        <v>9.1636343213528301E-2</v>
      </c>
      <c r="R5349">
        <v>0.98538850466046302</v>
      </c>
      <c r="S5349" t="s">
        <v>11660</v>
      </c>
      <c r="T5349" t="s">
        <v>12620</v>
      </c>
      <c r="U5349" t="s">
        <v>12620</v>
      </c>
      <c r="V5349" t="s">
        <v>12620</v>
      </c>
      <c r="W5349" t="s">
        <v>17912</v>
      </c>
      <c r="X5349">
        <v>5</v>
      </c>
      <c r="Y5349" t="s">
        <v>24009</v>
      </c>
      <c r="Z5349" t="s">
        <v>30296</v>
      </c>
      <c r="AA5349">
        <v>0.47959394034322039</v>
      </c>
      <c r="AB5349" t="str">
        <f>HYPERLINK("Melting_Curves/meltCurve_Q9H6W3_NO66.pdf", "Melting_Curves/meltCurve_Q9H6W3_NO66.pdf")</f>
        <v>Melting_Curves/meltCurve_Q9H6W3_NO66.pdf</v>
      </c>
    </row>
    <row r="5350" spans="1:28" x14ac:dyDescent="0.25">
      <c r="A5350" t="s">
        <v>5354</v>
      </c>
      <c r="B5350">
        <v>0.99987803227770999</v>
      </c>
      <c r="C5350">
        <v>0.82954094761855302</v>
      </c>
      <c r="D5350">
        <v>0.93693841195226701</v>
      </c>
      <c r="E5350">
        <v>0.75002595907523095</v>
      </c>
      <c r="F5350">
        <v>0.78402835920845804</v>
      </c>
      <c r="G5350">
        <v>0.55136552224633695</v>
      </c>
      <c r="H5350">
        <v>0.52102321741883095</v>
      </c>
      <c r="I5350">
        <v>0.47011495211545201</v>
      </c>
      <c r="J5350">
        <v>0.45453265894453898</v>
      </c>
      <c r="K5350">
        <v>0.35828635493779898</v>
      </c>
      <c r="L5350">
        <v>380.19494121789302</v>
      </c>
      <c r="M5350">
        <v>6.5558985180510003</v>
      </c>
      <c r="N5350">
        <v>62.1704643623235</v>
      </c>
      <c r="O5350">
        <v>53.307035229794302</v>
      </c>
      <c r="P5350">
        <v>-2.53279125284031E-2</v>
      </c>
      <c r="Q5350">
        <v>0.17815427392968899</v>
      </c>
      <c r="R5350">
        <v>0.939625102052836</v>
      </c>
      <c r="S5350" t="s">
        <v>11661</v>
      </c>
      <c r="T5350" t="s">
        <v>12620</v>
      </c>
      <c r="U5350" t="s">
        <v>12620</v>
      </c>
      <c r="V5350" t="s">
        <v>12620</v>
      </c>
      <c r="W5350" t="s">
        <v>17913</v>
      </c>
      <c r="X5350">
        <v>5</v>
      </c>
      <c r="Y5350" t="s">
        <v>24010</v>
      </c>
      <c r="Z5350" t="s">
        <v>30297</v>
      </c>
      <c r="AA5350">
        <v>0.66748649564445894</v>
      </c>
      <c r="AB5350" t="str">
        <f>HYPERLINK("Melting_Curves/meltCurve_Q9H6X2_ANTXR1.pdf", "Melting_Curves/meltCurve_Q9H6X2_ANTXR1.pdf")</f>
        <v>Melting_Curves/meltCurve_Q9H6X2_ANTXR1.pdf</v>
      </c>
    </row>
    <row r="5351" spans="1:28" x14ac:dyDescent="0.25">
      <c r="A5351" t="s">
        <v>5355</v>
      </c>
      <c r="B5351">
        <v>0.99987803227770999</v>
      </c>
      <c r="C5351">
        <v>0.892263889420296</v>
      </c>
      <c r="D5351">
        <v>0.76873277686715102</v>
      </c>
      <c r="E5351">
        <v>0.65360459319144903</v>
      </c>
      <c r="F5351">
        <v>0.46579677352591198</v>
      </c>
      <c r="G5351">
        <v>0.31776355529981898</v>
      </c>
      <c r="H5351">
        <v>0.26641992882391802</v>
      </c>
      <c r="I5351">
        <v>0.19721288529865</v>
      </c>
      <c r="J5351">
        <v>0.24210055964163801</v>
      </c>
      <c r="K5351">
        <v>0.14008861508456399</v>
      </c>
      <c r="L5351">
        <v>566.74779407035805</v>
      </c>
      <c r="M5351">
        <v>11.114659413058099</v>
      </c>
      <c r="N5351">
        <v>52.4525337801714</v>
      </c>
      <c r="O5351">
        <v>49.423877980836998</v>
      </c>
      <c r="P5351">
        <v>-4.8750263816764901E-2</v>
      </c>
      <c r="Q5351">
        <v>0.13316432557305599</v>
      </c>
      <c r="R5351">
        <v>0.98963291046811297</v>
      </c>
      <c r="S5351" t="s">
        <v>11662</v>
      </c>
      <c r="T5351" t="s">
        <v>12620</v>
      </c>
      <c r="U5351" t="s">
        <v>12620</v>
      </c>
      <c r="V5351" t="s">
        <v>12620</v>
      </c>
      <c r="W5351" t="s">
        <v>17914</v>
      </c>
      <c r="X5351">
        <v>8</v>
      </c>
      <c r="Y5351" t="s">
        <v>24011</v>
      </c>
      <c r="Z5351" t="s">
        <v>30298</v>
      </c>
      <c r="AA5351">
        <v>0.48221473398355652</v>
      </c>
      <c r="AB5351" t="str">
        <f>HYPERLINK("Melting_Curves/meltCurve_Q9H6Y2_WDR55.pdf", "Melting_Curves/meltCurve_Q9H6Y2_WDR55.pdf")</f>
        <v>Melting_Curves/meltCurve_Q9H6Y2_WDR55.pdf</v>
      </c>
    </row>
    <row r="5352" spans="1:28" x14ac:dyDescent="0.25">
      <c r="A5352" t="s">
        <v>5356</v>
      </c>
      <c r="B5352">
        <v>0.99987803227770999</v>
      </c>
      <c r="C5352">
        <v>1.0594500414228201</v>
      </c>
      <c r="D5352">
        <v>0.97770209293565802</v>
      </c>
      <c r="E5352">
        <v>1.08182223248992</v>
      </c>
      <c r="F5352">
        <v>1.1726054716026399</v>
      </c>
      <c r="G5352">
        <v>1.16699595163461</v>
      </c>
      <c r="H5352">
        <v>1.02566971491758</v>
      </c>
      <c r="I5352">
        <v>0.97745059911154097</v>
      </c>
      <c r="J5352">
        <v>0.75131239944266304</v>
      </c>
      <c r="K5352">
        <v>0.45408634755685701</v>
      </c>
      <c r="L5352">
        <v>4319.5696168671202</v>
      </c>
      <c r="M5352">
        <v>64.145446214290999</v>
      </c>
      <c r="N5352">
        <v>69.146627526844497</v>
      </c>
      <c r="O5352">
        <v>67.274880097625299</v>
      </c>
      <c r="P5352">
        <v>-0.141493319704598</v>
      </c>
      <c r="Q5352">
        <v>0.40641503638911602</v>
      </c>
      <c r="R5352">
        <v>0.83479789564413498</v>
      </c>
      <c r="S5352" t="s">
        <v>11663</v>
      </c>
      <c r="T5352" t="s">
        <v>12620</v>
      </c>
      <c r="U5352" t="s">
        <v>12620</v>
      </c>
      <c r="V5352" t="s">
        <v>12620</v>
      </c>
      <c r="W5352" t="s">
        <v>17915</v>
      </c>
      <c r="X5352">
        <v>14</v>
      </c>
      <c r="Y5352" t="s">
        <v>24012</v>
      </c>
      <c r="Z5352" t="s">
        <v>30299</v>
      </c>
      <c r="AA5352">
        <v>0.94649637081182891</v>
      </c>
      <c r="AB5352" t="str">
        <f>HYPERLINK("Melting_Curves/meltCurve_Q9H6Z4_2_RANBP3.pdf", "Melting_Curves/meltCurve_Q9H6Z4_2_RANBP3.pdf")</f>
        <v>Melting_Curves/meltCurve_Q9H6Z4_2_RANBP3.pdf</v>
      </c>
    </row>
    <row r="5353" spans="1:28" x14ac:dyDescent="0.25">
      <c r="A5353" t="s">
        <v>5357</v>
      </c>
      <c r="B5353">
        <v>0.99987803227770999</v>
      </c>
      <c r="C5353">
        <v>0.95628474169602196</v>
      </c>
      <c r="D5353">
        <v>1.02866198222584</v>
      </c>
      <c r="E5353">
        <v>0.92129360630228596</v>
      </c>
      <c r="F5353">
        <v>0.93449047120337303</v>
      </c>
      <c r="G5353">
        <v>0.73211497689290905</v>
      </c>
      <c r="H5353">
        <v>0.58234939842273103</v>
      </c>
      <c r="I5353">
        <v>0.42618415183390002</v>
      </c>
      <c r="J5353">
        <v>0.30297681985164299</v>
      </c>
      <c r="K5353">
        <v>0.209294148881814</v>
      </c>
      <c r="L5353">
        <v>758.95241974187502</v>
      </c>
      <c r="M5353">
        <v>12.159081452551501</v>
      </c>
      <c r="N5353">
        <v>62.4185653351566</v>
      </c>
      <c r="O5353">
        <v>60.802186347109</v>
      </c>
      <c r="P5353">
        <v>-5.0005872931314199E-2</v>
      </c>
      <c r="Q5353">
        <v>0</v>
      </c>
      <c r="R5353">
        <v>0.99212198740033997</v>
      </c>
      <c r="S5353" t="s">
        <v>11664</v>
      </c>
      <c r="T5353" t="s">
        <v>12620</v>
      </c>
      <c r="U5353" t="s">
        <v>12620</v>
      </c>
      <c r="V5353" t="s">
        <v>12620</v>
      </c>
      <c r="W5353" t="s">
        <v>17916</v>
      </c>
      <c r="X5353">
        <v>14</v>
      </c>
      <c r="Y5353" t="s">
        <v>24013</v>
      </c>
      <c r="Z5353" t="s">
        <v>30300</v>
      </c>
      <c r="AA5353">
        <v>0.73323183037683093</v>
      </c>
      <c r="AB5353" t="str">
        <f>HYPERLINK("Melting_Curves/meltCurve_Q9H773_DCTPP1.pdf", "Melting_Curves/meltCurve_Q9H773_DCTPP1.pdf")</f>
        <v>Melting_Curves/meltCurve_Q9H773_DCTPP1.pdf</v>
      </c>
    </row>
    <row r="5354" spans="1:28" x14ac:dyDescent="0.25">
      <c r="A5354" t="s">
        <v>5358</v>
      </c>
      <c r="B5354">
        <v>0.99987803227770999</v>
      </c>
      <c r="C5354">
        <v>0.94194096708769104</v>
      </c>
      <c r="D5354">
        <v>0.97695677045502205</v>
      </c>
      <c r="E5354">
        <v>0.69959944405041097</v>
      </c>
      <c r="F5354">
        <v>0.31653839161530201</v>
      </c>
      <c r="G5354">
        <v>0.19474271914385399</v>
      </c>
      <c r="H5354">
        <v>0.169603101619203</v>
      </c>
      <c r="I5354">
        <v>0.152338139427632</v>
      </c>
      <c r="J5354">
        <v>0.160020254570481</v>
      </c>
      <c r="K5354">
        <v>0.128614488647465</v>
      </c>
      <c r="L5354">
        <v>1720.57163319095</v>
      </c>
      <c r="M5354">
        <v>33.838794369740903</v>
      </c>
      <c r="N5354">
        <v>51.408810655995303</v>
      </c>
      <c r="O5354">
        <v>50.669540683044502</v>
      </c>
      <c r="P5354">
        <v>-0.141120087525965</v>
      </c>
      <c r="Q5354">
        <v>0.15476179342964499</v>
      </c>
      <c r="R5354">
        <v>0.996584739827855</v>
      </c>
      <c r="S5354" t="s">
        <v>11665</v>
      </c>
      <c r="T5354" t="s">
        <v>12620</v>
      </c>
      <c r="U5354" t="s">
        <v>12620</v>
      </c>
      <c r="V5354" t="s">
        <v>12620</v>
      </c>
      <c r="W5354" t="s">
        <v>17917</v>
      </c>
      <c r="X5354">
        <v>17</v>
      </c>
      <c r="Y5354" t="s">
        <v>24014</v>
      </c>
      <c r="Z5354" t="s">
        <v>30301</v>
      </c>
      <c r="AA5354">
        <v>0.464508386230296</v>
      </c>
      <c r="AB5354" t="str">
        <f>HYPERLINK("Melting_Curves/meltCurve_Q9H788_SH2D4A.pdf", "Melting_Curves/meltCurve_Q9H788_SH2D4A.pdf")</f>
        <v>Melting_Curves/meltCurve_Q9H788_SH2D4A.pdf</v>
      </c>
    </row>
    <row r="5355" spans="1:28" x14ac:dyDescent="0.25">
      <c r="A5355" t="s">
        <v>5359</v>
      </c>
      <c r="B5355">
        <v>0.99987803227770999</v>
      </c>
      <c r="C5355">
        <v>0.98500170377405805</v>
      </c>
      <c r="D5355">
        <v>0.98333818000875095</v>
      </c>
      <c r="E5355">
        <v>0.85914295663706797</v>
      </c>
      <c r="F5355">
        <v>0.82733456486118095</v>
      </c>
      <c r="G5355">
        <v>0.64816459964513295</v>
      </c>
      <c r="H5355">
        <v>0.54620639510526203</v>
      </c>
      <c r="I5355">
        <v>0.50103323894575003</v>
      </c>
      <c r="J5355">
        <v>0.46848767956781401</v>
      </c>
      <c r="K5355">
        <v>0.39450418796827402</v>
      </c>
      <c r="L5355">
        <v>661.70634510516697</v>
      </c>
      <c r="M5355">
        <v>11.674711615679399</v>
      </c>
      <c r="N5355">
        <v>63.374425033726297</v>
      </c>
      <c r="O5355">
        <v>55.092275195136601</v>
      </c>
      <c r="P5355">
        <v>-3.4213718620861498E-2</v>
      </c>
      <c r="Q5355">
        <v>0.35436303632715699</v>
      </c>
      <c r="R5355">
        <v>0.99276903550296103</v>
      </c>
      <c r="S5355" t="s">
        <v>11666</v>
      </c>
      <c r="T5355" t="s">
        <v>12620</v>
      </c>
      <c r="U5355" t="s">
        <v>12620</v>
      </c>
      <c r="V5355" t="s">
        <v>12620</v>
      </c>
      <c r="W5355" t="s">
        <v>17918</v>
      </c>
      <c r="X5355">
        <v>15</v>
      </c>
      <c r="Y5355" t="s">
        <v>24015</v>
      </c>
      <c r="Z5355" t="s">
        <v>30302</v>
      </c>
      <c r="AA5355">
        <v>0.72497502689871707</v>
      </c>
      <c r="AB5355" t="str">
        <f>HYPERLINK("Melting_Curves/meltCurve_Q9H792_PEAK1.pdf", "Melting_Curves/meltCurve_Q9H792_PEAK1.pdf")</f>
        <v>Melting_Curves/meltCurve_Q9H792_PEAK1.pdf</v>
      </c>
    </row>
    <row r="5356" spans="1:28" x14ac:dyDescent="0.25">
      <c r="A5356" t="s">
        <v>5360</v>
      </c>
      <c r="B5356">
        <v>0.99987803227770999</v>
      </c>
      <c r="C5356">
        <v>0.376797936324206</v>
      </c>
      <c r="D5356">
        <v>0.264211806401566</v>
      </c>
      <c r="E5356">
        <v>0.235883576085156</v>
      </c>
      <c r="F5356">
        <v>9.8166942951457295E-2</v>
      </c>
      <c r="G5356">
        <v>3.8818897508868001E-2</v>
      </c>
      <c r="H5356">
        <v>2.46245816833876E-2</v>
      </c>
      <c r="I5356">
        <v>1.4436205845619001E-2</v>
      </c>
      <c r="J5356">
        <v>1.5311020678040301E-2</v>
      </c>
      <c r="K5356">
        <v>5.2135456235090499E-3</v>
      </c>
      <c r="L5356">
        <v>1674.0583888752301</v>
      </c>
      <c r="M5356">
        <v>39.499819747652701</v>
      </c>
      <c r="N5356">
        <v>42.563393728840602</v>
      </c>
      <c r="O5356">
        <v>42.273226608412699</v>
      </c>
      <c r="P5356">
        <v>-0.21544933393288199</v>
      </c>
      <c r="Q5356">
        <v>7.7695166396907003E-2</v>
      </c>
      <c r="R5356">
        <v>0.91389490769522097</v>
      </c>
      <c r="S5356" t="s">
        <v>11667</v>
      </c>
      <c r="T5356" t="s">
        <v>12620</v>
      </c>
      <c r="U5356" t="s">
        <v>12620</v>
      </c>
      <c r="V5356" t="s">
        <v>12620</v>
      </c>
      <c r="W5356" t="s">
        <v>17919</v>
      </c>
      <c r="X5356">
        <v>2</v>
      </c>
      <c r="Y5356" t="s">
        <v>24016</v>
      </c>
      <c r="Z5356" t="s">
        <v>30303</v>
      </c>
      <c r="AA5356">
        <v>0.1562308830393592</v>
      </c>
      <c r="AB5356" t="str">
        <f>HYPERLINK("Melting_Curves/meltCurve_Q9H7B4_SMYD3.pdf", "Melting_Curves/meltCurve_Q9H7B4_SMYD3.pdf")</f>
        <v>Melting_Curves/meltCurve_Q9H7B4_SMYD3.pdf</v>
      </c>
    </row>
    <row r="5357" spans="1:28" x14ac:dyDescent="0.25">
      <c r="A5357" t="s">
        <v>5361</v>
      </c>
      <c r="B5357">
        <v>0.99987803227770999</v>
      </c>
      <c r="C5357">
        <v>1.01649448946067</v>
      </c>
      <c r="D5357">
        <v>0.99353360285083403</v>
      </c>
      <c r="E5357">
        <v>0.840322276260695</v>
      </c>
      <c r="F5357">
        <v>0.73703581011416197</v>
      </c>
      <c r="G5357">
        <v>0.55673183137263604</v>
      </c>
      <c r="H5357">
        <v>0.503944443339431</v>
      </c>
      <c r="I5357">
        <v>0.56286597526854698</v>
      </c>
      <c r="J5357">
        <v>0.51003256316410195</v>
      </c>
      <c r="K5357">
        <v>0.41784303087396302</v>
      </c>
      <c r="L5357">
        <v>1027.8690768506201</v>
      </c>
      <c r="M5357">
        <v>19.547629965937301</v>
      </c>
      <c r="N5357">
        <v>63.147638449408497</v>
      </c>
      <c r="O5357">
        <v>52.041765696762297</v>
      </c>
      <c r="P5357">
        <v>-4.8737290016168701E-2</v>
      </c>
      <c r="Q5357">
        <v>0.48100424236012301</v>
      </c>
      <c r="R5357">
        <v>0.97632389670054498</v>
      </c>
      <c r="S5357" t="s">
        <v>11668</v>
      </c>
      <c r="T5357" t="s">
        <v>12620</v>
      </c>
      <c r="U5357" t="s">
        <v>12620</v>
      </c>
      <c r="V5357" t="s">
        <v>12620</v>
      </c>
      <c r="W5357" t="s">
        <v>17920</v>
      </c>
      <c r="X5357">
        <v>7</v>
      </c>
      <c r="Y5357" t="s">
        <v>24017</v>
      </c>
      <c r="Z5357" t="s">
        <v>30304</v>
      </c>
      <c r="AA5357">
        <v>0.70613494745732253</v>
      </c>
      <c r="AB5357" t="str">
        <f>HYPERLINK("Melting_Curves/meltCurve_Q9H7C4_2_SYNC.pdf", "Melting_Curves/meltCurve_Q9H7C4_2_SYNC.pdf")</f>
        <v>Melting_Curves/meltCurve_Q9H7C4_2_SYNC.pdf</v>
      </c>
    </row>
    <row r="5358" spans="1:28" x14ac:dyDescent="0.25">
      <c r="A5358" t="s">
        <v>5362</v>
      </c>
      <c r="B5358">
        <v>0.99987803227770999</v>
      </c>
      <c r="C5358">
        <v>0.81523612340894103</v>
      </c>
      <c r="D5358">
        <v>0.98112120747729903</v>
      </c>
      <c r="E5358">
        <v>0.80175678509609105</v>
      </c>
      <c r="F5358">
        <v>1.0525794984899799</v>
      </c>
      <c r="G5358">
        <v>0.768622460006812</v>
      </c>
      <c r="H5358">
        <v>0.93810733130579604</v>
      </c>
      <c r="I5358">
        <v>0.88589953768785101</v>
      </c>
      <c r="J5358">
        <v>0.92508449732595099</v>
      </c>
      <c r="K5358">
        <v>0.73425547202806796</v>
      </c>
      <c r="L5358">
        <v>111.871452396718</v>
      </c>
      <c r="M5358">
        <v>1.0000000000000001E-5</v>
      </c>
      <c r="O5358">
        <v>46.625532183223498</v>
      </c>
      <c r="P5358">
        <v>-3.7395358745853798E-3</v>
      </c>
      <c r="Q5358">
        <v>4.75492853817071E-2</v>
      </c>
      <c r="R5358">
        <v>0.108719413448662</v>
      </c>
      <c r="S5358" t="s">
        <v>11669</v>
      </c>
      <c r="T5358" t="s">
        <v>12620</v>
      </c>
      <c r="U5358" t="s">
        <v>12620</v>
      </c>
      <c r="V5358" t="s">
        <v>12620</v>
      </c>
      <c r="W5358" t="s">
        <v>17921</v>
      </c>
      <c r="X5358">
        <v>8</v>
      </c>
      <c r="Y5358" t="s">
        <v>24018</v>
      </c>
      <c r="Z5358" t="s">
        <v>30305</v>
      </c>
      <c r="AA5358">
        <v>0.89078747417804049</v>
      </c>
      <c r="AB5358" t="str">
        <f>HYPERLINK("Melting_Curves/meltCurve_Q9H7C9_AAMDC.pdf", "Melting_Curves/meltCurve_Q9H7C9_AAMDC.pdf")</f>
        <v>Melting_Curves/meltCurve_Q9H7C9_AAMDC.pdf</v>
      </c>
    </row>
    <row r="5359" spans="1:28" x14ac:dyDescent="0.25">
      <c r="A5359" t="s">
        <v>5363</v>
      </c>
      <c r="B5359">
        <v>0.99987803227770999</v>
      </c>
      <c r="C5359">
        <v>0.95703505655981402</v>
      </c>
      <c r="D5359">
        <v>0.81753441606259103</v>
      </c>
      <c r="E5359">
        <v>0.73658355686114096</v>
      </c>
      <c r="F5359">
        <v>0.395065653641403</v>
      </c>
      <c r="G5359">
        <v>0.28715950770243798</v>
      </c>
      <c r="H5359">
        <v>0.26466549298809</v>
      </c>
      <c r="I5359">
        <v>0.241597102579407</v>
      </c>
      <c r="J5359">
        <v>0.23226573424515201</v>
      </c>
      <c r="K5359">
        <v>0.193698738304458</v>
      </c>
      <c r="L5359">
        <v>877.443960172929</v>
      </c>
      <c r="M5359">
        <v>17.332490037840898</v>
      </c>
      <c r="N5359">
        <v>52.2267756738404</v>
      </c>
      <c r="O5359">
        <v>49.964759351722599</v>
      </c>
      <c r="P5359">
        <v>-6.8841861318134495E-2</v>
      </c>
      <c r="Q5359">
        <v>0.20623751995935</v>
      </c>
      <c r="R5359">
        <v>0.98147371384034998</v>
      </c>
      <c r="S5359" t="s">
        <v>11670</v>
      </c>
      <c r="T5359" t="s">
        <v>12620</v>
      </c>
      <c r="U5359" t="s">
        <v>12620</v>
      </c>
      <c r="V5359" t="s">
        <v>12620</v>
      </c>
      <c r="W5359" t="s">
        <v>17922</v>
      </c>
      <c r="X5359">
        <v>26</v>
      </c>
      <c r="Y5359" t="s">
        <v>24019</v>
      </c>
      <c r="Z5359" t="s">
        <v>30306</v>
      </c>
      <c r="AA5359">
        <v>0.50173455621288066</v>
      </c>
      <c r="AB5359" t="str">
        <f>HYPERLINK("Melting_Curves/meltCurve_Q9H7D0_DOCK5.pdf", "Melting_Curves/meltCurve_Q9H7D0_DOCK5.pdf")</f>
        <v>Melting_Curves/meltCurve_Q9H7D0_DOCK5.pdf</v>
      </c>
    </row>
    <row r="5360" spans="1:28" x14ac:dyDescent="0.25">
      <c r="A5360" t="s">
        <v>5364</v>
      </c>
      <c r="B5360">
        <v>0.99987803227770999</v>
      </c>
      <c r="C5360">
        <v>0.91121843799056401</v>
      </c>
      <c r="D5360">
        <v>0.82081156385391896</v>
      </c>
      <c r="E5360">
        <v>1.0671381110415501</v>
      </c>
      <c r="F5360">
        <v>0.83594587556811795</v>
      </c>
      <c r="G5360">
        <v>0.57634401101225297</v>
      </c>
      <c r="H5360">
        <v>0.41420779929798701</v>
      </c>
      <c r="I5360">
        <v>0.32866757235252497</v>
      </c>
      <c r="J5360">
        <v>0.2111126182511</v>
      </c>
      <c r="K5360">
        <v>0.160383677398268</v>
      </c>
      <c r="L5360">
        <v>906.46900452161196</v>
      </c>
      <c r="M5360">
        <v>15.6047386951478</v>
      </c>
      <c r="N5360">
        <v>59.138797978535003</v>
      </c>
      <c r="O5360">
        <v>57.160460064136402</v>
      </c>
      <c r="P5360">
        <v>-6.0000714755962498E-2</v>
      </c>
      <c r="Q5360">
        <v>0.120940938993606</v>
      </c>
      <c r="R5360">
        <v>0.94475605892725401</v>
      </c>
      <c r="S5360" t="s">
        <v>11671</v>
      </c>
      <c r="T5360" t="s">
        <v>12620</v>
      </c>
      <c r="U5360" t="s">
        <v>12620</v>
      </c>
      <c r="V5360" t="s">
        <v>12620</v>
      </c>
      <c r="W5360" t="s">
        <v>17923</v>
      </c>
      <c r="X5360">
        <v>5</v>
      </c>
      <c r="Y5360" t="s">
        <v>24020</v>
      </c>
      <c r="Z5360" t="s">
        <v>30307</v>
      </c>
      <c r="AA5360">
        <v>0.66250057532478501</v>
      </c>
      <c r="AB5360" t="str">
        <f>HYPERLINK("Melting_Curves/meltCurve_Q9H7D7_2_WDR26.pdf", "Melting_Curves/meltCurve_Q9H7D7_2_WDR26.pdf")</f>
        <v>Melting_Curves/meltCurve_Q9H7D7_2_WDR26.pdf</v>
      </c>
    </row>
    <row r="5361" spans="1:28" x14ac:dyDescent="0.25">
      <c r="A5361" t="s">
        <v>5365</v>
      </c>
      <c r="B5361">
        <v>0.99987803227770999</v>
      </c>
      <c r="C5361">
        <v>0.91684321928843804</v>
      </c>
      <c r="D5361">
        <v>0.96734685099832496</v>
      </c>
      <c r="E5361">
        <v>0.88280729575072003</v>
      </c>
      <c r="F5361">
        <v>0.94165265284842303</v>
      </c>
      <c r="G5361">
        <v>0.761387449758407</v>
      </c>
      <c r="H5361">
        <v>0.59558532282976995</v>
      </c>
      <c r="I5361">
        <v>0.56020677192017898</v>
      </c>
      <c r="J5361">
        <v>0.46859748231839399</v>
      </c>
      <c r="K5361">
        <v>0.40703745881245501</v>
      </c>
      <c r="L5361">
        <v>588.95659387611101</v>
      </c>
      <c r="M5361">
        <v>9.48379736849758</v>
      </c>
      <c r="N5361">
        <v>65.666236686494003</v>
      </c>
      <c r="O5361">
        <v>59.5282077606916</v>
      </c>
      <c r="P5361">
        <v>-3.18340781947151E-2</v>
      </c>
      <c r="Q5361">
        <v>0.201206833901105</v>
      </c>
      <c r="R5361">
        <v>0.96834313019878104</v>
      </c>
      <c r="S5361" t="s">
        <v>11672</v>
      </c>
      <c r="T5361" t="s">
        <v>12620</v>
      </c>
      <c r="U5361" t="s">
        <v>12620</v>
      </c>
      <c r="V5361" t="s">
        <v>12620</v>
      </c>
      <c r="W5361" t="s">
        <v>17924</v>
      </c>
      <c r="X5361">
        <v>5</v>
      </c>
      <c r="Y5361" t="s">
        <v>24021</v>
      </c>
      <c r="Z5361" t="s">
        <v>30308</v>
      </c>
      <c r="AA5361">
        <v>0.76924652167201013</v>
      </c>
      <c r="AB5361" t="str">
        <f>HYPERLINK("Melting_Curves/meltCurve_Q9H7E2_3_TDRD3.pdf", "Melting_Curves/meltCurve_Q9H7E2_3_TDRD3.pdf")</f>
        <v>Melting_Curves/meltCurve_Q9H7E2_3_TDRD3.pdf</v>
      </c>
    </row>
    <row r="5362" spans="1:28" x14ac:dyDescent="0.25">
      <c r="A5362" t="s">
        <v>5366</v>
      </c>
      <c r="B5362">
        <v>0.99987803227770999</v>
      </c>
      <c r="C5362">
        <v>0.96754768350060805</v>
      </c>
      <c r="D5362">
        <v>0.98873654342399497</v>
      </c>
      <c r="E5362">
        <v>0.75103900369885801</v>
      </c>
      <c r="F5362">
        <v>0.73239532642118699</v>
      </c>
      <c r="G5362">
        <v>0.46097231954427798</v>
      </c>
      <c r="H5362">
        <v>0.462535633328507</v>
      </c>
      <c r="I5362">
        <v>0.44999297393857002</v>
      </c>
      <c r="J5362">
        <v>0.53943855060817703</v>
      </c>
      <c r="K5362">
        <v>0.450886390691765</v>
      </c>
      <c r="L5362">
        <v>1055.14731807318</v>
      </c>
      <c r="M5362">
        <v>20.5069187842576</v>
      </c>
      <c r="N5362">
        <v>58.744085826448398</v>
      </c>
      <c r="O5362">
        <v>50.9714449095625</v>
      </c>
      <c r="P5362">
        <v>-5.4237620633728903E-2</v>
      </c>
      <c r="Q5362">
        <v>0.46076961191386101</v>
      </c>
      <c r="R5362">
        <v>0.95691638131989798</v>
      </c>
      <c r="S5362" t="s">
        <v>11673</v>
      </c>
      <c r="T5362" t="s">
        <v>12620</v>
      </c>
      <c r="U5362" t="s">
        <v>12620</v>
      </c>
      <c r="V5362" t="s">
        <v>12620</v>
      </c>
      <c r="W5362" t="s">
        <v>17925</v>
      </c>
      <c r="X5362">
        <v>4</v>
      </c>
      <c r="Y5362" t="s">
        <v>24022</v>
      </c>
      <c r="Z5362" t="s">
        <v>30309</v>
      </c>
      <c r="AA5362">
        <v>0.67377321495832398</v>
      </c>
      <c r="AB5362" t="str">
        <f>HYPERLINK("Melting_Curves/meltCurve_Q9H7E9_C8orf33.pdf", "Melting_Curves/meltCurve_Q9H7E9_C8orf33.pdf")</f>
        <v>Melting_Curves/meltCurve_Q9H7E9_C8orf33.pdf</v>
      </c>
    </row>
    <row r="5363" spans="1:28" x14ac:dyDescent="0.25">
      <c r="A5363" t="s">
        <v>5367</v>
      </c>
      <c r="B5363">
        <v>0.99987803227770999</v>
      </c>
      <c r="C5363">
        <v>1.05821453205118</v>
      </c>
      <c r="D5363">
        <v>0.92929141404889704</v>
      </c>
      <c r="E5363">
        <v>0.97836737783789995</v>
      </c>
      <c r="F5363">
        <v>0.69385505384216795</v>
      </c>
      <c r="G5363">
        <v>0.317935029844374</v>
      </c>
      <c r="H5363">
        <v>0.119533291301867</v>
      </c>
      <c r="I5363">
        <v>6.8520374699734002E-2</v>
      </c>
      <c r="J5363">
        <v>4.8003031507053498E-2</v>
      </c>
      <c r="K5363">
        <v>4.6033572530648298E-2</v>
      </c>
      <c r="L5363">
        <v>1395.0639936207101</v>
      </c>
      <c r="M5363">
        <v>25.436208197245701</v>
      </c>
      <c r="N5363">
        <v>55.0475676227137</v>
      </c>
      <c r="O5363">
        <v>54.509960285027802</v>
      </c>
      <c r="P5363">
        <v>-0.11146254124031001</v>
      </c>
      <c r="Q5363">
        <v>4.4551961765121002E-2</v>
      </c>
      <c r="R5363">
        <v>0.99366998670637496</v>
      </c>
      <c r="S5363" t="s">
        <v>11674</v>
      </c>
      <c r="T5363" t="s">
        <v>12620</v>
      </c>
      <c r="U5363" t="s">
        <v>12620</v>
      </c>
      <c r="V5363" t="s">
        <v>12620</v>
      </c>
      <c r="W5363" t="s">
        <v>17926</v>
      </c>
      <c r="X5363">
        <v>2</v>
      </c>
      <c r="Y5363" t="s">
        <v>24023</v>
      </c>
      <c r="Z5363" t="s">
        <v>30310</v>
      </c>
      <c r="AA5363">
        <v>0.52593536013047248</v>
      </c>
      <c r="AB5363" t="str">
        <f>HYPERLINK("Melting_Curves/meltCurve_Q9H7L9_SUDS3.pdf", "Melting_Curves/meltCurve_Q9H7L9_SUDS3.pdf")</f>
        <v>Melting_Curves/meltCurve_Q9H7L9_SUDS3.pdf</v>
      </c>
    </row>
    <row r="5364" spans="1:28" x14ac:dyDescent="0.25">
      <c r="A5364" t="s">
        <v>5368</v>
      </c>
      <c r="B5364">
        <v>0.99987803227770999</v>
      </c>
      <c r="C5364">
        <v>0.94250913093513999</v>
      </c>
      <c r="D5364">
        <v>1.02830146198358</v>
      </c>
      <c r="E5364">
        <v>0.91150693244074199</v>
      </c>
      <c r="F5364">
        <v>0.94010725119554395</v>
      </c>
      <c r="G5364">
        <v>0.71641937082820295</v>
      </c>
      <c r="H5364">
        <v>0.74204657312422995</v>
      </c>
      <c r="I5364">
        <v>0.65230170642674701</v>
      </c>
      <c r="J5364">
        <v>0.60900574357569404</v>
      </c>
      <c r="K5364">
        <v>0.47114745042874701</v>
      </c>
      <c r="L5364">
        <v>447.05654741873201</v>
      </c>
      <c r="M5364">
        <v>6.3881232087304198</v>
      </c>
      <c r="N5364">
        <v>69.982457099819001</v>
      </c>
      <c r="O5364">
        <v>64.067661203156106</v>
      </c>
      <c r="P5364">
        <v>-2.4991718895752298E-2</v>
      </c>
      <c r="Q5364">
        <v>0</v>
      </c>
      <c r="R5364">
        <v>0.93583395853796403</v>
      </c>
      <c r="S5364" t="s">
        <v>11675</v>
      </c>
      <c r="T5364" t="s">
        <v>12620</v>
      </c>
      <c r="U5364" t="s">
        <v>12620</v>
      </c>
      <c r="V5364" t="s">
        <v>12620</v>
      </c>
      <c r="W5364" t="s">
        <v>17927</v>
      </c>
      <c r="X5364">
        <v>13</v>
      </c>
      <c r="Y5364" t="s">
        <v>24024</v>
      </c>
      <c r="Z5364" t="s">
        <v>30311</v>
      </c>
      <c r="AA5364">
        <v>0.8113285557593255</v>
      </c>
      <c r="AB5364" t="str">
        <f>HYPERLINK("Melting_Curves/meltCurve_Q9H7N4_SCAF1.pdf", "Melting_Curves/meltCurve_Q9H7N4_SCAF1.pdf")</f>
        <v>Melting_Curves/meltCurve_Q9H7N4_SCAF1.pdf</v>
      </c>
    </row>
    <row r="5365" spans="1:28" x14ac:dyDescent="0.25">
      <c r="A5365" t="s">
        <v>5369</v>
      </c>
      <c r="B5365">
        <v>0.99987803227770999</v>
      </c>
      <c r="C5365">
        <v>0.89326719408998501</v>
      </c>
      <c r="D5365">
        <v>0.88720040899960195</v>
      </c>
      <c r="E5365">
        <v>0.69681636527498603</v>
      </c>
      <c r="F5365">
        <v>0.71884495321134201</v>
      </c>
      <c r="G5365">
        <v>0.529593434655245</v>
      </c>
      <c r="H5365">
        <v>0.57490117053790801</v>
      </c>
      <c r="I5365">
        <v>0.56410958374014197</v>
      </c>
      <c r="J5365">
        <v>0.64519652422034601</v>
      </c>
      <c r="K5365">
        <v>0.52802059360249298</v>
      </c>
      <c r="L5365">
        <v>693.43661020654304</v>
      </c>
      <c r="M5365">
        <v>14.3499202723417</v>
      </c>
      <c r="O5365">
        <v>47.413988854371297</v>
      </c>
      <c r="P5365">
        <v>-3.3409732705130799E-2</v>
      </c>
      <c r="Q5365">
        <v>0.55849271291055302</v>
      </c>
      <c r="R5365">
        <v>0.91747360429059599</v>
      </c>
      <c r="S5365" t="s">
        <v>11676</v>
      </c>
      <c r="T5365" t="s">
        <v>12620</v>
      </c>
      <c r="U5365" t="s">
        <v>12620</v>
      </c>
      <c r="V5365" t="s">
        <v>12620</v>
      </c>
      <c r="W5365" t="s">
        <v>17928</v>
      </c>
      <c r="X5365">
        <v>9</v>
      </c>
      <c r="Y5365" t="s">
        <v>24025</v>
      </c>
      <c r="Z5365" t="s">
        <v>30312</v>
      </c>
      <c r="AA5365">
        <v>0.69318395762904117</v>
      </c>
      <c r="AB5365" t="str">
        <f>HYPERLINK("Melting_Curves/meltCurve_Q9H7P9_PLEKHG2.pdf", "Melting_Curves/meltCurve_Q9H7P9_PLEKHG2.pdf")</f>
        <v>Melting_Curves/meltCurve_Q9H7P9_PLEKHG2.pdf</v>
      </c>
    </row>
    <row r="5366" spans="1:28" x14ac:dyDescent="0.25">
      <c r="A5366" t="s">
        <v>5370</v>
      </c>
      <c r="B5366">
        <v>0.99987803227770999</v>
      </c>
      <c r="C5366">
        <v>1.0780255846473199</v>
      </c>
      <c r="D5366">
        <v>1.02316506108723</v>
      </c>
      <c r="E5366">
        <v>1.2316982466937201</v>
      </c>
      <c r="F5366">
        <v>0.95997900327784502</v>
      </c>
      <c r="G5366">
        <v>0.60466550316908896</v>
      </c>
      <c r="H5366">
        <v>0.13433484235597401</v>
      </c>
      <c r="I5366">
        <v>9.2375183566755406E-2</v>
      </c>
      <c r="J5366">
        <v>6.7652621817627406E-2</v>
      </c>
      <c r="K5366">
        <v>2.5082577976006298E-2</v>
      </c>
      <c r="L5366">
        <v>2392.3184766313402</v>
      </c>
      <c r="M5366">
        <v>41.634135966011897</v>
      </c>
      <c r="N5366">
        <v>57.625427963253102</v>
      </c>
      <c r="O5366">
        <v>57.328427286635701</v>
      </c>
      <c r="P5366">
        <v>-0.171362697380289</v>
      </c>
      <c r="Q5366">
        <v>5.6165374284049302E-2</v>
      </c>
      <c r="R5366">
        <v>0.97111839349742701</v>
      </c>
      <c r="S5366" t="s">
        <v>11677</v>
      </c>
      <c r="T5366" t="s">
        <v>12620</v>
      </c>
      <c r="U5366" t="s">
        <v>12620</v>
      </c>
      <c r="V5366" t="s">
        <v>12620</v>
      </c>
      <c r="W5366" t="s">
        <v>17929</v>
      </c>
      <c r="X5366">
        <v>2</v>
      </c>
      <c r="Y5366" t="s">
        <v>24026</v>
      </c>
      <c r="Z5366" t="s">
        <v>30313</v>
      </c>
      <c r="AA5366">
        <v>0.60891235026697688</v>
      </c>
      <c r="AB5366" t="str">
        <f>HYPERLINK("Melting_Curves/meltCurve_Q9H7R5_2_ZNF665.pdf", "Melting_Curves/meltCurve_Q9H7R5_2_ZNF665.pdf")</f>
        <v>Melting_Curves/meltCurve_Q9H7R5_2_ZNF665.pdf</v>
      </c>
    </row>
    <row r="5367" spans="1:28" x14ac:dyDescent="0.25">
      <c r="A5367" t="s">
        <v>5371</v>
      </c>
      <c r="B5367">
        <v>0.99987803227770999</v>
      </c>
      <c r="C5367">
        <v>0.934118034776664</v>
      </c>
      <c r="D5367">
        <v>1.0472466447624</v>
      </c>
      <c r="E5367">
        <v>0.881578066732009</v>
      </c>
      <c r="F5367">
        <v>0.85495400938289701</v>
      </c>
      <c r="G5367">
        <v>0.69723795236872399</v>
      </c>
      <c r="H5367">
        <v>0.709392589752178</v>
      </c>
      <c r="I5367">
        <v>0.69517261378400597</v>
      </c>
      <c r="J5367">
        <v>0.64698474439160603</v>
      </c>
      <c r="K5367">
        <v>0.58103045392677199</v>
      </c>
      <c r="L5367">
        <v>768.21268548808803</v>
      </c>
      <c r="M5367">
        <v>14.176057631360299</v>
      </c>
      <c r="O5367">
        <v>53.146671095487399</v>
      </c>
      <c r="P5367">
        <v>-2.57563284550665E-2</v>
      </c>
      <c r="Q5367">
        <v>0.61380206324216802</v>
      </c>
      <c r="R5367">
        <v>0.92542432603873703</v>
      </c>
      <c r="S5367" t="s">
        <v>11678</v>
      </c>
      <c r="T5367" t="s">
        <v>12620</v>
      </c>
      <c r="U5367" t="s">
        <v>12620</v>
      </c>
      <c r="V5367" t="s">
        <v>12620</v>
      </c>
      <c r="W5367" t="s">
        <v>17930</v>
      </c>
      <c r="X5367">
        <v>2</v>
      </c>
      <c r="Y5367" t="s">
        <v>24027</v>
      </c>
      <c r="Z5367" t="s">
        <v>30314</v>
      </c>
      <c r="AA5367">
        <v>0.80485972805176309</v>
      </c>
      <c r="AB5367" t="str">
        <f>HYPERLINK("Melting_Curves/meltCurve_Q9H7S9_ZNF703.pdf", "Melting_Curves/meltCurve_Q9H7S9_ZNF703.pdf")</f>
        <v>Melting_Curves/meltCurve_Q9H7S9_ZNF703.pdf</v>
      </c>
    </row>
    <row r="5368" spans="1:28" x14ac:dyDescent="0.25">
      <c r="A5368" t="s">
        <v>5372</v>
      </c>
      <c r="B5368">
        <v>0.99987803227770999</v>
      </c>
      <c r="C5368">
        <v>0.66194639076842199</v>
      </c>
      <c r="D5368">
        <v>0.89315334424830894</v>
      </c>
      <c r="E5368">
        <v>0.74642724667795601</v>
      </c>
      <c r="F5368">
        <v>0.84771967157321204</v>
      </c>
      <c r="G5368">
        <v>0.72047853860104205</v>
      </c>
      <c r="H5368">
        <v>0.75933691292611405</v>
      </c>
      <c r="I5368">
        <v>0.68042347777601098</v>
      </c>
      <c r="J5368">
        <v>0.68933960467057298</v>
      </c>
      <c r="K5368">
        <v>0.596382949086387</v>
      </c>
      <c r="L5368">
        <v>132.95204116745501</v>
      </c>
      <c r="M5368">
        <v>1.28928206055692</v>
      </c>
      <c r="O5368">
        <v>45.151370358226501</v>
      </c>
      <c r="P5368">
        <v>-8.7824523613775508E-3</v>
      </c>
      <c r="Q5368">
        <v>0</v>
      </c>
      <c r="R5368">
        <v>0.467863033361128</v>
      </c>
      <c r="S5368" t="s">
        <v>11679</v>
      </c>
      <c r="T5368" t="s">
        <v>12620</v>
      </c>
      <c r="U5368" t="s">
        <v>12620</v>
      </c>
      <c r="V5368" t="s">
        <v>12620</v>
      </c>
      <c r="W5368" t="s">
        <v>17931</v>
      </c>
      <c r="X5368">
        <v>4</v>
      </c>
      <c r="Y5368" t="s">
        <v>24028</v>
      </c>
      <c r="Z5368" t="s">
        <v>30315</v>
      </c>
      <c r="AA5368">
        <v>0.75930703203099637</v>
      </c>
      <c r="AB5368" t="str">
        <f>HYPERLINK("Melting_Curves/meltCurve_Q9H7U1_3_CCSER2.pdf", "Melting_Curves/meltCurve_Q9H7U1_3_CCSER2.pdf")</f>
        <v>Melting_Curves/meltCurve_Q9H7U1_3_CCSER2.pdf</v>
      </c>
    </row>
    <row r="5369" spans="1:28" x14ac:dyDescent="0.25">
      <c r="A5369" t="s">
        <v>5373</v>
      </c>
      <c r="B5369">
        <v>0.99987803227770999</v>
      </c>
      <c r="C5369">
        <v>1.0415837428882</v>
      </c>
      <c r="D5369">
        <v>0.93581294511797997</v>
      </c>
      <c r="E5369">
        <v>0.99892761168120203</v>
      </c>
      <c r="F5369">
        <v>1.00577921461444</v>
      </c>
      <c r="G5369">
        <v>0.65568345626767299</v>
      </c>
      <c r="H5369">
        <v>0.66343341552744595</v>
      </c>
      <c r="I5369">
        <v>0.74762191268683298</v>
      </c>
      <c r="J5369">
        <v>0.51162468827710506</v>
      </c>
      <c r="K5369">
        <v>0.337473324013771</v>
      </c>
      <c r="L5369">
        <v>586.82931441915605</v>
      </c>
      <c r="M5369">
        <v>8.7661760221151805</v>
      </c>
      <c r="N5369">
        <v>66.942451166810699</v>
      </c>
      <c r="O5369">
        <v>63.732934100789699</v>
      </c>
      <c r="P5369">
        <v>-3.4413951088374202E-2</v>
      </c>
      <c r="Q5369">
        <v>0</v>
      </c>
      <c r="R5369">
        <v>0.86607545136533104</v>
      </c>
      <c r="S5369" t="s">
        <v>11680</v>
      </c>
      <c r="T5369" t="s">
        <v>12620</v>
      </c>
      <c r="U5369" t="s">
        <v>12620</v>
      </c>
      <c r="V5369" t="s">
        <v>12620</v>
      </c>
      <c r="W5369" t="s">
        <v>17932</v>
      </c>
      <c r="X5369">
        <v>3</v>
      </c>
      <c r="Y5369" t="s">
        <v>24029</v>
      </c>
      <c r="Z5369" t="s">
        <v>30316</v>
      </c>
      <c r="AA5369">
        <v>0.80329222642559062</v>
      </c>
      <c r="AB5369" t="str">
        <f>HYPERLINK("Melting_Curves/meltCurve_Q9H7X3_ZNF696.pdf", "Melting_Curves/meltCurve_Q9H7X3_ZNF696.pdf")</f>
        <v>Melting_Curves/meltCurve_Q9H7X3_ZNF696.pdf</v>
      </c>
    </row>
    <row r="5370" spans="1:28" x14ac:dyDescent="0.25">
      <c r="A5370" t="s">
        <v>5374</v>
      </c>
      <c r="B5370">
        <v>0.99987803227770999</v>
      </c>
      <c r="C5370">
        <v>0.94675771349289894</v>
      </c>
      <c r="D5370">
        <v>0.93048638337515199</v>
      </c>
      <c r="E5370">
        <v>0.73584678637090495</v>
      </c>
      <c r="F5370">
        <v>0.63048329229828204</v>
      </c>
      <c r="G5370">
        <v>0.47877249368727298</v>
      </c>
      <c r="H5370">
        <v>0.36631213349791802</v>
      </c>
      <c r="I5370">
        <v>0.27178244269567597</v>
      </c>
      <c r="J5370">
        <v>0.19878902616015701</v>
      </c>
      <c r="K5370">
        <v>0.14697255409214</v>
      </c>
      <c r="L5370">
        <v>521.95879151043903</v>
      </c>
      <c r="M5370">
        <v>9.2894356937451708</v>
      </c>
      <c r="N5370">
        <v>56.5067058815984</v>
      </c>
      <c r="O5370">
        <v>53.768767355925398</v>
      </c>
      <c r="P5370">
        <v>-4.2117800014863899E-2</v>
      </c>
      <c r="Q5370">
        <v>2.5489015322371598E-2</v>
      </c>
      <c r="R5370">
        <v>0.99560803065334502</v>
      </c>
      <c r="S5370" t="s">
        <v>11681</v>
      </c>
      <c r="T5370" t="s">
        <v>12620</v>
      </c>
      <c r="U5370" t="s">
        <v>12620</v>
      </c>
      <c r="V5370" t="s">
        <v>12620</v>
      </c>
      <c r="W5370" t="s">
        <v>17933</v>
      </c>
      <c r="X5370">
        <v>3</v>
      </c>
      <c r="Y5370" t="s">
        <v>24030</v>
      </c>
      <c r="Z5370" t="s">
        <v>30317</v>
      </c>
      <c r="AA5370">
        <v>0.5706804539506749</v>
      </c>
      <c r="AB5370" t="str">
        <f>HYPERLINK("Melting_Curves/meltCurve_Q9H7X7_2_RABL5.pdf", "Melting_Curves/meltCurve_Q9H7X7_2_RABL5.pdf")</f>
        <v>Melting_Curves/meltCurve_Q9H7X7_2_RABL5.pdf</v>
      </c>
    </row>
    <row r="5371" spans="1:28" x14ac:dyDescent="0.25">
      <c r="A5371" t="s">
        <v>5375</v>
      </c>
      <c r="B5371">
        <v>0.99987803227770999</v>
      </c>
      <c r="C5371">
        <v>0.80661715142967105</v>
      </c>
      <c r="D5371">
        <v>0.85466599199220294</v>
      </c>
      <c r="E5371">
        <v>0.737161529353342</v>
      </c>
      <c r="F5371">
        <v>0.80279828186177804</v>
      </c>
      <c r="G5371">
        <v>0.58316022883316898</v>
      </c>
      <c r="H5371">
        <v>0.57237336916011206</v>
      </c>
      <c r="I5371">
        <v>0.53104669560158102</v>
      </c>
      <c r="J5371">
        <v>0.50892640608389605</v>
      </c>
      <c r="K5371">
        <v>0.42525135522261598</v>
      </c>
      <c r="L5371">
        <v>268.87964017827397</v>
      </c>
      <c r="M5371">
        <v>4.2746946103256001</v>
      </c>
      <c r="N5371">
        <v>65.724790167294103</v>
      </c>
      <c r="O5371">
        <v>52.691883803648203</v>
      </c>
      <c r="P5371">
        <v>-1.8772319277674299E-2</v>
      </c>
      <c r="Q5371">
        <v>8.3908048205512495E-2</v>
      </c>
      <c r="R5371">
        <v>0.91548898463070905</v>
      </c>
      <c r="S5371" t="s">
        <v>11682</v>
      </c>
      <c r="T5371" t="s">
        <v>12620</v>
      </c>
      <c r="U5371" t="s">
        <v>12620</v>
      </c>
      <c r="V5371" t="s">
        <v>12620</v>
      </c>
      <c r="W5371" t="s">
        <v>17934</v>
      </c>
      <c r="X5371">
        <v>6</v>
      </c>
      <c r="Y5371" t="s">
        <v>24031</v>
      </c>
      <c r="Z5371" t="s">
        <v>30318</v>
      </c>
      <c r="AA5371">
        <v>0.68232929744949544</v>
      </c>
      <c r="AB5371" t="str">
        <f>HYPERLINK("Melting_Curves/meltCurve_Q9H7Z6_KAT8.pdf", "Melting_Curves/meltCurve_Q9H7Z6_KAT8.pdf")</f>
        <v>Melting_Curves/meltCurve_Q9H7Z6_KAT8.pdf</v>
      </c>
    </row>
    <row r="5372" spans="1:28" x14ac:dyDescent="0.25">
      <c r="A5372" t="s">
        <v>5376</v>
      </c>
      <c r="B5372">
        <v>0.99987803227770999</v>
      </c>
      <c r="C5372">
        <v>1.08041506678571</v>
      </c>
      <c r="D5372">
        <v>0.90643039575787399</v>
      </c>
      <c r="E5372">
        <v>0.77699972810554896</v>
      </c>
      <c r="F5372">
        <v>0.31561930297581098</v>
      </c>
      <c r="G5372">
        <v>0.142159683208745</v>
      </c>
      <c r="H5372">
        <v>0.12136047291839799</v>
      </c>
      <c r="I5372">
        <v>0.120112344724669</v>
      </c>
      <c r="J5372">
        <v>8.69780502571985E-2</v>
      </c>
      <c r="K5372">
        <v>6.3443802469338895E-2</v>
      </c>
      <c r="L5372">
        <v>1827.4379357052401</v>
      </c>
      <c r="M5372">
        <v>35.539312073096298</v>
      </c>
      <c r="N5372">
        <v>51.7409034449378</v>
      </c>
      <c r="O5372">
        <v>51.258192242121702</v>
      </c>
      <c r="P5372">
        <v>-0.15619965070640099</v>
      </c>
      <c r="Q5372">
        <v>9.88587382386409E-2</v>
      </c>
      <c r="R5372">
        <v>0.99014743738863098</v>
      </c>
      <c r="S5372" t="s">
        <v>11683</v>
      </c>
      <c r="T5372" t="s">
        <v>12620</v>
      </c>
      <c r="U5372" t="s">
        <v>12620</v>
      </c>
      <c r="V5372" t="s">
        <v>12620</v>
      </c>
      <c r="W5372" t="s">
        <v>17935</v>
      </c>
      <c r="X5372">
        <v>6</v>
      </c>
      <c r="Y5372" t="s">
        <v>24032</v>
      </c>
      <c r="Z5372" t="s">
        <v>30319</v>
      </c>
      <c r="AA5372">
        <v>0.44596095938547747</v>
      </c>
      <c r="AB5372" t="str">
        <f>HYPERLINK("Melting_Curves/meltCurve_Q9H7Z7_PTGES2.pdf", "Melting_Curves/meltCurve_Q9H7Z7_PTGES2.pdf")</f>
        <v>Melting_Curves/meltCurve_Q9H7Z7_PTGES2.pdf</v>
      </c>
    </row>
    <row r="5373" spans="1:28" x14ac:dyDescent="0.25">
      <c r="A5373" t="s">
        <v>5377</v>
      </c>
      <c r="B5373">
        <v>0.99987803227770999</v>
      </c>
      <c r="C5373">
        <v>0.97898369521724404</v>
      </c>
      <c r="D5373">
        <v>0.97122138983818096</v>
      </c>
      <c r="E5373">
        <v>1.11223808192044</v>
      </c>
      <c r="F5373">
        <v>1.1301830501269701</v>
      </c>
      <c r="G5373">
        <v>0.93687619891219698</v>
      </c>
      <c r="H5373">
        <v>0.86495448083992699</v>
      </c>
      <c r="I5373">
        <v>0.75813184609619699</v>
      </c>
      <c r="J5373">
        <v>0.75144304521622096</v>
      </c>
      <c r="K5373">
        <v>0.57495046011128503</v>
      </c>
      <c r="L5373">
        <v>1137.86476953336</v>
      </c>
      <c r="M5373">
        <v>17.381765994287601</v>
      </c>
      <c r="O5373">
        <v>64.6150899845738</v>
      </c>
      <c r="P5373">
        <v>-3.5201054369492502E-2</v>
      </c>
      <c r="Q5373">
        <v>0.47660321467731398</v>
      </c>
      <c r="R5373">
        <v>0.84829481433852405</v>
      </c>
      <c r="S5373" t="s">
        <v>11684</v>
      </c>
      <c r="T5373" t="s">
        <v>12620</v>
      </c>
      <c r="U5373" t="s">
        <v>12620</v>
      </c>
      <c r="V5373" t="s">
        <v>12620</v>
      </c>
      <c r="W5373" t="s">
        <v>17936</v>
      </c>
      <c r="X5373">
        <v>14</v>
      </c>
      <c r="Y5373" t="s">
        <v>24033</v>
      </c>
      <c r="Z5373" t="s">
        <v>30320</v>
      </c>
      <c r="AA5373">
        <v>0.90931308557974044</v>
      </c>
      <c r="AB5373" t="str">
        <f>HYPERLINK("Melting_Curves/meltCurve_Q9H814_PHAX.pdf", "Melting_Curves/meltCurve_Q9H814_PHAX.pdf")</f>
        <v>Melting_Curves/meltCurve_Q9H814_PHAX.pdf</v>
      </c>
    </row>
    <row r="5374" spans="1:28" x14ac:dyDescent="0.25">
      <c r="A5374" t="s">
        <v>5378</v>
      </c>
      <c r="B5374">
        <v>0.99987803227770999</v>
      </c>
      <c r="C5374">
        <v>0.89530811524481102</v>
      </c>
      <c r="D5374">
        <v>1.05373020699866</v>
      </c>
      <c r="E5374">
        <v>0.87094895462967403</v>
      </c>
      <c r="F5374">
        <v>0.83735007868810596</v>
      </c>
      <c r="G5374">
        <v>0.26212068673560002</v>
      </c>
      <c r="H5374">
        <v>0.140190436661046</v>
      </c>
      <c r="I5374">
        <v>0.12191904587558899</v>
      </c>
      <c r="J5374">
        <v>9.5756335791006703E-2</v>
      </c>
      <c r="K5374">
        <v>6.3569485302675199E-2</v>
      </c>
      <c r="L5374">
        <v>1963.5466169820299</v>
      </c>
      <c r="M5374">
        <v>35.769754066267602</v>
      </c>
      <c r="N5374">
        <v>55.215130648467202</v>
      </c>
      <c r="O5374">
        <v>54.723323857921002</v>
      </c>
      <c r="P5374">
        <v>-0.14806804954962899</v>
      </c>
      <c r="Q5374">
        <v>9.3899330537593098E-2</v>
      </c>
      <c r="R5374">
        <v>0.98282775089891905</v>
      </c>
      <c r="S5374" t="s">
        <v>11685</v>
      </c>
      <c r="T5374" t="s">
        <v>12620</v>
      </c>
      <c r="U5374" t="s">
        <v>12620</v>
      </c>
      <c r="V5374" t="s">
        <v>12620</v>
      </c>
      <c r="W5374" t="s">
        <v>17937</v>
      </c>
      <c r="X5374">
        <v>15</v>
      </c>
      <c r="Y5374" t="s">
        <v>24034</v>
      </c>
      <c r="Z5374" t="s">
        <v>30321</v>
      </c>
      <c r="AA5374">
        <v>0.54802378093087922</v>
      </c>
      <c r="AB5374" t="str">
        <f>HYPERLINK("Melting_Curves/meltCurve_Q9H832_UBE2Z.pdf", "Melting_Curves/meltCurve_Q9H832_UBE2Z.pdf")</f>
        <v>Melting_Curves/meltCurve_Q9H832_UBE2Z.pdf</v>
      </c>
    </row>
    <row r="5375" spans="1:28" x14ac:dyDescent="0.25">
      <c r="A5375" t="s">
        <v>5379</v>
      </c>
      <c r="B5375">
        <v>0.99987803227770999</v>
      </c>
      <c r="C5375">
        <v>1.1169372407441001</v>
      </c>
      <c r="D5375">
        <v>1.15277709315095</v>
      </c>
      <c r="E5375">
        <v>1.12374001086692</v>
      </c>
      <c r="F5375">
        <v>0.93599459377975502</v>
      </c>
      <c r="G5375">
        <v>0.69212909180405702</v>
      </c>
      <c r="H5375">
        <v>0.25753054643711099</v>
      </c>
      <c r="I5375">
        <v>0.12635850686665101</v>
      </c>
      <c r="J5375">
        <v>5.05878140422815E-2</v>
      </c>
      <c r="K5375">
        <v>3.7502464591822403E-2</v>
      </c>
      <c r="L5375">
        <v>1709.8349078246399</v>
      </c>
      <c r="M5375">
        <v>29.224606049121999</v>
      </c>
      <c r="N5375">
        <v>58.655191690409602</v>
      </c>
      <c r="O5375">
        <v>58.234771797720903</v>
      </c>
      <c r="P5375">
        <v>-0.12098720264695099</v>
      </c>
      <c r="Q5375">
        <v>3.5659992207620901E-2</v>
      </c>
      <c r="R5375">
        <v>0.97336890368769202</v>
      </c>
      <c r="S5375" t="s">
        <v>11686</v>
      </c>
      <c r="T5375" t="s">
        <v>12620</v>
      </c>
      <c r="U5375" t="s">
        <v>12620</v>
      </c>
      <c r="V5375" t="s">
        <v>12620</v>
      </c>
      <c r="W5375" t="s">
        <v>17938</v>
      </c>
      <c r="X5375">
        <v>4</v>
      </c>
      <c r="Y5375" t="s">
        <v>24035</v>
      </c>
      <c r="Z5375" t="s">
        <v>30322</v>
      </c>
      <c r="AA5375">
        <v>0.63708994554336607</v>
      </c>
      <c r="AB5375" t="str">
        <f>HYPERLINK("Melting_Curves/meltCurve_Q9H840_GEMIN7.pdf", "Melting_Curves/meltCurve_Q9H840_GEMIN7.pdf")</f>
        <v>Melting_Curves/meltCurve_Q9H840_GEMIN7.pdf</v>
      </c>
    </row>
    <row r="5376" spans="1:28" x14ac:dyDescent="0.25">
      <c r="A5376" t="s">
        <v>5380</v>
      </c>
      <c r="B5376">
        <v>0.99987803227770999</v>
      </c>
      <c r="C5376">
        <v>1.2006996259942999</v>
      </c>
      <c r="D5376">
        <v>0.90568083290049695</v>
      </c>
      <c r="E5376">
        <v>0.73785082257714196</v>
      </c>
      <c r="F5376">
        <v>0.27158772073114601</v>
      </c>
      <c r="G5376">
        <v>0.24061966377562999</v>
      </c>
      <c r="H5376">
        <v>0.13974037190667901</v>
      </c>
      <c r="I5376">
        <v>0.14774948855144801</v>
      </c>
      <c r="J5376">
        <v>8.9633208287274904E-2</v>
      </c>
      <c r="K5376">
        <v>5.1347693199780102E-2</v>
      </c>
      <c r="L5376">
        <v>1759.4165973853901</v>
      </c>
      <c r="M5376">
        <v>34.478524672228701</v>
      </c>
      <c r="N5376">
        <v>51.449945500018202</v>
      </c>
      <c r="O5376">
        <v>50.858599221243601</v>
      </c>
      <c r="P5376">
        <v>-0.14866841997930999</v>
      </c>
      <c r="Q5376">
        <v>0.122811745424486</v>
      </c>
      <c r="R5376">
        <v>0.96188698754832902</v>
      </c>
      <c r="S5376" t="s">
        <v>11687</v>
      </c>
      <c r="T5376" t="s">
        <v>12620</v>
      </c>
      <c r="U5376" t="s">
        <v>12620</v>
      </c>
      <c r="V5376" t="s">
        <v>12620</v>
      </c>
      <c r="W5376" t="s">
        <v>17939</v>
      </c>
      <c r="X5376">
        <v>2</v>
      </c>
      <c r="Y5376" t="s">
        <v>24036</v>
      </c>
      <c r="Z5376" t="s">
        <v>30323</v>
      </c>
      <c r="AA5376">
        <v>0.44947823775116041</v>
      </c>
      <c r="AB5376" t="str">
        <f>HYPERLINK("Melting_Curves/meltCurve_Q9H845_ACAD9.pdf", "Melting_Curves/meltCurve_Q9H845_ACAD9.pdf")</f>
        <v>Melting_Curves/meltCurve_Q9H845_ACAD9.pdf</v>
      </c>
    </row>
    <row r="5377" spans="1:28" x14ac:dyDescent="0.25">
      <c r="A5377" t="s">
        <v>5381</v>
      </c>
      <c r="B5377">
        <v>0.99987803227770999</v>
      </c>
      <c r="C5377">
        <v>1.01596181578149</v>
      </c>
      <c r="D5377">
        <v>0.92227966037089104</v>
      </c>
      <c r="E5377">
        <v>0.75865953484780402</v>
      </c>
      <c r="F5377">
        <v>0.57714846407770704</v>
      </c>
      <c r="G5377">
        <v>0.296231562721468</v>
      </c>
      <c r="H5377">
        <v>0.20373773647328999</v>
      </c>
      <c r="I5377">
        <v>0.168371665879157</v>
      </c>
      <c r="J5377">
        <v>0.11883725369594</v>
      </c>
      <c r="K5377">
        <v>8.8558304812529007E-2</v>
      </c>
      <c r="L5377">
        <v>867.14155912578701</v>
      </c>
      <c r="M5377">
        <v>16.2882248859672</v>
      </c>
      <c r="N5377">
        <v>53.890356146812103</v>
      </c>
      <c r="O5377">
        <v>52.454292662027903</v>
      </c>
      <c r="P5377">
        <v>-7.0683224610667297E-2</v>
      </c>
      <c r="Q5377">
        <v>8.9559166857228895E-2</v>
      </c>
      <c r="R5377">
        <v>0.99750857425747297</v>
      </c>
      <c r="S5377" t="s">
        <v>11688</v>
      </c>
      <c r="T5377" t="s">
        <v>12620</v>
      </c>
      <c r="U5377" t="s">
        <v>12620</v>
      </c>
      <c r="V5377" t="s">
        <v>12620</v>
      </c>
      <c r="W5377" t="s">
        <v>17940</v>
      </c>
      <c r="X5377">
        <v>3</v>
      </c>
      <c r="Y5377" t="s">
        <v>24037</v>
      </c>
      <c r="Z5377" t="s">
        <v>30324</v>
      </c>
      <c r="AA5377">
        <v>0.50855247994025177</v>
      </c>
      <c r="AB5377" t="str">
        <f>HYPERLINK("Melting_Curves/meltCurve_Q9H857_2_NT5DC2.pdf", "Melting_Curves/meltCurve_Q9H857_2_NT5DC2.pdf")</f>
        <v>Melting_Curves/meltCurve_Q9H857_2_NT5DC2.pdf</v>
      </c>
    </row>
    <row r="5378" spans="1:28" x14ac:dyDescent="0.25">
      <c r="A5378" t="s">
        <v>5382</v>
      </c>
      <c r="B5378">
        <v>0.99987803227770999</v>
      </c>
      <c r="C5378">
        <v>0.84837547925335499</v>
      </c>
      <c r="D5378">
        <v>0.90388702916651398</v>
      </c>
      <c r="E5378">
        <v>0.87597380419140503</v>
      </c>
      <c r="F5378">
        <v>1.1030344456816701</v>
      </c>
      <c r="G5378">
        <v>0.90235755315702304</v>
      </c>
      <c r="H5378">
        <v>0.79310531913391502</v>
      </c>
      <c r="I5378">
        <v>0.85506565542298496</v>
      </c>
      <c r="J5378">
        <v>0.71907688836422001</v>
      </c>
      <c r="K5378">
        <v>0.650278286777623</v>
      </c>
      <c r="L5378">
        <v>476.251282959653</v>
      </c>
      <c r="M5378">
        <v>6.1058736710548498</v>
      </c>
      <c r="Q5378">
        <v>0</v>
      </c>
      <c r="R5378">
        <v>0.54987604257192402</v>
      </c>
      <c r="S5378" t="s">
        <v>11689</v>
      </c>
      <c r="T5378" t="s">
        <v>12620</v>
      </c>
      <c r="U5378" t="s">
        <v>12620</v>
      </c>
      <c r="V5378" t="s">
        <v>12620</v>
      </c>
      <c r="W5378" t="s">
        <v>17941</v>
      </c>
      <c r="X5378">
        <v>3</v>
      </c>
      <c r="Y5378" t="s">
        <v>24038</v>
      </c>
      <c r="Z5378" t="s">
        <v>30325</v>
      </c>
      <c r="AA5378">
        <v>0.89333892704561468</v>
      </c>
      <c r="AB5378" t="str">
        <f>HYPERLINK("Melting_Curves/meltCurve_Q9H869_7_YY1AP1.pdf", "Melting_Curves/meltCurve_Q9H869_7_YY1AP1.pdf")</f>
        <v>Melting_Curves/meltCurve_Q9H869_7_YY1AP1.pdf</v>
      </c>
    </row>
    <row r="5379" spans="1:28" x14ac:dyDescent="0.25">
      <c r="A5379" t="s">
        <v>5383</v>
      </c>
      <c r="B5379">
        <v>0.99987803227770999</v>
      </c>
      <c r="C5379">
        <v>1.0272500769011099</v>
      </c>
      <c r="D5379">
        <v>0.97748926437774597</v>
      </c>
      <c r="E5379">
        <v>1.1720892090935899</v>
      </c>
      <c r="F5379">
        <v>1.0499582918189401</v>
      </c>
      <c r="G5379">
        <v>1.0344209974240499</v>
      </c>
      <c r="H5379">
        <v>1.27445994962158</v>
      </c>
      <c r="I5379">
        <v>1.2109679447953501</v>
      </c>
      <c r="J5379">
        <v>1.60225509664473</v>
      </c>
      <c r="K5379">
        <v>1.3508607306729901</v>
      </c>
      <c r="L5379">
        <v>1330.43501989078</v>
      </c>
      <c r="M5379">
        <v>21.660458583884999</v>
      </c>
      <c r="O5379">
        <v>60.9059512000224</v>
      </c>
      <c r="P5379">
        <v>4.2761146607992503E-2</v>
      </c>
      <c r="Q5379">
        <v>1.48094023447666</v>
      </c>
      <c r="R5379">
        <v>0.72296018655907102</v>
      </c>
      <c r="S5379" t="s">
        <v>11690</v>
      </c>
      <c r="T5379" t="s">
        <v>12620</v>
      </c>
      <c r="U5379" t="s">
        <v>12620</v>
      </c>
      <c r="V5379" t="s">
        <v>12620</v>
      </c>
      <c r="W5379" t="s">
        <v>17942</v>
      </c>
      <c r="X5379">
        <v>4</v>
      </c>
      <c r="Y5379" t="s">
        <v>24039</v>
      </c>
      <c r="Z5379" t="s">
        <v>30326</v>
      </c>
      <c r="AA5379">
        <v>1.134920994671859</v>
      </c>
      <c r="AB5379" t="str">
        <f>HYPERLINK("Melting_Curves/meltCurve_Q9H875_PRKRIP1.pdf", "Melting_Curves/meltCurve_Q9H875_PRKRIP1.pdf")</f>
        <v>Melting_Curves/meltCurve_Q9H875_PRKRIP1.pdf</v>
      </c>
    </row>
    <row r="5380" spans="1:28" x14ac:dyDescent="0.25">
      <c r="A5380" t="s">
        <v>5384</v>
      </c>
      <c r="B5380">
        <v>0.99987803227770999</v>
      </c>
      <c r="C5380">
        <v>1.1027526043109599</v>
      </c>
      <c r="D5380">
        <v>1.03492541111932</v>
      </c>
      <c r="E5380">
        <v>1.05732060545108</v>
      </c>
      <c r="F5380">
        <v>0.77421353849957897</v>
      </c>
      <c r="G5380">
        <v>0.40684262802910998</v>
      </c>
      <c r="H5380">
        <v>0.18200326059475699</v>
      </c>
      <c r="I5380">
        <v>0.19594405885356</v>
      </c>
      <c r="J5380">
        <v>0.14689262897234101</v>
      </c>
      <c r="K5380">
        <v>9.26645670784189E-2</v>
      </c>
      <c r="L5380">
        <v>1621.4930760443399</v>
      </c>
      <c r="M5380">
        <v>29.2993633848134</v>
      </c>
      <c r="N5380">
        <v>55.949281059565102</v>
      </c>
      <c r="O5380">
        <v>55.086384827440497</v>
      </c>
      <c r="P5380">
        <v>-0.11486630747358401</v>
      </c>
      <c r="Q5380">
        <v>0.13615548942939801</v>
      </c>
      <c r="R5380">
        <v>0.98420370782340605</v>
      </c>
      <c r="S5380" t="s">
        <v>11691</v>
      </c>
      <c r="T5380" t="s">
        <v>12620</v>
      </c>
      <c r="U5380" t="s">
        <v>12620</v>
      </c>
      <c r="V5380" t="s">
        <v>12620</v>
      </c>
      <c r="W5380" t="s">
        <v>17943</v>
      </c>
      <c r="X5380">
        <v>1</v>
      </c>
      <c r="Y5380" t="s">
        <v>24040</v>
      </c>
      <c r="Z5380" t="s">
        <v>30327</v>
      </c>
      <c r="AA5380">
        <v>0.58393566665183594</v>
      </c>
      <c r="AB5380" t="str">
        <f>HYPERLINK("Melting_Curves/meltCurve_Q9H8E8_CSRP2BP.pdf", "Melting_Curves/meltCurve_Q9H8E8_CSRP2BP.pdf")</f>
        <v>Melting_Curves/meltCurve_Q9H8E8_CSRP2BP.pdf</v>
      </c>
    </row>
    <row r="5381" spans="1:28" x14ac:dyDescent="0.25">
      <c r="A5381" t="s">
        <v>5385</v>
      </c>
      <c r="B5381">
        <v>0.99987803227770999</v>
      </c>
      <c r="C5381">
        <v>0.99070968658751601</v>
      </c>
      <c r="D5381">
        <v>1.0990718144554901</v>
      </c>
      <c r="E5381">
        <v>1.0924578964254199</v>
      </c>
      <c r="F5381">
        <v>1.3409679106875501</v>
      </c>
      <c r="G5381">
        <v>1.0681307049511699</v>
      </c>
      <c r="H5381">
        <v>1.21504506396788</v>
      </c>
      <c r="I5381">
        <v>1.2032235895891601</v>
      </c>
      <c r="J5381">
        <v>1.18531898632827</v>
      </c>
      <c r="K5381">
        <v>1.0029494290872001</v>
      </c>
      <c r="L5381">
        <v>2216.3365422726702</v>
      </c>
      <c r="M5381">
        <v>48.534289662000901</v>
      </c>
      <c r="O5381">
        <v>45.5880496313791</v>
      </c>
      <c r="P5381">
        <v>4.2356205169703197E-2</v>
      </c>
      <c r="Q5381">
        <v>1.1591398531919299</v>
      </c>
      <c r="R5381">
        <v>0.35485420752628699</v>
      </c>
      <c r="S5381" t="s">
        <v>11692</v>
      </c>
      <c r="T5381" t="s">
        <v>12620</v>
      </c>
      <c r="U5381" t="s">
        <v>12620</v>
      </c>
      <c r="V5381" t="s">
        <v>12620</v>
      </c>
      <c r="W5381" t="s">
        <v>17944</v>
      </c>
      <c r="X5381">
        <v>8</v>
      </c>
      <c r="Y5381" t="s">
        <v>24041</v>
      </c>
      <c r="Z5381" t="s">
        <v>30328</v>
      </c>
      <c r="AA5381">
        <v>1.128742802282571</v>
      </c>
      <c r="AB5381" t="str">
        <f>HYPERLINK("Melting_Curves/meltCurve_Q9H8G2_CAAP1.pdf", "Melting_Curves/meltCurve_Q9H8G2_CAAP1.pdf")</f>
        <v>Melting_Curves/meltCurve_Q9H8G2_CAAP1.pdf</v>
      </c>
    </row>
    <row r="5382" spans="1:28" x14ac:dyDescent="0.25">
      <c r="A5382" t="s">
        <v>5386</v>
      </c>
      <c r="B5382">
        <v>0.99987803227770999</v>
      </c>
      <c r="C5382">
        <v>0.96082556063702595</v>
      </c>
      <c r="D5382">
        <v>1.05476977524338</v>
      </c>
      <c r="E5382">
        <v>0.95697734760169595</v>
      </c>
      <c r="F5382">
        <v>0.859439771824555</v>
      </c>
      <c r="G5382">
        <v>0.53738112863444798</v>
      </c>
      <c r="H5382">
        <v>0.20441728918931601</v>
      </c>
      <c r="I5382">
        <v>0.15622324383348199</v>
      </c>
      <c r="J5382">
        <v>6.9732499023868799E-2</v>
      </c>
      <c r="K5382">
        <v>5.3363416193284399E-2</v>
      </c>
      <c r="L5382">
        <v>1310.08242068902</v>
      </c>
      <c r="M5382">
        <v>22.951577292397399</v>
      </c>
      <c r="N5382">
        <v>57.333489221657601</v>
      </c>
      <c r="O5382">
        <v>56.652277464358903</v>
      </c>
      <c r="P5382">
        <v>-9.6402859535041602E-2</v>
      </c>
      <c r="Q5382">
        <v>4.8198556794258003E-2</v>
      </c>
      <c r="R5382">
        <v>0.99581533229001795</v>
      </c>
      <c r="S5382" t="s">
        <v>11693</v>
      </c>
      <c r="T5382" t="s">
        <v>12620</v>
      </c>
      <c r="U5382" t="s">
        <v>12620</v>
      </c>
      <c r="V5382" t="s">
        <v>12620</v>
      </c>
      <c r="W5382" t="s">
        <v>17945</v>
      </c>
      <c r="X5382">
        <v>11</v>
      </c>
      <c r="Y5382" t="s">
        <v>24042</v>
      </c>
      <c r="Z5382" t="s">
        <v>30329</v>
      </c>
      <c r="AA5382">
        <v>0.59980332706436323</v>
      </c>
      <c r="AB5382" t="str">
        <f>HYPERLINK("Melting_Curves/meltCurve_Q9H8H0_NOL11.pdf", "Melting_Curves/meltCurve_Q9H8H0_NOL11.pdf")</f>
        <v>Melting_Curves/meltCurve_Q9H8H0_NOL11.pdf</v>
      </c>
    </row>
    <row r="5383" spans="1:28" x14ac:dyDescent="0.25">
      <c r="A5383" t="s">
        <v>5387</v>
      </c>
      <c r="B5383">
        <v>0.99987803227770999</v>
      </c>
      <c r="C5383">
        <v>1.1069801210794901</v>
      </c>
      <c r="D5383">
        <v>1.04619916788745</v>
      </c>
      <c r="E5383">
        <v>1.22940376914607</v>
      </c>
      <c r="F5383">
        <v>1.08954056192586</v>
      </c>
      <c r="G5383">
        <v>0.93168844143197704</v>
      </c>
      <c r="H5383">
        <v>0.652214519324815</v>
      </c>
      <c r="I5383">
        <v>0.45335431206430399</v>
      </c>
      <c r="J5383">
        <v>0.19541281316734399</v>
      </c>
      <c r="K5383">
        <v>0.102144745875796</v>
      </c>
      <c r="L5383">
        <v>1544.8199250387199</v>
      </c>
      <c r="M5383">
        <v>24.555939864393501</v>
      </c>
      <c r="N5383">
        <v>63.069433929481399</v>
      </c>
      <c r="O5383">
        <v>62.497473695111502</v>
      </c>
      <c r="P5383">
        <v>-9.5276931510426904E-2</v>
      </c>
      <c r="Q5383">
        <v>3.0054427305030398E-2</v>
      </c>
      <c r="R5383">
        <v>0.94553911099875598</v>
      </c>
      <c r="S5383" t="s">
        <v>11694</v>
      </c>
      <c r="T5383" t="s">
        <v>12620</v>
      </c>
      <c r="U5383" t="s">
        <v>12620</v>
      </c>
      <c r="V5383" t="s">
        <v>12620</v>
      </c>
      <c r="W5383" t="s">
        <v>17946</v>
      </c>
      <c r="X5383">
        <v>4</v>
      </c>
      <c r="Y5383" t="s">
        <v>24043</v>
      </c>
      <c r="Z5383" t="s">
        <v>30330</v>
      </c>
      <c r="AA5383">
        <v>0.77306553247783893</v>
      </c>
      <c r="AB5383" t="str">
        <f>HYPERLINK("Melting_Curves/meltCurve_Q9H8K7_C10orf88.pdf", "Melting_Curves/meltCurve_Q9H8K7_C10orf88.pdf")</f>
        <v>Melting_Curves/meltCurve_Q9H8K7_C10orf88.pdf</v>
      </c>
    </row>
    <row r="5384" spans="1:28" x14ac:dyDescent="0.25">
      <c r="A5384" t="s">
        <v>5388</v>
      </c>
      <c r="B5384">
        <v>0.99987803227770999</v>
      </c>
      <c r="C5384">
        <v>1.15421915549151</v>
      </c>
      <c r="D5384">
        <v>0.98679119438896101</v>
      </c>
      <c r="E5384">
        <v>0.76371483622324599</v>
      </c>
      <c r="F5384">
        <v>0.89795311462025795</v>
      </c>
      <c r="G5384">
        <v>0.69385407726999604</v>
      </c>
      <c r="H5384">
        <v>0.76844380134395396</v>
      </c>
      <c r="I5384">
        <v>0.81695370920050703</v>
      </c>
      <c r="J5384">
        <v>0.62730346344505095</v>
      </c>
      <c r="K5384">
        <v>0.58280407804380496</v>
      </c>
      <c r="L5384">
        <v>615.214078408457</v>
      </c>
      <c r="M5384">
        <v>11.3881217679388</v>
      </c>
      <c r="O5384">
        <v>52.4371059353129</v>
      </c>
      <c r="P5384">
        <v>-1.98489747747428E-2</v>
      </c>
      <c r="Q5384">
        <v>0.63452597495027896</v>
      </c>
      <c r="R5384">
        <v>0.71101071942321603</v>
      </c>
      <c r="S5384" t="s">
        <v>11695</v>
      </c>
      <c r="T5384" t="s">
        <v>12620</v>
      </c>
      <c r="U5384" t="s">
        <v>12620</v>
      </c>
      <c r="V5384" t="s">
        <v>12620</v>
      </c>
      <c r="W5384" t="s">
        <v>17947</v>
      </c>
      <c r="X5384">
        <v>2</v>
      </c>
      <c r="Y5384" t="s">
        <v>24044</v>
      </c>
      <c r="Z5384" t="s">
        <v>30331</v>
      </c>
      <c r="AA5384">
        <v>0.81532863863500515</v>
      </c>
      <c r="AB5384" t="str">
        <f>HYPERLINK("Melting_Curves/meltCurve_Q9H8M2_BRD9.pdf", "Melting_Curves/meltCurve_Q9H8M2_BRD9.pdf")</f>
        <v>Melting_Curves/meltCurve_Q9H8M2_BRD9.pdf</v>
      </c>
    </row>
    <row r="5385" spans="1:28" x14ac:dyDescent="0.25">
      <c r="A5385" t="s">
        <v>5389</v>
      </c>
      <c r="B5385">
        <v>0.99987803227770999</v>
      </c>
      <c r="C5385">
        <v>0.94014055418981002</v>
      </c>
      <c r="D5385">
        <v>0.98186990267362595</v>
      </c>
      <c r="E5385">
        <v>0.86537003157228398</v>
      </c>
      <c r="F5385">
        <v>0.73256649659796502</v>
      </c>
      <c r="G5385">
        <v>0.21071224229584501</v>
      </c>
      <c r="H5385">
        <v>0.105000526833897</v>
      </c>
      <c r="I5385">
        <v>7.9409371325592906E-2</v>
      </c>
      <c r="J5385">
        <v>5.58026214274343E-2</v>
      </c>
      <c r="K5385">
        <v>4.1924933470619499E-2</v>
      </c>
      <c r="L5385">
        <v>1579.8786197137799</v>
      </c>
      <c r="M5385">
        <v>29.084890514065499</v>
      </c>
      <c r="N5385">
        <v>54.526292534479303</v>
      </c>
      <c r="O5385">
        <v>54.064717933942802</v>
      </c>
      <c r="P5385">
        <v>-0.12747104997056699</v>
      </c>
      <c r="Q5385">
        <v>5.2203974089700698E-2</v>
      </c>
      <c r="R5385">
        <v>0.99331686680078102</v>
      </c>
      <c r="S5385" t="s">
        <v>11696</v>
      </c>
      <c r="T5385" t="s">
        <v>12620</v>
      </c>
      <c r="U5385" t="s">
        <v>12620</v>
      </c>
      <c r="V5385" t="s">
        <v>12620</v>
      </c>
      <c r="W5385" t="s">
        <v>17948</v>
      </c>
      <c r="X5385">
        <v>2</v>
      </c>
      <c r="Y5385" t="s">
        <v>24045</v>
      </c>
      <c r="Z5385" t="s">
        <v>30332</v>
      </c>
      <c r="AA5385">
        <v>0.51123331371786251</v>
      </c>
      <c r="AB5385" t="str">
        <f>HYPERLINK("Melting_Curves/meltCurve_Q9H8M7_FAM188A.pdf", "Melting_Curves/meltCurve_Q9H8M7_FAM188A.pdf")</f>
        <v>Melting_Curves/meltCurve_Q9H8M7_FAM188A.pdf</v>
      </c>
    </row>
    <row r="5386" spans="1:28" x14ac:dyDescent="0.25">
      <c r="A5386" t="s">
        <v>5390</v>
      </c>
      <c r="B5386">
        <v>0.99987803227770999</v>
      </c>
      <c r="C5386">
        <v>0.85767453818990003</v>
      </c>
      <c r="D5386">
        <v>1.0094978607754099</v>
      </c>
      <c r="E5386">
        <v>0.87915263528802801</v>
      </c>
      <c r="F5386">
        <v>1.1192039530757401</v>
      </c>
      <c r="G5386">
        <v>0.99645176771449095</v>
      </c>
      <c r="H5386">
        <v>0.54315299059899003</v>
      </c>
      <c r="I5386">
        <v>0.13754257719070401</v>
      </c>
      <c r="J5386">
        <v>8.1337084671571802E-2</v>
      </c>
      <c r="K5386">
        <v>6.5432904526610103E-2</v>
      </c>
      <c r="L5386">
        <v>3527.00486672337</v>
      </c>
      <c r="M5386">
        <v>57.780521861670202</v>
      </c>
      <c r="N5386">
        <v>61.207053115494702</v>
      </c>
      <c r="O5386">
        <v>60.968432420396098</v>
      </c>
      <c r="P5386">
        <v>-0.219780196001258</v>
      </c>
      <c r="Q5386">
        <v>7.2376222282884803E-2</v>
      </c>
      <c r="R5386">
        <v>0.96954467593846205</v>
      </c>
      <c r="S5386" t="s">
        <v>11697</v>
      </c>
      <c r="T5386" t="s">
        <v>12620</v>
      </c>
      <c r="U5386" t="s">
        <v>12620</v>
      </c>
      <c r="V5386" t="s">
        <v>12620</v>
      </c>
      <c r="W5386" t="s">
        <v>17949</v>
      </c>
      <c r="X5386">
        <v>8</v>
      </c>
      <c r="Y5386" t="s">
        <v>24046</v>
      </c>
      <c r="Z5386" t="s">
        <v>30333</v>
      </c>
      <c r="AA5386">
        <v>0.72483365161952651</v>
      </c>
      <c r="AB5386" t="str">
        <f>HYPERLINK("Melting_Curves/meltCurve_Q9H8S9_MOB1A.pdf", "Melting_Curves/meltCurve_Q9H8S9_MOB1A.pdf")</f>
        <v>Melting_Curves/meltCurve_Q9H8S9_MOB1A.pdf</v>
      </c>
    </row>
    <row r="5387" spans="1:28" x14ac:dyDescent="0.25">
      <c r="A5387" t="s">
        <v>5391</v>
      </c>
      <c r="B5387">
        <v>0.99987803227770999</v>
      </c>
      <c r="C5387">
        <v>0.83810784687797402</v>
      </c>
      <c r="D5387">
        <v>1.0269768001498301</v>
      </c>
      <c r="E5387">
        <v>0.80997924127874399</v>
      </c>
      <c r="F5387">
        <v>1.0120127015742999</v>
      </c>
      <c r="G5387">
        <v>0.73224316144093204</v>
      </c>
      <c r="H5387">
        <v>0.83081704924020106</v>
      </c>
      <c r="I5387">
        <v>0.75004973330623204</v>
      </c>
      <c r="J5387">
        <v>0.86333796096204096</v>
      </c>
      <c r="K5387">
        <v>0.71797348473286704</v>
      </c>
      <c r="L5387">
        <v>252.88047201021999</v>
      </c>
      <c r="M5387">
        <v>3.9660950102803101</v>
      </c>
      <c r="O5387">
        <v>52.202600925467003</v>
      </c>
      <c r="P5387">
        <v>-7.9482390034210006E-3</v>
      </c>
      <c r="Q5387">
        <v>0.58698984237558405</v>
      </c>
      <c r="R5387">
        <v>0.39961121954332002</v>
      </c>
      <c r="S5387" t="s">
        <v>11698</v>
      </c>
      <c r="T5387" t="s">
        <v>12620</v>
      </c>
      <c r="U5387" t="s">
        <v>12620</v>
      </c>
      <c r="V5387" t="s">
        <v>12620</v>
      </c>
      <c r="W5387" t="s">
        <v>17950</v>
      </c>
      <c r="X5387">
        <v>9</v>
      </c>
      <c r="Y5387" t="s">
        <v>24047</v>
      </c>
      <c r="Z5387" t="s">
        <v>30334</v>
      </c>
      <c r="AA5387">
        <v>0.8586678559903167</v>
      </c>
      <c r="AB5387" t="str">
        <f>HYPERLINK("Melting_Curves/meltCurve_Q9H8U3_ZFAND3.pdf", "Melting_Curves/meltCurve_Q9H8U3_ZFAND3.pdf")</f>
        <v>Melting_Curves/meltCurve_Q9H8U3_ZFAND3.pdf</v>
      </c>
    </row>
    <row r="5388" spans="1:28" x14ac:dyDescent="0.25">
      <c r="A5388" t="s">
        <v>5392</v>
      </c>
      <c r="B5388">
        <v>0.99987803227770999</v>
      </c>
      <c r="C5388">
        <v>0.89752825743181697</v>
      </c>
      <c r="D5388">
        <v>0.72782881729197502</v>
      </c>
      <c r="E5388">
        <v>0.436213247732128</v>
      </c>
      <c r="F5388">
        <v>0.27562399450693598</v>
      </c>
      <c r="G5388">
        <v>0.18317745726899801</v>
      </c>
      <c r="H5388">
        <v>0.13226490508677599</v>
      </c>
      <c r="I5388">
        <v>0.116833939102319</v>
      </c>
      <c r="J5388">
        <v>9.9261751349409802E-2</v>
      </c>
      <c r="K5388">
        <v>7.2373767620130494E-2</v>
      </c>
      <c r="L5388">
        <v>768.44183781716504</v>
      </c>
      <c r="M5388">
        <v>15.833433545622601</v>
      </c>
      <c r="N5388">
        <v>49.141659399189699</v>
      </c>
      <c r="O5388">
        <v>47.778478013446303</v>
      </c>
      <c r="P5388">
        <v>-7.5476074853793707E-2</v>
      </c>
      <c r="Q5388">
        <v>8.9057394172428403E-2</v>
      </c>
      <c r="R5388">
        <v>0.99833811111052695</v>
      </c>
      <c r="S5388" t="s">
        <v>11699</v>
      </c>
      <c r="T5388" t="s">
        <v>12620</v>
      </c>
      <c r="U5388" t="s">
        <v>12620</v>
      </c>
      <c r="V5388" t="s">
        <v>12620</v>
      </c>
      <c r="W5388" t="s">
        <v>17951</v>
      </c>
      <c r="X5388">
        <v>5</v>
      </c>
      <c r="Y5388" t="s">
        <v>24048</v>
      </c>
      <c r="Z5388" t="s">
        <v>30335</v>
      </c>
      <c r="AA5388">
        <v>0.36876339111356188</v>
      </c>
      <c r="AB5388" t="str">
        <f>HYPERLINK("Melting_Curves/meltCurve_Q9H8V3_ECT2.pdf", "Melting_Curves/meltCurve_Q9H8V3_ECT2.pdf")</f>
        <v>Melting_Curves/meltCurve_Q9H8V3_ECT2.pdf</v>
      </c>
    </row>
    <row r="5389" spans="1:28" x14ac:dyDescent="0.25">
      <c r="A5389" t="s">
        <v>5393</v>
      </c>
      <c r="B5389">
        <v>0.99987803227770999</v>
      </c>
      <c r="C5389">
        <v>0.92779799448454103</v>
      </c>
      <c r="D5389">
        <v>0.89125857469953496</v>
      </c>
      <c r="E5389">
        <v>0.70165140581128205</v>
      </c>
      <c r="F5389">
        <v>0.48597786180101699</v>
      </c>
      <c r="G5389">
        <v>0.31427908649071201</v>
      </c>
      <c r="H5389">
        <v>0.14573846027623599</v>
      </c>
      <c r="I5389">
        <v>0.14836165520949601</v>
      </c>
      <c r="J5389">
        <v>6.0632136061979799E-2</v>
      </c>
      <c r="K5389">
        <v>4.0351605784302198E-2</v>
      </c>
      <c r="L5389">
        <v>673.60863740793297</v>
      </c>
      <c r="M5389">
        <v>12.6841746079805</v>
      </c>
      <c r="N5389">
        <v>53.155462834955898</v>
      </c>
      <c r="O5389">
        <v>51.838124968107799</v>
      </c>
      <c r="P5389">
        <v>-6.0826646593816099E-2</v>
      </c>
      <c r="Q5389">
        <v>5.8394656661109002E-3</v>
      </c>
      <c r="R5389">
        <v>0.99673420990802697</v>
      </c>
      <c r="S5389" t="s">
        <v>11700</v>
      </c>
      <c r="T5389" t="s">
        <v>12620</v>
      </c>
      <c r="U5389" t="s">
        <v>12620</v>
      </c>
      <c r="V5389" t="s">
        <v>12620</v>
      </c>
      <c r="W5389" t="s">
        <v>17952</v>
      </c>
      <c r="X5389">
        <v>3</v>
      </c>
      <c r="Y5389" t="s">
        <v>24049</v>
      </c>
      <c r="Z5389" t="s">
        <v>30336</v>
      </c>
      <c r="AA5389">
        <v>0.46652280364937571</v>
      </c>
      <c r="AB5389" t="str">
        <f>HYPERLINK("Melting_Curves/meltCurve_Q9H8W4_PLEKHF2.pdf", "Melting_Curves/meltCurve_Q9H8W4_PLEKHF2.pdf")</f>
        <v>Melting_Curves/meltCurve_Q9H8W4_PLEKHF2.pdf</v>
      </c>
    </row>
    <row r="5390" spans="1:28" x14ac:dyDescent="0.25">
      <c r="A5390" t="s">
        <v>5394</v>
      </c>
      <c r="B5390">
        <v>0.99987803227770999</v>
      </c>
      <c r="C5390">
        <v>1.0415643334601501</v>
      </c>
      <c r="D5390">
        <v>0.98146403519511904</v>
      </c>
      <c r="E5390">
        <v>0.810206816671873</v>
      </c>
      <c r="F5390">
        <v>0.63846401768028804</v>
      </c>
      <c r="G5390">
        <v>0.479440694670485</v>
      </c>
      <c r="H5390">
        <v>0.33775161162405198</v>
      </c>
      <c r="I5390">
        <v>0.48893030909332302</v>
      </c>
      <c r="J5390">
        <v>0.21626149383510801</v>
      </c>
      <c r="K5390">
        <v>0.14871035749474701</v>
      </c>
      <c r="L5390">
        <v>661.348509068206</v>
      </c>
      <c r="M5390">
        <v>11.9927052070496</v>
      </c>
      <c r="N5390">
        <v>57.091253122369899</v>
      </c>
      <c r="O5390">
        <v>53.679703759177698</v>
      </c>
      <c r="P5390">
        <v>-4.6496311940079298E-2</v>
      </c>
      <c r="Q5390">
        <v>0.167725633573796</v>
      </c>
      <c r="R5390">
        <v>0.94529258382332404</v>
      </c>
      <c r="S5390" t="s">
        <v>11701</v>
      </c>
      <c r="T5390" t="s">
        <v>12620</v>
      </c>
      <c r="U5390" t="s">
        <v>12620</v>
      </c>
      <c r="V5390" t="s">
        <v>12620</v>
      </c>
      <c r="W5390" t="s">
        <v>17953</v>
      </c>
      <c r="X5390">
        <v>2</v>
      </c>
      <c r="Y5390" t="s">
        <v>24050</v>
      </c>
      <c r="Z5390" t="s">
        <v>30337</v>
      </c>
      <c r="AA5390">
        <v>0.60708600649753253</v>
      </c>
      <c r="AB5390" t="str">
        <f>HYPERLINK("Melting_Curves/meltCurve_Q9H8Y5_ANKZF1.pdf", "Melting_Curves/meltCurve_Q9H8Y5_ANKZF1.pdf")</f>
        <v>Melting_Curves/meltCurve_Q9H8Y5_ANKZF1.pdf</v>
      </c>
    </row>
    <row r="5391" spans="1:28" x14ac:dyDescent="0.25">
      <c r="A5391" t="s">
        <v>5395</v>
      </c>
      <c r="B5391">
        <v>0.99987803227770999</v>
      </c>
      <c r="C5391">
        <v>0.49164230922990498</v>
      </c>
      <c r="D5391">
        <v>0.82924230793727005</v>
      </c>
      <c r="E5391">
        <v>0.47492021725935901</v>
      </c>
      <c r="F5391">
        <v>0.25697136538323601</v>
      </c>
      <c r="G5391">
        <v>0.16559473150191201</v>
      </c>
      <c r="H5391">
        <v>0.122073291730738</v>
      </c>
      <c r="I5391">
        <v>9.9248274604573999E-2</v>
      </c>
      <c r="J5391">
        <v>8.8489992576095203E-2</v>
      </c>
      <c r="K5391">
        <v>6.4059939207744193E-2</v>
      </c>
      <c r="L5391">
        <v>454.85765807026098</v>
      </c>
      <c r="M5391">
        <v>9.3504560604561</v>
      </c>
      <c r="N5391">
        <v>48.645505310411899</v>
      </c>
      <c r="O5391">
        <v>46.576036524466801</v>
      </c>
      <c r="P5391">
        <v>-5.0220745383626503E-2</v>
      </c>
      <c r="Q5391">
        <v>0</v>
      </c>
      <c r="R5391">
        <v>0.85768683700705295</v>
      </c>
      <c r="S5391" t="s">
        <v>11702</v>
      </c>
      <c r="T5391" t="s">
        <v>12620</v>
      </c>
      <c r="U5391" t="s">
        <v>12620</v>
      </c>
      <c r="V5391" t="s">
        <v>12620</v>
      </c>
      <c r="W5391" t="s">
        <v>17954</v>
      </c>
      <c r="X5391">
        <v>9</v>
      </c>
      <c r="Y5391" t="s">
        <v>24051</v>
      </c>
      <c r="Z5391" t="s">
        <v>30338</v>
      </c>
      <c r="AA5391">
        <v>0.34370903848682188</v>
      </c>
      <c r="AB5391" t="str">
        <f>HYPERLINK("Melting_Curves/meltCurve_Q9H8Y8_GORASP2.pdf", "Melting_Curves/meltCurve_Q9H8Y8_GORASP2.pdf")</f>
        <v>Melting_Curves/meltCurve_Q9H8Y8_GORASP2.pdf</v>
      </c>
    </row>
    <row r="5392" spans="1:28" x14ac:dyDescent="0.25">
      <c r="A5392" t="s">
        <v>5396</v>
      </c>
      <c r="B5392">
        <v>0.99987803227770999</v>
      </c>
      <c r="C5392">
        <v>0.88470034345571602</v>
      </c>
      <c r="D5392">
        <v>0.82383572399069005</v>
      </c>
      <c r="E5392">
        <v>0.95479159962604099</v>
      </c>
      <c r="F5392">
        <v>0.41012578936802702</v>
      </c>
      <c r="G5392">
        <v>0.25667358663562401</v>
      </c>
      <c r="H5392">
        <v>0.163502390071565</v>
      </c>
      <c r="I5392">
        <v>0.118875644045358</v>
      </c>
      <c r="J5392">
        <v>9.2091964297611198E-2</v>
      </c>
      <c r="K5392">
        <v>6.5853098511865896E-2</v>
      </c>
      <c r="L5392">
        <v>2700.20329651984</v>
      </c>
      <c r="M5392">
        <v>51.625513672908198</v>
      </c>
      <c r="N5392">
        <v>52.624081007880498</v>
      </c>
      <c r="O5392">
        <v>52.225358777286303</v>
      </c>
      <c r="P5392">
        <v>-0.21379973113938</v>
      </c>
      <c r="Q5392">
        <v>0.13486506570475801</v>
      </c>
      <c r="R5392">
        <v>0.95321975874898501</v>
      </c>
      <c r="S5392" t="s">
        <v>11703</v>
      </c>
      <c r="T5392" t="s">
        <v>12620</v>
      </c>
      <c r="U5392" t="s">
        <v>12620</v>
      </c>
      <c r="V5392" t="s">
        <v>12620</v>
      </c>
      <c r="W5392" t="s">
        <v>17955</v>
      </c>
      <c r="X5392">
        <v>5</v>
      </c>
      <c r="Y5392" t="s">
        <v>24052</v>
      </c>
      <c r="Z5392" t="s">
        <v>30339</v>
      </c>
      <c r="AA5392">
        <v>0.49154742544598101</v>
      </c>
      <c r="AB5392" t="str">
        <f>HYPERLINK("Melting_Curves/meltCurve_Q9H900_ZWILCH.pdf", "Melting_Curves/meltCurve_Q9H900_ZWILCH.pdf")</f>
        <v>Melting_Curves/meltCurve_Q9H900_ZWILCH.pdf</v>
      </c>
    </row>
    <row r="5393" spans="1:28" x14ac:dyDescent="0.25">
      <c r="A5393" t="s">
        <v>5397</v>
      </c>
      <c r="B5393">
        <v>0.99987803227770999</v>
      </c>
      <c r="C5393">
        <v>0.76652264852094998</v>
      </c>
      <c r="D5393">
        <v>0.96925305537946604</v>
      </c>
      <c r="E5393">
        <v>0.76184496658506295</v>
      </c>
      <c r="F5393">
        <v>1.06018116762744</v>
      </c>
      <c r="G5393">
        <v>0.85372041760866701</v>
      </c>
      <c r="H5393">
        <v>0.96208971251034503</v>
      </c>
      <c r="I5393">
        <v>0.85722627755714398</v>
      </c>
      <c r="J5393">
        <v>1.01995453791406</v>
      </c>
      <c r="K5393">
        <v>0.87134022467796701</v>
      </c>
      <c r="L5393">
        <v>10221.544726190299</v>
      </c>
      <c r="M5393">
        <v>250</v>
      </c>
      <c r="O5393">
        <v>40.883562472885103</v>
      </c>
      <c r="P5393">
        <v>-0.14911345739312601</v>
      </c>
      <c r="Q5393">
        <v>0.90245937052979497</v>
      </c>
      <c r="R5393">
        <v>8.6377622299789097E-2</v>
      </c>
      <c r="S5393" t="s">
        <v>11704</v>
      </c>
      <c r="T5393" t="s">
        <v>12620</v>
      </c>
      <c r="U5393" t="s">
        <v>12620</v>
      </c>
      <c r="V5393" t="s">
        <v>12620</v>
      </c>
      <c r="W5393" t="s">
        <v>17956</v>
      </c>
      <c r="X5393">
        <v>20</v>
      </c>
      <c r="Y5393" t="s">
        <v>18902</v>
      </c>
      <c r="Z5393" t="s">
        <v>30340</v>
      </c>
      <c r="AA5393">
        <v>0.9053496328714421</v>
      </c>
      <c r="AB5393" t="str">
        <f>HYPERLINK("Melting_Curves/meltCurve_Q9H910_2_HN1L.pdf", "Melting_Curves/meltCurve_Q9H910_2_HN1L.pdf")</f>
        <v>Melting_Curves/meltCurve_Q9H910_2_HN1L.pdf</v>
      </c>
    </row>
    <row r="5394" spans="1:28" x14ac:dyDescent="0.25">
      <c r="A5394" t="s">
        <v>5398</v>
      </c>
      <c r="B5394">
        <v>0.99987803227770999</v>
      </c>
      <c r="C5394">
        <v>0.81470420942573396</v>
      </c>
      <c r="D5394">
        <v>0.98735245212198197</v>
      </c>
      <c r="E5394">
        <v>0.79037381149586206</v>
      </c>
      <c r="F5394">
        <v>0.72166485206639397</v>
      </c>
      <c r="G5394">
        <v>0.37241268182195603</v>
      </c>
      <c r="H5394">
        <v>0.130856499769925</v>
      </c>
      <c r="I5394">
        <v>7.9150357982038705E-2</v>
      </c>
      <c r="J5394">
        <v>6.38717488780913E-2</v>
      </c>
      <c r="K5394">
        <v>4.9387219564567597E-2</v>
      </c>
      <c r="L5394">
        <v>908.03372119191295</v>
      </c>
      <c r="M5394">
        <v>16.460340569017099</v>
      </c>
      <c r="N5394">
        <v>55.164940169212002</v>
      </c>
      <c r="O5394">
        <v>54.370014351765001</v>
      </c>
      <c r="P5394">
        <v>-7.5691976529383101E-2</v>
      </c>
      <c r="Q5394">
        <v>0</v>
      </c>
      <c r="R5394">
        <v>0.97181794894116202</v>
      </c>
      <c r="S5394" t="s">
        <v>11705</v>
      </c>
      <c r="T5394" t="s">
        <v>12620</v>
      </c>
      <c r="U5394" t="s">
        <v>12620</v>
      </c>
      <c r="V5394" t="s">
        <v>12620</v>
      </c>
      <c r="W5394" t="s">
        <v>17957</v>
      </c>
      <c r="X5394">
        <v>6</v>
      </c>
      <c r="Y5394" t="s">
        <v>24053</v>
      </c>
      <c r="Z5394" t="s">
        <v>30341</v>
      </c>
      <c r="AA5394">
        <v>0.52268629648257103</v>
      </c>
      <c r="AB5394" t="str">
        <f>HYPERLINK("Melting_Curves/meltCurve_Q9H944_MED20.pdf", "Melting_Curves/meltCurve_Q9H944_MED20.pdf")</f>
        <v>Melting_Curves/meltCurve_Q9H944_MED20.pdf</v>
      </c>
    </row>
    <row r="5395" spans="1:28" x14ac:dyDescent="0.25">
      <c r="A5395" t="s">
        <v>5399</v>
      </c>
      <c r="B5395">
        <v>0.99987803227770999</v>
      </c>
      <c r="C5395">
        <v>1.04629325103973</v>
      </c>
      <c r="D5395">
        <v>0.88582089371427997</v>
      </c>
      <c r="E5395">
        <v>0.80417987822561199</v>
      </c>
      <c r="F5395">
        <v>0.47175016273880599</v>
      </c>
      <c r="G5395">
        <v>0.26997887144253302</v>
      </c>
      <c r="H5395">
        <v>0.200633440912664</v>
      </c>
      <c r="I5395">
        <v>0.183017477542983</v>
      </c>
      <c r="J5395">
        <v>0.15199394744526701</v>
      </c>
      <c r="K5395">
        <v>9.6897469164076197E-2</v>
      </c>
      <c r="L5395">
        <v>1077.1339895502999</v>
      </c>
      <c r="M5395">
        <v>20.612099703168301</v>
      </c>
      <c r="N5395">
        <v>53.0806917302248</v>
      </c>
      <c r="O5395">
        <v>51.772948955390802</v>
      </c>
      <c r="P5395">
        <v>-8.5915762254632794E-2</v>
      </c>
      <c r="Q5395">
        <v>0.136820809385227</v>
      </c>
      <c r="R5395">
        <v>0.98931465879536895</v>
      </c>
      <c r="S5395" t="s">
        <v>11706</v>
      </c>
      <c r="T5395" t="s">
        <v>12620</v>
      </c>
      <c r="U5395" t="s">
        <v>12620</v>
      </c>
      <c r="V5395" t="s">
        <v>12620</v>
      </c>
      <c r="W5395" t="s">
        <v>17958</v>
      </c>
      <c r="X5395">
        <v>9</v>
      </c>
      <c r="Y5395" t="s">
        <v>24054</v>
      </c>
      <c r="Z5395" t="s">
        <v>30342</v>
      </c>
      <c r="AA5395">
        <v>0.50080442407764236</v>
      </c>
      <c r="AB5395" t="str">
        <f>HYPERLINK("Melting_Curves/meltCurve_Q9H974_QTRTD1.pdf", "Melting_Curves/meltCurve_Q9H974_QTRTD1.pdf")</f>
        <v>Melting_Curves/meltCurve_Q9H974_QTRTD1.pdf</v>
      </c>
    </row>
    <row r="5396" spans="1:28" x14ac:dyDescent="0.25">
      <c r="A5396" t="s">
        <v>5400</v>
      </c>
      <c r="B5396">
        <v>0.99987803227770999</v>
      </c>
      <c r="C5396">
        <v>0.94415598990011396</v>
      </c>
      <c r="D5396">
        <v>0.98647267852211895</v>
      </c>
      <c r="E5396">
        <v>0.93860898603416398</v>
      </c>
      <c r="F5396">
        <v>1.0023845017359501</v>
      </c>
      <c r="G5396">
        <v>0.44866995257442399</v>
      </c>
      <c r="H5396">
        <v>9.1596022130322793E-2</v>
      </c>
      <c r="I5396">
        <v>5.96002693886954E-2</v>
      </c>
      <c r="J5396">
        <v>3.63324796578215E-2</v>
      </c>
      <c r="K5396">
        <v>3.1805502598912003E-2</v>
      </c>
      <c r="L5396">
        <v>3098.9393140554998</v>
      </c>
      <c r="M5396">
        <v>54.6722811389483</v>
      </c>
      <c r="N5396">
        <v>56.788999493548801</v>
      </c>
      <c r="O5396">
        <v>56.6064090340384</v>
      </c>
      <c r="P5396">
        <v>-0.229650540350961</v>
      </c>
      <c r="Q5396">
        <v>4.8901245075657102E-2</v>
      </c>
      <c r="R5396">
        <v>0.99545445481108896</v>
      </c>
      <c r="S5396" t="s">
        <v>11707</v>
      </c>
      <c r="T5396" t="s">
        <v>12620</v>
      </c>
      <c r="U5396" t="s">
        <v>12620</v>
      </c>
      <c r="V5396" t="s">
        <v>12620</v>
      </c>
      <c r="W5396" t="s">
        <v>17959</v>
      </c>
      <c r="X5396">
        <v>6</v>
      </c>
      <c r="Y5396" t="s">
        <v>24055</v>
      </c>
      <c r="Z5396" t="s">
        <v>30343</v>
      </c>
      <c r="AA5396">
        <v>0.579764000003681</v>
      </c>
      <c r="AB5396" t="str">
        <f>HYPERLINK("Melting_Curves/meltCurve_Q9H977_WDR54.pdf", "Melting_Curves/meltCurve_Q9H977_WDR54.pdf")</f>
        <v>Melting_Curves/meltCurve_Q9H977_WDR54.pdf</v>
      </c>
    </row>
    <row r="5397" spans="1:28" x14ac:dyDescent="0.25">
      <c r="A5397" t="s">
        <v>5401</v>
      </c>
      <c r="B5397">
        <v>0.99987803227770999</v>
      </c>
      <c r="C5397">
        <v>0.42155909168386702</v>
      </c>
      <c r="D5397">
        <v>0.30016930969121702</v>
      </c>
      <c r="E5397">
        <v>0.30973142793673297</v>
      </c>
      <c r="F5397">
        <v>0.23787746558978901</v>
      </c>
      <c r="G5397">
        <v>0.175245231395737</v>
      </c>
      <c r="H5397">
        <v>0.119880105098775</v>
      </c>
      <c r="I5397">
        <v>0.112412742559515</v>
      </c>
      <c r="J5397">
        <v>0.12674519961441699</v>
      </c>
      <c r="K5397">
        <v>0.10382038048874</v>
      </c>
      <c r="L5397">
        <v>2473.4406044491102</v>
      </c>
      <c r="M5397">
        <v>58.493613263428202</v>
      </c>
      <c r="N5397">
        <v>42.620091397674798</v>
      </c>
      <c r="O5397">
        <v>42.236313444319997</v>
      </c>
      <c r="P5397">
        <v>-0.28250797384121001</v>
      </c>
      <c r="Q5397">
        <v>0.184041522179901</v>
      </c>
      <c r="R5397">
        <v>0.92351980955534696</v>
      </c>
      <c r="S5397" t="s">
        <v>11708</v>
      </c>
      <c r="T5397" t="s">
        <v>12620</v>
      </c>
      <c r="U5397" t="s">
        <v>12620</v>
      </c>
      <c r="V5397" t="s">
        <v>12620</v>
      </c>
      <c r="W5397" t="s">
        <v>17960</v>
      </c>
      <c r="X5397">
        <v>1</v>
      </c>
      <c r="Y5397" t="s">
        <v>24056</v>
      </c>
      <c r="Z5397" t="s">
        <v>30344</v>
      </c>
      <c r="AA5397">
        <v>0.24791069023727799</v>
      </c>
      <c r="AB5397" t="str">
        <f>HYPERLINK("Melting_Curves/meltCurve_Q9H981_ACTR8.pdf", "Melting_Curves/meltCurve_Q9H981_ACTR8.pdf")</f>
        <v>Melting_Curves/meltCurve_Q9H981_ACTR8.pdf</v>
      </c>
    </row>
    <row r="5398" spans="1:28" x14ac:dyDescent="0.25">
      <c r="A5398" t="s">
        <v>5402</v>
      </c>
      <c r="B5398">
        <v>0.99987803227770999</v>
      </c>
      <c r="C5398">
        <v>0.81314021554834703</v>
      </c>
      <c r="D5398">
        <v>0.85383550539644204</v>
      </c>
      <c r="E5398">
        <v>0.85194972844040695</v>
      </c>
      <c r="F5398">
        <v>1.04544497458146</v>
      </c>
      <c r="G5398">
        <v>0.46312179233467499</v>
      </c>
      <c r="H5398">
        <v>0.78051772499639505</v>
      </c>
      <c r="I5398">
        <v>0.97331997494447897</v>
      </c>
      <c r="J5398">
        <v>1.12148638877714</v>
      </c>
      <c r="K5398">
        <v>0.98908085970128101</v>
      </c>
      <c r="L5398">
        <v>10234.481101765699</v>
      </c>
      <c r="M5398">
        <v>250</v>
      </c>
      <c r="O5398">
        <v>40.935304693650799</v>
      </c>
      <c r="P5398">
        <v>-0.18798342003923599</v>
      </c>
      <c r="Q5398">
        <v>0.87687746304471503</v>
      </c>
      <c r="R5398">
        <v>4.4000770008909798E-2</v>
      </c>
      <c r="S5398" t="s">
        <v>11709</v>
      </c>
      <c r="T5398" t="s">
        <v>12620</v>
      </c>
      <c r="U5398" t="s">
        <v>12620</v>
      </c>
      <c r="V5398" t="s">
        <v>12620</v>
      </c>
      <c r="W5398" t="s">
        <v>17961</v>
      </c>
      <c r="X5398">
        <v>2</v>
      </c>
      <c r="Y5398" t="s">
        <v>24057</v>
      </c>
      <c r="Z5398" t="s">
        <v>30345</v>
      </c>
      <c r="AA5398">
        <v>0.88073743890718925</v>
      </c>
      <c r="AB5398" t="str">
        <f>HYPERLINK("Melting_Curves/meltCurve_Q9H992_MARCH7.pdf", "Melting_Curves/meltCurve_Q9H992_MARCH7.pdf")</f>
        <v>Melting_Curves/meltCurve_Q9H992_MARCH7.pdf</v>
      </c>
    </row>
    <row r="5399" spans="1:28" x14ac:dyDescent="0.25">
      <c r="A5399" t="s">
        <v>5403</v>
      </c>
      <c r="B5399">
        <v>0.99987803227770999</v>
      </c>
      <c r="C5399">
        <v>0.92360001214943199</v>
      </c>
      <c r="D5399">
        <v>0.889395943325063</v>
      </c>
      <c r="E5399">
        <v>0.34047724380909899</v>
      </c>
      <c r="F5399">
        <v>0.19917469401436799</v>
      </c>
      <c r="G5399">
        <v>0.141929874966821</v>
      </c>
      <c r="H5399">
        <v>0.114155714441618</v>
      </c>
      <c r="I5399">
        <v>0.117422934297709</v>
      </c>
      <c r="J5399">
        <v>7.6981509035656995E-2</v>
      </c>
      <c r="K5399">
        <v>5.6540148432206401E-2</v>
      </c>
      <c r="L5399">
        <v>1471.5100357876399</v>
      </c>
      <c r="M5399">
        <v>30.303497492679298</v>
      </c>
      <c r="N5399">
        <v>48.926370653093997</v>
      </c>
      <c r="O5399">
        <v>48.349076172079101</v>
      </c>
      <c r="P5399">
        <v>-0.140751257558592</v>
      </c>
      <c r="Q5399">
        <v>0.101733729569414</v>
      </c>
      <c r="R5399">
        <v>0.99259453394244002</v>
      </c>
      <c r="S5399" t="s">
        <v>11710</v>
      </c>
      <c r="T5399" t="s">
        <v>12620</v>
      </c>
      <c r="U5399" t="s">
        <v>12620</v>
      </c>
      <c r="V5399" t="s">
        <v>12620</v>
      </c>
      <c r="W5399" t="s">
        <v>17962</v>
      </c>
      <c r="X5399">
        <v>8</v>
      </c>
      <c r="Y5399" t="s">
        <v>24058</v>
      </c>
      <c r="Z5399" t="s">
        <v>30346</v>
      </c>
      <c r="AA5399">
        <v>0.36333856853541779</v>
      </c>
      <c r="AB5399" t="str">
        <f>HYPERLINK("Melting_Curves/meltCurve_Q9H993_C6orf211.pdf", "Melting_Curves/meltCurve_Q9H993_C6orf211.pdf")</f>
        <v>Melting_Curves/meltCurve_Q9H993_C6orf211.pdf</v>
      </c>
    </row>
    <row r="5400" spans="1:28" x14ac:dyDescent="0.25">
      <c r="A5400" t="s">
        <v>5404</v>
      </c>
      <c r="B5400">
        <v>0.99987803227770999</v>
      </c>
      <c r="C5400">
        <v>1.0167047952681501</v>
      </c>
      <c r="D5400">
        <v>0.93011431922100596</v>
      </c>
      <c r="E5400">
        <v>0.50824572614389096</v>
      </c>
      <c r="F5400">
        <v>0.161933504184883</v>
      </c>
      <c r="G5400">
        <v>9.9724770658371903E-2</v>
      </c>
      <c r="H5400">
        <v>6.9298389188494805E-2</v>
      </c>
      <c r="I5400">
        <v>6.8862220974395996E-2</v>
      </c>
      <c r="J5400">
        <v>4.9571087452623903E-2</v>
      </c>
      <c r="K5400">
        <v>3.3921364853515101E-2</v>
      </c>
      <c r="L5400">
        <v>1614.47536219737</v>
      </c>
      <c r="M5400">
        <v>32.406204873820201</v>
      </c>
      <c r="N5400">
        <v>50.0117308643607</v>
      </c>
      <c r="O5400">
        <v>49.6313806025342</v>
      </c>
      <c r="P5400">
        <v>-0.153697504314908</v>
      </c>
      <c r="Q5400">
        <v>5.8429360707908697E-2</v>
      </c>
      <c r="R5400">
        <v>0.99859036827011305</v>
      </c>
      <c r="S5400" t="s">
        <v>11711</v>
      </c>
      <c r="T5400" t="s">
        <v>12620</v>
      </c>
      <c r="U5400" t="s">
        <v>12620</v>
      </c>
      <c r="V5400" t="s">
        <v>12620</v>
      </c>
      <c r="W5400" t="s">
        <v>17963</v>
      </c>
      <c r="X5400">
        <v>6</v>
      </c>
      <c r="Y5400" t="s">
        <v>24059</v>
      </c>
      <c r="Z5400" t="s">
        <v>30347</v>
      </c>
      <c r="AA5400">
        <v>0.37160123376096438</v>
      </c>
      <c r="AB5400" t="str">
        <f>HYPERLINK("Melting_Curves/meltCurve_Q9H999_PANK3.pdf", "Melting_Curves/meltCurve_Q9H999_PANK3.pdf")</f>
        <v>Melting_Curves/meltCurve_Q9H999_PANK3.pdf</v>
      </c>
    </row>
    <row r="5401" spans="1:28" x14ac:dyDescent="0.25">
      <c r="A5401" t="s">
        <v>5405</v>
      </c>
      <c r="B5401">
        <v>0.99987803227770999</v>
      </c>
      <c r="C5401">
        <v>1.06641285156523</v>
      </c>
      <c r="D5401">
        <v>0.89635742341499303</v>
      </c>
      <c r="E5401">
        <v>1.00093272964378</v>
      </c>
      <c r="F5401">
        <v>0.47034852306860803</v>
      </c>
      <c r="G5401">
        <v>0.27487038780831802</v>
      </c>
      <c r="H5401">
        <v>0.18699245289158301</v>
      </c>
      <c r="I5401">
        <v>0.182918172877754</v>
      </c>
      <c r="J5401">
        <v>0.12389966499921699</v>
      </c>
      <c r="K5401">
        <v>8.7553756359836005E-2</v>
      </c>
      <c r="L5401">
        <v>3775.9001496411902</v>
      </c>
      <c r="M5401">
        <v>71.791872846753193</v>
      </c>
      <c r="N5401">
        <v>52.9015900397319</v>
      </c>
      <c r="O5401">
        <v>52.554347614184003</v>
      </c>
      <c r="P5401">
        <v>-0.28340733143116298</v>
      </c>
      <c r="Q5401">
        <v>0.17014125356707599</v>
      </c>
      <c r="R5401">
        <v>0.97696575358502802</v>
      </c>
      <c r="S5401" t="s">
        <v>11712</v>
      </c>
      <c r="T5401" t="s">
        <v>12620</v>
      </c>
      <c r="U5401" t="s">
        <v>12620</v>
      </c>
      <c r="V5401" t="s">
        <v>12620</v>
      </c>
      <c r="W5401" t="s">
        <v>17964</v>
      </c>
      <c r="X5401">
        <v>8</v>
      </c>
      <c r="Y5401" t="s">
        <v>24060</v>
      </c>
      <c r="Z5401" t="s">
        <v>30348</v>
      </c>
      <c r="AA5401">
        <v>0.51947732202226282</v>
      </c>
      <c r="AB5401" t="str">
        <f>HYPERLINK("Melting_Curves/meltCurve_Q9H9A5_2_CNOT10.pdf", "Melting_Curves/meltCurve_Q9H9A5_2_CNOT10.pdf")</f>
        <v>Melting_Curves/meltCurve_Q9H9A5_2_CNOT10.pdf</v>
      </c>
    </row>
    <row r="5402" spans="1:28" x14ac:dyDescent="0.25">
      <c r="A5402" t="s">
        <v>5406</v>
      </c>
      <c r="B5402">
        <v>0.99987803227770999</v>
      </c>
      <c r="C5402">
        <v>1.0185735873847399</v>
      </c>
      <c r="D5402">
        <v>0.99348912820317004</v>
      </c>
      <c r="E5402">
        <v>0.64069804831991595</v>
      </c>
      <c r="F5402">
        <v>0.18289293169624601</v>
      </c>
      <c r="G5402">
        <v>0.130973979038744</v>
      </c>
      <c r="H5402">
        <v>8.4975050237030794E-2</v>
      </c>
      <c r="I5402">
        <v>7.2477536680675206E-2</v>
      </c>
      <c r="J5402">
        <v>5.9909382331063098E-2</v>
      </c>
      <c r="K5402">
        <v>4.8154519214473598E-2</v>
      </c>
      <c r="L5402">
        <v>2144.6092458604098</v>
      </c>
      <c r="M5402">
        <v>42.443548876935601</v>
      </c>
      <c r="N5402">
        <v>50.727343377194501</v>
      </c>
      <c r="O5402">
        <v>50.416741589253597</v>
      </c>
      <c r="P5402">
        <v>-0.19433707791641699</v>
      </c>
      <c r="Q5402">
        <v>7.6625421551015205E-2</v>
      </c>
      <c r="R5402">
        <v>0.99776603854674895</v>
      </c>
      <c r="S5402" t="s">
        <v>11713</v>
      </c>
      <c r="T5402" t="s">
        <v>12620</v>
      </c>
      <c r="U5402" t="s">
        <v>12620</v>
      </c>
      <c r="V5402" t="s">
        <v>12620</v>
      </c>
      <c r="W5402" t="s">
        <v>17965</v>
      </c>
      <c r="X5402">
        <v>18</v>
      </c>
      <c r="Y5402" t="s">
        <v>24061</v>
      </c>
      <c r="Z5402" t="s">
        <v>30349</v>
      </c>
      <c r="AA5402">
        <v>0.40354612954732949</v>
      </c>
      <c r="AB5402" t="str">
        <f>HYPERLINK("Melting_Curves/meltCurve_Q9H9A6_LRRC40.pdf", "Melting_Curves/meltCurve_Q9H9A6_LRRC40.pdf")</f>
        <v>Melting_Curves/meltCurve_Q9H9A6_LRRC40.pdf</v>
      </c>
    </row>
    <row r="5403" spans="1:28" x14ac:dyDescent="0.25">
      <c r="A5403" t="s">
        <v>5407</v>
      </c>
      <c r="B5403">
        <v>0.99987803227770999</v>
      </c>
      <c r="C5403">
        <v>0.96392387494712095</v>
      </c>
      <c r="D5403">
        <v>0.811972800209802</v>
      </c>
      <c r="E5403">
        <v>0.81439076239538599</v>
      </c>
      <c r="F5403">
        <v>0.85616938894339101</v>
      </c>
      <c r="G5403">
        <v>0.79095231434588298</v>
      </c>
      <c r="H5403">
        <v>0.66449123487251804</v>
      </c>
      <c r="I5403">
        <v>0.65556071236197999</v>
      </c>
      <c r="J5403">
        <v>0.55538838156620196</v>
      </c>
      <c r="K5403">
        <v>0.40385386096251402</v>
      </c>
      <c r="L5403">
        <v>337.15257842337098</v>
      </c>
      <c r="M5403">
        <v>4.8659659305887102</v>
      </c>
      <c r="N5403">
        <v>69.287904053768301</v>
      </c>
      <c r="O5403">
        <v>60.082406417801202</v>
      </c>
      <c r="P5403">
        <v>-2.0383176148239101E-2</v>
      </c>
      <c r="Q5403">
        <v>0</v>
      </c>
      <c r="R5403">
        <v>0.90038112157577299</v>
      </c>
      <c r="S5403" t="s">
        <v>11714</v>
      </c>
      <c r="T5403" t="s">
        <v>12620</v>
      </c>
      <c r="U5403" t="s">
        <v>12620</v>
      </c>
      <c r="V5403" t="s">
        <v>12620</v>
      </c>
      <c r="W5403" t="s">
        <v>17966</v>
      </c>
      <c r="X5403">
        <v>5</v>
      </c>
      <c r="Y5403" t="s">
        <v>24062</v>
      </c>
      <c r="Z5403" t="s">
        <v>30350</v>
      </c>
      <c r="AA5403">
        <v>0.76230673540735205</v>
      </c>
      <c r="AB5403" t="str">
        <f>HYPERLINK("Melting_Curves/meltCurve_Q9H9A7_RMI1.pdf", "Melting_Curves/meltCurve_Q9H9A7_RMI1.pdf")</f>
        <v>Melting_Curves/meltCurve_Q9H9A7_RMI1.pdf</v>
      </c>
    </row>
    <row r="5404" spans="1:28" x14ac:dyDescent="0.25">
      <c r="A5404" t="s">
        <v>5408</v>
      </c>
      <c r="B5404">
        <v>0.99987803227770999</v>
      </c>
      <c r="C5404">
        <v>0.85528295058458503</v>
      </c>
      <c r="D5404">
        <v>0.85364510793146298</v>
      </c>
      <c r="E5404">
        <v>0.68342872991000603</v>
      </c>
      <c r="F5404">
        <v>0.83602429224944397</v>
      </c>
      <c r="G5404">
        <v>0.61670181267617796</v>
      </c>
      <c r="H5404">
        <v>0.63009758306999297</v>
      </c>
      <c r="I5404">
        <v>0.66912902548812303</v>
      </c>
      <c r="J5404">
        <v>0.46673101898384001</v>
      </c>
      <c r="K5404">
        <v>0.42534568896872199</v>
      </c>
      <c r="L5404">
        <v>252.09023993305101</v>
      </c>
      <c r="M5404">
        <v>3.7108778895168499</v>
      </c>
      <c r="N5404">
        <v>67.932752067539994</v>
      </c>
      <c r="O5404">
        <v>54.394599665869499</v>
      </c>
      <c r="P5404">
        <v>-1.7333423212038401E-2</v>
      </c>
      <c r="Q5404">
        <v>0</v>
      </c>
      <c r="R5404">
        <v>0.83941330045222895</v>
      </c>
      <c r="S5404" t="s">
        <v>11715</v>
      </c>
      <c r="T5404" t="s">
        <v>12620</v>
      </c>
      <c r="U5404" t="s">
        <v>12620</v>
      </c>
      <c r="V5404" t="s">
        <v>12620</v>
      </c>
      <c r="W5404" t="s">
        <v>17967</v>
      </c>
      <c r="X5404">
        <v>7</v>
      </c>
      <c r="Y5404" t="s">
        <v>24063</v>
      </c>
      <c r="Z5404" t="s">
        <v>30351</v>
      </c>
      <c r="AA5404">
        <v>0.70495436000273393</v>
      </c>
      <c r="AB5404" t="str">
        <f>HYPERLINK("Melting_Curves/meltCurve_Q9H9B1_EHMT1.pdf", "Melting_Curves/meltCurve_Q9H9B1_EHMT1.pdf")</f>
        <v>Melting_Curves/meltCurve_Q9H9B1_EHMT1.pdf</v>
      </c>
    </row>
    <row r="5405" spans="1:28" x14ac:dyDescent="0.25">
      <c r="A5405" t="s">
        <v>5409</v>
      </c>
      <c r="B5405">
        <v>0.99987803227770999</v>
      </c>
      <c r="C5405">
        <v>0.94139850385799995</v>
      </c>
      <c r="D5405">
        <v>0.88794455142254003</v>
      </c>
      <c r="E5405">
        <v>0.70904638027640898</v>
      </c>
      <c r="F5405">
        <v>0.44063943007581702</v>
      </c>
      <c r="G5405">
        <v>0.33227832351602399</v>
      </c>
      <c r="H5405">
        <v>0.31616439152099002</v>
      </c>
      <c r="I5405">
        <v>0.28790755973990501</v>
      </c>
      <c r="J5405">
        <v>0.30590416258177999</v>
      </c>
      <c r="K5405">
        <v>0.26896724586398202</v>
      </c>
      <c r="L5405">
        <v>1026.17054640522</v>
      </c>
      <c r="M5405">
        <v>20.3689782564654</v>
      </c>
      <c r="N5405">
        <v>52.506450333886697</v>
      </c>
      <c r="O5405">
        <v>49.901046331891401</v>
      </c>
      <c r="P5405">
        <v>-7.3379812001587302E-2</v>
      </c>
      <c r="Q5405">
        <v>0.28094212859219497</v>
      </c>
      <c r="R5405">
        <v>0.99306069683000797</v>
      </c>
      <c r="S5405" t="s">
        <v>11716</v>
      </c>
      <c r="T5405" t="s">
        <v>12620</v>
      </c>
      <c r="U5405" t="s">
        <v>12620</v>
      </c>
      <c r="V5405" t="s">
        <v>12620</v>
      </c>
      <c r="W5405" t="s">
        <v>17968</v>
      </c>
      <c r="X5405">
        <v>6</v>
      </c>
      <c r="Y5405" t="s">
        <v>24064</v>
      </c>
      <c r="Z5405" t="s">
        <v>30352</v>
      </c>
      <c r="AA5405">
        <v>0.53936622849309612</v>
      </c>
      <c r="AB5405" t="str">
        <f>HYPERLINK("Melting_Curves/meltCurve_Q9H9C1_VIPAS39.pdf", "Melting_Curves/meltCurve_Q9H9C1_VIPAS39.pdf")</f>
        <v>Melting_Curves/meltCurve_Q9H9C1_VIPAS39.pdf</v>
      </c>
    </row>
    <row r="5406" spans="1:28" x14ac:dyDescent="0.25">
      <c r="A5406" t="s">
        <v>5410</v>
      </c>
      <c r="B5406">
        <v>0.99987803227770999</v>
      </c>
      <c r="C5406">
        <v>0.96970819462361002</v>
      </c>
      <c r="D5406">
        <v>1.0743768975619901</v>
      </c>
      <c r="E5406">
        <v>0.97735704896001496</v>
      </c>
      <c r="F5406">
        <v>0.93897140176559701</v>
      </c>
      <c r="G5406">
        <v>0.57816822525814004</v>
      </c>
      <c r="H5406">
        <v>0.58507326065173704</v>
      </c>
      <c r="I5406">
        <v>0.59560157293821003</v>
      </c>
      <c r="J5406">
        <v>0.478365248422914</v>
      </c>
      <c r="K5406">
        <v>0.435638323165566</v>
      </c>
      <c r="L5406">
        <v>2775.76684983527</v>
      </c>
      <c r="M5406">
        <v>50.546107626591798</v>
      </c>
      <c r="O5406">
        <v>54.829789464505801</v>
      </c>
      <c r="P5406">
        <v>-0.110373365054204</v>
      </c>
      <c r="Q5406">
        <v>0.52109124984494803</v>
      </c>
      <c r="R5406">
        <v>0.95446086860472501</v>
      </c>
      <c r="S5406" t="s">
        <v>11717</v>
      </c>
      <c r="T5406" t="s">
        <v>12620</v>
      </c>
      <c r="U5406" t="s">
        <v>12620</v>
      </c>
      <c r="V5406" t="s">
        <v>12620</v>
      </c>
      <c r="W5406" t="s">
        <v>17969</v>
      </c>
      <c r="X5406">
        <v>1</v>
      </c>
      <c r="Y5406" t="s">
        <v>24065</v>
      </c>
      <c r="Z5406" t="s">
        <v>30353</v>
      </c>
      <c r="AA5406">
        <v>0.76033181625541013</v>
      </c>
      <c r="AB5406" t="str">
        <f>HYPERLINK("Melting_Curves/meltCurve_Q9H9D4_ZNF408.pdf", "Melting_Curves/meltCurve_Q9H9D4_ZNF408.pdf")</f>
        <v>Melting_Curves/meltCurve_Q9H9D4_ZNF408.pdf</v>
      </c>
    </row>
    <row r="5407" spans="1:28" x14ac:dyDescent="0.25">
      <c r="A5407" t="s">
        <v>5411</v>
      </c>
      <c r="B5407">
        <v>0.99987803227770999</v>
      </c>
      <c r="C5407">
        <v>0.986590481256859</v>
      </c>
      <c r="D5407">
        <v>0.55389822635645802</v>
      </c>
      <c r="E5407">
        <v>0.362017338808027</v>
      </c>
      <c r="F5407">
        <v>0.22765302725547601</v>
      </c>
      <c r="G5407">
        <v>0.15350560332572699</v>
      </c>
      <c r="H5407">
        <v>0.12567099692004999</v>
      </c>
      <c r="I5407">
        <v>0.11169019438516201</v>
      </c>
      <c r="J5407">
        <v>9.6062768659859396E-2</v>
      </c>
      <c r="K5407">
        <v>7.2702264409960499E-2</v>
      </c>
      <c r="L5407">
        <v>915.66032313120104</v>
      </c>
      <c r="M5407">
        <v>19.464896502307202</v>
      </c>
      <c r="N5407">
        <v>47.641662852264403</v>
      </c>
      <c r="O5407">
        <v>46.5535523484576</v>
      </c>
      <c r="P5407">
        <v>-9.3169625194919406E-2</v>
      </c>
      <c r="Q5407">
        <v>0.108709389106781</v>
      </c>
      <c r="R5407">
        <v>0.97816241870741205</v>
      </c>
      <c r="S5407" t="s">
        <v>11718</v>
      </c>
      <c r="T5407" t="s">
        <v>12620</v>
      </c>
      <c r="U5407" t="s">
        <v>12620</v>
      </c>
      <c r="V5407" t="s">
        <v>12620</v>
      </c>
      <c r="W5407" t="s">
        <v>17970</v>
      </c>
      <c r="X5407">
        <v>16</v>
      </c>
      <c r="Y5407" t="s">
        <v>24066</v>
      </c>
      <c r="Z5407" t="s">
        <v>30354</v>
      </c>
      <c r="AA5407">
        <v>0.33174248737106549</v>
      </c>
      <c r="AB5407" t="str">
        <f>HYPERLINK("Melting_Curves/meltCurve_Q9H9E3_COG4.pdf", "Melting_Curves/meltCurve_Q9H9E3_COG4.pdf")</f>
        <v>Melting_Curves/meltCurve_Q9H9E3_COG4.pdf</v>
      </c>
    </row>
    <row r="5408" spans="1:28" x14ac:dyDescent="0.25">
      <c r="A5408" t="s">
        <v>5412</v>
      </c>
      <c r="B5408">
        <v>0.99987803227770999</v>
      </c>
      <c r="C5408">
        <v>0.80597376164468804</v>
      </c>
      <c r="D5408">
        <v>0.38464381641665701</v>
      </c>
      <c r="E5408">
        <v>0.32210896401469602</v>
      </c>
      <c r="F5408">
        <v>0.244913975538017</v>
      </c>
      <c r="G5408">
        <v>0.117352945282944</v>
      </c>
      <c r="H5408">
        <v>8.2765770174339004E-2</v>
      </c>
      <c r="I5408">
        <v>6.9663813578749303E-2</v>
      </c>
      <c r="J5408">
        <v>5.2357800995375903E-2</v>
      </c>
      <c r="K5408">
        <v>4.0652768461041801E-2</v>
      </c>
      <c r="L5408">
        <v>737.030161187217</v>
      </c>
      <c r="M5408">
        <v>16.118994917046798</v>
      </c>
      <c r="N5408">
        <v>46.177140075958199</v>
      </c>
      <c r="O5408">
        <v>45.037947429598802</v>
      </c>
      <c r="P5408">
        <v>-8.2940047260865901E-2</v>
      </c>
      <c r="Q5408">
        <v>7.3102504615972397E-2</v>
      </c>
      <c r="R5408">
        <v>0.96228329821530201</v>
      </c>
      <c r="S5408" t="s">
        <v>11719</v>
      </c>
      <c r="T5408" t="s">
        <v>12620</v>
      </c>
      <c r="U5408" t="s">
        <v>12620</v>
      </c>
      <c r="V5408" t="s">
        <v>12620</v>
      </c>
      <c r="W5408" t="s">
        <v>17971</v>
      </c>
      <c r="X5408">
        <v>5</v>
      </c>
      <c r="Y5408" t="s">
        <v>24067</v>
      </c>
      <c r="Z5408" t="s">
        <v>30355</v>
      </c>
      <c r="AA5408">
        <v>0.27372796923916981</v>
      </c>
      <c r="AB5408" t="str">
        <f>HYPERLINK("Melting_Curves/meltCurve_Q9H9F9_ACTR5.pdf", "Melting_Curves/meltCurve_Q9H9F9_ACTR5.pdf")</f>
        <v>Melting_Curves/meltCurve_Q9H9F9_ACTR5.pdf</v>
      </c>
    </row>
    <row r="5409" spans="1:28" x14ac:dyDescent="0.25">
      <c r="A5409" t="s">
        <v>5413</v>
      </c>
      <c r="B5409">
        <v>0.99987803227770999</v>
      </c>
      <c r="C5409">
        <v>1.0115771243156899</v>
      </c>
      <c r="D5409">
        <v>1.0492158034919099</v>
      </c>
      <c r="E5409">
        <v>0.75474944233296803</v>
      </c>
      <c r="F5409">
        <v>0.31926541720947599</v>
      </c>
      <c r="G5409">
        <v>0.193858446759475</v>
      </c>
      <c r="H5409">
        <v>0.12348542180012299</v>
      </c>
      <c r="I5409">
        <v>0.109134797089414</v>
      </c>
      <c r="J5409">
        <v>8.2118719579495E-2</v>
      </c>
      <c r="K5409">
        <v>6.2542077263538803E-2</v>
      </c>
      <c r="L5409">
        <v>1823.59364314549</v>
      </c>
      <c r="M5409">
        <v>35.489504681240398</v>
      </c>
      <c r="N5409">
        <v>51.7309104109681</v>
      </c>
      <c r="O5409">
        <v>51.221680006274099</v>
      </c>
      <c r="P5409">
        <v>-0.154874754994862</v>
      </c>
      <c r="Q5409">
        <v>0.105885376043946</v>
      </c>
      <c r="R5409">
        <v>0.99349659421431102</v>
      </c>
      <c r="S5409" t="s">
        <v>11720</v>
      </c>
      <c r="T5409" t="s">
        <v>12620</v>
      </c>
      <c r="U5409" t="s">
        <v>12620</v>
      </c>
      <c r="V5409" t="s">
        <v>12620</v>
      </c>
      <c r="W5409" t="s">
        <v>17972</v>
      </c>
      <c r="X5409">
        <v>3</v>
      </c>
      <c r="Y5409" t="s">
        <v>24068</v>
      </c>
      <c r="Z5409" t="s">
        <v>30356</v>
      </c>
      <c r="AA5409">
        <v>0.4492121501165427</v>
      </c>
      <c r="AB5409" t="str">
        <f>HYPERLINK("Melting_Curves/meltCurve_Q9H9H4_VPS37B.pdf", "Melting_Curves/meltCurve_Q9H9H4_VPS37B.pdf")</f>
        <v>Melting_Curves/meltCurve_Q9H9H4_VPS37B.pdf</v>
      </c>
    </row>
    <row r="5410" spans="1:28" x14ac:dyDescent="0.25">
      <c r="A5410" t="s">
        <v>5414</v>
      </c>
      <c r="B5410">
        <v>0.99987803227770999</v>
      </c>
      <c r="C5410">
        <v>0.98889629854126004</v>
      </c>
      <c r="D5410">
        <v>0.84562258085911401</v>
      </c>
      <c r="E5410">
        <v>0.61320401123572599</v>
      </c>
      <c r="F5410">
        <v>0.28074818327835599</v>
      </c>
      <c r="G5410">
        <v>0.13746720392028799</v>
      </c>
      <c r="H5410">
        <v>5.7591813356101203E-2</v>
      </c>
      <c r="I5410">
        <v>7.6692144346982502E-2</v>
      </c>
      <c r="J5410">
        <v>3.7228563578219201E-2</v>
      </c>
      <c r="K5410">
        <v>3.0105749523315399E-2</v>
      </c>
      <c r="L5410">
        <v>1005.7920834310401</v>
      </c>
      <c r="M5410">
        <v>19.8795943440958</v>
      </c>
      <c r="N5410">
        <v>50.781767313662002</v>
      </c>
      <c r="O5410">
        <v>50.090580302611301</v>
      </c>
      <c r="P5410">
        <v>-9.5709201553746404E-2</v>
      </c>
      <c r="Q5410">
        <v>3.5398901965393199E-2</v>
      </c>
      <c r="R5410">
        <v>0.99653885109015405</v>
      </c>
      <c r="S5410" t="s">
        <v>11721</v>
      </c>
      <c r="T5410" t="s">
        <v>12620</v>
      </c>
      <c r="U5410" t="s">
        <v>12620</v>
      </c>
      <c r="V5410" t="s">
        <v>12620</v>
      </c>
      <c r="W5410" t="s">
        <v>17973</v>
      </c>
      <c r="X5410">
        <v>2</v>
      </c>
      <c r="Y5410" t="s">
        <v>24069</v>
      </c>
      <c r="Z5410" t="s">
        <v>30357</v>
      </c>
      <c r="AA5410">
        <v>0.38959652417340479</v>
      </c>
      <c r="AB5410" t="str">
        <f>HYPERLINK("Melting_Curves/meltCurve_Q9H9J2_MRPL44.pdf", "Melting_Curves/meltCurve_Q9H9J2_MRPL44.pdf")</f>
        <v>Melting_Curves/meltCurve_Q9H9J2_MRPL44.pdf</v>
      </c>
    </row>
    <row r="5411" spans="1:28" x14ac:dyDescent="0.25">
      <c r="A5411" t="s">
        <v>5415</v>
      </c>
      <c r="B5411">
        <v>0.99987803227770999</v>
      </c>
      <c r="C5411">
        <v>0.71395456300120497</v>
      </c>
      <c r="D5411">
        <v>0.88380644885706705</v>
      </c>
      <c r="E5411">
        <v>0.72894578481774097</v>
      </c>
      <c r="F5411">
        <v>0.87521436731707702</v>
      </c>
      <c r="G5411">
        <v>0.56874837699201397</v>
      </c>
      <c r="H5411">
        <v>0.72265565463514203</v>
      </c>
      <c r="I5411">
        <v>0.672523321960529</v>
      </c>
      <c r="J5411">
        <v>0.704028751540136</v>
      </c>
      <c r="K5411">
        <v>0.61147211021868797</v>
      </c>
      <c r="L5411">
        <v>297.49714655165002</v>
      </c>
      <c r="M5411">
        <v>6.2642176468972304</v>
      </c>
      <c r="O5411">
        <v>43.339610053545996</v>
      </c>
      <c r="P5411">
        <v>-1.43571883241488E-2</v>
      </c>
      <c r="Q5411">
        <v>0.60377305654525903</v>
      </c>
      <c r="R5411">
        <v>0.49538329288552702</v>
      </c>
      <c r="S5411" t="s">
        <v>11722</v>
      </c>
      <c r="T5411" t="s">
        <v>12620</v>
      </c>
      <c r="U5411" t="s">
        <v>12620</v>
      </c>
      <c r="V5411" t="s">
        <v>12620</v>
      </c>
      <c r="W5411" t="s">
        <v>17974</v>
      </c>
      <c r="X5411">
        <v>3</v>
      </c>
      <c r="Y5411" t="s">
        <v>24070</v>
      </c>
      <c r="Z5411" t="s">
        <v>30358</v>
      </c>
      <c r="AA5411">
        <v>0.7427720125082542</v>
      </c>
      <c r="AB5411" t="str">
        <f>HYPERLINK("Melting_Curves/meltCurve_Q9H9R9_DBNDD1.pdf", "Melting_Curves/meltCurve_Q9H9R9_DBNDD1.pdf")</f>
        <v>Melting_Curves/meltCurve_Q9H9R9_DBNDD1.pdf</v>
      </c>
    </row>
    <row r="5412" spans="1:28" x14ac:dyDescent="0.25">
      <c r="A5412" t="s">
        <v>5416</v>
      </c>
      <c r="B5412">
        <v>0.99987803227770999</v>
      </c>
      <c r="C5412">
        <v>0.930909546857555</v>
      </c>
      <c r="D5412">
        <v>0.87227443810283301</v>
      </c>
      <c r="E5412">
        <v>1.3399995266668701</v>
      </c>
      <c r="F5412">
        <v>1.0633768273700599</v>
      </c>
      <c r="G5412">
        <v>0.57009674142258704</v>
      </c>
      <c r="H5412">
        <v>0.21866364478745301</v>
      </c>
      <c r="I5412">
        <v>0.16707278210200999</v>
      </c>
      <c r="J5412">
        <v>0.124524426844887</v>
      </c>
      <c r="K5412">
        <v>9.2264960564132206E-2</v>
      </c>
      <c r="L5412">
        <v>3241.6685238698301</v>
      </c>
      <c r="M5412">
        <v>56.834797500141697</v>
      </c>
      <c r="N5412">
        <v>57.378748314265302</v>
      </c>
      <c r="O5412">
        <v>56.966202282633397</v>
      </c>
      <c r="P5412">
        <v>-0.213582825799844</v>
      </c>
      <c r="Q5412">
        <v>0.14369387577768999</v>
      </c>
      <c r="R5412">
        <v>0.92197881717625596</v>
      </c>
      <c r="S5412" t="s">
        <v>11723</v>
      </c>
      <c r="T5412" t="s">
        <v>12620</v>
      </c>
      <c r="U5412" t="s">
        <v>12620</v>
      </c>
      <c r="V5412" t="s">
        <v>12620</v>
      </c>
      <c r="W5412" t="s">
        <v>17975</v>
      </c>
      <c r="X5412">
        <v>11</v>
      </c>
      <c r="Y5412" t="s">
        <v>24071</v>
      </c>
      <c r="Z5412" t="s">
        <v>30359</v>
      </c>
      <c r="AA5412">
        <v>0.63164522871219264</v>
      </c>
      <c r="AB5412" t="str">
        <f>HYPERLINK("Melting_Curves/meltCurve_Q9H9T3_2_ELP3.pdf", "Melting_Curves/meltCurve_Q9H9T3_2_ELP3.pdf")</f>
        <v>Melting_Curves/meltCurve_Q9H9T3_2_ELP3.pdf</v>
      </c>
    </row>
    <row r="5413" spans="1:28" x14ac:dyDescent="0.25">
      <c r="A5413" t="s">
        <v>5417</v>
      </c>
      <c r="B5413">
        <v>0.99987803227770999</v>
      </c>
      <c r="C5413">
        <v>0.97055562152835095</v>
      </c>
      <c r="D5413">
        <v>0.86715637764651698</v>
      </c>
      <c r="E5413">
        <v>0.56165069423771297</v>
      </c>
      <c r="F5413">
        <v>0.54869626702860197</v>
      </c>
      <c r="G5413">
        <v>0.41156721878508101</v>
      </c>
      <c r="H5413">
        <v>0.25894394868848802</v>
      </c>
      <c r="I5413">
        <v>0.21260211132845899</v>
      </c>
      <c r="J5413">
        <v>0.163444153828746</v>
      </c>
      <c r="K5413">
        <v>0.127534515908064</v>
      </c>
      <c r="L5413">
        <v>556.40983078479303</v>
      </c>
      <c r="M5413">
        <v>10.574359130496701</v>
      </c>
      <c r="N5413">
        <v>53.555535943250199</v>
      </c>
      <c r="O5413">
        <v>50.841526236469797</v>
      </c>
      <c r="P5413">
        <v>-4.7625261625078602E-2</v>
      </c>
      <c r="Q5413">
        <v>8.4430777668127302E-2</v>
      </c>
      <c r="R5413">
        <v>0.98206569885401696</v>
      </c>
      <c r="S5413" t="s">
        <v>11724</v>
      </c>
      <c r="T5413" t="s">
        <v>12620</v>
      </c>
      <c r="U5413" t="s">
        <v>12620</v>
      </c>
      <c r="V5413" t="s">
        <v>12620</v>
      </c>
      <c r="W5413" t="s">
        <v>17976</v>
      </c>
      <c r="X5413">
        <v>2</v>
      </c>
      <c r="Y5413" t="s">
        <v>24072</v>
      </c>
      <c r="Z5413" t="s">
        <v>30360</v>
      </c>
      <c r="AA5413">
        <v>0.50041408003437426</v>
      </c>
      <c r="AB5413" t="str">
        <f>HYPERLINK("Melting_Curves/meltCurve_Q9H9V9_2_JMJD4.pdf", "Melting_Curves/meltCurve_Q9H9V9_2_JMJD4.pdf")</f>
        <v>Melting_Curves/meltCurve_Q9H9V9_2_JMJD4.pdf</v>
      </c>
    </row>
    <row r="5414" spans="1:28" x14ac:dyDescent="0.25">
      <c r="A5414" t="s">
        <v>5418</v>
      </c>
      <c r="B5414">
        <v>0.99987803227770999</v>
      </c>
      <c r="C5414">
        <v>1.03570400305744</v>
      </c>
      <c r="D5414">
        <v>0.95678457541252304</v>
      </c>
      <c r="E5414">
        <v>0.89414588702041198</v>
      </c>
      <c r="F5414">
        <v>0.67441617750637295</v>
      </c>
      <c r="G5414">
        <v>0.440661610256944</v>
      </c>
      <c r="H5414">
        <v>0.253533402906779</v>
      </c>
      <c r="I5414">
        <v>0.16520395276057201</v>
      </c>
      <c r="J5414">
        <v>0.12594561439504501</v>
      </c>
      <c r="K5414">
        <v>9.0114726187791802E-2</v>
      </c>
      <c r="L5414">
        <v>898.37170853159103</v>
      </c>
      <c r="M5414">
        <v>16.1911498931259</v>
      </c>
      <c r="N5414">
        <v>55.994347067312901</v>
      </c>
      <c r="O5414">
        <v>54.659664396603098</v>
      </c>
      <c r="P5414">
        <v>-6.8992001215150006E-2</v>
      </c>
      <c r="Q5414">
        <v>6.8430004486291607E-2</v>
      </c>
      <c r="R5414">
        <v>0.99714212301635596</v>
      </c>
      <c r="S5414" t="s">
        <v>11725</v>
      </c>
      <c r="T5414" t="s">
        <v>12620</v>
      </c>
      <c r="U5414" t="s">
        <v>12620</v>
      </c>
      <c r="V5414" t="s">
        <v>12620</v>
      </c>
      <c r="W5414" t="s">
        <v>17977</v>
      </c>
      <c r="X5414">
        <v>5</v>
      </c>
      <c r="Y5414" t="s">
        <v>24073</v>
      </c>
      <c r="Z5414" t="s">
        <v>30361</v>
      </c>
      <c r="AA5414">
        <v>0.56528075405979861</v>
      </c>
      <c r="AB5414" t="str">
        <f>HYPERLINK("Melting_Curves/meltCurve_Q9HA47_3_UCK1.pdf", "Melting_Curves/meltCurve_Q9HA47_3_UCK1.pdf")</f>
        <v>Melting_Curves/meltCurve_Q9HA47_3_UCK1.pdf</v>
      </c>
    </row>
    <row r="5415" spans="1:28" x14ac:dyDescent="0.25">
      <c r="A5415" t="s">
        <v>5419</v>
      </c>
      <c r="B5415">
        <v>0.99987803227770999</v>
      </c>
      <c r="C5415">
        <v>0.897881668388822</v>
      </c>
      <c r="D5415">
        <v>1.0207187012501699</v>
      </c>
      <c r="E5415">
        <v>0.92939370501301399</v>
      </c>
      <c r="F5415">
        <v>1.05567645496851</v>
      </c>
      <c r="G5415">
        <v>0.790754150448293</v>
      </c>
      <c r="H5415">
        <v>0.57729864518760399</v>
      </c>
      <c r="I5415">
        <v>0.260131839536138</v>
      </c>
      <c r="J5415">
        <v>9.6974537831294699E-2</v>
      </c>
      <c r="K5415">
        <v>7.1065446435313206E-2</v>
      </c>
      <c r="L5415">
        <v>1415.3756153199699</v>
      </c>
      <c r="M5415">
        <v>23.0771759241502</v>
      </c>
      <c r="N5415">
        <v>61.3322948591981</v>
      </c>
      <c r="O5415">
        <v>60.877292225380103</v>
      </c>
      <c r="P5415">
        <v>-9.4770977662163094E-2</v>
      </c>
      <c r="Q5415">
        <v>0</v>
      </c>
      <c r="R5415">
        <v>0.97896171541214505</v>
      </c>
      <c r="S5415" t="s">
        <v>11726</v>
      </c>
      <c r="T5415" t="s">
        <v>12620</v>
      </c>
      <c r="U5415" t="s">
        <v>12620</v>
      </c>
      <c r="V5415" t="s">
        <v>12620</v>
      </c>
      <c r="W5415" t="s">
        <v>17978</v>
      </c>
      <c r="X5415">
        <v>14</v>
      </c>
      <c r="Y5415" t="s">
        <v>24074</v>
      </c>
      <c r="Z5415" t="s">
        <v>30362</v>
      </c>
      <c r="AA5415">
        <v>0.71684378856108444</v>
      </c>
      <c r="AB5415" t="str">
        <f>HYPERLINK("Melting_Curves/meltCurve_Q9HA64_FN3KRP.pdf", "Melting_Curves/meltCurve_Q9HA64_FN3KRP.pdf")</f>
        <v>Melting_Curves/meltCurve_Q9HA64_FN3KRP.pdf</v>
      </c>
    </row>
    <row r="5416" spans="1:28" x14ac:dyDescent="0.25">
      <c r="A5416" t="s">
        <v>5420</v>
      </c>
      <c r="B5416">
        <v>0.99987803227770999</v>
      </c>
      <c r="C5416">
        <v>1.2638237431550301</v>
      </c>
      <c r="D5416">
        <v>1.0133371637659701</v>
      </c>
      <c r="E5416">
        <v>1.0975653300874699</v>
      </c>
      <c r="F5416">
        <v>0.55901734881288401</v>
      </c>
      <c r="G5416">
        <v>0.31721684942801598</v>
      </c>
      <c r="H5416">
        <v>0.16788527570838199</v>
      </c>
      <c r="I5416">
        <v>0.13253888414661899</v>
      </c>
      <c r="J5416">
        <v>9.2703137616476805E-2</v>
      </c>
      <c r="K5416">
        <v>6.2544560604122099E-2</v>
      </c>
      <c r="L5416">
        <v>1855.4034548693101</v>
      </c>
      <c r="M5416">
        <v>34.609680051693502</v>
      </c>
      <c r="N5416">
        <v>54.056368719452301</v>
      </c>
      <c r="O5416">
        <v>53.431347137287801</v>
      </c>
      <c r="P5416">
        <v>-0.141784810067137</v>
      </c>
      <c r="Q5416">
        <v>0.124438539908087</v>
      </c>
      <c r="R5416">
        <v>0.94153265280801701</v>
      </c>
      <c r="S5416" t="s">
        <v>11727</v>
      </c>
      <c r="T5416" t="s">
        <v>12620</v>
      </c>
      <c r="U5416" t="s">
        <v>12620</v>
      </c>
      <c r="V5416" t="s">
        <v>12620</v>
      </c>
      <c r="W5416" t="s">
        <v>17979</v>
      </c>
      <c r="X5416">
        <v>10</v>
      </c>
      <c r="Y5416" t="s">
        <v>24075</v>
      </c>
      <c r="Z5416" t="s">
        <v>30363</v>
      </c>
      <c r="AA5416">
        <v>0.52595652221684464</v>
      </c>
      <c r="AB5416" t="str">
        <f>HYPERLINK("Melting_Curves/meltCurve_Q9HA65_TBC1D17.pdf", "Melting_Curves/meltCurve_Q9HA65_TBC1D17.pdf")</f>
        <v>Melting_Curves/meltCurve_Q9HA65_TBC1D17.pdf</v>
      </c>
    </row>
    <row r="5417" spans="1:28" x14ac:dyDescent="0.25">
      <c r="A5417" t="s">
        <v>5421</v>
      </c>
      <c r="B5417">
        <v>0.99987803227770999</v>
      </c>
      <c r="C5417">
        <v>1.0933739230122801</v>
      </c>
      <c r="D5417">
        <v>0.98568814860930198</v>
      </c>
      <c r="E5417">
        <v>1.0523879479184901</v>
      </c>
      <c r="F5417">
        <v>0.99718287208441403</v>
      </c>
      <c r="G5417">
        <v>0.74285273103087401</v>
      </c>
      <c r="H5417">
        <v>0.55866063422666301</v>
      </c>
      <c r="I5417">
        <v>0.404355922052404</v>
      </c>
      <c r="J5417">
        <v>0.14057737392106601</v>
      </c>
      <c r="K5417">
        <v>0.110790196181399</v>
      </c>
      <c r="L5417">
        <v>1094.2706673390101</v>
      </c>
      <c r="M5417">
        <v>17.739462744002001</v>
      </c>
      <c r="N5417">
        <v>61.685672497759597</v>
      </c>
      <c r="O5417">
        <v>60.9178016433682</v>
      </c>
      <c r="P5417">
        <v>-7.2804620840760906E-2</v>
      </c>
      <c r="Q5417">
        <v>0</v>
      </c>
      <c r="R5417">
        <v>0.97903449372125295</v>
      </c>
      <c r="S5417" t="s">
        <v>11728</v>
      </c>
      <c r="T5417" t="s">
        <v>12620</v>
      </c>
      <c r="U5417" t="s">
        <v>12620</v>
      </c>
      <c r="V5417" t="s">
        <v>12620</v>
      </c>
      <c r="W5417" t="s">
        <v>17980</v>
      </c>
      <c r="X5417">
        <v>13</v>
      </c>
      <c r="Y5417" t="s">
        <v>24076</v>
      </c>
      <c r="Z5417" t="s">
        <v>30364</v>
      </c>
      <c r="AA5417">
        <v>0.72541665071492389</v>
      </c>
      <c r="AB5417" t="str">
        <f>HYPERLINK("Melting_Curves/meltCurve_Q9HA77_CARS2.pdf", "Melting_Curves/meltCurve_Q9HA77_CARS2.pdf")</f>
        <v>Melting_Curves/meltCurve_Q9HA77_CARS2.pdf</v>
      </c>
    </row>
    <row r="5418" spans="1:28" x14ac:dyDescent="0.25">
      <c r="A5418" t="s">
        <v>5422</v>
      </c>
      <c r="B5418">
        <v>0.99987803227770999</v>
      </c>
      <c r="C5418">
        <v>0.99473278678007804</v>
      </c>
      <c r="D5418">
        <v>1.0704603717555199</v>
      </c>
      <c r="E5418">
        <v>0.933377975706844</v>
      </c>
      <c r="F5418">
        <v>0.75858517293176397</v>
      </c>
      <c r="G5418">
        <v>0.226558545127723</v>
      </c>
      <c r="H5418">
        <v>0.13385978572174001</v>
      </c>
      <c r="I5418">
        <v>0.12906064618917801</v>
      </c>
      <c r="J5418">
        <v>6.7569114618548407E-2</v>
      </c>
      <c r="K5418">
        <v>4.3552058040404303E-2</v>
      </c>
      <c r="L5418">
        <v>1901.5353254911299</v>
      </c>
      <c r="M5418">
        <v>34.919246408079601</v>
      </c>
      <c r="N5418">
        <v>54.741965461221</v>
      </c>
      <c r="O5418">
        <v>54.277558611724899</v>
      </c>
      <c r="P5418">
        <v>-0.147394382437562</v>
      </c>
      <c r="Q5418">
        <v>8.3579484260130094E-2</v>
      </c>
      <c r="R5418">
        <v>0.99400708406206495</v>
      </c>
      <c r="S5418" t="s">
        <v>11729</v>
      </c>
      <c r="T5418" t="s">
        <v>12620</v>
      </c>
      <c r="U5418" t="s">
        <v>12620</v>
      </c>
      <c r="V5418" t="s">
        <v>12620</v>
      </c>
      <c r="W5418" t="s">
        <v>17981</v>
      </c>
      <c r="X5418">
        <v>10</v>
      </c>
      <c r="Y5418" t="s">
        <v>24077</v>
      </c>
      <c r="Z5418" t="s">
        <v>30365</v>
      </c>
      <c r="AA5418">
        <v>0.52965206893472716</v>
      </c>
      <c r="AB5418" t="str">
        <f>HYPERLINK("Melting_Curves/meltCurve_Q9HAB8_PPCS.pdf", "Melting_Curves/meltCurve_Q9HAB8_PPCS.pdf")</f>
        <v>Melting_Curves/meltCurve_Q9HAB8_PPCS.pdf</v>
      </c>
    </row>
    <row r="5419" spans="1:28" x14ac:dyDescent="0.25">
      <c r="A5419" t="s">
        <v>5423</v>
      </c>
      <c r="B5419">
        <v>0.99987803227770999</v>
      </c>
      <c r="C5419">
        <v>0.97279649539271995</v>
      </c>
      <c r="D5419">
        <v>1.04699573901687</v>
      </c>
      <c r="E5419">
        <v>0.87277229967081305</v>
      </c>
      <c r="F5419">
        <v>0.70330449168780496</v>
      </c>
      <c r="G5419">
        <v>0.33529997824670299</v>
      </c>
      <c r="H5419">
        <v>0.16872543342530799</v>
      </c>
      <c r="I5419">
        <v>0.127158918946569</v>
      </c>
      <c r="J5419">
        <v>8.1793777873955295E-2</v>
      </c>
      <c r="K5419">
        <v>5.8365263250951697E-2</v>
      </c>
      <c r="L5419">
        <v>1177.0936213794801</v>
      </c>
      <c r="M5419">
        <v>21.4968246538232</v>
      </c>
      <c r="N5419">
        <v>55.126411107031402</v>
      </c>
      <c r="O5419">
        <v>54.2893865800268</v>
      </c>
      <c r="P5419">
        <v>-9.2347590278663794E-2</v>
      </c>
      <c r="Q5419">
        <v>6.7141969590910594E-2</v>
      </c>
      <c r="R5419">
        <v>0.99625039180470898</v>
      </c>
      <c r="S5419" t="s">
        <v>11730</v>
      </c>
      <c r="T5419" t="s">
        <v>12620</v>
      </c>
      <c r="U5419" t="s">
        <v>12620</v>
      </c>
      <c r="V5419" t="s">
        <v>12620</v>
      </c>
      <c r="W5419" t="s">
        <v>17982</v>
      </c>
      <c r="X5419">
        <v>6</v>
      </c>
      <c r="Y5419" t="s">
        <v>24078</v>
      </c>
      <c r="Z5419" t="s">
        <v>30366</v>
      </c>
      <c r="AA5419">
        <v>0.53715895172353667</v>
      </c>
      <c r="AB5419" t="str">
        <f>HYPERLINK("Melting_Curves/meltCurve_Q9HAD4_WDR41.pdf", "Melting_Curves/meltCurve_Q9HAD4_WDR41.pdf")</f>
        <v>Melting_Curves/meltCurve_Q9HAD4_WDR41.pdf</v>
      </c>
    </row>
    <row r="5420" spans="1:28" x14ac:dyDescent="0.25">
      <c r="A5420" t="s">
        <v>5424</v>
      </c>
      <c r="B5420">
        <v>0.99987803227770999</v>
      </c>
      <c r="C5420">
        <v>0.93863616026615704</v>
      </c>
      <c r="D5420">
        <v>0.82909840587505101</v>
      </c>
      <c r="E5420">
        <v>0.76098480015813896</v>
      </c>
      <c r="F5420">
        <v>0.72119901061838898</v>
      </c>
      <c r="G5420">
        <v>0.69380527382462798</v>
      </c>
      <c r="H5420">
        <v>0.46045125577284601</v>
      </c>
      <c r="I5420">
        <v>0.50168787100692003</v>
      </c>
      <c r="J5420">
        <v>0.33870727787580002</v>
      </c>
      <c r="K5420">
        <v>0.249839618795761</v>
      </c>
      <c r="L5420">
        <v>385.65528515265697</v>
      </c>
      <c r="M5420">
        <v>6.32188359034875</v>
      </c>
      <c r="N5420">
        <v>61.003224792159799</v>
      </c>
      <c r="O5420">
        <v>55.753619378319797</v>
      </c>
      <c r="P5420">
        <v>-2.84235193143587E-2</v>
      </c>
      <c r="Q5420">
        <v>0</v>
      </c>
      <c r="R5420">
        <v>0.95732565845550899</v>
      </c>
      <c r="S5420" t="s">
        <v>11731</v>
      </c>
      <c r="T5420" t="s">
        <v>12620</v>
      </c>
      <c r="U5420" t="s">
        <v>12620</v>
      </c>
      <c r="V5420" t="s">
        <v>12620</v>
      </c>
      <c r="W5420" t="s">
        <v>17983</v>
      </c>
      <c r="X5420">
        <v>1</v>
      </c>
      <c r="Y5420" t="s">
        <v>24079</v>
      </c>
      <c r="Z5420" t="s">
        <v>30367</v>
      </c>
      <c r="AA5420">
        <v>0.65692046793102155</v>
      </c>
      <c r="AB5420" t="str">
        <f>HYPERLINK("Melting_Curves/meltCurve_Q9HAF1_2_MEAF6.pdf", "Melting_Curves/meltCurve_Q9HAF1_2_MEAF6.pdf")</f>
        <v>Melting_Curves/meltCurve_Q9HAF1_2_MEAF6.pdf</v>
      </c>
    </row>
    <row r="5421" spans="1:28" x14ac:dyDescent="0.25">
      <c r="A5421" t="s">
        <v>5425</v>
      </c>
      <c r="B5421">
        <v>0.99987803227770999</v>
      </c>
      <c r="C5421">
        <v>1.0074586032275401</v>
      </c>
      <c r="D5421">
        <v>0.835738208811591</v>
      </c>
      <c r="E5421">
        <v>0.76204195135132202</v>
      </c>
      <c r="F5421">
        <v>0.49661356897271303</v>
      </c>
      <c r="G5421">
        <v>0.279525293426995</v>
      </c>
      <c r="H5421">
        <v>0.221068506667807</v>
      </c>
      <c r="I5421">
        <v>0.25792321072820001</v>
      </c>
      <c r="J5421">
        <v>0.21958870286648999</v>
      </c>
      <c r="K5421">
        <v>0.16964392579468199</v>
      </c>
      <c r="L5421">
        <v>917.87718861480005</v>
      </c>
      <c r="M5421">
        <v>17.776425621221499</v>
      </c>
      <c r="N5421">
        <v>53.034838158373901</v>
      </c>
      <c r="O5421">
        <v>50.994382541303999</v>
      </c>
      <c r="P5421">
        <v>-7.0829597840017702E-2</v>
      </c>
      <c r="Q5421">
        <v>0.18730019505922901</v>
      </c>
      <c r="R5421">
        <v>0.98579904599322499</v>
      </c>
      <c r="S5421" t="s">
        <v>11732</v>
      </c>
      <c r="T5421" t="s">
        <v>12620</v>
      </c>
      <c r="U5421" t="s">
        <v>12620</v>
      </c>
      <c r="V5421" t="s">
        <v>12620</v>
      </c>
      <c r="W5421" t="s">
        <v>17984</v>
      </c>
      <c r="X5421">
        <v>2</v>
      </c>
      <c r="Y5421" t="s">
        <v>24080</v>
      </c>
      <c r="Z5421" t="s">
        <v>30368</v>
      </c>
      <c r="AA5421">
        <v>0.5163667757477296</v>
      </c>
      <c r="AB5421" t="str">
        <f>HYPERLINK("Melting_Curves/meltCurve_Q9HAJ7_SAP30L.pdf", "Melting_Curves/meltCurve_Q9HAJ7_SAP30L.pdf")</f>
        <v>Melting_Curves/meltCurve_Q9HAJ7_SAP30L.pdf</v>
      </c>
    </row>
    <row r="5422" spans="1:28" x14ac:dyDescent="0.25">
      <c r="A5422" t="s">
        <v>5426</v>
      </c>
      <c r="B5422">
        <v>0.99987803227770999</v>
      </c>
      <c r="C5422">
        <v>1.03278862924123</v>
      </c>
      <c r="D5422">
        <v>1.0432568434798699</v>
      </c>
      <c r="E5422">
        <v>0.95573404509327398</v>
      </c>
      <c r="F5422">
        <v>0.81966496139039402</v>
      </c>
      <c r="G5422">
        <v>0.57538591070570899</v>
      </c>
      <c r="H5422">
        <v>0.48694135679741202</v>
      </c>
      <c r="I5422">
        <v>0.43341226490551799</v>
      </c>
      <c r="J5422">
        <v>0.34693505243519401</v>
      </c>
      <c r="K5422">
        <v>0.271003080410605</v>
      </c>
      <c r="L5422">
        <v>930.67675704691896</v>
      </c>
      <c r="M5422">
        <v>16.442941791318699</v>
      </c>
      <c r="N5422">
        <v>59.774730389452202</v>
      </c>
      <c r="O5422">
        <v>55.783083021619902</v>
      </c>
      <c r="P5422">
        <v>-5.22366272709818E-2</v>
      </c>
      <c r="Q5422">
        <v>0.29119378465685503</v>
      </c>
      <c r="R5422">
        <v>0.983332399035589</v>
      </c>
      <c r="S5422" t="s">
        <v>11733</v>
      </c>
      <c r="T5422" t="s">
        <v>12620</v>
      </c>
      <c r="U5422" t="s">
        <v>12620</v>
      </c>
      <c r="V5422" t="s">
        <v>12620</v>
      </c>
      <c r="W5422" t="s">
        <v>17985</v>
      </c>
      <c r="X5422">
        <v>2</v>
      </c>
      <c r="Y5422" t="s">
        <v>24081</v>
      </c>
      <c r="Z5422" t="s">
        <v>30369</v>
      </c>
      <c r="AA5422">
        <v>0.69437674099945501</v>
      </c>
      <c r="AB5422" t="str">
        <f>HYPERLINK("Melting_Curves/meltCurve_Q9HAP2_MLXIP.pdf", "Melting_Curves/meltCurve_Q9HAP2_MLXIP.pdf")</f>
        <v>Melting_Curves/meltCurve_Q9HAP2_MLXIP.pdf</v>
      </c>
    </row>
    <row r="5423" spans="1:28" x14ac:dyDescent="0.25">
      <c r="A5423" t="s">
        <v>5427</v>
      </c>
      <c r="B5423">
        <v>0.99987803227770999</v>
      </c>
      <c r="C5423">
        <v>0.97540030532876099</v>
      </c>
      <c r="D5423">
        <v>0.97638918491431903</v>
      </c>
      <c r="E5423">
        <v>0.96443481181766</v>
      </c>
      <c r="F5423">
        <v>1.0943199420502301</v>
      </c>
      <c r="G5423">
        <v>1.18974856637955</v>
      </c>
      <c r="H5423">
        <v>0.85705329484978499</v>
      </c>
      <c r="I5423">
        <v>0.55967457200487603</v>
      </c>
      <c r="J5423">
        <v>0.338307689689749</v>
      </c>
      <c r="K5423">
        <v>0.14834635012963099</v>
      </c>
      <c r="L5423">
        <v>2240.8312826322399</v>
      </c>
      <c r="M5423">
        <v>34.936680296931101</v>
      </c>
      <c r="N5423">
        <v>64.709054706170903</v>
      </c>
      <c r="O5423">
        <v>63.930715210506698</v>
      </c>
      <c r="P5423">
        <v>-0.11854453538377401</v>
      </c>
      <c r="Q5423">
        <v>0.132303114381013</v>
      </c>
      <c r="R5423">
        <v>0.94787737473371703</v>
      </c>
      <c r="S5423" t="s">
        <v>11734</v>
      </c>
      <c r="T5423" t="s">
        <v>12620</v>
      </c>
      <c r="U5423" t="s">
        <v>12620</v>
      </c>
      <c r="V5423" t="s">
        <v>12620</v>
      </c>
      <c r="W5423" t="s">
        <v>17986</v>
      </c>
      <c r="X5423">
        <v>4</v>
      </c>
      <c r="Y5423" t="s">
        <v>24082</v>
      </c>
      <c r="Z5423" t="s">
        <v>30370</v>
      </c>
      <c r="AA5423">
        <v>0.83202331924774076</v>
      </c>
      <c r="AB5423" t="str">
        <f>HYPERLINK("Melting_Curves/meltCurve_Q9HAT2_2_SIAE.pdf", "Melting_Curves/meltCurve_Q9HAT2_2_SIAE.pdf")</f>
        <v>Melting_Curves/meltCurve_Q9HAT2_2_SIAE.pdf</v>
      </c>
    </row>
    <row r="5424" spans="1:28" x14ac:dyDescent="0.25">
      <c r="A5424" t="s">
        <v>5428</v>
      </c>
      <c r="B5424">
        <v>0.99987803227770999</v>
      </c>
      <c r="C5424">
        <v>0.89321096337997596</v>
      </c>
      <c r="D5424">
        <v>0.99610988456918403</v>
      </c>
      <c r="E5424">
        <v>0.89811520574786097</v>
      </c>
      <c r="F5424">
        <v>1.0229800658311901</v>
      </c>
      <c r="G5424">
        <v>0.90852940101479096</v>
      </c>
      <c r="H5424">
        <v>0.84574767286347896</v>
      </c>
      <c r="I5424">
        <v>0.84730931357215999</v>
      </c>
      <c r="J5424">
        <v>0.80976194769761201</v>
      </c>
      <c r="K5424">
        <v>0.67021637461473205</v>
      </c>
      <c r="L5424">
        <v>464.60731984968101</v>
      </c>
      <c r="M5424">
        <v>5.7347849344538702</v>
      </c>
      <c r="Q5424">
        <v>0</v>
      </c>
      <c r="R5424">
        <v>0.74839632642370402</v>
      </c>
      <c r="S5424" t="s">
        <v>11735</v>
      </c>
      <c r="T5424" t="s">
        <v>12620</v>
      </c>
      <c r="U5424" t="s">
        <v>12620</v>
      </c>
      <c r="V5424" t="s">
        <v>12620</v>
      </c>
      <c r="W5424" t="s">
        <v>17987</v>
      </c>
      <c r="X5424">
        <v>10</v>
      </c>
      <c r="Y5424" t="s">
        <v>24083</v>
      </c>
      <c r="Z5424" t="s">
        <v>30371</v>
      </c>
      <c r="AA5424">
        <v>0.90801118946745529</v>
      </c>
      <c r="AB5424" t="str">
        <f>HYPERLINK("Melting_Curves/meltCurve_Q9HAU0_PLEKHA5.pdf", "Melting_Curves/meltCurve_Q9HAU0_PLEKHA5.pdf")</f>
        <v>Melting_Curves/meltCurve_Q9HAU0_PLEKHA5.pdf</v>
      </c>
    </row>
    <row r="5425" spans="1:28" x14ac:dyDescent="0.25">
      <c r="A5425" t="s">
        <v>5429</v>
      </c>
      <c r="B5425">
        <v>0.99987803227770999</v>
      </c>
      <c r="C5425">
        <v>1.1014117734726501</v>
      </c>
      <c r="D5425">
        <v>0.92853605259863603</v>
      </c>
      <c r="E5425">
        <v>0.83943204619092604</v>
      </c>
      <c r="F5425">
        <v>0.35298588124297398</v>
      </c>
      <c r="G5425">
        <v>0.248903418543993</v>
      </c>
      <c r="H5425">
        <v>0.17192500375199399</v>
      </c>
      <c r="I5425">
        <v>0.22347596375283801</v>
      </c>
      <c r="J5425">
        <v>0.110139991638506</v>
      </c>
      <c r="K5425">
        <v>8.1946866982280805E-2</v>
      </c>
      <c r="L5425">
        <v>2126.56926395748</v>
      </c>
      <c r="M5425">
        <v>41.210543361020299</v>
      </c>
      <c r="N5425">
        <v>52.093659414481102</v>
      </c>
      <c r="O5425">
        <v>51.4814888365485</v>
      </c>
      <c r="P5425">
        <v>-0.16791050475027999</v>
      </c>
      <c r="Q5425">
        <v>0.160965489408183</v>
      </c>
      <c r="R5425">
        <v>0.97794357948837995</v>
      </c>
      <c r="S5425" t="s">
        <v>11736</v>
      </c>
      <c r="T5425" t="s">
        <v>12620</v>
      </c>
      <c r="U5425" t="s">
        <v>12620</v>
      </c>
      <c r="V5425" t="s">
        <v>12620</v>
      </c>
      <c r="W5425" t="s">
        <v>17988</v>
      </c>
      <c r="X5425">
        <v>14</v>
      </c>
      <c r="Y5425" t="s">
        <v>24084</v>
      </c>
      <c r="Z5425" t="s">
        <v>30372</v>
      </c>
      <c r="AA5425">
        <v>0.48828122736138069</v>
      </c>
      <c r="AB5425" t="str">
        <f>HYPERLINK("Melting_Curves/meltCurve_Q9HAU5_UPF2.pdf", "Melting_Curves/meltCurve_Q9HAU5_UPF2.pdf")</f>
        <v>Melting_Curves/meltCurve_Q9HAU5_UPF2.pdf</v>
      </c>
    </row>
    <row r="5426" spans="1:28" x14ac:dyDescent="0.25">
      <c r="A5426" t="s">
        <v>5430</v>
      </c>
      <c r="B5426">
        <v>0.99987803227770999</v>
      </c>
      <c r="C5426">
        <v>1.17388581215999</v>
      </c>
      <c r="D5426">
        <v>0.98049352889795904</v>
      </c>
      <c r="E5426">
        <v>0.70303032501224205</v>
      </c>
      <c r="F5426">
        <v>0.199773499084509</v>
      </c>
      <c r="G5426">
        <v>0.132457303023646</v>
      </c>
      <c r="H5426">
        <v>7.9230156671601701E-2</v>
      </c>
      <c r="I5426">
        <v>6.9816240952087605E-2</v>
      </c>
      <c r="J5426">
        <v>4.4278295476303797E-2</v>
      </c>
      <c r="K5426">
        <v>3.2911985920272897E-2</v>
      </c>
      <c r="L5426">
        <v>2184.4344793996802</v>
      </c>
      <c r="M5426">
        <v>42.9439495293501</v>
      </c>
      <c r="N5426">
        <v>51.041629290822002</v>
      </c>
      <c r="O5426">
        <v>50.757153513517601</v>
      </c>
      <c r="P5426">
        <v>-0.19707429084175199</v>
      </c>
      <c r="Q5426">
        <v>6.8281454504402803E-2</v>
      </c>
      <c r="R5426">
        <v>0.98184140014436705</v>
      </c>
      <c r="S5426" t="s">
        <v>11737</v>
      </c>
      <c r="T5426" t="s">
        <v>12620</v>
      </c>
      <c r="U5426" t="s">
        <v>12620</v>
      </c>
      <c r="V5426" t="s">
        <v>12620</v>
      </c>
      <c r="W5426" t="s">
        <v>17989</v>
      </c>
      <c r="X5426">
        <v>29</v>
      </c>
      <c r="Y5426" t="s">
        <v>24085</v>
      </c>
      <c r="Z5426" t="s">
        <v>30373</v>
      </c>
      <c r="AA5426">
        <v>0.4086235923928464</v>
      </c>
      <c r="AB5426" t="str">
        <f>HYPERLINK("Melting_Curves/meltCurve_Q9HAV4_XPO5.pdf", "Melting_Curves/meltCurve_Q9HAV4_XPO5.pdf")</f>
        <v>Melting_Curves/meltCurve_Q9HAV4_XPO5.pdf</v>
      </c>
    </row>
    <row r="5427" spans="1:28" x14ac:dyDescent="0.25">
      <c r="A5427" t="s">
        <v>5431</v>
      </c>
      <c r="B5427">
        <v>0.99987803227770999</v>
      </c>
      <c r="C5427">
        <v>0.78307151142619202</v>
      </c>
      <c r="D5427">
        <v>0.96079440498317803</v>
      </c>
      <c r="E5427">
        <v>0.78473770071829396</v>
      </c>
      <c r="F5427">
        <v>0.57444674883064695</v>
      </c>
      <c r="G5427">
        <v>0.28209461663102098</v>
      </c>
      <c r="H5427">
        <v>0.196889206793884</v>
      </c>
      <c r="I5427">
        <v>0.164371467564317</v>
      </c>
      <c r="J5427">
        <v>0.17212272733439599</v>
      </c>
      <c r="K5427">
        <v>0.133189155398515</v>
      </c>
      <c r="L5427">
        <v>928.23532169383805</v>
      </c>
      <c r="M5427">
        <v>17.547558493488399</v>
      </c>
      <c r="N5427">
        <v>53.780806267181802</v>
      </c>
      <c r="O5427">
        <v>52.225601103547298</v>
      </c>
      <c r="P5427">
        <v>-7.3494387255228194E-2</v>
      </c>
      <c r="Q5427">
        <v>0.12510240238591799</v>
      </c>
      <c r="R5427">
        <v>0.96074810765442398</v>
      </c>
      <c r="S5427" t="s">
        <v>11738</v>
      </c>
      <c r="T5427" t="s">
        <v>12620</v>
      </c>
      <c r="U5427" t="s">
        <v>12620</v>
      </c>
      <c r="V5427" t="s">
        <v>12620</v>
      </c>
      <c r="W5427" t="s">
        <v>17990</v>
      </c>
      <c r="X5427">
        <v>12</v>
      </c>
      <c r="Y5427" t="s">
        <v>24086</v>
      </c>
      <c r="Z5427" t="s">
        <v>30374</v>
      </c>
      <c r="AA5427">
        <v>0.51620667663161457</v>
      </c>
      <c r="AB5427" t="str">
        <f>HYPERLINK("Melting_Curves/meltCurve_Q9HAV7_GRPEL1.pdf", "Melting_Curves/meltCurve_Q9HAV7_GRPEL1.pdf")</f>
        <v>Melting_Curves/meltCurve_Q9HAV7_GRPEL1.pdf</v>
      </c>
    </row>
    <row r="5428" spans="1:28" x14ac:dyDescent="0.25">
      <c r="A5428" t="s">
        <v>5432</v>
      </c>
      <c r="B5428">
        <v>0.99987803227770999</v>
      </c>
      <c r="C5428">
        <v>0.98751235158344797</v>
      </c>
      <c r="D5428">
        <v>1.01648185448897</v>
      </c>
      <c r="E5428">
        <v>0.97903116642515597</v>
      </c>
      <c r="F5428">
        <v>1.04974819171189</v>
      </c>
      <c r="G5428">
        <v>0.99570559436857098</v>
      </c>
      <c r="H5428">
        <v>0.93514327663642005</v>
      </c>
      <c r="I5428">
        <v>0.916180406737373</v>
      </c>
      <c r="J5428">
        <v>0.86601276096229696</v>
      </c>
      <c r="K5428">
        <v>0.67361140422907195</v>
      </c>
      <c r="L5428">
        <v>1307.68473900354</v>
      </c>
      <c r="M5428">
        <v>17.899085730614399</v>
      </c>
      <c r="Q5428">
        <v>0</v>
      </c>
      <c r="R5428">
        <v>0.94265552296997202</v>
      </c>
      <c r="S5428" t="s">
        <v>11739</v>
      </c>
      <c r="T5428" t="s">
        <v>12620</v>
      </c>
      <c r="U5428" t="s">
        <v>12620</v>
      </c>
      <c r="V5428" t="s">
        <v>12620</v>
      </c>
      <c r="W5428" t="s">
        <v>17991</v>
      </c>
      <c r="X5428">
        <v>10</v>
      </c>
      <c r="Y5428" t="s">
        <v>24087</v>
      </c>
      <c r="Z5428" t="s">
        <v>30375</v>
      </c>
      <c r="AA5428">
        <v>0.95771305513685534</v>
      </c>
      <c r="AB5428" t="str">
        <f>HYPERLINK("Melting_Curves/meltCurve_Q9HAW4_2_CLSPN.pdf", "Melting_Curves/meltCurve_Q9HAW4_2_CLSPN.pdf")</f>
        <v>Melting_Curves/meltCurve_Q9HAW4_2_CLSPN.pdf</v>
      </c>
    </row>
    <row r="5429" spans="1:28" x14ac:dyDescent="0.25">
      <c r="A5429" t="s">
        <v>5433</v>
      </c>
      <c r="B5429">
        <v>0.99987803227770999</v>
      </c>
      <c r="C5429">
        <v>0.94292292690138402</v>
      </c>
      <c r="D5429">
        <v>1.0736334567513299</v>
      </c>
      <c r="E5429">
        <v>0.90838257665045696</v>
      </c>
      <c r="F5429">
        <v>0.92582400198256598</v>
      </c>
      <c r="G5429">
        <v>0.76385796529747396</v>
      </c>
      <c r="H5429">
        <v>0.32150932480386502</v>
      </c>
      <c r="I5429">
        <v>0.18106708907896099</v>
      </c>
      <c r="J5429">
        <v>0.158579134080717</v>
      </c>
      <c r="K5429">
        <v>0.102100505264773</v>
      </c>
      <c r="L5429">
        <v>1669.2971117828199</v>
      </c>
      <c r="M5429">
        <v>28.403998621701401</v>
      </c>
      <c r="N5429">
        <v>59.266643291182902</v>
      </c>
      <c r="O5429">
        <v>58.480800501196498</v>
      </c>
      <c r="P5429">
        <v>-0.108560955569678</v>
      </c>
      <c r="Q5429">
        <v>0.10594556826223001</v>
      </c>
      <c r="R5429">
        <v>0.98642809894332695</v>
      </c>
      <c r="S5429" t="s">
        <v>11740</v>
      </c>
      <c r="T5429" t="s">
        <v>12620</v>
      </c>
      <c r="U5429" t="s">
        <v>12620</v>
      </c>
      <c r="V5429" t="s">
        <v>12620</v>
      </c>
      <c r="W5429" t="s">
        <v>17992</v>
      </c>
      <c r="X5429">
        <v>1</v>
      </c>
      <c r="Y5429" t="s">
        <v>24088</v>
      </c>
      <c r="Z5429" t="s">
        <v>30376</v>
      </c>
      <c r="AA5429">
        <v>0.67158703148688448</v>
      </c>
      <c r="AB5429" t="str">
        <f>HYPERLINK("Melting_Curves/meltCurve_Q9HAY6_BCMO1.pdf", "Melting_Curves/meltCurve_Q9HAY6_BCMO1.pdf")</f>
        <v>Melting_Curves/meltCurve_Q9HAY6_BCMO1.pdf</v>
      </c>
    </row>
    <row r="5430" spans="1:28" x14ac:dyDescent="0.25">
      <c r="A5430" t="s">
        <v>5434</v>
      </c>
      <c r="B5430">
        <v>0.99987803227770999</v>
      </c>
      <c r="C5430">
        <v>1.0742896379712199</v>
      </c>
      <c r="D5430">
        <v>1.0380901215540801</v>
      </c>
      <c r="E5430">
        <v>0.95125920779879503</v>
      </c>
      <c r="F5430">
        <v>0.72224973528476899</v>
      </c>
      <c r="G5430">
        <v>0.47334738643259699</v>
      </c>
      <c r="H5430">
        <v>0.284349944918388</v>
      </c>
      <c r="I5430">
        <v>0.192127431841045</v>
      </c>
      <c r="J5430">
        <v>0.112067650348901</v>
      </c>
      <c r="K5430">
        <v>6.9405094801902004E-2</v>
      </c>
      <c r="L5430">
        <v>978.13473751705601</v>
      </c>
      <c r="M5430">
        <v>17.362394137242202</v>
      </c>
      <c r="N5430">
        <v>56.7801879038064</v>
      </c>
      <c r="O5430">
        <v>55.604987190572302</v>
      </c>
      <c r="P5430">
        <v>-7.3112671322643305E-2</v>
      </c>
      <c r="Q5430">
        <v>6.3447607627243705E-2</v>
      </c>
      <c r="R5430">
        <v>0.99000874456308896</v>
      </c>
      <c r="S5430" t="s">
        <v>11741</v>
      </c>
      <c r="T5430" t="s">
        <v>12620</v>
      </c>
      <c r="U5430" t="s">
        <v>12620</v>
      </c>
      <c r="V5430" t="s">
        <v>12620</v>
      </c>
      <c r="W5430" t="s">
        <v>17993</v>
      </c>
      <c r="X5430">
        <v>14</v>
      </c>
      <c r="Y5430" t="s">
        <v>24089</v>
      </c>
      <c r="Z5430" t="s">
        <v>30377</v>
      </c>
      <c r="AA5430">
        <v>0.58749485470624174</v>
      </c>
      <c r="AB5430" t="str">
        <f>HYPERLINK("Melting_Curves/meltCurve_Q9HB07_C12orf10.pdf", "Melting_Curves/meltCurve_Q9HB07_C12orf10.pdf")</f>
        <v>Melting_Curves/meltCurve_Q9HB07_C12orf10.pdf</v>
      </c>
    </row>
    <row r="5431" spans="1:28" x14ac:dyDescent="0.25">
      <c r="A5431" t="s">
        <v>5435</v>
      </c>
      <c r="B5431">
        <v>0.99987803227770999</v>
      </c>
      <c r="C5431">
        <v>0.87846977371323698</v>
      </c>
      <c r="D5431">
        <v>0.87899846275812699</v>
      </c>
      <c r="E5431">
        <v>0.69412013294464103</v>
      </c>
      <c r="F5431">
        <v>0.64440599072216997</v>
      </c>
      <c r="G5431">
        <v>0.42539211266715898</v>
      </c>
      <c r="H5431">
        <v>0.34321070443784801</v>
      </c>
      <c r="I5431">
        <v>0.457859259664048</v>
      </c>
      <c r="J5431">
        <v>0.19156073602155799</v>
      </c>
      <c r="K5431">
        <v>0.14370050356637901</v>
      </c>
      <c r="L5431">
        <v>418.44555212650801</v>
      </c>
      <c r="M5431">
        <v>7.4028998546454901</v>
      </c>
      <c r="N5431">
        <v>56.524545831281301</v>
      </c>
      <c r="O5431">
        <v>52.8395664400987</v>
      </c>
      <c r="P5431">
        <v>-3.5078217284561501E-2</v>
      </c>
      <c r="Q5431">
        <v>0</v>
      </c>
      <c r="R5431">
        <v>0.94938567197845503</v>
      </c>
      <c r="S5431" t="s">
        <v>11742</v>
      </c>
      <c r="T5431" t="s">
        <v>12620</v>
      </c>
      <c r="U5431" t="s">
        <v>12620</v>
      </c>
      <c r="V5431" t="s">
        <v>12620</v>
      </c>
      <c r="W5431" t="s">
        <v>17994</v>
      </c>
      <c r="X5431">
        <v>1</v>
      </c>
      <c r="Y5431" t="s">
        <v>24090</v>
      </c>
      <c r="Z5431" t="s">
        <v>30378</v>
      </c>
      <c r="AA5431">
        <v>0.56508658488510188</v>
      </c>
      <c r="AB5431" t="str">
        <f>HYPERLINK("Melting_Curves/meltCurve_Q9HB09_3_BCL2L12.pdf", "Melting_Curves/meltCurve_Q9HB09_3_BCL2L12.pdf")</f>
        <v>Melting_Curves/meltCurve_Q9HB09_3_BCL2L12.pdf</v>
      </c>
    </row>
    <row r="5432" spans="1:28" x14ac:dyDescent="0.25">
      <c r="A5432" t="s">
        <v>5436</v>
      </c>
      <c r="B5432">
        <v>0.99987803227770999</v>
      </c>
      <c r="C5432">
        <v>0.67508163944455901</v>
      </c>
      <c r="D5432">
        <v>0.52002118448278201</v>
      </c>
      <c r="E5432">
        <v>0.42956253550449103</v>
      </c>
      <c r="F5432">
        <v>0.346350718433798</v>
      </c>
      <c r="G5432">
        <v>0.22777154987968901</v>
      </c>
      <c r="H5432">
        <v>0.195298694751145</v>
      </c>
      <c r="I5432">
        <v>0.19881696799120599</v>
      </c>
      <c r="J5432">
        <v>0.15857755032895701</v>
      </c>
      <c r="K5432">
        <v>0.125787153362097</v>
      </c>
      <c r="L5432">
        <v>531.73267176408103</v>
      </c>
      <c r="M5432">
        <v>11.537115422376299</v>
      </c>
      <c r="N5432">
        <v>47.520518581977598</v>
      </c>
      <c r="O5432">
        <v>44.769455279233</v>
      </c>
      <c r="P5432">
        <v>-5.49829748899801E-2</v>
      </c>
      <c r="Q5432">
        <v>0.14680021955804201</v>
      </c>
      <c r="R5432">
        <v>0.95791093726713294</v>
      </c>
      <c r="S5432" t="s">
        <v>11743</v>
      </c>
      <c r="T5432" t="s">
        <v>12620</v>
      </c>
      <c r="U5432" t="s">
        <v>12620</v>
      </c>
      <c r="V5432" t="s">
        <v>12620</v>
      </c>
      <c r="W5432" t="s">
        <v>17995</v>
      </c>
      <c r="X5432">
        <v>4</v>
      </c>
      <c r="Y5432" t="s">
        <v>24091</v>
      </c>
      <c r="Z5432" t="s">
        <v>30379</v>
      </c>
      <c r="AA5432">
        <v>0.36138036496111647</v>
      </c>
      <c r="AB5432" t="str">
        <f>HYPERLINK("Melting_Curves/meltCurve_Q9HB19_PLEKHA2.pdf", "Melting_Curves/meltCurve_Q9HB19_PLEKHA2.pdf")</f>
        <v>Melting_Curves/meltCurve_Q9HB19_PLEKHA2.pdf</v>
      </c>
    </row>
    <row r="5433" spans="1:28" x14ac:dyDescent="0.25">
      <c r="A5433" t="s">
        <v>5437</v>
      </c>
      <c r="B5433">
        <v>0.99987803227770999</v>
      </c>
      <c r="C5433">
        <v>0.87431095112942503</v>
      </c>
      <c r="D5433">
        <v>0.81815933152502296</v>
      </c>
      <c r="E5433">
        <v>0.71800064688974596</v>
      </c>
      <c r="F5433">
        <v>0.699332475881565</v>
      </c>
      <c r="G5433">
        <v>0.56294870410574804</v>
      </c>
      <c r="H5433">
        <v>0.55476446701662896</v>
      </c>
      <c r="I5433">
        <v>0.61091336640093397</v>
      </c>
      <c r="J5433">
        <v>0.47955932742450902</v>
      </c>
      <c r="K5433">
        <v>0.41821291766570501</v>
      </c>
      <c r="L5433">
        <v>378.53890625103202</v>
      </c>
      <c r="M5433">
        <v>7.2647645554884397</v>
      </c>
      <c r="N5433">
        <v>65.829974587273398</v>
      </c>
      <c r="O5433">
        <v>48.592965415079703</v>
      </c>
      <c r="P5433">
        <v>-2.2834413541021399E-2</v>
      </c>
      <c r="Q5433">
        <v>0.39004215558211602</v>
      </c>
      <c r="R5433">
        <v>0.93689817695232602</v>
      </c>
      <c r="S5433" t="s">
        <v>11744</v>
      </c>
      <c r="T5433" t="s">
        <v>12620</v>
      </c>
      <c r="U5433" t="s">
        <v>12620</v>
      </c>
      <c r="V5433" t="s">
        <v>12620</v>
      </c>
      <c r="W5433" t="s">
        <v>17996</v>
      </c>
      <c r="X5433">
        <v>3</v>
      </c>
      <c r="Y5433" t="s">
        <v>24092</v>
      </c>
      <c r="Z5433" t="s">
        <v>30380</v>
      </c>
      <c r="AA5433">
        <v>0.66676797383222641</v>
      </c>
      <c r="AB5433" t="str">
        <f>HYPERLINK("Melting_Curves/meltCurve_Q9HB20_PLEKHA3.pdf", "Melting_Curves/meltCurve_Q9HB20_PLEKHA3.pdf")</f>
        <v>Melting_Curves/meltCurve_Q9HB20_PLEKHA3.pdf</v>
      </c>
    </row>
    <row r="5434" spans="1:28" x14ac:dyDescent="0.25">
      <c r="A5434" t="s">
        <v>5438</v>
      </c>
      <c r="B5434">
        <v>0.99987803227770999</v>
      </c>
      <c r="C5434">
        <v>0.822596328212157</v>
      </c>
      <c r="D5434">
        <v>0.75512782027166803</v>
      </c>
      <c r="E5434">
        <v>0.391124264481858</v>
      </c>
      <c r="F5434">
        <v>0.32264975469950602</v>
      </c>
      <c r="G5434">
        <v>0.19006689146948799</v>
      </c>
      <c r="H5434">
        <v>0.205183193625915</v>
      </c>
      <c r="I5434">
        <v>0.25961509437402802</v>
      </c>
      <c r="J5434">
        <v>0.16164322163426001</v>
      </c>
      <c r="K5434">
        <v>0.14328446349742299</v>
      </c>
      <c r="L5434">
        <v>802.04027124450499</v>
      </c>
      <c r="M5434">
        <v>16.8628703873684</v>
      </c>
      <c r="N5434">
        <v>48.816068414169202</v>
      </c>
      <c r="O5434">
        <v>46.908736803198899</v>
      </c>
      <c r="P5434">
        <v>-7.4082507341553805E-2</v>
      </c>
      <c r="Q5434">
        <v>0.17572898213473701</v>
      </c>
      <c r="R5434">
        <v>0.97978060942016298</v>
      </c>
      <c r="S5434" t="s">
        <v>11745</v>
      </c>
      <c r="T5434" t="s">
        <v>12620</v>
      </c>
      <c r="U5434" t="s">
        <v>12620</v>
      </c>
      <c r="V5434" t="s">
        <v>12620</v>
      </c>
      <c r="W5434" t="s">
        <v>16021</v>
      </c>
      <c r="X5434">
        <v>5</v>
      </c>
      <c r="Y5434" t="s">
        <v>22160</v>
      </c>
      <c r="Z5434" t="s">
        <v>30381</v>
      </c>
      <c r="AA5434">
        <v>0.40055140627985369</v>
      </c>
      <c r="AB5434" t="str">
        <f>HYPERLINK("Melting_Curves/meltCurve_Q9HB21_PLEKHA1.pdf", "Melting_Curves/meltCurve_Q9HB21_PLEKHA1.pdf")</f>
        <v>Melting_Curves/meltCurve_Q9HB21_PLEKHA1.pdf</v>
      </c>
    </row>
    <row r="5435" spans="1:28" x14ac:dyDescent="0.25">
      <c r="A5435" t="s">
        <v>5439</v>
      </c>
      <c r="B5435">
        <v>0.99987803227770999</v>
      </c>
      <c r="C5435">
        <v>0.79485296835711905</v>
      </c>
      <c r="D5435">
        <v>0.63362890816628303</v>
      </c>
      <c r="E5435">
        <v>0.507371000303659</v>
      </c>
      <c r="F5435">
        <v>0.31471329517918301</v>
      </c>
      <c r="G5435">
        <v>0.24445170025930599</v>
      </c>
      <c r="H5435">
        <v>0.14148503861961401</v>
      </c>
      <c r="I5435">
        <v>0.131675946486873</v>
      </c>
      <c r="J5435">
        <v>9.9879555022607494E-2</v>
      </c>
      <c r="K5435">
        <v>7.1862890940323998E-2</v>
      </c>
      <c r="L5435">
        <v>522.38560479322803</v>
      </c>
      <c r="M5435">
        <v>10.692928546196599</v>
      </c>
      <c r="N5435">
        <v>49.3457695646009</v>
      </c>
      <c r="O5435">
        <v>47.2376994197096</v>
      </c>
      <c r="P5435">
        <v>-5.3747686224083699E-2</v>
      </c>
      <c r="Q5435">
        <v>5.0601631684990003E-2</v>
      </c>
      <c r="R5435">
        <v>0.98677657138750297</v>
      </c>
      <c r="S5435" t="s">
        <v>11746</v>
      </c>
      <c r="T5435" t="s">
        <v>12620</v>
      </c>
      <c r="U5435" t="s">
        <v>12620</v>
      </c>
      <c r="V5435" t="s">
        <v>12620</v>
      </c>
      <c r="W5435" t="s">
        <v>17997</v>
      </c>
      <c r="X5435">
        <v>4</v>
      </c>
      <c r="Y5435" t="s">
        <v>24093</v>
      </c>
      <c r="Z5435" t="s">
        <v>30382</v>
      </c>
      <c r="AA5435">
        <v>0.37323084232780329</v>
      </c>
      <c r="AB5435" t="str">
        <f>HYPERLINK("Melting_Curves/meltCurve_Q9HB40_SCPEP1.pdf", "Melting_Curves/meltCurve_Q9HB40_SCPEP1.pdf")</f>
        <v>Melting_Curves/meltCurve_Q9HB40_SCPEP1.pdf</v>
      </c>
    </row>
    <row r="5436" spans="1:28" x14ac:dyDescent="0.25">
      <c r="A5436" t="s">
        <v>5440</v>
      </c>
      <c r="B5436">
        <v>0.99987803227770999</v>
      </c>
      <c r="C5436">
        <v>0.84118669964326998</v>
      </c>
      <c r="D5436">
        <v>0.96019605494147098</v>
      </c>
      <c r="E5436">
        <v>0.89470744622126097</v>
      </c>
      <c r="F5436">
        <v>0.92341998180186702</v>
      </c>
      <c r="G5436">
        <v>0.47158246837168599</v>
      </c>
      <c r="H5436">
        <v>0.162115426925108</v>
      </c>
      <c r="I5436">
        <v>0.117642692288613</v>
      </c>
      <c r="J5436">
        <v>9.3966998055423898E-2</v>
      </c>
      <c r="K5436">
        <v>6.0964661664226399E-2</v>
      </c>
      <c r="L5436">
        <v>1705.0315474516201</v>
      </c>
      <c r="M5436">
        <v>30.169856321554501</v>
      </c>
      <c r="N5436">
        <v>56.825910869224799</v>
      </c>
      <c r="O5436">
        <v>56.267856446042003</v>
      </c>
      <c r="P5436">
        <v>-0.123830140175996</v>
      </c>
      <c r="Q5436">
        <v>7.6215403667485707E-2</v>
      </c>
      <c r="R5436">
        <v>0.97592639112069701</v>
      </c>
      <c r="S5436" t="s">
        <v>11747</v>
      </c>
      <c r="T5436" t="s">
        <v>12620</v>
      </c>
      <c r="U5436" t="s">
        <v>12620</v>
      </c>
      <c r="V5436" t="s">
        <v>12620</v>
      </c>
      <c r="W5436" t="s">
        <v>17998</v>
      </c>
      <c r="X5436">
        <v>22</v>
      </c>
      <c r="Y5436" t="s">
        <v>24094</v>
      </c>
      <c r="Z5436" t="s">
        <v>30383</v>
      </c>
      <c r="AA5436">
        <v>0.59084030818773425</v>
      </c>
      <c r="AB5436" t="str">
        <f>HYPERLINK("Melting_Curves/meltCurve_Q9HB71_CACYBP.pdf", "Melting_Curves/meltCurve_Q9HB71_CACYBP.pdf")</f>
        <v>Melting_Curves/meltCurve_Q9HB71_CACYBP.pdf</v>
      </c>
    </row>
    <row r="5437" spans="1:28" x14ac:dyDescent="0.25">
      <c r="A5437" t="s">
        <v>5441</v>
      </c>
      <c r="B5437">
        <v>0.99987803227770999</v>
      </c>
      <c r="C5437">
        <v>0.97125296337545297</v>
      </c>
      <c r="D5437">
        <v>0.96669347380941995</v>
      </c>
      <c r="E5437">
        <v>1.0325596789210401</v>
      </c>
      <c r="F5437">
        <v>1.0601255473736899</v>
      </c>
      <c r="G5437">
        <v>1.1145819469164899</v>
      </c>
      <c r="H5437">
        <v>0.96498287203248501</v>
      </c>
      <c r="I5437">
        <v>0.69302090125073401</v>
      </c>
      <c r="J5437">
        <v>0.25133558878560402</v>
      </c>
      <c r="K5437">
        <v>9.7508583696921503E-2</v>
      </c>
      <c r="L5437">
        <v>3126.9806456421502</v>
      </c>
      <c r="M5437">
        <v>48.1339921925845</v>
      </c>
      <c r="N5437">
        <v>65.175047317677297</v>
      </c>
      <c r="O5437">
        <v>64.852246482626597</v>
      </c>
      <c r="P5437">
        <v>-0.17216758582625299</v>
      </c>
      <c r="Q5437">
        <v>7.2136496197602207E-2</v>
      </c>
      <c r="R5437">
        <v>0.98253467255356997</v>
      </c>
      <c r="S5437" t="s">
        <v>11748</v>
      </c>
      <c r="T5437" t="s">
        <v>12620</v>
      </c>
      <c r="U5437" t="s">
        <v>12620</v>
      </c>
      <c r="V5437" t="s">
        <v>12620</v>
      </c>
      <c r="W5437" t="s">
        <v>17999</v>
      </c>
      <c r="X5437">
        <v>7</v>
      </c>
      <c r="Y5437" t="s">
        <v>24095</v>
      </c>
      <c r="Z5437" t="s">
        <v>30384</v>
      </c>
      <c r="AA5437">
        <v>0.84554739506227738</v>
      </c>
      <c r="AB5437" t="str">
        <f>HYPERLINK("Melting_Curves/meltCurve_Q9HB90_RRAGC.pdf", "Melting_Curves/meltCurve_Q9HB90_RRAGC.pdf")</f>
        <v>Melting_Curves/meltCurve_Q9HB90_RRAGC.pdf</v>
      </c>
    </row>
    <row r="5438" spans="1:28" x14ac:dyDescent="0.25">
      <c r="A5438" t="s">
        <v>5442</v>
      </c>
      <c r="B5438">
        <v>0.99987803227770999</v>
      </c>
      <c r="C5438">
        <v>0.70611358750492703</v>
      </c>
      <c r="D5438">
        <v>0.63630879673186103</v>
      </c>
      <c r="E5438">
        <v>0.42100996348747699</v>
      </c>
      <c r="F5438">
        <v>0.31457416857390302</v>
      </c>
      <c r="G5438">
        <v>0.24143532648985699</v>
      </c>
      <c r="H5438">
        <v>0.235610583162149</v>
      </c>
      <c r="I5438">
        <v>0.17356291788992401</v>
      </c>
      <c r="J5438">
        <v>0.184584994207629</v>
      </c>
      <c r="K5438">
        <v>0.11442377652885399</v>
      </c>
      <c r="L5438">
        <v>561.81795283726296</v>
      </c>
      <c r="M5438">
        <v>11.9884459072931</v>
      </c>
      <c r="N5438">
        <v>48.257388564996702</v>
      </c>
      <c r="O5438">
        <v>45.6164505029816</v>
      </c>
      <c r="P5438">
        <v>-5.6099674724545197E-2</v>
      </c>
      <c r="Q5438">
        <v>0.14636163683337</v>
      </c>
      <c r="R5438">
        <v>0.97271407106023799</v>
      </c>
      <c r="S5438" t="s">
        <v>11749</v>
      </c>
      <c r="T5438" t="s">
        <v>12620</v>
      </c>
      <c r="U5438" t="s">
        <v>12620</v>
      </c>
      <c r="V5438" t="s">
        <v>12620</v>
      </c>
      <c r="W5438" t="s">
        <v>18000</v>
      </c>
      <c r="X5438">
        <v>2</v>
      </c>
      <c r="Y5438" t="s">
        <v>24096</v>
      </c>
      <c r="Z5438" t="s">
        <v>30385</v>
      </c>
      <c r="AA5438">
        <v>0.37792783283181569</v>
      </c>
      <c r="AB5438" t="str">
        <f>HYPERLINK("Melting_Curves/meltCurve_Q9HB96_FANCE.pdf", "Melting_Curves/meltCurve_Q9HB96_FANCE.pdf")</f>
        <v>Melting_Curves/meltCurve_Q9HB96_FANCE.pdf</v>
      </c>
    </row>
    <row r="5439" spans="1:28" x14ac:dyDescent="0.25">
      <c r="A5439" t="s">
        <v>5443</v>
      </c>
      <c r="B5439">
        <v>0.99987803227770999</v>
      </c>
      <c r="C5439">
        <v>1.1407159213924101</v>
      </c>
      <c r="D5439">
        <v>0.95884197746212296</v>
      </c>
      <c r="E5439">
        <v>1.0735756506915901</v>
      </c>
      <c r="F5439">
        <v>1.0887043364740201</v>
      </c>
      <c r="G5439">
        <v>0.84414525665138396</v>
      </c>
      <c r="H5439">
        <v>0.81897679549884195</v>
      </c>
      <c r="I5439">
        <v>0.67253810937031</v>
      </c>
      <c r="J5439">
        <v>0.56572384736841197</v>
      </c>
      <c r="K5439">
        <v>0.410357417414486</v>
      </c>
      <c r="L5439">
        <v>977.94029643517399</v>
      </c>
      <c r="M5439">
        <v>14.836871252062901</v>
      </c>
      <c r="N5439">
        <v>67.970093000610007</v>
      </c>
      <c r="O5439">
        <v>64.750204472722103</v>
      </c>
      <c r="P5439">
        <v>-4.6927837360174002E-2</v>
      </c>
      <c r="Q5439">
        <v>0.18088758570028901</v>
      </c>
      <c r="R5439">
        <v>0.91002357848262905</v>
      </c>
      <c r="S5439" t="s">
        <v>11750</v>
      </c>
      <c r="T5439" t="s">
        <v>12620</v>
      </c>
      <c r="U5439" t="s">
        <v>12620</v>
      </c>
      <c r="V5439" t="s">
        <v>12620</v>
      </c>
      <c r="W5439" t="s">
        <v>18001</v>
      </c>
      <c r="X5439">
        <v>3</v>
      </c>
      <c r="Y5439" t="s">
        <v>24097</v>
      </c>
      <c r="Z5439" t="s">
        <v>30386</v>
      </c>
      <c r="AA5439">
        <v>0.85927684969616969</v>
      </c>
      <c r="AB5439" t="str">
        <f>HYPERLINK("Melting_Curves/meltCurve_Q9HBE1_4_PATZ1.pdf", "Melting_Curves/meltCurve_Q9HBE1_4_PATZ1.pdf")</f>
        <v>Melting_Curves/meltCurve_Q9HBE1_4_PATZ1.pdf</v>
      </c>
    </row>
    <row r="5440" spans="1:28" x14ac:dyDescent="0.25">
      <c r="A5440" t="s">
        <v>5444</v>
      </c>
      <c r="B5440">
        <v>0.99987803227770999</v>
      </c>
      <c r="C5440">
        <v>1.0009641905269</v>
      </c>
      <c r="D5440">
        <v>0.93130010708878597</v>
      </c>
      <c r="E5440">
        <v>0.82013673120571295</v>
      </c>
      <c r="F5440">
        <v>0.55074230876527097</v>
      </c>
      <c r="G5440">
        <v>0.32635547032647699</v>
      </c>
      <c r="H5440">
        <v>0.19485949071056599</v>
      </c>
      <c r="I5440">
        <v>0.14789459889515699</v>
      </c>
      <c r="J5440">
        <v>0.11368330801366899</v>
      </c>
      <c r="K5440">
        <v>6.8135145013166407E-2</v>
      </c>
      <c r="L5440">
        <v>903.98652426973001</v>
      </c>
      <c r="M5440">
        <v>16.871618348950101</v>
      </c>
      <c r="N5440">
        <v>54.119534009181102</v>
      </c>
      <c r="O5440">
        <v>52.844555267769302</v>
      </c>
      <c r="P5440">
        <v>-7.3646740591307103E-2</v>
      </c>
      <c r="Q5440">
        <v>7.7366165551016303E-2</v>
      </c>
      <c r="R5440">
        <v>0.99741987136525401</v>
      </c>
      <c r="S5440" t="s">
        <v>11751</v>
      </c>
      <c r="T5440" t="s">
        <v>12620</v>
      </c>
      <c r="U5440" t="s">
        <v>12620</v>
      </c>
      <c r="V5440" t="s">
        <v>12620</v>
      </c>
      <c r="W5440" t="s">
        <v>18002</v>
      </c>
      <c r="X5440">
        <v>1</v>
      </c>
      <c r="Y5440" t="s">
        <v>24098</v>
      </c>
      <c r="Z5440" t="s">
        <v>30387</v>
      </c>
      <c r="AA5440">
        <v>0.51146076187412381</v>
      </c>
      <c r="AB5440" t="str">
        <f>HYPERLINK("Melting_Curves/meltCurve_Q9HBH0_RHOF.pdf", "Melting_Curves/meltCurve_Q9HBH0_RHOF.pdf")</f>
        <v>Melting_Curves/meltCurve_Q9HBH0_RHOF.pdf</v>
      </c>
    </row>
    <row r="5441" spans="1:28" x14ac:dyDescent="0.25">
      <c r="A5441" t="s">
        <v>5445</v>
      </c>
      <c r="B5441">
        <v>0.99987803227770999</v>
      </c>
      <c r="C5441">
        <v>0.93972349774341102</v>
      </c>
      <c r="D5441">
        <v>1.0376263249105799</v>
      </c>
      <c r="E5441">
        <v>0.92506541655319496</v>
      </c>
      <c r="F5441">
        <v>0.95080051443346103</v>
      </c>
      <c r="G5441">
        <v>0.63713841154984996</v>
      </c>
      <c r="H5441">
        <v>0.37182152512566702</v>
      </c>
      <c r="I5441">
        <v>0.25893964404950698</v>
      </c>
      <c r="J5441">
        <v>5.7896675361588601E-2</v>
      </c>
      <c r="K5441">
        <v>4.1083717440398397E-2</v>
      </c>
      <c r="L5441">
        <v>1092.55114609574</v>
      </c>
      <c r="M5441">
        <v>18.442999816704699</v>
      </c>
      <c r="N5441">
        <v>59.239340737305</v>
      </c>
      <c r="O5441">
        <v>58.5560545283587</v>
      </c>
      <c r="P5441">
        <v>-7.8744318118320597E-2</v>
      </c>
      <c r="Q5441">
        <v>0</v>
      </c>
      <c r="R5441">
        <v>0.98839042367084995</v>
      </c>
      <c r="S5441" t="s">
        <v>11752</v>
      </c>
      <c r="T5441" t="s">
        <v>12620</v>
      </c>
      <c r="U5441" t="s">
        <v>12620</v>
      </c>
      <c r="V5441" t="s">
        <v>12620</v>
      </c>
      <c r="W5441" t="s">
        <v>18003</v>
      </c>
      <c r="X5441">
        <v>4</v>
      </c>
      <c r="Y5441" t="s">
        <v>24099</v>
      </c>
      <c r="Z5441" t="s">
        <v>30388</v>
      </c>
      <c r="AA5441">
        <v>0.65134146359987566</v>
      </c>
      <c r="AB5441" t="str">
        <f>HYPERLINK("Melting_Curves/meltCurve_Q9HBH1_PDF.pdf", "Melting_Curves/meltCurve_Q9HBH1_PDF.pdf")</f>
        <v>Melting_Curves/meltCurve_Q9HBH1_PDF.pdf</v>
      </c>
    </row>
    <row r="5442" spans="1:28" x14ac:dyDescent="0.25">
      <c r="A5442" t="s">
        <v>5446</v>
      </c>
      <c r="B5442">
        <v>0.99987803227770999</v>
      </c>
      <c r="C5442">
        <v>0.97732587597742804</v>
      </c>
      <c r="D5442">
        <v>0.94503410996896697</v>
      </c>
      <c r="E5442">
        <v>0.78222776679769901</v>
      </c>
      <c r="F5442">
        <v>0.39009845345024802</v>
      </c>
      <c r="G5442">
        <v>0.21222874382220799</v>
      </c>
      <c r="H5442">
        <v>0.17959961500129701</v>
      </c>
      <c r="I5442">
        <v>0.18291144478285201</v>
      </c>
      <c r="J5442">
        <v>0.139122047641143</v>
      </c>
      <c r="K5442">
        <v>0.10236790301207099</v>
      </c>
      <c r="L5442">
        <v>1567.0012269706899</v>
      </c>
      <c r="M5442">
        <v>30.389086372464</v>
      </c>
      <c r="N5442">
        <v>52.177593219718801</v>
      </c>
      <c r="O5442">
        <v>51.342879452572802</v>
      </c>
      <c r="P5442">
        <v>-0.125758393954157</v>
      </c>
      <c r="Q5442">
        <v>0.15012180271175399</v>
      </c>
      <c r="R5442">
        <v>0.99515936707700503</v>
      </c>
      <c r="S5442" t="s">
        <v>11753</v>
      </c>
      <c r="T5442" t="s">
        <v>12620</v>
      </c>
      <c r="U5442" t="s">
        <v>12620</v>
      </c>
      <c r="V5442" t="s">
        <v>12620</v>
      </c>
      <c r="W5442" t="s">
        <v>18004</v>
      </c>
      <c r="X5442">
        <v>3</v>
      </c>
      <c r="Y5442" t="s">
        <v>24100</v>
      </c>
      <c r="Z5442" t="s">
        <v>30389</v>
      </c>
      <c r="AA5442">
        <v>0.48299475555014848</v>
      </c>
      <c r="AB5442" t="str">
        <f>HYPERLINK("Melting_Curves/meltCurve_Q9HBI1_PARVB.pdf", "Melting_Curves/meltCurve_Q9HBI1_PARVB.pdf")</f>
        <v>Melting_Curves/meltCurve_Q9HBI1_PARVB.pdf</v>
      </c>
    </row>
    <row r="5443" spans="1:28" x14ac:dyDescent="0.25">
      <c r="A5443" t="s">
        <v>5447</v>
      </c>
      <c r="B5443">
        <v>0.99987803227770999</v>
      </c>
      <c r="C5443">
        <v>0.86873767622563103</v>
      </c>
      <c r="D5443">
        <v>0.93010931203243497</v>
      </c>
      <c r="E5443">
        <v>0.45441826897218002</v>
      </c>
      <c r="F5443">
        <v>0.23656475076905301</v>
      </c>
      <c r="G5443">
        <v>0.16472535710101199</v>
      </c>
      <c r="H5443">
        <v>0.111389754903643</v>
      </c>
      <c r="I5443">
        <v>8.4948573798142593E-2</v>
      </c>
      <c r="J5443">
        <v>5.7087798381991399E-2</v>
      </c>
      <c r="K5443">
        <v>4.1677151870970201E-2</v>
      </c>
      <c r="L5443">
        <v>1151.01002129227</v>
      </c>
      <c r="M5443">
        <v>23.260624153667301</v>
      </c>
      <c r="N5443">
        <v>49.842014908562597</v>
      </c>
      <c r="O5443">
        <v>49.121801990631802</v>
      </c>
      <c r="P5443">
        <v>-0.10925789301943301</v>
      </c>
      <c r="Q5443">
        <v>7.7092721454573895E-2</v>
      </c>
      <c r="R5443">
        <v>0.98479088783348601</v>
      </c>
      <c r="S5443" t="s">
        <v>11754</v>
      </c>
      <c r="T5443" t="s">
        <v>12620</v>
      </c>
      <c r="U5443" t="s">
        <v>12620</v>
      </c>
      <c r="V5443" t="s">
        <v>12620</v>
      </c>
      <c r="W5443" t="s">
        <v>18005</v>
      </c>
      <c r="X5443">
        <v>10</v>
      </c>
      <c r="Y5443" t="s">
        <v>24101</v>
      </c>
      <c r="Z5443" t="s">
        <v>30390</v>
      </c>
      <c r="AA5443">
        <v>0.37833367091170961</v>
      </c>
      <c r="AB5443" t="str">
        <f>HYPERLINK("Melting_Curves/meltCurve_Q9HBK9_AS3MT.pdf", "Melting_Curves/meltCurve_Q9HBK9_AS3MT.pdf")</f>
        <v>Melting_Curves/meltCurve_Q9HBK9_AS3MT.pdf</v>
      </c>
    </row>
    <row r="5444" spans="1:28" x14ac:dyDescent="0.25">
      <c r="A5444" t="s">
        <v>5448</v>
      </c>
      <c r="B5444">
        <v>0.99987803227770999</v>
      </c>
      <c r="C5444">
        <v>0.84129846982314205</v>
      </c>
      <c r="D5444">
        <v>0.54602353765131495</v>
      </c>
      <c r="E5444">
        <v>0.30046753290363598</v>
      </c>
      <c r="F5444">
        <v>0.19695538389123901</v>
      </c>
      <c r="G5444">
        <v>0.11184379433791</v>
      </c>
      <c r="H5444">
        <v>7.3840566138282604E-2</v>
      </c>
      <c r="I5444">
        <v>6.2150677328312802E-2</v>
      </c>
      <c r="J5444">
        <v>3.5627952289343602E-2</v>
      </c>
      <c r="K5444">
        <v>2.2398308469647299E-2</v>
      </c>
      <c r="L5444">
        <v>764.64922921087395</v>
      </c>
      <c r="M5444">
        <v>16.3381409701366</v>
      </c>
      <c r="N5444">
        <v>47.078762252819097</v>
      </c>
      <c r="O5444">
        <v>46.117195615048303</v>
      </c>
      <c r="P5444">
        <v>-8.4511987291242097E-2</v>
      </c>
      <c r="Q5444">
        <v>4.5870874159212101E-2</v>
      </c>
      <c r="R5444">
        <v>0.99330410965441396</v>
      </c>
      <c r="S5444" t="s">
        <v>11755</v>
      </c>
      <c r="T5444" t="s">
        <v>12620</v>
      </c>
      <c r="U5444" t="s">
        <v>12620</v>
      </c>
      <c r="V5444" t="s">
        <v>12620</v>
      </c>
      <c r="W5444" t="s">
        <v>18006</v>
      </c>
      <c r="X5444">
        <v>7</v>
      </c>
      <c r="Y5444" t="s">
        <v>24102</v>
      </c>
      <c r="Z5444" t="s">
        <v>30391</v>
      </c>
      <c r="AA5444">
        <v>0.28412228998557071</v>
      </c>
      <c r="AB5444" t="str">
        <f>HYPERLINK("Melting_Curves/meltCurve_Q9HBL8_NMRAL1.pdf", "Melting_Curves/meltCurve_Q9HBL8_NMRAL1.pdf")</f>
        <v>Melting_Curves/meltCurve_Q9HBL8_NMRAL1.pdf</v>
      </c>
    </row>
    <row r="5445" spans="1:28" x14ac:dyDescent="0.25">
      <c r="A5445" t="s">
        <v>5449</v>
      </c>
      <c r="B5445">
        <v>0.99987803227770999</v>
      </c>
      <c r="C5445">
        <v>0.95798020300907905</v>
      </c>
      <c r="D5445">
        <v>0.99724673032174305</v>
      </c>
      <c r="E5445">
        <v>0.77590763813741304</v>
      </c>
      <c r="F5445">
        <v>0.36752116088062298</v>
      </c>
      <c r="G5445">
        <v>0.15971864854642401</v>
      </c>
      <c r="H5445">
        <v>0.106117702044839</v>
      </c>
      <c r="I5445">
        <v>8.5447106039632695E-2</v>
      </c>
      <c r="J5445">
        <v>8.1057597753747906E-2</v>
      </c>
      <c r="K5445">
        <v>5.9159043433558399E-2</v>
      </c>
      <c r="L5445">
        <v>1612.0879523108299</v>
      </c>
      <c r="M5445">
        <v>31.1536251822398</v>
      </c>
      <c r="N5445">
        <v>52.055670037947898</v>
      </c>
      <c r="O5445">
        <v>51.534595321849103</v>
      </c>
      <c r="P5445">
        <v>-0.138362362283586</v>
      </c>
      <c r="Q5445">
        <v>8.4484433863928801E-2</v>
      </c>
      <c r="R5445">
        <v>0.99771342723082102</v>
      </c>
      <c r="S5445" t="s">
        <v>11756</v>
      </c>
      <c r="T5445" t="s">
        <v>12620</v>
      </c>
      <c r="U5445" t="s">
        <v>12620</v>
      </c>
      <c r="V5445" t="s">
        <v>12620</v>
      </c>
      <c r="W5445" t="s">
        <v>18007</v>
      </c>
      <c r="X5445">
        <v>5</v>
      </c>
      <c r="Y5445" t="s">
        <v>24103</v>
      </c>
      <c r="Z5445" t="s">
        <v>30392</v>
      </c>
      <c r="AA5445">
        <v>0.44835599630657308</v>
      </c>
      <c r="AB5445" t="str">
        <f>HYPERLINK("Melting_Curves/meltCurve_Q9HBM1_SPC25.pdf", "Melting_Curves/meltCurve_Q9HBM1_SPC25.pdf")</f>
        <v>Melting_Curves/meltCurve_Q9HBM1_SPC25.pdf</v>
      </c>
    </row>
    <row r="5446" spans="1:28" x14ac:dyDescent="0.25">
      <c r="A5446" t="s">
        <v>5450</v>
      </c>
      <c r="B5446">
        <v>0.99987803227770999</v>
      </c>
      <c r="C5446">
        <v>0.78584544253817801</v>
      </c>
      <c r="D5446">
        <v>1.0403019511985701</v>
      </c>
      <c r="E5446">
        <v>0.76686466144324805</v>
      </c>
      <c r="F5446">
        <v>1.0806798773224</v>
      </c>
      <c r="G5446">
        <v>0.80312065030197699</v>
      </c>
      <c r="H5446">
        <v>0.96081402026558105</v>
      </c>
      <c r="I5446">
        <v>0.94871419724012596</v>
      </c>
      <c r="J5446">
        <v>1.19235017834822</v>
      </c>
      <c r="K5446">
        <v>0.86154557356251704</v>
      </c>
      <c r="L5446">
        <v>10212.401813652999</v>
      </c>
      <c r="M5446">
        <v>250</v>
      </c>
      <c r="O5446">
        <v>40.8469931630001</v>
      </c>
      <c r="P5446">
        <v>-9.5165777422599296E-2</v>
      </c>
      <c r="Q5446">
        <v>0.93780422633591498</v>
      </c>
      <c r="R5446">
        <v>1.9692114760778499E-2</v>
      </c>
      <c r="S5446" t="s">
        <v>11757</v>
      </c>
      <c r="T5446" t="s">
        <v>12620</v>
      </c>
      <c r="U5446" t="s">
        <v>12620</v>
      </c>
      <c r="V5446" t="s">
        <v>12620</v>
      </c>
      <c r="W5446" t="s">
        <v>18008</v>
      </c>
      <c r="X5446">
        <v>6</v>
      </c>
      <c r="Y5446" t="s">
        <v>24104</v>
      </c>
      <c r="Z5446" t="s">
        <v>30393</v>
      </c>
      <c r="AA5446">
        <v>0.93957167328470803</v>
      </c>
      <c r="AB5446" t="str">
        <f>HYPERLINK("Melting_Curves/meltCurve_Q9HBR0_SLC38A10.pdf", "Melting_Curves/meltCurve_Q9HBR0_SLC38A10.pdf")</f>
        <v>Melting_Curves/meltCurve_Q9HBR0_SLC38A10.pdf</v>
      </c>
    </row>
    <row r="5447" spans="1:28" x14ac:dyDescent="0.25">
      <c r="A5447" t="s">
        <v>5451</v>
      </c>
      <c r="B5447">
        <v>0.99987803227770999</v>
      </c>
      <c r="C5447">
        <v>0.89164902457405903</v>
      </c>
      <c r="D5447">
        <v>0.94421733906501804</v>
      </c>
      <c r="E5447">
        <v>0.79322498706493605</v>
      </c>
      <c r="F5447">
        <v>0.58682129315646403</v>
      </c>
      <c r="G5447">
        <v>0.236690616602833</v>
      </c>
      <c r="H5447">
        <v>0.13981815814321299</v>
      </c>
      <c r="I5447">
        <v>0.145547885007932</v>
      </c>
      <c r="J5447">
        <v>0.110573054863288</v>
      </c>
      <c r="K5447">
        <v>9.6071289130842896E-2</v>
      </c>
      <c r="L5447">
        <v>1082.93925484645</v>
      </c>
      <c r="M5447">
        <v>20.398560032192499</v>
      </c>
      <c r="N5447">
        <v>53.626862918334702</v>
      </c>
      <c r="O5447">
        <v>52.586695622160299</v>
      </c>
      <c r="P5447">
        <v>-8.8007350267718207E-2</v>
      </c>
      <c r="Q5447">
        <v>9.2509352396071498E-2</v>
      </c>
      <c r="R5447">
        <v>0.989631428963333</v>
      </c>
      <c r="S5447" t="s">
        <v>11758</v>
      </c>
      <c r="T5447" t="s">
        <v>12620</v>
      </c>
      <c r="U5447" t="s">
        <v>12620</v>
      </c>
      <c r="V5447" t="s">
        <v>12620</v>
      </c>
      <c r="W5447" t="s">
        <v>18009</v>
      </c>
      <c r="X5447">
        <v>7</v>
      </c>
      <c r="Y5447" t="s">
        <v>24105</v>
      </c>
      <c r="Z5447" t="s">
        <v>30394</v>
      </c>
      <c r="AA5447">
        <v>0.50050605112088575</v>
      </c>
      <c r="AB5447" t="str">
        <f>HYPERLINK("Melting_Curves/meltCurve_Q9HBU6_ETNK1.pdf", "Melting_Curves/meltCurve_Q9HBU6_ETNK1.pdf")</f>
        <v>Melting_Curves/meltCurve_Q9HBU6_ETNK1.pdf</v>
      </c>
    </row>
    <row r="5448" spans="1:28" x14ac:dyDescent="0.25">
      <c r="A5448" t="s">
        <v>5452</v>
      </c>
      <c r="B5448">
        <v>0.99987803227770999</v>
      </c>
      <c r="C5448">
        <v>0.87169657411507595</v>
      </c>
      <c r="D5448">
        <v>0.92140549201787803</v>
      </c>
      <c r="E5448">
        <v>0.66548169337135299</v>
      </c>
      <c r="F5448">
        <v>0.62665420840255304</v>
      </c>
      <c r="G5448">
        <v>0.33223425499752401</v>
      </c>
      <c r="H5448">
        <v>0.17891972952494101</v>
      </c>
      <c r="I5448">
        <v>0.18074945518192401</v>
      </c>
      <c r="J5448">
        <v>0.14317426192671401</v>
      </c>
      <c r="K5448">
        <v>0.130766053363705</v>
      </c>
      <c r="L5448">
        <v>654.87390024961098</v>
      </c>
      <c r="M5448">
        <v>12.284163769552601</v>
      </c>
      <c r="N5448">
        <v>53.919389655087997</v>
      </c>
      <c r="O5448">
        <v>51.956708689748503</v>
      </c>
      <c r="P5448">
        <v>-5.5291207954681301E-2</v>
      </c>
      <c r="Q5448">
        <v>6.47741554512931E-2</v>
      </c>
      <c r="R5448">
        <v>0.98161757653058501</v>
      </c>
      <c r="S5448" t="s">
        <v>11759</v>
      </c>
      <c r="T5448" t="s">
        <v>12620</v>
      </c>
      <c r="U5448" t="s">
        <v>12620</v>
      </c>
      <c r="V5448" t="s">
        <v>12620</v>
      </c>
      <c r="W5448" t="s">
        <v>18010</v>
      </c>
      <c r="X5448">
        <v>2</v>
      </c>
      <c r="Y5448" t="s">
        <v>24106</v>
      </c>
      <c r="Z5448" t="s">
        <v>30395</v>
      </c>
      <c r="AA5448">
        <v>0.5050402645660067</v>
      </c>
      <c r="AB5448" t="str">
        <f>HYPERLINK("Melting_Curves/meltCurve_Q9HBZ2_2_ARNT2.pdf", "Melting_Curves/meltCurve_Q9HBZ2_2_ARNT2.pdf")</f>
        <v>Melting_Curves/meltCurve_Q9HBZ2_2_ARNT2.pdf</v>
      </c>
    </row>
    <row r="5449" spans="1:28" x14ac:dyDescent="0.25">
      <c r="A5449" t="s">
        <v>5453</v>
      </c>
      <c r="B5449">
        <v>0.99987803227770999</v>
      </c>
      <c r="C5449">
        <v>1.10671025080491</v>
      </c>
      <c r="D5449">
        <v>0.87493841425751595</v>
      </c>
      <c r="E5449">
        <v>0.70098924428176101</v>
      </c>
      <c r="F5449">
        <v>0.31086874943506998</v>
      </c>
      <c r="G5449">
        <v>0.22068325577758899</v>
      </c>
      <c r="H5449">
        <v>0.16847671868307401</v>
      </c>
      <c r="I5449">
        <v>0.149000059786524</v>
      </c>
      <c r="J5449">
        <v>0.13284039870477299</v>
      </c>
      <c r="K5449">
        <v>0.101696041635766</v>
      </c>
      <c r="L5449">
        <v>1331.5630254431301</v>
      </c>
      <c r="M5449">
        <v>26.199603724452299</v>
      </c>
      <c r="N5449">
        <v>51.452061145074701</v>
      </c>
      <c r="O5449">
        <v>50.530465742048399</v>
      </c>
      <c r="P5449">
        <v>-0.111879126616868</v>
      </c>
      <c r="Q5449">
        <v>0.13689673976445499</v>
      </c>
      <c r="R5449">
        <v>0.982509909147117</v>
      </c>
      <c r="S5449" t="s">
        <v>11760</v>
      </c>
      <c r="T5449" t="s">
        <v>12620</v>
      </c>
      <c r="U5449" t="s">
        <v>12620</v>
      </c>
      <c r="V5449" t="s">
        <v>12620</v>
      </c>
      <c r="W5449" t="s">
        <v>18011</v>
      </c>
      <c r="X5449">
        <v>33</v>
      </c>
      <c r="Y5449" t="s">
        <v>24107</v>
      </c>
      <c r="Z5449" t="s">
        <v>30396</v>
      </c>
      <c r="AA5449">
        <v>0.45539052783338252</v>
      </c>
      <c r="AB5449" t="str">
        <f>HYPERLINK("Melting_Curves/meltCurve_Q9HC35_EML4.pdf", "Melting_Curves/meltCurve_Q9HC35_EML4.pdf")</f>
        <v>Melting_Curves/meltCurve_Q9HC35_EML4.pdf</v>
      </c>
    </row>
    <row r="5450" spans="1:28" x14ac:dyDescent="0.25">
      <c r="A5450" t="s">
        <v>5454</v>
      </c>
      <c r="B5450">
        <v>0.99987803227770999</v>
      </c>
      <c r="C5450">
        <v>0.64125499529188401</v>
      </c>
      <c r="D5450">
        <v>1.03030407913809</v>
      </c>
      <c r="E5450">
        <v>0.84129152452775002</v>
      </c>
      <c r="F5450">
        <v>0.68876425429158605</v>
      </c>
      <c r="G5450">
        <v>0.159064422720709</v>
      </c>
      <c r="H5450">
        <v>0.105255967610229</v>
      </c>
      <c r="I5450">
        <v>8.9365820663834E-2</v>
      </c>
      <c r="J5450">
        <v>7.0356280271546695E-2</v>
      </c>
      <c r="K5450">
        <v>4.9231644274028298E-2</v>
      </c>
      <c r="L5450">
        <v>1623.5879507151501</v>
      </c>
      <c r="M5450">
        <v>30.167652305898901</v>
      </c>
      <c r="N5450">
        <v>54.055343893693497</v>
      </c>
      <c r="O5450">
        <v>53.584031595076397</v>
      </c>
      <c r="P5450">
        <v>-0.13204815947399301</v>
      </c>
      <c r="Q5450">
        <v>6.1826236199198602E-2</v>
      </c>
      <c r="R5450">
        <v>0.90729666023532696</v>
      </c>
      <c r="S5450" t="s">
        <v>11761</v>
      </c>
      <c r="T5450" t="s">
        <v>12620</v>
      </c>
      <c r="U5450" t="s">
        <v>12620</v>
      </c>
      <c r="V5450" t="s">
        <v>12620</v>
      </c>
      <c r="W5450" t="s">
        <v>18012</v>
      </c>
      <c r="X5450">
        <v>30</v>
      </c>
      <c r="Y5450" t="s">
        <v>24108</v>
      </c>
      <c r="Z5450" t="s">
        <v>30397</v>
      </c>
      <c r="AA5450">
        <v>0.50005875196970728</v>
      </c>
      <c r="AB5450" t="str">
        <f>HYPERLINK("Melting_Curves/meltCurve_Q9HC38_2_GLOD4.pdf", "Melting_Curves/meltCurve_Q9HC38_2_GLOD4.pdf")</f>
        <v>Melting_Curves/meltCurve_Q9HC38_2_GLOD4.pdf</v>
      </c>
    </row>
    <row r="5451" spans="1:28" x14ac:dyDescent="0.25">
      <c r="A5451" t="s">
        <v>5455</v>
      </c>
      <c r="B5451">
        <v>0.99987803227770999</v>
      </c>
      <c r="C5451">
        <v>0.88503812889981004</v>
      </c>
      <c r="D5451">
        <v>0.98961071731998895</v>
      </c>
      <c r="E5451">
        <v>0.85706010947955602</v>
      </c>
      <c r="F5451">
        <v>0.97303406496933997</v>
      </c>
      <c r="G5451">
        <v>0.67665964375103405</v>
      </c>
      <c r="H5451">
        <v>0.77673786371548004</v>
      </c>
      <c r="I5451">
        <v>0.71611137757179699</v>
      </c>
      <c r="J5451">
        <v>0.76254181875024296</v>
      </c>
      <c r="K5451">
        <v>0.59111147750736703</v>
      </c>
      <c r="L5451">
        <v>293.24869457324399</v>
      </c>
      <c r="M5451">
        <v>3.9860899250754498</v>
      </c>
      <c r="O5451">
        <v>60.329181522149803</v>
      </c>
      <c r="P5451">
        <v>-1.32890254204341E-2</v>
      </c>
      <c r="Q5451">
        <v>0.205809495713352</v>
      </c>
      <c r="R5451">
        <v>0.71559808163404803</v>
      </c>
      <c r="S5451" t="s">
        <v>11762</v>
      </c>
      <c r="T5451" t="s">
        <v>12620</v>
      </c>
      <c r="U5451" t="s">
        <v>12620</v>
      </c>
      <c r="V5451" t="s">
        <v>12620</v>
      </c>
      <c r="W5451" t="s">
        <v>18013</v>
      </c>
      <c r="X5451">
        <v>6</v>
      </c>
      <c r="Y5451" t="s">
        <v>24109</v>
      </c>
      <c r="Z5451" t="s">
        <v>30398</v>
      </c>
      <c r="AA5451">
        <v>0.82643823690618723</v>
      </c>
      <c r="AB5451" t="str">
        <f>HYPERLINK("Melting_Curves/meltCurve_Q9HC52_CBX8.pdf", "Melting_Curves/meltCurve_Q9HC52_CBX8.pdf")</f>
        <v>Melting_Curves/meltCurve_Q9HC52_CBX8.pdf</v>
      </c>
    </row>
    <row r="5452" spans="1:28" x14ac:dyDescent="0.25">
      <c r="A5452" t="s">
        <v>5456</v>
      </c>
      <c r="B5452">
        <v>0.99987803227770999</v>
      </c>
      <c r="C5452">
        <v>0.81767389539517299</v>
      </c>
      <c r="D5452">
        <v>0.57704900278403504</v>
      </c>
      <c r="E5452">
        <v>0.59501365071438705</v>
      </c>
      <c r="F5452">
        <v>0.54035726184037502</v>
      </c>
      <c r="G5452">
        <v>0.40764364867463199</v>
      </c>
      <c r="H5452">
        <v>0.46084029515185698</v>
      </c>
      <c r="I5452">
        <v>0.39288375062530501</v>
      </c>
      <c r="J5452">
        <v>0.29029586238982302</v>
      </c>
      <c r="K5452">
        <v>0.14227915307323899</v>
      </c>
      <c r="L5452">
        <v>292.17166228781798</v>
      </c>
      <c r="M5452">
        <v>5.4662118723232096</v>
      </c>
      <c r="N5452">
        <v>54.314215399599597</v>
      </c>
      <c r="O5452">
        <v>47.568989002998499</v>
      </c>
      <c r="P5452">
        <v>-2.7655854123822501E-2</v>
      </c>
      <c r="Q5452">
        <v>4.1627785727082298E-2</v>
      </c>
      <c r="R5452">
        <v>0.88226773019853399</v>
      </c>
      <c r="S5452" t="s">
        <v>11763</v>
      </c>
      <c r="T5452" t="s">
        <v>12620</v>
      </c>
      <c r="U5452" t="s">
        <v>12620</v>
      </c>
      <c r="V5452" t="s">
        <v>12620</v>
      </c>
      <c r="W5452" t="s">
        <v>18014</v>
      </c>
      <c r="X5452">
        <v>16</v>
      </c>
      <c r="Y5452" t="s">
        <v>24110</v>
      </c>
      <c r="Z5452" t="s">
        <v>30399</v>
      </c>
      <c r="AA5452">
        <v>0.51362478994690952</v>
      </c>
      <c r="AB5452" t="str">
        <f>HYPERLINK("Melting_Curves/meltCurve_Q9HCC0_MCCC2.pdf", "Melting_Curves/meltCurve_Q9HCC0_MCCC2.pdf")</f>
        <v>Melting_Curves/meltCurve_Q9HCC0_MCCC2.pdf</v>
      </c>
    </row>
    <row r="5453" spans="1:28" x14ac:dyDescent="0.25">
      <c r="A5453" t="s">
        <v>5457</v>
      </c>
      <c r="B5453">
        <v>0.99987803227770999</v>
      </c>
      <c r="C5453">
        <v>1.0480977461010901</v>
      </c>
      <c r="D5453">
        <v>0.89362821354775801</v>
      </c>
      <c r="E5453">
        <v>1.1356494249659601</v>
      </c>
      <c r="F5453">
        <v>0.816517791149734</v>
      </c>
      <c r="G5453">
        <v>1.31147865675072</v>
      </c>
      <c r="H5453">
        <v>0.42751971250945903</v>
      </c>
      <c r="I5453">
        <v>3.9733461715415301E-2</v>
      </c>
      <c r="J5453">
        <v>1.8166458035734499E-3</v>
      </c>
      <c r="K5453">
        <v>5.0164618395337002E-3</v>
      </c>
      <c r="L5453">
        <v>9502.4274528793194</v>
      </c>
      <c r="M5453">
        <v>156.10570113725501</v>
      </c>
      <c r="N5453">
        <v>60.883913379313803</v>
      </c>
      <c r="O5453">
        <v>60.861762601001402</v>
      </c>
      <c r="P5453">
        <v>-0.63139028683165399</v>
      </c>
      <c r="Q5453">
        <v>1.5346009370522299E-2</v>
      </c>
      <c r="R5453">
        <v>0.92875726404316905</v>
      </c>
      <c r="S5453" t="s">
        <v>11764</v>
      </c>
      <c r="T5453" t="s">
        <v>12620</v>
      </c>
      <c r="U5453" t="s">
        <v>12620</v>
      </c>
      <c r="V5453" t="s">
        <v>12620</v>
      </c>
      <c r="W5453" t="s">
        <v>18015</v>
      </c>
      <c r="X5453">
        <v>2</v>
      </c>
      <c r="Y5453" t="s">
        <v>24111</v>
      </c>
      <c r="Z5453" t="s">
        <v>30400</v>
      </c>
      <c r="AA5453">
        <v>0.70066433422831775</v>
      </c>
      <c r="AB5453" t="str">
        <f>HYPERLINK("Melting_Curves/meltCurve_Q9HCC9_5_ZFYVE28.pdf", "Melting_Curves/meltCurve_Q9HCC9_5_ZFYVE28.pdf")</f>
        <v>Melting_Curves/meltCurve_Q9HCC9_5_ZFYVE28.pdf</v>
      </c>
    </row>
    <row r="5454" spans="1:28" x14ac:dyDescent="0.25">
      <c r="A5454" t="s">
        <v>5458</v>
      </c>
      <c r="B5454">
        <v>0.99987803227770999</v>
      </c>
      <c r="C5454">
        <v>0.91335779450776799</v>
      </c>
      <c r="D5454">
        <v>0.98057405191598901</v>
      </c>
      <c r="E5454">
        <v>0.84272150627791598</v>
      </c>
      <c r="F5454">
        <v>0.88833472641114397</v>
      </c>
      <c r="G5454">
        <v>0.64487542971232104</v>
      </c>
      <c r="H5454">
        <v>0.61992969774305895</v>
      </c>
      <c r="I5454">
        <v>0.509324424214044</v>
      </c>
      <c r="J5454">
        <v>0.54691284233612503</v>
      </c>
      <c r="K5454">
        <v>0.43831826804017499</v>
      </c>
      <c r="L5454">
        <v>550.40313401067897</v>
      </c>
      <c r="M5454">
        <v>9.5165739625878096</v>
      </c>
      <c r="N5454">
        <v>66.652982912655901</v>
      </c>
      <c r="O5454">
        <v>55.455224889970502</v>
      </c>
      <c r="P5454">
        <v>-2.75590020240713E-2</v>
      </c>
      <c r="Q5454">
        <v>0.358007129186801</v>
      </c>
      <c r="R5454">
        <v>0.94761699982306402</v>
      </c>
      <c r="S5454" t="s">
        <v>11765</v>
      </c>
      <c r="T5454" t="s">
        <v>12620</v>
      </c>
      <c r="U5454" t="s">
        <v>12620</v>
      </c>
      <c r="V5454" t="s">
        <v>12620</v>
      </c>
      <c r="W5454" t="s">
        <v>18016</v>
      </c>
      <c r="X5454">
        <v>4</v>
      </c>
      <c r="Y5454" t="s">
        <v>24112</v>
      </c>
      <c r="Z5454" t="s">
        <v>30401</v>
      </c>
      <c r="AA5454">
        <v>0.74604025517462214</v>
      </c>
      <c r="AB5454" t="str">
        <f>HYPERLINK("Melting_Curves/meltCurve_Q9HCD5_NCOA5.pdf", "Melting_Curves/meltCurve_Q9HCD5_NCOA5.pdf")</f>
        <v>Melting_Curves/meltCurve_Q9HCD5_NCOA5.pdf</v>
      </c>
    </row>
    <row r="5455" spans="1:28" x14ac:dyDescent="0.25">
      <c r="A5455" t="s">
        <v>5459</v>
      </c>
      <c r="B5455">
        <v>0.99987803227770999</v>
      </c>
      <c r="C5455">
        <v>0.98602329009914003</v>
      </c>
      <c r="D5455">
        <v>0.88474909093568699</v>
      </c>
      <c r="E5455">
        <v>0.74370221450505103</v>
      </c>
      <c r="F5455">
        <v>0.65313571789524105</v>
      </c>
      <c r="G5455">
        <v>0.48288730827185999</v>
      </c>
      <c r="H5455">
        <v>0.45662796777613601</v>
      </c>
      <c r="I5455">
        <v>0.41542143782176799</v>
      </c>
      <c r="J5455">
        <v>0.381532322144991</v>
      </c>
      <c r="K5455">
        <v>0.34356186271661998</v>
      </c>
      <c r="L5455">
        <v>656.25268287154097</v>
      </c>
      <c r="M5455">
        <v>12.5917218941218</v>
      </c>
      <c r="N5455">
        <v>57.355536608629301</v>
      </c>
      <c r="O5455">
        <v>50.855678256426103</v>
      </c>
      <c r="P5455">
        <v>-4.0758717319866002E-2</v>
      </c>
      <c r="Q5455">
        <v>0.34166343829552998</v>
      </c>
      <c r="R5455">
        <v>0.99387033104965505</v>
      </c>
      <c r="S5455" t="s">
        <v>11766</v>
      </c>
      <c r="T5455" t="s">
        <v>12620</v>
      </c>
      <c r="U5455" t="s">
        <v>12620</v>
      </c>
      <c r="V5455" t="s">
        <v>12620</v>
      </c>
      <c r="W5455" t="s">
        <v>18017</v>
      </c>
      <c r="X5455">
        <v>20</v>
      </c>
      <c r="Y5455" t="s">
        <v>24113</v>
      </c>
      <c r="Z5455" t="s">
        <v>30402</v>
      </c>
      <c r="AA5455">
        <v>0.62636500541749318</v>
      </c>
      <c r="AB5455" t="str">
        <f>HYPERLINK("Melting_Curves/meltCurve_Q9HCD6_TANC2.pdf", "Melting_Curves/meltCurve_Q9HCD6_TANC2.pdf")</f>
        <v>Melting_Curves/meltCurve_Q9HCD6_TANC2.pdf</v>
      </c>
    </row>
    <row r="5456" spans="1:28" x14ac:dyDescent="0.25">
      <c r="A5456" t="s">
        <v>5460</v>
      </c>
      <c r="B5456">
        <v>0.99987803227770999</v>
      </c>
      <c r="C5456">
        <v>1.2066266947595801</v>
      </c>
      <c r="D5456">
        <v>0.99123861974573102</v>
      </c>
      <c r="E5456">
        <v>0.71782241625098098</v>
      </c>
      <c r="F5456">
        <v>0.233490091287337</v>
      </c>
      <c r="G5456">
        <v>0.157985090276206</v>
      </c>
      <c r="H5456">
        <v>8.8838370415632195E-2</v>
      </c>
      <c r="I5456">
        <v>5.2477166175772201E-2</v>
      </c>
      <c r="J5456">
        <v>5.2884763292797399E-2</v>
      </c>
      <c r="K5456">
        <v>6.0586210303026702E-2</v>
      </c>
      <c r="L5456">
        <v>2040.61711203038</v>
      </c>
      <c r="M5456">
        <v>40.007741642787103</v>
      </c>
      <c r="N5456">
        <v>51.221556568655103</v>
      </c>
      <c r="O5456">
        <v>50.878621644032897</v>
      </c>
      <c r="P5456">
        <v>-0.18132564521608799</v>
      </c>
      <c r="Q5456">
        <v>7.7620568396742001E-2</v>
      </c>
      <c r="R5456">
        <v>0.97503260595183405</v>
      </c>
      <c r="S5456" t="s">
        <v>11767</v>
      </c>
      <c r="T5456" t="s">
        <v>12620</v>
      </c>
      <c r="U5456" t="s">
        <v>12620</v>
      </c>
      <c r="V5456" t="s">
        <v>12620</v>
      </c>
      <c r="W5456" t="s">
        <v>18018</v>
      </c>
      <c r="X5456">
        <v>2</v>
      </c>
      <c r="Y5456" t="s">
        <v>24114</v>
      </c>
      <c r="Z5456" t="s">
        <v>30403</v>
      </c>
      <c r="AA5456">
        <v>0.41924769504974713</v>
      </c>
      <c r="AB5456" t="str">
        <f>HYPERLINK("Melting_Curves/meltCurve_Q9HCE0_2_EPG5.pdf", "Melting_Curves/meltCurve_Q9HCE0_2_EPG5.pdf")</f>
        <v>Melting_Curves/meltCurve_Q9HCE0_2_EPG5.pdf</v>
      </c>
    </row>
    <row r="5457" spans="1:28" x14ac:dyDescent="0.25">
      <c r="A5457" t="s">
        <v>5461</v>
      </c>
      <c r="B5457">
        <v>0.99987803227770999</v>
      </c>
      <c r="C5457">
        <v>0.85624870520021701</v>
      </c>
      <c r="D5457">
        <v>0.96867640360276497</v>
      </c>
      <c r="E5457">
        <v>0.83297041704875796</v>
      </c>
      <c r="F5457">
        <v>0.97498048441729301</v>
      </c>
      <c r="G5457">
        <v>0.85495111808493496</v>
      </c>
      <c r="H5457">
        <v>0.83255379871958901</v>
      </c>
      <c r="I5457">
        <v>0.78420316512406096</v>
      </c>
      <c r="J5457">
        <v>0.81357680888192996</v>
      </c>
      <c r="K5457">
        <v>0.67654110844658599</v>
      </c>
      <c r="L5457">
        <v>224.92655553501999</v>
      </c>
      <c r="M5457">
        <v>2.1864980177326601</v>
      </c>
      <c r="O5457">
        <v>64.440791723264596</v>
      </c>
      <c r="P5457">
        <v>-9.0953557094679005E-3</v>
      </c>
      <c r="Q5457">
        <v>0</v>
      </c>
      <c r="R5457">
        <v>0.63739729543427703</v>
      </c>
      <c r="S5457" t="s">
        <v>11768</v>
      </c>
      <c r="T5457" t="s">
        <v>12620</v>
      </c>
      <c r="U5457" t="s">
        <v>12620</v>
      </c>
      <c r="V5457" t="s">
        <v>12620</v>
      </c>
      <c r="W5457" t="s">
        <v>18019</v>
      </c>
      <c r="X5457">
        <v>3</v>
      </c>
      <c r="Y5457" t="s">
        <v>24115</v>
      </c>
      <c r="Z5457" t="s">
        <v>30404</v>
      </c>
      <c r="AA5457">
        <v>0.86433615076017811</v>
      </c>
      <c r="AB5457" t="str">
        <f>HYPERLINK("Melting_Curves/meltCurve_Q9HCE3_ZNF532.pdf", "Melting_Curves/meltCurve_Q9HCE3_ZNF532.pdf")</f>
        <v>Melting_Curves/meltCurve_Q9HCE3_ZNF532.pdf</v>
      </c>
    </row>
    <row r="5458" spans="1:28" x14ac:dyDescent="0.25">
      <c r="A5458" t="s">
        <v>5462</v>
      </c>
      <c r="B5458">
        <v>0.99987803227770999</v>
      </c>
      <c r="C5458">
        <v>1.0855092493487</v>
      </c>
      <c r="D5458">
        <v>1.0773791436754701</v>
      </c>
      <c r="E5458">
        <v>1.0341945852928101</v>
      </c>
      <c r="F5458">
        <v>0.66400353657325795</v>
      </c>
      <c r="G5458">
        <v>0.319228855542663</v>
      </c>
      <c r="H5458">
        <v>0.205035147899779</v>
      </c>
      <c r="I5458">
        <v>0.155121702408207</v>
      </c>
      <c r="J5458">
        <v>0.11755645003781</v>
      </c>
      <c r="K5458">
        <v>7.2543967298923401E-2</v>
      </c>
      <c r="L5458">
        <v>1619.52132940877</v>
      </c>
      <c r="M5458">
        <v>29.8211285517311</v>
      </c>
      <c r="N5458">
        <v>54.848525831061202</v>
      </c>
      <c r="O5458">
        <v>54.065398497366701</v>
      </c>
      <c r="P5458">
        <v>-0.120333919133946</v>
      </c>
      <c r="Q5458">
        <v>0.12734931723561299</v>
      </c>
      <c r="R5458">
        <v>0.98160547952072696</v>
      </c>
      <c r="S5458" t="s">
        <v>11769</v>
      </c>
      <c r="T5458" t="s">
        <v>12620</v>
      </c>
      <c r="U5458" t="s">
        <v>12620</v>
      </c>
      <c r="V5458" t="s">
        <v>12620</v>
      </c>
      <c r="W5458" t="s">
        <v>18020</v>
      </c>
      <c r="X5458">
        <v>7</v>
      </c>
      <c r="Y5458" t="s">
        <v>24116</v>
      </c>
      <c r="Z5458" t="s">
        <v>30405</v>
      </c>
      <c r="AA5458">
        <v>0.54935908849590498</v>
      </c>
      <c r="AB5458" t="str">
        <f>HYPERLINK("Melting_Curves/meltCurve_Q9HCE5_METTL14.pdf", "Melting_Curves/meltCurve_Q9HCE5_METTL14.pdf")</f>
        <v>Melting_Curves/meltCurve_Q9HCE5_METTL14.pdf</v>
      </c>
    </row>
    <row r="5459" spans="1:28" x14ac:dyDescent="0.25">
      <c r="A5459" t="s">
        <v>5463</v>
      </c>
      <c r="B5459">
        <v>0.99987803227770999</v>
      </c>
      <c r="C5459">
        <v>1.0974390088755599</v>
      </c>
      <c r="D5459">
        <v>0.90171339942208795</v>
      </c>
      <c r="E5459">
        <v>0.86228478415661802</v>
      </c>
      <c r="F5459">
        <v>0.71986046225383804</v>
      </c>
      <c r="G5459">
        <v>0.415627459957708</v>
      </c>
      <c r="H5459">
        <v>0.387102593472264</v>
      </c>
      <c r="I5459">
        <v>0.42664106459475498</v>
      </c>
      <c r="J5459">
        <v>0.42218234307032898</v>
      </c>
      <c r="K5459">
        <v>0.30892824805997798</v>
      </c>
      <c r="L5459">
        <v>1258.5296737368701</v>
      </c>
      <c r="M5459">
        <v>23.770955948256798</v>
      </c>
      <c r="N5459">
        <v>56.096345424956297</v>
      </c>
      <c r="O5459">
        <v>52.573594630547397</v>
      </c>
      <c r="P5459">
        <v>-7.1380670589866302E-2</v>
      </c>
      <c r="Q5459">
        <v>0.36852753244953901</v>
      </c>
      <c r="R5459">
        <v>0.96208223812351501</v>
      </c>
      <c r="S5459" t="s">
        <v>11770</v>
      </c>
      <c r="T5459" t="s">
        <v>12620</v>
      </c>
      <c r="U5459" t="s">
        <v>12620</v>
      </c>
      <c r="V5459" t="s">
        <v>12620</v>
      </c>
      <c r="W5459" t="s">
        <v>18021</v>
      </c>
      <c r="X5459">
        <v>3</v>
      </c>
      <c r="Y5459" t="s">
        <v>24117</v>
      </c>
      <c r="Z5459" t="s">
        <v>30406</v>
      </c>
      <c r="AA5459">
        <v>0.64737170009260159</v>
      </c>
      <c r="AB5459" t="str">
        <f>HYPERLINK("Melting_Curves/meltCurve_Q9HCE6_3_ARHGEF10L.pdf", "Melting_Curves/meltCurve_Q9HCE6_3_ARHGEF10L.pdf")</f>
        <v>Melting_Curves/meltCurve_Q9HCE6_3_ARHGEF10L.pdf</v>
      </c>
    </row>
    <row r="5460" spans="1:28" x14ac:dyDescent="0.25">
      <c r="A5460" t="s">
        <v>5464</v>
      </c>
      <c r="B5460">
        <v>0.99987803227770999</v>
      </c>
      <c r="C5460">
        <v>1.1287572106674899</v>
      </c>
      <c r="D5460">
        <v>0.99791070682801397</v>
      </c>
      <c r="E5460">
        <v>0.94798188682805995</v>
      </c>
      <c r="F5460">
        <v>0.39294086063138201</v>
      </c>
      <c r="G5460">
        <v>0.278461777062669</v>
      </c>
      <c r="H5460">
        <v>0.22890024081485</v>
      </c>
      <c r="I5460">
        <v>0.275030943824498</v>
      </c>
      <c r="J5460">
        <v>0.152230083773297</v>
      </c>
      <c r="K5460">
        <v>0.143295561398076</v>
      </c>
      <c r="L5460">
        <v>3332.66235395688</v>
      </c>
      <c r="M5460">
        <v>64.085700259037594</v>
      </c>
      <c r="N5460">
        <v>52.462216072029698</v>
      </c>
      <c r="O5460">
        <v>51.952648712768898</v>
      </c>
      <c r="P5460">
        <v>-0.24220729489031101</v>
      </c>
      <c r="Q5460">
        <v>0.21459507790895099</v>
      </c>
      <c r="R5460">
        <v>0.97784947468210703</v>
      </c>
      <c r="S5460" t="s">
        <v>11771</v>
      </c>
      <c r="T5460" t="s">
        <v>12620</v>
      </c>
      <c r="U5460" t="s">
        <v>12620</v>
      </c>
      <c r="V5460" t="s">
        <v>12620</v>
      </c>
      <c r="W5460" t="s">
        <v>18022</v>
      </c>
      <c r="X5460">
        <v>3</v>
      </c>
      <c r="Y5460" t="s">
        <v>24118</v>
      </c>
      <c r="Z5460" t="s">
        <v>30407</v>
      </c>
      <c r="AA5460">
        <v>0.52993545492661076</v>
      </c>
      <c r="AB5460" t="str">
        <f>HYPERLINK("Melting_Curves/meltCurve_Q9HCE7_2_SMURF1.pdf", "Melting_Curves/meltCurve_Q9HCE7_2_SMURF1.pdf")</f>
        <v>Melting_Curves/meltCurve_Q9HCE7_2_SMURF1.pdf</v>
      </c>
    </row>
    <row r="5461" spans="1:28" x14ac:dyDescent="0.25">
      <c r="A5461" t="s">
        <v>5465</v>
      </c>
      <c r="B5461">
        <v>0.99987803227770999</v>
      </c>
      <c r="C5461">
        <v>1.05733051199065</v>
      </c>
      <c r="D5461">
        <v>1.05746680552142</v>
      </c>
      <c r="E5461">
        <v>0.97579499073192399</v>
      </c>
      <c r="F5461">
        <v>1.0183357244856099</v>
      </c>
      <c r="G5461">
        <v>0.85025936100955901</v>
      </c>
      <c r="H5461">
        <v>0.801020094817398</v>
      </c>
      <c r="I5461">
        <v>0.83664645980263597</v>
      </c>
      <c r="J5461">
        <v>0.64532073433114101</v>
      </c>
      <c r="K5461">
        <v>0.56409789629016205</v>
      </c>
      <c r="L5461">
        <v>654.54118567220905</v>
      </c>
      <c r="M5461">
        <v>9.0741553945936602</v>
      </c>
      <c r="O5461">
        <v>68.887988211550393</v>
      </c>
      <c r="P5461">
        <v>-3.2954016626310097E-2</v>
      </c>
      <c r="Q5461">
        <v>0</v>
      </c>
      <c r="R5461">
        <v>0.91487106114935202</v>
      </c>
      <c r="S5461" t="s">
        <v>11772</v>
      </c>
      <c r="T5461" t="s">
        <v>12620</v>
      </c>
      <c r="U5461" t="s">
        <v>12620</v>
      </c>
      <c r="V5461" t="s">
        <v>12620</v>
      </c>
      <c r="W5461" t="s">
        <v>18023</v>
      </c>
      <c r="X5461">
        <v>10</v>
      </c>
      <c r="Y5461" t="s">
        <v>24119</v>
      </c>
      <c r="Z5461" t="s">
        <v>30408</v>
      </c>
      <c r="AA5461">
        <v>0.88539232956255731</v>
      </c>
      <c r="AB5461" t="str">
        <f>HYPERLINK("Melting_Curves/meltCurve_Q9HCH0_NCKAP5L.pdf", "Melting_Curves/meltCurve_Q9HCH0_NCKAP5L.pdf")</f>
        <v>Melting_Curves/meltCurve_Q9HCH0_NCKAP5L.pdf</v>
      </c>
    </row>
    <row r="5462" spans="1:28" x14ac:dyDescent="0.25">
      <c r="A5462" t="s">
        <v>5466</v>
      </c>
      <c r="B5462">
        <v>0.99987803227770999</v>
      </c>
      <c r="C5462">
        <v>1.0604838448607401</v>
      </c>
      <c r="D5462">
        <v>1.0155888487847999</v>
      </c>
      <c r="E5462">
        <v>1.0981823500565</v>
      </c>
      <c r="F5462">
        <v>1.20794393829071</v>
      </c>
      <c r="G5462">
        <v>0.86664047461598304</v>
      </c>
      <c r="H5462">
        <v>0.868165042597</v>
      </c>
      <c r="I5462">
        <v>0.74742571474369801</v>
      </c>
      <c r="J5462">
        <v>0.78126073449084299</v>
      </c>
      <c r="K5462">
        <v>0.636438389911827</v>
      </c>
      <c r="L5462">
        <v>1364.4159922553599</v>
      </c>
      <c r="M5462">
        <v>22.0645231971775</v>
      </c>
      <c r="O5462">
        <v>61.336327866174599</v>
      </c>
      <c r="P5462">
        <v>-3.06409894789633E-2</v>
      </c>
      <c r="Q5462">
        <v>0.65929664347887396</v>
      </c>
      <c r="R5462">
        <v>0.73225667074825995</v>
      </c>
      <c r="S5462" t="s">
        <v>11773</v>
      </c>
      <c r="T5462" t="s">
        <v>12620</v>
      </c>
      <c r="U5462" t="s">
        <v>12620</v>
      </c>
      <c r="V5462" t="s">
        <v>12620</v>
      </c>
      <c r="W5462" t="s">
        <v>18024</v>
      </c>
      <c r="X5462">
        <v>3</v>
      </c>
      <c r="Y5462" t="s">
        <v>24120</v>
      </c>
      <c r="Z5462" t="s">
        <v>30409</v>
      </c>
      <c r="AA5462">
        <v>0.90881550082590346</v>
      </c>
      <c r="AB5462" t="str">
        <f>HYPERLINK("Melting_Curves/meltCurve_Q9HCJ0_TNRC6C.pdf", "Melting_Curves/meltCurve_Q9HCJ0_TNRC6C.pdf")</f>
        <v>Melting_Curves/meltCurve_Q9HCJ0_TNRC6C.pdf</v>
      </c>
    </row>
    <row r="5463" spans="1:28" x14ac:dyDescent="0.25">
      <c r="A5463" t="s">
        <v>5467</v>
      </c>
      <c r="B5463">
        <v>0.99987803227770999</v>
      </c>
      <c r="C5463">
        <v>0.93102506630354598</v>
      </c>
      <c r="D5463">
        <v>0.96238806176213298</v>
      </c>
      <c r="E5463">
        <v>0.64357712183733995</v>
      </c>
      <c r="F5463">
        <v>0.49616786285736802</v>
      </c>
      <c r="G5463">
        <v>0.33679803815746501</v>
      </c>
      <c r="H5463">
        <v>0.316961220302307</v>
      </c>
      <c r="I5463">
        <v>0.32827926582007799</v>
      </c>
      <c r="J5463">
        <v>0.24546837206896599</v>
      </c>
      <c r="K5463">
        <v>0.213135811854928</v>
      </c>
      <c r="L5463">
        <v>952.37410313952398</v>
      </c>
      <c r="M5463">
        <v>18.7905875724535</v>
      </c>
      <c r="N5463">
        <v>52.743918576653499</v>
      </c>
      <c r="O5463">
        <v>50.1200050071037</v>
      </c>
      <c r="P5463">
        <v>-6.9360452582289303E-2</v>
      </c>
      <c r="Q5463">
        <v>0.26001218430720902</v>
      </c>
      <c r="R5463">
        <v>0.98487652587868901</v>
      </c>
      <c r="S5463" t="s">
        <v>11774</v>
      </c>
      <c r="T5463" t="s">
        <v>12620</v>
      </c>
      <c r="U5463" t="s">
        <v>12620</v>
      </c>
      <c r="V5463" t="s">
        <v>12620</v>
      </c>
      <c r="W5463" t="s">
        <v>18025</v>
      </c>
      <c r="X5463">
        <v>2</v>
      </c>
      <c r="Y5463" t="s">
        <v>24121</v>
      </c>
      <c r="Z5463" t="s">
        <v>30410</v>
      </c>
      <c r="AA5463">
        <v>0.53509481145402993</v>
      </c>
      <c r="AB5463" t="str">
        <f>HYPERLINK("Melting_Curves/meltCurve_Q9HCJ3_2_RAVER2.pdf", "Melting_Curves/meltCurve_Q9HCJ3_2_RAVER2.pdf")</f>
        <v>Melting_Curves/meltCurve_Q9HCJ3_2_RAVER2.pdf</v>
      </c>
    </row>
    <row r="5464" spans="1:28" x14ac:dyDescent="0.25">
      <c r="A5464" t="s">
        <v>5468</v>
      </c>
      <c r="B5464">
        <v>0.99987803227770999</v>
      </c>
      <c r="C5464">
        <v>0.98369144759295701</v>
      </c>
      <c r="D5464">
        <v>0.89684981930451502</v>
      </c>
      <c r="E5464">
        <v>0.67450090167107901</v>
      </c>
      <c r="F5464">
        <v>0.52576198417117803</v>
      </c>
      <c r="G5464">
        <v>0.29325038134692299</v>
      </c>
      <c r="H5464">
        <v>0.272990678857015</v>
      </c>
      <c r="I5464">
        <v>0.26082436431221101</v>
      </c>
      <c r="J5464">
        <v>0.22298966295697201</v>
      </c>
      <c r="K5464">
        <v>0.16771966298998001</v>
      </c>
      <c r="L5464">
        <v>839.94410520258498</v>
      </c>
      <c r="M5464">
        <v>16.3408312939819</v>
      </c>
      <c r="N5464">
        <v>53.019737883601003</v>
      </c>
      <c r="O5464">
        <v>50.650261871300899</v>
      </c>
      <c r="P5464">
        <v>-6.4823344833788196E-2</v>
      </c>
      <c r="Q5464">
        <v>0.19634901157038101</v>
      </c>
      <c r="R5464">
        <v>0.99443737695372902</v>
      </c>
      <c r="S5464" t="s">
        <v>11775</v>
      </c>
      <c r="T5464" t="s">
        <v>12620</v>
      </c>
      <c r="U5464" t="s">
        <v>12620</v>
      </c>
      <c r="V5464" t="s">
        <v>12620</v>
      </c>
      <c r="W5464" t="s">
        <v>18026</v>
      </c>
      <c r="X5464">
        <v>16</v>
      </c>
      <c r="Y5464" t="s">
        <v>24122</v>
      </c>
      <c r="Z5464" t="s">
        <v>30411</v>
      </c>
      <c r="AA5464">
        <v>0.51770162903421735</v>
      </c>
      <c r="AB5464" t="str">
        <f>HYPERLINK("Melting_Curves/meltCurve_Q9HCK8_CHD8.pdf", "Melting_Curves/meltCurve_Q9HCK8_CHD8.pdf")</f>
        <v>Melting_Curves/meltCurve_Q9HCK8_CHD8.pdf</v>
      </c>
    </row>
    <row r="5465" spans="1:28" x14ac:dyDescent="0.25">
      <c r="A5465" t="s">
        <v>5469</v>
      </c>
      <c r="B5465">
        <v>0.99987803227770999</v>
      </c>
      <c r="C5465">
        <v>1.0429847083555901</v>
      </c>
      <c r="D5465">
        <v>1.05005255994984</v>
      </c>
      <c r="E5465">
        <v>1.1460729396952201</v>
      </c>
      <c r="F5465">
        <v>1.16242947550686</v>
      </c>
      <c r="G5465">
        <v>1.1485922196052101</v>
      </c>
      <c r="H5465">
        <v>0.79564862012279902</v>
      </c>
      <c r="I5465">
        <v>0.248928119503392</v>
      </c>
      <c r="J5465">
        <v>0.14350255674465601</v>
      </c>
      <c r="K5465">
        <v>0.12600095507395201</v>
      </c>
      <c r="L5465">
        <v>4075.0995666050699</v>
      </c>
      <c r="M5465">
        <v>65.590788725226801</v>
      </c>
      <c r="N5465">
        <v>62.4224445646284</v>
      </c>
      <c r="O5465">
        <v>62.071467881348298</v>
      </c>
      <c r="P5465">
        <v>-0.229142050504067</v>
      </c>
      <c r="Q5465">
        <v>0.132611172645201</v>
      </c>
      <c r="R5465">
        <v>0.95643418679812597</v>
      </c>
      <c r="S5465" t="s">
        <v>11776</v>
      </c>
      <c r="T5465" t="s">
        <v>12620</v>
      </c>
      <c r="U5465" t="s">
        <v>12620</v>
      </c>
      <c r="V5465" t="s">
        <v>12620</v>
      </c>
      <c r="W5465" t="s">
        <v>18027</v>
      </c>
      <c r="X5465">
        <v>6</v>
      </c>
      <c r="Y5465" t="s">
        <v>24123</v>
      </c>
      <c r="Z5465" t="s">
        <v>30412</v>
      </c>
      <c r="AA5465">
        <v>0.77378579116676749</v>
      </c>
      <c r="AB5465" t="str">
        <f>HYPERLINK("Melting_Curves/meltCurve_Q9HCN4_3_GPN1.pdf", "Melting_Curves/meltCurve_Q9HCN4_3_GPN1.pdf")</f>
        <v>Melting_Curves/meltCurve_Q9HCN4_3_GPN1.pdf</v>
      </c>
    </row>
    <row r="5466" spans="1:28" x14ac:dyDescent="0.25">
      <c r="A5466" t="s">
        <v>5470</v>
      </c>
      <c r="B5466">
        <v>0.99987803227770999</v>
      </c>
      <c r="C5466">
        <v>0.93996931371849601</v>
      </c>
      <c r="D5466">
        <v>0.97098205829950401</v>
      </c>
      <c r="E5466">
        <v>0.93168885590652495</v>
      </c>
      <c r="F5466">
        <v>0.81078415417948801</v>
      </c>
      <c r="G5466">
        <v>0.68738529937234705</v>
      </c>
      <c r="H5466">
        <v>0.53681230937599</v>
      </c>
      <c r="I5466">
        <v>0.35503326072728503</v>
      </c>
      <c r="J5466">
        <v>0.30476375636507302</v>
      </c>
      <c r="K5466">
        <v>0.24051745309898501</v>
      </c>
      <c r="L5466">
        <v>646.40595361221597</v>
      </c>
      <c r="M5466">
        <v>10.6558120219511</v>
      </c>
      <c r="N5466">
        <v>61.215933965896397</v>
      </c>
      <c r="O5466">
        <v>58.6428382285292</v>
      </c>
      <c r="P5466">
        <v>-4.3356521054192999E-2</v>
      </c>
      <c r="Q5466">
        <v>4.5936466318839297E-2</v>
      </c>
      <c r="R5466">
        <v>0.99286448839324704</v>
      </c>
      <c r="S5466" t="s">
        <v>11777</v>
      </c>
      <c r="T5466" t="s">
        <v>12620</v>
      </c>
      <c r="U5466" t="s">
        <v>12620</v>
      </c>
      <c r="V5466" t="s">
        <v>12620</v>
      </c>
      <c r="W5466" t="s">
        <v>18028</v>
      </c>
      <c r="X5466">
        <v>3</v>
      </c>
      <c r="Y5466" t="s">
        <v>24124</v>
      </c>
      <c r="Z5466" t="s">
        <v>30413</v>
      </c>
      <c r="AA5466">
        <v>0.69695445076402485</v>
      </c>
      <c r="AB5466" t="str">
        <f>HYPERLINK("Melting_Curves/meltCurve_Q9HCN8_SDF2L1.pdf", "Melting_Curves/meltCurve_Q9HCN8_SDF2L1.pdf")</f>
        <v>Melting_Curves/meltCurve_Q9HCN8_SDF2L1.pdf</v>
      </c>
    </row>
    <row r="5467" spans="1:28" x14ac:dyDescent="0.25">
      <c r="A5467" t="s">
        <v>5471</v>
      </c>
      <c r="B5467">
        <v>0.99987803227770999</v>
      </c>
      <c r="C5467">
        <v>1.0794868177152801</v>
      </c>
      <c r="D5467">
        <v>0.73214167616051995</v>
      </c>
      <c r="E5467">
        <v>0.70818870725593697</v>
      </c>
      <c r="F5467">
        <v>0.228440403761308</v>
      </c>
      <c r="G5467">
        <v>0.17300236300876801</v>
      </c>
      <c r="H5467">
        <v>0.108432696749864</v>
      </c>
      <c r="I5467">
        <v>0.1231673833394</v>
      </c>
      <c r="J5467">
        <v>5.9931277710555599E-2</v>
      </c>
      <c r="K5467">
        <v>5.19987099118491E-2</v>
      </c>
      <c r="L5467">
        <v>980.33558682423904</v>
      </c>
      <c r="M5467">
        <v>19.416548082582299</v>
      </c>
      <c r="N5467">
        <v>50.863856106432202</v>
      </c>
      <c r="O5467">
        <v>49.9632823921308</v>
      </c>
      <c r="P5467">
        <v>-9.0691841002320903E-2</v>
      </c>
      <c r="Q5467">
        <v>6.6549573058093003E-2</v>
      </c>
      <c r="R5467">
        <v>0.95755754133182303</v>
      </c>
      <c r="S5467" t="s">
        <v>11778</v>
      </c>
      <c r="T5467" t="s">
        <v>12620</v>
      </c>
      <c r="U5467" t="s">
        <v>12620</v>
      </c>
      <c r="V5467" t="s">
        <v>12620</v>
      </c>
      <c r="W5467" t="s">
        <v>18029</v>
      </c>
      <c r="X5467">
        <v>1</v>
      </c>
      <c r="Y5467" t="s">
        <v>24125</v>
      </c>
      <c r="Z5467" t="s">
        <v>30414</v>
      </c>
      <c r="AA5467">
        <v>0.40666357490147842</v>
      </c>
      <c r="AB5467" t="str">
        <f>HYPERLINK("Melting_Curves/meltCurve_Q9HCR9_PDE11A.pdf", "Melting_Curves/meltCurve_Q9HCR9_PDE11A.pdf")</f>
        <v>Melting_Curves/meltCurve_Q9HCR9_PDE11A.pdf</v>
      </c>
    </row>
    <row r="5468" spans="1:28" x14ac:dyDescent="0.25">
      <c r="A5468" t="s">
        <v>5472</v>
      </c>
      <c r="B5468">
        <v>0.99987803227770999</v>
      </c>
      <c r="C5468">
        <v>1.1588432762242</v>
      </c>
      <c r="D5468">
        <v>0.99001345892908499</v>
      </c>
      <c r="E5468">
        <v>1.2326232543722999</v>
      </c>
      <c r="F5468">
        <v>0.93974904812365101</v>
      </c>
      <c r="G5468">
        <v>0.99362875116226201</v>
      </c>
      <c r="H5468">
        <v>0.75514587207461603</v>
      </c>
      <c r="I5468">
        <v>0.51290831161075101</v>
      </c>
      <c r="J5468">
        <v>0.35992137926344597</v>
      </c>
      <c r="K5468">
        <v>0.29308895211782199</v>
      </c>
      <c r="L5468">
        <v>1950.62803176955</v>
      </c>
      <c r="M5468">
        <v>31.228924727639701</v>
      </c>
      <c r="N5468">
        <v>64.106060903139095</v>
      </c>
      <c r="O5468">
        <v>62.207769014725798</v>
      </c>
      <c r="P5468">
        <v>-9.0925472875587096E-2</v>
      </c>
      <c r="Q5468">
        <v>0.275512755707715</v>
      </c>
      <c r="R5468">
        <v>0.91420658744624494</v>
      </c>
      <c r="S5468" t="s">
        <v>11779</v>
      </c>
      <c r="T5468" t="s">
        <v>12620</v>
      </c>
      <c r="U5468" t="s">
        <v>12620</v>
      </c>
      <c r="V5468" t="s">
        <v>12620</v>
      </c>
      <c r="W5468" t="s">
        <v>18030</v>
      </c>
      <c r="X5468">
        <v>3</v>
      </c>
      <c r="Y5468" t="s">
        <v>24126</v>
      </c>
      <c r="Z5468" t="s">
        <v>30415</v>
      </c>
      <c r="AA5468">
        <v>0.82089468621315143</v>
      </c>
      <c r="AB5468" t="str">
        <f>HYPERLINK("Melting_Curves/meltCurve_Q9HCU8_POLD4.pdf", "Melting_Curves/meltCurve_Q9HCU8_POLD4.pdf")</f>
        <v>Melting_Curves/meltCurve_Q9HCU8_POLD4.pdf</v>
      </c>
    </row>
    <row r="5469" spans="1:28" x14ac:dyDescent="0.25">
      <c r="A5469" t="s">
        <v>5473</v>
      </c>
      <c r="B5469">
        <v>0.99987803227770999</v>
      </c>
      <c r="C5469">
        <v>0.84875823548041696</v>
      </c>
      <c r="D5469">
        <v>0.98174505446592097</v>
      </c>
      <c r="E5469">
        <v>0.89056514943398202</v>
      </c>
      <c r="F5469">
        <v>1.0620949327771601</v>
      </c>
      <c r="G5469">
        <v>0.79009304916576495</v>
      </c>
      <c r="H5469">
        <v>0.81187889371972799</v>
      </c>
      <c r="I5469">
        <v>0.68539246172796797</v>
      </c>
      <c r="J5469">
        <v>0.65858328374525898</v>
      </c>
      <c r="K5469">
        <v>0.47442592653115401</v>
      </c>
      <c r="L5469">
        <v>566.15745696646798</v>
      </c>
      <c r="M5469">
        <v>8.0168387538683898</v>
      </c>
      <c r="O5469">
        <v>66.633308620559404</v>
      </c>
      <c r="P5469">
        <v>-3.0111937180077E-2</v>
      </c>
      <c r="Q5469">
        <v>0</v>
      </c>
      <c r="R5469">
        <v>0.807752270696241</v>
      </c>
      <c r="S5469" t="s">
        <v>11780</v>
      </c>
      <c r="T5469" t="s">
        <v>12620</v>
      </c>
      <c r="U5469" t="s">
        <v>12620</v>
      </c>
      <c r="V5469" t="s">
        <v>12620</v>
      </c>
      <c r="W5469" t="s">
        <v>18031</v>
      </c>
      <c r="X5469">
        <v>11</v>
      </c>
      <c r="Y5469" t="s">
        <v>24127</v>
      </c>
      <c r="Z5469" t="s">
        <v>30416</v>
      </c>
      <c r="AA5469">
        <v>0.85045516412443978</v>
      </c>
      <c r="AB5469" t="str">
        <f>HYPERLINK("Melting_Curves/meltCurve_Q9HD15_SRA1.pdf", "Melting_Curves/meltCurve_Q9HD15_SRA1.pdf")</f>
        <v>Melting_Curves/meltCurve_Q9HD15_SRA1.pdf</v>
      </c>
    </row>
    <row r="5470" spans="1:28" x14ac:dyDescent="0.25">
      <c r="A5470" t="s">
        <v>5474</v>
      </c>
      <c r="B5470">
        <v>0.99987803227770999</v>
      </c>
      <c r="C5470">
        <v>0.93882704013519502</v>
      </c>
      <c r="D5470">
        <v>0.71744895756012605</v>
      </c>
      <c r="E5470">
        <v>0.34337097568674202</v>
      </c>
      <c r="F5470">
        <v>0.22725039522408899</v>
      </c>
      <c r="G5470">
        <v>0.168733589516296</v>
      </c>
      <c r="H5470">
        <v>0.123382676311259</v>
      </c>
      <c r="I5470">
        <v>0.113975398963386</v>
      </c>
      <c r="J5470">
        <v>0.105020135410705</v>
      </c>
      <c r="K5470">
        <v>7.8585690579458703E-2</v>
      </c>
      <c r="L5470">
        <v>991.10922084426898</v>
      </c>
      <c r="M5470">
        <v>20.7571244299013</v>
      </c>
      <c r="N5470">
        <v>48.320303871539203</v>
      </c>
      <c r="O5470">
        <v>47.311360496793299</v>
      </c>
      <c r="P5470">
        <v>-9.7731508033511702E-2</v>
      </c>
      <c r="Q5470">
        <v>0.10899394295421699</v>
      </c>
      <c r="R5470">
        <v>0.99738996134258995</v>
      </c>
      <c r="S5470" t="s">
        <v>11781</v>
      </c>
      <c r="T5470" t="s">
        <v>12620</v>
      </c>
      <c r="U5470" t="s">
        <v>12620</v>
      </c>
      <c r="V5470" t="s">
        <v>12620</v>
      </c>
      <c r="W5470" t="s">
        <v>18032</v>
      </c>
      <c r="X5470">
        <v>11</v>
      </c>
      <c r="Y5470" t="s">
        <v>24128</v>
      </c>
      <c r="Z5470" t="s">
        <v>30417</v>
      </c>
      <c r="AA5470">
        <v>0.35086708300932379</v>
      </c>
      <c r="AB5470" t="str">
        <f>HYPERLINK("Melting_Curves/meltCurve_Q9HD26_2_GOPC.pdf", "Melting_Curves/meltCurve_Q9HD26_2_GOPC.pdf")</f>
        <v>Melting_Curves/meltCurve_Q9HD26_2_GOPC.pdf</v>
      </c>
    </row>
    <row r="5471" spans="1:28" x14ac:dyDescent="0.25">
      <c r="A5471" t="s">
        <v>5475</v>
      </c>
      <c r="B5471">
        <v>0.99987803227770999</v>
      </c>
      <c r="C5471">
        <v>0.85875760289458603</v>
      </c>
      <c r="D5471">
        <v>1.0235285886519401</v>
      </c>
      <c r="E5471">
        <v>0.90149521339574101</v>
      </c>
      <c r="F5471">
        <v>1.0845056292626101</v>
      </c>
      <c r="G5471">
        <v>0.65165278972905605</v>
      </c>
      <c r="H5471">
        <v>0.77290292503282498</v>
      </c>
      <c r="I5471">
        <v>0.68140553828601302</v>
      </c>
      <c r="J5471">
        <v>0.68431757083608502</v>
      </c>
      <c r="K5471">
        <v>0.53106081069863897</v>
      </c>
      <c r="L5471">
        <v>579.59534398176902</v>
      </c>
      <c r="M5471">
        <v>9.3708660598792299</v>
      </c>
      <c r="O5471">
        <v>59.2301749230421</v>
      </c>
      <c r="P5471">
        <v>-2.2268044283984701E-2</v>
      </c>
      <c r="Q5471">
        <v>0.43735452345584203</v>
      </c>
      <c r="R5471">
        <v>0.69624164343398998</v>
      </c>
      <c r="S5471" t="s">
        <v>11782</v>
      </c>
      <c r="T5471" t="s">
        <v>12620</v>
      </c>
      <c r="U5471" t="s">
        <v>12620</v>
      </c>
      <c r="V5471" t="s">
        <v>12620</v>
      </c>
      <c r="W5471" t="s">
        <v>12652</v>
      </c>
      <c r="X5471">
        <v>10</v>
      </c>
      <c r="Y5471" t="s">
        <v>18898</v>
      </c>
      <c r="Z5471" t="s">
        <v>30418</v>
      </c>
      <c r="AA5471">
        <v>0.83374064282093885</v>
      </c>
      <c r="AB5471" t="str">
        <f>HYPERLINK("Melting_Curves/meltCurve_Q9HD42_CHMP1A.pdf", "Melting_Curves/meltCurve_Q9HD42_CHMP1A.pdf")</f>
        <v>Melting_Curves/meltCurve_Q9HD42_CHMP1A.pdf</v>
      </c>
    </row>
    <row r="5472" spans="1:28" x14ac:dyDescent="0.25">
      <c r="A5472" t="s">
        <v>5476</v>
      </c>
      <c r="B5472">
        <v>0.99987803227770999</v>
      </c>
      <c r="C5472">
        <v>1.0238203918566</v>
      </c>
      <c r="D5472">
        <v>0.94343616540844899</v>
      </c>
      <c r="E5472">
        <v>0.89463480429445097</v>
      </c>
      <c r="F5472">
        <v>0.96493946399249797</v>
      </c>
      <c r="G5472">
        <v>0.73569073364284099</v>
      </c>
      <c r="H5472">
        <v>0.60833562564300703</v>
      </c>
      <c r="I5472">
        <v>0.50674962783939403</v>
      </c>
      <c r="J5472">
        <v>0.31806650420760701</v>
      </c>
      <c r="K5472">
        <v>0.25492539874089398</v>
      </c>
      <c r="L5472">
        <v>704.96160927315202</v>
      </c>
      <c r="M5472">
        <v>11.140090550878201</v>
      </c>
      <c r="N5472">
        <v>63.281497234861497</v>
      </c>
      <c r="O5472">
        <v>61.345030403276297</v>
      </c>
      <c r="P5472">
        <v>-4.5413901214629397E-2</v>
      </c>
      <c r="Q5472">
        <v>0</v>
      </c>
      <c r="R5472">
        <v>0.98086810709777805</v>
      </c>
      <c r="S5472" t="s">
        <v>11783</v>
      </c>
      <c r="T5472" t="s">
        <v>12620</v>
      </c>
      <c r="U5472" t="s">
        <v>12620</v>
      </c>
      <c r="V5472" t="s">
        <v>12620</v>
      </c>
      <c r="W5472" t="s">
        <v>18033</v>
      </c>
      <c r="X5472">
        <v>4</v>
      </c>
      <c r="Y5472" t="s">
        <v>24129</v>
      </c>
      <c r="Z5472" t="s">
        <v>30419</v>
      </c>
      <c r="AA5472">
        <v>0.74922379192751598</v>
      </c>
      <c r="AB5472" t="str">
        <f>HYPERLINK("Melting_Curves/meltCurve_Q9HD47_2_RANGRF.pdf", "Melting_Curves/meltCurve_Q9HD47_2_RANGRF.pdf")</f>
        <v>Melting_Curves/meltCurve_Q9HD47_2_RANGRF.pdf</v>
      </c>
    </row>
    <row r="5473" spans="1:28" x14ac:dyDescent="0.25">
      <c r="A5473" t="s">
        <v>5477</v>
      </c>
      <c r="B5473">
        <v>0.99987803227770999</v>
      </c>
      <c r="C5473">
        <v>0.71609181157480095</v>
      </c>
      <c r="D5473">
        <v>0.68971331992025697</v>
      </c>
      <c r="E5473">
        <v>0.60379246512319795</v>
      </c>
      <c r="F5473">
        <v>0.37563691007986399</v>
      </c>
      <c r="G5473">
        <v>0.191596071886908</v>
      </c>
      <c r="H5473">
        <v>0.14612681424761001</v>
      </c>
      <c r="I5473">
        <v>0.122309723357084</v>
      </c>
      <c r="J5473">
        <v>0.123727195147855</v>
      </c>
      <c r="K5473">
        <v>8.9845284051066301E-2</v>
      </c>
      <c r="L5473">
        <v>471.75054813735102</v>
      </c>
      <c r="M5473">
        <v>9.4293637787043991</v>
      </c>
      <c r="N5473">
        <v>50.184016399268899</v>
      </c>
      <c r="O5473">
        <v>47.934617088921698</v>
      </c>
      <c r="P5473">
        <v>-4.8506194642014402E-2</v>
      </c>
      <c r="Q5473">
        <v>1.42657079950155E-2</v>
      </c>
      <c r="R5473">
        <v>0.96382016497907197</v>
      </c>
      <c r="S5473" t="s">
        <v>11784</v>
      </c>
      <c r="T5473" t="s">
        <v>12620</v>
      </c>
      <c r="U5473" t="s">
        <v>12620</v>
      </c>
      <c r="V5473" t="s">
        <v>12620</v>
      </c>
      <c r="W5473" t="s">
        <v>18034</v>
      </c>
      <c r="X5473">
        <v>3</v>
      </c>
      <c r="Y5473" t="s">
        <v>24130</v>
      </c>
      <c r="Z5473" t="s">
        <v>30420</v>
      </c>
      <c r="AA5473">
        <v>0.39189025060617599</v>
      </c>
      <c r="AB5473" t="str">
        <f>HYPERLINK("Melting_Curves/meltCurve_Q9HD67_MYO10.pdf", "Melting_Curves/meltCurve_Q9HD67_MYO10.pdf")</f>
        <v>Melting_Curves/meltCurve_Q9HD67_MYO10.pdf</v>
      </c>
    </row>
    <row r="5474" spans="1:28" x14ac:dyDescent="0.25">
      <c r="A5474" t="s">
        <v>5478</v>
      </c>
      <c r="B5474">
        <v>0.99987803227770999</v>
      </c>
      <c r="C5474">
        <v>1.09239594484691</v>
      </c>
      <c r="D5474">
        <v>0.866786596111212</v>
      </c>
      <c r="E5474">
        <v>1.0080813956796799</v>
      </c>
      <c r="F5474">
        <v>0.45989875028086002</v>
      </c>
      <c r="G5474">
        <v>0.25499321268662301</v>
      </c>
      <c r="H5474">
        <v>0.17163842462836501</v>
      </c>
      <c r="I5474">
        <v>0.13559057359756199</v>
      </c>
      <c r="J5474">
        <v>0.13722860931368999</v>
      </c>
      <c r="K5474">
        <v>8.9793042675755802E-2</v>
      </c>
      <c r="L5474">
        <v>4816.91732926853</v>
      </c>
      <c r="M5474">
        <v>91.461022800938693</v>
      </c>
      <c r="N5474">
        <v>52.885238514355002</v>
      </c>
      <c r="O5474">
        <v>52.641176341257598</v>
      </c>
      <c r="P5474">
        <v>-0.36591438247171498</v>
      </c>
      <c r="Q5474">
        <v>0.15757941591484401</v>
      </c>
      <c r="R5474">
        <v>0.97390486677963495</v>
      </c>
      <c r="S5474" t="s">
        <v>11785</v>
      </c>
      <c r="T5474" t="s">
        <v>12620</v>
      </c>
      <c r="U5474" t="s">
        <v>12620</v>
      </c>
      <c r="V5474" t="s">
        <v>12620</v>
      </c>
      <c r="W5474" t="s">
        <v>18035</v>
      </c>
      <c r="X5474">
        <v>6</v>
      </c>
      <c r="Y5474" t="s">
        <v>24131</v>
      </c>
      <c r="Z5474" t="s">
        <v>30421</v>
      </c>
      <c r="AA5474">
        <v>0.51384153062141336</v>
      </c>
      <c r="AB5474" t="str">
        <f>HYPERLINK("Melting_Curves/meltCurve_Q9NNW5_WDR6.pdf", "Melting_Curves/meltCurve_Q9NNW5_WDR6.pdf")</f>
        <v>Melting_Curves/meltCurve_Q9NNW5_WDR6.pdf</v>
      </c>
    </row>
    <row r="5475" spans="1:28" x14ac:dyDescent="0.25">
      <c r="A5475" t="s">
        <v>5479</v>
      </c>
      <c r="B5475">
        <v>0.99987803227770999</v>
      </c>
      <c r="C5475">
        <v>0.90397510673232495</v>
      </c>
      <c r="D5475">
        <v>1.00099494928729</v>
      </c>
      <c r="E5475">
        <v>0.89586086374846896</v>
      </c>
      <c r="F5475">
        <v>1.0130370559250199</v>
      </c>
      <c r="G5475">
        <v>0.79947941991094795</v>
      </c>
      <c r="H5475">
        <v>0.873082904542542</v>
      </c>
      <c r="I5475">
        <v>0.79919641792208995</v>
      </c>
      <c r="J5475">
        <v>0.85173533763204301</v>
      </c>
      <c r="K5475">
        <v>0.69374840691247497</v>
      </c>
      <c r="L5475">
        <v>294.04903543889998</v>
      </c>
      <c r="M5475">
        <v>3.1258800267128501</v>
      </c>
      <c r="Q5475">
        <v>0</v>
      </c>
      <c r="R5475">
        <v>0.64733697603054097</v>
      </c>
      <c r="S5475" t="s">
        <v>11786</v>
      </c>
      <c r="T5475" t="s">
        <v>12620</v>
      </c>
      <c r="U5475" t="s">
        <v>12620</v>
      </c>
      <c r="V5475" t="s">
        <v>12620</v>
      </c>
      <c r="W5475" t="s">
        <v>18036</v>
      </c>
      <c r="X5475">
        <v>23</v>
      </c>
      <c r="Y5475" t="s">
        <v>24132</v>
      </c>
      <c r="Z5475" t="s">
        <v>30422</v>
      </c>
      <c r="AA5475">
        <v>0.88939796458129505</v>
      </c>
      <c r="AB5475" t="str">
        <f>HYPERLINK("Melting_Curves/meltCurve_Q9NNX1_2_TUFT1.pdf", "Melting_Curves/meltCurve_Q9NNX1_2_TUFT1.pdf")</f>
        <v>Melting_Curves/meltCurve_Q9NNX1_2_TUFT1.pdf</v>
      </c>
    </row>
    <row r="5476" spans="1:28" x14ac:dyDescent="0.25">
      <c r="A5476" t="s">
        <v>5480</v>
      </c>
      <c r="B5476">
        <v>0.99987803227770999</v>
      </c>
      <c r="C5476">
        <v>0.87293845191197805</v>
      </c>
      <c r="D5476">
        <v>1.07072225289606</v>
      </c>
      <c r="E5476">
        <v>0.90684218383933402</v>
      </c>
      <c r="F5476">
        <v>0.97646481140090702</v>
      </c>
      <c r="G5476">
        <v>0.49079572585764603</v>
      </c>
      <c r="H5476">
        <v>0.29670527052525197</v>
      </c>
      <c r="I5476">
        <v>0.27939409839046397</v>
      </c>
      <c r="J5476">
        <v>0.24528559256890001</v>
      </c>
      <c r="K5476">
        <v>0.21631905640753801</v>
      </c>
      <c r="L5476">
        <v>2643.7270001536199</v>
      </c>
      <c r="M5476">
        <v>47.1033234545894</v>
      </c>
      <c r="N5476">
        <v>56.981460623003301</v>
      </c>
      <c r="O5476">
        <v>56.025217092867798</v>
      </c>
      <c r="P5476">
        <v>-0.15691576857626399</v>
      </c>
      <c r="Q5476">
        <v>0.25345103851930201</v>
      </c>
      <c r="R5476">
        <v>0.97190409152430501</v>
      </c>
      <c r="S5476" t="s">
        <v>11787</v>
      </c>
      <c r="T5476" t="s">
        <v>12620</v>
      </c>
      <c r="U5476" t="s">
        <v>12620</v>
      </c>
      <c r="V5476" t="s">
        <v>12620</v>
      </c>
      <c r="W5476" t="s">
        <v>18037</v>
      </c>
      <c r="X5476">
        <v>17</v>
      </c>
      <c r="Y5476" t="s">
        <v>19470</v>
      </c>
      <c r="Z5476" t="s">
        <v>30423</v>
      </c>
      <c r="AA5476">
        <v>0.65682885872721297</v>
      </c>
      <c r="AB5476" t="str">
        <f>HYPERLINK("Melting_Curves/meltCurve_Q9NP61_ARFGAP3.pdf", "Melting_Curves/meltCurve_Q9NP61_ARFGAP3.pdf")</f>
        <v>Melting_Curves/meltCurve_Q9NP61_ARFGAP3.pdf</v>
      </c>
    </row>
    <row r="5477" spans="1:28" x14ac:dyDescent="0.25">
      <c r="A5477" t="s">
        <v>5481</v>
      </c>
      <c r="B5477">
        <v>0.99987803227770999</v>
      </c>
      <c r="C5477">
        <v>0.97384692351475399</v>
      </c>
      <c r="D5477">
        <v>0.85287509960588803</v>
      </c>
      <c r="E5477">
        <v>0.81157935063058395</v>
      </c>
      <c r="F5477">
        <v>0.77698940278905004</v>
      </c>
      <c r="G5477">
        <v>0.52270806960968297</v>
      </c>
      <c r="H5477">
        <v>0.43620519975161398</v>
      </c>
      <c r="I5477">
        <v>0.368105260617829</v>
      </c>
      <c r="J5477">
        <v>0.389680282624909</v>
      </c>
      <c r="K5477">
        <v>0.31274406913554298</v>
      </c>
      <c r="L5477">
        <v>576.58156729146799</v>
      </c>
      <c r="M5477">
        <v>10.432886701248799</v>
      </c>
      <c r="N5477">
        <v>59.051380572596997</v>
      </c>
      <c r="O5477">
        <v>53.351020159538002</v>
      </c>
      <c r="P5477">
        <v>-3.6982212480723899E-2</v>
      </c>
      <c r="Q5477">
        <v>0.243843713745205</v>
      </c>
      <c r="R5477">
        <v>0.97840077860775898</v>
      </c>
      <c r="S5477" t="s">
        <v>11788</v>
      </c>
      <c r="T5477" t="s">
        <v>12620</v>
      </c>
      <c r="U5477" t="s">
        <v>12620</v>
      </c>
      <c r="V5477" t="s">
        <v>12620</v>
      </c>
      <c r="W5477" t="s">
        <v>18038</v>
      </c>
      <c r="X5477">
        <v>4</v>
      </c>
      <c r="Y5477" t="s">
        <v>24133</v>
      </c>
      <c r="Z5477" t="s">
        <v>30424</v>
      </c>
      <c r="AA5477">
        <v>0.64699732697488577</v>
      </c>
      <c r="AB5477" t="str">
        <f>HYPERLINK("Melting_Curves/meltCurve_Q9NP66_HMG20A.pdf", "Melting_Curves/meltCurve_Q9NP66_HMG20A.pdf")</f>
        <v>Melting_Curves/meltCurve_Q9NP66_HMG20A.pdf</v>
      </c>
    </row>
    <row r="5478" spans="1:28" x14ac:dyDescent="0.25">
      <c r="A5478" t="s">
        <v>5482</v>
      </c>
      <c r="B5478">
        <v>0.99987803227770999</v>
      </c>
      <c r="C5478">
        <v>1.0162942730239799</v>
      </c>
      <c r="D5478">
        <v>1.02389359224592</v>
      </c>
      <c r="E5478">
        <v>1.00145752059222</v>
      </c>
      <c r="F5478">
        <v>0.89409208367473603</v>
      </c>
      <c r="G5478">
        <v>0.63195761882506196</v>
      </c>
      <c r="H5478">
        <v>0.324346824257704</v>
      </c>
      <c r="I5478">
        <v>0.20836749742528399</v>
      </c>
      <c r="J5478">
        <v>0.100061585703536</v>
      </c>
      <c r="K5478">
        <v>6.9226801144706099E-2</v>
      </c>
      <c r="L5478">
        <v>1193.90496756685</v>
      </c>
      <c r="M5478">
        <v>20.433561425035801</v>
      </c>
      <c r="N5478">
        <v>58.698305985375903</v>
      </c>
      <c r="O5478">
        <v>57.8776502730788</v>
      </c>
      <c r="P5478">
        <v>-8.4310161633584596E-2</v>
      </c>
      <c r="Q5478">
        <v>4.4801240704225802E-2</v>
      </c>
      <c r="R5478">
        <v>0.99806086009481598</v>
      </c>
      <c r="S5478" t="s">
        <v>11789</v>
      </c>
      <c r="T5478" t="s">
        <v>12620</v>
      </c>
      <c r="U5478" t="s">
        <v>12620</v>
      </c>
      <c r="V5478" t="s">
        <v>12620</v>
      </c>
      <c r="W5478" t="s">
        <v>18039</v>
      </c>
      <c r="X5478">
        <v>7</v>
      </c>
      <c r="Y5478" t="s">
        <v>24134</v>
      </c>
      <c r="Z5478" t="s">
        <v>30425</v>
      </c>
      <c r="AA5478">
        <v>0.64173088408178003</v>
      </c>
      <c r="AB5478" t="str">
        <f>HYPERLINK("Melting_Curves/meltCurve_Q9NP72_RAB18.pdf", "Melting_Curves/meltCurve_Q9NP72_RAB18.pdf")</f>
        <v>Melting_Curves/meltCurve_Q9NP72_RAB18.pdf</v>
      </c>
    </row>
    <row r="5479" spans="1:28" x14ac:dyDescent="0.25">
      <c r="A5479" t="s">
        <v>5483</v>
      </c>
      <c r="B5479">
        <v>0.99987803227770999</v>
      </c>
      <c r="C5479">
        <v>0.87819991962208299</v>
      </c>
      <c r="D5479">
        <v>1.03679272582725</v>
      </c>
      <c r="E5479">
        <v>0.79585712818138299</v>
      </c>
      <c r="F5479">
        <v>0.91880663249641004</v>
      </c>
      <c r="G5479">
        <v>0.58157024121209899</v>
      </c>
      <c r="H5479">
        <v>0.304407081764549</v>
      </c>
      <c r="I5479">
        <v>0.28857518046776598</v>
      </c>
      <c r="J5479">
        <v>0.175267936837916</v>
      </c>
      <c r="K5479">
        <v>0.134117628639426</v>
      </c>
      <c r="L5479">
        <v>915.23750321630405</v>
      </c>
      <c r="M5479">
        <v>15.8661602779944</v>
      </c>
      <c r="N5479">
        <v>58.383030170583901</v>
      </c>
      <c r="O5479">
        <v>56.7918372984158</v>
      </c>
      <c r="P5479">
        <v>-6.3813572529160298E-2</v>
      </c>
      <c r="Q5479">
        <v>8.6408759100726498E-2</v>
      </c>
      <c r="R5479">
        <v>0.95779901290734903</v>
      </c>
      <c r="S5479" t="s">
        <v>11790</v>
      </c>
      <c r="T5479" t="s">
        <v>12620</v>
      </c>
      <c r="U5479" t="s">
        <v>12620</v>
      </c>
      <c r="V5479" t="s">
        <v>12620</v>
      </c>
      <c r="W5479" t="s">
        <v>18040</v>
      </c>
      <c r="X5479">
        <v>4</v>
      </c>
      <c r="Y5479" t="s">
        <v>24135</v>
      </c>
      <c r="Z5479" t="s">
        <v>30426</v>
      </c>
      <c r="AA5479">
        <v>0.63768800991879082</v>
      </c>
      <c r="AB5479" t="str">
        <f>HYPERLINK("Melting_Curves/meltCurve_Q9NP73_2_ALG13.pdf", "Melting_Curves/meltCurve_Q9NP73_2_ALG13.pdf")</f>
        <v>Melting_Curves/meltCurve_Q9NP73_2_ALG13.pdf</v>
      </c>
    </row>
    <row r="5480" spans="1:28" x14ac:dyDescent="0.25">
      <c r="A5480" t="s">
        <v>5484</v>
      </c>
      <c r="B5480">
        <v>0.99987803227770999</v>
      </c>
      <c r="C5480">
        <v>0.87360787459854605</v>
      </c>
      <c r="D5480">
        <v>0.99990572987899096</v>
      </c>
      <c r="E5480">
        <v>0.88418408658606096</v>
      </c>
      <c r="F5480">
        <v>1.10899123431237</v>
      </c>
      <c r="G5480">
        <v>0.95080118609098496</v>
      </c>
      <c r="H5480">
        <v>0.96033552945157896</v>
      </c>
      <c r="I5480">
        <v>0.83449037748817401</v>
      </c>
      <c r="J5480">
        <v>1.03551070910382</v>
      </c>
      <c r="K5480">
        <v>0.81126706853880504</v>
      </c>
      <c r="L5480">
        <v>504.06133266650397</v>
      </c>
      <c r="M5480">
        <v>5.3195913426050199</v>
      </c>
      <c r="Q5480">
        <v>0</v>
      </c>
      <c r="R5480">
        <v>8.8946171548603598E-2</v>
      </c>
      <c r="S5480" t="s">
        <v>11791</v>
      </c>
      <c r="T5480" t="s">
        <v>12620</v>
      </c>
      <c r="U5480" t="s">
        <v>12620</v>
      </c>
      <c r="V5480" t="s">
        <v>12620</v>
      </c>
      <c r="W5480" t="s">
        <v>18041</v>
      </c>
      <c r="X5480">
        <v>9</v>
      </c>
      <c r="Y5480" t="s">
        <v>24136</v>
      </c>
      <c r="Z5480" t="s">
        <v>30427</v>
      </c>
      <c r="AA5480">
        <v>0.96362770549754873</v>
      </c>
      <c r="AB5480" t="str">
        <f>HYPERLINK("Melting_Curves/meltCurve_Q9NP74_PALMD.pdf", "Melting_Curves/meltCurve_Q9NP74_PALMD.pdf")</f>
        <v>Melting_Curves/meltCurve_Q9NP74_PALMD.pdf</v>
      </c>
    </row>
    <row r="5481" spans="1:28" x14ac:dyDescent="0.25">
      <c r="A5481" t="s">
        <v>5485</v>
      </c>
      <c r="B5481">
        <v>0.99987803227770999</v>
      </c>
      <c r="C5481">
        <v>0.92794310820094195</v>
      </c>
      <c r="D5481">
        <v>1.02736869828489</v>
      </c>
      <c r="E5481">
        <v>0.63040502793599795</v>
      </c>
      <c r="F5481">
        <v>0.27828874964648298</v>
      </c>
      <c r="G5481">
        <v>0.152007187162819</v>
      </c>
      <c r="H5481">
        <v>0.115677699728267</v>
      </c>
      <c r="I5481">
        <v>0.102137035435745</v>
      </c>
      <c r="J5481">
        <v>8.3728245111107394E-2</v>
      </c>
      <c r="K5481">
        <v>6.2829301726701994E-2</v>
      </c>
      <c r="L5481">
        <v>1634.228148447</v>
      </c>
      <c r="M5481">
        <v>32.249927181038402</v>
      </c>
      <c r="N5481">
        <v>51.015516689971001</v>
      </c>
      <c r="O5481">
        <v>50.480220591179297</v>
      </c>
      <c r="P5481">
        <v>-0.144203944466582</v>
      </c>
      <c r="Q5481">
        <v>9.7125478659752407E-2</v>
      </c>
      <c r="R5481">
        <v>0.99267019112019095</v>
      </c>
      <c r="S5481" t="s">
        <v>11792</v>
      </c>
      <c r="T5481" t="s">
        <v>12620</v>
      </c>
      <c r="U5481" t="s">
        <v>12620</v>
      </c>
      <c r="V5481" t="s">
        <v>12620</v>
      </c>
      <c r="W5481" t="s">
        <v>18042</v>
      </c>
      <c r="X5481">
        <v>8</v>
      </c>
      <c r="Y5481" t="s">
        <v>24137</v>
      </c>
      <c r="Z5481" t="s">
        <v>30428</v>
      </c>
      <c r="AA5481">
        <v>0.42324572482686301</v>
      </c>
      <c r="AB5481" t="str">
        <f>HYPERLINK("Melting_Curves/meltCurve_Q9NP77_SSU72.pdf", "Melting_Curves/meltCurve_Q9NP77_SSU72.pdf")</f>
        <v>Melting_Curves/meltCurve_Q9NP77_SSU72.pdf</v>
      </c>
    </row>
    <row r="5482" spans="1:28" x14ac:dyDescent="0.25">
      <c r="A5482" t="s">
        <v>5486</v>
      </c>
      <c r="B5482">
        <v>0.99987803227770999</v>
      </c>
      <c r="C5482">
        <v>1.00243595593972</v>
      </c>
      <c r="D5482">
        <v>1.0171812044086901</v>
      </c>
      <c r="E5482">
        <v>0.91602482638432903</v>
      </c>
      <c r="F5482">
        <v>0.50449210629373897</v>
      </c>
      <c r="G5482">
        <v>0.20059300735771299</v>
      </c>
      <c r="H5482">
        <v>0.15343076369244699</v>
      </c>
      <c r="I5482">
        <v>0.13216150237543001</v>
      </c>
      <c r="J5482">
        <v>0.110756667997175</v>
      </c>
      <c r="K5482">
        <v>7.8110442596522195E-2</v>
      </c>
      <c r="L5482">
        <v>1955.34281873228</v>
      </c>
      <c r="M5482">
        <v>37.082745231382503</v>
      </c>
      <c r="N5482">
        <v>53.128858623004398</v>
      </c>
      <c r="O5482">
        <v>52.576524979946299</v>
      </c>
      <c r="P5482">
        <v>-0.15486582516195299</v>
      </c>
      <c r="Q5482">
        <v>0.12171694016667201</v>
      </c>
      <c r="R5482">
        <v>0.99717427817194604</v>
      </c>
      <c r="S5482" t="s">
        <v>11793</v>
      </c>
      <c r="T5482" t="s">
        <v>12620</v>
      </c>
      <c r="U5482" t="s">
        <v>12620</v>
      </c>
      <c r="V5482" t="s">
        <v>12620</v>
      </c>
      <c r="W5482" t="s">
        <v>18043</v>
      </c>
      <c r="X5482">
        <v>10</v>
      </c>
      <c r="Y5482" t="s">
        <v>24138</v>
      </c>
      <c r="Z5482" t="s">
        <v>30429</v>
      </c>
      <c r="AA5482">
        <v>0.49810067033338878</v>
      </c>
      <c r="AB5482" t="str">
        <f>HYPERLINK("Melting_Curves/meltCurve_Q9NP79_VTA1.pdf", "Melting_Curves/meltCurve_Q9NP79_VTA1.pdf")</f>
        <v>Melting_Curves/meltCurve_Q9NP79_VTA1.pdf</v>
      </c>
    </row>
    <row r="5483" spans="1:28" x14ac:dyDescent="0.25">
      <c r="A5483" t="s">
        <v>5487</v>
      </c>
      <c r="B5483">
        <v>0.99987803227770999</v>
      </c>
      <c r="C5483">
        <v>0.95949892324378505</v>
      </c>
      <c r="D5483">
        <v>1.0446909290663</v>
      </c>
      <c r="E5483">
        <v>1.3135564657859</v>
      </c>
      <c r="F5483">
        <v>1.59992609141692</v>
      </c>
      <c r="G5483">
        <v>1.47706625549594</v>
      </c>
      <c r="H5483">
        <v>1.4650077591671899</v>
      </c>
      <c r="I5483">
        <v>1.46155844451256</v>
      </c>
      <c r="J5483">
        <v>1.13582027179017</v>
      </c>
      <c r="K5483">
        <v>0.843116288956411</v>
      </c>
      <c r="L5483">
        <v>3503.58186295122</v>
      </c>
      <c r="M5483">
        <v>74.293350473439503</v>
      </c>
      <c r="O5483">
        <v>47.124619469362301</v>
      </c>
      <c r="P5483">
        <v>0.12956034306838199</v>
      </c>
      <c r="Q5483">
        <v>1.3287228672468401</v>
      </c>
      <c r="R5483">
        <v>0.35736290103733398</v>
      </c>
      <c r="S5483" t="s">
        <v>11794</v>
      </c>
      <c r="T5483" t="s">
        <v>12620</v>
      </c>
      <c r="U5483" t="s">
        <v>12620</v>
      </c>
      <c r="V5483" t="s">
        <v>12620</v>
      </c>
      <c r="W5483" t="s">
        <v>18044</v>
      </c>
      <c r="X5483">
        <v>4</v>
      </c>
      <c r="Y5483" t="s">
        <v>24139</v>
      </c>
      <c r="Z5483" t="s">
        <v>30430</v>
      </c>
      <c r="AA5483">
        <v>1.2499725427878541</v>
      </c>
      <c r="AB5483" t="str">
        <f>HYPERLINK("Melting_Curves/meltCurve_Q9NP97_DYNLRB1.pdf", "Melting_Curves/meltCurve_Q9NP97_DYNLRB1.pdf")</f>
        <v>Melting_Curves/meltCurve_Q9NP97_DYNLRB1.pdf</v>
      </c>
    </row>
    <row r="5484" spans="1:28" x14ac:dyDescent="0.25">
      <c r="A5484" t="s">
        <v>5488</v>
      </c>
      <c r="B5484">
        <v>0.99987803227770999</v>
      </c>
      <c r="C5484">
        <v>0.81952473617976496</v>
      </c>
      <c r="D5484">
        <v>0.70262817482109796</v>
      </c>
      <c r="E5484">
        <v>0.40343771002558798</v>
      </c>
      <c r="F5484">
        <v>0.26942382438041501</v>
      </c>
      <c r="G5484">
        <v>0.19348601619286199</v>
      </c>
      <c r="H5484">
        <v>0.12221175865377699</v>
      </c>
      <c r="I5484">
        <v>0.102925235030828</v>
      </c>
      <c r="J5484">
        <v>8.9396021877575699E-2</v>
      </c>
      <c r="K5484">
        <v>8.5612811737543107E-2</v>
      </c>
      <c r="L5484">
        <v>683.72203775579203</v>
      </c>
      <c r="M5484">
        <v>14.222390536097</v>
      </c>
      <c r="N5484">
        <v>48.666953342485201</v>
      </c>
      <c r="O5484">
        <v>47.1531723743566</v>
      </c>
      <c r="P5484">
        <v>-6.9411790751292293E-2</v>
      </c>
      <c r="Q5484">
        <v>7.9598056331267902E-2</v>
      </c>
      <c r="R5484">
        <v>0.99492636208020802</v>
      </c>
      <c r="S5484" t="s">
        <v>11795</v>
      </c>
      <c r="T5484" t="s">
        <v>12620</v>
      </c>
      <c r="U5484" t="s">
        <v>12620</v>
      </c>
      <c r="V5484" t="s">
        <v>12620</v>
      </c>
      <c r="W5484" t="s">
        <v>18045</v>
      </c>
      <c r="X5484">
        <v>3</v>
      </c>
      <c r="Y5484" t="s">
        <v>24140</v>
      </c>
      <c r="Z5484" t="s">
        <v>30431</v>
      </c>
      <c r="AA5484">
        <v>0.35348469344616962</v>
      </c>
      <c r="AB5484" t="str">
        <f>HYPERLINK("Melting_Curves/meltCurve_Q9NPA3_MID1IP1.pdf", "Melting_Curves/meltCurve_Q9NPA3_MID1IP1.pdf")</f>
        <v>Melting_Curves/meltCurve_Q9NPA3_MID1IP1.pdf</v>
      </c>
    </row>
    <row r="5485" spans="1:28" x14ac:dyDescent="0.25">
      <c r="A5485" t="s">
        <v>5489</v>
      </c>
      <c r="B5485">
        <v>0.99987803227770999</v>
      </c>
      <c r="C5485">
        <v>0.96004102286083903</v>
      </c>
      <c r="D5485">
        <v>0.97316646808851204</v>
      </c>
      <c r="E5485">
        <v>0.80666746760743602</v>
      </c>
      <c r="F5485">
        <v>0.87125743300102199</v>
      </c>
      <c r="G5485">
        <v>0.593034574160899</v>
      </c>
      <c r="H5485">
        <v>0.60616292844193398</v>
      </c>
      <c r="I5485">
        <v>0.60194371362049703</v>
      </c>
      <c r="J5485">
        <v>0.570345737155877</v>
      </c>
      <c r="K5485">
        <v>0.47728369838072099</v>
      </c>
      <c r="L5485">
        <v>641.75981758390299</v>
      </c>
      <c r="M5485">
        <v>11.819900107326999</v>
      </c>
      <c r="O5485">
        <v>52.810682463826701</v>
      </c>
      <c r="P5485">
        <v>-2.85902875309734E-2</v>
      </c>
      <c r="Q5485">
        <v>0.48917104374107601</v>
      </c>
      <c r="R5485">
        <v>0.931058094888223</v>
      </c>
      <c r="S5485" t="s">
        <v>11796</v>
      </c>
      <c r="T5485" t="s">
        <v>12620</v>
      </c>
      <c r="U5485" t="s">
        <v>12620</v>
      </c>
      <c r="V5485" t="s">
        <v>12620</v>
      </c>
      <c r="W5485" t="s">
        <v>18046</v>
      </c>
      <c r="X5485">
        <v>1</v>
      </c>
      <c r="Y5485" t="s">
        <v>24141</v>
      </c>
      <c r="Z5485" t="s">
        <v>30432</v>
      </c>
      <c r="AA5485">
        <v>0.7457046395923832</v>
      </c>
      <c r="AB5485" t="str">
        <f>HYPERLINK("Melting_Curves/meltCurve_Q9NPA5_2_ZFP64.pdf", "Melting_Curves/meltCurve_Q9NPA5_2_ZFP64.pdf")</f>
        <v>Melting_Curves/meltCurve_Q9NPA5_2_ZFP64.pdf</v>
      </c>
    </row>
    <row r="5486" spans="1:28" x14ac:dyDescent="0.25">
      <c r="A5486" t="s">
        <v>5490</v>
      </c>
      <c r="B5486">
        <v>0.99987803227770999</v>
      </c>
      <c r="C5486">
        <v>0.88276491730571705</v>
      </c>
      <c r="D5486">
        <v>1.0249604180905301</v>
      </c>
      <c r="E5486">
        <v>0.94635718833515803</v>
      </c>
      <c r="F5486">
        <v>1.0410209141520801</v>
      </c>
      <c r="G5486">
        <v>0.76529413632030696</v>
      </c>
      <c r="H5486">
        <v>0.79456091937199702</v>
      </c>
      <c r="I5486">
        <v>0.78741735134696</v>
      </c>
      <c r="J5486">
        <v>0.70998037523978297</v>
      </c>
      <c r="K5486">
        <v>0.53010157681741499</v>
      </c>
      <c r="L5486">
        <v>515.69495641999197</v>
      </c>
      <c r="M5486">
        <v>7.0332986696739797</v>
      </c>
      <c r="O5486">
        <v>68.085549761782602</v>
      </c>
      <c r="P5486">
        <v>-2.5872278157887299E-2</v>
      </c>
      <c r="Q5486">
        <v>0</v>
      </c>
      <c r="R5486">
        <v>0.80217917884864298</v>
      </c>
      <c r="S5486" t="s">
        <v>11797</v>
      </c>
      <c r="T5486" t="s">
        <v>12620</v>
      </c>
      <c r="U5486" t="s">
        <v>12620</v>
      </c>
      <c r="V5486" t="s">
        <v>12620</v>
      </c>
      <c r="W5486" t="s">
        <v>18047</v>
      </c>
      <c r="X5486">
        <v>8</v>
      </c>
      <c r="Y5486" t="s">
        <v>24142</v>
      </c>
      <c r="Z5486" t="s">
        <v>30433</v>
      </c>
      <c r="AA5486">
        <v>0.86702991603134449</v>
      </c>
      <c r="AB5486" t="str">
        <f>HYPERLINK("Melting_Curves/meltCurve_Q9NPA8_2_ENY2.pdf", "Melting_Curves/meltCurve_Q9NPA8_2_ENY2.pdf")</f>
        <v>Melting_Curves/meltCurve_Q9NPA8_2_ENY2.pdf</v>
      </c>
    </row>
    <row r="5487" spans="1:28" x14ac:dyDescent="0.25">
      <c r="A5487" t="s">
        <v>5491</v>
      </c>
      <c r="B5487">
        <v>0.99987803227770999</v>
      </c>
      <c r="C5487">
        <v>0.99351586683208504</v>
      </c>
      <c r="D5487">
        <v>0.56145371481052098</v>
      </c>
      <c r="E5487">
        <v>0.301717204583484</v>
      </c>
      <c r="F5487">
        <v>0.13243723725302001</v>
      </c>
      <c r="G5487">
        <v>0.10119330964423599</v>
      </c>
      <c r="H5487">
        <v>6.1275289953499998E-2</v>
      </c>
      <c r="I5487">
        <v>5.8906450691049002E-2</v>
      </c>
      <c r="J5487">
        <v>3.6130339745125098E-2</v>
      </c>
      <c r="K5487">
        <v>3.9961834856225599E-2</v>
      </c>
      <c r="L5487">
        <v>1038.4417599896999</v>
      </c>
      <c r="M5487">
        <v>22.102360845888899</v>
      </c>
      <c r="N5487">
        <v>47.2466428786582</v>
      </c>
      <c r="O5487">
        <v>46.603761148427502</v>
      </c>
      <c r="P5487">
        <v>-0.11169635280741</v>
      </c>
      <c r="Q5487">
        <v>5.7954739769512202E-2</v>
      </c>
      <c r="R5487">
        <v>0.98578718773530905</v>
      </c>
      <c r="S5487" t="s">
        <v>11798</v>
      </c>
      <c r="T5487" t="s">
        <v>12620</v>
      </c>
      <c r="U5487" t="s">
        <v>12620</v>
      </c>
      <c r="V5487" t="s">
        <v>12620</v>
      </c>
      <c r="W5487" t="s">
        <v>18048</v>
      </c>
      <c r="X5487">
        <v>5</v>
      </c>
      <c r="Y5487" t="s">
        <v>24143</v>
      </c>
      <c r="Z5487" t="s">
        <v>30434</v>
      </c>
      <c r="AA5487">
        <v>0.28829636961435262</v>
      </c>
      <c r="AB5487" t="str">
        <f>HYPERLINK("Melting_Curves/meltCurve_Q9NPB8_GPCPD1.pdf", "Melting_Curves/meltCurve_Q9NPB8_GPCPD1.pdf")</f>
        <v>Melting_Curves/meltCurve_Q9NPB8_GPCPD1.pdf</v>
      </c>
    </row>
    <row r="5488" spans="1:28" x14ac:dyDescent="0.25">
      <c r="A5488" t="s">
        <v>5492</v>
      </c>
      <c r="B5488">
        <v>0.99987803227770999</v>
      </c>
      <c r="C5488">
        <v>1.1605783413739501</v>
      </c>
      <c r="D5488">
        <v>1.1195485666410501</v>
      </c>
      <c r="E5488">
        <v>1.54103764369055</v>
      </c>
      <c r="F5488">
        <v>1.2963024884154799</v>
      </c>
      <c r="G5488">
        <v>1.1440752643643499</v>
      </c>
      <c r="H5488">
        <v>0.95837818564810096</v>
      </c>
      <c r="I5488">
        <v>0.466479020231649</v>
      </c>
      <c r="J5488">
        <v>0.19845498073905199</v>
      </c>
      <c r="K5488">
        <v>0.15809095339467899</v>
      </c>
      <c r="L5488">
        <v>4505.4305409887402</v>
      </c>
      <c r="M5488">
        <v>70.966629493762895</v>
      </c>
      <c r="N5488">
        <v>63.853046304807997</v>
      </c>
      <c r="O5488">
        <v>63.436251201930702</v>
      </c>
      <c r="P5488">
        <v>-0.232896974760019</v>
      </c>
      <c r="Q5488">
        <v>0.16726451220590699</v>
      </c>
      <c r="R5488">
        <v>0.77776288073099997</v>
      </c>
      <c r="S5488" t="s">
        <v>11799</v>
      </c>
      <c r="T5488" t="s">
        <v>12620</v>
      </c>
      <c r="U5488" t="s">
        <v>12620</v>
      </c>
      <c r="V5488" t="s">
        <v>12620</v>
      </c>
      <c r="W5488" t="s">
        <v>18049</v>
      </c>
      <c r="X5488">
        <v>6</v>
      </c>
      <c r="Y5488" t="s">
        <v>24144</v>
      </c>
      <c r="Z5488" t="s">
        <v>30435</v>
      </c>
      <c r="AA5488">
        <v>0.82031433259728737</v>
      </c>
      <c r="AB5488" t="str">
        <f>HYPERLINK("Melting_Curves/meltCurve_Q9NPD3_EXOSC4.pdf", "Melting_Curves/meltCurve_Q9NPD3_EXOSC4.pdf")</f>
        <v>Melting_Curves/meltCurve_Q9NPD3_EXOSC4.pdf</v>
      </c>
    </row>
    <row r="5489" spans="1:28" x14ac:dyDescent="0.25">
      <c r="A5489" t="s">
        <v>5493</v>
      </c>
      <c r="B5489">
        <v>0.99987803227770999</v>
      </c>
      <c r="C5489">
        <v>0.55821377753825097</v>
      </c>
      <c r="D5489">
        <v>1.0049541372406701</v>
      </c>
      <c r="E5489">
        <v>0.77952584757725496</v>
      </c>
      <c r="F5489">
        <v>0.59402680714616596</v>
      </c>
      <c r="G5489">
        <v>0.18120098819855299</v>
      </c>
      <c r="H5489">
        <v>0.11696935543701401</v>
      </c>
      <c r="I5489">
        <v>8.8733405252158407E-2</v>
      </c>
      <c r="J5489">
        <v>6.4257612915024701E-2</v>
      </c>
      <c r="K5489">
        <v>4.12916523429393E-2</v>
      </c>
      <c r="L5489">
        <v>975.54311664878401</v>
      </c>
      <c r="M5489">
        <v>18.303616387410202</v>
      </c>
      <c r="N5489">
        <v>53.466710968723703</v>
      </c>
      <c r="O5489">
        <v>52.673864651583003</v>
      </c>
      <c r="P5489">
        <v>-8.4436393307562793E-2</v>
      </c>
      <c r="Q5489">
        <v>2.80859023333766E-2</v>
      </c>
      <c r="R5489">
        <v>0.85706734099732096</v>
      </c>
      <c r="S5489" t="s">
        <v>11800</v>
      </c>
      <c r="T5489" t="s">
        <v>12620</v>
      </c>
      <c r="U5489" t="s">
        <v>12620</v>
      </c>
      <c r="V5489" t="s">
        <v>12620</v>
      </c>
      <c r="W5489" t="s">
        <v>18050</v>
      </c>
      <c r="X5489">
        <v>11</v>
      </c>
      <c r="Y5489" t="s">
        <v>24145</v>
      </c>
      <c r="Z5489" t="s">
        <v>30436</v>
      </c>
      <c r="AA5489">
        <v>0.47430457313865088</v>
      </c>
      <c r="AB5489" t="str">
        <f>HYPERLINK("Melting_Curves/meltCurve_Q9NPD8_UBE2T.pdf", "Melting_Curves/meltCurve_Q9NPD8_UBE2T.pdf")</f>
        <v>Melting_Curves/meltCurve_Q9NPD8_UBE2T.pdf</v>
      </c>
    </row>
    <row r="5490" spans="1:28" x14ac:dyDescent="0.25">
      <c r="A5490" t="s">
        <v>5494</v>
      </c>
      <c r="B5490">
        <v>0.99987803227770999</v>
      </c>
      <c r="C5490">
        <v>0.97862359000834598</v>
      </c>
      <c r="D5490">
        <v>0.90077846299990805</v>
      </c>
      <c r="E5490">
        <v>1.16612421895065</v>
      </c>
      <c r="F5490">
        <v>0.98952490205404298</v>
      </c>
      <c r="G5490">
        <v>0.82154116110762498</v>
      </c>
      <c r="H5490">
        <v>0.89073682678167998</v>
      </c>
      <c r="I5490">
        <v>0.50016619063840095</v>
      </c>
      <c r="J5490">
        <v>0.57557084467793995</v>
      </c>
      <c r="K5490">
        <v>0.25294314260110901</v>
      </c>
      <c r="L5490">
        <v>1001.88021390008</v>
      </c>
      <c r="M5490">
        <v>15.1276634742784</v>
      </c>
      <c r="N5490">
        <v>66.228336210067994</v>
      </c>
      <c r="O5490">
        <v>65.103377482646295</v>
      </c>
      <c r="P5490">
        <v>-5.8096609243679598E-2</v>
      </c>
      <c r="Q5490">
        <v>0</v>
      </c>
      <c r="R5490">
        <v>0.86454357684222505</v>
      </c>
      <c r="S5490" t="s">
        <v>11801</v>
      </c>
      <c r="T5490" t="s">
        <v>12620</v>
      </c>
      <c r="U5490" t="s">
        <v>12620</v>
      </c>
      <c r="V5490" t="s">
        <v>12620</v>
      </c>
      <c r="W5490" t="s">
        <v>18051</v>
      </c>
      <c r="X5490">
        <v>2</v>
      </c>
      <c r="Y5490" t="s">
        <v>24146</v>
      </c>
      <c r="Z5490" t="s">
        <v>30437</v>
      </c>
      <c r="AA5490">
        <v>0.83643655220365831</v>
      </c>
      <c r="AB5490" t="str">
        <f>HYPERLINK("Melting_Curves/meltCurve_Q9NPE3_NOP10.pdf", "Melting_Curves/meltCurve_Q9NPE3_NOP10.pdf")</f>
        <v>Melting_Curves/meltCurve_Q9NPE3_NOP10.pdf</v>
      </c>
    </row>
    <row r="5491" spans="1:28" x14ac:dyDescent="0.25">
      <c r="A5491" t="s">
        <v>5495</v>
      </c>
      <c r="B5491">
        <v>0.99987803227770999</v>
      </c>
      <c r="C5491">
        <v>1.0285613148552899</v>
      </c>
      <c r="D5491">
        <v>1.03707503557366</v>
      </c>
      <c r="E5491">
        <v>1.0226799876893999</v>
      </c>
      <c r="F5491">
        <v>0.87504903755908103</v>
      </c>
      <c r="G5491">
        <v>0.737173848608633</v>
      </c>
      <c r="H5491">
        <v>0.73029507161948704</v>
      </c>
      <c r="I5491">
        <v>0.73636495677335501</v>
      </c>
      <c r="J5491">
        <v>0.582540812803929</v>
      </c>
      <c r="K5491">
        <v>0.47619076053539899</v>
      </c>
      <c r="L5491">
        <v>530.09779341770002</v>
      </c>
      <c r="M5491">
        <v>7.8739821086335997</v>
      </c>
      <c r="O5491">
        <v>63.395200729069302</v>
      </c>
      <c r="P5491">
        <v>-2.6754092468055601E-2</v>
      </c>
      <c r="Q5491">
        <v>0.13941982902507499</v>
      </c>
      <c r="R5491">
        <v>0.92220201163518001</v>
      </c>
      <c r="S5491" t="s">
        <v>11802</v>
      </c>
      <c r="T5491" t="s">
        <v>12620</v>
      </c>
      <c r="U5491" t="s">
        <v>12620</v>
      </c>
      <c r="V5491" t="s">
        <v>12620</v>
      </c>
      <c r="W5491" t="s">
        <v>18052</v>
      </c>
      <c r="X5491">
        <v>2</v>
      </c>
      <c r="Y5491" t="s">
        <v>24147</v>
      </c>
      <c r="Z5491" t="s">
        <v>30438</v>
      </c>
      <c r="AA5491">
        <v>0.82596458528143113</v>
      </c>
      <c r="AB5491" t="str">
        <f>HYPERLINK("Melting_Curves/meltCurve_Q9NPF0_CD320.pdf", "Melting_Curves/meltCurve_Q9NPF0_CD320.pdf")</f>
        <v>Melting_Curves/meltCurve_Q9NPF0_CD320.pdf</v>
      </c>
    </row>
    <row r="5492" spans="1:28" x14ac:dyDescent="0.25">
      <c r="A5492" t="s">
        <v>5496</v>
      </c>
      <c r="B5492">
        <v>0.99987803227770999</v>
      </c>
      <c r="C5492">
        <v>1.0506579496106401</v>
      </c>
      <c r="D5492">
        <v>0.99573349812647405</v>
      </c>
      <c r="E5492">
        <v>0.87532166578703297</v>
      </c>
      <c r="F5492">
        <v>0.62931808458692695</v>
      </c>
      <c r="G5492">
        <v>0.35572761412116299</v>
      </c>
      <c r="H5492">
        <v>0.150092672346162</v>
      </c>
      <c r="I5492">
        <v>9.8358211704965795E-2</v>
      </c>
      <c r="J5492">
        <v>6.2359629435802297E-2</v>
      </c>
      <c r="K5492">
        <v>3.7957747681652401E-2</v>
      </c>
      <c r="L5492">
        <v>1039.27061161195</v>
      </c>
      <c r="M5492">
        <v>19.007873848628201</v>
      </c>
      <c r="N5492">
        <v>54.877576876519498</v>
      </c>
      <c r="O5492">
        <v>54.081407998305799</v>
      </c>
      <c r="P5492">
        <v>-8.4904625201352404E-2</v>
      </c>
      <c r="Q5492">
        <v>3.3752228252627602E-2</v>
      </c>
      <c r="R5492">
        <v>0.99692173151654495</v>
      </c>
      <c r="S5492" t="s">
        <v>11803</v>
      </c>
      <c r="T5492" t="s">
        <v>12620</v>
      </c>
      <c r="U5492" t="s">
        <v>12620</v>
      </c>
      <c r="V5492" t="s">
        <v>12620</v>
      </c>
      <c r="W5492" t="s">
        <v>18053</v>
      </c>
      <c r="X5492">
        <v>13</v>
      </c>
      <c r="Y5492" t="s">
        <v>24148</v>
      </c>
      <c r="Z5492" t="s">
        <v>30439</v>
      </c>
      <c r="AA5492">
        <v>0.52043100895034722</v>
      </c>
      <c r="AB5492" t="str">
        <f>HYPERLINK("Melting_Curves/meltCurve_Q9NPF4_OSGEP.pdf", "Melting_Curves/meltCurve_Q9NPF4_OSGEP.pdf")</f>
        <v>Melting_Curves/meltCurve_Q9NPF4_OSGEP.pdf</v>
      </c>
    </row>
    <row r="5493" spans="1:28" x14ac:dyDescent="0.25">
      <c r="A5493" t="s">
        <v>5497</v>
      </c>
      <c r="B5493">
        <v>0.99987803227770999</v>
      </c>
      <c r="C5493">
        <v>0.94948086999793202</v>
      </c>
      <c r="D5493">
        <v>0.75324507784068795</v>
      </c>
      <c r="E5493">
        <v>0.54744483236385599</v>
      </c>
      <c r="F5493">
        <v>0.36342517158054699</v>
      </c>
      <c r="G5493">
        <v>0.22332384766454999</v>
      </c>
      <c r="H5493">
        <v>0.170134155084704</v>
      </c>
      <c r="I5493">
        <v>0.13488084432004299</v>
      </c>
      <c r="J5493">
        <v>9.4265161262311006E-2</v>
      </c>
      <c r="K5493">
        <v>6.8389325330602296E-2</v>
      </c>
      <c r="L5493">
        <v>683.47534901399194</v>
      </c>
      <c r="M5493">
        <v>13.652756425896399</v>
      </c>
      <c r="N5493">
        <v>50.6573357043562</v>
      </c>
      <c r="O5493">
        <v>49.023960683584299</v>
      </c>
      <c r="P5493">
        <v>-6.4466615792237406E-2</v>
      </c>
      <c r="Q5493">
        <v>7.4194981975410801E-2</v>
      </c>
      <c r="R5493">
        <v>0.995951093262047</v>
      </c>
      <c r="S5493" t="s">
        <v>11804</v>
      </c>
      <c r="T5493" t="s">
        <v>12620</v>
      </c>
      <c r="U5493" t="s">
        <v>12620</v>
      </c>
      <c r="V5493" t="s">
        <v>12620</v>
      </c>
      <c r="W5493" t="s">
        <v>18054</v>
      </c>
      <c r="X5493">
        <v>4</v>
      </c>
      <c r="Y5493" t="s">
        <v>24149</v>
      </c>
      <c r="Z5493" t="s">
        <v>30440</v>
      </c>
      <c r="AA5493">
        <v>0.41060329346249153</v>
      </c>
      <c r="AB5493" t="str">
        <f>HYPERLINK("Melting_Curves/meltCurve_Q9NPF5_DMAP1.pdf", "Melting_Curves/meltCurve_Q9NPF5_DMAP1.pdf")</f>
        <v>Melting_Curves/meltCurve_Q9NPF5_DMAP1.pdf</v>
      </c>
    </row>
    <row r="5494" spans="1:28" x14ac:dyDescent="0.25">
      <c r="A5494" t="s">
        <v>5498</v>
      </c>
      <c r="B5494">
        <v>0.99987803227770999</v>
      </c>
      <c r="C5494">
        <v>1.20146110217569</v>
      </c>
      <c r="D5494">
        <v>0.88431762725200003</v>
      </c>
      <c r="E5494">
        <v>0.98835844852045995</v>
      </c>
      <c r="F5494">
        <v>0.77987645559005303</v>
      </c>
      <c r="G5494">
        <v>0.67812518993776505</v>
      </c>
      <c r="H5494">
        <v>0.38758840843935499</v>
      </c>
      <c r="I5494">
        <v>0.31276417841266901</v>
      </c>
      <c r="J5494">
        <v>0.224443713022842</v>
      </c>
      <c r="K5494">
        <v>0.20066279895619801</v>
      </c>
      <c r="L5494">
        <v>895.51025706427197</v>
      </c>
      <c r="M5494">
        <v>15.407122285399099</v>
      </c>
      <c r="N5494">
        <v>59.320210067423503</v>
      </c>
      <c r="O5494">
        <v>57.1703683450733</v>
      </c>
      <c r="P5494">
        <v>-5.8377134057033903E-2</v>
      </c>
      <c r="Q5494">
        <v>0.13361141748292399</v>
      </c>
      <c r="R5494">
        <v>0.94729218008930005</v>
      </c>
      <c r="S5494" t="s">
        <v>11805</v>
      </c>
      <c r="T5494" t="s">
        <v>12620</v>
      </c>
      <c r="U5494" t="s">
        <v>12620</v>
      </c>
      <c r="V5494" t="s">
        <v>12620</v>
      </c>
      <c r="W5494" t="s">
        <v>18055</v>
      </c>
      <c r="X5494">
        <v>1</v>
      </c>
      <c r="Y5494" t="s">
        <v>24150</v>
      </c>
      <c r="Z5494" t="s">
        <v>30441</v>
      </c>
      <c r="AA5494">
        <v>0.66830221338154672</v>
      </c>
      <c r="AB5494" t="str">
        <f>HYPERLINK("Melting_Curves/meltCurve_Q9NPG3_2_UBN1.pdf", "Melting_Curves/meltCurve_Q9NPG3_2_UBN1.pdf")</f>
        <v>Melting_Curves/meltCurve_Q9NPG3_2_UBN1.pdf</v>
      </c>
    </row>
    <row r="5495" spans="1:28" x14ac:dyDescent="0.25">
      <c r="A5495" t="s">
        <v>5499</v>
      </c>
      <c r="B5495">
        <v>0.99987803227770999</v>
      </c>
      <c r="C5495">
        <v>1.05148277135149</v>
      </c>
      <c r="D5495">
        <v>0.97015436249981601</v>
      </c>
      <c r="E5495">
        <v>0.95888757224441801</v>
      </c>
      <c r="F5495">
        <v>1.08197885933608</v>
      </c>
      <c r="G5495">
        <v>0.68158856936419498</v>
      </c>
      <c r="H5495">
        <v>0.30597706879133701</v>
      </c>
      <c r="I5495">
        <v>0.214839554873547</v>
      </c>
      <c r="J5495">
        <v>0.124843805750513</v>
      </c>
      <c r="K5495">
        <v>8.6276074533932601E-2</v>
      </c>
      <c r="L5495">
        <v>1833.6316596141701</v>
      </c>
      <c r="M5495">
        <v>31.4143822944127</v>
      </c>
      <c r="N5495">
        <v>58.868057954319603</v>
      </c>
      <c r="O5495">
        <v>58.134180049956498</v>
      </c>
      <c r="P5495">
        <v>-0.119307036169471</v>
      </c>
      <c r="Q5495">
        <v>0.116865784506403</v>
      </c>
      <c r="R5495">
        <v>0.98514395818473199</v>
      </c>
      <c r="S5495" t="s">
        <v>11806</v>
      </c>
      <c r="T5495" t="s">
        <v>12620</v>
      </c>
      <c r="U5495" t="s">
        <v>12620</v>
      </c>
      <c r="V5495" t="s">
        <v>12620</v>
      </c>
      <c r="W5495" t="s">
        <v>18056</v>
      </c>
      <c r="X5495">
        <v>1</v>
      </c>
      <c r="Y5495" t="s">
        <v>24151</v>
      </c>
      <c r="Z5495" t="s">
        <v>30442</v>
      </c>
      <c r="AA5495">
        <v>0.66296384941694841</v>
      </c>
      <c r="AB5495" t="str">
        <f>HYPERLINK("Melting_Curves/meltCurve_Q9NPH0_ACP6.pdf", "Melting_Curves/meltCurve_Q9NPH0_ACP6.pdf")</f>
        <v>Melting_Curves/meltCurve_Q9NPH0_ACP6.pdf</v>
      </c>
    </row>
    <row r="5496" spans="1:28" x14ac:dyDescent="0.25">
      <c r="A5496" t="s">
        <v>5500</v>
      </c>
      <c r="B5496">
        <v>0.99987803227770999</v>
      </c>
      <c r="C5496">
        <v>1.01480411623539</v>
      </c>
      <c r="D5496">
        <v>1.0008072469667999</v>
      </c>
      <c r="E5496">
        <v>0.91483679163107601</v>
      </c>
      <c r="F5496">
        <v>0.70099762721602099</v>
      </c>
      <c r="G5496">
        <v>0.48203216135018301</v>
      </c>
      <c r="H5496">
        <v>0.38875752669074198</v>
      </c>
      <c r="I5496">
        <v>0.41128449814004697</v>
      </c>
      <c r="J5496">
        <v>0.220787612954218</v>
      </c>
      <c r="K5496">
        <v>0.155561848573877</v>
      </c>
      <c r="L5496">
        <v>761.84398824185496</v>
      </c>
      <c r="M5496">
        <v>13.5812544006256</v>
      </c>
      <c r="N5496">
        <v>57.769725783164702</v>
      </c>
      <c r="O5496">
        <v>54.920989823766902</v>
      </c>
      <c r="P5496">
        <v>-5.1770673050933802E-2</v>
      </c>
      <c r="Q5496">
        <v>0.162706767702578</v>
      </c>
      <c r="R5496">
        <v>0.97339441358777201</v>
      </c>
      <c r="S5496" t="s">
        <v>11807</v>
      </c>
      <c r="T5496" t="s">
        <v>12620</v>
      </c>
      <c r="U5496" t="s">
        <v>12620</v>
      </c>
      <c r="V5496" t="s">
        <v>12620</v>
      </c>
      <c r="W5496" t="s">
        <v>18057</v>
      </c>
      <c r="X5496">
        <v>4</v>
      </c>
      <c r="Y5496" t="s">
        <v>24152</v>
      </c>
      <c r="Z5496" t="s">
        <v>30443</v>
      </c>
      <c r="AA5496">
        <v>0.62773661758976351</v>
      </c>
      <c r="AB5496" t="str">
        <f>HYPERLINK("Melting_Curves/meltCurve_Q9NPI6_DCP1A.pdf", "Melting_Curves/meltCurve_Q9NPI6_DCP1A.pdf")</f>
        <v>Melting_Curves/meltCurve_Q9NPI6_DCP1A.pdf</v>
      </c>
    </row>
    <row r="5497" spans="1:28" x14ac:dyDescent="0.25">
      <c r="A5497" t="s">
        <v>5501</v>
      </c>
      <c r="B5497">
        <v>0.99987803227770999</v>
      </c>
      <c r="C5497">
        <v>1.05560266231341</v>
      </c>
      <c r="D5497">
        <v>1.1448486219992999</v>
      </c>
      <c r="E5497">
        <v>1.08558395270747</v>
      </c>
      <c r="F5497">
        <v>1.09757865103505</v>
      </c>
      <c r="G5497">
        <v>0.95511900450310305</v>
      </c>
      <c r="H5497">
        <v>0.60958670730291198</v>
      </c>
      <c r="I5497">
        <v>0.19785076395651799</v>
      </c>
      <c r="J5497">
        <v>3.8083623532561499E-2</v>
      </c>
      <c r="K5497">
        <v>2.3912545981663001E-2</v>
      </c>
      <c r="L5497">
        <v>2476.43096137984</v>
      </c>
      <c r="M5497">
        <v>40.165130044068697</v>
      </c>
      <c r="N5497">
        <v>61.684324821112298</v>
      </c>
      <c r="O5497">
        <v>61.504008044243001</v>
      </c>
      <c r="P5497">
        <v>-0.16178346093822901</v>
      </c>
      <c r="Q5497">
        <v>9.05996597778219E-3</v>
      </c>
      <c r="R5497">
        <v>0.97860904965175199</v>
      </c>
      <c r="S5497" t="s">
        <v>11808</v>
      </c>
      <c r="T5497" t="s">
        <v>12620</v>
      </c>
      <c r="U5497" t="s">
        <v>12620</v>
      </c>
      <c r="V5497" t="s">
        <v>12620</v>
      </c>
      <c r="W5497" t="s">
        <v>18058</v>
      </c>
      <c r="X5497">
        <v>3</v>
      </c>
      <c r="Y5497" t="s">
        <v>24153</v>
      </c>
      <c r="Z5497" t="s">
        <v>30444</v>
      </c>
      <c r="AA5497">
        <v>0.72800797619170643</v>
      </c>
      <c r="AB5497" t="str">
        <f>HYPERLINK("Melting_Curves/meltCurve_Q9NPJ3_ACOT13.pdf", "Melting_Curves/meltCurve_Q9NPJ3_ACOT13.pdf")</f>
        <v>Melting_Curves/meltCurve_Q9NPJ3_ACOT13.pdf</v>
      </c>
    </row>
    <row r="5498" spans="1:28" x14ac:dyDescent="0.25">
      <c r="A5498" t="s">
        <v>5502</v>
      </c>
      <c r="B5498">
        <v>0.99987803227770999</v>
      </c>
      <c r="C5498">
        <v>0.99727013304942302</v>
      </c>
      <c r="D5498">
        <v>1.04523876810572</v>
      </c>
      <c r="E5498">
        <v>1.2286310900402</v>
      </c>
      <c r="F5498">
        <v>1.35108058612852</v>
      </c>
      <c r="G5498">
        <v>0.97520480763227602</v>
      </c>
      <c r="H5498">
        <v>0.81591156853533697</v>
      </c>
      <c r="I5498">
        <v>0.66097818457433399</v>
      </c>
      <c r="J5498">
        <v>0.75213634441257204</v>
      </c>
      <c r="K5498">
        <v>0.62041230308930495</v>
      </c>
      <c r="L5498">
        <v>15000</v>
      </c>
      <c r="M5498">
        <v>246.18930168790001</v>
      </c>
      <c r="O5498">
        <v>60.924703336076199</v>
      </c>
      <c r="P5498">
        <v>-0.32545068725771498</v>
      </c>
      <c r="Q5498">
        <v>0.67784162197860598</v>
      </c>
      <c r="R5498">
        <v>0.62684364239448598</v>
      </c>
      <c r="S5498" t="s">
        <v>11809</v>
      </c>
      <c r="T5498" t="s">
        <v>12620</v>
      </c>
      <c r="U5498" t="s">
        <v>12620</v>
      </c>
      <c r="V5498" t="s">
        <v>12620</v>
      </c>
      <c r="W5498" t="s">
        <v>18059</v>
      </c>
      <c r="X5498">
        <v>9</v>
      </c>
      <c r="Y5498" t="s">
        <v>24154</v>
      </c>
      <c r="Z5498" t="s">
        <v>30445</v>
      </c>
      <c r="AA5498">
        <v>0.90262260360264979</v>
      </c>
      <c r="AB5498" t="str">
        <f>HYPERLINK("Melting_Curves/meltCurve_Q9NPJ6_MED4.pdf", "Melting_Curves/meltCurve_Q9NPJ6_MED4.pdf")</f>
        <v>Melting_Curves/meltCurve_Q9NPJ6_MED4.pdf</v>
      </c>
    </row>
    <row r="5499" spans="1:28" x14ac:dyDescent="0.25">
      <c r="A5499" t="s">
        <v>5503</v>
      </c>
      <c r="B5499">
        <v>0.99987803227770999</v>
      </c>
      <c r="C5499">
        <v>1.00403214455612</v>
      </c>
      <c r="D5499">
        <v>1.0658855972649599</v>
      </c>
      <c r="E5499">
        <v>0.70184875143353598</v>
      </c>
      <c r="F5499">
        <v>0.24209838799973801</v>
      </c>
      <c r="G5499">
        <v>0.15596910554476401</v>
      </c>
      <c r="H5499">
        <v>0.113492158844147</v>
      </c>
      <c r="I5499">
        <v>0.109246335974131</v>
      </c>
      <c r="J5499">
        <v>7.0167829119036698E-2</v>
      </c>
      <c r="K5499">
        <v>5.1725921638087001E-2</v>
      </c>
      <c r="L5499">
        <v>2128.6537452335201</v>
      </c>
      <c r="M5499">
        <v>41.830482243700999</v>
      </c>
      <c r="N5499">
        <v>51.1534245776879</v>
      </c>
      <c r="O5499">
        <v>50.771754893653402</v>
      </c>
      <c r="P5499">
        <v>-0.18585368778097699</v>
      </c>
      <c r="Q5499">
        <v>9.7682152038912104E-2</v>
      </c>
      <c r="R5499">
        <v>0.99331706901199202</v>
      </c>
      <c r="S5499" t="s">
        <v>11810</v>
      </c>
      <c r="T5499" t="s">
        <v>12620</v>
      </c>
      <c r="U5499" t="s">
        <v>12620</v>
      </c>
      <c r="V5499" t="s">
        <v>12620</v>
      </c>
      <c r="W5499" t="s">
        <v>18060</v>
      </c>
      <c r="X5499">
        <v>16</v>
      </c>
      <c r="Y5499" t="s">
        <v>24155</v>
      </c>
      <c r="Z5499" t="s">
        <v>30446</v>
      </c>
      <c r="AA5499">
        <v>0.42805225135753983</v>
      </c>
      <c r="AB5499" t="str">
        <f>HYPERLINK("Melting_Curves/meltCurve_Q9NPQ8_4_RIC8A.pdf", "Melting_Curves/meltCurve_Q9NPQ8_4_RIC8A.pdf")</f>
        <v>Melting_Curves/meltCurve_Q9NPQ8_4_RIC8A.pdf</v>
      </c>
    </row>
    <row r="5500" spans="1:28" x14ac:dyDescent="0.25">
      <c r="A5500" t="s">
        <v>5504</v>
      </c>
      <c r="B5500">
        <v>0.99987803227770999</v>
      </c>
      <c r="C5500">
        <v>0.98133520309710498</v>
      </c>
      <c r="D5500">
        <v>1.0019882036913801</v>
      </c>
      <c r="E5500">
        <v>0.960506694296832</v>
      </c>
      <c r="F5500">
        <v>0.69039618667733205</v>
      </c>
      <c r="G5500">
        <v>0.37355236966716798</v>
      </c>
      <c r="H5500">
        <v>0.27989767093999801</v>
      </c>
      <c r="I5500">
        <v>0.228102006562451</v>
      </c>
      <c r="J5500">
        <v>0.248487855452902</v>
      </c>
      <c r="K5500">
        <v>0.183754534267698</v>
      </c>
      <c r="L5500">
        <v>1521.3300914689601</v>
      </c>
      <c r="M5500">
        <v>28.179907039226201</v>
      </c>
      <c r="N5500">
        <v>55.1512745418352</v>
      </c>
      <c r="O5500">
        <v>53.716668992872101</v>
      </c>
      <c r="P5500">
        <v>-0.101736727539066</v>
      </c>
      <c r="Q5500">
        <v>0.22428241584734099</v>
      </c>
      <c r="R5500">
        <v>0.99581623491195803</v>
      </c>
      <c r="S5500" t="s">
        <v>11811</v>
      </c>
      <c r="T5500" t="s">
        <v>12620</v>
      </c>
      <c r="U5500" t="s">
        <v>12620</v>
      </c>
      <c r="V5500" t="s">
        <v>12620</v>
      </c>
      <c r="W5500" t="s">
        <v>18061</v>
      </c>
      <c r="X5500">
        <v>21</v>
      </c>
      <c r="Y5500" t="s">
        <v>24156</v>
      </c>
      <c r="Z5500" t="s">
        <v>30447</v>
      </c>
      <c r="AA5500">
        <v>0.59167401193647495</v>
      </c>
      <c r="AB5500" t="str">
        <f>HYPERLINK("Melting_Curves/meltCurve_Q9NQ29_LUC7L.pdf", "Melting_Curves/meltCurve_Q9NQ29_LUC7L.pdf")</f>
        <v>Melting_Curves/meltCurve_Q9NQ29_LUC7L.pdf</v>
      </c>
    </row>
    <row r="5501" spans="1:28" x14ac:dyDescent="0.25">
      <c r="A5501" t="s">
        <v>5505</v>
      </c>
      <c r="B5501">
        <v>0.99987803227770999</v>
      </c>
      <c r="C5501">
        <v>0.55335585792765696</v>
      </c>
      <c r="D5501">
        <v>1.1006267144127799</v>
      </c>
      <c r="E5501">
        <v>0.64681947972114695</v>
      </c>
      <c r="F5501">
        <v>0.14423821775923301</v>
      </c>
      <c r="G5501">
        <v>8.5857949485044105E-2</v>
      </c>
      <c r="H5501">
        <v>4.6474257389547302E-2</v>
      </c>
      <c r="I5501">
        <v>4.4583931265052099E-2</v>
      </c>
      <c r="J5501">
        <v>3.1839171695368401E-2</v>
      </c>
      <c r="K5501">
        <v>2.2650656562601099E-2</v>
      </c>
      <c r="L5501">
        <v>2503.2111648323398</v>
      </c>
      <c r="M5501">
        <v>49.503453673332501</v>
      </c>
      <c r="N5501">
        <v>50.666740314467098</v>
      </c>
      <c r="O5501">
        <v>50.484080899967203</v>
      </c>
      <c r="P5501">
        <v>-0.23369745656796101</v>
      </c>
      <c r="Q5501">
        <v>4.6693515051399799E-2</v>
      </c>
      <c r="R5501">
        <v>0.86827728919825098</v>
      </c>
      <c r="S5501" t="s">
        <v>11812</v>
      </c>
      <c r="T5501" t="s">
        <v>12620</v>
      </c>
      <c r="U5501" t="s">
        <v>12620</v>
      </c>
      <c r="V5501" t="s">
        <v>12620</v>
      </c>
      <c r="W5501" t="s">
        <v>18062</v>
      </c>
      <c r="X5501">
        <v>11</v>
      </c>
      <c r="Y5501" t="s">
        <v>24157</v>
      </c>
      <c r="Z5501" t="s">
        <v>30448</v>
      </c>
      <c r="AA5501">
        <v>0.38463003725224432</v>
      </c>
      <c r="AB5501" t="str">
        <f>HYPERLINK("Melting_Curves/meltCurve_Q9NQ88_TIGAR.pdf", "Melting_Curves/meltCurve_Q9NQ88_TIGAR.pdf")</f>
        <v>Melting_Curves/meltCurve_Q9NQ88_TIGAR.pdf</v>
      </c>
    </row>
    <row r="5502" spans="1:28" x14ac:dyDescent="0.25">
      <c r="A5502" t="s">
        <v>5506</v>
      </c>
      <c r="B5502">
        <v>0.99987803227770999</v>
      </c>
      <c r="C5502">
        <v>0.99169380094887505</v>
      </c>
      <c r="D5502">
        <v>0.78239129612337699</v>
      </c>
      <c r="E5502">
        <v>0.61105869905958199</v>
      </c>
      <c r="F5502">
        <v>0.527531943974204</v>
      </c>
      <c r="G5502">
        <v>0.30143804332879698</v>
      </c>
      <c r="H5502">
        <v>0.35836764281667499</v>
      </c>
      <c r="I5502">
        <v>0.34781233147745</v>
      </c>
      <c r="J5502">
        <v>0.23794680219217201</v>
      </c>
      <c r="K5502">
        <v>0.22428782776879699</v>
      </c>
      <c r="L5502">
        <v>694.84809561641305</v>
      </c>
      <c r="M5502">
        <v>13.9014516288959</v>
      </c>
      <c r="N5502">
        <v>52.617383854614197</v>
      </c>
      <c r="O5502">
        <v>48.983589159923199</v>
      </c>
      <c r="P5502">
        <v>-5.3172814296652098E-2</v>
      </c>
      <c r="Q5502">
        <v>0.25065637794124901</v>
      </c>
      <c r="R5502">
        <v>0.97283995923889199</v>
      </c>
      <c r="S5502" t="s">
        <v>11813</v>
      </c>
      <c r="T5502" t="s">
        <v>12620</v>
      </c>
      <c r="U5502" t="s">
        <v>12620</v>
      </c>
      <c r="V5502" t="s">
        <v>12620</v>
      </c>
      <c r="W5502" t="s">
        <v>18063</v>
      </c>
      <c r="X5502">
        <v>2</v>
      </c>
      <c r="Y5502" t="s">
        <v>24158</v>
      </c>
      <c r="Z5502" t="s">
        <v>30449</v>
      </c>
      <c r="AA5502">
        <v>0.52044333475796944</v>
      </c>
      <c r="AB5502" t="str">
        <f>HYPERLINK("Melting_Curves/meltCurve_Q9NQ89_C12orf4.pdf", "Melting_Curves/meltCurve_Q9NQ89_C12orf4.pdf")</f>
        <v>Melting_Curves/meltCurve_Q9NQ89_C12orf4.pdf</v>
      </c>
    </row>
    <row r="5503" spans="1:28" x14ac:dyDescent="0.25">
      <c r="A5503" t="s">
        <v>5507</v>
      </c>
      <c r="B5503">
        <v>0.99987803227770999</v>
      </c>
      <c r="C5503">
        <v>0.69564507091747096</v>
      </c>
      <c r="D5503">
        <v>0.75605919321993897</v>
      </c>
      <c r="E5503">
        <v>0.71171669562996498</v>
      </c>
      <c r="F5503">
        <v>1.0116019143260899</v>
      </c>
      <c r="G5503">
        <v>1.0545439421177101</v>
      </c>
      <c r="H5503">
        <v>1.0962407675765899</v>
      </c>
      <c r="I5503">
        <v>1.0469213954196801</v>
      </c>
      <c r="J5503">
        <v>1.3011626830071199</v>
      </c>
      <c r="K5503">
        <v>0.96169398603634204</v>
      </c>
      <c r="L5503">
        <v>2996.7025770800501</v>
      </c>
      <c r="M5503">
        <v>52.672047730809403</v>
      </c>
      <c r="O5503">
        <v>56.811771208866801</v>
      </c>
      <c r="P5503">
        <v>2.3747805509601799E-2</v>
      </c>
      <c r="Q5503">
        <v>1.1024569217431299</v>
      </c>
      <c r="R5503">
        <v>9.4143382191633498E-2</v>
      </c>
      <c r="S5503" t="s">
        <v>11814</v>
      </c>
      <c r="T5503" t="s">
        <v>12620</v>
      </c>
      <c r="U5503" t="s">
        <v>12620</v>
      </c>
      <c r="V5503" t="s">
        <v>12620</v>
      </c>
      <c r="W5503" t="s">
        <v>18064</v>
      </c>
      <c r="X5503">
        <v>1</v>
      </c>
      <c r="Y5503" t="s">
        <v>24159</v>
      </c>
      <c r="Z5503" t="s">
        <v>30450</v>
      </c>
      <c r="AA5503">
        <v>1.044530104271318</v>
      </c>
      <c r="AB5503" t="str">
        <f>HYPERLINK("Melting_Curves/meltCurve_Q9NQ92_COPRS.pdf", "Melting_Curves/meltCurve_Q9NQ92_COPRS.pdf")</f>
        <v>Melting_Curves/meltCurve_Q9NQ92_COPRS.pdf</v>
      </c>
    </row>
    <row r="5504" spans="1:28" x14ac:dyDescent="0.25">
      <c r="A5504" t="s">
        <v>5508</v>
      </c>
      <c r="B5504">
        <v>0.99987803227770999</v>
      </c>
      <c r="C5504">
        <v>0.95616638005335697</v>
      </c>
      <c r="D5504">
        <v>1.0033109632409301</v>
      </c>
      <c r="E5504">
        <v>1.0519386701073501</v>
      </c>
      <c r="F5504">
        <v>0.99466368632730395</v>
      </c>
      <c r="G5504">
        <v>0.80651549742287199</v>
      </c>
      <c r="H5504">
        <v>1.0512634080001799</v>
      </c>
      <c r="I5504">
        <v>1.0452329414357999</v>
      </c>
      <c r="J5504">
        <v>0.67627148902722301</v>
      </c>
      <c r="K5504">
        <v>0.32019854837968098</v>
      </c>
      <c r="L5504">
        <v>15000</v>
      </c>
      <c r="M5504">
        <v>223.785193846965</v>
      </c>
      <c r="N5504">
        <v>67.336242436305696</v>
      </c>
      <c r="O5504">
        <v>67.023204521452797</v>
      </c>
      <c r="P5504">
        <v>-0.56749417249071199</v>
      </c>
      <c r="Q5504">
        <v>0.32014660235751502</v>
      </c>
      <c r="R5504">
        <v>0.90530284704280095</v>
      </c>
      <c r="S5504" t="s">
        <v>11815</v>
      </c>
      <c r="T5504" t="s">
        <v>12620</v>
      </c>
      <c r="U5504" t="s">
        <v>12620</v>
      </c>
      <c r="V5504" t="s">
        <v>12620</v>
      </c>
      <c r="W5504" t="s">
        <v>18065</v>
      </c>
      <c r="X5504">
        <v>9</v>
      </c>
      <c r="Y5504" t="s">
        <v>24160</v>
      </c>
      <c r="Z5504" t="s">
        <v>30451</v>
      </c>
      <c r="AA5504">
        <v>0.93276120621775815</v>
      </c>
      <c r="AB5504" t="str">
        <f>HYPERLINK("Melting_Curves/meltCurve_Q9NQA3_WASH6P.pdf", "Melting_Curves/meltCurve_Q9NQA3_WASH6P.pdf")</f>
        <v>Melting_Curves/meltCurve_Q9NQA3_WASH6P.pdf</v>
      </c>
    </row>
    <row r="5505" spans="1:28" x14ac:dyDescent="0.25">
      <c r="A5505" t="s">
        <v>5509</v>
      </c>
      <c r="B5505">
        <v>0.99987803227770999</v>
      </c>
      <c r="C5505">
        <v>0.88265110371406197</v>
      </c>
      <c r="D5505">
        <v>0.96329127509067503</v>
      </c>
      <c r="E5505">
        <v>0.880395502142304</v>
      </c>
      <c r="F5505">
        <v>0.96384598365466401</v>
      </c>
      <c r="G5505">
        <v>0.94701515896049804</v>
      </c>
      <c r="H5505">
        <v>0.90893643827334303</v>
      </c>
      <c r="I5505">
        <v>0.97263680642419303</v>
      </c>
      <c r="J5505">
        <v>0.82817375642039304</v>
      </c>
      <c r="K5505">
        <v>0.65441052978028602</v>
      </c>
      <c r="L5505">
        <v>1368.156719026</v>
      </c>
      <c r="M5505">
        <v>18.8709460590761</v>
      </c>
      <c r="Q5505">
        <v>0</v>
      </c>
      <c r="R5505">
        <v>0.57260020053685901</v>
      </c>
      <c r="S5505" t="s">
        <v>11816</v>
      </c>
      <c r="T5505" t="s">
        <v>12620</v>
      </c>
      <c r="U5505" t="s">
        <v>12620</v>
      </c>
      <c r="V5505" t="s">
        <v>12620</v>
      </c>
      <c r="W5505" t="s">
        <v>18066</v>
      </c>
      <c r="X5505">
        <v>2</v>
      </c>
      <c r="Y5505" t="s">
        <v>24161</v>
      </c>
      <c r="Z5505" t="s">
        <v>30452</v>
      </c>
      <c r="AA5505">
        <v>0.95565631806894635</v>
      </c>
      <c r="AB5505" t="str">
        <f>HYPERLINK("Melting_Curves/meltCurve_Q9NQC3_RTN4.pdf", "Melting_Curves/meltCurve_Q9NQC3_RTN4.pdf")</f>
        <v>Melting_Curves/meltCurve_Q9NQC3_RTN4.pdf</v>
      </c>
    </row>
    <row r="5506" spans="1:28" x14ac:dyDescent="0.25">
      <c r="A5506" t="s">
        <v>5510</v>
      </c>
      <c r="B5506">
        <v>0.99987803227770999</v>
      </c>
      <c r="C5506">
        <v>0.89459941629512696</v>
      </c>
      <c r="D5506">
        <v>0.64882888698167995</v>
      </c>
      <c r="E5506">
        <v>0.414251068476993</v>
      </c>
      <c r="F5506">
        <v>0.22197752126068801</v>
      </c>
      <c r="G5506">
        <v>0.17195823613639799</v>
      </c>
      <c r="H5506">
        <v>0.12784314716741399</v>
      </c>
      <c r="I5506">
        <v>0.108215335944168</v>
      </c>
      <c r="J5506">
        <v>9.25933179724161E-2</v>
      </c>
      <c r="K5506">
        <v>6.2918250102388398E-2</v>
      </c>
      <c r="L5506">
        <v>770.28687087240303</v>
      </c>
      <c r="M5506">
        <v>16.107682305209799</v>
      </c>
      <c r="N5506">
        <v>48.391164926638702</v>
      </c>
      <c r="O5506">
        <v>47.102222963120902</v>
      </c>
      <c r="P5506">
        <v>-7.8110725726106001E-2</v>
      </c>
      <c r="Q5506">
        <v>8.6421262010737507E-2</v>
      </c>
      <c r="R5506">
        <v>0.99490216691681699</v>
      </c>
      <c r="S5506" t="s">
        <v>11817</v>
      </c>
      <c r="T5506" t="s">
        <v>12620</v>
      </c>
      <c r="U5506" t="s">
        <v>12620</v>
      </c>
      <c r="V5506" t="s">
        <v>12620</v>
      </c>
      <c r="W5506" t="s">
        <v>18067</v>
      </c>
      <c r="X5506">
        <v>4</v>
      </c>
      <c r="Y5506" t="s">
        <v>24162</v>
      </c>
      <c r="Z5506" t="s">
        <v>30453</v>
      </c>
      <c r="AA5506">
        <v>0.34512686094990169</v>
      </c>
      <c r="AB5506" t="str">
        <f>HYPERLINK("Melting_Curves/meltCurve_Q9NQE9_HINT3.pdf", "Melting_Curves/meltCurve_Q9NQE9_HINT3.pdf")</f>
        <v>Melting_Curves/meltCurve_Q9NQE9_HINT3.pdf</v>
      </c>
    </row>
    <row r="5507" spans="1:28" x14ac:dyDescent="0.25">
      <c r="A5507" t="s">
        <v>5511</v>
      </c>
      <c r="B5507">
        <v>0.99987803227770999</v>
      </c>
      <c r="C5507">
        <v>1.01181155207329</v>
      </c>
      <c r="D5507">
        <v>1.1025991096863601</v>
      </c>
      <c r="E5507">
        <v>1.04906533463403</v>
      </c>
      <c r="F5507">
        <v>0.90132868484211504</v>
      </c>
      <c r="G5507">
        <v>0.39536937692701601</v>
      </c>
      <c r="H5507">
        <v>0.246729052728548</v>
      </c>
      <c r="I5507">
        <v>0.20687765659004101</v>
      </c>
      <c r="J5507">
        <v>0.177097183989532</v>
      </c>
      <c r="K5507">
        <v>0.14597308388944</v>
      </c>
      <c r="L5507">
        <v>2278.6779462417298</v>
      </c>
      <c r="M5507">
        <v>40.991403401453297</v>
      </c>
      <c r="N5507">
        <v>56.228409046082199</v>
      </c>
      <c r="O5507">
        <v>55.457358682215997</v>
      </c>
      <c r="P5507">
        <v>-0.15037110061628201</v>
      </c>
      <c r="Q5507">
        <v>0.18625199619434901</v>
      </c>
      <c r="R5507">
        <v>0.98880813768129106</v>
      </c>
      <c r="S5507" t="s">
        <v>11818</v>
      </c>
      <c r="T5507" t="s">
        <v>12620</v>
      </c>
      <c r="U5507" t="s">
        <v>12620</v>
      </c>
      <c r="V5507" t="s">
        <v>12620</v>
      </c>
      <c r="W5507" t="s">
        <v>18068</v>
      </c>
      <c r="X5507">
        <v>7</v>
      </c>
      <c r="Y5507" t="s">
        <v>24163</v>
      </c>
      <c r="Z5507" t="s">
        <v>30454</v>
      </c>
      <c r="AA5507">
        <v>0.61207061356422876</v>
      </c>
      <c r="AB5507" t="str">
        <f>HYPERLINK("Melting_Curves/meltCurve_Q9NQG5_RPRD1B.pdf", "Melting_Curves/meltCurve_Q9NQG5_RPRD1B.pdf")</f>
        <v>Melting_Curves/meltCurve_Q9NQG5_RPRD1B.pdf</v>
      </c>
    </row>
    <row r="5508" spans="1:28" x14ac:dyDescent="0.25">
      <c r="A5508" t="s">
        <v>5512</v>
      </c>
      <c r="B5508">
        <v>0.99987803227770999</v>
      </c>
      <c r="C5508">
        <v>1.1235951226948799</v>
      </c>
      <c r="D5508">
        <v>1.10182895231273</v>
      </c>
      <c r="E5508">
        <v>1.0129293825688299</v>
      </c>
      <c r="F5508">
        <v>0.66245350486032095</v>
      </c>
      <c r="G5508">
        <v>0.39280479115350497</v>
      </c>
      <c r="H5508">
        <v>0.233899700018111</v>
      </c>
      <c r="I5508">
        <v>0.21433836791048699</v>
      </c>
      <c r="J5508">
        <v>0.112788748170703</v>
      </c>
      <c r="K5508">
        <v>7.1827556338548496E-2</v>
      </c>
      <c r="L5508">
        <v>1295.3130937195299</v>
      </c>
      <c r="M5508">
        <v>23.6105310790538</v>
      </c>
      <c r="N5508">
        <v>55.545243227054002</v>
      </c>
      <c r="O5508">
        <v>54.472647605551003</v>
      </c>
      <c r="P5508">
        <v>-9.4699587452638498E-2</v>
      </c>
      <c r="Q5508">
        <v>0.126076267993767</v>
      </c>
      <c r="R5508">
        <v>0.97023341839643795</v>
      </c>
      <c r="S5508" t="s">
        <v>11819</v>
      </c>
      <c r="T5508" t="s">
        <v>12620</v>
      </c>
      <c r="U5508" t="s">
        <v>12620</v>
      </c>
      <c r="V5508" t="s">
        <v>12620</v>
      </c>
      <c r="W5508" t="s">
        <v>18069</v>
      </c>
      <c r="X5508">
        <v>6</v>
      </c>
      <c r="Y5508" t="s">
        <v>24164</v>
      </c>
      <c r="Z5508" t="s">
        <v>30455</v>
      </c>
      <c r="AA5508">
        <v>0.56794067153751748</v>
      </c>
      <c r="AB5508" t="str">
        <f>HYPERLINK("Melting_Curves/meltCurve_Q9NQH7_2_XPNPEP3.pdf", "Melting_Curves/meltCurve_Q9NQH7_2_XPNPEP3.pdf")</f>
        <v>Melting_Curves/meltCurve_Q9NQH7_2_XPNPEP3.pdf</v>
      </c>
    </row>
    <row r="5509" spans="1:28" x14ac:dyDescent="0.25">
      <c r="A5509" t="s">
        <v>5513</v>
      </c>
      <c r="B5509">
        <v>0.99987803227770999</v>
      </c>
      <c r="C5509">
        <v>1.0330545852745301</v>
      </c>
      <c r="D5509">
        <v>1.0518875967188499</v>
      </c>
      <c r="E5509">
        <v>1.1330153872103701</v>
      </c>
      <c r="F5509">
        <v>1.0810307058726001</v>
      </c>
      <c r="G5509">
        <v>1.0454281387461799</v>
      </c>
      <c r="H5509">
        <v>1.3659739820102701</v>
      </c>
      <c r="I5509">
        <v>1.2691054787648699</v>
      </c>
      <c r="J5509">
        <v>1.3247322993153401</v>
      </c>
      <c r="K5509">
        <v>1.17763353050455</v>
      </c>
      <c r="L5509">
        <v>588.57318574816099</v>
      </c>
      <c r="M5509">
        <v>10.6374477247297</v>
      </c>
      <c r="O5509">
        <v>53.482345527278099</v>
      </c>
      <c r="P5509">
        <v>1.5400478084542001E-2</v>
      </c>
      <c r="Q5509">
        <v>1.3095996517274999</v>
      </c>
      <c r="R5509">
        <v>0.62941899939704204</v>
      </c>
      <c r="S5509" t="s">
        <v>11820</v>
      </c>
      <c r="T5509" t="s">
        <v>12620</v>
      </c>
      <c r="U5509" t="s">
        <v>12620</v>
      </c>
      <c r="V5509" t="s">
        <v>12620</v>
      </c>
      <c r="W5509" t="s">
        <v>18070</v>
      </c>
      <c r="X5509">
        <v>6</v>
      </c>
      <c r="Y5509" t="s">
        <v>24165</v>
      </c>
      <c r="Z5509" t="s">
        <v>30456</v>
      </c>
      <c r="AA5509">
        <v>1.144004465093676</v>
      </c>
      <c r="AB5509" t="str">
        <f>HYPERLINK("Melting_Curves/meltCurve_Q9NQP4_PFDN4.pdf", "Melting_Curves/meltCurve_Q9NQP4_PFDN4.pdf")</f>
        <v>Melting_Curves/meltCurve_Q9NQP4_PFDN4.pdf</v>
      </c>
    </row>
    <row r="5510" spans="1:28" x14ac:dyDescent="0.25">
      <c r="A5510" t="s">
        <v>5514</v>
      </c>
      <c r="B5510">
        <v>0.99987803227770999</v>
      </c>
      <c r="C5510">
        <v>0.78619839354791499</v>
      </c>
      <c r="D5510">
        <v>1.0516380613941301</v>
      </c>
      <c r="E5510">
        <v>0.92579714034063798</v>
      </c>
      <c r="F5510">
        <v>0.83338523558566002</v>
      </c>
      <c r="G5510">
        <v>0.38136926349491701</v>
      </c>
      <c r="H5510">
        <v>0.11184153542420699</v>
      </c>
      <c r="I5510">
        <v>8.5445842088379007E-2</v>
      </c>
      <c r="J5510">
        <v>5.9778886908573602E-2</v>
      </c>
      <c r="K5510">
        <v>4.0212239171598801E-2</v>
      </c>
      <c r="L5510">
        <v>1560.60055080864</v>
      </c>
      <c r="M5510">
        <v>27.986367746224701</v>
      </c>
      <c r="N5510">
        <v>55.9539190194795</v>
      </c>
      <c r="O5510">
        <v>55.480488296061701</v>
      </c>
      <c r="P5510">
        <v>-0.12036451198629999</v>
      </c>
      <c r="Q5510">
        <v>4.5560149299541601E-2</v>
      </c>
      <c r="R5510">
        <v>0.96954612036895604</v>
      </c>
      <c r="S5510" t="s">
        <v>11821</v>
      </c>
      <c r="T5510" t="s">
        <v>12620</v>
      </c>
      <c r="U5510" t="s">
        <v>12620</v>
      </c>
      <c r="V5510" t="s">
        <v>12620</v>
      </c>
      <c r="W5510" t="s">
        <v>18071</v>
      </c>
      <c r="X5510">
        <v>18</v>
      </c>
      <c r="Y5510" t="s">
        <v>24166</v>
      </c>
      <c r="Z5510" t="s">
        <v>30457</v>
      </c>
      <c r="AA5510">
        <v>0.55426876951922621</v>
      </c>
      <c r="AB5510" t="str">
        <f>HYPERLINK("Melting_Curves/meltCurve_Q9NQR4_NIT2.pdf", "Melting_Curves/meltCurve_Q9NQR4_NIT2.pdf")</f>
        <v>Melting_Curves/meltCurve_Q9NQR4_NIT2.pdf</v>
      </c>
    </row>
    <row r="5511" spans="1:28" x14ac:dyDescent="0.25">
      <c r="A5511" t="s">
        <v>5515</v>
      </c>
      <c r="B5511">
        <v>0.99987803227770999</v>
      </c>
      <c r="C5511">
        <v>0.83252320219095</v>
      </c>
      <c r="D5511">
        <v>0.97299295801603802</v>
      </c>
      <c r="E5511">
        <v>1.0063354652101699</v>
      </c>
      <c r="F5511">
        <v>1.08291846359525</v>
      </c>
      <c r="G5511">
        <v>0.97258689121085395</v>
      </c>
      <c r="H5511">
        <v>1.2354398353328699</v>
      </c>
      <c r="I5511">
        <v>1.37124568072944</v>
      </c>
      <c r="J5511">
        <v>1.21508096070185</v>
      </c>
      <c r="K5511">
        <v>1.0273512955180999</v>
      </c>
      <c r="L5511">
        <v>7039.5911745821004</v>
      </c>
      <c r="M5511">
        <v>119.39618570617399</v>
      </c>
      <c r="O5511">
        <v>58.943397453870404</v>
      </c>
      <c r="P5511">
        <v>0.107884778205493</v>
      </c>
      <c r="Q5511">
        <v>1.21304182058138</v>
      </c>
      <c r="R5511">
        <v>0.57028298681038003</v>
      </c>
      <c r="S5511" t="s">
        <v>11822</v>
      </c>
      <c r="T5511" t="s">
        <v>12620</v>
      </c>
      <c r="U5511" t="s">
        <v>12620</v>
      </c>
      <c r="V5511" t="s">
        <v>12620</v>
      </c>
      <c r="W5511" t="s">
        <v>18072</v>
      </c>
      <c r="X5511">
        <v>12</v>
      </c>
      <c r="Y5511" t="s">
        <v>24167</v>
      </c>
      <c r="Z5511" t="s">
        <v>30458</v>
      </c>
      <c r="AA5511">
        <v>1.0783031411475581</v>
      </c>
      <c r="AB5511" t="str">
        <f>HYPERLINK("Melting_Curves/meltCurve_Q9NQS1_AVEN.pdf", "Melting_Curves/meltCurve_Q9NQS1_AVEN.pdf")</f>
        <v>Melting_Curves/meltCurve_Q9NQS1_AVEN.pdf</v>
      </c>
    </row>
    <row r="5512" spans="1:28" x14ac:dyDescent="0.25">
      <c r="A5512" t="s">
        <v>5516</v>
      </c>
      <c r="B5512">
        <v>0.99987803227770999</v>
      </c>
      <c r="C5512">
        <v>0.85653078014734296</v>
      </c>
      <c r="D5512">
        <v>0.98339622927500803</v>
      </c>
      <c r="E5512">
        <v>0.85496472585262795</v>
      </c>
      <c r="F5512">
        <v>1.14725741868159</v>
      </c>
      <c r="G5512">
        <v>0.80077634892861405</v>
      </c>
      <c r="H5512">
        <v>0.86858377447521395</v>
      </c>
      <c r="I5512">
        <v>0.88293892435462595</v>
      </c>
      <c r="J5512">
        <v>0.961099515353944</v>
      </c>
      <c r="K5512">
        <v>0.77779813010000198</v>
      </c>
      <c r="L5512">
        <v>170.49655605459901</v>
      </c>
      <c r="M5512">
        <v>0.69011897448570803</v>
      </c>
      <c r="O5512">
        <v>64.2571066094673</v>
      </c>
      <c r="P5512">
        <v>-4.4579539402155796E-3</v>
      </c>
      <c r="Q5512">
        <v>0</v>
      </c>
      <c r="R5512">
        <v>0.12714411896932101</v>
      </c>
      <c r="S5512" t="s">
        <v>11823</v>
      </c>
      <c r="T5512" t="s">
        <v>12620</v>
      </c>
      <c r="U5512" t="s">
        <v>12620</v>
      </c>
      <c r="V5512" t="s">
        <v>12620</v>
      </c>
      <c r="W5512" t="s">
        <v>18073</v>
      </c>
      <c r="X5512">
        <v>1</v>
      </c>
      <c r="Y5512" t="s">
        <v>24168</v>
      </c>
      <c r="Z5512" t="s">
        <v>30459</v>
      </c>
      <c r="AA5512">
        <v>0.91577717341754217</v>
      </c>
      <c r="AB5512" t="str">
        <f>HYPERLINK("Melting_Curves/meltCurve_Q9NQS3_PVRL3.pdf", "Melting_Curves/meltCurve_Q9NQS3_PVRL3.pdf")</f>
        <v>Melting_Curves/meltCurve_Q9NQS3_PVRL3.pdf</v>
      </c>
    </row>
    <row r="5513" spans="1:28" x14ac:dyDescent="0.25">
      <c r="A5513" t="s">
        <v>5517</v>
      </c>
      <c r="B5513">
        <v>0.99987803227770999</v>
      </c>
      <c r="C5513">
        <v>0.92914306814465497</v>
      </c>
      <c r="D5513">
        <v>1.0381738537760801</v>
      </c>
      <c r="E5513">
        <v>0.834725989438305</v>
      </c>
      <c r="F5513">
        <v>1.04048318733719</v>
      </c>
      <c r="G5513">
        <v>0.91894078737949203</v>
      </c>
      <c r="H5513">
        <v>0.82765623650907705</v>
      </c>
      <c r="I5513">
        <v>1.0723540075123199</v>
      </c>
      <c r="J5513">
        <v>0.81099074558274797</v>
      </c>
      <c r="K5513">
        <v>0.67645259306856897</v>
      </c>
      <c r="L5513">
        <v>1517.13770266546</v>
      </c>
      <c r="M5513">
        <v>20.9426620723588</v>
      </c>
      <c r="Q5513">
        <v>0</v>
      </c>
      <c r="R5513">
        <v>0.42403270515462299</v>
      </c>
      <c r="S5513" t="s">
        <v>11824</v>
      </c>
      <c r="T5513" t="s">
        <v>12620</v>
      </c>
      <c r="U5513" t="s">
        <v>12620</v>
      </c>
      <c r="V5513" t="s">
        <v>12620</v>
      </c>
      <c r="W5513" t="s">
        <v>18074</v>
      </c>
      <c r="X5513">
        <v>2</v>
      </c>
      <c r="Y5513" t="s">
        <v>24169</v>
      </c>
      <c r="Z5513" t="s">
        <v>30460</v>
      </c>
      <c r="AA5513">
        <v>0.96145569941089482</v>
      </c>
      <c r="AB5513" t="str">
        <f>HYPERLINK("Melting_Curves/meltCurve_Q9NQS7_2_INCENP.pdf", "Melting_Curves/meltCurve_Q9NQS7_2_INCENP.pdf")</f>
        <v>Melting_Curves/meltCurve_Q9NQS7_2_INCENP.pdf</v>
      </c>
    </row>
    <row r="5514" spans="1:28" x14ac:dyDescent="0.25">
      <c r="A5514" t="s">
        <v>5518</v>
      </c>
      <c r="B5514">
        <v>0.99987803227770999</v>
      </c>
      <c r="C5514">
        <v>1.15831798292904</v>
      </c>
      <c r="D5514">
        <v>1.6405981160515599</v>
      </c>
      <c r="E5514">
        <v>1.71427849689634</v>
      </c>
      <c r="F5514">
        <v>1.37103427800911</v>
      </c>
      <c r="G5514">
        <v>0.40449463302199201</v>
      </c>
      <c r="H5514">
        <v>0.16627908289420401</v>
      </c>
      <c r="I5514">
        <v>0.14146848189154901</v>
      </c>
      <c r="J5514">
        <v>0.101612404997961</v>
      </c>
      <c r="K5514">
        <v>7.3787875357085295E-2</v>
      </c>
      <c r="L5514">
        <v>14207.7364497614</v>
      </c>
      <c r="M5514">
        <v>250</v>
      </c>
      <c r="N5514">
        <v>56.8938724489959</v>
      </c>
      <c r="O5514">
        <v>56.827310638587797</v>
      </c>
      <c r="P5514">
        <v>-0.96697902569928196</v>
      </c>
      <c r="Q5514">
        <v>0.120786946850465</v>
      </c>
      <c r="R5514">
        <v>0.73050565985620397</v>
      </c>
      <c r="S5514" t="s">
        <v>11825</v>
      </c>
      <c r="T5514" t="s">
        <v>12620</v>
      </c>
      <c r="U5514" t="s">
        <v>12620</v>
      </c>
      <c r="V5514" t="s">
        <v>12620</v>
      </c>
      <c r="W5514" t="s">
        <v>18075</v>
      </c>
      <c r="X5514">
        <v>3</v>
      </c>
      <c r="Y5514" t="s">
        <v>24170</v>
      </c>
      <c r="Z5514" t="s">
        <v>30461</v>
      </c>
      <c r="AA5514">
        <v>0.61414087874253154</v>
      </c>
      <c r="AB5514" t="str">
        <f>HYPERLINK("Melting_Curves/meltCurve_Q9NQT4_EXOSC5.pdf", "Melting_Curves/meltCurve_Q9NQT4_EXOSC5.pdf")</f>
        <v>Melting_Curves/meltCurve_Q9NQT4_EXOSC5.pdf</v>
      </c>
    </row>
    <row r="5515" spans="1:28" x14ac:dyDescent="0.25">
      <c r="A5515" t="s">
        <v>5519</v>
      </c>
      <c r="B5515">
        <v>0.99987803227770999</v>
      </c>
      <c r="C5515">
        <v>1.0554543585942899</v>
      </c>
      <c r="D5515">
        <v>0.951304597236172</v>
      </c>
      <c r="E5515">
        <v>0.826396464840359</v>
      </c>
      <c r="F5515">
        <v>0.34165682366081801</v>
      </c>
      <c r="G5515">
        <v>0.1900405704349</v>
      </c>
      <c r="H5515">
        <v>8.1189023202159497E-2</v>
      </c>
      <c r="I5515">
        <v>6.48706484623469E-2</v>
      </c>
      <c r="J5515">
        <v>3.4266621350279101E-2</v>
      </c>
      <c r="K5515">
        <v>3.5604029413508903E-2</v>
      </c>
      <c r="L5515">
        <v>1717.8916043050999</v>
      </c>
      <c r="M5515">
        <v>33.088974092355599</v>
      </c>
      <c r="N5515">
        <v>52.138264431266897</v>
      </c>
      <c r="O5515">
        <v>51.728811394538603</v>
      </c>
      <c r="P5515">
        <v>-0.14945664436540401</v>
      </c>
      <c r="Q5515">
        <v>6.5406961656074306E-2</v>
      </c>
      <c r="R5515">
        <v>0.99149538650445002</v>
      </c>
      <c r="S5515" t="s">
        <v>11826</v>
      </c>
      <c r="T5515" t="s">
        <v>12620</v>
      </c>
      <c r="U5515" t="s">
        <v>12620</v>
      </c>
      <c r="V5515" t="s">
        <v>12620</v>
      </c>
      <c r="W5515" t="s">
        <v>18076</v>
      </c>
      <c r="X5515">
        <v>2</v>
      </c>
      <c r="Y5515" t="s">
        <v>24171</v>
      </c>
      <c r="Z5515" t="s">
        <v>30462</v>
      </c>
      <c r="AA5515">
        <v>0.44157480604296862</v>
      </c>
      <c r="AB5515" t="str">
        <f>HYPERLINK("Melting_Curves/meltCurve_Q9NQT5_EXOSC3.pdf", "Melting_Curves/meltCurve_Q9NQT5_EXOSC3.pdf")</f>
        <v>Melting_Curves/meltCurve_Q9NQT5_EXOSC3.pdf</v>
      </c>
    </row>
    <row r="5516" spans="1:28" x14ac:dyDescent="0.25">
      <c r="A5516" t="s">
        <v>5520</v>
      </c>
      <c r="B5516">
        <v>0.99987803227770999</v>
      </c>
      <c r="C5516">
        <v>1.0713337639898799</v>
      </c>
      <c r="D5516">
        <v>0.78446520656858698</v>
      </c>
      <c r="E5516">
        <v>0.52204661885427495</v>
      </c>
      <c r="F5516">
        <v>0.30684272307333899</v>
      </c>
      <c r="G5516">
        <v>0.20594961409308099</v>
      </c>
      <c r="H5516">
        <v>0.17402163976132901</v>
      </c>
      <c r="I5516">
        <v>0.15393785298653401</v>
      </c>
      <c r="J5516">
        <v>0.11617228678804301</v>
      </c>
      <c r="K5516">
        <v>9.3792211019462904E-2</v>
      </c>
      <c r="L5516">
        <v>970.98523109708299</v>
      </c>
      <c r="M5516">
        <v>19.6444912727505</v>
      </c>
      <c r="N5516">
        <v>50.1837246884254</v>
      </c>
      <c r="O5516">
        <v>48.924221327143101</v>
      </c>
      <c r="P5516">
        <v>-8.7530155489533898E-2</v>
      </c>
      <c r="Q5516">
        <v>0.12806208856520199</v>
      </c>
      <c r="R5516">
        <v>0.98563323697234795</v>
      </c>
      <c r="S5516" t="s">
        <v>11827</v>
      </c>
      <c r="T5516" t="s">
        <v>12620</v>
      </c>
      <c r="U5516" t="s">
        <v>12620</v>
      </c>
      <c r="V5516" t="s">
        <v>12620</v>
      </c>
      <c r="W5516" t="s">
        <v>18077</v>
      </c>
      <c r="X5516">
        <v>18</v>
      </c>
      <c r="Y5516" t="s">
        <v>24172</v>
      </c>
      <c r="Z5516" t="s">
        <v>30463</v>
      </c>
      <c r="AA5516">
        <v>0.41469562595425952</v>
      </c>
      <c r="AB5516" t="str">
        <f>HYPERLINK("Melting_Curves/meltCurve_Q9NQT8_KIF13B.pdf", "Melting_Curves/meltCurve_Q9NQT8_KIF13B.pdf")</f>
        <v>Melting_Curves/meltCurve_Q9NQT8_KIF13B.pdf</v>
      </c>
    </row>
    <row r="5517" spans="1:28" x14ac:dyDescent="0.25">
      <c r="A5517" t="s">
        <v>5521</v>
      </c>
      <c r="B5517">
        <v>0.99987803227770999</v>
      </c>
      <c r="C5517">
        <v>0.86979134651997703</v>
      </c>
      <c r="D5517">
        <v>0.943136237973761</v>
      </c>
      <c r="E5517">
        <v>0.65976324019213395</v>
      </c>
      <c r="F5517">
        <v>0.74115003806574498</v>
      </c>
      <c r="G5517">
        <v>0.61707037959599698</v>
      </c>
      <c r="H5517">
        <v>0.65649444774764099</v>
      </c>
      <c r="I5517">
        <v>0.61678434620446598</v>
      </c>
      <c r="J5517">
        <v>0.64284504880146698</v>
      </c>
      <c r="K5517">
        <v>0.551239675828186</v>
      </c>
      <c r="L5517">
        <v>665.03410707774503</v>
      </c>
      <c r="M5517">
        <v>13.8558996311756</v>
      </c>
      <c r="O5517">
        <v>47.0298380589362</v>
      </c>
      <c r="P5517">
        <v>-2.9338603718563901E-2</v>
      </c>
      <c r="Q5517">
        <v>0.60172919362339605</v>
      </c>
      <c r="R5517">
        <v>0.86595282318918398</v>
      </c>
      <c r="S5517" t="s">
        <v>11828</v>
      </c>
      <c r="T5517" t="s">
        <v>12620</v>
      </c>
      <c r="U5517" t="s">
        <v>12620</v>
      </c>
      <c r="V5517" t="s">
        <v>12620</v>
      </c>
      <c r="W5517" t="s">
        <v>18078</v>
      </c>
      <c r="X5517">
        <v>33</v>
      </c>
      <c r="Y5517" t="s">
        <v>24173</v>
      </c>
      <c r="Z5517" t="s">
        <v>30464</v>
      </c>
      <c r="AA5517">
        <v>0.7198502840327845</v>
      </c>
      <c r="AB5517" t="str">
        <f>HYPERLINK("Melting_Curves/meltCurve_Q9NQW6_ANLN.pdf", "Melting_Curves/meltCurve_Q9NQW6_ANLN.pdf")</f>
        <v>Melting_Curves/meltCurve_Q9NQW6_ANLN.pdf</v>
      </c>
    </row>
    <row r="5518" spans="1:28" x14ac:dyDescent="0.25">
      <c r="A5518" t="s">
        <v>5522</v>
      </c>
      <c r="B5518">
        <v>0.99987803227770999</v>
      </c>
      <c r="C5518">
        <v>1.22044510096161</v>
      </c>
      <c r="D5518">
        <v>1.0002370295618499</v>
      </c>
      <c r="E5518">
        <v>0.73140356442823495</v>
      </c>
      <c r="F5518">
        <v>0.26747010826760798</v>
      </c>
      <c r="G5518">
        <v>0.162502745509711</v>
      </c>
      <c r="H5518">
        <v>0.108988529648178</v>
      </c>
      <c r="I5518">
        <v>9.5322659482865002E-2</v>
      </c>
      <c r="J5518">
        <v>6.8897345264965604E-2</v>
      </c>
      <c r="K5518">
        <v>4.9279322315059E-2</v>
      </c>
      <c r="L5518">
        <v>1962.7911568484501</v>
      </c>
      <c r="M5518">
        <v>38.393593776851802</v>
      </c>
      <c r="N5518">
        <v>51.3934819006423</v>
      </c>
      <c r="O5518">
        <v>50.984772757506903</v>
      </c>
      <c r="P5518">
        <v>-0.17103175088755801</v>
      </c>
      <c r="Q5518">
        <v>9.1515633979993696E-2</v>
      </c>
      <c r="R5518">
        <v>0.97183181576074396</v>
      </c>
      <c r="S5518" t="s">
        <v>11829</v>
      </c>
      <c r="T5518" t="s">
        <v>12620</v>
      </c>
      <c r="U5518" t="s">
        <v>12620</v>
      </c>
      <c r="V5518" t="s">
        <v>12620</v>
      </c>
      <c r="W5518" t="s">
        <v>18079</v>
      </c>
      <c r="X5518">
        <v>26</v>
      </c>
      <c r="Y5518" t="s">
        <v>24174</v>
      </c>
      <c r="Z5518" t="s">
        <v>30465</v>
      </c>
      <c r="AA5518">
        <v>0.43183401623424511</v>
      </c>
      <c r="AB5518" t="str">
        <f>HYPERLINK("Melting_Curves/meltCurve_Q9NQW7_3_XPNPEP1.pdf", "Melting_Curves/meltCurve_Q9NQW7_3_XPNPEP1.pdf")</f>
        <v>Melting_Curves/meltCurve_Q9NQW7_3_XPNPEP1.pdf</v>
      </c>
    </row>
    <row r="5519" spans="1:28" x14ac:dyDescent="0.25">
      <c r="A5519" t="s">
        <v>5523</v>
      </c>
      <c r="B5519">
        <v>0.99987803227770999</v>
      </c>
      <c r="C5519">
        <v>1.11395815398517</v>
      </c>
      <c r="D5519">
        <v>0.908000846082196</v>
      </c>
      <c r="E5519">
        <v>1.15651748234194</v>
      </c>
      <c r="F5519">
        <v>0.85505388273771898</v>
      </c>
      <c r="G5519">
        <v>1.07303835632126</v>
      </c>
      <c r="H5519">
        <v>0.92527436044689304</v>
      </c>
      <c r="I5519">
        <v>0.274618467121853</v>
      </c>
      <c r="J5519">
        <v>0.15666152656965299</v>
      </c>
      <c r="K5519">
        <v>0.113662223342512</v>
      </c>
      <c r="L5519">
        <v>5169.6940601272099</v>
      </c>
      <c r="M5519">
        <v>82.395065183753303</v>
      </c>
      <c r="N5519">
        <v>62.977624395568803</v>
      </c>
      <c r="O5519">
        <v>62.705831893625799</v>
      </c>
      <c r="P5519">
        <v>-0.28504742876052902</v>
      </c>
      <c r="Q5519">
        <v>0.13227162217419999</v>
      </c>
      <c r="R5519">
        <v>0.95172504908900601</v>
      </c>
      <c r="S5519" t="s">
        <v>11830</v>
      </c>
      <c r="T5519" t="s">
        <v>12620</v>
      </c>
      <c r="U5519" t="s">
        <v>12620</v>
      </c>
      <c r="V5519" t="s">
        <v>12620</v>
      </c>
      <c r="W5519" t="s">
        <v>18080</v>
      </c>
      <c r="X5519">
        <v>20</v>
      </c>
      <c r="Y5519" t="s">
        <v>24175</v>
      </c>
      <c r="Z5519" t="s">
        <v>30466</v>
      </c>
      <c r="AA5519">
        <v>0.7909653874452478</v>
      </c>
      <c r="AB5519" t="str">
        <f>HYPERLINK("Melting_Curves/meltCurve_Q9NQX3_GPHN.pdf", "Melting_Curves/meltCurve_Q9NQX3_GPHN.pdf")</f>
        <v>Melting_Curves/meltCurve_Q9NQX3_GPHN.pdf</v>
      </c>
    </row>
    <row r="5520" spans="1:28" x14ac:dyDescent="0.25">
      <c r="A5520" t="s">
        <v>5524</v>
      </c>
      <c r="B5520">
        <v>0.99987803227770999</v>
      </c>
      <c r="C5520">
        <v>1.0362841719821201</v>
      </c>
      <c r="D5520">
        <v>0.92200357458384397</v>
      </c>
      <c r="E5520">
        <v>0.73415881008713602</v>
      </c>
      <c r="F5520">
        <v>0.38141532540064399</v>
      </c>
      <c r="G5520">
        <v>0.27035618298924802</v>
      </c>
      <c r="H5520">
        <v>0.19373062039111599</v>
      </c>
      <c r="I5520">
        <v>0.18076713076282599</v>
      </c>
      <c r="J5520">
        <v>0.11635505567259399</v>
      </c>
      <c r="K5520">
        <v>8.4366902866730306E-2</v>
      </c>
      <c r="L5520">
        <v>1121.91869893389</v>
      </c>
      <c r="M5520">
        <v>21.800892515327199</v>
      </c>
      <c r="N5520">
        <v>52.215927903573601</v>
      </c>
      <c r="O5520">
        <v>51.034927456749699</v>
      </c>
      <c r="P5520">
        <v>-9.23772850711847E-2</v>
      </c>
      <c r="Q5520">
        <v>0.135015518090846</v>
      </c>
      <c r="R5520">
        <v>0.98973873453059302</v>
      </c>
      <c r="S5520" t="s">
        <v>11831</v>
      </c>
      <c r="T5520" t="s">
        <v>12620</v>
      </c>
      <c r="U5520" t="s">
        <v>12620</v>
      </c>
      <c r="V5520" t="s">
        <v>12620</v>
      </c>
      <c r="W5520" t="s">
        <v>18081</v>
      </c>
      <c r="X5520">
        <v>5</v>
      </c>
      <c r="Y5520" t="s">
        <v>24176</v>
      </c>
      <c r="Z5520" t="s">
        <v>30467</v>
      </c>
      <c r="AA5520">
        <v>0.47571282160351702</v>
      </c>
      <c r="AB5520" t="str">
        <f>HYPERLINK("Melting_Curves/meltCurve_Q9NQY0_BIN3.pdf", "Melting_Curves/meltCurve_Q9NQY0_BIN3.pdf")</f>
        <v>Melting_Curves/meltCurve_Q9NQY0_BIN3.pdf</v>
      </c>
    </row>
    <row r="5521" spans="1:28" x14ac:dyDescent="0.25">
      <c r="A5521" t="s">
        <v>5525</v>
      </c>
      <c r="B5521">
        <v>0.99987803227770999</v>
      </c>
      <c r="C5521">
        <v>0.92227896090262096</v>
      </c>
      <c r="D5521">
        <v>0.95851089449878901</v>
      </c>
      <c r="E5521">
        <v>0.81942084353392697</v>
      </c>
      <c r="F5521">
        <v>0.75549098211455501</v>
      </c>
      <c r="G5521">
        <v>0.39743248802054099</v>
      </c>
      <c r="H5521">
        <v>0.26596459857348298</v>
      </c>
      <c r="I5521">
        <v>0.19610234680344499</v>
      </c>
      <c r="J5521">
        <v>0.19647843528645001</v>
      </c>
      <c r="K5521">
        <v>0.15295495284389399</v>
      </c>
      <c r="L5521">
        <v>933.75018892758806</v>
      </c>
      <c r="M5521">
        <v>17.027140645109</v>
      </c>
      <c r="N5521">
        <v>55.880167059743698</v>
      </c>
      <c r="O5521">
        <v>54.099280986902698</v>
      </c>
      <c r="P5521">
        <v>-6.7992934559729101E-2</v>
      </c>
      <c r="Q5521">
        <v>0.13593406724431301</v>
      </c>
      <c r="R5521">
        <v>0.98881247059411204</v>
      </c>
      <c r="S5521" t="s">
        <v>11832</v>
      </c>
      <c r="T5521" t="s">
        <v>12620</v>
      </c>
      <c r="U5521" t="s">
        <v>12620</v>
      </c>
      <c r="V5521" t="s">
        <v>12620</v>
      </c>
      <c r="W5521" t="s">
        <v>18082</v>
      </c>
      <c r="X5521">
        <v>6</v>
      </c>
      <c r="Y5521" t="s">
        <v>24177</v>
      </c>
      <c r="Z5521" t="s">
        <v>30468</v>
      </c>
      <c r="AA5521">
        <v>0.57781270754364367</v>
      </c>
      <c r="AB5521" t="str">
        <f>HYPERLINK("Melting_Curves/meltCurve_Q9NQZ5_STARD7.pdf", "Melting_Curves/meltCurve_Q9NQZ5_STARD7.pdf")</f>
        <v>Melting_Curves/meltCurve_Q9NQZ5_STARD7.pdf</v>
      </c>
    </row>
    <row r="5522" spans="1:28" x14ac:dyDescent="0.25">
      <c r="A5522" t="s">
        <v>5526</v>
      </c>
      <c r="B5522">
        <v>0.99987803227770999</v>
      </c>
      <c r="C5522">
        <v>0.82732376210984504</v>
      </c>
      <c r="D5522">
        <v>0.76289827423819601</v>
      </c>
      <c r="E5522">
        <v>1.4143064419448701</v>
      </c>
      <c r="F5522">
        <v>0.83319632067777205</v>
      </c>
      <c r="G5522">
        <v>0.41602823533374</v>
      </c>
      <c r="H5522">
        <v>0.19642337353137801</v>
      </c>
      <c r="I5522">
        <v>0.15240894191760099</v>
      </c>
      <c r="J5522">
        <v>0.12344869458707999</v>
      </c>
      <c r="K5522">
        <v>8.4370836086835196E-2</v>
      </c>
      <c r="L5522">
        <v>2136.82161098914</v>
      </c>
      <c r="M5522">
        <v>38.220779402682801</v>
      </c>
      <c r="N5522">
        <v>56.343232914488397</v>
      </c>
      <c r="O5522">
        <v>55.7549417520326</v>
      </c>
      <c r="P5522">
        <v>-0.14944332012393799</v>
      </c>
      <c r="Q5522">
        <v>0.127994510975391</v>
      </c>
      <c r="R5522">
        <v>0.85123202488357297</v>
      </c>
      <c r="S5522" t="s">
        <v>11833</v>
      </c>
      <c r="T5522" t="s">
        <v>12620</v>
      </c>
      <c r="U5522" t="s">
        <v>12620</v>
      </c>
      <c r="V5522" t="s">
        <v>12620</v>
      </c>
      <c r="W5522" t="s">
        <v>18083</v>
      </c>
      <c r="X5522">
        <v>38</v>
      </c>
      <c r="Y5522" t="s">
        <v>24178</v>
      </c>
      <c r="Z5522" t="s">
        <v>30469</v>
      </c>
      <c r="AA5522">
        <v>0.59403294032603116</v>
      </c>
      <c r="AB5522" t="str">
        <f>HYPERLINK("Melting_Curves/meltCurve_Q9NR09_BIRC6.pdf", "Melting_Curves/meltCurve_Q9NR09_BIRC6.pdf")</f>
        <v>Melting_Curves/meltCurve_Q9NR09_BIRC6.pdf</v>
      </c>
    </row>
    <row r="5523" spans="1:28" x14ac:dyDescent="0.25">
      <c r="A5523" t="s">
        <v>5527</v>
      </c>
      <c r="B5523">
        <v>0.99987803227770999</v>
      </c>
      <c r="C5523">
        <v>0.80993234358618904</v>
      </c>
      <c r="D5523">
        <v>0.94205773031467399</v>
      </c>
      <c r="E5523">
        <v>0.74648373761655196</v>
      </c>
      <c r="F5523">
        <v>0.72952415953121696</v>
      </c>
      <c r="G5523">
        <v>0.48042985035722402</v>
      </c>
      <c r="H5523">
        <v>0.41835983008066802</v>
      </c>
      <c r="I5523">
        <v>0.417227101737143</v>
      </c>
      <c r="J5523">
        <v>0.37309457182345002</v>
      </c>
      <c r="K5523">
        <v>0.31309982676967402</v>
      </c>
      <c r="L5523">
        <v>479.400054961134</v>
      </c>
      <c r="M5523">
        <v>8.7815335745991092</v>
      </c>
      <c r="N5523">
        <v>58.571584542198003</v>
      </c>
      <c r="O5523">
        <v>51.982892350555602</v>
      </c>
      <c r="P5523">
        <v>-3.2770004942232603E-2</v>
      </c>
      <c r="Q5523">
        <v>0.22468057393027899</v>
      </c>
      <c r="R5523">
        <v>0.94475487954944903</v>
      </c>
      <c r="S5523" t="s">
        <v>11834</v>
      </c>
      <c r="T5523" t="s">
        <v>12620</v>
      </c>
      <c r="U5523" t="s">
        <v>12620</v>
      </c>
      <c r="V5523" t="s">
        <v>12620</v>
      </c>
      <c r="W5523" t="s">
        <v>18084</v>
      </c>
      <c r="X5523">
        <v>18</v>
      </c>
      <c r="Y5523" t="s">
        <v>24179</v>
      </c>
      <c r="Z5523" t="s">
        <v>30470</v>
      </c>
      <c r="AA5523">
        <v>0.62448385222245373</v>
      </c>
      <c r="AB5523" t="str">
        <f>HYPERLINK("Melting_Curves/meltCurve_Q9NR12_PDLIM7.pdf", "Melting_Curves/meltCurve_Q9NR12_PDLIM7.pdf")</f>
        <v>Melting_Curves/meltCurve_Q9NR12_PDLIM7.pdf</v>
      </c>
    </row>
    <row r="5524" spans="1:28" x14ac:dyDescent="0.25">
      <c r="A5524" t="s">
        <v>5528</v>
      </c>
      <c r="B5524">
        <v>0.99987803227770999</v>
      </c>
      <c r="C5524">
        <v>1.03731884746714</v>
      </c>
      <c r="D5524">
        <v>1.0521814918821999</v>
      </c>
      <c r="E5524">
        <v>0.89356335193341996</v>
      </c>
      <c r="F5524">
        <v>0.47435260869800899</v>
      </c>
      <c r="G5524">
        <v>0.327510295324004</v>
      </c>
      <c r="H5524">
        <v>0.23182190838196001</v>
      </c>
      <c r="I5524">
        <v>0.20405553926428199</v>
      </c>
      <c r="J5524">
        <v>0.13215808618987099</v>
      </c>
      <c r="K5524">
        <v>0.100175455481834</v>
      </c>
      <c r="L5524">
        <v>1554.6131604945899</v>
      </c>
      <c r="M5524">
        <v>29.588968718198</v>
      </c>
      <c r="N5524">
        <v>53.310211664494503</v>
      </c>
      <c r="O5524">
        <v>52.302069320248897</v>
      </c>
      <c r="P5524">
        <v>-0.116842116524021</v>
      </c>
      <c r="Q5524">
        <v>0.173875687592219</v>
      </c>
      <c r="R5524">
        <v>0.98123912936218205</v>
      </c>
      <c r="S5524" t="s">
        <v>11835</v>
      </c>
      <c r="T5524" t="s">
        <v>12620</v>
      </c>
      <c r="U5524" t="s">
        <v>12620</v>
      </c>
      <c r="V5524" t="s">
        <v>12620</v>
      </c>
      <c r="W5524" t="s">
        <v>18085</v>
      </c>
      <c r="X5524">
        <v>8</v>
      </c>
      <c r="Y5524" t="s">
        <v>24180</v>
      </c>
      <c r="Z5524" t="s">
        <v>30471</v>
      </c>
      <c r="AA5524">
        <v>0.52467231608340148</v>
      </c>
      <c r="AB5524" t="str">
        <f>HYPERLINK("Melting_Curves/meltCurve_Q9NR19_ACSS2.pdf", "Melting_Curves/meltCurve_Q9NR19_ACSS2.pdf")</f>
        <v>Melting_Curves/meltCurve_Q9NR19_ACSS2.pdf</v>
      </c>
    </row>
    <row r="5525" spans="1:28" x14ac:dyDescent="0.25">
      <c r="A5525" t="s">
        <v>5529</v>
      </c>
      <c r="B5525">
        <v>0.99987803227770999</v>
      </c>
      <c r="C5525">
        <v>0.96870979910286203</v>
      </c>
      <c r="D5525">
        <v>0.98485785733945597</v>
      </c>
      <c r="E5525">
        <v>1.0745672170165399</v>
      </c>
      <c r="F5525">
        <v>0.95865108023060996</v>
      </c>
      <c r="G5525">
        <v>0.92081742194870397</v>
      </c>
      <c r="H5525">
        <v>0.78919497998218002</v>
      </c>
      <c r="I5525">
        <v>0.56238750691410899</v>
      </c>
      <c r="J5525">
        <v>0.31853081505726299</v>
      </c>
      <c r="K5525">
        <v>0.15270088227949899</v>
      </c>
      <c r="L5525">
        <v>1386.8225678844101</v>
      </c>
      <c r="M5525">
        <v>21.452032040101798</v>
      </c>
      <c r="N5525">
        <v>64.647608758680605</v>
      </c>
      <c r="O5525">
        <v>64.093685163567997</v>
      </c>
      <c r="P5525">
        <v>-8.3676567445535893E-2</v>
      </c>
      <c r="Q5525">
        <v>0</v>
      </c>
      <c r="R5525">
        <v>0.99022037174194</v>
      </c>
      <c r="S5525" t="s">
        <v>11836</v>
      </c>
      <c r="T5525" t="s">
        <v>12620</v>
      </c>
      <c r="U5525" t="s">
        <v>12620</v>
      </c>
      <c r="V5525" t="s">
        <v>12620</v>
      </c>
      <c r="W5525" t="s">
        <v>18086</v>
      </c>
      <c r="X5525">
        <v>9</v>
      </c>
      <c r="Y5525" t="s">
        <v>24181</v>
      </c>
      <c r="Z5525" t="s">
        <v>30472</v>
      </c>
      <c r="AA5525">
        <v>0.81397618202462829</v>
      </c>
      <c r="AB5525" t="str">
        <f>HYPERLINK("Melting_Curves/meltCurve_Q9NR28_2_DIABLO.pdf", "Melting_Curves/meltCurve_Q9NR28_2_DIABLO.pdf")</f>
        <v>Melting_Curves/meltCurve_Q9NR28_2_DIABLO.pdf</v>
      </c>
    </row>
    <row r="5526" spans="1:28" x14ac:dyDescent="0.25">
      <c r="A5526" t="s">
        <v>5530</v>
      </c>
      <c r="B5526">
        <v>0.99987803227770999</v>
      </c>
      <c r="C5526">
        <v>0.85411723470590595</v>
      </c>
      <c r="D5526">
        <v>1.0237710967829201</v>
      </c>
      <c r="E5526">
        <v>0.80293781091116001</v>
      </c>
      <c r="F5526">
        <v>0.92779232210737705</v>
      </c>
      <c r="G5526">
        <v>0.677603288399941</v>
      </c>
      <c r="H5526">
        <v>0.70966054382100396</v>
      </c>
      <c r="I5526">
        <v>0.65686328100253899</v>
      </c>
      <c r="J5526">
        <v>0.76840454745043796</v>
      </c>
      <c r="K5526">
        <v>0.65402342435966099</v>
      </c>
      <c r="L5526">
        <v>560.39221124876804</v>
      </c>
      <c r="M5526">
        <v>10.6957287926109</v>
      </c>
      <c r="O5526">
        <v>50.662092240922398</v>
      </c>
      <c r="P5526">
        <v>-1.82763140716489E-2</v>
      </c>
      <c r="Q5526">
        <v>0.65385481463588702</v>
      </c>
      <c r="R5526">
        <v>0.69254036220161097</v>
      </c>
      <c r="S5526" t="s">
        <v>11837</v>
      </c>
      <c r="T5526" t="s">
        <v>12620</v>
      </c>
      <c r="U5526" t="s">
        <v>12620</v>
      </c>
      <c r="V5526" t="s">
        <v>12620</v>
      </c>
      <c r="W5526" t="s">
        <v>18087</v>
      </c>
      <c r="X5526">
        <v>25</v>
      </c>
      <c r="Y5526" t="s">
        <v>24182</v>
      </c>
      <c r="Z5526" t="s">
        <v>30473</v>
      </c>
      <c r="AA5526">
        <v>0.80863318407523599</v>
      </c>
      <c r="AB5526" t="str">
        <f>HYPERLINK("Melting_Curves/meltCurve_Q9NR30_DDX21.pdf", "Melting_Curves/meltCurve_Q9NR30_DDX21.pdf")</f>
        <v>Melting_Curves/meltCurve_Q9NR30_DDX21.pdf</v>
      </c>
    </row>
    <row r="5527" spans="1:28" x14ac:dyDescent="0.25">
      <c r="A5527" t="s">
        <v>5531</v>
      </c>
      <c r="B5527">
        <v>0.99987803227770999</v>
      </c>
      <c r="C5527">
        <v>0.84488785772173602</v>
      </c>
      <c r="D5527">
        <v>1.09582779133179</v>
      </c>
      <c r="E5527">
        <v>0.85833385912756999</v>
      </c>
      <c r="F5527">
        <v>0.73069134663387603</v>
      </c>
      <c r="G5527">
        <v>0.35085724165195298</v>
      </c>
      <c r="H5527">
        <v>0.18107495983587699</v>
      </c>
      <c r="I5527">
        <v>0.14754784548127201</v>
      </c>
      <c r="J5527">
        <v>0.110419611184342</v>
      </c>
      <c r="K5527">
        <v>8.6914543703588504E-2</v>
      </c>
      <c r="L5527">
        <v>1205.03591942563</v>
      </c>
      <c r="M5527">
        <v>21.9939872961383</v>
      </c>
      <c r="N5527">
        <v>55.307243620800897</v>
      </c>
      <c r="O5527">
        <v>54.342430901158302</v>
      </c>
      <c r="P5527">
        <v>-9.1767967203827697E-2</v>
      </c>
      <c r="Q5527">
        <v>9.3064357888651306E-2</v>
      </c>
      <c r="R5527">
        <v>0.97365897008597402</v>
      </c>
      <c r="S5527" t="s">
        <v>11838</v>
      </c>
      <c r="T5527" t="s">
        <v>12620</v>
      </c>
      <c r="U5527" t="s">
        <v>12620</v>
      </c>
      <c r="V5527" t="s">
        <v>12620</v>
      </c>
      <c r="W5527" t="s">
        <v>18088</v>
      </c>
      <c r="X5527">
        <v>8</v>
      </c>
      <c r="Y5527" t="s">
        <v>24183</v>
      </c>
      <c r="Z5527" t="s">
        <v>30474</v>
      </c>
      <c r="AA5527">
        <v>0.55060851639971764</v>
      </c>
      <c r="AB5527" t="str">
        <f>HYPERLINK("Melting_Curves/meltCurve_Q9NR31_SAR1A.pdf", "Melting_Curves/meltCurve_Q9NR31_SAR1A.pdf")</f>
        <v>Melting_Curves/meltCurve_Q9NR31_SAR1A.pdf</v>
      </c>
    </row>
    <row r="5528" spans="1:28" x14ac:dyDescent="0.25">
      <c r="A5528" t="s">
        <v>5532</v>
      </c>
      <c r="B5528">
        <v>0.99987803227770999</v>
      </c>
      <c r="C5528">
        <v>0.84315698389712501</v>
      </c>
      <c r="D5528">
        <v>1.0271918054606199</v>
      </c>
      <c r="E5528">
        <v>0.844334058774876</v>
      </c>
      <c r="F5528">
        <v>0.83390223910401795</v>
      </c>
      <c r="G5528">
        <v>0.67600124566446995</v>
      </c>
      <c r="H5528">
        <v>0.64941202836300904</v>
      </c>
      <c r="I5528">
        <v>0.635404347071715</v>
      </c>
      <c r="J5528">
        <v>0.59706858723838496</v>
      </c>
      <c r="K5528">
        <v>0.47341374824403998</v>
      </c>
      <c r="L5528">
        <v>358.819532480183</v>
      </c>
      <c r="M5528">
        <v>5.6194774593859202</v>
      </c>
      <c r="O5528">
        <v>57.142040335191197</v>
      </c>
      <c r="P5528">
        <v>-1.9425073329274001E-2</v>
      </c>
      <c r="Q5528">
        <v>0.21311344471992499</v>
      </c>
      <c r="R5528">
        <v>0.88794173866570303</v>
      </c>
      <c r="S5528" t="s">
        <v>11839</v>
      </c>
      <c r="T5528" t="s">
        <v>12620</v>
      </c>
      <c r="U5528" t="s">
        <v>12620</v>
      </c>
      <c r="V5528" t="s">
        <v>12620</v>
      </c>
      <c r="W5528" t="s">
        <v>18089</v>
      </c>
      <c r="X5528">
        <v>6</v>
      </c>
      <c r="Y5528" t="s">
        <v>24184</v>
      </c>
      <c r="Z5528" t="s">
        <v>30475</v>
      </c>
      <c r="AA5528">
        <v>0.76292130047322915</v>
      </c>
      <c r="AB5528" t="str">
        <f>HYPERLINK("Melting_Curves/meltCurve_Q9NR33_POLE4.pdf", "Melting_Curves/meltCurve_Q9NR33_POLE4.pdf")</f>
        <v>Melting_Curves/meltCurve_Q9NR33_POLE4.pdf</v>
      </c>
    </row>
    <row r="5529" spans="1:28" x14ac:dyDescent="0.25">
      <c r="A5529" t="s">
        <v>5533</v>
      </c>
      <c r="B5529">
        <v>0.99987803227770999</v>
      </c>
      <c r="C5529">
        <v>0.71686796401952202</v>
      </c>
      <c r="D5529">
        <v>1.3378453596976501</v>
      </c>
      <c r="E5529">
        <v>0.99475617161591801</v>
      </c>
      <c r="F5529">
        <v>0.41274656834877299</v>
      </c>
      <c r="G5529">
        <v>0.16075709926196299</v>
      </c>
      <c r="H5529">
        <v>9.0969505409648502E-2</v>
      </c>
      <c r="I5529">
        <v>6.9386357378761601E-2</v>
      </c>
      <c r="J5529">
        <v>5.0757969358574899E-2</v>
      </c>
      <c r="K5529">
        <v>3.8850873019331197E-2</v>
      </c>
      <c r="L5529">
        <v>3927.5833691346602</v>
      </c>
      <c r="M5529">
        <v>74.6669323404859</v>
      </c>
      <c r="N5529">
        <v>52.726674413370603</v>
      </c>
      <c r="O5529">
        <v>52.563693682588998</v>
      </c>
      <c r="P5529">
        <v>-0.32625852375708803</v>
      </c>
      <c r="Q5529">
        <v>8.1288302878664398E-2</v>
      </c>
      <c r="R5529">
        <v>0.90462753149770303</v>
      </c>
      <c r="S5529" t="s">
        <v>11840</v>
      </c>
      <c r="T5529" t="s">
        <v>12620</v>
      </c>
      <c r="U5529" t="s">
        <v>12620</v>
      </c>
      <c r="V5529" t="s">
        <v>12620</v>
      </c>
      <c r="W5529" t="s">
        <v>18090</v>
      </c>
      <c r="X5529">
        <v>17</v>
      </c>
      <c r="Y5529" t="s">
        <v>24185</v>
      </c>
      <c r="Z5529" t="s">
        <v>30476</v>
      </c>
      <c r="AA5529">
        <v>0.46814227152185428</v>
      </c>
      <c r="AB5529" t="str">
        <f>HYPERLINK("Melting_Curves/meltCurve_Q9NR45_NANS.pdf", "Melting_Curves/meltCurve_Q9NR45_NANS.pdf")</f>
        <v>Melting_Curves/meltCurve_Q9NR45_NANS.pdf</v>
      </c>
    </row>
    <row r="5530" spans="1:28" x14ac:dyDescent="0.25">
      <c r="A5530" t="s">
        <v>5534</v>
      </c>
      <c r="B5530">
        <v>0.99987803227770999</v>
      </c>
      <c r="C5530">
        <v>0.99288102016699498</v>
      </c>
      <c r="D5530">
        <v>1.0320394137219</v>
      </c>
      <c r="E5530">
        <v>0.75216157803694705</v>
      </c>
      <c r="F5530">
        <v>0.25694700357464001</v>
      </c>
      <c r="G5530">
        <v>0.15415392028068201</v>
      </c>
      <c r="H5530">
        <v>9.8292225669828703E-2</v>
      </c>
      <c r="I5530">
        <v>8.7360345040739501E-2</v>
      </c>
      <c r="J5530">
        <v>6.5823267505273397E-2</v>
      </c>
      <c r="K5530">
        <v>4.8980225572692798E-2</v>
      </c>
      <c r="L5530">
        <v>2129.1668890549199</v>
      </c>
      <c r="M5530">
        <v>41.595717093272299</v>
      </c>
      <c r="N5530">
        <v>51.422911019259701</v>
      </c>
      <c r="O5530">
        <v>51.069282550095501</v>
      </c>
      <c r="P5530">
        <v>-0.18594947349599</v>
      </c>
      <c r="Q5530">
        <v>8.6801237382721594E-2</v>
      </c>
      <c r="R5530">
        <v>0.99611330925472497</v>
      </c>
      <c r="S5530" t="s">
        <v>11841</v>
      </c>
      <c r="T5530" t="s">
        <v>12620</v>
      </c>
      <c r="U5530" t="s">
        <v>12620</v>
      </c>
      <c r="V5530" t="s">
        <v>12620</v>
      </c>
      <c r="W5530" t="s">
        <v>18091</v>
      </c>
      <c r="X5530">
        <v>14</v>
      </c>
      <c r="Y5530" t="s">
        <v>24186</v>
      </c>
      <c r="Z5530" t="s">
        <v>30477</v>
      </c>
      <c r="AA5530">
        <v>0.43032405755615782</v>
      </c>
      <c r="AB5530" t="str">
        <f>HYPERLINK("Melting_Curves/meltCurve_Q9NR46_SH3GLB2.pdf", "Melting_Curves/meltCurve_Q9NR46_SH3GLB2.pdf")</f>
        <v>Melting_Curves/meltCurve_Q9NR46_SH3GLB2.pdf</v>
      </c>
    </row>
    <row r="5531" spans="1:28" x14ac:dyDescent="0.25">
      <c r="A5531" t="s">
        <v>5535</v>
      </c>
      <c r="B5531">
        <v>0.99987803227770999</v>
      </c>
      <c r="C5531">
        <v>0.79212002083296396</v>
      </c>
      <c r="D5531">
        <v>0.69927452963820702</v>
      </c>
      <c r="E5531">
        <v>0.80304843864490205</v>
      </c>
      <c r="F5531">
        <v>0.32276842594607402</v>
      </c>
      <c r="G5531">
        <v>0.194495977148222</v>
      </c>
      <c r="H5531">
        <v>0.113281015712243</v>
      </c>
      <c r="I5531">
        <v>7.4533037448681005E-2</v>
      </c>
      <c r="J5531">
        <v>6.9965777642897506E-2</v>
      </c>
      <c r="K5531">
        <v>4.2740609287534002E-2</v>
      </c>
      <c r="L5531">
        <v>601.61219187235099</v>
      </c>
      <c r="M5531">
        <v>11.724323237034801</v>
      </c>
      <c r="N5531">
        <v>51.3131700675575</v>
      </c>
      <c r="O5531">
        <v>49.888586497098302</v>
      </c>
      <c r="P5531">
        <v>-5.8768030393527501E-2</v>
      </c>
      <c r="Q5531">
        <v>0</v>
      </c>
      <c r="R5531">
        <v>0.93119792971516502</v>
      </c>
      <c r="S5531" t="s">
        <v>11842</v>
      </c>
      <c r="T5531" t="s">
        <v>12620</v>
      </c>
      <c r="U5531" t="s">
        <v>12620</v>
      </c>
      <c r="V5531" t="s">
        <v>12620</v>
      </c>
      <c r="W5531" t="s">
        <v>18092</v>
      </c>
      <c r="X5531">
        <v>10</v>
      </c>
      <c r="Y5531" t="s">
        <v>24187</v>
      </c>
      <c r="Z5531" t="s">
        <v>30478</v>
      </c>
      <c r="AA5531">
        <v>0.41013520434139722</v>
      </c>
      <c r="AB5531" t="str">
        <f>HYPERLINK("Melting_Curves/meltCurve_Q9NR50_EIF2B3.pdf", "Melting_Curves/meltCurve_Q9NR50_EIF2B3.pdf")</f>
        <v>Melting_Curves/meltCurve_Q9NR50_EIF2B3.pdf</v>
      </c>
    </row>
    <row r="5532" spans="1:28" x14ac:dyDescent="0.25">
      <c r="A5532" t="s">
        <v>5536</v>
      </c>
      <c r="B5532">
        <v>0.99987803227770999</v>
      </c>
      <c r="C5532">
        <v>1.01332014441333</v>
      </c>
      <c r="D5532">
        <v>1.0501595327973701</v>
      </c>
      <c r="E5532">
        <v>0.86219799156531396</v>
      </c>
      <c r="F5532">
        <v>0.62190487080886403</v>
      </c>
      <c r="G5532">
        <v>0.38864675167685298</v>
      </c>
      <c r="H5532">
        <v>0.28336169153436203</v>
      </c>
      <c r="I5532">
        <v>0.24120077098623599</v>
      </c>
      <c r="J5532">
        <v>0.19626083163872399</v>
      </c>
      <c r="K5532">
        <v>0.132021451599595</v>
      </c>
      <c r="L5532">
        <v>1066.0620302695399</v>
      </c>
      <c r="M5532">
        <v>19.792065158013202</v>
      </c>
      <c r="N5532">
        <v>55.0825802858241</v>
      </c>
      <c r="O5532">
        <v>53.322274822980397</v>
      </c>
      <c r="P5532">
        <v>-7.6336032112713503E-2</v>
      </c>
      <c r="Q5532">
        <v>0.17739300656927501</v>
      </c>
      <c r="R5532">
        <v>0.99022733622838599</v>
      </c>
      <c r="S5532" t="s">
        <v>11843</v>
      </c>
      <c r="T5532" t="s">
        <v>12620</v>
      </c>
      <c r="U5532" t="s">
        <v>12620</v>
      </c>
      <c r="V5532" t="s">
        <v>12620</v>
      </c>
      <c r="W5532" t="s">
        <v>18093</v>
      </c>
      <c r="X5532">
        <v>6</v>
      </c>
      <c r="Y5532" t="s">
        <v>24188</v>
      </c>
      <c r="Z5532" t="s">
        <v>30479</v>
      </c>
      <c r="AA5532">
        <v>0.56891713631776808</v>
      </c>
      <c r="AB5532" t="str">
        <f>HYPERLINK("Melting_Curves/meltCurve_Q9NRF2_3_SH2B1.pdf", "Melting_Curves/meltCurve_Q9NRF2_3_SH2B1.pdf")</f>
        <v>Melting_Curves/meltCurve_Q9NRF2_3_SH2B1.pdf</v>
      </c>
    </row>
    <row r="5533" spans="1:28" x14ac:dyDescent="0.25">
      <c r="A5533" t="s">
        <v>5537</v>
      </c>
      <c r="B5533">
        <v>0.99987803227770999</v>
      </c>
      <c r="C5533">
        <v>1.1455309845880901</v>
      </c>
      <c r="D5533">
        <v>0.97986045520171305</v>
      </c>
      <c r="E5533">
        <v>1.06802433807538</v>
      </c>
      <c r="F5533">
        <v>0.74204159433244499</v>
      </c>
      <c r="G5533">
        <v>0.51484813466719703</v>
      </c>
      <c r="H5533">
        <v>0.22956899977078801</v>
      </c>
      <c r="I5533">
        <v>0.111534987360826</v>
      </c>
      <c r="J5533">
        <v>6.6826657123152194E-2</v>
      </c>
      <c r="K5533">
        <v>4.76602831751246E-2</v>
      </c>
      <c r="L5533">
        <v>1178.24810611732</v>
      </c>
      <c r="M5533">
        <v>20.742847069773202</v>
      </c>
      <c r="N5533">
        <v>56.977303967978798</v>
      </c>
      <c r="O5533">
        <v>56.2825899928837</v>
      </c>
      <c r="P5533">
        <v>-8.9301101870128394E-2</v>
      </c>
      <c r="Q5533">
        <v>3.0806960821011801E-2</v>
      </c>
      <c r="R5533">
        <v>0.97603567701479599</v>
      </c>
      <c r="S5533" t="s">
        <v>11844</v>
      </c>
      <c r="T5533" t="s">
        <v>12620</v>
      </c>
      <c r="U5533" t="s">
        <v>12620</v>
      </c>
      <c r="V5533" t="s">
        <v>12620</v>
      </c>
      <c r="W5533" t="s">
        <v>18094</v>
      </c>
      <c r="X5533">
        <v>18</v>
      </c>
      <c r="Y5533" t="s">
        <v>24189</v>
      </c>
      <c r="Z5533" t="s">
        <v>30480</v>
      </c>
      <c r="AA5533">
        <v>0.58510771840188391</v>
      </c>
      <c r="AB5533" t="str">
        <f>HYPERLINK("Melting_Curves/meltCurve_Q9NRF8_CTPS2.pdf", "Melting_Curves/meltCurve_Q9NRF8_CTPS2.pdf")</f>
        <v>Melting_Curves/meltCurve_Q9NRF8_CTPS2.pdf</v>
      </c>
    </row>
    <row r="5534" spans="1:28" x14ac:dyDescent="0.25">
      <c r="A5534" t="s">
        <v>5538</v>
      </c>
      <c r="B5534">
        <v>0.99987803227770999</v>
      </c>
      <c r="C5534">
        <v>0.90614367461680101</v>
      </c>
      <c r="D5534">
        <v>1.05078401329041</v>
      </c>
      <c r="E5534">
        <v>0.920068787629715</v>
      </c>
      <c r="F5534">
        <v>0.89347814654076296</v>
      </c>
      <c r="G5534">
        <v>0.65734554083562502</v>
      </c>
      <c r="H5534">
        <v>0.56019089233796104</v>
      </c>
      <c r="I5534">
        <v>0.52823416494197795</v>
      </c>
      <c r="J5534">
        <v>0.43017551646025098</v>
      </c>
      <c r="K5534">
        <v>0.32662026480224998</v>
      </c>
      <c r="L5534">
        <v>698.32248522121404</v>
      </c>
      <c r="M5534">
        <v>11.766476636242601</v>
      </c>
      <c r="N5534">
        <v>63.2172317640592</v>
      </c>
      <c r="O5534">
        <v>57.712085021917197</v>
      </c>
      <c r="P5534">
        <v>-3.7899193807863503E-2</v>
      </c>
      <c r="Q5534">
        <v>0.25664344560646801</v>
      </c>
      <c r="R5534">
        <v>0.96264960966068402</v>
      </c>
      <c r="S5534" t="s">
        <v>11845</v>
      </c>
      <c r="T5534" t="s">
        <v>12620</v>
      </c>
      <c r="U5534" t="s">
        <v>12620</v>
      </c>
      <c r="V5534" t="s">
        <v>12620</v>
      </c>
      <c r="W5534" t="s">
        <v>18095</v>
      </c>
      <c r="X5534">
        <v>5</v>
      </c>
      <c r="Y5534" t="s">
        <v>24190</v>
      </c>
      <c r="Z5534" t="s">
        <v>30481</v>
      </c>
      <c r="AA5534">
        <v>0.7402538439172307</v>
      </c>
      <c r="AB5534" t="str">
        <f>HYPERLINK("Melting_Curves/meltCurve_Q9NRF9_POLE3.pdf", "Melting_Curves/meltCurve_Q9NRF9_POLE3.pdf")</f>
        <v>Melting_Curves/meltCurve_Q9NRF9_POLE3.pdf</v>
      </c>
    </row>
    <row r="5535" spans="1:28" x14ac:dyDescent="0.25">
      <c r="A5535" t="s">
        <v>5539</v>
      </c>
      <c r="B5535">
        <v>0.99987803227770999</v>
      </c>
      <c r="C5535">
        <v>0.84283578786000202</v>
      </c>
      <c r="D5535">
        <v>1.0132155958764499</v>
      </c>
      <c r="E5535">
        <v>0.79118129882553401</v>
      </c>
      <c r="F5535">
        <v>0.61713667965550101</v>
      </c>
      <c r="G5535">
        <v>0.22404691983090599</v>
      </c>
      <c r="H5535">
        <v>9.1170326990483094E-2</v>
      </c>
      <c r="I5535">
        <v>6.0432246257399402E-2</v>
      </c>
      <c r="J5535">
        <v>4.09614448799306E-2</v>
      </c>
      <c r="K5535">
        <v>3.3647109026583001E-2</v>
      </c>
      <c r="L5535">
        <v>1112.2057628826601</v>
      </c>
      <c r="M5535">
        <v>20.704203912219999</v>
      </c>
      <c r="N5535">
        <v>53.830218761946199</v>
      </c>
      <c r="O5535">
        <v>53.225223354116999</v>
      </c>
      <c r="P5535">
        <v>-9.5211733173832205E-2</v>
      </c>
      <c r="Q5535">
        <v>2.0967445157146498E-2</v>
      </c>
      <c r="R5535">
        <v>0.98209771978066596</v>
      </c>
      <c r="S5535" t="s">
        <v>11846</v>
      </c>
      <c r="T5535" t="s">
        <v>12620</v>
      </c>
      <c r="U5535" t="s">
        <v>12620</v>
      </c>
      <c r="V5535" t="s">
        <v>12620</v>
      </c>
      <c r="W5535" t="s">
        <v>18096</v>
      </c>
      <c r="X5535">
        <v>2</v>
      </c>
      <c r="Y5535" t="s">
        <v>24191</v>
      </c>
      <c r="Z5535" t="s">
        <v>30482</v>
      </c>
      <c r="AA5535">
        <v>0.48128996093504017</v>
      </c>
      <c r="AB5535" t="str">
        <f>HYPERLINK("Melting_Curves/meltCurve_Q9NRG0_CHRAC1.pdf", "Melting_Curves/meltCurve_Q9NRG0_CHRAC1.pdf")</f>
        <v>Melting_Curves/meltCurve_Q9NRG0_CHRAC1.pdf</v>
      </c>
    </row>
    <row r="5536" spans="1:28" x14ac:dyDescent="0.25">
      <c r="A5536" t="s">
        <v>5540</v>
      </c>
      <c r="B5536">
        <v>0.99987803227770999</v>
      </c>
      <c r="C5536">
        <v>1.11832500815005</v>
      </c>
      <c r="D5536">
        <v>1.05119243968952</v>
      </c>
      <c r="E5536">
        <v>1.1284520237905</v>
      </c>
      <c r="F5536">
        <v>0.98388113300150104</v>
      </c>
      <c r="G5536">
        <v>1.0252860589385899</v>
      </c>
      <c r="H5536">
        <v>1.20798150092734</v>
      </c>
      <c r="I5536">
        <v>1.03463449607674</v>
      </c>
      <c r="J5536">
        <v>0.81277864529682597</v>
      </c>
      <c r="K5536">
        <v>0.54994234154968002</v>
      </c>
      <c r="L5536">
        <v>15000</v>
      </c>
      <c r="M5536">
        <v>223.54116598847401</v>
      </c>
      <c r="O5536">
        <v>67.096361070412897</v>
      </c>
      <c r="P5536">
        <v>-0.37489415819587701</v>
      </c>
      <c r="Q5536">
        <v>0.54989883393113603</v>
      </c>
      <c r="R5536">
        <v>0.75111290542802001</v>
      </c>
      <c r="S5536" t="s">
        <v>11847</v>
      </c>
      <c r="T5536" t="s">
        <v>12620</v>
      </c>
      <c r="U5536" t="s">
        <v>12620</v>
      </c>
      <c r="V5536" t="s">
        <v>12620</v>
      </c>
      <c r="W5536" t="s">
        <v>18097</v>
      </c>
      <c r="X5536">
        <v>11</v>
      </c>
      <c r="Y5536" t="s">
        <v>24192</v>
      </c>
      <c r="Z5536" t="s">
        <v>30483</v>
      </c>
      <c r="AA5536">
        <v>0.95658207196078493</v>
      </c>
      <c r="AB5536" t="str">
        <f>HYPERLINK("Melting_Curves/meltCurve_Q9NRG1_PRTFDC1.pdf", "Melting_Curves/meltCurve_Q9NRG1_PRTFDC1.pdf")</f>
        <v>Melting_Curves/meltCurve_Q9NRG1_PRTFDC1.pdf</v>
      </c>
    </row>
    <row r="5537" spans="1:28" x14ac:dyDescent="0.25">
      <c r="A5537" t="s">
        <v>5541</v>
      </c>
      <c r="B5537">
        <v>0.99987803227770999</v>
      </c>
      <c r="C5537">
        <v>0.77453512274828396</v>
      </c>
      <c r="D5537">
        <v>0.37688386085159897</v>
      </c>
      <c r="E5537">
        <v>0.27189396293740797</v>
      </c>
      <c r="F5537">
        <v>0.20256745864200701</v>
      </c>
      <c r="G5537">
        <v>0.10347745462286601</v>
      </c>
      <c r="H5537">
        <v>7.8213302339975505E-2</v>
      </c>
      <c r="I5537">
        <v>7.7243306807909806E-2</v>
      </c>
      <c r="J5537">
        <v>4.62674748028623E-2</v>
      </c>
      <c r="K5537">
        <v>2.4859266387658601E-2</v>
      </c>
      <c r="L5537">
        <v>842.94016647830802</v>
      </c>
      <c r="M5537">
        <v>18.640311192765999</v>
      </c>
      <c r="N5537">
        <v>45.621783944792902</v>
      </c>
      <c r="O5537">
        <v>44.7105380588252</v>
      </c>
      <c r="P5537">
        <v>-9.6366224502737297E-2</v>
      </c>
      <c r="Q5537">
        <v>7.5465962069378806E-2</v>
      </c>
      <c r="R5537">
        <v>0.97359543652006997</v>
      </c>
      <c r="S5537" t="s">
        <v>11848</v>
      </c>
      <c r="T5537" t="s">
        <v>12620</v>
      </c>
      <c r="U5537" t="s">
        <v>12620</v>
      </c>
      <c r="V5537" t="s">
        <v>12620</v>
      </c>
      <c r="W5537" t="s">
        <v>18098</v>
      </c>
      <c r="X5537">
        <v>6</v>
      </c>
      <c r="Y5537" t="s">
        <v>24193</v>
      </c>
      <c r="Z5537" t="s">
        <v>30484</v>
      </c>
      <c r="AA5537">
        <v>0.25435543138736227</v>
      </c>
      <c r="AB5537" t="str">
        <f>HYPERLINK("Melting_Curves/meltCurve_Q9NRG4_SMYD2.pdf", "Melting_Curves/meltCurve_Q9NRG4_SMYD2.pdf")</f>
        <v>Melting_Curves/meltCurve_Q9NRG4_SMYD2.pdf</v>
      </c>
    </row>
    <row r="5538" spans="1:28" x14ac:dyDescent="0.25">
      <c r="A5538" t="s">
        <v>5542</v>
      </c>
      <c r="B5538">
        <v>0.99987803227770999</v>
      </c>
      <c r="C5538">
        <v>0.87750070930876001</v>
      </c>
      <c r="D5538">
        <v>1.0039512484170801</v>
      </c>
      <c r="E5538">
        <v>0.84217318064242097</v>
      </c>
      <c r="F5538">
        <v>1.0323961194186999</v>
      </c>
      <c r="G5538">
        <v>0.68114668098387099</v>
      </c>
      <c r="H5538">
        <v>0.67431576160541995</v>
      </c>
      <c r="I5538">
        <v>0.46378277483437003</v>
      </c>
      <c r="J5538">
        <v>0.51035524699758905</v>
      </c>
      <c r="K5538">
        <v>0.36856825607475502</v>
      </c>
      <c r="L5538">
        <v>663.39010129591304</v>
      </c>
      <c r="M5538">
        <v>10.8167010303035</v>
      </c>
      <c r="N5538">
        <v>65.021959631065698</v>
      </c>
      <c r="O5538">
        <v>59.345571517729397</v>
      </c>
      <c r="P5538">
        <v>-3.51240319470984E-2</v>
      </c>
      <c r="Q5538">
        <v>0.22944869955281</v>
      </c>
      <c r="R5538">
        <v>0.87875553910174697</v>
      </c>
      <c r="S5538" t="s">
        <v>11849</v>
      </c>
      <c r="T5538" t="s">
        <v>12620</v>
      </c>
      <c r="U5538" t="s">
        <v>12620</v>
      </c>
      <c r="V5538" t="s">
        <v>12620</v>
      </c>
      <c r="W5538" t="s">
        <v>18099</v>
      </c>
      <c r="X5538">
        <v>8</v>
      </c>
      <c r="Y5538" t="s">
        <v>24194</v>
      </c>
      <c r="Z5538" t="s">
        <v>30485</v>
      </c>
      <c r="AA5538">
        <v>0.7688639555734903</v>
      </c>
      <c r="AB5538" t="str">
        <f>HYPERLINK("Melting_Curves/meltCurve_Q9NRH1_YAE1D1.pdf", "Melting_Curves/meltCurve_Q9NRH1_YAE1D1.pdf")</f>
        <v>Melting_Curves/meltCurve_Q9NRH1_YAE1D1.pdf</v>
      </c>
    </row>
    <row r="5539" spans="1:28" x14ac:dyDescent="0.25">
      <c r="A5539" t="s">
        <v>5543</v>
      </c>
      <c r="B5539">
        <v>0.99987803227770999</v>
      </c>
      <c r="C5539">
        <v>0.91047770389800298</v>
      </c>
      <c r="D5539">
        <v>0.97832489486736696</v>
      </c>
      <c r="E5539">
        <v>0.86480452313865996</v>
      </c>
      <c r="F5539">
        <v>0.73966174496861403</v>
      </c>
      <c r="G5539">
        <v>0.55068036181971003</v>
      </c>
      <c r="H5539">
        <v>0.64040628168842495</v>
      </c>
      <c r="I5539">
        <v>0.49654483339425898</v>
      </c>
      <c r="J5539">
        <v>0.59409616451966096</v>
      </c>
      <c r="K5539">
        <v>0.55000650427756004</v>
      </c>
      <c r="L5539">
        <v>1215.6457346564</v>
      </c>
      <c r="M5539">
        <v>23.4670000889835</v>
      </c>
      <c r="O5539">
        <v>51.430563343050999</v>
      </c>
      <c r="P5539">
        <v>-5.0666492247572199E-2</v>
      </c>
      <c r="Q5539">
        <v>0.55584235839011498</v>
      </c>
      <c r="R5539">
        <v>0.93602718928223205</v>
      </c>
      <c r="S5539" t="s">
        <v>11850</v>
      </c>
      <c r="T5539" t="s">
        <v>12620</v>
      </c>
      <c r="U5539" t="s">
        <v>12620</v>
      </c>
      <c r="V5539" t="s">
        <v>12620</v>
      </c>
      <c r="W5539" t="s">
        <v>18100</v>
      </c>
      <c r="X5539">
        <v>1</v>
      </c>
      <c r="Y5539" t="s">
        <v>24195</v>
      </c>
      <c r="Z5539" t="s">
        <v>30486</v>
      </c>
      <c r="AA5539">
        <v>0.7351486032900344</v>
      </c>
      <c r="AB5539" t="str">
        <f>HYPERLINK("Melting_Curves/meltCurve_Q9NRJ4_TULP4.pdf", "Melting_Curves/meltCurve_Q9NRJ4_TULP4.pdf")</f>
        <v>Melting_Curves/meltCurve_Q9NRJ4_TULP4.pdf</v>
      </c>
    </row>
    <row r="5540" spans="1:28" x14ac:dyDescent="0.25">
      <c r="A5540" t="s">
        <v>5544</v>
      </c>
      <c r="B5540">
        <v>0.99987803227770999</v>
      </c>
      <c r="C5540">
        <v>0.92762671879870795</v>
      </c>
      <c r="D5540">
        <v>0.71678245679541497</v>
      </c>
      <c r="E5540">
        <v>0.58223286558629195</v>
      </c>
      <c r="F5540">
        <v>0.40089337852704199</v>
      </c>
      <c r="G5540">
        <v>0.25273648618857097</v>
      </c>
      <c r="H5540">
        <v>0.20193348508548101</v>
      </c>
      <c r="I5540">
        <v>0.15414191274892899</v>
      </c>
      <c r="J5540">
        <v>0.12513537977702499</v>
      </c>
      <c r="K5540">
        <v>9.0050620344981902E-2</v>
      </c>
      <c r="L5540">
        <v>597.5078396399</v>
      </c>
      <c r="M5540">
        <v>11.870460903674999</v>
      </c>
      <c r="N5540">
        <v>51.069485889502403</v>
      </c>
      <c r="O5540">
        <v>48.970915656149899</v>
      </c>
      <c r="P5540">
        <v>-5.5862314161868203E-2</v>
      </c>
      <c r="Q5540">
        <v>7.8404431447240797E-2</v>
      </c>
      <c r="R5540">
        <v>0.99282714632343205</v>
      </c>
      <c r="S5540" t="s">
        <v>11851</v>
      </c>
      <c r="T5540" t="s">
        <v>12620</v>
      </c>
      <c r="U5540" t="s">
        <v>12620</v>
      </c>
      <c r="V5540" t="s">
        <v>12620</v>
      </c>
      <c r="W5540" t="s">
        <v>18101</v>
      </c>
      <c r="X5540">
        <v>6</v>
      </c>
      <c r="Y5540" t="s">
        <v>24196</v>
      </c>
      <c r="Z5540" t="s">
        <v>30487</v>
      </c>
      <c r="AA5540">
        <v>0.42771032829723699</v>
      </c>
      <c r="AB5540" t="str">
        <f>HYPERLINK("Melting_Curves/meltCurve_Q9NRL2_2_BAZ1A.pdf", "Melting_Curves/meltCurve_Q9NRL2_2_BAZ1A.pdf")</f>
        <v>Melting_Curves/meltCurve_Q9NRL2_2_BAZ1A.pdf</v>
      </c>
    </row>
    <row r="5541" spans="1:28" x14ac:dyDescent="0.25">
      <c r="A5541" t="s">
        <v>5545</v>
      </c>
      <c r="B5541">
        <v>0.99987803227770999</v>
      </c>
      <c r="C5541">
        <v>1.0932088744295201</v>
      </c>
      <c r="D5541">
        <v>0.94044181643070202</v>
      </c>
      <c r="E5541">
        <v>1.03540550584362</v>
      </c>
      <c r="F5541">
        <v>0.53866916486782901</v>
      </c>
      <c r="G5541">
        <v>0.40749509140149798</v>
      </c>
      <c r="H5541">
        <v>0.32537763579989398</v>
      </c>
      <c r="I5541">
        <v>0.27053805068765102</v>
      </c>
      <c r="J5541">
        <v>0.283658409867246</v>
      </c>
      <c r="K5541">
        <v>0.207442531022728</v>
      </c>
      <c r="L5541">
        <v>13215.3142652592</v>
      </c>
      <c r="M5541">
        <v>250</v>
      </c>
      <c r="N5541">
        <v>53.054532440144399</v>
      </c>
      <c r="O5541">
        <v>52.857864463586203</v>
      </c>
      <c r="P5541">
        <v>-0.82898915034418996</v>
      </c>
      <c r="Q5541">
        <v>0.29890233167959601</v>
      </c>
      <c r="R5541">
        <v>0.97017923197880396</v>
      </c>
      <c r="S5541" t="s">
        <v>11852</v>
      </c>
      <c r="T5541" t="s">
        <v>12620</v>
      </c>
      <c r="U5541" t="s">
        <v>12620</v>
      </c>
      <c r="V5541" t="s">
        <v>12620</v>
      </c>
      <c r="W5541" t="s">
        <v>18102</v>
      </c>
      <c r="X5541">
        <v>16</v>
      </c>
      <c r="Y5541" t="s">
        <v>24197</v>
      </c>
      <c r="Z5541" t="s">
        <v>30488</v>
      </c>
      <c r="AA5541">
        <v>0.59953395089484951</v>
      </c>
      <c r="AB5541" t="str">
        <f>HYPERLINK("Melting_Curves/meltCurve_Q9NRL3_STRN4.pdf", "Melting_Curves/meltCurve_Q9NRL3_STRN4.pdf")</f>
        <v>Melting_Curves/meltCurve_Q9NRL3_STRN4.pdf</v>
      </c>
    </row>
    <row r="5542" spans="1:28" x14ac:dyDescent="0.25">
      <c r="A5542" t="s">
        <v>5546</v>
      </c>
      <c r="B5542">
        <v>0.99987803227770999</v>
      </c>
      <c r="C5542">
        <v>0.93864060778115399</v>
      </c>
      <c r="D5542">
        <v>0.92456376040994304</v>
      </c>
      <c r="E5542">
        <v>0.84459641963726695</v>
      </c>
      <c r="F5542">
        <v>0.74830799523900604</v>
      </c>
      <c r="G5542">
        <v>0.21975341124511799</v>
      </c>
      <c r="H5542">
        <v>0.127364585508395</v>
      </c>
      <c r="I5542">
        <v>0.109775844897746</v>
      </c>
      <c r="J5542">
        <v>6.2136136862830899E-2</v>
      </c>
      <c r="K5542">
        <v>6.0431559081095099E-2</v>
      </c>
      <c r="L5542">
        <v>1482.1870693216999</v>
      </c>
      <c r="M5542">
        <v>27.284183801649</v>
      </c>
      <c r="N5542">
        <v>54.610059163294103</v>
      </c>
      <c r="O5542">
        <v>54.034729214114002</v>
      </c>
      <c r="P5542">
        <v>-0.117830910132372</v>
      </c>
      <c r="Q5542">
        <v>6.6579982568586202E-2</v>
      </c>
      <c r="R5542">
        <v>0.98617072973811903</v>
      </c>
      <c r="S5542" t="s">
        <v>11853</v>
      </c>
      <c r="T5542" t="s">
        <v>12620</v>
      </c>
      <c r="U5542" t="s">
        <v>12620</v>
      </c>
      <c r="V5542" t="s">
        <v>12620</v>
      </c>
      <c r="W5542" t="s">
        <v>18103</v>
      </c>
      <c r="X5542">
        <v>11</v>
      </c>
      <c r="Y5542" t="s">
        <v>24198</v>
      </c>
      <c r="Z5542" t="s">
        <v>30489</v>
      </c>
      <c r="AA5542">
        <v>0.5196211353480471</v>
      </c>
      <c r="AB5542" t="str">
        <f>HYPERLINK("Melting_Curves/meltCurve_Q9NRN7_AASDHPPT.pdf", "Melting_Curves/meltCurve_Q9NRN7_AASDHPPT.pdf")</f>
        <v>Melting_Curves/meltCurve_Q9NRN7_AASDHPPT.pdf</v>
      </c>
    </row>
    <row r="5543" spans="1:28" x14ac:dyDescent="0.25">
      <c r="A5543" t="s">
        <v>5547</v>
      </c>
      <c r="B5543">
        <v>0.99987803227770999</v>
      </c>
      <c r="C5543">
        <v>0.90901900483576603</v>
      </c>
      <c r="D5543">
        <v>1.0718846439762399</v>
      </c>
      <c r="E5543">
        <v>0.93006381474969702</v>
      </c>
      <c r="F5543">
        <v>1.11684897977482</v>
      </c>
      <c r="G5543">
        <v>0.85292256139693201</v>
      </c>
      <c r="H5543">
        <v>0.90517985723040495</v>
      </c>
      <c r="I5543">
        <v>0.77243705148743802</v>
      </c>
      <c r="J5543">
        <v>0.58245782872614404</v>
      </c>
      <c r="K5543">
        <v>0.38199044118832498</v>
      </c>
      <c r="L5543">
        <v>1175.2910511026801</v>
      </c>
      <c r="M5543">
        <v>17.223184075362699</v>
      </c>
      <c r="N5543">
        <v>68.238895488186301</v>
      </c>
      <c r="O5543">
        <v>67.338890041925097</v>
      </c>
      <c r="P5543">
        <v>-6.3945942431737804E-2</v>
      </c>
      <c r="Q5543">
        <v>0</v>
      </c>
      <c r="R5543">
        <v>0.89535450554134899</v>
      </c>
      <c r="S5543" t="s">
        <v>11854</v>
      </c>
      <c r="T5543" t="s">
        <v>12620</v>
      </c>
      <c r="U5543" t="s">
        <v>12620</v>
      </c>
      <c r="V5543" t="s">
        <v>12620</v>
      </c>
      <c r="W5543" t="s">
        <v>18104</v>
      </c>
      <c r="X5543">
        <v>7</v>
      </c>
      <c r="Y5543" t="s">
        <v>24199</v>
      </c>
      <c r="Z5543" t="s">
        <v>30490</v>
      </c>
      <c r="AA5543">
        <v>0.88658623926209623</v>
      </c>
      <c r="AB5543" t="str">
        <f>HYPERLINK("Melting_Curves/meltCurve_Q9NRN9_METTL5.pdf", "Melting_Curves/meltCurve_Q9NRN9_METTL5.pdf")</f>
        <v>Melting_Curves/meltCurve_Q9NRN9_METTL5.pdf</v>
      </c>
    </row>
    <row r="5544" spans="1:28" x14ac:dyDescent="0.25">
      <c r="A5544" t="s">
        <v>5548</v>
      </c>
      <c r="B5544">
        <v>0.99987803227770999</v>
      </c>
      <c r="C5544">
        <v>0.97965666988892497</v>
      </c>
      <c r="D5544">
        <v>1.02348100031964</v>
      </c>
      <c r="E5544">
        <v>0.940628762443386</v>
      </c>
      <c r="F5544">
        <v>0.99764973218772202</v>
      </c>
      <c r="G5544">
        <v>0.85898001014700498</v>
      </c>
      <c r="H5544">
        <v>0.92327458721242095</v>
      </c>
      <c r="I5544">
        <v>0.84268223095086703</v>
      </c>
      <c r="J5544">
        <v>0.76201498949777202</v>
      </c>
      <c r="K5544">
        <v>0.57337275682509103</v>
      </c>
      <c r="L5544">
        <v>810.868001246218</v>
      </c>
      <c r="M5544">
        <v>11.1356589143944</v>
      </c>
      <c r="Q5544">
        <v>0</v>
      </c>
      <c r="R5544">
        <v>0.89932459962015499</v>
      </c>
      <c r="S5544" t="s">
        <v>11855</v>
      </c>
      <c r="T5544" t="s">
        <v>12620</v>
      </c>
      <c r="U5544" t="s">
        <v>12620</v>
      </c>
      <c r="V5544" t="s">
        <v>12620</v>
      </c>
      <c r="W5544" t="s">
        <v>18105</v>
      </c>
      <c r="X5544">
        <v>16</v>
      </c>
      <c r="Y5544" t="s">
        <v>24200</v>
      </c>
      <c r="Z5544" t="s">
        <v>30491</v>
      </c>
      <c r="AA5544">
        <v>0.91591395316438962</v>
      </c>
      <c r="AB5544" t="str">
        <f>HYPERLINK("Melting_Curves/meltCurve_Q9NRR5_UBQLN4.pdf", "Melting_Curves/meltCurve_Q9NRR5_UBQLN4.pdf")</f>
        <v>Melting_Curves/meltCurve_Q9NRR5_UBQLN4.pdf</v>
      </c>
    </row>
    <row r="5545" spans="1:28" x14ac:dyDescent="0.25">
      <c r="A5545" t="s">
        <v>5549</v>
      </c>
      <c r="B5545">
        <v>0.99987803227770999</v>
      </c>
      <c r="C5545">
        <v>0.87961419091956405</v>
      </c>
      <c r="D5545">
        <v>0.92271262318670999</v>
      </c>
      <c r="E5545">
        <v>0.54588001328181002</v>
      </c>
      <c r="F5545">
        <v>0.30290164970261302</v>
      </c>
      <c r="G5545">
        <v>0.15965693079830201</v>
      </c>
      <c r="H5545">
        <v>0.13336439940502101</v>
      </c>
      <c r="I5545">
        <v>0.12922871994853199</v>
      </c>
      <c r="J5545">
        <v>0.10018185322784599</v>
      </c>
      <c r="K5545">
        <v>8.3156702796231496E-2</v>
      </c>
      <c r="L5545">
        <v>1075.97683768505</v>
      </c>
      <c r="M5545">
        <v>21.512912567102902</v>
      </c>
      <c r="N5545">
        <v>50.550380320922301</v>
      </c>
      <c r="O5545">
        <v>49.589229303321098</v>
      </c>
      <c r="P5545">
        <v>-9.7416302717131101E-2</v>
      </c>
      <c r="Q5545">
        <v>0.101807777550592</v>
      </c>
      <c r="R5545">
        <v>0.99061594400304998</v>
      </c>
      <c r="S5545" t="s">
        <v>11856</v>
      </c>
      <c r="T5545" t="s">
        <v>12620</v>
      </c>
      <c r="U5545" t="s">
        <v>12620</v>
      </c>
      <c r="V5545" t="s">
        <v>12620</v>
      </c>
      <c r="W5545" t="s">
        <v>18106</v>
      </c>
      <c r="X5545">
        <v>9</v>
      </c>
      <c r="Y5545" t="s">
        <v>24201</v>
      </c>
      <c r="Z5545" t="s">
        <v>30492</v>
      </c>
      <c r="AA5545">
        <v>0.41250148378685841</v>
      </c>
      <c r="AB5545" t="str">
        <f>HYPERLINK("Melting_Curves/meltCurve_Q9NRS6_SNX15.pdf", "Melting_Curves/meltCurve_Q9NRS6_SNX15.pdf")</f>
        <v>Melting_Curves/meltCurve_Q9NRS6_SNX15.pdf</v>
      </c>
    </row>
    <row r="5546" spans="1:28" x14ac:dyDescent="0.25">
      <c r="A5546" t="s">
        <v>5550</v>
      </c>
      <c r="B5546">
        <v>0.99987803227770999</v>
      </c>
      <c r="C5546">
        <v>0.77118433124868901</v>
      </c>
      <c r="D5546">
        <v>0.98286224967973501</v>
      </c>
      <c r="E5546">
        <v>0.78880023789532605</v>
      </c>
      <c r="F5546">
        <v>0.85556290416945202</v>
      </c>
      <c r="G5546">
        <v>0.350535744968278</v>
      </c>
      <c r="H5546">
        <v>0.14447592766819001</v>
      </c>
      <c r="I5546">
        <v>0.103832557430179</v>
      </c>
      <c r="J5546">
        <v>8.6794486943826202E-2</v>
      </c>
      <c r="K5546">
        <v>6.3976292017006497E-2</v>
      </c>
      <c r="L5546">
        <v>1252.7567791910899</v>
      </c>
      <c r="M5546">
        <v>22.589314648622199</v>
      </c>
      <c r="N5546">
        <v>55.735540562988</v>
      </c>
      <c r="O5546">
        <v>55.028805738044802</v>
      </c>
      <c r="P5546">
        <v>-9.7166492826154499E-2</v>
      </c>
      <c r="Q5546">
        <v>5.3207502822088401E-2</v>
      </c>
      <c r="R5546">
        <v>0.94217679939304999</v>
      </c>
      <c r="S5546" t="s">
        <v>11857</v>
      </c>
      <c r="T5546" t="s">
        <v>12620</v>
      </c>
      <c r="U5546" t="s">
        <v>12620</v>
      </c>
      <c r="V5546" t="s">
        <v>12620</v>
      </c>
      <c r="W5546" t="s">
        <v>18107</v>
      </c>
      <c r="X5546">
        <v>10</v>
      </c>
      <c r="Y5546" t="s">
        <v>24202</v>
      </c>
      <c r="Z5546" t="s">
        <v>30493</v>
      </c>
      <c r="AA5546">
        <v>0.5513934590764239</v>
      </c>
      <c r="AB5546" t="str">
        <f>HYPERLINK("Melting_Curves/meltCurve_Q9NRV9_HEBP1.pdf", "Melting_Curves/meltCurve_Q9NRV9_HEBP1.pdf")</f>
        <v>Melting_Curves/meltCurve_Q9NRV9_HEBP1.pdf</v>
      </c>
    </row>
    <row r="5547" spans="1:28" x14ac:dyDescent="0.25">
      <c r="A5547" t="s">
        <v>5551</v>
      </c>
      <c r="B5547">
        <v>0.99987803227770999</v>
      </c>
      <c r="C5547">
        <v>0.98700706708572605</v>
      </c>
      <c r="D5547">
        <v>0.84301911142060504</v>
      </c>
      <c r="E5547">
        <v>0.55227646784607298</v>
      </c>
      <c r="F5547">
        <v>0.21383938168674299</v>
      </c>
      <c r="G5547">
        <v>0.13559702168573301</v>
      </c>
      <c r="H5547">
        <v>9.9524595478081304E-2</v>
      </c>
      <c r="I5547">
        <v>7.6238876946661302E-2</v>
      </c>
      <c r="J5547">
        <v>6.4055510426173606E-2</v>
      </c>
      <c r="K5547">
        <v>4.31533891388119E-2</v>
      </c>
      <c r="L5547">
        <v>1106.58217319152</v>
      </c>
      <c r="M5547">
        <v>22.204327910179</v>
      </c>
      <c r="N5547">
        <v>50.140646031385799</v>
      </c>
      <c r="O5547">
        <v>49.437386537901602</v>
      </c>
      <c r="P5547">
        <v>-0.105209028457025</v>
      </c>
      <c r="Q5547">
        <v>6.30389739845197E-2</v>
      </c>
      <c r="R5547">
        <v>0.99599878029685096</v>
      </c>
      <c r="S5547" t="s">
        <v>11858</v>
      </c>
      <c r="T5547" t="s">
        <v>12620</v>
      </c>
      <c r="U5547" t="s">
        <v>12620</v>
      </c>
      <c r="V5547" t="s">
        <v>12620</v>
      </c>
      <c r="W5547" t="s">
        <v>18108</v>
      </c>
      <c r="X5547">
        <v>8</v>
      </c>
      <c r="Y5547" t="s">
        <v>24203</v>
      </c>
      <c r="Z5547" t="s">
        <v>30494</v>
      </c>
      <c r="AA5547">
        <v>0.38085739734886648</v>
      </c>
      <c r="AB5547" t="str">
        <f>HYPERLINK("Melting_Curves/meltCurve_Q9NRW7_VPS45.pdf", "Melting_Curves/meltCurve_Q9NRW7_VPS45.pdf")</f>
        <v>Melting_Curves/meltCurve_Q9NRW7_VPS45.pdf</v>
      </c>
    </row>
    <row r="5548" spans="1:28" x14ac:dyDescent="0.25">
      <c r="A5548" t="s">
        <v>5552</v>
      </c>
      <c r="B5548">
        <v>0.99987803227770999</v>
      </c>
      <c r="C5548">
        <v>0.72992365097619205</v>
      </c>
      <c r="D5548">
        <v>0.60248923515521202</v>
      </c>
      <c r="E5548">
        <v>0.45396739161070998</v>
      </c>
      <c r="F5548">
        <v>0.40130028955628</v>
      </c>
      <c r="G5548">
        <v>0.25329233856722499</v>
      </c>
      <c r="H5548">
        <v>0.25792916741239602</v>
      </c>
      <c r="I5548">
        <v>0.18480155147202099</v>
      </c>
      <c r="J5548">
        <v>0.25539587071884101</v>
      </c>
      <c r="K5548">
        <v>0.22667542441163199</v>
      </c>
      <c r="L5548">
        <v>579.44734105337602</v>
      </c>
      <c r="M5548">
        <v>12.493141136122601</v>
      </c>
      <c r="N5548">
        <v>48.521686776680198</v>
      </c>
      <c r="O5548">
        <v>45.240959064414596</v>
      </c>
      <c r="P5548">
        <v>-5.4422732165150998E-2</v>
      </c>
      <c r="Q5548">
        <v>0.211846034201535</v>
      </c>
      <c r="R5548">
        <v>0.96804986723562403</v>
      </c>
      <c r="S5548" t="s">
        <v>11859</v>
      </c>
      <c r="T5548" t="s">
        <v>12620</v>
      </c>
      <c r="U5548" t="s">
        <v>12620</v>
      </c>
      <c r="V5548" t="s">
        <v>12620</v>
      </c>
      <c r="W5548" t="s">
        <v>18109</v>
      </c>
      <c r="X5548">
        <v>2</v>
      </c>
      <c r="Y5548" t="s">
        <v>24204</v>
      </c>
      <c r="Z5548" t="s">
        <v>30495</v>
      </c>
      <c r="AA5548">
        <v>0.41169421090982838</v>
      </c>
      <c r="AB5548" t="str">
        <f>HYPERLINK("Melting_Curves/meltCurve_Q9NRX1_PNO1.pdf", "Melting_Curves/meltCurve_Q9NRX1_PNO1.pdf")</f>
        <v>Melting_Curves/meltCurve_Q9NRX1_PNO1.pdf</v>
      </c>
    </row>
    <row r="5549" spans="1:28" x14ac:dyDescent="0.25">
      <c r="A5549" t="s">
        <v>5553</v>
      </c>
      <c r="B5549">
        <v>0.99987803227770999</v>
      </c>
      <c r="C5549">
        <v>0.81951813915558003</v>
      </c>
      <c r="D5549">
        <v>0.90260884495852001</v>
      </c>
      <c r="E5549">
        <v>0.73960204303504296</v>
      </c>
      <c r="F5549">
        <v>0.86891009516670004</v>
      </c>
      <c r="G5549">
        <v>0.58241292496713704</v>
      </c>
      <c r="H5549">
        <v>0.61350214201388398</v>
      </c>
      <c r="I5549">
        <v>0.50088650433786897</v>
      </c>
      <c r="J5549">
        <v>0.832074369744361</v>
      </c>
      <c r="K5549">
        <v>0.44287113049748</v>
      </c>
      <c r="L5549">
        <v>357.56021466591199</v>
      </c>
      <c r="M5549">
        <v>6.7715124560106599</v>
      </c>
      <c r="O5549">
        <v>48.771785766761298</v>
      </c>
      <c r="P5549">
        <v>-1.80479541702784E-2</v>
      </c>
      <c r="Q5549">
        <v>0.48112485058489701</v>
      </c>
      <c r="R5549">
        <v>0.58198831753973201</v>
      </c>
      <c r="S5549" t="s">
        <v>11860</v>
      </c>
      <c r="T5549" t="s">
        <v>12620</v>
      </c>
      <c r="U5549" t="s">
        <v>12620</v>
      </c>
      <c r="V5549" t="s">
        <v>12620</v>
      </c>
      <c r="W5549" t="s">
        <v>18110</v>
      </c>
      <c r="X5549">
        <v>6</v>
      </c>
      <c r="Y5549" t="s">
        <v>24205</v>
      </c>
      <c r="Z5549" t="s">
        <v>30496</v>
      </c>
      <c r="AA5549">
        <v>0.72680127584596455</v>
      </c>
      <c r="AB5549" t="str">
        <f>HYPERLINK("Melting_Curves/meltCurve_Q9NRX4_PHPT1.pdf", "Melting_Curves/meltCurve_Q9NRX4_PHPT1.pdf")</f>
        <v>Melting_Curves/meltCurve_Q9NRX4_PHPT1.pdf</v>
      </c>
    </row>
    <row r="5550" spans="1:28" x14ac:dyDescent="0.25">
      <c r="A5550" t="s">
        <v>5554</v>
      </c>
      <c r="B5550">
        <v>0.99987803227770999</v>
      </c>
      <c r="C5550">
        <v>0.86170268425982599</v>
      </c>
      <c r="D5550">
        <v>0.69357056097717695</v>
      </c>
      <c r="E5550">
        <v>0.60187783792139005</v>
      </c>
      <c r="F5550">
        <v>0.74770624236106698</v>
      </c>
      <c r="G5550">
        <v>0.87140301447608004</v>
      </c>
      <c r="H5550">
        <v>1.0383382582726</v>
      </c>
      <c r="I5550">
        <v>1.2862074618083299</v>
      </c>
      <c r="J5550">
        <v>1.20623158222039</v>
      </c>
      <c r="K5550">
        <v>1.0051413450289199</v>
      </c>
      <c r="L5550">
        <v>10225.862037802601</v>
      </c>
      <c r="M5550">
        <v>250</v>
      </c>
      <c r="O5550">
        <v>40.900808202466401</v>
      </c>
      <c r="P5550">
        <v>-0.116783254335738</v>
      </c>
      <c r="Q5550">
        <v>0.92357548608766205</v>
      </c>
      <c r="R5550">
        <v>1.2176124348029701E-2</v>
      </c>
      <c r="S5550" t="s">
        <v>11861</v>
      </c>
      <c r="T5550" t="s">
        <v>12620</v>
      </c>
      <c r="U5550" t="s">
        <v>12620</v>
      </c>
      <c r="V5550" t="s">
        <v>12620</v>
      </c>
      <c r="W5550" t="s">
        <v>18111</v>
      </c>
      <c r="X5550">
        <v>3</v>
      </c>
      <c r="Y5550" t="s">
        <v>24206</v>
      </c>
      <c r="Z5550" t="s">
        <v>30497</v>
      </c>
      <c r="AA5550">
        <v>0.92588388530219656</v>
      </c>
      <c r="AB5550" t="str">
        <f>HYPERLINK("Melting_Curves/meltCurve_Q9NRY2_INIP.pdf", "Melting_Curves/meltCurve_Q9NRY2_INIP.pdf")</f>
        <v>Melting_Curves/meltCurve_Q9NRY2_INIP.pdf</v>
      </c>
    </row>
    <row r="5551" spans="1:28" x14ac:dyDescent="0.25">
      <c r="A5551" t="s">
        <v>5555</v>
      </c>
      <c r="B5551">
        <v>0.99987803227770999</v>
      </c>
      <c r="C5551">
        <v>1.0507494560908399</v>
      </c>
      <c r="D5551">
        <v>0.85866087963735205</v>
      </c>
      <c r="E5551">
        <v>0.49425723472746502</v>
      </c>
      <c r="F5551">
        <v>0.24591472200536299</v>
      </c>
      <c r="G5551">
        <v>0.16963157397363601</v>
      </c>
      <c r="H5551">
        <v>0.14283398997027999</v>
      </c>
      <c r="I5551">
        <v>0.126003848080708</v>
      </c>
      <c r="J5551">
        <v>0.108721770729537</v>
      </c>
      <c r="K5551">
        <v>7.9917902949179401E-2</v>
      </c>
      <c r="L5551">
        <v>1225.0564070615701</v>
      </c>
      <c r="M5551">
        <v>24.802706370761701</v>
      </c>
      <c r="N5551">
        <v>49.9197449854531</v>
      </c>
      <c r="O5551">
        <v>49.074325161470703</v>
      </c>
      <c r="P5551">
        <v>-0.11178400289818501</v>
      </c>
      <c r="Q5551">
        <v>0.11531454614736</v>
      </c>
      <c r="R5551">
        <v>0.994422295693287</v>
      </c>
      <c r="S5551" t="s">
        <v>11862</v>
      </c>
      <c r="T5551" t="s">
        <v>12620</v>
      </c>
      <c r="U5551" t="s">
        <v>12620</v>
      </c>
      <c r="V5551" t="s">
        <v>12620</v>
      </c>
      <c r="W5551" t="s">
        <v>18112</v>
      </c>
      <c r="X5551">
        <v>21</v>
      </c>
      <c r="Y5551" t="s">
        <v>24207</v>
      </c>
      <c r="Z5551" t="s">
        <v>30498</v>
      </c>
      <c r="AA5551">
        <v>0.4002719039925039</v>
      </c>
      <c r="AB5551" t="str">
        <f>HYPERLINK("Melting_Curves/meltCurve_Q9NRY4_ARHGAP35.pdf", "Melting_Curves/meltCurve_Q9NRY4_ARHGAP35.pdf")</f>
        <v>Melting_Curves/meltCurve_Q9NRY4_ARHGAP35.pdf</v>
      </c>
    </row>
    <row r="5552" spans="1:28" x14ac:dyDescent="0.25">
      <c r="A5552" t="s">
        <v>5556</v>
      </c>
      <c r="B5552">
        <v>0.99987803227770999</v>
      </c>
      <c r="C5552">
        <v>0.95629040343696603</v>
      </c>
      <c r="D5552">
        <v>1.00936982606631</v>
      </c>
      <c r="E5552">
        <v>0.92625938213481795</v>
      </c>
      <c r="F5552">
        <v>0.95828601401608005</v>
      </c>
      <c r="G5552">
        <v>0.56620542969056697</v>
      </c>
      <c r="H5552">
        <v>0.26565793816254202</v>
      </c>
      <c r="I5552">
        <v>0.217771426714471</v>
      </c>
      <c r="J5552">
        <v>0.18106560773247901</v>
      </c>
      <c r="K5552">
        <v>0.137521638651185</v>
      </c>
      <c r="L5552">
        <v>1744.5702661811999</v>
      </c>
      <c r="M5552">
        <v>30.624010063631498</v>
      </c>
      <c r="N5552">
        <v>57.722673937994799</v>
      </c>
      <c r="O5552">
        <v>56.726140472097498</v>
      </c>
      <c r="P5552">
        <v>-0.112685792339285</v>
      </c>
      <c r="Q5552">
        <v>0.165074523757509</v>
      </c>
      <c r="R5552">
        <v>0.99335604944004696</v>
      </c>
      <c r="S5552" t="s">
        <v>11863</v>
      </c>
      <c r="T5552" t="s">
        <v>12620</v>
      </c>
      <c r="U5552" t="s">
        <v>12620</v>
      </c>
      <c r="V5552" t="s">
        <v>12620</v>
      </c>
      <c r="W5552" t="s">
        <v>18113</v>
      </c>
      <c r="X5552">
        <v>11</v>
      </c>
      <c r="Y5552" t="s">
        <v>24208</v>
      </c>
      <c r="Z5552" t="s">
        <v>30499</v>
      </c>
      <c r="AA5552">
        <v>0.64265363536725983</v>
      </c>
      <c r="AB5552" t="str">
        <f>HYPERLINK("Melting_Curves/meltCurve_Q9NRY5_FAM114A2.pdf", "Melting_Curves/meltCurve_Q9NRY5_FAM114A2.pdf")</f>
        <v>Melting_Curves/meltCurve_Q9NRY5_FAM114A2.pdf</v>
      </c>
    </row>
    <row r="5553" spans="1:28" x14ac:dyDescent="0.25">
      <c r="A5553" t="s">
        <v>5557</v>
      </c>
      <c r="B5553">
        <v>0.99987803227770999</v>
      </c>
      <c r="C5553">
        <v>0.69465403215196897</v>
      </c>
      <c r="D5553">
        <v>0.443471100089468</v>
      </c>
      <c r="E5553">
        <v>0.37949634978769498</v>
      </c>
      <c r="F5553">
        <v>0.31890217102516999</v>
      </c>
      <c r="G5553">
        <v>0.214469340626535</v>
      </c>
      <c r="H5553">
        <v>0.20126182374849499</v>
      </c>
      <c r="I5553">
        <v>0.184697576880785</v>
      </c>
      <c r="J5553">
        <v>0.19630769712069501</v>
      </c>
      <c r="K5553">
        <v>0.15726989588366799</v>
      </c>
      <c r="L5553">
        <v>740.02250150174302</v>
      </c>
      <c r="M5553">
        <v>16.563364344394099</v>
      </c>
      <c r="N5553">
        <v>46.081767325229102</v>
      </c>
      <c r="O5553">
        <v>44.042242977980997</v>
      </c>
      <c r="P5553">
        <v>-7.5400955469621694E-2</v>
      </c>
      <c r="Q5553">
        <v>0.198085446333228</v>
      </c>
      <c r="R5553">
        <v>0.96126906157686598</v>
      </c>
      <c r="S5553" t="s">
        <v>11864</v>
      </c>
      <c r="T5553" t="s">
        <v>12620</v>
      </c>
      <c r="U5553" t="s">
        <v>12620</v>
      </c>
      <c r="V5553" t="s">
        <v>12620</v>
      </c>
      <c r="W5553" t="s">
        <v>18114</v>
      </c>
      <c r="X5553">
        <v>18</v>
      </c>
      <c r="Y5553" t="s">
        <v>24209</v>
      </c>
      <c r="Z5553" t="s">
        <v>30500</v>
      </c>
      <c r="AA5553">
        <v>0.34475054813261619</v>
      </c>
      <c r="AB5553" t="str">
        <f>HYPERLINK("Melting_Curves/meltCurve_Q9NRZ9_3_HELLS.pdf", "Melting_Curves/meltCurve_Q9NRZ9_3_HELLS.pdf")</f>
        <v>Melting_Curves/meltCurve_Q9NRZ9_3_HELLS.pdf</v>
      </c>
    </row>
    <row r="5554" spans="1:28" x14ac:dyDescent="0.25">
      <c r="A5554" t="s">
        <v>5558</v>
      </c>
      <c r="B5554">
        <v>0.99987803227770999</v>
      </c>
      <c r="C5554">
        <v>0.723798078246077</v>
      </c>
      <c r="D5554">
        <v>0.917726278018691</v>
      </c>
      <c r="E5554">
        <v>0.73359731189767297</v>
      </c>
      <c r="F5554">
        <v>0.932753099860962</v>
      </c>
      <c r="G5554">
        <v>0.43786257982694499</v>
      </c>
      <c r="H5554">
        <v>0.65669884871399198</v>
      </c>
      <c r="I5554">
        <v>0.52412124159326001</v>
      </c>
      <c r="J5554">
        <v>0.99167287053414299</v>
      </c>
      <c r="K5554">
        <v>0.74782652776622305</v>
      </c>
      <c r="L5554">
        <v>528.96315281468003</v>
      </c>
      <c r="M5554">
        <v>12.0342736022791</v>
      </c>
      <c r="O5554">
        <v>42.793782138101101</v>
      </c>
      <c r="P5554">
        <v>-2.0984449872067001E-2</v>
      </c>
      <c r="Q5554">
        <v>0.70158899125485397</v>
      </c>
      <c r="R5554">
        <v>0.179090087732235</v>
      </c>
      <c r="S5554" t="s">
        <v>11865</v>
      </c>
      <c r="T5554" t="s">
        <v>12620</v>
      </c>
      <c r="U5554" t="s">
        <v>12620</v>
      </c>
      <c r="V5554" t="s">
        <v>12620</v>
      </c>
      <c r="W5554" t="s">
        <v>18115</v>
      </c>
      <c r="X5554">
        <v>1</v>
      </c>
      <c r="Y5554" t="s">
        <v>24210</v>
      </c>
      <c r="Z5554" t="s">
        <v>30501</v>
      </c>
      <c r="AA5554">
        <v>0.75752011159869659</v>
      </c>
      <c r="AB5554" t="str">
        <f>HYPERLINK("Melting_Curves/meltCurve_Q9NS18_GLRX2.pdf", "Melting_Curves/meltCurve_Q9NS18_GLRX2.pdf")</f>
        <v>Melting_Curves/meltCurve_Q9NS18_GLRX2.pdf</v>
      </c>
    </row>
    <row r="5555" spans="1:28" x14ac:dyDescent="0.25">
      <c r="A5555" t="s">
        <v>5559</v>
      </c>
      <c r="B5555">
        <v>0.99987803227770999</v>
      </c>
      <c r="C5555">
        <v>1.10970167722678</v>
      </c>
      <c r="D5555">
        <v>0.99225716948150899</v>
      </c>
      <c r="E5555">
        <v>0.99434367148148095</v>
      </c>
      <c r="F5555">
        <v>0.84610325048379598</v>
      </c>
      <c r="G5555">
        <v>0.74784815524499004</v>
      </c>
      <c r="H5555">
        <v>0.53722929781214801</v>
      </c>
      <c r="I5555">
        <v>0.60511686960406896</v>
      </c>
      <c r="J5555">
        <v>0.54900617367487303</v>
      </c>
      <c r="K5555">
        <v>0.44019606445110998</v>
      </c>
      <c r="L5555">
        <v>1017.6685229452499</v>
      </c>
      <c r="M5555">
        <v>17.979869205934001</v>
      </c>
      <c r="N5555">
        <v>69.503111388193602</v>
      </c>
      <c r="O5555">
        <v>55.914212199606702</v>
      </c>
      <c r="P5555">
        <v>-4.1624784750384301E-2</v>
      </c>
      <c r="Q5555">
        <v>0.48224279430608402</v>
      </c>
      <c r="R5555">
        <v>0.94555719325475296</v>
      </c>
      <c r="S5555" t="s">
        <v>11866</v>
      </c>
      <c r="T5555" t="s">
        <v>12620</v>
      </c>
      <c r="U5555" t="s">
        <v>12620</v>
      </c>
      <c r="V5555" t="s">
        <v>12620</v>
      </c>
      <c r="W5555" t="s">
        <v>18116</v>
      </c>
      <c r="X5555">
        <v>3</v>
      </c>
      <c r="Y5555" t="s">
        <v>24211</v>
      </c>
      <c r="Z5555" t="s">
        <v>30502</v>
      </c>
      <c r="AA5555">
        <v>0.7760840210758938</v>
      </c>
      <c r="AB5555" t="str">
        <f>HYPERLINK("Melting_Curves/meltCurve_Q9NS37_CREBZF.pdf", "Melting_Curves/meltCurve_Q9NS37_CREBZF.pdf")</f>
        <v>Melting_Curves/meltCurve_Q9NS37_CREBZF.pdf</v>
      </c>
    </row>
    <row r="5556" spans="1:28" x14ac:dyDescent="0.25">
      <c r="A5556" t="s">
        <v>5560</v>
      </c>
      <c r="B5556">
        <v>0.99987803227770999</v>
      </c>
      <c r="C5556">
        <v>1.17347479215576</v>
      </c>
      <c r="D5556">
        <v>1.1751546381025499</v>
      </c>
      <c r="E5556">
        <v>1.0141841258030999</v>
      </c>
      <c r="F5556">
        <v>0.79607999701004994</v>
      </c>
      <c r="G5556">
        <v>0.42039710005470399</v>
      </c>
      <c r="H5556">
        <v>0.385232622323949</v>
      </c>
      <c r="I5556">
        <v>0.28571350549833902</v>
      </c>
      <c r="J5556">
        <v>0.25767954152232497</v>
      </c>
      <c r="K5556">
        <v>0.157437199930692</v>
      </c>
      <c r="L5556">
        <v>1587.9543275880301</v>
      </c>
      <c r="M5556">
        <v>28.8732579701262</v>
      </c>
      <c r="N5556">
        <v>56.348714877723403</v>
      </c>
      <c r="O5556">
        <v>54.735615701671797</v>
      </c>
      <c r="P5556">
        <v>-9.89319212331424E-2</v>
      </c>
      <c r="Q5556">
        <v>0.24981676171109099</v>
      </c>
      <c r="R5556">
        <v>0.94309742764300497</v>
      </c>
      <c r="S5556" t="s">
        <v>11867</v>
      </c>
      <c r="T5556" t="s">
        <v>12620</v>
      </c>
      <c r="U5556" t="s">
        <v>12620</v>
      </c>
      <c r="V5556" t="s">
        <v>12620</v>
      </c>
      <c r="W5556" t="s">
        <v>18117</v>
      </c>
      <c r="X5556">
        <v>1</v>
      </c>
      <c r="Y5556" t="s">
        <v>24212</v>
      </c>
      <c r="Z5556" t="s">
        <v>30503</v>
      </c>
      <c r="AA5556">
        <v>0.63019026815413592</v>
      </c>
      <c r="AB5556" t="str">
        <f>HYPERLINK("Melting_Curves/meltCurve_Q9NS73_3_MBIP.pdf", "Melting_Curves/meltCurve_Q9NS73_3_MBIP.pdf")</f>
        <v>Melting_Curves/meltCurve_Q9NS73_3_MBIP.pdf</v>
      </c>
    </row>
    <row r="5557" spans="1:28" x14ac:dyDescent="0.25">
      <c r="A5557" t="s">
        <v>5561</v>
      </c>
      <c r="B5557">
        <v>0.99987803227770999</v>
      </c>
      <c r="C5557">
        <v>0.93398887359167904</v>
      </c>
      <c r="D5557">
        <v>0.91473534746865404</v>
      </c>
      <c r="E5557">
        <v>0.95928090868435401</v>
      </c>
      <c r="F5557">
        <v>1.0580243643074301</v>
      </c>
      <c r="G5557">
        <v>0.91335166674985202</v>
      </c>
      <c r="H5557">
        <v>0.56327859055800999</v>
      </c>
      <c r="I5557">
        <v>0.20943152697207801</v>
      </c>
      <c r="J5557">
        <v>0.13131446642180999</v>
      </c>
      <c r="K5557">
        <v>0.102166217902194</v>
      </c>
      <c r="L5557">
        <v>2278.8794475361101</v>
      </c>
      <c r="M5557">
        <v>37.344021990964997</v>
      </c>
      <c r="N5557">
        <v>61.358007240619997</v>
      </c>
      <c r="O5557">
        <v>60.849757448006599</v>
      </c>
      <c r="P5557">
        <v>-0.139314303238116</v>
      </c>
      <c r="Q5557">
        <v>9.1986785255738696E-2</v>
      </c>
      <c r="R5557">
        <v>0.98662069130386099</v>
      </c>
      <c r="S5557" t="s">
        <v>11868</v>
      </c>
      <c r="T5557" t="s">
        <v>12620</v>
      </c>
      <c r="U5557" t="s">
        <v>12620</v>
      </c>
      <c r="V5557" t="s">
        <v>12620</v>
      </c>
      <c r="W5557" t="s">
        <v>18118</v>
      </c>
      <c r="X5557">
        <v>12</v>
      </c>
      <c r="Y5557" t="s">
        <v>24213</v>
      </c>
      <c r="Z5557" t="s">
        <v>30504</v>
      </c>
      <c r="AA5557">
        <v>0.73214587224259764</v>
      </c>
      <c r="AB5557" t="str">
        <f>HYPERLINK("Melting_Curves/meltCurve_Q9NS86_LANCL2.pdf", "Melting_Curves/meltCurve_Q9NS86_LANCL2.pdf")</f>
        <v>Melting_Curves/meltCurve_Q9NS86_LANCL2.pdf</v>
      </c>
    </row>
    <row r="5558" spans="1:28" x14ac:dyDescent="0.25">
      <c r="A5558" t="s">
        <v>5562</v>
      </c>
      <c r="B5558">
        <v>0.99987803227770999</v>
      </c>
      <c r="C5558">
        <v>1.1256592583968199</v>
      </c>
      <c r="D5558">
        <v>0.64617043208373703</v>
      </c>
      <c r="E5558">
        <v>0.50813163613403101</v>
      </c>
      <c r="F5558">
        <v>0.350405669016356</v>
      </c>
      <c r="G5558">
        <v>0.26924161107523698</v>
      </c>
      <c r="H5558">
        <v>0.20103736658377</v>
      </c>
      <c r="I5558">
        <v>0.18280560986328601</v>
      </c>
      <c r="J5558">
        <v>0.17000333521584399</v>
      </c>
      <c r="K5558">
        <v>0.122457832827282</v>
      </c>
      <c r="L5558">
        <v>845.25396293054905</v>
      </c>
      <c r="M5558">
        <v>17.358177555367099</v>
      </c>
      <c r="N5558">
        <v>49.872349838813598</v>
      </c>
      <c r="O5558">
        <v>48.062354840220003</v>
      </c>
      <c r="P5558">
        <v>-7.5114796753264407E-2</v>
      </c>
      <c r="Q5558">
        <v>0.16811808304656101</v>
      </c>
      <c r="R5558">
        <v>0.94647828172944404</v>
      </c>
      <c r="S5558" t="s">
        <v>11869</v>
      </c>
      <c r="T5558" t="s">
        <v>12620</v>
      </c>
      <c r="U5558" t="s">
        <v>12620</v>
      </c>
      <c r="V5558" t="s">
        <v>12620</v>
      </c>
      <c r="W5558" t="s">
        <v>18119</v>
      </c>
      <c r="X5558">
        <v>24</v>
      </c>
      <c r="Y5558" t="s">
        <v>24214</v>
      </c>
      <c r="Z5558" t="s">
        <v>30505</v>
      </c>
      <c r="AA5558">
        <v>0.42481949272799591</v>
      </c>
      <c r="AB5558" t="str">
        <f>HYPERLINK("Melting_Curves/meltCurve_Q9NS87_2_KIF15.pdf", "Melting_Curves/meltCurve_Q9NS87_2_KIF15.pdf")</f>
        <v>Melting_Curves/meltCurve_Q9NS87_2_KIF15.pdf</v>
      </c>
    </row>
    <row r="5559" spans="1:28" x14ac:dyDescent="0.25">
      <c r="A5559" t="s">
        <v>5563</v>
      </c>
      <c r="B5559">
        <v>0.99987803227770999</v>
      </c>
      <c r="C5559">
        <v>1.02023506454944</v>
      </c>
      <c r="D5559">
        <v>0.96726250425223703</v>
      </c>
      <c r="E5559">
        <v>0.97152899045531604</v>
      </c>
      <c r="F5559">
        <v>0.91555686424815397</v>
      </c>
      <c r="G5559">
        <v>0.84836408252721096</v>
      </c>
      <c r="H5559">
        <v>0.881479163725439</v>
      </c>
      <c r="I5559">
        <v>0.82759044193894704</v>
      </c>
      <c r="J5559">
        <v>0.75554781390753101</v>
      </c>
      <c r="K5559">
        <v>0.53077262790768298</v>
      </c>
      <c r="L5559">
        <v>634.11016447036502</v>
      </c>
      <c r="M5559">
        <v>8.6405450431688795</v>
      </c>
      <c r="O5559">
        <v>69.774409424530006</v>
      </c>
      <c r="P5559">
        <v>-3.0985087289257199E-2</v>
      </c>
      <c r="Q5559">
        <v>0</v>
      </c>
      <c r="R5559">
        <v>0.88868183586923999</v>
      </c>
      <c r="S5559" t="s">
        <v>11870</v>
      </c>
      <c r="T5559" t="s">
        <v>12620</v>
      </c>
      <c r="U5559" t="s">
        <v>12620</v>
      </c>
      <c r="V5559" t="s">
        <v>12620</v>
      </c>
      <c r="W5559" t="s">
        <v>18120</v>
      </c>
      <c r="X5559">
        <v>15</v>
      </c>
      <c r="Y5559" t="s">
        <v>24215</v>
      </c>
      <c r="Z5559" t="s">
        <v>30506</v>
      </c>
      <c r="AA5559">
        <v>0.89430345145471812</v>
      </c>
      <c r="AB5559" t="str">
        <f>HYPERLINK("Melting_Curves/meltCurve_Q9NS91_RAD18.pdf", "Melting_Curves/meltCurve_Q9NS91_RAD18.pdf")</f>
        <v>Melting_Curves/meltCurve_Q9NS91_RAD18.pdf</v>
      </c>
    </row>
    <row r="5560" spans="1:28" x14ac:dyDescent="0.25">
      <c r="A5560" t="s">
        <v>5564</v>
      </c>
      <c r="B5560">
        <v>0.99987803227770999</v>
      </c>
      <c r="C5560">
        <v>0.81897025128212397</v>
      </c>
      <c r="D5560">
        <v>1.0066192018394</v>
      </c>
      <c r="E5560">
        <v>0.83653195763421295</v>
      </c>
      <c r="F5560">
        <v>1.0651495710516199</v>
      </c>
      <c r="G5560">
        <v>0.92303523296072398</v>
      </c>
      <c r="H5560">
        <v>0.85671655466238805</v>
      </c>
      <c r="I5560">
        <v>0.80809636965533804</v>
      </c>
      <c r="J5560">
        <v>0.79529252552010199</v>
      </c>
      <c r="K5560">
        <v>0.65725690040372997</v>
      </c>
      <c r="L5560">
        <v>474.592376110499</v>
      </c>
      <c r="M5560">
        <v>5.9593784168419903</v>
      </c>
      <c r="Q5560">
        <v>0</v>
      </c>
      <c r="R5560">
        <v>0.51626675618649498</v>
      </c>
      <c r="S5560" t="s">
        <v>11871</v>
      </c>
      <c r="T5560" t="s">
        <v>12620</v>
      </c>
      <c r="U5560" t="s">
        <v>12620</v>
      </c>
      <c r="V5560" t="s">
        <v>12620</v>
      </c>
      <c r="W5560" t="s">
        <v>18121</v>
      </c>
      <c r="X5560">
        <v>4</v>
      </c>
      <c r="Y5560" t="s">
        <v>24216</v>
      </c>
      <c r="Z5560" t="s">
        <v>30507</v>
      </c>
      <c r="AA5560">
        <v>0.90318639246875632</v>
      </c>
      <c r="AB5560" t="str">
        <f>HYPERLINK("Melting_Curves/meltCurve_Q9NSA3_CTNNBIP1.pdf", "Melting_Curves/meltCurve_Q9NSA3_CTNNBIP1.pdf")</f>
        <v>Melting_Curves/meltCurve_Q9NSA3_CTNNBIP1.pdf</v>
      </c>
    </row>
    <row r="5561" spans="1:28" x14ac:dyDescent="0.25">
      <c r="A5561" t="s">
        <v>5565</v>
      </c>
      <c r="B5561">
        <v>0.99987803227770999</v>
      </c>
      <c r="C5561">
        <v>1.0132692829330301</v>
      </c>
      <c r="D5561">
        <v>0.99678628865020502</v>
      </c>
      <c r="E5561">
        <v>0.85508318940152495</v>
      </c>
      <c r="F5561">
        <v>0.66895704037023096</v>
      </c>
      <c r="G5561">
        <v>0.47353887171902798</v>
      </c>
      <c r="H5561">
        <v>0.36961111738549002</v>
      </c>
      <c r="I5561">
        <v>0.35454496054919199</v>
      </c>
      <c r="J5561">
        <v>0.211094614525139</v>
      </c>
      <c r="K5561">
        <v>0.14729229704386801</v>
      </c>
      <c r="L5561">
        <v>719.68485749496097</v>
      </c>
      <c r="M5561">
        <v>12.9251663500495</v>
      </c>
      <c r="N5561">
        <v>57.118620974668303</v>
      </c>
      <c r="O5561">
        <v>54.398572237855802</v>
      </c>
      <c r="P5561">
        <v>-5.1161321863124901E-2</v>
      </c>
      <c r="Q5561">
        <v>0.138858247672213</v>
      </c>
      <c r="R5561">
        <v>0.98505951143290105</v>
      </c>
      <c r="S5561" t="s">
        <v>11872</v>
      </c>
      <c r="T5561" t="s">
        <v>12620</v>
      </c>
      <c r="U5561" t="s">
        <v>12620</v>
      </c>
      <c r="V5561" t="s">
        <v>12620</v>
      </c>
      <c r="W5561" t="s">
        <v>18122</v>
      </c>
      <c r="X5561">
        <v>4</v>
      </c>
      <c r="Y5561" t="s">
        <v>24217</v>
      </c>
      <c r="Z5561" t="s">
        <v>30508</v>
      </c>
      <c r="AA5561">
        <v>0.60665152391418042</v>
      </c>
      <c r="AB5561" t="str">
        <f>HYPERLINK("Melting_Curves/meltCurve_Q9NSB8_2_HOMER2.pdf", "Melting_Curves/meltCurve_Q9NSB8_2_HOMER2.pdf")</f>
        <v>Melting_Curves/meltCurve_Q9NSB8_2_HOMER2.pdf</v>
      </c>
    </row>
    <row r="5562" spans="1:28" x14ac:dyDescent="0.25">
      <c r="A5562" t="s">
        <v>5566</v>
      </c>
      <c r="B5562">
        <v>0.99987803227770999</v>
      </c>
      <c r="C5562">
        <v>0.91827400602031695</v>
      </c>
      <c r="D5562">
        <v>0.86623467733167803</v>
      </c>
      <c r="E5562">
        <v>0.90284690976056003</v>
      </c>
      <c r="F5562">
        <v>0.65833870370285696</v>
      </c>
      <c r="G5562">
        <v>0.349204470070624</v>
      </c>
      <c r="H5562">
        <v>0.245035749980718</v>
      </c>
      <c r="I5562">
        <v>0.21177593770384301</v>
      </c>
      <c r="J5562">
        <v>0.19844210400124801</v>
      </c>
      <c r="K5562">
        <v>0.147210196494936</v>
      </c>
      <c r="L5562">
        <v>1065.0526713546401</v>
      </c>
      <c r="M5562">
        <v>19.7419955839338</v>
      </c>
      <c r="N5562">
        <v>55.036014450281598</v>
      </c>
      <c r="O5562">
        <v>53.404189755181598</v>
      </c>
      <c r="P5562">
        <v>-7.7495361128563006E-2</v>
      </c>
      <c r="Q5562">
        <v>0.16149605619353499</v>
      </c>
      <c r="R5562">
        <v>0.98045538418876399</v>
      </c>
      <c r="S5562" t="s">
        <v>11873</v>
      </c>
      <c r="T5562" t="s">
        <v>12620</v>
      </c>
      <c r="U5562" t="s">
        <v>12620</v>
      </c>
      <c r="V5562" t="s">
        <v>12620</v>
      </c>
      <c r="W5562" t="s">
        <v>18123</v>
      </c>
      <c r="X5562">
        <v>8</v>
      </c>
      <c r="Y5562" t="s">
        <v>24218</v>
      </c>
      <c r="Z5562" t="s">
        <v>30509</v>
      </c>
      <c r="AA5562">
        <v>0.56300693254489764</v>
      </c>
      <c r="AB5562" t="str">
        <f>HYPERLINK("Melting_Curves/meltCurve_Q9NSC5_5_HOMER3.pdf", "Melting_Curves/meltCurve_Q9NSC5_5_HOMER3.pdf")</f>
        <v>Melting_Curves/meltCurve_Q9NSC5_5_HOMER3.pdf</v>
      </c>
    </row>
    <row r="5563" spans="1:28" x14ac:dyDescent="0.25">
      <c r="A5563" t="s">
        <v>5567</v>
      </c>
      <c r="B5563">
        <v>0.99987803227770999</v>
      </c>
      <c r="C5563">
        <v>1.2467120786982699</v>
      </c>
      <c r="D5563">
        <v>1.2870049371358401</v>
      </c>
      <c r="E5563">
        <v>1.1047420634554801</v>
      </c>
      <c r="F5563">
        <v>0.53923176127600603</v>
      </c>
      <c r="G5563">
        <v>0.25555591268883299</v>
      </c>
      <c r="H5563">
        <v>0.153645793250587</v>
      </c>
      <c r="I5563">
        <v>0.14864315202375999</v>
      </c>
      <c r="J5563">
        <v>9.8538213680390604E-2</v>
      </c>
      <c r="K5563">
        <v>7.1290941143959494E-2</v>
      </c>
      <c r="L5563">
        <v>13241.6624179218</v>
      </c>
      <c r="M5563">
        <v>250</v>
      </c>
      <c r="N5563">
        <v>53.039635811625402</v>
      </c>
      <c r="O5563">
        <v>52.963265104303403</v>
      </c>
      <c r="P5563">
        <v>-1.0083230460714501</v>
      </c>
      <c r="Q5563">
        <v>0.145534787896544</v>
      </c>
      <c r="R5563">
        <v>0.92623271126656204</v>
      </c>
      <c r="S5563" t="s">
        <v>11874</v>
      </c>
      <c r="T5563" t="s">
        <v>12620</v>
      </c>
      <c r="U5563" t="s">
        <v>12620</v>
      </c>
      <c r="V5563" t="s">
        <v>12620</v>
      </c>
      <c r="W5563" t="s">
        <v>18124</v>
      </c>
      <c r="X5563">
        <v>20</v>
      </c>
      <c r="Y5563" t="s">
        <v>24219</v>
      </c>
      <c r="Z5563" t="s">
        <v>30510</v>
      </c>
      <c r="AA5563">
        <v>0.51493258399515607</v>
      </c>
      <c r="AB5563" t="str">
        <f>HYPERLINK("Melting_Curves/meltCurve_Q9NSD9_FARSB.pdf", "Melting_Curves/meltCurve_Q9NSD9_FARSB.pdf")</f>
        <v>Melting_Curves/meltCurve_Q9NSD9_FARSB.pdf</v>
      </c>
    </row>
    <row r="5564" spans="1:28" x14ac:dyDescent="0.25">
      <c r="A5564" t="s">
        <v>5568</v>
      </c>
      <c r="B5564">
        <v>0.99987803227770999</v>
      </c>
      <c r="C5564">
        <v>1.0595745851939899</v>
      </c>
      <c r="D5564">
        <v>0.97138556589478697</v>
      </c>
      <c r="E5564">
        <v>1.0942061688836</v>
      </c>
      <c r="F5564">
        <v>0.88050258911524804</v>
      </c>
      <c r="G5564">
        <v>0.529738861559513</v>
      </c>
      <c r="H5564">
        <v>0.15385934646236299</v>
      </c>
      <c r="I5564">
        <v>0.13057778358400501</v>
      </c>
      <c r="J5564">
        <v>9.1746031174217799E-2</v>
      </c>
      <c r="K5564">
        <v>6.0855621318108101E-2</v>
      </c>
      <c r="L5564">
        <v>1803.43104112523</v>
      </c>
      <c r="M5564">
        <v>31.724934733838701</v>
      </c>
      <c r="N5564">
        <v>57.1502203044491</v>
      </c>
      <c r="O5564">
        <v>56.621419877837802</v>
      </c>
      <c r="P5564">
        <v>-0.12918762824571101</v>
      </c>
      <c r="Q5564">
        <v>7.7728768704139695E-2</v>
      </c>
      <c r="R5564">
        <v>0.98976456127090195</v>
      </c>
      <c r="S5564" t="s">
        <v>11875</v>
      </c>
      <c r="T5564" t="s">
        <v>12620</v>
      </c>
      <c r="U5564" t="s">
        <v>12620</v>
      </c>
      <c r="V5564" t="s">
        <v>12620</v>
      </c>
      <c r="W5564" t="s">
        <v>18125</v>
      </c>
      <c r="X5564">
        <v>34</v>
      </c>
      <c r="Y5564" t="s">
        <v>24220</v>
      </c>
      <c r="Z5564" t="s">
        <v>30511</v>
      </c>
      <c r="AA5564">
        <v>0.60116984541947893</v>
      </c>
      <c r="AB5564" t="str">
        <f>HYPERLINK("Melting_Curves/meltCurve_Q9NSE4_IARS2.pdf", "Melting_Curves/meltCurve_Q9NSE4_IARS2.pdf")</f>
        <v>Melting_Curves/meltCurve_Q9NSE4_IARS2.pdf</v>
      </c>
    </row>
    <row r="5565" spans="1:28" x14ac:dyDescent="0.25">
      <c r="A5565" t="s">
        <v>5569</v>
      </c>
      <c r="B5565">
        <v>0.99987803227770999</v>
      </c>
      <c r="C5565">
        <v>1.1159987895160399</v>
      </c>
      <c r="D5565">
        <v>1.1086565245354001</v>
      </c>
      <c r="E5565">
        <v>1.10522448446431</v>
      </c>
      <c r="F5565">
        <v>1.01885843180476</v>
      </c>
      <c r="G5565">
        <v>0.52369048519467598</v>
      </c>
      <c r="H5565">
        <v>0.14236054951556901</v>
      </c>
      <c r="I5565">
        <v>0.128859203628162</v>
      </c>
      <c r="J5565">
        <v>5.3082539724714398E-2</v>
      </c>
      <c r="K5565">
        <v>4.41521563204351E-2</v>
      </c>
      <c r="L5565">
        <v>2892.9023068086099</v>
      </c>
      <c r="M5565">
        <v>50.793734432254503</v>
      </c>
      <c r="N5565">
        <v>57.156626646840003</v>
      </c>
      <c r="O5565">
        <v>56.865851084880099</v>
      </c>
      <c r="P5565">
        <v>-0.20489969142902001</v>
      </c>
      <c r="Q5565">
        <v>8.2423420785290497E-2</v>
      </c>
      <c r="R5565">
        <v>0.97996714924642303</v>
      </c>
      <c r="S5565" t="s">
        <v>11876</v>
      </c>
      <c r="T5565" t="s">
        <v>12620</v>
      </c>
      <c r="U5565" t="s">
        <v>12620</v>
      </c>
      <c r="V5565" t="s">
        <v>12620</v>
      </c>
      <c r="W5565" t="s">
        <v>18126</v>
      </c>
      <c r="X5565">
        <v>10</v>
      </c>
      <c r="Y5565" t="s">
        <v>24221</v>
      </c>
      <c r="Z5565" t="s">
        <v>30512</v>
      </c>
      <c r="AA5565">
        <v>0.60320319859731675</v>
      </c>
      <c r="AB5565" t="str">
        <f>HYPERLINK("Melting_Curves/meltCurve_Q9NSI2_2_FAM207A.pdf", "Melting_Curves/meltCurve_Q9NSI2_2_FAM207A.pdf")</f>
        <v>Melting_Curves/meltCurve_Q9NSI2_2_FAM207A.pdf</v>
      </c>
    </row>
    <row r="5566" spans="1:28" x14ac:dyDescent="0.25">
      <c r="A5566" t="s">
        <v>5570</v>
      </c>
      <c r="B5566">
        <v>0.99987803227770999</v>
      </c>
      <c r="C5566">
        <v>1.17336550972028</v>
      </c>
      <c r="D5566">
        <v>0.86509407315512099</v>
      </c>
      <c r="E5566">
        <v>0.85011089527339101</v>
      </c>
      <c r="F5566">
        <v>0.40552843721306397</v>
      </c>
      <c r="G5566">
        <v>0.23572562463844399</v>
      </c>
      <c r="H5566">
        <v>0.188719090064567</v>
      </c>
      <c r="I5566">
        <v>0.19149933996165</v>
      </c>
      <c r="J5566">
        <v>0.124965791941058</v>
      </c>
      <c r="K5566">
        <v>8.9439956952142699E-2</v>
      </c>
      <c r="L5566">
        <v>1706.17927915426</v>
      </c>
      <c r="M5566">
        <v>32.869346003453501</v>
      </c>
      <c r="N5566">
        <v>52.488539432141202</v>
      </c>
      <c r="O5566">
        <v>51.716912926105202</v>
      </c>
      <c r="P5566">
        <v>-0.134674078031219</v>
      </c>
      <c r="Q5566">
        <v>0.152414408246202</v>
      </c>
      <c r="R5566">
        <v>0.96317456906607801</v>
      </c>
      <c r="S5566" t="s">
        <v>11877</v>
      </c>
      <c r="T5566" t="s">
        <v>12620</v>
      </c>
      <c r="U5566" t="s">
        <v>12620</v>
      </c>
      <c r="V5566" t="s">
        <v>12620</v>
      </c>
      <c r="W5566" t="s">
        <v>18127</v>
      </c>
      <c r="X5566">
        <v>19</v>
      </c>
      <c r="Y5566" t="s">
        <v>24222</v>
      </c>
      <c r="Z5566" t="s">
        <v>30513</v>
      </c>
      <c r="AA5566">
        <v>0.49335489744879918</v>
      </c>
      <c r="AB5566" t="str">
        <f>HYPERLINK("Melting_Curves/meltCurve_Q9NSK0_KLC4.pdf", "Melting_Curves/meltCurve_Q9NSK0_KLC4.pdf")</f>
        <v>Melting_Curves/meltCurve_Q9NSK0_KLC4.pdf</v>
      </c>
    </row>
    <row r="5567" spans="1:28" x14ac:dyDescent="0.25">
      <c r="A5567" t="s">
        <v>5571</v>
      </c>
      <c r="B5567">
        <v>0.99987803227770999</v>
      </c>
      <c r="C5567">
        <v>1.19847307473622</v>
      </c>
      <c r="D5567">
        <v>0.83872454840729804</v>
      </c>
      <c r="E5567">
        <v>0.75811709165905194</v>
      </c>
      <c r="F5567">
        <v>0.364537462383694</v>
      </c>
      <c r="G5567">
        <v>0.35927184596643202</v>
      </c>
      <c r="H5567">
        <v>0.195019424633702</v>
      </c>
      <c r="I5567">
        <v>0.28978716384491199</v>
      </c>
      <c r="J5567">
        <v>0.14877924822555699</v>
      </c>
      <c r="K5567">
        <v>8.3708369161488702E-2</v>
      </c>
      <c r="L5567">
        <v>1032.05088552958</v>
      </c>
      <c r="M5567">
        <v>20.105901189330801</v>
      </c>
      <c r="N5567">
        <v>52.438323515118299</v>
      </c>
      <c r="O5567">
        <v>50.831048151657299</v>
      </c>
      <c r="P5567">
        <v>-8.1780619757999606E-2</v>
      </c>
      <c r="Q5567">
        <v>0.173006513115191</v>
      </c>
      <c r="R5567">
        <v>0.93180322288873396</v>
      </c>
      <c r="S5567" t="s">
        <v>11878</v>
      </c>
      <c r="T5567" t="s">
        <v>12620</v>
      </c>
      <c r="U5567" t="s">
        <v>12620</v>
      </c>
      <c r="V5567" t="s">
        <v>12620</v>
      </c>
      <c r="W5567" t="s">
        <v>18128</v>
      </c>
      <c r="X5567">
        <v>2</v>
      </c>
      <c r="Y5567" t="s">
        <v>24223</v>
      </c>
      <c r="Z5567" t="s">
        <v>30514</v>
      </c>
      <c r="AA5567">
        <v>0.49671378269602379</v>
      </c>
      <c r="AB5567" t="str">
        <f>HYPERLINK("Melting_Curves/meltCurve_Q9NSY0_NRBP2.pdf", "Melting_Curves/meltCurve_Q9NSY0_NRBP2.pdf")</f>
        <v>Melting_Curves/meltCurve_Q9NSY0_NRBP2.pdf</v>
      </c>
    </row>
    <row r="5568" spans="1:28" x14ac:dyDescent="0.25">
      <c r="A5568" t="s">
        <v>5572</v>
      </c>
      <c r="B5568">
        <v>0.99987803227770999</v>
      </c>
      <c r="C5568">
        <v>0.93373672390631302</v>
      </c>
      <c r="D5568">
        <v>0.88554162679840198</v>
      </c>
      <c r="E5568">
        <v>0.64923719883972497</v>
      </c>
      <c r="F5568">
        <v>0.355246303788747</v>
      </c>
      <c r="G5568">
        <v>0.229600036787804</v>
      </c>
      <c r="H5568">
        <v>0.16080320072329901</v>
      </c>
      <c r="I5568">
        <v>0.18180049945194299</v>
      </c>
      <c r="J5568">
        <v>0.100765042413033</v>
      </c>
      <c r="K5568">
        <v>7.33249315139365E-2</v>
      </c>
      <c r="L5568">
        <v>907.85302746510899</v>
      </c>
      <c r="M5568">
        <v>17.858845205927</v>
      </c>
      <c r="N5568">
        <v>51.523075683209797</v>
      </c>
      <c r="O5568">
        <v>50.210361099386503</v>
      </c>
      <c r="P5568">
        <v>-7.9489187973081701E-2</v>
      </c>
      <c r="Q5568">
        <v>0.106105778464106</v>
      </c>
      <c r="R5568">
        <v>0.99287324358878604</v>
      </c>
      <c r="S5568" t="s">
        <v>11879</v>
      </c>
      <c r="T5568" t="s">
        <v>12620</v>
      </c>
      <c r="U5568" t="s">
        <v>12620</v>
      </c>
      <c r="V5568" t="s">
        <v>12620</v>
      </c>
      <c r="W5568" t="s">
        <v>18129</v>
      </c>
      <c r="X5568">
        <v>1</v>
      </c>
      <c r="Y5568" t="s">
        <v>24224</v>
      </c>
      <c r="Z5568" t="s">
        <v>30515</v>
      </c>
      <c r="AA5568">
        <v>0.44425619680418182</v>
      </c>
      <c r="AB5568" t="str">
        <f>HYPERLINK("Melting_Curves/meltCurve_Q9NSY2_STARD5.pdf", "Melting_Curves/meltCurve_Q9NSY2_STARD5.pdf")</f>
        <v>Melting_Curves/meltCurve_Q9NSY2_STARD5.pdf</v>
      </c>
    </row>
    <row r="5569" spans="1:28" x14ac:dyDescent="0.25">
      <c r="A5569" t="s">
        <v>5573</v>
      </c>
      <c r="B5569">
        <v>0.99987803227770999</v>
      </c>
      <c r="C5569">
        <v>0.94166370066352101</v>
      </c>
      <c r="D5569">
        <v>1.05979024094609</v>
      </c>
      <c r="E5569">
        <v>0.96567834622999904</v>
      </c>
      <c r="F5569">
        <v>0.99928527245987198</v>
      </c>
      <c r="G5569">
        <v>0.726525652363601</v>
      </c>
      <c r="H5569">
        <v>0.386478872515442</v>
      </c>
      <c r="I5569">
        <v>0.22690173932692401</v>
      </c>
      <c r="J5569">
        <v>0.14133636191804</v>
      </c>
      <c r="K5569">
        <v>0.10017352011024</v>
      </c>
      <c r="L5569">
        <v>1462.93752562754</v>
      </c>
      <c r="M5569">
        <v>24.722000953626601</v>
      </c>
      <c r="N5569">
        <v>59.664840923777199</v>
      </c>
      <c r="O5569">
        <v>58.792401099309998</v>
      </c>
      <c r="P5569">
        <v>-9.5479617725627505E-2</v>
      </c>
      <c r="Q5569">
        <v>9.1756639076653101E-2</v>
      </c>
      <c r="R5569">
        <v>0.99250052785008602</v>
      </c>
      <c r="S5569" t="s">
        <v>11880</v>
      </c>
      <c r="T5569" t="s">
        <v>12620</v>
      </c>
      <c r="U5569" t="s">
        <v>12620</v>
      </c>
      <c r="V5569" t="s">
        <v>12620</v>
      </c>
      <c r="W5569" t="s">
        <v>18130</v>
      </c>
      <c r="X5569">
        <v>9</v>
      </c>
      <c r="Y5569" t="s">
        <v>24225</v>
      </c>
      <c r="Z5569" t="s">
        <v>30516</v>
      </c>
      <c r="AA5569">
        <v>0.67972321417061399</v>
      </c>
      <c r="AB5569" t="str">
        <f>HYPERLINK("Melting_Curves/meltCurve_Q9NT62_ATG3.pdf", "Melting_Curves/meltCurve_Q9NT62_ATG3.pdf")</f>
        <v>Melting_Curves/meltCurve_Q9NT62_ATG3.pdf</v>
      </c>
    </row>
    <row r="5570" spans="1:28" x14ac:dyDescent="0.25">
      <c r="A5570" t="s">
        <v>5574</v>
      </c>
      <c r="B5570">
        <v>0.99987803227770999</v>
      </c>
      <c r="C5570">
        <v>0.72451348242476898</v>
      </c>
      <c r="D5570">
        <v>0.85942849102712504</v>
      </c>
      <c r="E5570">
        <v>0.506511873061391</v>
      </c>
      <c r="F5570">
        <v>0.22688451307551799</v>
      </c>
      <c r="G5570">
        <v>0.143192765234682</v>
      </c>
      <c r="H5570">
        <v>8.3379198980775907E-2</v>
      </c>
      <c r="I5570">
        <v>0.13968124320925099</v>
      </c>
      <c r="J5570">
        <v>5.2188828036219999E-2</v>
      </c>
      <c r="K5570">
        <v>5.0381314707452801E-2</v>
      </c>
      <c r="L5570">
        <v>729.25649357866803</v>
      </c>
      <c r="M5570">
        <v>14.796380510843001</v>
      </c>
      <c r="N5570">
        <v>49.5968578515294</v>
      </c>
      <c r="O5570">
        <v>48.412153532661399</v>
      </c>
      <c r="P5570">
        <v>-7.3033944363906103E-2</v>
      </c>
      <c r="Q5570">
        <v>4.4265243529567899E-2</v>
      </c>
      <c r="R5570">
        <v>0.95368427029028902</v>
      </c>
      <c r="S5570" t="s">
        <v>11881</v>
      </c>
      <c r="T5570" t="s">
        <v>12620</v>
      </c>
      <c r="U5570" t="s">
        <v>12620</v>
      </c>
      <c r="V5570" t="s">
        <v>12620</v>
      </c>
      <c r="W5570" t="s">
        <v>18131</v>
      </c>
      <c r="X5570">
        <v>3</v>
      </c>
      <c r="Y5570" t="s">
        <v>24226</v>
      </c>
      <c r="Z5570" t="s">
        <v>30517</v>
      </c>
      <c r="AA5570">
        <v>0.36404203707750948</v>
      </c>
      <c r="AB5570" t="str">
        <f>HYPERLINK("Melting_Curves/meltCurve_Q9NTG7_SIRT3.pdf", "Melting_Curves/meltCurve_Q9NTG7_SIRT3.pdf")</f>
        <v>Melting_Curves/meltCurve_Q9NTG7_SIRT3.pdf</v>
      </c>
    </row>
    <row r="5571" spans="1:28" x14ac:dyDescent="0.25">
      <c r="A5571" t="s">
        <v>5575</v>
      </c>
      <c r="B5571">
        <v>0.99987803227770999</v>
      </c>
      <c r="C5571">
        <v>0.97476617473381799</v>
      </c>
      <c r="D5571">
        <v>0.76147911546434899</v>
      </c>
      <c r="E5571">
        <v>0.49956664633619202</v>
      </c>
      <c r="F5571">
        <v>0.35033501224431401</v>
      </c>
      <c r="G5571">
        <v>0.231480654998581</v>
      </c>
      <c r="H5571">
        <v>0.224504282100354</v>
      </c>
      <c r="I5571">
        <v>0.186665330333976</v>
      </c>
      <c r="J5571">
        <v>0.147164024830265</v>
      </c>
      <c r="K5571">
        <v>0.11355953530006101</v>
      </c>
      <c r="L5571">
        <v>809.62112351471797</v>
      </c>
      <c r="M5571">
        <v>16.5086665948822</v>
      </c>
      <c r="N5571">
        <v>50.138186201954603</v>
      </c>
      <c r="O5571">
        <v>48.339520954508203</v>
      </c>
      <c r="P5571">
        <v>-7.2451792268532503E-2</v>
      </c>
      <c r="Q5571">
        <v>0.151465765165397</v>
      </c>
      <c r="R5571">
        <v>0.99284302181059503</v>
      </c>
      <c r="S5571" t="s">
        <v>11882</v>
      </c>
      <c r="T5571" t="s">
        <v>12620</v>
      </c>
      <c r="U5571" t="s">
        <v>12620</v>
      </c>
      <c r="V5571" t="s">
        <v>12620</v>
      </c>
      <c r="W5571" t="s">
        <v>18132</v>
      </c>
      <c r="X5571">
        <v>12</v>
      </c>
      <c r="Y5571" t="s">
        <v>24227</v>
      </c>
      <c r="Z5571" t="s">
        <v>30518</v>
      </c>
      <c r="AA5571">
        <v>0.42462937818692792</v>
      </c>
      <c r="AB5571" t="str">
        <f>HYPERLINK("Melting_Curves/meltCurve_Q9NTI5_2_PDS5B.pdf", "Melting_Curves/meltCurve_Q9NTI5_2_PDS5B.pdf")</f>
        <v>Melting_Curves/meltCurve_Q9NTI5_2_PDS5B.pdf</v>
      </c>
    </row>
    <row r="5572" spans="1:28" x14ac:dyDescent="0.25">
      <c r="A5572" t="s">
        <v>5576</v>
      </c>
      <c r="B5572">
        <v>0.99987803227770999</v>
      </c>
      <c r="C5572">
        <v>1.0359423884739001</v>
      </c>
      <c r="D5572">
        <v>0.59213181668608195</v>
      </c>
      <c r="E5572">
        <v>0.47101845630690797</v>
      </c>
      <c r="F5572">
        <v>0.22907367285908101</v>
      </c>
      <c r="G5572">
        <v>0.14514982451418701</v>
      </c>
      <c r="H5572">
        <v>9.5107883617480807E-2</v>
      </c>
      <c r="I5572">
        <v>7.7267402758120093E-2</v>
      </c>
      <c r="J5572">
        <v>6.7315873193422901E-2</v>
      </c>
      <c r="K5572">
        <v>4.7784152265768098E-2</v>
      </c>
      <c r="L5572">
        <v>802.05922278754599</v>
      </c>
      <c r="M5572">
        <v>16.568936398268502</v>
      </c>
      <c r="N5572">
        <v>48.790329390953801</v>
      </c>
      <c r="O5572">
        <v>47.718754015665297</v>
      </c>
      <c r="P5572">
        <v>-8.1518277675108899E-2</v>
      </c>
      <c r="Q5572">
        <v>6.0969368409190303E-2</v>
      </c>
      <c r="R5572">
        <v>0.96934144540787903</v>
      </c>
      <c r="S5572" t="s">
        <v>11883</v>
      </c>
      <c r="T5572" t="s">
        <v>12620</v>
      </c>
      <c r="U5572" t="s">
        <v>12620</v>
      </c>
      <c r="V5572" t="s">
        <v>12620</v>
      </c>
      <c r="W5572" t="s">
        <v>18133</v>
      </c>
      <c r="X5572">
        <v>49</v>
      </c>
      <c r="Y5572" t="s">
        <v>24228</v>
      </c>
      <c r="Z5572" t="s">
        <v>30519</v>
      </c>
      <c r="AA5572">
        <v>0.34362281189446281</v>
      </c>
      <c r="AB5572" t="str">
        <f>HYPERLINK("Melting_Curves/meltCurve_Q9NTJ3_SMC4.pdf", "Melting_Curves/meltCurve_Q9NTJ3_SMC4.pdf")</f>
        <v>Melting_Curves/meltCurve_Q9NTJ3_SMC4.pdf</v>
      </c>
    </row>
    <row r="5573" spans="1:28" x14ac:dyDescent="0.25">
      <c r="A5573" t="s">
        <v>5577</v>
      </c>
      <c r="B5573">
        <v>0.99987803227770999</v>
      </c>
      <c r="C5573">
        <v>0.82990003836590998</v>
      </c>
      <c r="D5573">
        <v>0.81257934677086396</v>
      </c>
      <c r="E5573">
        <v>1.0660692444637401</v>
      </c>
      <c r="F5573">
        <v>0.68074694214081999</v>
      </c>
      <c r="G5573">
        <v>0.30685822705329302</v>
      </c>
      <c r="H5573">
        <v>0.17308307710519</v>
      </c>
      <c r="I5573">
        <v>0.15209074756893701</v>
      </c>
      <c r="J5573">
        <v>0.116201080845272</v>
      </c>
      <c r="K5573">
        <v>8.0938884426399405E-2</v>
      </c>
      <c r="L5573">
        <v>1703.8272572328301</v>
      </c>
      <c r="M5573">
        <v>31.3512518345863</v>
      </c>
      <c r="N5573">
        <v>54.838401151121502</v>
      </c>
      <c r="O5573">
        <v>54.126709626171902</v>
      </c>
      <c r="P5573">
        <v>-0.12705335700440501</v>
      </c>
      <c r="Q5573">
        <v>0.122594225440639</v>
      </c>
      <c r="R5573">
        <v>0.94063505813945203</v>
      </c>
      <c r="S5573" t="s">
        <v>11884</v>
      </c>
      <c r="T5573" t="s">
        <v>12620</v>
      </c>
      <c r="U5573" t="s">
        <v>12620</v>
      </c>
      <c r="V5573" t="s">
        <v>12620</v>
      </c>
      <c r="W5573" t="s">
        <v>18134</v>
      </c>
      <c r="X5573">
        <v>9</v>
      </c>
      <c r="Y5573" t="s">
        <v>24229</v>
      </c>
      <c r="Z5573" t="s">
        <v>30520</v>
      </c>
      <c r="AA5573">
        <v>0.54749572461756135</v>
      </c>
      <c r="AB5573" t="str">
        <f>HYPERLINK("Melting_Curves/meltCurve_Q9NTJ4_3_MAN2C1.pdf", "Melting_Curves/meltCurve_Q9NTJ4_3_MAN2C1.pdf")</f>
        <v>Melting_Curves/meltCurve_Q9NTJ4_3_MAN2C1.pdf</v>
      </c>
    </row>
    <row r="5574" spans="1:28" x14ac:dyDescent="0.25">
      <c r="A5574" t="s">
        <v>5578</v>
      </c>
      <c r="B5574">
        <v>0.99987803227770999</v>
      </c>
      <c r="C5574">
        <v>0.87572932532382097</v>
      </c>
      <c r="D5574">
        <v>1.03919379861885</v>
      </c>
      <c r="E5574">
        <v>0.79315618874310301</v>
      </c>
      <c r="F5574">
        <v>0.14994098402878001</v>
      </c>
      <c r="G5574">
        <v>0.111678519373445</v>
      </c>
      <c r="H5574">
        <v>7.1319738509648803E-2</v>
      </c>
      <c r="I5574">
        <v>6.0632646219734902E-2</v>
      </c>
      <c r="J5574">
        <v>4.5337334552837699E-2</v>
      </c>
      <c r="K5574">
        <v>2.9835610444234301E-2</v>
      </c>
      <c r="L5574">
        <v>3118.5534105069501</v>
      </c>
      <c r="M5574">
        <v>61.1089515454698</v>
      </c>
      <c r="N5574">
        <v>51.145800333546603</v>
      </c>
      <c r="O5574">
        <v>50.978113085834003</v>
      </c>
      <c r="P5574">
        <v>-0.28073627304221699</v>
      </c>
      <c r="Q5574">
        <v>6.3220748871173099E-2</v>
      </c>
      <c r="R5574">
        <v>0.98831341420005003</v>
      </c>
      <c r="S5574" t="s">
        <v>11885</v>
      </c>
      <c r="T5574" t="s">
        <v>12620</v>
      </c>
      <c r="U5574" t="s">
        <v>12620</v>
      </c>
      <c r="V5574" t="s">
        <v>12620</v>
      </c>
      <c r="W5574" t="s">
        <v>18135</v>
      </c>
      <c r="X5574">
        <v>15</v>
      </c>
      <c r="Y5574" t="s">
        <v>24230</v>
      </c>
      <c r="Z5574" t="s">
        <v>30521</v>
      </c>
      <c r="AA5574">
        <v>0.40913598445588101</v>
      </c>
      <c r="AB5574" t="str">
        <f>HYPERLINK("Melting_Curves/meltCurve_Q9NTK5_OLA1.pdf", "Melting_Curves/meltCurve_Q9NTK5_OLA1.pdf")</f>
        <v>Melting_Curves/meltCurve_Q9NTK5_OLA1.pdf</v>
      </c>
    </row>
    <row r="5575" spans="1:28" x14ac:dyDescent="0.25">
      <c r="A5575" t="s">
        <v>5579</v>
      </c>
      <c r="B5575">
        <v>0.99987803227770999</v>
      </c>
      <c r="C5575">
        <v>0.86517639837048699</v>
      </c>
      <c r="D5575">
        <v>0.99195249317823297</v>
      </c>
      <c r="E5575">
        <v>0.9104785966808</v>
      </c>
      <c r="F5575">
        <v>1.2264964771881599</v>
      </c>
      <c r="G5575">
        <v>1.05641053722456</v>
      </c>
      <c r="H5575">
        <v>1.09617612577805</v>
      </c>
      <c r="I5575">
        <v>1.09203480996101</v>
      </c>
      <c r="J5575">
        <v>1.0618168649486901</v>
      </c>
      <c r="K5575">
        <v>0.92748777592634402</v>
      </c>
      <c r="L5575">
        <v>3614.95106881637</v>
      </c>
      <c r="M5575">
        <v>70.516813033992193</v>
      </c>
      <c r="O5575">
        <v>51.222494680634803</v>
      </c>
      <c r="P5575">
        <v>2.51339969873225E-2</v>
      </c>
      <c r="Q5575">
        <v>1.0730280166300701</v>
      </c>
      <c r="R5575">
        <v>0.25399811516621301</v>
      </c>
      <c r="S5575" t="s">
        <v>11886</v>
      </c>
      <c r="T5575" t="s">
        <v>12620</v>
      </c>
      <c r="U5575" t="s">
        <v>12620</v>
      </c>
      <c r="V5575" t="s">
        <v>12620</v>
      </c>
      <c r="W5575" t="s">
        <v>18136</v>
      </c>
      <c r="X5575">
        <v>13</v>
      </c>
      <c r="Y5575" t="s">
        <v>24230</v>
      </c>
      <c r="Z5575" t="s">
        <v>30522</v>
      </c>
      <c r="AA5575">
        <v>1.0455264277860461</v>
      </c>
      <c r="AB5575" t="str">
        <f>HYPERLINK("Melting_Curves/meltCurve_Q9NTK5_2_OLA1.pdf", "Melting_Curves/meltCurve_Q9NTK5_2_OLA1.pdf")</f>
        <v>Melting_Curves/meltCurve_Q9NTK5_2_OLA1.pdf</v>
      </c>
    </row>
    <row r="5576" spans="1:28" x14ac:dyDescent="0.25">
      <c r="A5576" t="s">
        <v>5580</v>
      </c>
      <c r="B5576">
        <v>0.99987803227770999</v>
      </c>
      <c r="C5576">
        <v>0.99081146000864795</v>
      </c>
      <c r="D5576">
        <v>0.88570239901245595</v>
      </c>
      <c r="E5576">
        <v>1.2010881685878101</v>
      </c>
      <c r="F5576">
        <v>0.94691348829557997</v>
      </c>
      <c r="G5576">
        <v>0.61915843329379405</v>
      </c>
      <c r="H5576">
        <v>0.32789565097137302</v>
      </c>
      <c r="I5576">
        <v>0.28499265085613001</v>
      </c>
      <c r="J5576">
        <v>0.211191058133574</v>
      </c>
      <c r="K5576">
        <v>0.13712496593932</v>
      </c>
      <c r="L5576">
        <v>1739.9529211778499</v>
      </c>
      <c r="M5576">
        <v>30.28678042992</v>
      </c>
      <c r="N5576">
        <v>58.404510481971897</v>
      </c>
      <c r="O5576">
        <v>57.200540763741103</v>
      </c>
      <c r="P5576">
        <v>-0.10651615733903901</v>
      </c>
      <c r="Q5576">
        <v>0.19532633589691201</v>
      </c>
      <c r="R5576">
        <v>0.95293478778019003</v>
      </c>
      <c r="S5576" t="s">
        <v>11887</v>
      </c>
      <c r="T5576" t="s">
        <v>12620</v>
      </c>
      <c r="U5576" t="s">
        <v>12620</v>
      </c>
      <c r="V5576" t="s">
        <v>12620</v>
      </c>
      <c r="W5576" t="s">
        <v>18137</v>
      </c>
      <c r="X5576">
        <v>5</v>
      </c>
      <c r="Y5576" t="s">
        <v>24231</v>
      </c>
      <c r="Z5576" t="s">
        <v>30523</v>
      </c>
      <c r="AA5576">
        <v>0.66861031025090933</v>
      </c>
      <c r="AB5576" t="str">
        <f>HYPERLINK("Melting_Curves/meltCurve_Q9NTM9_CUTC.pdf", "Melting_Curves/meltCurve_Q9NTM9_CUTC.pdf")</f>
        <v>Melting_Curves/meltCurve_Q9NTM9_CUTC.pdf</v>
      </c>
    </row>
    <row r="5577" spans="1:28" x14ac:dyDescent="0.25">
      <c r="A5577" t="s">
        <v>5581</v>
      </c>
      <c r="B5577">
        <v>0.99987803227770999</v>
      </c>
      <c r="C5577">
        <v>1.0880479886193899</v>
      </c>
      <c r="D5577">
        <v>1.02234914656202</v>
      </c>
      <c r="E5577">
        <v>1.09464297695566</v>
      </c>
      <c r="F5577">
        <v>0.918968100804884</v>
      </c>
      <c r="G5577">
        <v>0.99080985527367504</v>
      </c>
      <c r="H5577">
        <v>1.0478248469773801</v>
      </c>
      <c r="I5577">
        <v>0.99497482933856296</v>
      </c>
      <c r="J5577">
        <v>0.62848189959670997</v>
      </c>
      <c r="K5577">
        <v>0.41941330871396498</v>
      </c>
      <c r="L5577">
        <v>7670.8371283386996</v>
      </c>
      <c r="M5577">
        <v>115.053464350358</v>
      </c>
      <c r="N5577">
        <v>67.728841642062093</v>
      </c>
      <c r="O5577">
        <v>66.651802414590094</v>
      </c>
      <c r="P5577">
        <v>-0.251604427002598</v>
      </c>
      <c r="Q5577">
        <v>0.41697063317633698</v>
      </c>
      <c r="R5577">
        <v>0.94031928715861601</v>
      </c>
      <c r="S5577" t="s">
        <v>11888</v>
      </c>
      <c r="T5577" t="s">
        <v>12620</v>
      </c>
      <c r="U5577" t="s">
        <v>12620</v>
      </c>
      <c r="V5577" t="s">
        <v>12620</v>
      </c>
      <c r="W5577" t="s">
        <v>18138</v>
      </c>
      <c r="X5577">
        <v>11</v>
      </c>
      <c r="Y5577" t="s">
        <v>24232</v>
      </c>
      <c r="Z5577" t="s">
        <v>30524</v>
      </c>
      <c r="AA5577">
        <v>0.93559056830821241</v>
      </c>
      <c r="AB5577" t="str">
        <f>HYPERLINK("Melting_Curves/meltCurve_Q9NTX5_6_ECHDC1.pdf", "Melting_Curves/meltCurve_Q9NTX5_6_ECHDC1.pdf")</f>
        <v>Melting_Curves/meltCurve_Q9NTX5_6_ECHDC1.pdf</v>
      </c>
    </row>
    <row r="5578" spans="1:28" x14ac:dyDescent="0.25">
      <c r="A5578" t="s">
        <v>5582</v>
      </c>
      <c r="B5578">
        <v>0.99987803227770999</v>
      </c>
      <c r="C5578">
        <v>0.92090309937361403</v>
      </c>
      <c r="D5578">
        <v>1.0490464849118899</v>
      </c>
      <c r="E5578">
        <v>0.933591613152852</v>
      </c>
      <c r="F5578">
        <v>0.61106528136420002</v>
      </c>
      <c r="G5578">
        <v>0.24300811111992399</v>
      </c>
      <c r="H5578">
        <v>0.142191106290595</v>
      </c>
      <c r="I5578">
        <v>0.11610950130900501</v>
      </c>
      <c r="J5578">
        <v>8.7444938206405601E-2</v>
      </c>
      <c r="K5578">
        <v>6.3640066702609396E-2</v>
      </c>
      <c r="L5578">
        <v>1586.53499797879</v>
      </c>
      <c r="M5578">
        <v>29.5577203912021</v>
      </c>
      <c r="N5578">
        <v>54.057726981597</v>
      </c>
      <c r="O5578">
        <v>53.431951376250602</v>
      </c>
      <c r="P5578">
        <v>-0.125265596411166</v>
      </c>
      <c r="Q5578">
        <v>9.4228327948111701E-2</v>
      </c>
      <c r="R5578">
        <v>0.99245326025446901</v>
      </c>
      <c r="S5578" t="s">
        <v>11889</v>
      </c>
      <c r="T5578" t="s">
        <v>12620</v>
      </c>
      <c r="U5578" t="s">
        <v>12620</v>
      </c>
      <c r="V5578" t="s">
        <v>12620</v>
      </c>
      <c r="W5578" t="s">
        <v>18139</v>
      </c>
      <c r="X5578">
        <v>21</v>
      </c>
      <c r="Y5578" t="s">
        <v>24233</v>
      </c>
      <c r="Z5578" t="s">
        <v>30525</v>
      </c>
      <c r="AA5578">
        <v>0.51323379636255351</v>
      </c>
      <c r="AB5578" t="str">
        <f>HYPERLINK("Melting_Curves/meltCurve_Q9NTZ6_RBM12.pdf", "Melting_Curves/meltCurve_Q9NTZ6_RBM12.pdf")</f>
        <v>Melting_Curves/meltCurve_Q9NTZ6_RBM12.pdf</v>
      </c>
    </row>
    <row r="5579" spans="1:28" x14ac:dyDescent="0.25">
      <c r="A5579" t="s">
        <v>5583</v>
      </c>
      <c r="B5579">
        <v>0.99987803227770999</v>
      </c>
      <c r="C5579">
        <v>0.89484200095357302</v>
      </c>
      <c r="D5579">
        <v>0.97393091650444596</v>
      </c>
      <c r="E5579">
        <v>0.78048253915702404</v>
      </c>
      <c r="F5579">
        <v>0.78092590743181101</v>
      </c>
      <c r="G5579">
        <v>0.32691007792044102</v>
      </c>
      <c r="H5579">
        <v>0.22059020115960601</v>
      </c>
      <c r="I5579">
        <v>0.19689020215938</v>
      </c>
      <c r="J5579">
        <v>0.21717149072931999</v>
      </c>
      <c r="K5579">
        <v>0.166578260261175</v>
      </c>
      <c r="L5579">
        <v>1123.6742625792399</v>
      </c>
      <c r="M5579">
        <v>20.736473675692402</v>
      </c>
      <c r="N5579">
        <v>55.2417651906092</v>
      </c>
      <c r="O5579">
        <v>53.691901045797501</v>
      </c>
      <c r="P5579">
        <v>-8.0787263319089295E-2</v>
      </c>
      <c r="Q5579">
        <v>0.16331010176655</v>
      </c>
      <c r="R5579">
        <v>0.96939114202077703</v>
      </c>
      <c r="S5579" t="s">
        <v>11890</v>
      </c>
      <c r="T5579" t="s">
        <v>12620</v>
      </c>
      <c r="U5579" t="s">
        <v>12620</v>
      </c>
      <c r="V5579" t="s">
        <v>12620</v>
      </c>
      <c r="W5579" t="s">
        <v>18140</v>
      </c>
      <c r="X5579">
        <v>8</v>
      </c>
      <c r="Y5579" t="s">
        <v>24234</v>
      </c>
      <c r="Z5579" t="s">
        <v>30526</v>
      </c>
      <c r="AA5579">
        <v>0.56971187210943985</v>
      </c>
      <c r="AB5579" t="str">
        <f>HYPERLINK("Melting_Curves/meltCurve_Q9NU19_TBC1D22B.pdf", "Melting_Curves/meltCurve_Q9NU19_TBC1D22B.pdf")</f>
        <v>Melting_Curves/meltCurve_Q9NU19_TBC1D22B.pdf</v>
      </c>
    </row>
    <row r="5580" spans="1:28" x14ac:dyDescent="0.25">
      <c r="A5580" t="s">
        <v>5584</v>
      </c>
      <c r="B5580">
        <v>0.99987803227770999</v>
      </c>
      <c r="C5580">
        <v>0.95942383581978996</v>
      </c>
      <c r="D5580">
        <v>0.76509610507305703</v>
      </c>
      <c r="E5580">
        <v>0.62658779623375405</v>
      </c>
      <c r="F5580">
        <v>0.57990582494050302</v>
      </c>
      <c r="G5580">
        <v>0.33914429580581301</v>
      </c>
      <c r="H5580">
        <v>0.33164719357286898</v>
      </c>
      <c r="I5580">
        <v>0.36292619673983101</v>
      </c>
      <c r="J5580">
        <v>0.27528984613233198</v>
      </c>
      <c r="K5580">
        <v>0.244815908257976</v>
      </c>
      <c r="L5580">
        <v>601.21145583708801</v>
      </c>
      <c r="M5580">
        <v>11.9291074694484</v>
      </c>
      <c r="N5580">
        <v>53.4554455284878</v>
      </c>
      <c r="O5580">
        <v>49.0450112036132</v>
      </c>
      <c r="P5580">
        <v>-4.5784675954759803E-2</v>
      </c>
      <c r="Q5580">
        <v>0.24723395441360299</v>
      </c>
      <c r="R5580">
        <v>0.97508531399651299</v>
      </c>
      <c r="S5580" t="s">
        <v>11891</v>
      </c>
      <c r="T5580" t="s">
        <v>12620</v>
      </c>
      <c r="U5580" t="s">
        <v>12620</v>
      </c>
      <c r="V5580" t="s">
        <v>12620</v>
      </c>
      <c r="W5580" t="s">
        <v>18141</v>
      </c>
      <c r="X5580">
        <v>5</v>
      </c>
      <c r="Y5580" t="s">
        <v>24235</v>
      </c>
      <c r="Z5580" t="s">
        <v>30527</v>
      </c>
      <c r="AA5580">
        <v>0.53384076035314676</v>
      </c>
      <c r="AB5580" t="str">
        <f>HYPERLINK("Melting_Curves/meltCurve_Q9NU22_MDN1.pdf", "Melting_Curves/meltCurve_Q9NU22_MDN1.pdf")</f>
        <v>Melting_Curves/meltCurve_Q9NU22_MDN1.pdf</v>
      </c>
    </row>
    <row r="5581" spans="1:28" x14ac:dyDescent="0.25">
      <c r="A5581" t="s">
        <v>5585</v>
      </c>
      <c r="B5581">
        <v>0.99987803227770999</v>
      </c>
      <c r="C5581">
        <v>0.89802287003824899</v>
      </c>
      <c r="D5581">
        <v>1.0248016356549701</v>
      </c>
      <c r="E5581">
        <v>0.78573093067607203</v>
      </c>
      <c r="F5581">
        <v>0.67662125988111499</v>
      </c>
      <c r="G5581">
        <v>0.29484525472380202</v>
      </c>
      <c r="H5581">
        <v>0.15979142003406099</v>
      </c>
      <c r="I5581">
        <v>0.11809349211978901</v>
      </c>
      <c r="J5581">
        <v>7.0176181419682807E-2</v>
      </c>
      <c r="K5581">
        <v>5.1818455965673201E-2</v>
      </c>
      <c r="L5581">
        <v>993.79842112013</v>
      </c>
      <c r="M5581">
        <v>18.2972322805707</v>
      </c>
      <c r="N5581">
        <v>54.583505224565698</v>
      </c>
      <c r="O5581">
        <v>53.677826258888999</v>
      </c>
      <c r="P5581">
        <v>-8.1542803843032294E-2</v>
      </c>
      <c r="Q5581">
        <v>4.3169213800946502E-2</v>
      </c>
      <c r="R5581">
        <v>0.98737115549232102</v>
      </c>
      <c r="S5581" t="s">
        <v>11892</v>
      </c>
      <c r="T5581" t="s">
        <v>12620</v>
      </c>
      <c r="U5581" t="s">
        <v>12620</v>
      </c>
      <c r="V5581" t="s">
        <v>12620</v>
      </c>
      <c r="W5581" t="s">
        <v>18142</v>
      </c>
      <c r="X5581">
        <v>2</v>
      </c>
      <c r="Y5581" t="s">
        <v>24236</v>
      </c>
      <c r="Z5581" t="s">
        <v>30528</v>
      </c>
      <c r="AA5581">
        <v>0.51452064318914825</v>
      </c>
      <c r="AB5581" t="str">
        <f>HYPERLINK("Melting_Curves/meltCurve_Q9NU23_LYRM2.pdf", "Melting_Curves/meltCurve_Q9NU23_LYRM2.pdf")</f>
        <v>Melting_Curves/meltCurve_Q9NU23_LYRM2.pdf</v>
      </c>
    </row>
    <row r="5582" spans="1:28" x14ac:dyDescent="0.25">
      <c r="A5582" t="s">
        <v>5586</v>
      </c>
      <c r="B5582">
        <v>0.99987803227770999</v>
      </c>
      <c r="C5582">
        <v>1.0083301722867599</v>
      </c>
      <c r="D5582">
        <v>1.0030854795708899</v>
      </c>
      <c r="E5582">
        <v>1.38852448379129</v>
      </c>
      <c r="F5582">
        <v>1.4920743730122901</v>
      </c>
      <c r="G5582">
        <v>1.2027116429145199</v>
      </c>
      <c r="H5582">
        <v>0.86759321310999005</v>
      </c>
      <c r="I5582">
        <v>0.81020871254515903</v>
      </c>
      <c r="J5582">
        <v>0.62319031342461695</v>
      </c>
      <c r="K5582">
        <v>0.53561221849061902</v>
      </c>
      <c r="L5582">
        <v>2146.7254593984599</v>
      </c>
      <c r="M5582">
        <v>33.230266628523303</v>
      </c>
      <c r="O5582">
        <v>64.368904535663305</v>
      </c>
      <c r="P5582">
        <v>-6.3902193946152194E-2</v>
      </c>
      <c r="Q5582">
        <v>0.50487350274957998</v>
      </c>
      <c r="R5582">
        <v>0.47629945480180502</v>
      </c>
      <c r="S5582" t="s">
        <v>11893</v>
      </c>
      <c r="T5582" t="s">
        <v>12620</v>
      </c>
      <c r="U5582" t="s">
        <v>12620</v>
      </c>
      <c r="V5582" t="s">
        <v>12620</v>
      </c>
      <c r="W5582" t="s">
        <v>18143</v>
      </c>
      <c r="X5582">
        <v>5</v>
      </c>
      <c r="Y5582" t="s">
        <v>24237</v>
      </c>
      <c r="Z5582" t="s">
        <v>30529</v>
      </c>
      <c r="AA5582">
        <v>0.91111482680004685</v>
      </c>
      <c r="AB5582" t="str">
        <f>HYPERLINK("Melting_Curves/meltCurve_Q9NUG6_PDRG1.pdf", "Melting_Curves/meltCurve_Q9NUG6_PDRG1.pdf")</f>
        <v>Melting_Curves/meltCurve_Q9NUG6_PDRG1.pdf</v>
      </c>
    </row>
    <row r="5583" spans="1:28" x14ac:dyDescent="0.25">
      <c r="A5583" t="s">
        <v>5587</v>
      </c>
      <c r="B5583">
        <v>0.99987803227770999</v>
      </c>
      <c r="C5583">
        <v>0.95401477804331103</v>
      </c>
      <c r="D5583">
        <v>0.98480436480015598</v>
      </c>
      <c r="E5583">
        <v>1.22177758470699</v>
      </c>
      <c r="F5583">
        <v>1.39652488594736</v>
      </c>
      <c r="G5583">
        <v>0.57642669831287996</v>
      </c>
      <c r="H5583">
        <v>1.0697034261968399</v>
      </c>
      <c r="I5583">
        <v>0.62414053004063696</v>
      </c>
      <c r="J5583">
        <v>0.13573427022822501</v>
      </c>
      <c r="K5583">
        <v>0.104374122753311</v>
      </c>
      <c r="L5583">
        <v>14506.3353766786</v>
      </c>
      <c r="M5583">
        <v>226.36788058399301</v>
      </c>
      <c r="N5583">
        <v>64.160831053987394</v>
      </c>
      <c r="O5583">
        <v>64.078009293011306</v>
      </c>
      <c r="P5583">
        <v>-0.77716600775933398</v>
      </c>
      <c r="Q5583">
        <v>0.120029742130909</v>
      </c>
      <c r="R5583">
        <v>0.76985419652504095</v>
      </c>
      <c r="S5583" t="s">
        <v>11894</v>
      </c>
      <c r="T5583" t="s">
        <v>12620</v>
      </c>
      <c r="U5583" t="s">
        <v>12620</v>
      </c>
      <c r="V5583" t="s">
        <v>12620</v>
      </c>
      <c r="W5583" t="s">
        <v>18144</v>
      </c>
      <c r="X5583">
        <v>8</v>
      </c>
      <c r="Y5583" t="s">
        <v>24238</v>
      </c>
      <c r="Z5583" t="s">
        <v>30530</v>
      </c>
      <c r="AA5583">
        <v>0.8265615682451446</v>
      </c>
      <c r="AB5583" t="str">
        <f>HYPERLINK("Melting_Curves/meltCurve_Q9NUJ1_ABHD10.pdf", "Melting_Curves/meltCurve_Q9NUJ1_ABHD10.pdf")</f>
        <v>Melting_Curves/meltCurve_Q9NUJ1_ABHD10.pdf</v>
      </c>
    </row>
    <row r="5584" spans="1:28" x14ac:dyDescent="0.25">
      <c r="A5584" t="s">
        <v>5588</v>
      </c>
      <c r="B5584">
        <v>0.99987803227770999</v>
      </c>
      <c r="C5584">
        <v>0.95756038058370696</v>
      </c>
      <c r="D5584">
        <v>0.99508190336944102</v>
      </c>
      <c r="E5584">
        <v>0.90175857782855295</v>
      </c>
      <c r="F5584">
        <v>0.41735403308022401</v>
      </c>
      <c r="G5584">
        <v>0.215965082875548</v>
      </c>
      <c r="H5584">
        <v>0.10534937924219701</v>
      </c>
      <c r="I5584">
        <v>7.7644228819664901E-2</v>
      </c>
      <c r="J5584">
        <v>5.9628611405184898E-2</v>
      </c>
      <c r="K5584">
        <v>3.7414092768163897E-2</v>
      </c>
      <c r="L5584">
        <v>1847.32736235622</v>
      </c>
      <c r="M5584">
        <v>35.225198837942301</v>
      </c>
      <c r="N5584">
        <v>52.713805990172702</v>
      </c>
      <c r="O5584">
        <v>52.2751899684989</v>
      </c>
      <c r="P5584">
        <v>-0.154534520366851</v>
      </c>
      <c r="Q5584">
        <v>8.2668785440033601E-2</v>
      </c>
      <c r="R5584">
        <v>0.991353143929252</v>
      </c>
      <c r="S5584" t="s">
        <v>11895</v>
      </c>
      <c r="T5584" t="s">
        <v>12620</v>
      </c>
      <c r="U5584" t="s">
        <v>12620</v>
      </c>
      <c r="V5584" t="s">
        <v>12620</v>
      </c>
      <c r="W5584" t="s">
        <v>18145</v>
      </c>
      <c r="X5584">
        <v>8</v>
      </c>
      <c r="Y5584" t="s">
        <v>24239</v>
      </c>
      <c r="Z5584" t="s">
        <v>30531</v>
      </c>
      <c r="AA5584">
        <v>0.46744579674341669</v>
      </c>
      <c r="AB5584" t="str">
        <f>HYPERLINK("Melting_Curves/meltCurve_Q9NUJ3_TCP11L1.pdf", "Melting_Curves/meltCurve_Q9NUJ3_TCP11L1.pdf")</f>
        <v>Melting_Curves/meltCurve_Q9NUJ3_TCP11L1.pdf</v>
      </c>
    </row>
    <row r="5585" spans="1:28" x14ac:dyDescent="0.25">
      <c r="A5585" t="s">
        <v>5589</v>
      </c>
      <c r="B5585">
        <v>0.99987803227770999</v>
      </c>
      <c r="C5585">
        <v>0.89560572608558797</v>
      </c>
      <c r="D5585">
        <v>0.97293361521674304</v>
      </c>
      <c r="E5585">
        <v>0.84458214108044205</v>
      </c>
      <c r="F5585">
        <v>0.90140091578963499</v>
      </c>
      <c r="G5585">
        <v>0.65039833713290096</v>
      </c>
      <c r="H5585">
        <v>0.75192746100312602</v>
      </c>
      <c r="I5585">
        <v>0.60635218289376902</v>
      </c>
      <c r="J5585">
        <v>0.66293341931849104</v>
      </c>
      <c r="K5585">
        <v>0.54348826636515402</v>
      </c>
      <c r="L5585">
        <v>383.08092444678698</v>
      </c>
      <c r="M5585">
        <v>6.3325122091550599</v>
      </c>
      <c r="O5585">
        <v>55.303581030241801</v>
      </c>
      <c r="P5585">
        <v>-1.7383981998590901E-2</v>
      </c>
      <c r="Q5585">
        <v>0.39433992076293201</v>
      </c>
      <c r="R5585">
        <v>0.85646808808689001</v>
      </c>
      <c r="S5585" t="s">
        <v>11896</v>
      </c>
      <c r="T5585" t="s">
        <v>12620</v>
      </c>
      <c r="U5585" t="s">
        <v>12620</v>
      </c>
      <c r="V5585" t="s">
        <v>12620</v>
      </c>
      <c r="W5585" t="s">
        <v>18146</v>
      </c>
      <c r="X5585">
        <v>3</v>
      </c>
      <c r="Y5585" t="s">
        <v>24240</v>
      </c>
      <c r="Z5585" t="s">
        <v>30532</v>
      </c>
      <c r="AA5585">
        <v>0.78604140646834364</v>
      </c>
      <c r="AB5585" t="str">
        <f>HYPERLINK("Melting_Curves/meltCurve_Q9NUL5_2_C19orf66.pdf", "Melting_Curves/meltCurve_Q9NUL5_2_C19orf66.pdf")</f>
        <v>Melting_Curves/meltCurve_Q9NUL5_2_C19orf66.pdf</v>
      </c>
    </row>
    <row r="5586" spans="1:28" x14ac:dyDescent="0.25">
      <c r="A5586" t="s">
        <v>5590</v>
      </c>
      <c r="B5586">
        <v>0.99987803227770999</v>
      </c>
      <c r="C5586">
        <v>0.820496044988686</v>
      </c>
      <c r="D5586">
        <v>0.99236002987019001</v>
      </c>
      <c r="E5586">
        <v>0.81888410817378499</v>
      </c>
      <c r="F5586">
        <v>1.0039892578117899</v>
      </c>
      <c r="G5586">
        <v>0.64726494743360796</v>
      </c>
      <c r="H5586">
        <v>0.31810751693639699</v>
      </c>
      <c r="I5586">
        <v>0.18125086973176399</v>
      </c>
      <c r="J5586">
        <v>0.153540987579105</v>
      </c>
      <c r="K5586">
        <v>8.5547568387095305E-2</v>
      </c>
      <c r="L5586">
        <v>1398.26891345576</v>
      </c>
      <c r="M5586">
        <v>24.0054630645968</v>
      </c>
      <c r="N5586">
        <v>58.731119642992397</v>
      </c>
      <c r="O5586">
        <v>57.848246534510402</v>
      </c>
      <c r="P5586">
        <v>-9.4448752884075393E-2</v>
      </c>
      <c r="Q5586">
        <v>8.9605828658655101E-2</v>
      </c>
      <c r="R5586">
        <v>0.94822220693974502</v>
      </c>
      <c r="S5586" t="s">
        <v>11897</v>
      </c>
      <c r="T5586" t="s">
        <v>12620</v>
      </c>
      <c r="U5586" t="s">
        <v>12620</v>
      </c>
      <c r="V5586" t="s">
        <v>12620</v>
      </c>
      <c r="W5586" t="s">
        <v>18147</v>
      </c>
      <c r="X5586">
        <v>2</v>
      </c>
      <c r="Y5586" t="s">
        <v>24241</v>
      </c>
      <c r="Z5586" t="s">
        <v>30533</v>
      </c>
      <c r="AA5586">
        <v>0.6516173483429033</v>
      </c>
      <c r="AB5586" t="str">
        <f>HYPERLINK("Melting_Curves/meltCurve_Q9NUM4_TMEM106B.pdf", "Melting_Curves/meltCurve_Q9NUM4_TMEM106B.pdf")</f>
        <v>Melting_Curves/meltCurve_Q9NUM4_TMEM106B.pdf</v>
      </c>
    </row>
    <row r="5587" spans="1:28" x14ac:dyDescent="0.25">
      <c r="A5587" t="s">
        <v>5591</v>
      </c>
      <c r="B5587">
        <v>0.99987803227770999</v>
      </c>
      <c r="C5587">
        <v>1.0749102254795999</v>
      </c>
      <c r="D5587">
        <v>0.98894816481558601</v>
      </c>
      <c r="E5587">
        <v>1.0034525704600701</v>
      </c>
      <c r="F5587">
        <v>0.86815327667199604</v>
      </c>
      <c r="G5587">
        <v>0.66275433174673004</v>
      </c>
      <c r="H5587">
        <v>0.481151568446754</v>
      </c>
      <c r="I5587">
        <v>0.31418406610649802</v>
      </c>
      <c r="J5587">
        <v>0.27115625939594401</v>
      </c>
      <c r="K5587">
        <v>0.187331896454137</v>
      </c>
      <c r="L5587">
        <v>961.57378997344995</v>
      </c>
      <c r="M5587">
        <v>16.320547276818498</v>
      </c>
      <c r="N5587">
        <v>60.175605411062499</v>
      </c>
      <c r="O5587">
        <v>58.054727081163399</v>
      </c>
      <c r="P5587">
        <v>-6.0129589286931601E-2</v>
      </c>
      <c r="Q5587">
        <v>0.14450084819054401</v>
      </c>
      <c r="R5587">
        <v>0.99023205074505505</v>
      </c>
      <c r="S5587" t="s">
        <v>11898</v>
      </c>
      <c r="T5587" t="s">
        <v>12620</v>
      </c>
      <c r="U5587" t="s">
        <v>12620</v>
      </c>
      <c r="V5587" t="s">
        <v>12620</v>
      </c>
      <c r="W5587" t="s">
        <v>18148</v>
      </c>
      <c r="X5587">
        <v>3</v>
      </c>
      <c r="Y5587" t="s">
        <v>24242</v>
      </c>
      <c r="Z5587" t="s">
        <v>30534</v>
      </c>
      <c r="AA5587">
        <v>0.69333096930297833</v>
      </c>
      <c r="AB5587" t="str">
        <f>HYPERLINK("Melting_Curves/meltCurve_Q9NUP1_BLOC1S4.pdf", "Melting_Curves/meltCurve_Q9NUP1_BLOC1S4.pdf")</f>
        <v>Melting_Curves/meltCurve_Q9NUP1_BLOC1S4.pdf</v>
      </c>
    </row>
    <row r="5588" spans="1:28" x14ac:dyDescent="0.25">
      <c r="A5588" t="s">
        <v>5592</v>
      </c>
      <c r="B5588">
        <v>0.99987803227770999</v>
      </c>
      <c r="C5588">
        <v>1.09214062804761</v>
      </c>
      <c r="D5588">
        <v>1.0054105461088101</v>
      </c>
      <c r="E5588">
        <v>1.0671709336544499</v>
      </c>
      <c r="F5588">
        <v>0.66812650146200003</v>
      </c>
      <c r="G5588">
        <v>0.19451537646901701</v>
      </c>
      <c r="H5588">
        <v>0.11004607102727</v>
      </c>
      <c r="I5588">
        <v>0.104758637736069</v>
      </c>
      <c r="J5588">
        <v>8.9588839422564306E-2</v>
      </c>
      <c r="K5588">
        <v>6.6650465722598307E-2</v>
      </c>
      <c r="L5588">
        <v>2515.4979930373001</v>
      </c>
      <c r="M5588">
        <v>46.816953063075402</v>
      </c>
      <c r="N5588">
        <v>53.985991338054298</v>
      </c>
      <c r="O5588">
        <v>53.6327569567827</v>
      </c>
      <c r="P5588">
        <v>-0.196544201394898</v>
      </c>
      <c r="Q5588">
        <v>9.9369723234562293E-2</v>
      </c>
      <c r="R5588">
        <v>0.98949555151618096</v>
      </c>
      <c r="S5588" t="s">
        <v>11899</v>
      </c>
      <c r="T5588" t="s">
        <v>12620</v>
      </c>
      <c r="U5588" t="s">
        <v>12620</v>
      </c>
      <c r="V5588" t="s">
        <v>12620</v>
      </c>
      <c r="W5588" t="s">
        <v>18149</v>
      </c>
      <c r="X5588">
        <v>5</v>
      </c>
      <c r="Y5588" t="s">
        <v>24243</v>
      </c>
      <c r="Z5588" t="s">
        <v>30535</v>
      </c>
      <c r="AA5588">
        <v>0.51400844834287096</v>
      </c>
      <c r="AB5588" t="str">
        <f>HYPERLINK("Melting_Curves/meltCurve_Q9NUP7_TRMT13.pdf", "Melting_Curves/meltCurve_Q9NUP7_TRMT13.pdf")</f>
        <v>Melting_Curves/meltCurve_Q9NUP7_TRMT13.pdf</v>
      </c>
    </row>
    <row r="5589" spans="1:28" x14ac:dyDescent="0.25">
      <c r="A5589" t="s">
        <v>5593</v>
      </c>
      <c r="B5589">
        <v>0.99987803227770999</v>
      </c>
      <c r="C5589">
        <v>1.0269255263981401</v>
      </c>
      <c r="D5589">
        <v>1.0098428039626199</v>
      </c>
      <c r="E5589">
        <v>1.0237871242129899</v>
      </c>
      <c r="F5589">
        <v>1.10965076569184</v>
      </c>
      <c r="G5589">
        <v>0.97612422024079404</v>
      </c>
      <c r="H5589">
        <v>0.760142392919127</v>
      </c>
      <c r="I5589">
        <v>0.62490041368316795</v>
      </c>
      <c r="J5589">
        <v>0.40102759465134802</v>
      </c>
      <c r="K5589">
        <v>0.278899588612182</v>
      </c>
      <c r="L5589">
        <v>1461.7446707888801</v>
      </c>
      <c r="M5589">
        <v>22.795208662774201</v>
      </c>
      <c r="N5589">
        <v>65.382951706564796</v>
      </c>
      <c r="O5589">
        <v>63.6377196311836</v>
      </c>
      <c r="P5589">
        <v>-7.36557525960745E-2</v>
      </c>
      <c r="Q5589">
        <v>0.17751286203400499</v>
      </c>
      <c r="R5589">
        <v>0.97637523415270799</v>
      </c>
      <c r="S5589" t="s">
        <v>11900</v>
      </c>
      <c r="T5589" t="s">
        <v>12620</v>
      </c>
      <c r="U5589" t="s">
        <v>12620</v>
      </c>
      <c r="V5589" t="s">
        <v>12620</v>
      </c>
      <c r="W5589" t="s">
        <v>18150</v>
      </c>
      <c r="X5589">
        <v>10</v>
      </c>
      <c r="Y5589" t="s">
        <v>24244</v>
      </c>
      <c r="Z5589" t="s">
        <v>30536</v>
      </c>
      <c r="AA5589">
        <v>0.83623954021729474</v>
      </c>
      <c r="AB5589" t="str">
        <f>HYPERLINK("Melting_Curves/meltCurve_Q9NUP9_LIN7C.pdf", "Melting_Curves/meltCurve_Q9NUP9_LIN7C.pdf")</f>
        <v>Melting_Curves/meltCurve_Q9NUP9_LIN7C.pdf</v>
      </c>
    </row>
    <row r="5590" spans="1:28" x14ac:dyDescent="0.25">
      <c r="A5590" t="s">
        <v>5594</v>
      </c>
      <c r="B5590">
        <v>0.99987803227770999</v>
      </c>
      <c r="C5590">
        <v>0.93530549560007703</v>
      </c>
      <c r="D5590">
        <v>0.94906808262654796</v>
      </c>
      <c r="E5590">
        <v>0.84396514837926695</v>
      </c>
      <c r="F5590">
        <v>0.55028856884677702</v>
      </c>
      <c r="G5590">
        <v>0.416379475022919</v>
      </c>
      <c r="H5590">
        <v>0.35807666421161999</v>
      </c>
      <c r="I5590">
        <v>0.30293147530470999</v>
      </c>
      <c r="J5590">
        <v>0.30786134024996498</v>
      </c>
      <c r="K5590">
        <v>0.26094221568674503</v>
      </c>
      <c r="L5590">
        <v>1073.4623381613301</v>
      </c>
      <c r="M5590">
        <v>20.5358000488025</v>
      </c>
      <c r="N5590">
        <v>54.591515280254598</v>
      </c>
      <c r="O5590">
        <v>51.7846217659567</v>
      </c>
      <c r="P5590">
        <v>-7.0292953294255694E-2</v>
      </c>
      <c r="Q5590">
        <v>0.29099674059802999</v>
      </c>
      <c r="R5590">
        <v>0.98821692255386195</v>
      </c>
      <c r="S5590" t="s">
        <v>11901</v>
      </c>
      <c r="T5590" t="s">
        <v>12620</v>
      </c>
      <c r="U5590" t="s">
        <v>12620</v>
      </c>
      <c r="V5590" t="s">
        <v>12620</v>
      </c>
      <c r="W5590" t="s">
        <v>18151</v>
      </c>
      <c r="X5590">
        <v>25</v>
      </c>
      <c r="Y5590" t="s">
        <v>24245</v>
      </c>
      <c r="Z5590" t="s">
        <v>30537</v>
      </c>
      <c r="AA5590">
        <v>0.59039246973286763</v>
      </c>
      <c r="AB5590" t="str">
        <f>HYPERLINK("Melting_Curves/meltCurve_Q9NUQ3_TXLNG.pdf", "Melting_Curves/meltCurve_Q9NUQ3_TXLNG.pdf")</f>
        <v>Melting_Curves/meltCurve_Q9NUQ3_TXLNG.pdf</v>
      </c>
    </row>
    <row r="5591" spans="1:28" x14ac:dyDescent="0.25">
      <c r="A5591" t="s">
        <v>5595</v>
      </c>
      <c r="B5591">
        <v>0.99987803227770999</v>
      </c>
      <c r="C5591">
        <v>0.94756087124552602</v>
      </c>
      <c r="D5591">
        <v>1.0074865235177399</v>
      </c>
      <c r="E5591">
        <v>0.76028921862663001</v>
      </c>
      <c r="F5591">
        <v>0.75871754449171702</v>
      </c>
      <c r="G5591">
        <v>0.54125336572498195</v>
      </c>
      <c r="H5591">
        <v>0.50733519927814397</v>
      </c>
      <c r="I5591">
        <v>0.49399295369337898</v>
      </c>
      <c r="J5591">
        <v>0.45518931622056202</v>
      </c>
      <c r="K5591">
        <v>0.37130587741062099</v>
      </c>
      <c r="L5591">
        <v>695.95975566151401</v>
      </c>
      <c r="M5591">
        <v>13.0129753686707</v>
      </c>
      <c r="N5591">
        <v>60.653431727636899</v>
      </c>
      <c r="O5591">
        <v>52.266263300747802</v>
      </c>
      <c r="P5591">
        <v>-3.7809726980170197E-2</v>
      </c>
      <c r="Q5591">
        <v>0.392660092953313</v>
      </c>
      <c r="R5591">
        <v>0.96506691914036602</v>
      </c>
      <c r="S5591" t="s">
        <v>11902</v>
      </c>
      <c r="T5591" t="s">
        <v>12620</v>
      </c>
      <c r="U5591" t="s">
        <v>12620</v>
      </c>
      <c r="V5591" t="s">
        <v>12620</v>
      </c>
      <c r="W5591" t="s">
        <v>18152</v>
      </c>
      <c r="X5591">
        <v>8</v>
      </c>
      <c r="Y5591" t="s">
        <v>24246</v>
      </c>
      <c r="Z5591" t="s">
        <v>30538</v>
      </c>
      <c r="AA5591">
        <v>0.68082747474287664</v>
      </c>
      <c r="AB5591" t="str">
        <f>HYPERLINK("Melting_Curves/meltCurve_Q9NUQ6_2_SPATS2L.pdf", "Melting_Curves/meltCurve_Q9NUQ6_2_SPATS2L.pdf")</f>
        <v>Melting_Curves/meltCurve_Q9NUQ6_2_SPATS2L.pdf</v>
      </c>
    </row>
    <row r="5592" spans="1:28" x14ac:dyDescent="0.25">
      <c r="A5592" t="s">
        <v>5596</v>
      </c>
      <c r="B5592">
        <v>0.99987803227770999</v>
      </c>
      <c r="C5592">
        <v>0.62660899851302598</v>
      </c>
      <c r="D5592">
        <v>0.45809551481058303</v>
      </c>
      <c r="E5592">
        <v>0.39247899232945499</v>
      </c>
      <c r="F5592">
        <v>0.33906024520828698</v>
      </c>
      <c r="G5592">
        <v>0.269811715176623</v>
      </c>
      <c r="H5592">
        <v>0.23345686634502399</v>
      </c>
      <c r="I5592">
        <v>0.221213192058622</v>
      </c>
      <c r="J5592">
        <v>0.19322128874908101</v>
      </c>
      <c r="K5592">
        <v>0.15055541807311601</v>
      </c>
      <c r="L5592">
        <v>671.76379169060897</v>
      </c>
      <c r="M5592">
        <v>15.1462463042681</v>
      </c>
      <c r="N5592">
        <v>46.072958199333399</v>
      </c>
      <c r="O5592">
        <v>43.600258130534897</v>
      </c>
      <c r="P5592">
        <v>-6.80904891677242E-2</v>
      </c>
      <c r="Q5592">
        <v>0.21605024117562899</v>
      </c>
      <c r="R5592">
        <v>0.93698360554414994</v>
      </c>
      <c r="S5592" t="s">
        <v>11903</v>
      </c>
      <c r="T5592" t="s">
        <v>12620</v>
      </c>
      <c r="U5592" t="s">
        <v>12620</v>
      </c>
      <c r="V5592" t="s">
        <v>12620</v>
      </c>
      <c r="W5592" t="s">
        <v>18153</v>
      </c>
      <c r="X5592">
        <v>11</v>
      </c>
      <c r="Y5592" t="s">
        <v>24247</v>
      </c>
      <c r="Z5592" t="s">
        <v>30539</v>
      </c>
      <c r="AA5592">
        <v>0.35639264495881229</v>
      </c>
      <c r="AB5592" t="str">
        <f>HYPERLINK("Melting_Curves/meltCurve_Q9NUQ8_ABCF3.pdf", "Melting_Curves/meltCurve_Q9NUQ8_ABCF3.pdf")</f>
        <v>Melting_Curves/meltCurve_Q9NUQ8_ABCF3.pdf</v>
      </c>
    </row>
    <row r="5593" spans="1:28" x14ac:dyDescent="0.25">
      <c r="A5593" t="s">
        <v>5597</v>
      </c>
      <c r="B5593">
        <v>0.99987803227770999</v>
      </c>
      <c r="C5593">
        <v>0.84969651309902605</v>
      </c>
      <c r="D5593">
        <v>1.0024223627020199</v>
      </c>
      <c r="E5593">
        <v>0.89944763922568705</v>
      </c>
      <c r="F5593">
        <v>1.0883018153031701</v>
      </c>
      <c r="G5593">
        <v>0.97679249480355501</v>
      </c>
      <c r="H5593">
        <v>0.28989593200154501</v>
      </c>
      <c r="I5593">
        <v>0.150740068505681</v>
      </c>
      <c r="J5593">
        <v>9.0358770761142307E-2</v>
      </c>
      <c r="K5593">
        <v>7.1692436763341902E-2</v>
      </c>
      <c r="L5593">
        <v>3989.5316387877001</v>
      </c>
      <c r="M5593">
        <v>66.683811910233501</v>
      </c>
      <c r="N5593">
        <v>60.025906856793</v>
      </c>
      <c r="O5593">
        <v>59.773853259743099</v>
      </c>
      <c r="P5593">
        <v>-0.25132680138639202</v>
      </c>
      <c r="Q5593">
        <v>9.8865739282562204E-2</v>
      </c>
      <c r="R5593">
        <v>0.97425434589897997</v>
      </c>
      <c r="S5593" t="s">
        <v>11904</v>
      </c>
      <c r="T5593" t="s">
        <v>12620</v>
      </c>
      <c r="U5593" t="s">
        <v>12620</v>
      </c>
      <c r="V5593" t="s">
        <v>12620</v>
      </c>
      <c r="W5593" t="s">
        <v>18154</v>
      </c>
      <c r="X5593">
        <v>19</v>
      </c>
      <c r="Y5593" t="s">
        <v>24248</v>
      </c>
      <c r="Z5593" t="s">
        <v>30540</v>
      </c>
      <c r="AA5593">
        <v>0.69577439255465301</v>
      </c>
      <c r="AB5593" t="str">
        <f>HYPERLINK("Melting_Curves/meltCurve_Q9NUQ9_FAM49B.pdf", "Melting_Curves/meltCurve_Q9NUQ9_FAM49B.pdf")</f>
        <v>Melting_Curves/meltCurve_Q9NUQ9_FAM49B.pdf</v>
      </c>
    </row>
    <row r="5594" spans="1:28" x14ac:dyDescent="0.25">
      <c r="A5594" t="s">
        <v>5598</v>
      </c>
      <c r="B5594">
        <v>0.99987803227770999</v>
      </c>
      <c r="C5594">
        <v>0.86377943208258301</v>
      </c>
      <c r="D5594">
        <v>0.92142949505174998</v>
      </c>
      <c r="E5594">
        <v>0.76366024004813604</v>
      </c>
      <c r="F5594">
        <v>0.61873727334310302</v>
      </c>
      <c r="G5594">
        <v>0.21564448030788</v>
      </c>
      <c r="H5594">
        <v>0.17606452572664799</v>
      </c>
      <c r="I5594">
        <v>0.14409052165150801</v>
      </c>
      <c r="J5594">
        <v>0.115531857517747</v>
      </c>
      <c r="K5594">
        <v>8.9373000598006402E-2</v>
      </c>
      <c r="L5594">
        <v>935.25092809394903</v>
      </c>
      <c r="M5594">
        <v>17.5986542027435</v>
      </c>
      <c r="N5594">
        <v>53.680296238245802</v>
      </c>
      <c r="O5594">
        <v>52.471381775812397</v>
      </c>
      <c r="P5594">
        <v>-7.70856199366272E-2</v>
      </c>
      <c r="Q5594">
        <v>8.0709054172325906E-2</v>
      </c>
      <c r="R5594">
        <v>0.97871374704924496</v>
      </c>
      <c r="S5594" t="s">
        <v>11905</v>
      </c>
      <c r="T5594" t="s">
        <v>12620</v>
      </c>
      <c r="U5594" t="s">
        <v>12620</v>
      </c>
      <c r="V5594" t="s">
        <v>12620</v>
      </c>
      <c r="W5594" t="s">
        <v>18155</v>
      </c>
      <c r="X5594">
        <v>4</v>
      </c>
      <c r="Y5594" t="s">
        <v>24249</v>
      </c>
      <c r="Z5594" t="s">
        <v>30541</v>
      </c>
      <c r="AA5594">
        <v>0.49901232894632341</v>
      </c>
      <c r="AB5594" t="str">
        <f>HYPERLINK("Melting_Curves/meltCurve_Q9NUS5_AP5S1.pdf", "Melting_Curves/meltCurve_Q9NUS5_AP5S1.pdf")</f>
        <v>Melting_Curves/meltCurve_Q9NUS5_AP5S1.pdf</v>
      </c>
    </row>
    <row r="5595" spans="1:28" x14ac:dyDescent="0.25">
      <c r="A5595" t="s">
        <v>5599</v>
      </c>
      <c r="B5595">
        <v>0.99987803227770999</v>
      </c>
      <c r="C5595">
        <v>0.90833957150452005</v>
      </c>
      <c r="D5595">
        <v>0.91614655955729396</v>
      </c>
      <c r="E5595">
        <v>0.57191342555147495</v>
      </c>
      <c r="F5595">
        <v>0.223037702322779</v>
      </c>
      <c r="G5595">
        <v>0.143975343423734</v>
      </c>
      <c r="H5595">
        <v>0.100212537557317</v>
      </c>
      <c r="I5595">
        <v>8.8054581339622004E-2</v>
      </c>
      <c r="J5595">
        <v>7.3273941701202897E-2</v>
      </c>
      <c r="K5595">
        <v>5.2627099933155397E-2</v>
      </c>
      <c r="L5595">
        <v>1281.22607548922</v>
      </c>
      <c r="M5595">
        <v>25.571919014059201</v>
      </c>
      <c r="N5595">
        <v>50.429892321371398</v>
      </c>
      <c r="O5595">
        <v>49.799463388836898</v>
      </c>
      <c r="P5595">
        <v>-0.118567263326465</v>
      </c>
      <c r="Q5595">
        <v>7.6406635737094303E-2</v>
      </c>
      <c r="R5595">
        <v>0.99318248253991503</v>
      </c>
      <c r="S5595" t="s">
        <v>11906</v>
      </c>
      <c r="T5595" t="s">
        <v>12620</v>
      </c>
      <c r="U5595" t="s">
        <v>12620</v>
      </c>
      <c r="V5595" t="s">
        <v>12620</v>
      </c>
      <c r="W5595" t="s">
        <v>18156</v>
      </c>
      <c r="X5595">
        <v>29</v>
      </c>
      <c r="Y5595" t="s">
        <v>24250</v>
      </c>
      <c r="Z5595" t="s">
        <v>30542</v>
      </c>
      <c r="AA5595">
        <v>0.3953341669003968</v>
      </c>
      <c r="AB5595" t="str">
        <f>HYPERLINK("Melting_Curves/meltCurve_Q9NUU7_DDX19A.pdf", "Melting_Curves/meltCurve_Q9NUU7_DDX19A.pdf")</f>
        <v>Melting_Curves/meltCurve_Q9NUU7_DDX19A.pdf</v>
      </c>
    </row>
    <row r="5596" spans="1:28" x14ac:dyDescent="0.25">
      <c r="A5596" t="s">
        <v>5600</v>
      </c>
      <c r="B5596">
        <v>0.99987803227770999</v>
      </c>
      <c r="C5596">
        <v>1.09620711539328</v>
      </c>
      <c r="D5596">
        <v>0.86755591158585599</v>
      </c>
      <c r="E5596">
        <v>0.93586275782001405</v>
      </c>
      <c r="F5596">
        <v>0.56427668535400299</v>
      </c>
      <c r="G5596">
        <v>0.46612118380867501</v>
      </c>
      <c r="H5596">
        <v>0.31521726738448802</v>
      </c>
      <c r="I5596">
        <v>0.17014433875016799</v>
      </c>
      <c r="J5596">
        <v>0.103837141629173</v>
      </c>
      <c r="K5596">
        <v>8.52528904825854E-2</v>
      </c>
      <c r="L5596">
        <v>724.59044566837395</v>
      </c>
      <c r="M5596">
        <v>12.968402974342901</v>
      </c>
      <c r="N5596">
        <v>56.059057775322103</v>
      </c>
      <c r="O5596">
        <v>54.595011232427403</v>
      </c>
      <c r="P5596">
        <v>-5.81475734419971E-2</v>
      </c>
      <c r="Q5596">
        <v>2.1004713563468499E-2</v>
      </c>
      <c r="R5596">
        <v>0.965836895679139</v>
      </c>
      <c r="S5596" t="s">
        <v>11907</v>
      </c>
      <c r="T5596" t="s">
        <v>12620</v>
      </c>
      <c r="U5596" t="s">
        <v>12620</v>
      </c>
      <c r="V5596" t="s">
        <v>12620</v>
      </c>
      <c r="W5596" t="s">
        <v>18157</v>
      </c>
      <c r="X5596">
        <v>3</v>
      </c>
      <c r="Y5596" t="s">
        <v>24251</v>
      </c>
      <c r="Z5596" t="s">
        <v>30543</v>
      </c>
      <c r="AA5596">
        <v>0.55857552309072744</v>
      </c>
      <c r="AB5596" t="str">
        <f>HYPERLINK("Melting_Curves/meltCurve_Q9NUW8_TDP1.pdf", "Melting_Curves/meltCurve_Q9NUW8_TDP1.pdf")</f>
        <v>Melting_Curves/meltCurve_Q9NUW8_TDP1.pdf</v>
      </c>
    </row>
    <row r="5597" spans="1:28" x14ac:dyDescent="0.25">
      <c r="A5597" t="s">
        <v>5601</v>
      </c>
      <c r="B5597">
        <v>0.99987803227770999</v>
      </c>
      <c r="C5597">
        <v>1.00804356266739</v>
      </c>
      <c r="D5597">
        <v>0.97088769612181902</v>
      </c>
      <c r="E5597">
        <v>0.75001190351600699</v>
      </c>
      <c r="F5597">
        <v>0.37610936811321199</v>
      </c>
      <c r="G5597">
        <v>0.19704161804377501</v>
      </c>
      <c r="H5597">
        <v>0.131180659888193</v>
      </c>
      <c r="I5597">
        <v>0.147252073285878</v>
      </c>
      <c r="J5597">
        <v>8.9769332964174997E-2</v>
      </c>
      <c r="K5597">
        <v>4.8588144640955497E-2</v>
      </c>
      <c r="L5597">
        <v>1399.6799349443199</v>
      </c>
      <c r="M5597">
        <v>27.1141251451801</v>
      </c>
      <c r="N5597">
        <v>52.064039199389804</v>
      </c>
      <c r="O5597">
        <v>51.3434609839641</v>
      </c>
      <c r="P5597">
        <v>-0.11844493650075499</v>
      </c>
      <c r="Q5597">
        <v>0.102856876476875</v>
      </c>
      <c r="R5597">
        <v>0.99555109983995604</v>
      </c>
      <c r="S5597" t="s">
        <v>11908</v>
      </c>
      <c r="T5597" t="s">
        <v>12620</v>
      </c>
      <c r="U5597" t="s">
        <v>12620</v>
      </c>
      <c r="V5597" t="s">
        <v>12620</v>
      </c>
      <c r="W5597" t="s">
        <v>18158</v>
      </c>
      <c r="X5597">
        <v>6</v>
      </c>
      <c r="Y5597" t="s">
        <v>24252</v>
      </c>
      <c r="Z5597" t="s">
        <v>30544</v>
      </c>
      <c r="AA5597">
        <v>0.45736553208564401</v>
      </c>
      <c r="AB5597" t="str">
        <f>HYPERLINK("Melting_Curves/meltCurve_Q9NUY8_TBC1D23.pdf", "Melting_Curves/meltCurve_Q9NUY8_TBC1D23.pdf")</f>
        <v>Melting_Curves/meltCurve_Q9NUY8_TBC1D23.pdf</v>
      </c>
    </row>
    <row r="5598" spans="1:28" x14ac:dyDescent="0.25">
      <c r="A5598" t="s">
        <v>5602</v>
      </c>
      <c r="B5598">
        <v>0.99987803227770999</v>
      </c>
      <c r="C5598">
        <v>1.0924973833435401</v>
      </c>
      <c r="D5598">
        <v>1.01533580451724</v>
      </c>
      <c r="E5598">
        <v>0.96078239466284798</v>
      </c>
      <c r="F5598">
        <v>0.79104217287217504</v>
      </c>
      <c r="G5598">
        <v>0.38223770846463601</v>
      </c>
      <c r="H5598">
        <v>0.22509271352924001</v>
      </c>
      <c r="I5598">
        <v>0.22563701399247801</v>
      </c>
      <c r="J5598">
        <v>0.11404752850993299</v>
      </c>
      <c r="K5598">
        <v>8.1934411117858805E-2</v>
      </c>
      <c r="L5598">
        <v>1409.8767580388201</v>
      </c>
      <c r="M5598">
        <v>25.486191247308799</v>
      </c>
      <c r="N5598">
        <v>55.970635154914099</v>
      </c>
      <c r="O5598">
        <v>54.982037151855003</v>
      </c>
      <c r="P5598">
        <v>-0.101013878835764</v>
      </c>
      <c r="Q5598">
        <v>0.12833123705615701</v>
      </c>
      <c r="R5598">
        <v>0.98815535907130503</v>
      </c>
      <c r="S5598" t="s">
        <v>11909</v>
      </c>
      <c r="T5598" t="s">
        <v>12620</v>
      </c>
      <c r="U5598" t="s">
        <v>12620</v>
      </c>
      <c r="V5598" t="s">
        <v>12620</v>
      </c>
      <c r="W5598" t="s">
        <v>18159</v>
      </c>
      <c r="X5598">
        <v>6</v>
      </c>
      <c r="Y5598" t="s">
        <v>24253</v>
      </c>
      <c r="Z5598" t="s">
        <v>30545</v>
      </c>
      <c r="AA5598">
        <v>0.58122893904764061</v>
      </c>
      <c r="AB5598" t="str">
        <f>HYPERLINK("Melting_Curves/meltCurve_Q9NV06_DCAF13.pdf", "Melting_Curves/meltCurve_Q9NV06_DCAF13.pdf")</f>
        <v>Melting_Curves/meltCurve_Q9NV06_DCAF13.pdf</v>
      </c>
    </row>
    <row r="5599" spans="1:28" x14ac:dyDescent="0.25">
      <c r="A5599" t="s">
        <v>5603</v>
      </c>
      <c r="B5599">
        <v>0.99987803227770999</v>
      </c>
      <c r="C5599">
        <v>1.15529391848138</v>
      </c>
      <c r="D5599">
        <v>1.0097117753476801</v>
      </c>
      <c r="E5599">
        <v>0.87785757070425596</v>
      </c>
      <c r="F5599">
        <v>0.469958321469578</v>
      </c>
      <c r="G5599">
        <v>0.36692175056263099</v>
      </c>
      <c r="H5599">
        <v>0.22882226668372699</v>
      </c>
      <c r="I5599">
        <v>0.21610372128298799</v>
      </c>
      <c r="J5599">
        <v>0.144805045376837</v>
      </c>
      <c r="K5599">
        <v>9.3995862492448998E-2</v>
      </c>
      <c r="L5599">
        <v>1264.89759448258</v>
      </c>
      <c r="M5599">
        <v>23.9880890985972</v>
      </c>
      <c r="N5599">
        <v>53.639838477602702</v>
      </c>
      <c r="O5599">
        <v>52.367872904382502</v>
      </c>
      <c r="P5599">
        <v>-9.5382326377202897E-2</v>
      </c>
      <c r="Q5599">
        <v>0.167104786033137</v>
      </c>
      <c r="R5599">
        <v>0.96533925851679103</v>
      </c>
      <c r="S5599" t="s">
        <v>11910</v>
      </c>
      <c r="T5599" t="s">
        <v>12620</v>
      </c>
      <c r="U5599" t="s">
        <v>12620</v>
      </c>
      <c r="V5599" t="s">
        <v>12620</v>
      </c>
      <c r="W5599" t="s">
        <v>18160</v>
      </c>
      <c r="X5599">
        <v>1</v>
      </c>
      <c r="Y5599" t="s">
        <v>24254</v>
      </c>
      <c r="Z5599" t="s">
        <v>30546</v>
      </c>
      <c r="AA5599">
        <v>0.52880757463578298</v>
      </c>
      <c r="AB5599" t="str">
        <f>HYPERLINK("Melting_Curves/meltCurve_Q9NV31_IMP3.pdf", "Melting_Curves/meltCurve_Q9NV31_IMP3.pdf")</f>
        <v>Melting_Curves/meltCurve_Q9NV31_IMP3.pdf</v>
      </c>
    </row>
    <row r="5600" spans="1:28" x14ac:dyDescent="0.25">
      <c r="A5600" t="s">
        <v>5604</v>
      </c>
      <c r="B5600">
        <v>0.99987803227770999</v>
      </c>
      <c r="C5600">
        <v>0.80421563066427104</v>
      </c>
      <c r="D5600">
        <v>0.82700378030241495</v>
      </c>
      <c r="E5600">
        <v>0.52255877749581503</v>
      </c>
      <c r="F5600">
        <v>0.36545991559521701</v>
      </c>
      <c r="G5600">
        <v>0.181438241145263</v>
      </c>
      <c r="H5600">
        <v>0.106370225202677</v>
      </c>
      <c r="I5600">
        <v>9.5046394104262993E-2</v>
      </c>
      <c r="J5600">
        <v>7.1441509093809002E-2</v>
      </c>
      <c r="K5600">
        <v>5.4236815868518501E-2</v>
      </c>
      <c r="L5600">
        <v>637.88295701585798</v>
      </c>
      <c r="M5600">
        <v>12.6923432397399</v>
      </c>
      <c r="N5600">
        <v>50.456617443202902</v>
      </c>
      <c r="O5600">
        <v>49.058715399519102</v>
      </c>
      <c r="P5600">
        <v>-6.3110142487589893E-2</v>
      </c>
      <c r="Q5600">
        <v>2.4450505208804301E-2</v>
      </c>
      <c r="R5600">
        <v>0.98746917843685</v>
      </c>
      <c r="S5600" t="s">
        <v>11911</v>
      </c>
      <c r="T5600" t="s">
        <v>12620</v>
      </c>
      <c r="U5600" t="s">
        <v>12620</v>
      </c>
      <c r="V5600" t="s">
        <v>12620</v>
      </c>
      <c r="W5600" t="s">
        <v>18161</v>
      </c>
      <c r="X5600">
        <v>4</v>
      </c>
      <c r="Y5600" t="s">
        <v>24255</v>
      </c>
      <c r="Z5600" t="s">
        <v>30547</v>
      </c>
      <c r="AA5600">
        <v>0.38847894238586189</v>
      </c>
      <c r="AB5600" t="str">
        <f>HYPERLINK("Melting_Curves/meltCurve_Q9NV35_NUDT15.pdf", "Melting_Curves/meltCurve_Q9NV35_NUDT15.pdf")</f>
        <v>Melting_Curves/meltCurve_Q9NV35_NUDT15.pdf</v>
      </c>
    </row>
    <row r="5601" spans="1:28" x14ac:dyDescent="0.25">
      <c r="A5601" t="s">
        <v>5605</v>
      </c>
      <c r="B5601">
        <v>0.99987803227770999</v>
      </c>
      <c r="C5601">
        <v>0.99969720692473596</v>
      </c>
      <c r="D5601">
        <v>1.06060428018085</v>
      </c>
      <c r="E5601">
        <v>1.0334400589788699</v>
      </c>
      <c r="F5601">
        <v>0.97778038411011303</v>
      </c>
      <c r="G5601">
        <v>0.80518633016493502</v>
      </c>
      <c r="H5601">
        <v>0.47067545918900999</v>
      </c>
      <c r="I5601">
        <v>0.35470492972219703</v>
      </c>
      <c r="J5601">
        <v>0.37070561229590498</v>
      </c>
      <c r="K5601">
        <v>0.28500529078751402</v>
      </c>
      <c r="L5601">
        <v>1863.97578697113</v>
      </c>
      <c r="M5601">
        <v>31.7754439872684</v>
      </c>
      <c r="N5601">
        <v>60.563877992875099</v>
      </c>
      <c r="O5601">
        <v>58.430010912814701</v>
      </c>
      <c r="P5601">
        <v>-9.30250857775171E-2</v>
      </c>
      <c r="Q5601">
        <v>0.31576984812436198</v>
      </c>
      <c r="R5601">
        <v>0.99155479406366298</v>
      </c>
      <c r="S5601" t="s">
        <v>11912</v>
      </c>
      <c r="T5601" t="s">
        <v>12620</v>
      </c>
      <c r="U5601" t="s">
        <v>12620</v>
      </c>
      <c r="V5601" t="s">
        <v>12620</v>
      </c>
      <c r="W5601" t="s">
        <v>18162</v>
      </c>
      <c r="X5601">
        <v>5</v>
      </c>
      <c r="Y5601" t="s">
        <v>24256</v>
      </c>
      <c r="Z5601" t="s">
        <v>30548</v>
      </c>
      <c r="AA5601">
        <v>0.74542495692102451</v>
      </c>
      <c r="AB5601" t="str">
        <f>HYPERLINK("Melting_Curves/meltCurve_Q9NV56_MRGBP.pdf", "Melting_Curves/meltCurve_Q9NV56_MRGBP.pdf")</f>
        <v>Melting_Curves/meltCurve_Q9NV56_MRGBP.pdf</v>
      </c>
    </row>
    <row r="5602" spans="1:28" x14ac:dyDescent="0.25">
      <c r="A5602" t="s">
        <v>5606</v>
      </c>
      <c r="B5602">
        <v>0.99987803227770999</v>
      </c>
      <c r="C5602">
        <v>1.01045375127979</v>
      </c>
      <c r="D5602">
        <v>0.84029527063881804</v>
      </c>
      <c r="E5602">
        <v>0.72422056833956705</v>
      </c>
      <c r="F5602">
        <v>0.53042379525771</v>
      </c>
      <c r="G5602">
        <v>0.29320779503395999</v>
      </c>
      <c r="H5602">
        <v>0.30265536697176998</v>
      </c>
      <c r="I5602">
        <v>0.27876807764890099</v>
      </c>
      <c r="J5602">
        <v>0.214124144364992</v>
      </c>
      <c r="K5602">
        <v>0.15415349596195699</v>
      </c>
      <c r="L5602">
        <v>768.20055356699402</v>
      </c>
      <c r="M5602">
        <v>14.8391184115531</v>
      </c>
      <c r="N5602">
        <v>53.434746767145</v>
      </c>
      <c r="O5602">
        <v>50.855732545941201</v>
      </c>
      <c r="P5602">
        <v>-5.9443029484637602E-2</v>
      </c>
      <c r="Q5602">
        <v>0.18520763295114501</v>
      </c>
      <c r="R5602">
        <v>0.98481664696236804</v>
      </c>
      <c r="S5602" t="s">
        <v>11913</v>
      </c>
      <c r="T5602" t="s">
        <v>12620</v>
      </c>
      <c r="U5602" t="s">
        <v>12620</v>
      </c>
      <c r="V5602" t="s">
        <v>12620</v>
      </c>
      <c r="W5602" t="s">
        <v>18163</v>
      </c>
      <c r="X5602">
        <v>7</v>
      </c>
      <c r="Y5602" t="s">
        <v>24257</v>
      </c>
      <c r="Z5602" t="s">
        <v>30549</v>
      </c>
      <c r="AA5602">
        <v>0.52351132535040312</v>
      </c>
      <c r="AB5602" t="str">
        <f>HYPERLINK("Melting_Curves/meltCurve_Q9NV70_2_EXOC1.pdf", "Melting_Curves/meltCurve_Q9NV70_2_EXOC1.pdf")</f>
        <v>Melting_Curves/meltCurve_Q9NV70_2_EXOC1.pdf</v>
      </c>
    </row>
    <row r="5603" spans="1:28" x14ac:dyDescent="0.25">
      <c r="A5603" t="s">
        <v>5607</v>
      </c>
      <c r="B5603">
        <v>0.99987803227770999</v>
      </c>
      <c r="C5603">
        <v>0.95118501238116304</v>
      </c>
      <c r="D5603">
        <v>0.953073308660636</v>
      </c>
      <c r="E5603">
        <v>0.79538180774667799</v>
      </c>
      <c r="F5603">
        <v>0.394809167508687</v>
      </c>
      <c r="G5603">
        <v>0.205822478249158</v>
      </c>
      <c r="H5603">
        <v>0.1574588649568</v>
      </c>
      <c r="I5603">
        <v>0.129529411379502</v>
      </c>
      <c r="J5603">
        <v>0.12929661148893401</v>
      </c>
      <c r="K5603">
        <v>9.3653609279622699E-2</v>
      </c>
      <c r="L5603">
        <v>1547.2395362577499</v>
      </c>
      <c r="M5603">
        <v>29.8917166493008</v>
      </c>
      <c r="N5603">
        <v>52.276398724361897</v>
      </c>
      <c r="O5603">
        <v>51.531487180839299</v>
      </c>
      <c r="P5603">
        <v>-0.12652475366175001</v>
      </c>
      <c r="Q5603">
        <v>0.127522297341601</v>
      </c>
      <c r="R5603">
        <v>0.99560947135023503</v>
      </c>
      <c r="S5603" t="s">
        <v>11914</v>
      </c>
      <c r="T5603" t="s">
        <v>12620</v>
      </c>
      <c r="U5603" t="s">
        <v>12620</v>
      </c>
      <c r="V5603" t="s">
        <v>12620</v>
      </c>
      <c r="W5603" t="s">
        <v>18164</v>
      </c>
      <c r="X5603">
        <v>11</v>
      </c>
      <c r="Y5603" t="s">
        <v>24258</v>
      </c>
      <c r="Z5603" t="s">
        <v>30550</v>
      </c>
      <c r="AA5603">
        <v>0.47517035085752901</v>
      </c>
      <c r="AB5603" t="str">
        <f>HYPERLINK("Melting_Curves/meltCurve_Q9NV88_3_INTS9.pdf", "Melting_Curves/meltCurve_Q9NV88_3_INTS9.pdf")</f>
        <v>Melting_Curves/meltCurve_Q9NV88_3_INTS9.pdf</v>
      </c>
    </row>
    <row r="5604" spans="1:28" x14ac:dyDescent="0.25">
      <c r="A5604" t="s">
        <v>5608</v>
      </c>
      <c r="B5604">
        <v>0.99987803227770999</v>
      </c>
      <c r="C5604">
        <v>1.1253733779469</v>
      </c>
      <c r="D5604">
        <v>1.0325397441711499</v>
      </c>
      <c r="E5604">
        <v>1.52749689928132</v>
      </c>
      <c r="F5604">
        <v>0.80620482144268002</v>
      </c>
      <c r="G5604">
        <v>0.45379839376236802</v>
      </c>
      <c r="H5604">
        <v>0.24544504884297699</v>
      </c>
      <c r="I5604">
        <v>0.24923201600866199</v>
      </c>
      <c r="J5604">
        <v>0.178307961740934</v>
      </c>
      <c r="K5604">
        <v>0.106207012784147</v>
      </c>
      <c r="L5604">
        <v>2117.7400765044299</v>
      </c>
      <c r="M5604">
        <v>37.926036998986497</v>
      </c>
      <c r="N5604">
        <v>56.527736089837802</v>
      </c>
      <c r="O5604">
        <v>55.6841229598325</v>
      </c>
      <c r="P5604">
        <v>-0.138759312912803</v>
      </c>
      <c r="Q5604">
        <v>0.18508010822805701</v>
      </c>
      <c r="R5604">
        <v>0.84953316575703897</v>
      </c>
      <c r="S5604" t="s">
        <v>11915</v>
      </c>
      <c r="T5604" t="s">
        <v>12620</v>
      </c>
      <c r="U5604" t="s">
        <v>12620</v>
      </c>
      <c r="V5604" t="s">
        <v>12620</v>
      </c>
      <c r="W5604" t="s">
        <v>18165</v>
      </c>
      <c r="X5604">
        <v>2</v>
      </c>
      <c r="Y5604" t="s">
        <v>24259</v>
      </c>
      <c r="Z5604" t="s">
        <v>30551</v>
      </c>
      <c r="AA5604">
        <v>0.61879403140774258</v>
      </c>
      <c r="AB5604" t="str">
        <f>HYPERLINK("Melting_Curves/meltCurve_Q9NVC6_MED17.pdf", "Melting_Curves/meltCurve_Q9NVC6_MED17.pdf")</f>
        <v>Melting_Curves/meltCurve_Q9NVC6_MED17.pdf</v>
      </c>
    </row>
    <row r="5605" spans="1:28" x14ac:dyDescent="0.25">
      <c r="A5605" t="s">
        <v>5609</v>
      </c>
      <c r="B5605">
        <v>0.99987803227770999</v>
      </c>
      <c r="C5605">
        <v>1.12508438899856</v>
      </c>
      <c r="D5605">
        <v>1.08357082804194</v>
      </c>
      <c r="E5605">
        <v>1.07080193166661</v>
      </c>
      <c r="F5605">
        <v>0.66562436125160795</v>
      </c>
      <c r="G5605">
        <v>0.28266186992195702</v>
      </c>
      <c r="H5605">
        <v>0.15228309159372</v>
      </c>
      <c r="I5605">
        <v>0.13521797145685499</v>
      </c>
      <c r="J5605">
        <v>8.2257577166439805E-2</v>
      </c>
      <c r="K5605">
        <v>5.22117418908584E-2</v>
      </c>
      <c r="L5605">
        <v>1816.8599386706801</v>
      </c>
      <c r="M5605">
        <v>33.490614985720399</v>
      </c>
      <c r="N5605">
        <v>54.622523276834599</v>
      </c>
      <c r="O5605">
        <v>54.057496228748803</v>
      </c>
      <c r="P5605">
        <v>-0.13906442426355001</v>
      </c>
      <c r="Q5605">
        <v>0.102143337565457</v>
      </c>
      <c r="R5605">
        <v>0.97665358331024299</v>
      </c>
      <c r="S5605" t="s">
        <v>11916</v>
      </c>
      <c r="T5605" t="s">
        <v>12620</v>
      </c>
      <c r="U5605" t="s">
        <v>12620</v>
      </c>
      <c r="V5605" t="s">
        <v>12620</v>
      </c>
      <c r="W5605" t="s">
        <v>18166</v>
      </c>
      <c r="X5605">
        <v>13</v>
      </c>
      <c r="Y5605" t="s">
        <v>24260</v>
      </c>
      <c r="Z5605" t="s">
        <v>30552</v>
      </c>
      <c r="AA5605">
        <v>0.53339595716820154</v>
      </c>
      <c r="AB5605" t="str">
        <f>HYPERLINK("Melting_Curves/meltCurve_Q9NVD7_PARVA.pdf", "Melting_Curves/meltCurve_Q9NVD7_PARVA.pdf")</f>
        <v>Melting_Curves/meltCurve_Q9NVD7_PARVA.pdf</v>
      </c>
    </row>
    <row r="5606" spans="1:28" x14ac:dyDescent="0.25">
      <c r="A5606" t="s">
        <v>5610</v>
      </c>
      <c r="B5606">
        <v>0.99987803227770999</v>
      </c>
      <c r="C5606">
        <v>0.8919965290638</v>
      </c>
      <c r="D5606">
        <v>0.42317006764357101</v>
      </c>
      <c r="E5606">
        <v>0.31605791008054201</v>
      </c>
      <c r="F5606">
        <v>0.202917884600156</v>
      </c>
      <c r="G5606">
        <v>0.10886527353072201</v>
      </c>
      <c r="H5606">
        <v>8.10812847991777E-2</v>
      </c>
      <c r="I5606">
        <v>6.7580819870651704E-2</v>
      </c>
      <c r="J5606">
        <v>6.4959599805706994E-2</v>
      </c>
      <c r="K5606">
        <v>4.8295061361980501E-2</v>
      </c>
      <c r="L5606">
        <v>874.964926381743</v>
      </c>
      <c r="M5606">
        <v>19.020659475692401</v>
      </c>
      <c r="N5606">
        <v>46.426051177432903</v>
      </c>
      <c r="O5606">
        <v>45.501347543258802</v>
      </c>
      <c r="P5606">
        <v>-9.6154387350213394E-2</v>
      </c>
      <c r="Q5606">
        <v>7.9951873628670497E-2</v>
      </c>
      <c r="R5606">
        <v>0.971433887379207</v>
      </c>
      <c r="S5606" t="s">
        <v>11917</v>
      </c>
      <c r="T5606" t="s">
        <v>12620</v>
      </c>
      <c r="U5606" t="s">
        <v>12620</v>
      </c>
      <c r="V5606" t="s">
        <v>12620</v>
      </c>
      <c r="W5606" t="s">
        <v>18167</v>
      </c>
      <c r="X5606">
        <v>5</v>
      </c>
      <c r="Y5606" t="s">
        <v>24261</v>
      </c>
      <c r="Z5606" t="s">
        <v>30553</v>
      </c>
      <c r="AA5606">
        <v>0.2799325526805207</v>
      </c>
      <c r="AB5606" t="str">
        <f>HYPERLINK("Melting_Curves/meltCurve_Q9NVE5_USP40.pdf", "Melting_Curves/meltCurve_Q9NVE5_USP40.pdf")</f>
        <v>Melting_Curves/meltCurve_Q9NVE5_USP40.pdf</v>
      </c>
    </row>
    <row r="5607" spans="1:28" x14ac:dyDescent="0.25">
      <c r="A5607" t="s">
        <v>5611</v>
      </c>
      <c r="B5607">
        <v>0.99987803227770999</v>
      </c>
      <c r="C5607">
        <v>1.21299698200406</v>
      </c>
      <c r="D5607">
        <v>0.41844308098539901</v>
      </c>
      <c r="E5607">
        <v>0.37447325232636403</v>
      </c>
      <c r="F5607">
        <v>0.145693880339756</v>
      </c>
      <c r="G5607">
        <v>9.8548088767251796E-2</v>
      </c>
      <c r="H5607">
        <v>5.4384832854730197E-2</v>
      </c>
      <c r="I5607">
        <v>4.5849316094412902E-2</v>
      </c>
      <c r="J5607">
        <v>4.1958206883618197E-2</v>
      </c>
      <c r="K5607">
        <v>3.0588321367447501E-2</v>
      </c>
      <c r="L5607">
        <v>11470.367848583001</v>
      </c>
      <c r="M5607">
        <v>250</v>
      </c>
      <c r="N5607">
        <v>45.928570331201001</v>
      </c>
      <c r="O5607">
        <v>45.878524688509003</v>
      </c>
      <c r="P5607">
        <v>-1.2082572425929501</v>
      </c>
      <c r="Q5607">
        <v>0.113070839706435</v>
      </c>
      <c r="R5607">
        <v>0.91848112405342597</v>
      </c>
      <c r="S5607" t="s">
        <v>11918</v>
      </c>
      <c r="T5607" t="s">
        <v>12620</v>
      </c>
      <c r="U5607" t="s">
        <v>12620</v>
      </c>
      <c r="V5607" t="s">
        <v>12620</v>
      </c>
      <c r="W5607" t="s">
        <v>18168</v>
      </c>
      <c r="X5607">
        <v>13</v>
      </c>
      <c r="Y5607" t="s">
        <v>24262</v>
      </c>
      <c r="Z5607" t="s">
        <v>30554</v>
      </c>
      <c r="AA5607">
        <v>0.28702387253609651</v>
      </c>
      <c r="AB5607" t="str">
        <f>HYPERLINK("Melting_Curves/meltCurve_Q9NVE7_PANK4.pdf", "Melting_Curves/meltCurve_Q9NVE7_PANK4.pdf")</f>
        <v>Melting_Curves/meltCurve_Q9NVE7_PANK4.pdf</v>
      </c>
    </row>
    <row r="5608" spans="1:28" x14ac:dyDescent="0.25">
      <c r="A5608" t="s">
        <v>5612</v>
      </c>
      <c r="B5608">
        <v>0.99987803227770999</v>
      </c>
      <c r="C5608">
        <v>0.90987581701254305</v>
      </c>
      <c r="D5608">
        <v>0.90604621277503306</v>
      </c>
      <c r="E5608">
        <v>0.72895498990760099</v>
      </c>
      <c r="F5608">
        <v>0.700093442151276</v>
      </c>
      <c r="G5608">
        <v>0.43866528838963198</v>
      </c>
      <c r="H5608">
        <v>0.231212964784652</v>
      </c>
      <c r="I5608">
        <v>0.14203360719019001</v>
      </c>
      <c r="J5608">
        <v>0.17467737621792701</v>
      </c>
      <c r="K5608">
        <v>0.12999895427923</v>
      </c>
      <c r="L5608">
        <v>630.22703399237798</v>
      </c>
      <c r="M5608">
        <v>11.4110089094528</v>
      </c>
      <c r="N5608">
        <v>55.482355868305604</v>
      </c>
      <c r="O5608">
        <v>53.6151649604789</v>
      </c>
      <c r="P5608">
        <v>-5.1876193303990799E-2</v>
      </c>
      <c r="Q5608">
        <v>2.5314527218759701E-2</v>
      </c>
      <c r="R5608">
        <v>0.98496687921525705</v>
      </c>
      <c r="S5608" t="s">
        <v>11919</v>
      </c>
      <c r="T5608" t="s">
        <v>12620</v>
      </c>
      <c r="U5608" t="s">
        <v>12620</v>
      </c>
      <c r="V5608" t="s">
        <v>12620</v>
      </c>
      <c r="W5608" t="s">
        <v>18169</v>
      </c>
      <c r="X5608">
        <v>2</v>
      </c>
      <c r="Y5608" t="s">
        <v>24263</v>
      </c>
      <c r="Z5608" t="s">
        <v>30555</v>
      </c>
      <c r="AA5608">
        <v>0.54299206261525179</v>
      </c>
      <c r="AB5608" t="str">
        <f>HYPERLINK("Melting_Curves/meltCurve_Q9NVF7_FBXO28.pdf", "Melting_Curves/meltCurve_Q9NVF7_FBXO28.pdf")</f>
        <v>Melting_Curves/meltCurve_Q9NVF7_FBXO28.pdf</v>
      </c>
    </row>
    <row r="5609" spans="1:28" x14ac:dyDescent="0.25">
      <c r="A5609" t="s">
        <v>5613</v>
      </c>
      <c r="B5609">
        <v>0.99987803227770999</v>
      </c>
      <c r="C5609">
        <v>0.97560904857828501</v>
      </c>
      <c r="D5609">
        <v>1.0364004653708601</v>
      </c>
      <c r="E5609">
        <v>0.95402413453964496</v>
      </c>
      <c r="F5609">
        <v>0.967337862049653</v>
      </c>
      <c r="G5609">
        <v>0.61754503766895696</v>
      </c>
      <c r="H5609">
        <v>0.215381403569327</v>
      </c>
      <c r="I5609">
        <v>0.14954724315078999</v>
      </c>
      <c r="J5609">
        <v>8.35776866257599E-2</v>
      </c>
      <c r="K5609">
        <v>6.9306081919483994E-2</v>
      </c>
      <c r="L5609">
        <v>1797.1640721712599</v>
      </c>
      <c r="M5609">
        <v>31.164586786425801</v>
      </c>
      <c r="N5609">
        <v>57.990028475907899</v>
      </c>
      <c r="O5609">
        <v>57.430985979882998</v>
      </c>
      <c r="P5609">
        <v>-0.12484825165956299</v>
      </c>
      <c r="Q5609">
        <v>7.97095600292759E-2</v>
      </c>
      <c r="R5609">
        <v>0.99688591851801001</v>
      </c>
      <c r="S5609" t="s">
        <v>11920</v>
      </c>
      <c r="T5609" t="s">
        <v>12620</v>
      </c>
      <c r="U5609" t="s">
        <v>12620</v>
      </c>
      <c r="V5609" t="s">
        <v>12620</v>
      </c>
      <c r="W5609" t="s">
        <v>18170</v>
      </c>
      <c r="X5609">
        <v>13</v>
      </c>
      <c r="Y5609" t="s">
        <v>24264</v>
      </c>
      <c r="Z5609" t="s">
        <v>30556</v>
      </c>
      <c r="AA5609">
        <v>0.62737003711213291</v>
      </c>
      <c r="AB5609" t="str">
        <f>HYPERLINK("Melting_Curves/meltCurve_Q9NVG8_TBC1D13.pdf", "Melting_Curves/meltCurve_Q9NVG8_TBC1D13.pdf")</f>
        <v>Melting_Curves/meltCurve_Q9NVG8_TBC1D13.pdf</v>
      </c>
    </row>
    <row r="5610" spans="1:28" x14ac:dyDescent="0.25">
      <c r="A5610" t="s">
        <v>5614</v>
      </c>
      <c r="B5610">
        <v>0.99987803227770999</v>
      </c>
      <c r="C5610">
        <v>1.00841372506312</v>
      </c>
      <c r="D5610">
        <v>0.80238856103516598</v>
      </c>
      <c r="E5610">
        <v>0.68669696878318698</v>
      </c>
      <c r="F5610">
        <v>0.24983917401536199</v>
      </c>
      <c r="G5610">
        <v>0.15863493518240299</v>
      </c>
      <c r="H5610">
        <v>8.5787912208049599E-2</v>
      </c>
      <c r="I5610">
        <v>7.5322182230794205E-2</v>
      </c>
      <c r="J5610">
        <v>6.7278950611584898E-2</v>
      </c>
      <c r="K5610">
        <v>4.1494680718793697E-2</v>
      </c>
      <c r="L5610">
        <v>1039.5507192258899</v>
      </c>
      <c r="M5610">
        <v>20.504089808992401</v>
      </c>
      <c r="N5610">
        <v>50.973468878204002</v>
      </c>
      <c r="O5610">
        <v>50.2248141838135</v>
      </c>
      <c r="P5610">
        <v>-9.6742657916484301E-2</v>
      </c>
      <c r="Q5610">
        <v>5.21425272891132E-2</v>
      </c>
      <c r="R5610">
        <v>0.983127605588346</v>
      </c>
      <c r="S5610" t="s">
        <v>11921</v>
      </c>
      <c r="T5610" t="s">
        <v>12620</v>
      </c>
      <c r="U5610" t="s">
        <v>12620</v>
      </c>
      <c r="V5610" t="s">
        <v>12620</v>
      </c>
      <c r="W5610" t="s">
        <v>18171</v>
      </c>
      <c r="X5610">
        <v>4</v>
      </c>
      <c r="Y5610" t="s">
        <v>24265</v>
      </c>
      <c r="Z5610" t="s">
        <v>30557</v>
      </c>
      <c r="AA5610">
        <v>0.4027601242956822</v>
      </c>
      <c r="AB5610" t="str">
        <f>HYPERLINK("Melting_Curves/meltCurve_Q9NVH2_3_INTS7.pdf", "Melting_Curves/meltCurve_Q9NVH2_3_INTS7.pdf")</f>
        <v>Melting_Curves/meltCurve_Q9NVH2_3_INTS7.pdf</v>
      </c>
    </row>
    <row r="5611" spans="1:28" x14ac:dyDescent="0.25">
      <c r="A5611" t="s">
        <v>5615</v>
      </c>
      <c r="B5611">
        <v>0.99987803227770999</v>
      </c>
      <c r="C5611">
        <v>1.01373167973384</v>
      </c>
      <c r="D5611">
        <v>1.0080203346540599</v>
      </c>
      <c r="E5611">
        <v>1.0111574905531999</v>
      </c>
      <c r="F5611">
        <v>1.0147798862756701</v>
      </c>
      <c r="G5611">
        <v>1.0008323715032299</v>
      </c>
      <c r="H5611">
        <v>0.72574269028716998</v>
      </c>
      <c r="I5611">
        <v>0.44859043896105599</v>
      </c>
      <c r="J5611">
        <v>0.27787042112821603</v>
      </c>
      <c r="K5611">
        <v>0.21258874983187401</v>
      </c>
      <c r="L5611">
        <v>2072.8097322614299</v>
      </c>
      <c r="M5611">
        <v>33.2358381220021</v>
      </c>
      <c r="N5611">
        <v>63.336653819876702</v>
      </c>
      <c r="O5611">
        <v>62.142240148783301</v>
      </c>
      <c r="P5611">
        <v>-0.107041610125629</v>
      </c>
      <c r="Q5611">
        <v>0.199445558978532</v>
      </c>
      <c r="R5611">
        <v>0.99769897830416499</v>
      </c>
      <c r="S5611" t="s">
        <v>11922</v>
      </c>
      <c r="T5611" t="s">
        <v>12620</v>
      </c>
      <c r="U5611" t="s">
        <v>12620</v>
      </c>
      <c r="V5611" t="s">
        <v>12620</v>
      </c>
      <c r="W5611" t="s">
        <v>18172</v>
      </c>
      <c r="X5611">
        <v>1</v>
      </c>
      <c r="Y5611" t="s">
        <v>24266</v>
      </c>
      <c r="Z5611" t="s">
        <v>30558</v>
      </c>
      <c r="AA5611">
        <v>0.79953840250329122</v>
      </c>
      <c r="AB5611" t="str">
        <f>HYPERLINK("Melting_Curves/meltCurve_Q9NVH6_7_TMLHE.pdf", "Melting_Curves/meltCurve_Q9NVH6_7_TMLHE.pdf")</f>
        <v>Melting_Curves/meltCurve_Q9NVH6_7_TMLHE.pdf</v>
      </c>
    </row>
    <row r="5612" spans="1:28" x14ac:dyDescent="0.25">
      <c r="A5612" t="s">
        <v>5616</v>
      </c>
      <c r="B5612">
        <v>0.99987803227770999</v>
      </c>
      <c r="C5612">
        <v>1.0426710549063001</v>
      </c>
      <c r="D5612">
        <v>0.67954874025103396</v>
      </c>
      <c r="E5612">
        <v>0.36442533217264</v>
      </c>
      <c r="F5612">
        <v>0.212540206145201</v>
      </c>
      <c r="G5612">
        <v>0.142625853709164</v>
      </c>
      <c r="H5612">
        <v>0.10231108875516701</v>
      </c>
      <c r="I5612">
        <v>9.4983028537165906E-2</v>
      </c>
      <c r="J5612">
        <v>7.3227358930910896E-2</v>
      </c>
      <c r="K5612">
        <v>5.3340883489547797E-2</v>
      </c>
      <c r="L5612">
        <v>1029.3813946673499</v>
      </c>
      <c r="M5612">
        <v>21.459170568263399</v>
      </c>
      <c r="N5612">
        <v>48.399823570613101</v>
      </c>
      <c r="O5612">
        <v>47.558547134071397</v>
      </c>
      <c r="P5612">
        <v>-0.10300511237103099</v>
      </c>
      <c r="Q5612">
        <v>8.6888476624308403E-2</v>
      </c>
      <c r="R5612">
        <v>0.986400067639149</v>
      </c>
      <c r="S5612" t="s">
        <v>11923</v>
      </c>
      <c r="T5612" t="s">
        <v>12620</v>
      </c>
      <c r="U5612" t="s">
        <v>12620</v>
      </c>
      <c r="V5612" t="s">
        <v>12620</v>
      </c>
      <c r="W5612" t="s">
        <v>18173</v>
      </c>
      <c r="X5612">
        <v>27</v>
      </c>
      <c r="Y5612" t="s">
        <v>24267</v>
      </c>
      <c r="Z5612" t="s">
        <v>30559</v>
      </c>
      <c r="AA5612">
        <v>0.34062781135742698</v>
      </c>
      <c r="AB5612" t="str">
        <f>HYPERLINK("Melting_Curves/meltCurve_Q9NVI1_FANCI.pdf", "Melting_Curves/meltCurve_Q9NVI1_FANCI.pdf")</f>
        <v>Melting_Curves/meltCurve_Q9NVI1_FANCI.pdf</v>
      </c>
    </row>
    <row r="5613" spans="1:28" x14ac:dyDescent="0.25">
      <c r="A5613" t="s">
        <v>5617</v>
      </c>
      <c r="B5613">
        <v>0.99987803227770999</v>
      </c>
      <c r="C5613">
        <v>0.90491717318249099</v>
      </c>
      <c r="D5613">
        <v>0.883393508843897</v>
      </c>
      <c r="E5613">
        <v>1.40083519938486</v>
      </c>
      <c r="F5613">
        <v>1.0789022877451699</v>
      </c>
      <c r="G5613">
        <v>0.92815649892962204</v>
      </c>
      <c r="H5613">
        <v>0.582852199134547</v>
      </c>
      <c r="I5613">
        <v>1.2148797489052501</v>
      </c>
      <c r="J5613">
        <v>1.1337257196097501</v>
      </c>
      <c r="K5613">
        <v>0.88104426274769798</v>
      </c>
      <c r="L5613">
        <v>15000</v>
      </c>
      <c r="M5613">
        <v>212.28324597430401</v>
      </c>
      <c r="Q5613">
        <v>0</v>
      </c>
      <c r="R5613">
        <v>3.16412643426544E-2</v>
      </c>
      <c r="S5613" t="s">
        <v>11924</v>
      </c>
      <c r="T5613" t="s">
        <v>12620</v>
      </c>
      <c r="U5613" t="s">
        <v>12620</v>
      </c>
      <c r="V5613" t="s">
        <v>12620</v>
      </c>
      <c r="W5613" t="s">
        <v>18174</v>
      </c>
      <c r="X5613">
        <v>3</v>
      </c>
      <c r="Y5613" t="s">
        <v>24268</v>
      </c>
      <c r="Z5613" t="s">
        <v>30560</v>
      </c>
      <c r="AA5613">
        <v>0.99863419280567844</v>
      </c>
      <c r="AB5613" t="str">
        <f>HYPERLINK("Melting_Curves/meltCurve_Q9NVJ2_ARL8B.pdf", "Melting_Curves/meltCurve_Q9NVJ2_ARL8B.pdf")</f>
        <v>Melting_Curves/meltCurve_Q9NVJ2_ARL8B.pdf</v>
      </c>
    </row>
    <row r="5614" spans="1:28" x14ac:dyDescent="0.25">
      <c r="A5614" t="s">
        <v>5618</v>
      </c>
      <c r="B5614">
        <v>0.99987803227770999</v>
      </c>
      <c r="C5614">
        <v>0.91188660689997003</v>
      </c>
      <c r="D5614">
        <v>1.0846475131425599</v>
      </c>
      <c r="E5614">
        <v>0.98412144973825499</v>
      </c>
      <c r="F5614">
        <v>1.0604440268141899</v>
      </c>
      <c r="G5614">
        <v>1.0968378964855401</v>
      </c>
      <c r="H5614">
        <v>0.85503581968339804</v>
      </c>
      <c r="I5614">
        <v>0.97631036788098002</v>
      </c>
      <c r="J5614">
        <v>0.69779476557781905</v>
      </c>
      <c r="K5614">
        <v>0.61116331798756895</v>
      </c>
      <c r="L5614">
        <v>5239.8341314828804</v>
      </c>
      <c r="M5614">
        <v>79.380321000673703</v>
      </c>
      <c r="O5614">
        <v>65.967374350616794</v>
      </c>
      <c r="P5614">
        <v>-0.118479095118799</v>
      </c>
      <c r="Q5614">
        <v>0.60616163928290201</v>
      </c>
      <c r="R5614">
        <v>0.795574243358251</v>
      </c>
      <c r="S5614" t="s">
        <v>11925</v>
      </c>
      <c r="T5614" t="s">
        <v>12620</v>
      </c>
      <c r="U5614" t="s">
        <v>12620</v>
      </c>
      <c r="V5614" t="s">
        <v>12620</v>
      </c>
      <c r="W5614" t="s">
        <v>18175</v>
      </c>
      <c r="X5614">
        <v>2</v>
      </c>
      <c r="Y5614" t="s">
        <v>24269</v>
      </c>
      <c r="Z5614" t="s">
        <v>30561</v>
      </c>
      <c r="AA5614">
        <v>0.9479269455527003</v>
      </c>
      <c r="AB5614" t="str">
        <f>HYPERLINK("Melting_Curves/meltCurve_Q9NVK5_FGFR1OP2.pdf", "Melting_Curves/meltCurve_Q9NVK5_FGFR1OP2.pdf")</f>
        <v>Melting_Curves/meltCurve_Q9NVK5_FGFR1OP2.pdf</v>
      </c>
    </row>
    <row r="5615" spans="1:28" x14ac:dyDescent="0.25">
      <c r="A5615" t="s">
        <v>5619</v>
      </c>
      <c r="B5615">
        <v>0.99987803227770999</v>
      </c>
      <c r="C5615">
        <v>1.0068778426323699</v>
      </c>
      <c r="D5615">
        <v>0.99135229372683797</v>
      </c>
      <c r="E5615">
        <v>0.77993235112063297</v>
      </c>
      <c r="F5615">
        <v>0.49389824256785397</v>
      </c>
      <c r="G5615">
        <v>0.37349042767916701</v>
      </c>
      <c r="H5615">
        <v>0.23110063348825999</v>
      </c>
      <c r="I5615">
        <v>0.19400044494610899</v>
      </c>
      <c r="J5615">
        <v>0.16112480109000199</v>
      </c>
      <c r="K5615">
        <v>0.13266397241560099</v>
      </c>
      <c r="L5615">
        <v>965.76713406558997</v>
      </c>
      <c r="M5615">
        <v>18.339019620564802</v>
      </c>
      <c r="N5615">
        <v>53.737675910605702</v>
      </c>
      <c r="O5615">
        <v>52.047690896814601</v>
      </c>
      <c r="P5615">
        <v>-7.4556821264742307E-2</v>
      </c>
      <c r="Q5615">
        <v>0.153644664449853</v>
      </c>
      <c r="R5615">
        <v>0.99193819893518298</v>
      </c>
      <c r="S5615" t="s">
        <v>11926</v>
      </c>
      <c r="T5615" t="s">
        <v>12620</v>
      </c>
      <c r="U5615" t="s">
        <v>12620</v>
      </c>
      <c r="V5615" t="s">
        <v>12620</v>
      </c>
      <c r="W5615" t="s">
        <v>18176</v>
      </c>
      <c r="X5615">
        <v>11</v>
      </c>
      <c r="Y5615" t="s">
        <v>24270</v>
      </c>
      <c r="Z5615" t="s">
        <v>30562</v>
      </c>
      <c r="AA5615">
        <v>0.5243802378910225</v>
      </c>
      <c r="AB5615" t="str">
        <f>HYPERLINK("Melting_Curves/meltCurve_Q9NVM4_3_PRMT7.pdf", "Melting_Curves/meltCurve_Q9NVM4_3_PRMT7.pdf")</f>
        <v>Melting_Curves/meltCurve_Q9NVM4_3_PRMT7.pdf</v>
      </c>
    </row>
    <row r="5616" spans="1:28" x14ac:dyDescent="0.25">
      <c r="A5616" t="s">
        <v>5620</v>
      </c>
      <c r="B5616">
        <v>0.99987803227770999</v>
      </c>
      <c r="C5616">
        <v>0.82446090326599197</v>
      </c>
      <c r="D5616">
        <v>1.0534131861024001</v>
      </c>
      <c r="E5616">
        <v>0.79726248276100498</v>
      </c>
      <c r="F5616">
        <v>0.79306436048087303</v>
      </c>
      <c r="G5616">
        <v>0.39495741068503498</v>
      </c>
      <c r="H5616">
        <v>0.29299136634990602</v>
      </c>
      <c r="I5616">
        <v>0.28268292055865302</v>
      </c>
      <c r="J5616">
        <v>0.21984964075746499</v>
      </c>
      <c r="K5616">
        <v>0.14488149877461701</v>
      </c>
      <c r="L5616">
        <v>938.39123419665304</v>
      </c>
      <c r="M5616">
        <v>17.080593175984301</v>
      </c>
      <c r="N5616">
        <v>56.259554581195097</v>
      </c>
      <c r="O5616">
        <v>54.202560082397902</v>
      </c>
      <c r="P5616">
        <v>-6.5774822865783705E-2</v>
      </c>
      <c r="Q5616">
        <v>0.16514667720539</v>
      </c>
      <c r="R5616">
        <v>0.94805321922559505</v>
      </c>
      <c r="S5616" t="s">
        <v>11927</v>
      </c>
      <c r="T5616" t="s">
        <v>12620</v>
      </c>
      <c r="U5616" t="s">
        <v>12620</v>
      </c>
      <c r="V5616" t="s">
        <v>12620</v>
      </c>
      <c r="W5616" t="s">
        <v>18177</v>
      </c>
      <c r="X5616">
        <v>5</v>
      </c>
      <c r="Y5616" t="s">
        <v>24271</v>
      </c>
      <c r="Z5616" t="s">
        <v>30563</v>
      </c>
      <c r="AA5616">
        <v>0.59475023781090675</v>
      </c>
      <c r="AB5616" t="str">
        <f>HYPERLINK("Melting_Curves/meltCurve_Q9NVM6_DNAJC17.pdf", "Melting_Curves/meltCurve_Q9NVM6_DNAJC17.pdf")</f>
        <v>Melting_Curves/meltCurve_Q9NVM6_DNAJC17.pdf</v>
      </c>
    </row>
    <row r="5617" spans="1:28" x14ac:dyDescent="0.25">
      <c r="A5617" t="s">
        <v>5621</v>
      </c>
      <c r="B5617">
        <v>0.99987803227770999</v>
      </c>
      <c r="C5617">
        <v>1.0431401347682701</v>
      </c>
      <c r="D5617">
        <v>0.95943941412034195</v>
      </c>
      <c r="E5617">
        <v>0.73123988130667605</v>
      </c>
      <c r="F5617">
        <v>0.386423405507694</v>
      </c>
      <c r="G5617">
        <v>0.24880713960057199</v>
      </c>
      <c r="H5617">
        <v>0.21646356949957499</v>
      </c>
      <c r="I5617">
        <v>0.17817165361998</v>
      </c>
      <c r="J5617">
        <v>0.19986224033314301</v>
      </c>
      <c r="K5617">
        <v>0.139439473379108</v>
      </c>
      <c r="L5617">
        <v>1476.68565088886</v>
      </c>
      <c r="M5617">
        <v>28.870390621110801</v>
      </c>
      <c r="N5617">
        <v>51.9761404800227</v>
      </c>
      <c r="O5617">
        <v>50.905274376534202</v>
      </c>
      <c r="P5617">
        <v>-0.115666431025962</v>
      </c>
      <c r="Q5617">
        <v>0.184217945102679</v>
      </c>
      <c r="R5617">
        <v>0.99527008207187495</v>
      </c>
      <c r="S5617" t="s">
        <v>11928</v>
      </c>
      <c r="T5617" t="s">
        <v>12620</v>
      </c>
      <c r="U5617" t="s">
        <v>12620</v>
      </c>
      <c r="V5617" t="s">
        <v>12620</v>
      </c>
      <c r="W5617" t="s">
        <v>18178</v>
      </c>
      <c r="X5617">
        <v>19</v>
      </c>
      <c r="Y5617" t="s">
        <v>24272</v>
      </c>
      <c r="Z5617" t="s">
        <v>30564</v>
      </c>
      <c r="AA5617">
        <v>0.49293549743024062</v>
      </c>
      <c r="AB5617" t="str">
        <f>HYPERLINK("Melting_Curves/meltCurve_Q9NVM9_ASUN.pdf", "Melting_Curves/meltCurve_Q9NVM9_ASUN.pdf")</f>
        <v>Melting_Curves/meltCurve_Q9NVM9_ASUN.pdf</v>
      </c>
    </row>
    <row r="5618" spans="1:28" x14ac:dyDescent="0.25">
      <c r="A5618" t="s">
        <v>5622</v>
      </c>
      <c r="B5618">
        <v>0.99987803227770999</v>
      </c>
      <c r="C5618">
        <v>0.95607597665284005</v>
      </c>
      <c r="D5618">
        <v>0.76458265537367098</v>
      </c>
      <c r="E5618">
        <v>0.47602885886576701</v>
      </c>
      <c r="F5618">
        <v>0.24349719046930501</v>
      </c>
      <c r="G5618">
        <v>0.15801159417235</v>
      </c>
      <c r="H5618">
        <v>0.12581767004873701</v>
      </c>
      <c r="I5618">
        <v>0.10790336182723601</v>
      </c>
      <c r="J5618">
        <v>9.5955742219323903E-2</v>
      </c>
      <c r="K5618">
        <v>6.9406033882759094E-2</v>
      </c>
      <c r="L5618">
        <v>905.12461147902695</v>
      </c>
      <c r="M5618">
        <v>18.4967152240385</v>
      </c>
      <c r="N5618">
        <v>49.453126786989699</v>
      </c>
      <c r="O5618">
        <v>48.373144065289203</v>
      </c>
      <c r="P5618">
        <v>-8.7167703101459298E-2</v>
      </c>
      <c r="Q5618">
        <v>8.8186684281677294E-2</v>
      </c>
      <c r="R5618">
        <v>0.99778338193572502</v>
      </c>
      <c r="S5618" t="s">
        <v>11929</v>
      </c>
      <c r="T5618" t="s">
        <v>12620</v>
      </c>
      <c r="U5618" t="s">
        <v>12620</v>
      </c>
      <c r="V5618" t="s">
        <v>12620</v>
      </c>
      <c r="W5618" t="s">
        <v>18179</v>
      </c>
      <c r="X5618">
        <v>8</v>
      </c>
      <c r="Y5618" t="s">
        <v>24273</v>
      </c>
      <c r="Z5618" t="s">
        <v>30565</v>
      </c>
      <c r="AA5618">
        <v>0.37470790116413177</v>
      </c>
      <c r="AB5618" t="str">
        <f>HYPERLINK("Melting_Curves/meltCurve_Q9NVN3_RIC8B.pdf", "Melting_Curves/meltCurve_Q9NVN3_RIC8B.pdf")</f>
        <v>Melting_Curves/meltCurve_Q9NVN3_RIC8B.pdf</v>
      </c>
    </row>
    <row r="5619" spans="1:28" x14ac:dyDescent="0.25">
      <c r="A5619" t="s">
        <v>5623</v>
      </c>
      <c r="B5619">
        <v>0.99987803227770999</v>
      </c>
      <c r="C5619">
        <v>0.81899814686067196</v>
      </c>
      <c r="D5619">
        <v>0.62262953668046095</v>
      </c>
      <c r="E5619">
        <v>0.45289722956268502</v>
      </c>
      <c r="F5619">
        <v>0.21332423559187999</v>
      </c>
      <c r="G5619">
        <v>0.156089395007531</v>
      </c>
      <c r="H5619">
        <v>0.110903433163206</v>
      </c>
      <c r="I5619">
        <v>9.5829432231250997E-2</v>
      </c>
      <c r="J5619">
        <v>7.7259955025211102E-2</v>
      </c>
      <c r="K5619">
        <v>7.3179514900247905E-2</v>
      </c>
      <c r="L5619">
        <v>662.24750286015205</v>
      </c>
      <c r="M5619">
        <v>13.8526944624463</v>
      </c>
      <c r="N5619">
        <v>48.275436756574699</v>
      </c>
      <c r="O5619">
        <v>46.843193597460299</v>
      </c>
      <c r="P5619">
        <v>-6.9285780703036606E-2</v>
      </c>
      <c r="Q5619">
        <v>6.2963611965174707E-2</v>
      </c>
      <c r="R5619">
        <v>0.99020303396560705</v>
      </c>
      <c r="S5619" t="s">
        <v>11930</v>
      </c>
      <c r="T5619" t="s">
        <v>12620</v>
      </c>
      <c r="U5619" t="s">
        <v>12620</v>
      </c>
      <c r="V5619" t="s">
        <v>12620</v>
      </c>
      <c r="W5619" t="s">
        <v>18180</v>
      </c>
      <c r="X5619">
        <v>3</v>
      </c>
      <c r="Y5619" t="s">
        <v>24274</v>
      </c>
      <c r="Z5619" t="s">
        <v>30566</v>
      </c>
      <c r="AA5619">
        <v>0.33524806990317202</v>
      </c>
      <c r="AB5619" t="str">
        <f>HYPERLINK("Melting_Curves/meltCurve_Q9NVN8_GNL3L.pdf", "Melting_Curves/meltCurve_Q9NVN8_GNL3L.pdf")</f>
        <v>Melting_Curves/meltCurve_Q9NVN8_GNL3L.pdf</v>
      </c>
    </row>
    <row r="5620" spans="1:28" x14ac:dyDescent="0.25">
      <c r="A5620" t="s">
        <v>5624</v>
      </c>
      <c r="B5620">
        <v>0.99987803227770999</v>
      </c>
      <c r="C5620">
        <v>1.23207420012505</v>
      </c>
      <c r="D5620">
        <v>1.02828426309165</v>
      </c>
      <c r="E5620">
        <v>0.87754901402994401</v>
      </c>
      <c r="F5620">
        <v>0.47886342728843001</v>
      </c>
      <c r="G5620">
        <v>0.329334448065839</v>
      </c>
      <c r="H5620">
        <v>0.176715017963962</v>
      </c>
      <c r="I5620">
        <v>0.16999158583472301</v>
      </c>
      <c r="J5620">
        <v>0.114133039362376</v>
      </c>
      <c r="K5620">
        <v>8.4489121286168006E-2</v>
      </c>
      <c r="L5620">
        <v>1353.1295093093399</v>
      </c>
      <c r="M5620">
        <v>25.6155447645857</v>
      </c>
      <c r="N5620">
        <v>53.486907813575598</v>
      </c>
      <c r="O5620">
        <v>52.505755192625799</v>
      </c>
      <c r="P5620">
        <v>-0.105390090846151</v>
      </c>
      <c r="Q5620">
        <v>0.13591238322438901</v>
      </c>
      <c r="R5620">
        <v>0.957444148130984</v>
      </c>
      <c r="S5620" t="s">
        <v>11931</v>
      </c>
      <c r="T5620" t="s">
        <v>12620</v>
      </c>
      <c r="U5620" t="s">
        <v>12620</v>
      </c>
      <c r="V5620" t="s">
        <v>12620</v>
      </c>
      <c r="W5620" t="s">
        <v>18181</v>
      </c>
      <c r="X5620">
        <v>3</v>
      </c>
      <c r="Y5620" t="s">
        <v>24275</v>
      </c>
      <c r="Z5620" t="s">
        <v>30567</v>
      </c>
      <c r="AA5620">
        <v>0.51288477743097405</v>
      </c>
      <c r="AB5620" t="str">
        <f>HYPERLINK("Melting_Curves/meltCurve_Q9NVP1_DDX18.pdf", "Melting_Curves/meltCurve_Q9NVP1_DDX18.pdf")</f>
        <v>Melting_Curves/meltCurve_Q9NVP1_DDX18.pdf</v>
      </c>
    </row>
    <row r="5621" spans="1:28" x14ac:dyDescent="0.25">
      <c r="A5621" t="s">
        <v>5625</v>
      </c>
      <c r="B5621">
        <v>0.99987803227770999</v>
      </c>
      <c r="C5621">
        <v>1.0387526461541201</v>
      </c>
      <c r="D5621">
        <v>1.03709102696141</v>
      </c>
      <c r="E5621">
        <v>0.86214230784838797</v>
      </c>
      <c r="F5621">
        <v>0.60147722931175496</v>
      </c>
      <c r="G5621">
        <v>0.28838636979792998</v>
      </c>
      <c r="H5621">
        <v>0.20006743540339</v>
      </c>
      <c r="I5621">
        <v>0.17600498149500399</v>
      </c>
      <c r="J5621">
        <v>0.13296437046624601</v>
      </c>
      <c r="K5621">
        <v>8.0507841504310201E-2</v>
      </c>
      <c r="L5621">
        <v>1272.74726130975</v>
      </c>
      <c r="M5621">
        <v>23.791163004437301</v>
      </c>
      <c r="N5621">
        <v>54.166514766824399</v>
      </c>
      <c r="O5621">
        <v>53.122977388931901</v>
      </c>
      <c r="P5621">
        <v>-9.7695152495496193E-2</v>
      </c>
      <c r="Q5621">
        <v>0.12744536162418901</v>
      </c>
      <c r="R5621">
        <v>0.99393328765478794</v>
      </c>
      <c r="S5621" t="s">
        <v>11932</v>
      </c>
      <c r="T5621" t="s">
        <v>12620</v>
      </c>
      <c r="U5621" t="s">
        <v>12620</v>
      </c>
      <c r="V5621" t="s">
        <v>12620</v>
      </c>
      <c r="W5621" t="s">
        <v>18182</v>
      </c>
      <c r="X5621">
        <v>3</v>
      </c>
      <c r="Y5621" t="s">
        <v>24276</v>
      </c>
      <c r="Z5621" t="s">
        <v>30568</v>
      </c>
      <c r="AA5621">
        <v>0.52882207093955835</v>
      </c>
      <c r="AB5621" t="str">
        <f>HYPERLINK("Melting_Curves/meltCurve_Q9NVP2_ASF1B.pdf", "Melting_Curves/meltCurve_Q9NVP2_ASF1B.pdf")</f>
        <v>Melting_Curves/meltCurve_Q9NVP2_ASF1B.pdf</v>
      </c>
    </row>
    <row r="5622" spans="1:28" x14ac:dyDescent="0.25">
      <c r="A5622" t="s">
        <v>5626</v>
      </c>
      <c r="B5622">
        <v>0.99987803227770999</v>
      </c>
      <c r="C5622">
        <v>0.76906222266508695</v>
      </c>
      <c r="D5622">
        <v>0.938618782450092</v>
      </c>
      <c r="E5622">
        <v>0.70249310093071204</v>
      </c>
      <c r="F5622">
        <v>0.51295705381307499</v>
      </c>
      <c r="G5622">
        <v>0.31594926619407798</v>
      </c>
      <c r="H5622">
        <v>0.28458179375684201</v>
      </c>
      <c r="I5622">
        <v>0.25913929205330299</v>
      </c>
      <c r="J5622">
        <v>0.19917071714927301</v>
      </c>
      <c r="K5622">
        <v>0.135930105813175</v>
      </c>
      <c r="L5622">
        <v>578.92451888106996</v>
      </c>
      <c r="M5622">
        <v>11.0432282137655</v>
      </c>
      <c r="N5622">
        <v>53.670114052253901</v>
      </c>
      <c r="O5622">
        <v>50.7924622670971</v>
      </c>
      <c r="P5622">
        <v>-4.8221780104515902E-2</v>
      </c>
      <c r="Q5622">
        <v>0.113125436397551</v>
      </c>
      <c r="R5622">
        <v>0.95328592888518005</v>
      </c>
      <c r="S5622" t="s">
        <v>11933</v>
      </c>
      <c r="T5622" t="s">
        <v>12620</v>
      </c>
      <c r="U5622" t="s">
        <v>12620</v>
      </c>
      <c r="V5622" t="s">
        <v>12620</v>
      </c>
      <c r="W5622" t="s">
        <v>18183</v>
      </c>
      <c r="X5622">
        <v>5</v>
      </c>
      <c r="Y5622" t="s">
        <v>24277</v>
      </c>
      <c r="Z5622" t="s">
        <v>30569</v>
      </c>
      <c r="AA5622">
        <v>0.50943926450134613</v>
      </c>
      <c r="AB5622" t="str">
        <f>HYPERLINK("Melting_Curves/meltCurve_Q9NVQ4_FAIM.pdf", "Melting_Curves/meltCurve_Q9NVQ4_FAIM.pdf")</f>
        <v>Melting_Curves/meltCurve_Q9NVQ4_FAIM.pdf</v>
      </c>
    </row>
    <row r="5623" spans="1:28" x14ac:dyDescent="0.25">
      <c r="A5623" t="s">
        <v>5627</v>
      </c>
      <c r="B5623">
        <v>0.99987803227770999</v>
      </c>
      <c r="C5623">
        <v>1.00332454954862</v>
      </c>
      <c r="D5623">
        <v>0.59230258538370295</v>
      </c>
      <c r="E5623">
        <v>0.81695408838823202</v>
      </c>
      <c r="F5623">
        <v>0.35573876816881</v>
      </c>
      <c r="G5623">
        <v>0.19881361692035299</v>
      </c>
      <c r="H5623">
        <v>0.15557778687930099</v>
      </c>
      <c r="I5623">
        <v>0.139945739972515</v>
      </c>
      <c r="J5623">
        <v>8.3791983067147302E-2</v>
      </c>
      <c r="K5623">
        <v>5.75012470496193E-2</v>
      </c>
      <c r="L5623">
        <v>616.12074054695302</v>
      </c>
      <c r="M5623">
        <v>11.954378719523699</v>
      </c>
      <c r="N5623">
        <v>51.721509254785701</v>
      </c>
      <c r="O5623">
        <v>50.1606381462678</v>
      </c>
      <c r="P5623">
        <v>-5.8366479458387001E-2</v>
      </c>
      <c r="Q5623">
        <v>2.06157649913121E-2</v>
      </c>
      <c r="R5623">
        <v>0.91285081629713105</v>
      </c>
      <c r="S5623" t="s">
        <v>11934</v>
      </c>
      <c r="T5623" t="s">
        <v>12620</v>
      </c>
      <c r="U5623" t="s">
        <v>12620</v>
      </c>
      <c r="V5623" t="s">
        <v>12620</v>
      </c>
      <c r="W5623" t="s">
        <v>18184</v>
      </c>
      <c r="X5623">
        <v>3</v>
      </c>
      <c r="Y5623" t="s">
        <v>24278</v>
      </c>
      <c r="Z5623" t="s">
        <v>30570</v>
      </c>
      <c r="AA5623">
        <v>0.42837832656646813</v>
      </c>
      <c r="AB5623" t="str">
        <f>HYPERLINK("Melting_Curves/meltCurve_Q9NVR0_KLHL11.pdf", "Melting_Curves/meltCurve_Q9NVR0_KLHL11.pdf")</f>
        <v>Melting_Curves/meltCurve_Q9NVR0_KLHL11.pdf</v>
      </c>
    </row>
    <row r="5624" spans="1:28" x14ac:dyDescent="0.25">
      <c r="A5624" t="s">
        <v>5628</v>
      </c>
      <c r="B5624">
        <v>0.99987803227770999</v>
      </c>
      <c r="C5624">
        <v>0.95318982499545402</v>
      </c>
      <c r="D5624">
        <v>0.872650739306289</v>
      </c>
      <c r="E5624">
        <v>0.72589154226629005</v>
      </c>
      <c r="F5624">
        <v>0.38288589573418802</v>
      </c>
      <c r="G5624">
        <v>0.25786547829046902</v>
      </c>
      <c r="H5624">
        <v>0.24216817525600401</v>
      </c>
      <c r="I5624">
        <v>0.22937594818065199</v>
      </c>
      <c r="J5624">
        <v>0.18515959086275</v>
      </c>
      <c r="K5624">
        <v>0.122369823252414</v>
      </c>
      <c r="L5624">
        <v>1005.23220521772</v>
      </c>
      <c r="M5624">
        <v>19.729595848464399</v>
      </c>
      <c r="N5624">
        <v>52.083634059151997</v>
      </c>
      <c r="O5624">
        <v>50.435699014781399</v>
      </c>
      <c r="P5624">
        <v>-8.0733092563082406E-2</v>
      </c>
      <c r="Q5624">
        <v>0.17450107410215299</v>
      </c>
      <c r="R5624">
        <v>0.98612783831991502</v>
      </c>
      <c r="S5624" t="s">
        <v>11935</v>
      </c>
      <c r="T5624" t="s">
        <v>12620</v>
      </c>
      <c r="U5624" t="s">
        <v>12620</v>
      </c>
      <c r="V5624" t="s">
        <v>12620</v>
      </c>
      <c r="W5624" t="s">
        <v>18185</v>
      </c>
      <c r="X5624">
        <v>2</v>
      </c>
      <c r="Y5624" t="s">
        <v>24279</v>
      </c>
      <c r="Z5624" t="s">
        <v>30571</v>
      </c>
      <c r="AA5624">
        <v>0.48757751419080197</v>
      </c>
      <c r="AB5624" t="str">
        <f>HYPERLINK("Melting_Curves/meltCurve_Q9NVR2_INTS10.pdf", "Melting_Curves/meltCurve_Q9NVR2_INTS10.pdf")</f>
        <v>Melting_Curves/meltCurve_Q9NVR2_INTS10.pdf</v>
      </c>
    </row>
    <row r="5625" spans="1:28" x14ac:dyDescent="0.25">
      <c r="A5625" t="s">
        <v>5629</v>
      </c>
      <c r="B5625">
        <v>0.99987803227770999</v>
      </c>
      <c r="C5625">
        <v>0.83618263367043399</v>
      </c>
      <c r="D5625">
        <v>0.97570023340836498</v>
      </c>
      <c r="E5625">
        <v>0.86050990554996198</v>
      </c>
      <c r="F5625">
        <v>0.93596140636806602</v>
      </c>
      <c r="G5625">
        <v>0.72931347005339597</v>
      </c>
      <c r="H5625">
        <v>0.41704811188387902</v>
      </c>
      <c r="I5625">
        <v>0.28036183690006999</v>
      </c>
      <c r="J5625">
        <v>0.210160696443424</v>
      </c>
      <c r="K5625">
        <v>0.15570678462255699</v>
      </c>
      <c r="L5625">
        <v>1025.48719035571</v>
      </c>
      <c r="M5625">
        <v>17.278485278173701</v>
      </c>
      <c r="N5625">
        <v>60.034102406506399</v>
      </c>
      <c r="O5625">
        <v>58.572643522162601</v>
      </c>
      <c r="P5625">
        <v>-6.7166461590609294E-2</v>
      </c>
      <c r="Q5625">
        <v>8.9297667439977399E-2</v>
      </c>
      <c r="R5625">
        <v>0.96009604463300802</v>
      </c>
      <c r="S5625" t="s">
        <v>11936</v>
      </c>
      <c r="T5625" t="s">
        <v>12620</v>
      </c>
      <c r="U5625" t="s">
        <v>12620</v>
      </c>
      <c r="V5625" t="s">
        <v>12620</v>
      </c>
      <c r="W5625" t="s">
        <v>18186</v>
      </c>
      <c r="X5625">
        <v>5</v>
      </c>
      <c r="Y5625" t="s">
        <v>24280</v>
      </c>
      <c r="Z5625" t="s">
        <v>30572</v>
      </c>
      <c r="AA5625">
        <v>0.685689909021446</v>
      </c>
      <c r="AB5625" t="str">
        <f>HYPERLINK("Melting_Curves/meltCurve_Q9NVR5_DNAAF2.pdf", "Melting_Curves/meltCurve_Q9NVR5_DNAAF2.pdf")</f>
        <v>Melting_Curves/meltCurve_Q9NVR5_DNAAF2.pdf</v>
      </c>
    </row>
    <row r="5626" spans="1:28" x14ac:dyDescent="0.25">
      <c r="A5626" t="s">
        <v>5630</v>
      </c>
      <c r="B5626">
        <v>0.99987803227770999</v>
      </c>
      <c r="C5626">
        <v>0.96122487088090802</v>
      </c>
      <c r="D5626">
        <v>1.05979382516482</v>
      </c>
      <c r="E5626">
        <v>0.85399583081668096</v>
      </c>
      <c r="F5626">
        <v>0.58002819878223699</v>
      </c>
      <c r="G5626">
        <v>0.38394034571261398</v>
      </c>
      <c r="H5626">
        <v>0.30313597037404999</v>
      </c>
      <c r="I5626">
        <v>0.236107928865011</v>
      </c>
      <c r="J5626">
        <v>0.16587961068173099</v>
      </c>
      <c r="K5626">
        <v>0.124261013690407</v>
      </c>
      <c r="L5626">
        <v>999.40618721887495</v>
      </c>
      <c r="M5626">
        <v>18.6046960088483</v>
      </c>
      <c r="N5626">
        <v>54.897563051522603</v>
      </c>
      <c r="O5626">
        <v>53.1088731116266</v>
      </c>
      <c r="P5626">
        <v>-7.3151769355893001E-2</v>
      </c>
      <c r="Q5626">
        <v>0.16476142921016201</v>
      </c>
      <c r="R5626">
        <v>0.983277930114558</v>
      </c>
      <c r="S5626" t="s">
        <v>11937</v>
      </c>
      <c r="T5626" t="s">
        <v>12620</v>
      </c>
      <c r="U5626" t="s">
        <v>12620</v>
      </c>
      <c r="V5626" t="s">
        <v>12620</v>
      </c>
      <c r="W5626" t="s">
        <v>18187</v>
      </c>
      <c r="X5626">
        <v>10</v>
      </c>
      <c r="Y5626" t="s">
        <v>24281</v>
      </c>
      <c r="Z5626" t="s">
        <v>30573</v>
      </c>
      <c r="AA5626">
        <v>0.55948280856421273</v>
      </c>
      <c r="AB5626" t="str">
        <f>HYPERLINK("Melting_Curves/meltCurve_Q9NVS9_PNPO.pdf", "Melting_Curves/meltCurve_Q9NVS9_PNPO.pdf")</f>
        <v>Melting_Curves/meltCurve_Q9NVS9_PNPO.pdf</v>
      </c>
    </row>
    <row r="5627" spans="1:28" x14ac:dyDescent="0.25">
      <c r="A5627" t="s">
        <v>5631</v>
      </c>
      <c r="B5627">
        <v>0.99987803227770999</v>
      </c>
      <c r="C5627">
        <v>0.96842594148044503</v>
      </c>
      <c r="D5627">
        <v>1.0180227053669</v>
      </c>
      <c r="E5627">
        <v>0.82233868415441402</v>
      </c>
      <c r="F5627">
        <v>0.64833100661670995</v>
      </c>
      <c r="G5627">
        <v>0.36149335312575798</v>
      </c>
      <c r="H5627">
        <v>0.29387940138743501</v>
      </c>
      <c r="I5627">
        <v>0.26264516470591598</v>
      </c>
      <c r="J5627">
        <v>0.21128005629036001</v>
      </c>
      <c r="K5627">
        <v>0.17008912105652099</v>
      </c>
      <c r="L5627">
        <v>1047.0013106925701</v>
      </c>
      <c r="M5627">
        <v>19.560882301123002</v>
      </c>
      <c r="N5627">
        <v>54.954822001723997</v>
      </c>
      <c r="O5627">
        <v>52.975253538354103</v>
      </c>
      <c r="P5627">
        <v>-7.3906643828205498E-2</v>
      </c>
      <c r="Q5627">
        <v>0.19940526796289701</v>
      </c>
      <c r="R5627">
        <v>0.99352170880539104</v>
      </c>
      <c r="S5627" t="s">
        <v>11938</v>
      </c>
      <c r="T5627" t="s">
        <v>12620</v>
      </c>
      <c r="U5627" t="s">
        <v>12620</v>
      </c>
      <c r="V5627" t="s">
        <v>12620</v>
      </c>
      <c r="W5627" t="s">
        <v>18188</v>
      </c>
      <c r="X5627">
        <v>3</v>
      </c>
      <c r="Y5627" t="s">
        <v>24282</v>
      </c>
      <c r="Z5627" t="s">
        <v>30574</v>
      </c>
      <c r="AA5627">
        <v>0.57170714087230368</v>
      </c>
      <c r="AB5627" t="str">
        <f>HYPERLINK("Melting_Curves/meltCurve_Q9NVT9_ARMC1.pdf", "Melting_Curves/meltCurve_Q9NVT9_ARMC1.pdf")</f>
        <v>Melting_Curves/meltCurve_Q9NVT9_ARMC1.pdf</v>
      </c>
    </row>
    <row r="5628" spans="1:28" x14ac:dyDescent="0.25">
      <c r="A5628" t="s">
        <v>5632</v>
      </c>
      <c r="B5628">
        <v>0.99987803227770999</v>
      </c>
      <c r="C5628">
        <v>0.90050859275847095</v>
      </c>
      <c r="D5628">
        <v>0.84526117597113204</v>
      </c>
      <c r="E5628">
        <v>0.64825811396904798</v>
      </c>
      <c r="F5628">
        <v>0.30862240676048702</v>
      </c>
      <c r="G5628">
        <v>0.16925077647115999</v>
      </c>
      <c r="H5628">
        <v>0.115143601789571</v>
      </c>
      <c r="I5628">
        <v>9.6489251976549895E-2</v>
      </c>
      <c r="J5628">
        <v>8.8661389668847304E-2</v>
      </c>
      <c r="K5628">
        <v>4.7544062268178998E-2</v>
      </c>
      <c r="L5628">
        <v>882.03272819758797</v>
      </c>
      <c r="M5628">
        <v>17.402365551516802</v>
      </c>
      <c r="N5628">
        <v>51.051398020922399</v>
      </c>
      <c r="O5628">
        <v>50.02956707885</v>
      </c>
      <c r="P5628">
        <v>-8.18552569596811E-2</v>
      </c>
      <c r="Q5628">
        <v>5.8759643823794103E-2</v>
      </c>
      <c r="R5628">
        <v>0.99123349400655003</v>
      </c>
      <c r="S5628" t="s">
        <v>11939</v>
      </c>
      <c r="T5628" t="s">
        <v>12620</v>
      </c>
      <c r="U5628" t="s">
        <v>12620</v>
      </c>
      <c r="V5628" t="s">
        <v>12620</v>
      </c>
      <c r="W5628" t="s">
        <v>18189</v>
      </c>
      <c r="X5628">
        <v>4</v>
      </c>
      <c r="Y5628" t="s">
        <v>24283</v>
      </c>
      <c r="Z5628" t="s">
        <v>30575</v>
      </c>
      <c r="AA5628">
        <v>0.41091480249844142</v>
      </c>
      <c r="AB5628" t="str">
        <f>HYPERLINK("Melting_Curves/meltCurve_Q9NVU0_5_POLR3E.pdf", "Melting_Curves/meltCurve_Q9NVU0_5_POLR3E.pdf")</f>
        <v>Melting_Curves/meltCurve_Q9NVU0_5_POLR3E.pdf</v>
      </c>
    </row>
    <row r="5629" spans="1:28" x14ac:dyDescent="0.25">
      <c r="A5629" t="s">
        <v>5633</v>
      </c>
      <c r="B5629">
        <v>0.99987803227770999</v>
      </c>
      <c r="C5629">
        <v>1.0204065039563299</v>
      </c>
      <c r="D5629">
        <v>0.78063074824647805</v>
      </c>
      <c r="E5629">
        <v>0.56159546348357203</v>
      </c>
      <c r="F5629">
        <v>0.52873246712128197</v>
      </c>
      <c r="G5629">
        <v>0.28006714823023998</v>
      </c>
      <c r="H5629">
        <v>0.35884089560270299</v>
      </c>
      <c r="I5629">
        <v>0.32415222931332</v>
      </c>
      <c r="J5629">
        <v>0.43988866666591597</v>
      </c>
      <c r="K5629">
        <v>0.38146087796664802</v>
      </c>
      <c r="L5629">
        <v>991.76333579195</v>
      </c>
      <c r="M5629">
        <v>20.584431899847399</v>
      </c>
      <c r="N5629">
        <v>51.3892478616877</v>
      </c>
      <c r="O5629">
        <v>47.732458995470203</v>
      </c>
      <c r="P5629">
        <v>-6.8815019656233906E-2</v>
      </c>
      <c r="Q5629">
        <v>0.361728372547866</v>
      </c>
      <c r="R5629">
        <v>0.95142488868304698</v>
      </c>
      <c r="S5629" t="s">
        <v>11940</v>
      </c>
      <c r="T5629" t="s">
        <v>12620</v>
      </c>
      <c r="U5629" t="s">
        <v>12620</v>
      </c>
      <c r="V5629" t="s">
        <v>12620</v>
      </c>
      <c r="W5629" t="s">
        <v>18190</v>
      </c>
      <c r="X5629">
        <v>2</v>
      </c>
      <c r="Y5629" t="s">
        <v>24284</v>
      </c>
      <c r="Z5629" t="s">
        <v>30576</v>
      </c>
      <c r="AA5629">
        <v>0.5442761836908494</v>
      </c>
      <c r="AB5629" t="str">
        <f>HYPERLINK("Melting_Curves/meltCurve_Q9NVU7_2_SDAD1.pdf", "Melting_Curves/meltCurve_Q9NVU7_2_SDAD1.pdf")</f>
        <v>Melting_Curves/meltCurve_Q9NVU7_2_SDAD1.pdf</v>
      </c>
    </row>
    <row r="5630" spans="1:28" x14ac:dyDescent="0.25">
      <c r="A5630" t="s">
        <v>5634</v>
      </c>
      <c r="B5630">
        <v>0.99987803227770999</v>
      </c>
      <c r="C5630">
        <v>0.80088857750669995</v>
      </c>
      <c r="D5630">
        <v>0.97536433481935203</v>
      </c>
      <c r="E5630">
        <v>0.79153694933486196</v>
      </c>
      <c r="F5630">
        <v>0.99869998415034</v>
      </c>
      <c r="G5630">
        <v>0.78634260982359305</v>
      </c>
      <c r="H5630">
        <v>0.93252992177760097</v>
      </c>
      <c r="I5630">
        <v>0.80149733584535798</v>
      </c>
      <c r="J5630">
        <v>0.90091596365478099</v>
      </c>
      <c r="K5630">
        <v>0.78133781153707005</v>
      </c>
      <c r="L5630">
        <v>95.888650180398898</v>
      </c>
      <c r="M5630">
        <v>1.0000000000000001E-5</v>
      </c>
      <c r="Q5630">
        <v>0.16002303824623201</v>
      </c>
      <c r="R5630">
        <v>0.14016569020651101</v>
      </c>
      <c r="S5630" t="s">
        <v>11941</v>
      </c>
      <c r="T5630" t="s">
        <v>12620</v>
      </c>
      <c r="U5630" t="s">
        <v>12620</v>
      </c>
      <c r="V5630" t="s">
        <v>12620</v>
      </c>
      <c r="W5630" t="s">
        <v>18191</v>
      </c>
      <c r="X5630">
        <v>5</v>
      </c>
      <c r="Y5630" t="s">
        <v>24285</v>
      </c>
      <c r="Z5630" t="s">
        <v>30577</v>
      </c>
      <c r="AA5630">
        <v>0.87664514654652936</v>
      </c>
      <c r="AB5630" t="str">
        <f>HYPERLINK("Melting_Curves/meltCurve_Q9NVW2_RLIM.pdf", "Melting_Curves/meltCurve_Q9NVW2_RLIM.pdf")</f>
        <v>Melting_Curves/meltCurve_Q9NVW2_RLIM.pdf</v>
      </c>
    </row>
    <row r="5631" spans="1:28" x14ac:dyDescent="0.25">
      <c r="A5631" t="s">
        <v>5635</v>
      </c>
      <c r="B5631">
        <v>0.99987803227770999</v>
      </c>
      <c r="C5631">
        <v>1.24497898196155</v>
      </c>
      <c r="D5631">
        <v>0.80181135555189198</v>
      </c>
      <c r="E5631">
        <v>0.65641982335121096</v>
      </c>
      <c r="F5631">
        <v>0.31093956082809798</v>
      </c>
      <c r="G5631">
        <v>0.21050146666686201</v>
      </c>
      <c r="H5631">
        <v>0.13489605652961301</v>
      </c>
      <c r="I5631">
        <v>0.120941472194199</v>
      </c>
      <c r="J5631">
        <v>0.113631831581956</v>
      </c>
      <c r="K5631">
        <v>7.4302048139075899E-2</v>
      </c>
      <c r="L5631">
        <v>1123.3449408568599</v>
      </c>
      <c r="M5631">
        <v>22.1837045569482</v>
      </c>
      <c r="N5631">
        <v>51.189455884494897</v>
      </c>
      <c r="O5631">
        <v>50.232187985068997</v>
      </c>
      <c r="P5631">
        <v>-9.8679044741835295E-2</v>
      </c>
      <c r="Q5631">
        <v>0.10623453551581299</v>
      </c>
      <c r="R5631">
        <v>0.94731344457191902</v>
      </c>
      <c r="S5631" t="s">
        <v>11942</v>
      </c>
      <c r="T5631" t="s">
        <v>12620</v>
      </c>
      <c r="U5631" t="s">
        <v>12620</v>
      </c>
      <c r="V5631" t="s">
        <v>12620</v>
      </c>
      <c r="W5631" t="s">
        <v>18192</v>
      </c>
      <c r="X5631">
        <v>2</v>
      </c>
      <c r="Y5631" t="s">
        <v>24286</v>
      </c>
      <c r="Z5631" t="s">
        <v>30578</v>
      </c>
      <c r="AA5631">
        <v>0.4333452602905738</v>
      </c>
      <c r="AB5631" t="str">
        <f>HYPERLINK("Melting_Curves/meltCurve_Q9NVX0_3_HAUS2.pdf", "Melting_Curves/meltCurve_Q9NVX0_3_HAUS2.pdf")</f>
        <v>Melting_Curves/meltCurve_Q9NVX0_3_HAUS2.pdf</v>
      </c>
    </row>
    <row r="5632" spans="1:28" x14ac:dyDescent="0.25">
      <c r="A5632" t="s">
        <v>5636</v>
      </c>
      <c r="B5632">
        <v>0.99987803227770999</v>
      </c>
      <c r="C5632">
        <v>0.92352620403484498</v>
      </c>
      <c r="D5632">
        <v>0.97674296505859204</v>
      </c>
      <c r="E5632">
        <v>0.92892784922999605</v>
      </c>
      <c r="F5632">
        <v>0.99054897456416502</v>
      </c>
      <c r="G5632">
        <v>0.87737951704677897</v>
      </c>
      <c r="H5632">
        <v>0.79539095017786698</v>
      </c>
      <c r="I5632">
        <v>0.67691281394123903</v>
      </c>
      <c r="J5632">
        <v>0.39764812639411201</v>
      </c>
      <c r="K5632">
        <v>0.18741991282982701</v>
      </c>
      <c r="L5632">
        <v>1280.74304098676</v>
      </c>
      <c r="M5632">
        <v>19.524405889143399</v>
      </c>
      <c r="N5632">
        <v>65.597030140593603</v>
      </c>
      <c r="O5632">
        <v>64.920513778656399</v>
      </c>
      <c r="P5632">
        <v>-7.5188503003721402E-2</v>
      </c>
      <c r="Q5632">
        <v>0</v>
      </c>
      <c r="R5632">
        <v>0.96886130530223502</v>
      </c>
      <c r="S5632" t="s">
        <v>11943</v>
      </c>
      <c r="T5632" t="s">
        <v>12620</v>
      </c>
      <c r="U5632" t="s">
        <v>12620</v>
      </c>
      <c r="V5632" t="s">
        <v>12620</v>
      </c>
      <c r="W5632" t="s">
        <v>18193</v>
      </c>
      <c r="X5632">
        <v>12</v>
      </c>
      <c r="Y5632" t="s">
        <v>24287</v>
      </c>
      <c r="Z5632" t="s">
        <v>30579</v>
      </c>
      <c r="AA5632">
        <v>0.83542975451980983</v>
      </c>
      <c r="AB5632" t="str">
        <f>HYPERLINK("Melting_Curves/meltCurve_Q9NVX2_NLE1.pdf", "Melting_Curves/meltCurve_Q9NVX2_NLE1.pdf")</f>
        <v>Melting_Curves/meltCurve_Q9NVX2_NLE1.pdf</v>
      </c>
    </row>
    <row r="5633" spans="1:28" x14ac:dyDescent="0.25">
      <c r="A5633" t="s">
        <v>5637</v>
      </c>
      <c r="B5633">
        <v>0.99987803227770999</v>
      </c>
      <c r="C5633">
        <v>1.0502956029422801</v>
      </c>
      <c r="D5633">
        <v>0.95961258622944701</v>
      </c>
      <c r="E5633">
        <v>1.0618071206856099</v>
      </c>
      <c r="F5633">
        <v>0.86787184030674003</v>
      </c>
      <c r="G5633">
        <v>0.54946361272745003</v>
      </c>
      <c r="H5633">
        <v>0.351974333223049</v>
      </c>
      <c r="I5633">
        <v>0.35795487443838098</v>
      </c>
      <c r="J5633">
        <v>0.25752188541529802</v>
      </c>
      <c r="K5633">
        <v>0.202807154975857</v>
      </c>
      <c r="L5633">
        <v>1480.36359416749</v>
      </c>
      <c r="M5633">
        <v>26.294440106503501</v>
      </c>
      <c r="N5633">
        <v>57.880602837067499</v>
      </c>
      <c r="O5633">
        <v>55.976873936390398</v>
      </c>
      <c r="P5633">
        <v>-8.7348136816343805E-2</v>
      </c>
      <c r="Q5633">
        <v>0.25620433608584398</v>
      </c>
      <c r="R5633">
        <v>0.98155360441917705</v>
      </c>
      <c r="S5633" t="s">
        <v>11944</v>
      </c>
      <c r="T5633" t="s">
        <v>12620</v>
      </c>
      <c r="U5633" t="s">
        <v>12620</v>
      </c>
      <c r="V5633" t="s">
        <v>12620</v>
      </c>
      <c r="W5633" t="s">
        <v>18194</v>
      </c>
      <c r="X5633">
        <v>5</v>
      </c>
      <c r="Y5633" t="s">
        <v>24288</v>
      </c>
      <c r="Z5633" t="s">
        <v>30580</v>
      </c>
      <c r="AA5633">
        <v>0.66657298369708073</v>
      </c>
      <c r="AB5633" t="str">
        <f>HYPERLINK("Melting_Curves/meltCurve_Q9NVX7_KBTBD4.pdf", "Melting_Curves/meltCurve_Q9NVX7_KBTBD4.pdf")</f>
        <v>Melting_Curves/meltCurve_Q9NVX7_KBTBD4.pdf</v>
      </c>
    </row>
    <row r="5634" spans="1:28" x14ac:dyDescent="0.25">
      <c r="A5634" t="s">
        <v>5638</v>
      </c>
      <c r="B5634">
        <v>0.99987803227770999</v>
      </c>
      <c r="C5634">
        <v>0.86375408547149501</v>
      </c>
      <c r="D5634">
        <v>1.00174083037214</v>
      </c>
      <c r="E5634">
        <v>0.91342975595304998</v>
      </c>
      <c r="F5634">
        <v>1.12168330727819</v>
      </c>
      <c r="G5634">
        <v>0.80726811776356</v>
      </c>
      <c r="H5634">
        <v>0.47147982482985701</v>
      </c>
      <c r="I5634">
        <v>0.20946857049606299</v>
      </c>
      <c r="J5634">
        <v>0.11534842236949799</v>
      </c>
      <c r="K5634">
        <v>7.5606523530907396E-2</v>
      </c>
      <c r="L5634">
        <v>1702.9146577517599</v>
      </c>
      <c r="M5634">
        <v>28.231146440089201</v>
      </c>
      <c r="N5634">
        <v>60.5933710264474</v>
      </c>
      <c r="O5634">
        <v>60.020191762004799</v>
      </c>
      <c r="P5634">
        <v>-0.110570334077031</v>
      </c>
      <c r="Q5634">
        <v>5.9705550290067903E-2</v>
      </c>
      <c r="R5634">
        <v>0.96744164806439703</v>
      </c>
      <c r="S5634" t="s">
        <v>11945</v>
      </c>
      <c r="T5634" t="s">
        <v>12620</v>
      </c>
      <c r="U5634" t="s">
        <v>12620</v>
      </c>
      <c r="V5634" t="s">
        <v>12620</v>
      </c>
      <c r="W5634" t="s">
        <v>18195</v>
      </c>
      <c r="X5634">
        <v>8</v>
      </c>
      <c r="Y5634" t="s">
        <v>24289</v>
      </c>
      <c r="Z5634" t="s">
        <v>30581</v>
      </c>
      <c r="AA5634">
        <v>0.70258519762438898</v>
      </c>
      <c r="AB5634" t="str">
        <f>HYPERLINK("Melting_Curves/meltCurve_Q9NVZ3_NECAP2.pdf", "Melting_Curves/meltCurve_Q9NVZ3_NECAP2.pdf")</f>
        <v>Melting_Curves/meltCurve_Q9NVZ3_NECAP2.pdf</v>
      </c>
    </row>
    <row r="5635" spans="1:28" x14ac:dyDescent="0.25">
      <c r="A5635" t="s">
        <v>5639</v>
      </c>
      <c r="B5635">
        <v>0.99987803227770999</v>
      </c>
      <c r="C5635">
        <v>0.90881108251900999</v>
      </c>
      <c r="D5635">
        <v>0.95611664056631895</v>
      </c>
      <c r="E5635">
        <v>0.66475006397634995</v>
      </c>
      <c r="F5635">
        <v>0.433660244202422</v>
      </c>
      <c r="G5635">
        <v>0.20444347073569399</v>
      </c>
      <c r="H5635">
        <v>0.123834339129009</v>
      </c>
      <c r="I5635">
        <v>9.1903054781451804E-2</v>
      </c>
      <c r="J5635">
        <v>8.8230194673684398E-2</v>
      </c>
      <c r="K5635">
        <v>5.7555412536496001E-2</v>
      </c>
      <c r="L5635">
        <v>953.21910765657503</v>
      </c>
      <c r="M5635">
        <v>18.426645125743701</v>
      </c>
      <c r="N5635">
        <v>52.118641059012099</v>
      </c>
      <c r="O5635">
        <v>51.132760200065697</v>
      </c>
      <c r="P5635">
        <v>-8.4319446474976398E-2</v>
      </c>
      <c r="Q5635">
        <v>6.4117844073710101E-2</v>
      </c>
      <c r="R5635">
        <v>0.99480785158722795</v>
      </c>
      <c r="S5635" t="s">
        <v>11946</v>
      </c>
      <c r="T5635" t="s">
        <v>12620</v>
      </c>
      <c r="U5635" t="s">
        <v>12620</v>
      </c>
      <c r="V5635" t="s">
        <v>12620</v>
      </c>
      <c r="W5635" t="s">
        <v>18196</v>
      </c>
      <c r="X5635">
        <v>4</v>
      </c>
      <c r="Y5635" t="s">
        <v>24290</v>
      </c>
      <c r="Z5635" t="s">
        <v>30582</v>
      </c>
      <c r="AA5635">
        <v>0.44506740419562618</v>
      </c>
      <c r="AB5635" t="str">
        <f>HYPERLINK("Melting_Curves/meltCurve_Q9NW13_RBM28.pdf", "Melting_Curves/meltCurve_Q9NW13_RBM28.pdf")</f>
        <v>Melting_Curves/meltCurve_Q9NW13_RBM28.pdf</v>
      </c>
    </row>
    <row r="5636" spans="1:28" x14ac:dyDescent="0.25">
      <c r="A5636" t="s">
        <v>5640</v>
      </c>
      <c r="B5636">
        <v>0.99987803227770999</v>
      </c>
      <c r="C5636">
        <v>0.80622946873376899</v>
      </c>
      <c r="D5636">
        <v>1.03471015940628</v>
      </c>
      <c r="E5636">
        <v>0.78096263041562497</v>
      </c>
      <c r="F5636">
        <v>0.71420610087238301</v>
      </c>
      <c r="G5636">
        <v>0.466580380905532</v>
      </c>
      <c r="H5636">
        <v>0.32737886230748597</v>
      </c>
      <c r="I5636">
        <v>0.25499429332620799</v>
      </c>
      <c r="J5636">
        <v>0.22334565034145201</v>
      </c>
      <c r="K5636">
        <v>0.17843866329851499</v>
      </c>
      <c r="L5636">
        <v>680.79064120053204</v>
      </c>
      <c r="M5636">
        <v>12.281211350779801</v>
      </c>
      <c r="N5636">
        <v>56.6519771327211</v>
      </c>
      <c r="O5636">
        <v>54.025239948827704</v>
      </c>
      <c r="P5636">
        <v>-5.0245691982098099E-2</v>
      </c>
      <c r="Q5636">
        <v>0.116068460760981</v>
      </c>
      <c r="R5636">
        <v>0.95638276785756304</v>
      </c>
      <c r="S5636" t="s">
        <v>11947</v>
      </c>
      <c r="T5636" t="s">
        <v>12620</v>
      </c>
      <c r="U5636" t="s">
        <v>12620</v>
      </c>
      <c r="V5636" t="s">
        <v>12620</v>
      </c>
      <c r="W5636" t="s">
        <v>18197</v>
      </c>
      <c r="X5636">
        <v>13</v>
      </c>
      <c r="Y5636" t="s">
        <v>24291</v>
      </c>
      <c r="Z5636" t="s">
        <v>30583</v>
      </c>
      <c r="AA5636">
        <v>0.59014268804868164</v>
      </c>
      <c r="AB5636" t="str">
        <f>HYPERLINK("Melting_Curves/meltCurve_Q9NW64_RBM22.pdf", "Melting_Curves/meltCurve_Q9NW64_RBM22.pdf")</f>
        <v>Melting_Curves/meltCurve_Q9NW64_RBM22.pdf</v>
      </c>
    </row>
    <row r="5637" spans="1:28" x14ac:dyDescent="0.25">
      <c r="A5637" t="s">
        <v>5641</v>
      </c>
      <c r="B5637">
        <v>0.99987803227770999</v>
      </c>
      <c r="C5637">
        <v>1.1110684678758</v>
      </c>
      <c r="D5637">
        <v>0.97927783130110901</v>
      </c>
      <c r="E5637">
        <v>0.98571122054142202</v>
      </c>
      <c r="F5637">
        <v>1.02288214814297</v>
      </c>
      <c r="G5637">
        <v>0.95083767922819196</v>
      </c>
      <c r="H5637">
        <v>0.77948258683903604</v>
      </c>
      <c r="I5637">
        <v>0.757748996782458</v>
      </c>
      <c r="J5637">
        <v>0.67443401975282202</v>
      </c>
      <c r="K5637">
        <v>0.63766346697746301</v>
      </c>
      <c r="L5637">
        <v>1450.26145699008</v>
      </c>
      <c r="M5637">
        <v>23.834075289692301</v>
      </c>
      <c r="O5637">
        <v>60.424737214033001</v>
      </c>
      <c r="P5637">
        <v>-3.5840418599809798E-2</v>
      </c>
      <c r="Q5637">
        <v>0.63655184504021101</v>
      </c>
      <c r="R5637">
        <v>0.93012271832193805</v>
      </c>
      <c r="S5637" t="s">
        <v>11948</v>
      </c>
      <c r="T5637" t="s">
        <v>12620</v>
      </c>
      <c r="U5637" t="s">
        <v>12620</v>
      </c>
      <c r="V5637" t="s">
        <v>12620</v>
      </c>
      <c r="W5637" t="s">
        <v>18198</v>
      </c>
      <c r="X5637">
        <v>3</v>
      </c>
      <c r="Y5637" t="s">
        <v>24292</v>
      </c>
      <c r="Z5637" t="s">
        <v>30584</v>
      </c>
      <c r="AA5637">
        <v>0.89152583932984464</v>
      </c>
      <c r="AB5637" t="str">
        <f>HYPERLINK("Melting_Curves/meltCurve_Q9NW75_GPATCH2.pdf", "Melting_Curves/meltCurve_Q9NW75_GPATCH2.pdf")</f>
        <v>Melting_Curves/meltCurve_Q9NW75_GPATCH2.pdf</v>
      </c>
    </row>
    <row r="5638" spans="1:28" x14ac:dyDescent="0.25">
      <c r="A5638" t="s">
        <v>5642</v>
      </c>
      <c r="B5638">
        <v>0.99987803227770999</v>
      </c>
      <c r="C5638">
        <v>0.93257215867913301</v>
      </c>
      <c r="D5638">
        <v>1.0504380091955701</v>
      </c>
      <c r="E5638">
        <v>0.95162972296514503</v>
      </c>
      <c r="F5638">
        <v>0.99640872680217696</v>
      </c>
      <c r="G5638">
        <v>0.57354047556719501</v>
      </c>
      <c r="H5638">
        <v>0.291605312939334</v>
      </c>
      <c r="I5638">
        <v>0.26569958752322298</v>
      </c>
      <c r="J5638">
        <v>0.21321135675990399</v>
      </c>
      <c r="K5638">
        <v>0.17179154274081601</v>
      </c>
      <c r="L5638">
        <v>2201.0889863243801</v>
      </c>
      <c r="M5638">
        <v>38.717682840073302</v>
      </c>
      <c r="N5638">
        <v>57.699431989450098</v>
      </c>
      <c r="O5638">
        <v>56.698687426136097</v>
      </c>
      <c r="P5638">
        <v>-0.133622862838155</v>
      </c>
      <c r="Q5638">
        <v>0.21728551541154401</v>
      </c>
      <c r="R5638">
        <v>0.98818024678064897</v>
      </c>
      <c r="S5638" t="s">
        <v>11949</v>
      </c>
      <c r="T5638" t="s">
        <v>12620</v>
      </c>
      <c r="U5638" t="s">
        <v>12620</v>
      </c>
      <c r="V5638" t="s">
        <v>12620</v>
      </c>
      <c r="W5638" t="s">
        <v>18199</v>
      </c>
      <c r="X5638">
        <v>18</v>
      </c>
      <c r="Y5638" t="s">
        <v>24293</v>
      </c>
      <c r="Z5638" t="s">
        <v>30585</v>
      </c>
      <c r="AA5638">
        <v>0.66014522876059956</v>
      </c>
      <c r="AB5638" t="str">
        <f>HYPERLINK("Melting_Curves/meltCurve_Q9NW82_WDR70.pdf", "Melting_Curves/meltCurve_Q9NW82_WDR70.pdf")</f>
        <v>Melting_Curves/meltCurve_Q9NW82_WDR70.pdf</v>
      </c>
    </row>
    <row r="5639" spans="1:28" x14ac:dyDescent="0.25">
      <c r="A5639" t="s">
        <v>5643</v>
      </c>
      <c r="B5639">
        <v>0.99987803227770999</v>
      </c>
      <c r="C5639">
        <v>1.0126418294213499</v>
      </c>
      <c r="D5639">
        <v>0.97057833463233401</v>
      </c>
      <c r="E5639">
        <v>1.0672443660181099</v>
      </c>
      <c r="F5639">
        <v>1.12336207333202</v>
      </c>
      <c r="G5639">
        <v>0.93384404909181895</v>
      </c>
      <c r="H5639">
        <v>1.0758873514151499</v>
      </c>
      <c r="I5639">
        <v>0.92659914518973296</v>
      </c>
      <c r="J5639">
        <v>0.87089981605747202</v>
      </c>
      <c r="K5639">
        <v>0.68044447264153196</v>
      </c>
      <c r="L5639">
        <v>2187.8802987823201</v>
      </c>
      <c r="M5639">
        <v>31.527833936264798</v>
      </c>
      <c r="O5639">
        <v>69.117802080264397</v>
      </c>
      <c r="P5639">
        <v>-6.3977166636146707E-2</v>
      </c>
      <c r="Q5639">
        <v>0.438979853698441</v>
      </c>
      <c r="R5639">
        <v>0.76747437928427897</v>
      </c>
      <c r="S5639" t="s">
        <v>11950</v>
      </c>
      <c r="T5639" t="s">
        <v>12620</v>
      </c>
      <c r="U5639" t="s">
        <v>12620</v>
      </c>
      <c r="V5639" t="s">
        <v>12620</v>
      </c>
      <c r="W5639" t="s">
        <v>18200</v>
      </c>
      <c r="X5639">
        <v>2</v>
      </c>
      <c r="Y5639" t="s">
        <v>24294</v>
      </c>
      <c r="Z5639" t="s">
        <v>30586</v>
      </c>
      <c r="AA5639">
        <v>0.96737813842133558</v>
      </c>
      <c r="AB5639" t="str">
        <f>HYPERLINK("Melting_Curves/meltCurve_Q9NW97_TMEM51.pdf", "Melting_Curves/meltCurve_Q9NW97_TMEM51.pdf")</f>
        <v>Melting_Curves/meltCurve_Q9NW97_TMEM51.pdf</v>
      </c>
    </row>
    <row r="5640" spans="1:28" x14ac:dyDescent="0.25">
      <c r="A5640" t="s">
        <v>5644</v>
      </c>
      <c r="B5640">
        <v>0.99987803227770999</v>
      </c>
      <c r="C5640">
        <v>0.94233934558864096</v>
      </c>
      <c r="D5640">
        <v>0.949907787996497</v>
      </c>
      <c r="E5640">
        <v>0.99665868724352802</v>
      </c>
      <c r="F5640">
        <v>1.1041131842303999</v>
      </c>
      <c r="G5640">
        <v>0.92470364370847102</v>
      </c>
      <c r="H5640">
        <v>0.83946238310283094</v>
      </c>
      <c r="I5640">
        <v>0.853438009511851</v>
      </c>
      <c r="J5640">
        <v>0.75240571998531303</v>
      </c>
      <c r="K5640">
        <v>0.57939983873473699</v>
      </c>
      <c r="L5640">
        <v>853.62611115184802</v>
      </c>
      <c r="M5640">
        <v>11.7887273473474</v>
      </c>
      <c r="Q5640">
        <v>0</v>
      </c>
      <c r="R5640">
        <v>0.86390344395575802</v>
      </c>
      <c r="S5640" t="s">
        <v>11951</v>
      </c>
      <c r="T5640" t="s">
        <v>12620</v>
      </c>
      <c r="U5640" t="s">
        <v>12620</v>
      </c>
      <c r="V5640" t="s">
        <v>12620</v>
      </c>
      <c r="W5640" t="s">
        <v>18201</v>
      </c>
      <c r="X5640">
        <v>2</v>
      </c>
      <c r="Y5640" t="s">
        <v>24295</v>
      </c>
      <c r="Z5640" t="s">
        <v>30587</v>
      </c>
      <c r="AA5640">
        <v>0.91686523343368842</v>
      </c>
      <c r="AB5640" t="str">
        <f>HYPERLINK("Melting_Curves/meltCurve_Q9NWA0_MED9.pdf", "Melting_Curves/meltCurve_Q9NWA0_MED9.pdf")</f>
        <v>Melting_Curves/meltCurve_Q9NWA0_MED9.pdf</v>
      </c>
    </row>
    <row r="5641" spans="1:28" x14ac:dyDescent="0.25">
      <c r="A5641" t="s">
        <v>5645</v>
      </c>
      <c r="B5641">
        <v>0.99987803227770999</v>
      </c>
      <c r="C5641">
        <v>1.00683513760748</v>
      </c>
      <c r="D5641">
        <v>0.98003190525962802</v>
      </c>
      <c r="E5641">
        <v>1.12120901099902</v>
      </c>
      <c r="F5641">
        <v>1.0228495985761601</v>
      </c>
      <c r="G5641">
        <v>0.76961085484923397</v>
      </c>
      <c r="H5641">
        <v>0.91885022652681703</v>
      </c>
      <c r="I5641">
        <v>0.88004708249531005</v>
      </c>
      <c r="J5641">
        <v>1.04098585516913</v>
      </c>
      <c r="K5641">
        <v>0.80442188394988501</v>
      </c>
      <c r="L5641">
        <v>4921.6231084235797</v>
      </c>
      <c r="M5641">
        <v>90.281271393073894</v>
      </c>
      <c r="O5641">
        <v>54.487618841363201</v>
      </c>
      <c r="P5641">
        <v>-4.8371209697621202E-2</v>
      </c>
      <c r="Q5641">
        <v>0.88322579613029195</v>
      </c>
      <c r="R5641">
        <v>0.43158326287374499</v>
      </c>
      <c r="S5641" t="s">
        <v>11952</v>
      </c>
      <c r="T5641" t="s">
        <v>12620</v>
      </c>
      <c r="U5641" t="s">
        <v>12620</v>
      </c>
      <c r="V5641" t="s">
        <v>12620</v>
      </c>
      <c r="W5641" t="s">
        <v>18202</v>
      </c>
      <c r="X5641">
        <v>7</v>
      </c>
      <c r="Y5641" t="s">
        <v>24296</v>
      </c>
      <c r="Z5641" t="s">
        <v>30588</v>
      </c>
      <c r="AA5641">
        <v>0.93980823842068184</v>
      </c>
      <c r="AB5641" t="str">
        <f>HYPERLINK("Melting_Curves/meltCurve_Q9NWB6_ARGLU1.pdf", "Melting_Curves/meltCurve_Q9NWB6_ARGLU1.pdf")</f>
        <v>Melting_Curves/meltCurve_Q9NWB6_ARGLU1.pdf</v>
      </c>
    </row>
    <row r="5642" spans="1:28" x14ac:dyDescent="0.25">
      <c r="A5642" t="s">
        <v>5646</v>
      </c>
      <c r="B5642">
        <v>0.99987803227770999</v>
      </c>
      <c r="C5642">
        <v>0.80409005666459199</v>
      </c>
      <c r="D5642">
        <v>0.71867510638193299</v>
      </c>
      <c r="E5642">
        <v>0.55425484922523205</v>
      </c>
      <c r="F5642">
        <v>0.55328305442202497</v>
      </c>
      <c r="G5642">
        <v>0.44607306998768698</v>
      </c>
      <c r="H5642">
        <v>0.41424191742625399</v>
      </c>
      <c r="I5642">
        <v>0.33755506709851302</v>
      </c>
      <c r="J5642">
        <v>0.43662168581045202</v>
      </c>
      <c r="K5642">
        <v>0.33238242373291299</v>
      </c>
      <c r="L5642">
        <v>530.581036327883</v>
      </c>
      <c r="M5642">
        <v>11.217842857324699</v>
      </c>
      <c r="N5642">
        <v>53.181009481382503</v>
      </c>
      <c r="O5642">
        <v>45.869618225852903</v>
      </c>
      <c r="P5642">
        <v>-3.9420242058470202E-2</v>
      </c>
      <c r="Q5642">
        <v>0.35544627706496101</v>
      </c>
      <c r="R5642">
        <v>0.957719045045759</v>
      </c>
      <c r="S5642" t="s">
        <v>11953</v>
      </c>
      <c r="T5642" t="s">
        <v>12620</v>
      </c>
      <c r="U5642" t="s">
        <v>12620</v>
      </c>
      <c r="V5642" t="s">
        <v>12620</v>
      </c>
      <c r="W5642" t="s">
        <v>18203</v>
      </c>
      <c r="X5642">
        <v>2</v>
      </c>
      <c r="Y5642" t="s">
        <v>24297</v>
      </c>
      <c r="Z5642" t="s">
        <v>30589</v>
      </c>
      <c r="AA5642">
        <v>0.54208219573050209</v>
      </c>
      <c r="AB5642" t="str">
        <f>HYPERLINK("Melting_Curves/meltCurve_Q9NWF9_RNF216.pdf", "Melting_Curves/meltCurve_Q9NWF9_RNF216.pdf")</f>
        <v>Melting_Curves/meltCurve_Q9NWF9_RNF216.pdf</v>
      </c>
    </row>
    <row r="5643" spans="1:28" x14ac:dyDescent="0.25">
      <c r="A5643" t="s">
        <v>5647</v>
      </c>
      <c r="B5643">
        <v>0.99987803227770999</v>
      </c>
      <c r="C5643">
        <v>0.98711068426696003</v>
      </c>
      <c r="D5643">
        <v>1.0073593832924299</v>
      </c>
      <c r="E5643">
        <v>1.00250666768281</v>
      </c>
      <c r="F5643">
        <v>0.97892069664625903</v>
      </c>
      <c r="G5643">
        <v>0.76452521909858195</v>
      </c>
      <c r="H5643">
        <v>0.74191690450411496</v>
      </c>
      <c r="I5643">
        <v>0.58279175145308404</v>
      </c>
      <c r="J5643">
        <v>0.65400988145074601</v>
      </c>
      <c r="K5643">
        <v>0.49720840699362101</v>
      </c>
      <c r="L5643">
        <v>963.60522033069401</v>
      </c>
      <c r="M5643">
        <v>16.291697470245801</v>
      </c>
      <c r="O5643">
        <v>58.277398059634699</v>
      </c>
      <c r="P5643">
        <v>-3.4009641370543998E-2</v>
      </c>
      <c r="Q5643">
        <v>0.51340893280437805</v>
      </c>
      <c r="R5643">
        <v>0.94497766905491198</v>
      </c>
      <c r="S5643" t="s">
        <v>11954</v>
      </c>
      <c r="T5643" t="s">
        <v>12620</v>
      </c>
      <c r="U5643" t="s">
        <v>12620</v>
      </c>
      <c r="V5643" t="s">
        <v>12620</v>
      </c>
      <c r="W5643" t="s">
        <v>18204</v>
      </c>
      <c r="X5643">
        <v>19</v>
      </c>
      <c r="Y5643" t="s">
        <v>24298</v>
      </c>
      <c r="Z5643" t="s">
        <v>30590</v>
      </c>
      <c r="AA5643">
        <v>0.8289879053713366</v>
      </c>
      <c r="AB5643" t="str">
        <f>HYPERLINK("Melting_Curves/meltCurve_Q9NWH9_SLTM.pdf", "Melting_Curves/meltCurve_Q9NWH9_SLTM.pdf")</f>
        <v>Melting_Curves/meltCurve_Q9NWH9_SLTM.pdf</v>
      </c>
    </row>
    <row r="5644" spans="1:28" x14ac:dyDescent="0.25">
      <c r="A5644" t="s">
        <v>5648</v>
      </c>
      <c r="B5644">
        <v>0.99987803227770999</v>
      </c>
      <c r="C5644">
        <v>0.68735971906772997</v>
      </c>
      <c r="D5644">
        <v>0.80560828766118298</v>
      </c>
      <c r="E5644">
        <v>0.70373810745008603</v>
      </c>
      <c r="F5644">
        <v>0.91373537115953096</v>
      </c>
      <c r="G5644">
        <v>0.476776189265532</v>
      </c>
      <c r="H5644">
        <v>0.84188441780948298</v>
      </c>
      <c r="I5644">
        <v>0.73945214604681797</v>
      </c>
      <c r="J5644">
        <v>1.1055294024840501</v>
      </c>
      <c r="K5644">
        <v>0.88456863765701099</v>
      </c>
      <c r="L5644">
        <v>10236.654377429801</v>
      </c>
      <c r="M5644">
        <v>250</v>
      </c>
      <c r="O5644">
        <v>40.943998285202703</v>
      </c>
      <c r="P5644">
        <v>-0.31230796921932302</v>
      </c>
      <c r="Q5644">
        <v>0.79540581437256797</v>
      </c>
      <c r="R5644">
        <v>0.13307463798737701</v>
      </c>
      <c r="S5644" t="s">
        <v>11955</v>
      </c>
      <c r="T5644" t="s">
        <v>12620</v>
      </c>
      <c r="U5644" t="s">
        <v>12620</v>
      </c>
      <c r="V5644" t="s">
        <v>12620</v>
      </c>
      <c r="W5644" t="s">
        <v>18205</v>
      </c>
      <c r="X5644">
        <v>4</v>
      </c>
      <c r="Y5644" t="s">
        <v>24299</v>
      </c>
      <c r="Z5644" t="s">
        <v>30591</v>
      </c>
      <c r="AA5644">
        <v>0.80187911126851497</v>
      </c>
      <c r="AB5644" t="str">
        <f>HYPERLINK("Melting_Curves/meltCurve_Q9NWK9_ZNHIT6.pdf", "Melting_Curves/meltCurve_Q9NWK9_ZNHIT6.pdf")</f>
        <v>Melting_Curves/meltCurve_Q9NWK9_ZNHIT6.pdf</v>
      </c>
    </row>
    <row r="5645" spans="1:28" x14ac:dyDescent="0.25">
      <c r="A5645" t="s">
        <v>5649</v>
      </c>
      <c r="B5645">
        <v>0.99987803227770999</v>
      </c>
      <c r="C5645">
        <v>0.97253905470106305</v>
      </c>
      <c r="D5645">
        <v>1.03392396419356</v>
      </c>
      <c r="E5645">
        <v>0.87541514536598397</v>
      </c>
      <c r="F5645">
        <v>0.62213911174937098</v>
      </c>
      <c r="G5645">
        <v>0.43768189249408901</v>
      </c>
      <c r="H5645">
        <v>0.29992172743964501</v>
      </c>
      <c r="I5645">
        <v>0.18722915504571699</v>
      </c>
      <c r="J5645">
        <v>0.146433027080733</v>
      </c>
      <c r="K5645">
        <v>9.8876385947807496E-2</v>
      </c>
      <c r="L5645">
        <v>852.29363693485504</v>
      </c>
      <c r="M5645">
        <v>15.459874519295999</v>
      </c>
      <c r="N5645">
        <v>55.857602174558302</v>
      </c>
      <c r="O5645">
        <v>54.231699201974699</v>
      </c>
      <c r="P5645">
        <v>-6.4769129639110495E-2</v>
      </c>
      <c r="Q5645">
        <v>9.1266940959628104E-2</v>
      </c>
      <c r="R5645">
        <v>0.990218975231973</v>
      </c>
      <c r="S5645" t="s">
        <v>11956</v>
      </c>
      <c r="T5645" t="s">
        <v>12620</v>
      </c>
      <c r="U5645" t="s">
        <v>12620</v>
      </c>
      <c r="V5645" t="s">
        <v>12620</v>
      </c>
      <c r="W5645" t="s">
        <v>18206</v>
      </c>
      <c r="X5645">
        <v>4</v>
      </c>
      <c r="Y5645" t="s">
        <v>24300</v>
      </c>
      <c r="Z5645" t="s">
        <v>30592</v>
      </c>
      <c r="AA5645">
        <v>0.56636356158140666</v>
      </c>
      <c r="AB5645" t="str">
        <f>HYPERLINK("Melting_Curves/meltCurve_Q9NWM0_2_SMOX.pdf", "Melting_Curves/meltCurve_Q9NWM0_2_SMOX.pdf")</f>
        <v>Melting_Curves/meltCurve_Q9NWM0_2_SMOX.pdf</v>
      </c>
    </row>
    <row r="5646" spans="1:28" x14ac:dyDescent="0.25">
      <c r="A5646" t="s">
        <v>5650</v>
      </c>
      <c r="B5646">
        <v>0.99987803227770999</v>
      </c>
      <c r="C5646">
        <v>0.93143545665961902</v>
      </c>
      <c r="D5646">
        <v>0.97171921659420102</v>
      </c>
      <c r="E5646">
        <v>0.87932359014434702</v>
      </c>
      <c r="F5646">
        <v>0.92507196087864696</v>
      </c>
      <c r="G5646">
        <v>0.71343295590373601</v>
      </c>
      <c r="H5646">
        <v>0.67495920048595803</v>
      </c>
      <c r="I5646">
        <v>0.68867815805460997</v>
      </c>
      <c r="J5646">
        <v>0.54146584084921501</v>
      </c>
      <c r="K5646">
        <v>0.451066955454894</v>
      </c>
      <c r="L5646">
        <v>413.44551977672398</v>
      </c>
      <c r="M5646">
        <v>5.98658257854943</v>
      </c>
      <c r="N5646">
        <v>69.062037933867998</v>
      </c>
      <c r="O5646">
        <v>62.537496705383198</v>
      </c>
      <c r="P5646">
        <v>-2.4010093606887599E-2</v>
      </c>
      <c r="Q5646">
        <v>0</v>
      </c>
      <c r="R5646">
        <v>0.94457021535936203</v>
      </c>
      <c r="S5646" t="s">
        <v>11957</v>
      </c>
      <c r="T5646" t="s">
        <v>12620</v>
      </c>
      <c r="U5646" t="s">
        <v>12620</v>
      </c>
      <c r="V5646" t="s">
        <v>12620</v>
      </c>
      <c r="W5646" t="s">
        <v>18207</v>
      </c>
      <c r="X5646">
        <v>13</v>
      </c>
      <c r="Y5646" t="s">
        <v>24301</v>
      </c>
      <c r="Z5646" t="s">
        <v>30593</v>
      </c>
      <c r="AA5646">
        <v>0.78928025699707927</v>
      </c>
      <c r="AB5646" t="str">
        <f>HYPERLINK("Melting_Curves/meltCurve_Q9NWM3_CUEDC1.pdf", "Melting_Curves/meltCurve_Q9NWM3_CUEDC1.pdf")</f>
        <v>Melting_Curves/meltCurve_Q9NWM3_CUEDC1.pdf</v>
      </c>
    </row>
    <row r="5647" spans="1:28" x14ac:dyDescent="0.25">
      <c r="A5647" t="s">
        <v>5651</v>
      </c>
      <c r="B5647">
        <v>0.99987803227770999</v>
      </c>
      <c r="C5647">
        <v>1.0003445142937699</v>
      </c>
      <c r="D5647">
        <v>0.96434988607093997</v>
      </c>
      <c r="E5647">
        <v>0.78188420727115204</v>
      </c>
      <c r="F5647">
        <v>0.69790697331127904</v>
      </c>
      <c r="G5647">
        <v>0.57797801353148004</v>
      </c>
      <c r="H5647">
        <v>0.51512431391369395</v>
      </c>
      <c r="I5647">
        <v>0.28597068354897598</v>
      </c>
      <c r="J5647">
        <v>0.243337328214491</v>
      </c>
      <c r="K5647">
        <v>0.145909679785308</v>
      </c>
      <c r="L5647">
        <v>540.007120265293</v>
      </c>
      <c r="M5647">
        <v>9.1824542864029901</v>
      </c>
      <c r="N5647">
        <v>58.8085819997561</v>
      </c>
      <c r="O5647">
        <v>56.220988023331103</v>
      </c>
      <c r="P5647">
        <v>-4.0859450148876798E-2</v>
      </c>
      <c r="Q5647">
        <v>0</v>
      </c>
      <c r="R5647">
        <v>0.979680866240908</v>
      </c>
      <c r="S5647" t="s">
        <v>11958</v>
      </c>
      <c r="T5647" t="s">
        <v>12620</v>
      </c>
      <c r="U5647" t="s">
        <v>12620</v>
      </c>
      <c r="V5647" t="s">
        <v>12620</v>
      </c>
      <c r="W5647" t="s">
        <v>18208</v>
      </c>
      <c r="X5647">
        <v>1</v>
      </c>
      <c r="Y5647" t="s">
        <v>24302</v>
      </c>
      <c r="Z5647" t="s">
        <v>30594</v>
      </c>
      <c r="AA5647">
        <v>0.6288285230382662</v>
      </c>
      <c r="AB5647" t="str">
        <f>HYPERLINK("Melting_Curves/meltCurve_Q9NWM8_FKBP14.pdf", "Melting_Curves/meltCurve_Q9NWM8_FKBP14.pdf")</f>
        <v>Melting_Curves/meltCurve_Q9NWM8_FKBP14.pdf</v>
      </c>
    </row>
    <row r="5648" spans="1:28" x14ac:dyDescent="0.25">
      <c r="A5648" t="s">
        <v>5652</v>
      </c>
      <c r="B5648">
        <v>0.99987803227770999</v>
      </c>
      <c r="C5648">
        <v>0.90515697267277295</v>
      </c>
      <c r="D5648">
        <v>1.0013080794782001</v>
      </c>
      <c r="E5648">
        <v>0.74683698854376701</v>
      </c>
      <c r="F5648">
        <v>0.55340826495305695</v>
      </c>
      <c r="G5648">
        <v>0.34225325140838803</v>
      </c>
      <c r="H5648">
        <v>0.20360000044118001</v>
      </c>
      <c r="I5648">
        <v>0.17753726935337999</v>
      </c>
      <c r="J5648">
        <v>0.12713026265900201</v>
      </c>
      <c r="K5648">
        <v>9.5388130554666994E-2</v>
      </c>
      <c r="L5648">
        <v>834.11346234165796</v>
      </c>
      <c r="M5648">
        <v>15.6529633978245</v>
      </c>
      <c r="N5648">
        <v>54.003624718685799</v>
      </c>
      <c r="O5648">
        <v>52.440906179216597</v>
      </c>
      <c r="P5648">
        <v>-6.7637509807281698E-2</v>
      </c>
      <c r="Q5648">
        <v>9.3674908980404897E-2</v>
      </c>
      <c r="R5648">
        <v>0.99034445413378802</v>
      </c>
      <c r="S5648" t="s">
        <v>11959</v>
      </c>
      <c r="T5648" t="s">
        <v>12620</v>
      </c>
      <c r="U5648" t="s">
        <v>12620</v>
      </c>
      <c r="V5648" t="s">
        <v>12620</v>
      </c>
      <c r="W5648" t="s">
        <v>18209</v>
      </c>
      <c r="X5648">
        <v>2</v>
      </c>
      <c r="Y5648" t="s">
        <v>24303</v>
      </c>
      <c r="Z5648" t="s">
        <v>30595</v>
      </c>
      <c r="AA5648">
        <v>0.51327575500108102</v>
      </c>
      <c r="AB5648" t="str">
        <f>HYPERLINK("Melting_Curves/meltCurve_Q9NWQ9_C14orf119.pdf", "Melting_Curves/meltCurve_Q9NWQ9_C14orf119.pdf")</f>
        <v>Melting_Curves/meltCurve_Q9NWQ9_C14orf119.pdf</v>
      </c>
    </row>
    <row r="5649" spans="1:28" x14ac:dyDescent="0.25">
      <c r="A5649" t="s">
        <v>5653</v>
      </c>
      <c r="B5649">
        <v>0.99987803227770999</v>
      </c>
      <c r="C5649">
        <v>0.98200429473114703</v>
      </c>
      <c r="D5649">
        <v>0.98291835017983298</v>
      </c>
      <c r="E5649">
        <v>1.0426773552469</v>
      </c>
      <c r="F5649">
        <v>0.79113282798665896</v>
      </c>
      <c r="G5649">
        <v>0.52316751683468898</v>
      </c>
      <c r="H5649">
        <v>0.35343610644928802</v>
      </c>
      <c r="I5649">
        <v>0.29464829819430899</v>
      </c>
      <c r="J5649">
        <v>0.21585181202649201</v>
      </c>
      <c r="K5649">
        <v>0.17946166495066099</v>
      </c>
      <c r="L5649">
        <v>1192.7411427531399</v>
      </c>
      <c r="M5649">
        <v>21.2171775899245</v>
      </c>
      <c r="N5649">
        <v>57.6119829137292</v>
      </c>
      <c r="O5649">
        <v>55.723589530167303</v>
      </c>
      <c r="P5649">
        <v>-7.6058038623289997E-2</v>
      </c>
      <c r="Q5649">
        <v>0.20100254799056599</v>
      </c>
      <c r="R5649">
        <v>0.98740778018643505</v>
      </c>
      <c r="S5649" t="s">
        <v>11960</v>
      </c>
      <c r="T5649" t="s">
        <v>12620</v>
      </c>
      <c r="U5649" t="s">
        <v>12620</v>
      </c>
      <c r="V5649" t="s">
        <v>12620</v>
      </c>
      <c r="W5649" t="s">
        <v>18210</v>
      </c>
      <c r="X5649">
        <v>10</v>
      </c>
      <c r="Y5649" t="s">
        <v>24304</v>
      </c>
      <c r="Z5649" t="s">
        <v>30596</v>
      </c>
      <c r="AA5649">
        <v>0.64228622486793818</v>
      </c>
      <c r="AB5649" t="str">
        <f>HYPERLINK("Melting_Curves/meltCurve_Q9NWS0_PIH1D1.pdf", "Melting_Curves/meltCurve_Q9NWS0_PIH1D1.pdf")</f>
        <v>Melting_Curves/meltCurve_Q9NWS0_PIH1D1.pdf</v>
      </c>
    </row>
    <row r="5650" spans="1:28" x14ac:dyDescent="0.25">
      <c r="A5650" t="s">
        <v>5654</v>
      </c>
      <c r="B5650">
        <v>0.99987803227770999</v>
      </c>
      <c r="C5650">
        <v>0.75831620870886896</v>
      </c>
      <c r="D5650">
        <v>0.71588571479056196</v>
      </c>
      <c r="E5650">
        <v>1.2513328095594101</v>
      </c>
      <c r="F5650">
        <v>0.64671292465757402</v>
      </c>
      <c r="G5650">
        <v>0.36402269814775101</v>
      </c>
      <c r="H5650">
        <v>0.216488561310994</v>
      </c>
      <c r="I5650">
        <v>0.16930560809324699</v>
      </c>
      <c r="J5650">
        <v>0.13958709729795199</v>
      </c>
      <c r="K5650">
        <v>0.101699077702052</v>
      </c>
      <c r="L5650">
        <v>1841.80742270018</v>
      </c>
      <c r="M5650">
        <v>33.859626014465697</v>
      </c>
      <c r="N5650">
        <v>55.008526477018997</v>
      </c>
      <c r="O5650">
        <v>54.206701866075399</v>
      </c>
      <c r="P5650">
        <v>-0.13161476257813801</v>
      </c>
      <c r="Q5650">
        <v>0.15718229162214001</v>
      </c>
      <c r="R5650">
        <v>0.82993880883182003</v>
      </c>
      <c r="S5650" t="s">
        <v>11961</v>
      </c>
      <c r="T5650" t="s">
        <v>12620</v>
      </c>
      <c r="U5650" t="s">
        <v>12620</v>
      </c>
      <c r="V5650" t="s">
        <v>12620</v>
      </c>
      <c r="W5650" t="s">
        <v>18211</v>
      </c>
      <c r="X5650">
        <v>1</v>
      </c>
      <c r="Y5650" t="s">
        <v>24305</v>
      </c>
      <c r="Z5650" t="s">
        <v>30597</v>
      </c>
      <c r="AA5650">
        <v>0.56600205415636695</v>
      </c>
      <c r="AB5650" t="str">
        <f>HYPERLINK("Melting_Curves/meltCurve_Q9NWS1_5_PARPBP.pdf", "Melting_Curves/meltCurve_Q9NWS1_5_PARPBP.pdf")</f>
        <v>Melting_Curves/meltCurve_Q9NWS1_5_PARPBP.pdf</v>
      </c>
    </row>
    <row r="5651" spans="1:28" x14ac:dyDescent="0.25">
      <c r="A5651" t="s">
        <v>5655</v>
      </c>
      <c r="B5651">
        <v>0.99987803227770999</v>
      </c>
      <c r="C5651">
        <v>0.72870740208305695</v>
      </c>
      <c r="D5651">
        <v>0.76046792186237999</v>
      </c>
      <c r="E5651">
        <v>0.41242321714367902</v>
      </c>
      <c r="F5651">
        <v>0.21450323991465001</v>
      </c>
      <c r="G5651">
        <v>0.111309917019459</v>
      </c>
      <c r="H5651">
        <v>5.6352265295756897E-2</v>
      </c>
      <c r="I5651">
        <v>5.2994811662401498E-2</v>
      </c>
      <c r="J5651">
        <v>3.7129133996648897E-2</v>
      </c>
      <c r="K5651">
        <v>2.4585004760599001E-2</v>
      </c>
      <c r="L5651">
        <v>654.36095094226198</v>
      </c>
      <c r="M5651">
        <v>13.4833828738085</v>
      </c>
      <c r="N5651">
        <v>48.561173133422599</v>
      </c>
      <c r="O5651">
        <v>47.5007133366692</v>
      </c>
      <c r="P5651">
        <v>-7.0678134497999298E-2</v>
      </c>
      <c r="Q5651">
        <v>4.1824278100356599E-3</v>
      </c>
      <c r="R5651">
        <v>0.97737801348991904</v>
      </c>
      <c r="S5651" t="s">
        <v>11962</v>
      </c>
      <c r="T5651" t="s">
        <v>12620</v>
      </c>
      <c r="U5651" t="s">
        <v>12620</v>
      </c>
      <c r="V5651" t="s">
        <v>12620</v>
      </c>
      <c r="W5651" t="s">
        <v>18212</v>
      </c>
      <c r="X5651">
        <v>1</v>
      </c>
      <c r="Y5651" t="s">
        <v>24306</v>
      </c>
      <c r="Z5651" t="s">
        <v>30598</v>
      </c>
      <c r="AA5651">
        <v>0.31795978902732192</v>
      </c>
      <c r="AB5651" t="str">
        <f>HYPERLINK("Melting_Curves/meltCurve_Q9NWS6_FAM118A.pdf", "Melting_Curves/meltCurve_Q9NWS6_FAM118A.pdf")</f>
        <v>Melting_Curves/meltCurve_Q9NWS6_FAM118A.pdf</v>
      </c>
    </row>
    <row r="5652" spans="1:28" x14ac:dyDescent="0.25">
      <c r="A5652" t="s">
        <v>5656</v>
      </c>
      <c r="B5652">
        <v>0.99987803227770999</v>
      </c>
      <c r="C5652">
        <v>1.02639596823207</v>
      </c>
      <c r="D5652">
        <v>1.0898428835301699</v>
      </c>
      <c r="E5652">
        <v>1.01689691809483</v>
      </c>
      <c r="F5652">
        <v>1.04721879149327</v>
      </c>
      <c r="G5652">
        <v>1.0214125607663</v>
      </c>
      <c r="H5652">
        <v>0.56201998586717605</v>
      </c>
      <c r="I5652">
        <v>0.20352765314280999</v>
      </c>
      <c r="J5652">
        <v>0.18642750687017101</v>
      </c>
      <c r="K5652">
        <v>9.6250984238651097E-2</v>
      </c>
      <c r="L5652">
        <v>3571.4607853071702</v>
      </c>
      <c r="M5652">
        <v>58.566931940520398</v>
      </c>
      <c r="N5652">
        <v>61.332238174875499</v>
      </c>
      <c r="O5652">
        <v>60.909866412371798</v>
      </c>
      <c r="P5652">
        <v>-0.206123873370992</v>
      </c>
      <c r="Q5652">
        <v>0.142521454538205</v>
      </c>
      <c r="R5652">
        <v>0.98947001419358305</v>
      </c>
      <c r="S5652" t="s">
        <v>11963</v>
      </c>
      <c r="T5652" t="s">
        <v>12620</v>
      </c>
      <c r="U5652" t="s">
        <v>12620</v>
      </c>
      <c r="V5652" t="s">
        <v>12620</v>
      </c>
      <c r="W5652" t="s">
        <v>18213</v>
      </c>
      <c r="X5652">
        <v>3</v>
      </c>
      <c r="Y5652" t="s">
        <v>24307</v>
      </c>
      <c r="Z5652" t="s">
        <v>30599</v>
      </c>
      <c r="AA5652">
        <v>0.74386579858953772</v>
      </c>
      <c r="AB5652" t="str">
        <f>HYPERLINK("Melting_Curves/meltCurve_Q9NWT1_PAK1IP1.pdf", "Melting_Curves/meltCurve_Q9NWT1_PAK1IP1.pdf")</f>
        <v>Melting_Curves/meltCurve_Q9NWT1_PAK1IP1.pdf</v>
      </c>
    </row>
    <row r="5653" spans="1:28" x14ac:dyDescent="0.25">
      <c r="A5653" t="s">
        <v>5657</v>
      </c>
      <c r="B5653">
        <v>0.99987803227770999</v>
      </c>
      <c r="C5653">
        <v>0.99678645296733304</v>
      </c>
      <c r="D5653">
        <v>0.87233402991546405</v>
      </c>
      <c r="E5653">
        <v>0.96388787774116702</v>
      </c>
      <c r="F5653">
        <v>0.71160053339226204</v>
      </c>
      <c r="G5653">
        <v>0.51138513805844998</v>
      </c>
      <c r="H5653">
        <v>0.37985168455547103</v>
      </c>
      <c r="I5653">
        <v>0.25216690505281603</v>
      </c>
      <c r="J5653">
        <v>4.2364896133484098E-2</v>
      </c>
      <c r="K5653">
        <v>7.9420906920166894E-3</v>
      </c>
      <c r="L5653">
        <v>795.13801307901997</v>
      </c>
      <c r="M5653">
        <v>13.8279246601547</v>
      </c>
      <c r="N5653">
        <v>57.502339143131202</v>
      </c>
      <c r="O5653">
        <v>56.339758162525598</v>
      </c>
      <c r="P5653">
        <v>-6.13680530052809E-2</v>
      </c>
      <c r="Q5653">
        <v>0</v>
      </c>
      <c r="R5653">
        <v>0.97262992912840296</v>
      </c>
      <c r="S5653" t="s">
        <v>11964</v>
      </c>
      <c r="T5653" t="s">
        <v>12620</v>
      </c>
      <c r="U5653" t="s">
        <v>12620</v>
      </c>
      <c r="V5653" t="s">
        <v>12620</v>
      </c>
      <c r="W5653" t="s">
        <v>18214</v>
      </c>
      <c r="X5653">
        <v>2</v>
      </c>
      <c r="Y5653" t="s">
        <v>24308</v>
      </c>
      <c r="Z5653" t="s">
        <v>30600</v>
      </c>
      <c r="AA5653">
        <v>0.59842629359205435</v>
      </c>
      <c r="AB5653" t="str">
        <f>HYPERLINK("Melting_Curves/meltCurve_Q9NWT6_HIF1AN.pdf", "Melting_Curves/meltCurve_Q9NWT6_HIF1AN.pdf")</f>
        <v>Melting_Curves/meltCurve_Q9NWT6_HIF1AN.pdf</v>
      </c>
    </row>
    <row r="5654" spans="1:28" x14ac:dyDescent="0.25">
      <c r="A5654" t="s">
        <v>5658</v>
      </c>
      <c r="B5654">
        <v>0.99987803227770999</v>
      </c>
      <c r="C5654">
        <v>0.93861565353217902</v>
      </c>
      <c r="D5654">
        <v>0.823005815495364</v>
      </c>
      <c r="E5654">
        <v>0.85332247734479205</v>
      </c>
      <c r="F5654">
        <v>0.76997185969121296</v>
      </c>
      <c r="G5654">
        <v>0.73728314479691404</v>
      </c>
      <c r="H5654">
        <v>0.78629652789374205</v>
      </c>
      <c r="I5654">
        <v>0.78497893984932499</v>
      </c>
      <c r="J5654">
        <v>0.57885610486329897</v>
      </c>
      <c r="K5654">
        <v>0.34256870599844702</v>
      </c>
      <c r="L5654">
        <v>314.881345390604</v>
      </c>
      <c r="M5654">
        <v>4.4144188325073301</v>
      </c>
      <c r="O5654">
        <v>60.303434485485198</v>
      </c>
      <c r="P5654">
        <v>-1.8471450040722901E-2</v>
      </c>
      <c r="Q5654">
        <v>0</v>
      </c>
      <c r="R5654">
        <v>0.73373777726266398</v>
      </c>
      <c r="S5654" t="s">
        <v>11965</v>
      </c>
      <c r="T5654" t="s">
        <v>12620</v>
      </c>
      <c r="U5654" t="s">
        <v>12620</v>
      </c>
      <c r="V5654" t="s">
        <v>12620</v>
      </c>
      <c r="W5654" t="s">
        <v>18215</v>
      </c>
      <c r="X5654">
        <v>6</v>
      </c>
      <c r="Y5654" t="s">
        <v>24309</v>
      </c>
      <c r="Z5654" t="s">
        <v>30601</v>
      </c>
      <c r="AA5654">
        <v>0.77296776631218589</v>
      </c>
      <c r="AB5654" t="str">
        <f>HYPERLINK("Melting_Curves/meltCurve_Q9NWU1_OXSM.pdf", "Melting_Curves/meltCurve_Q9NWU1_OXSM.pdf")</f>
        <v>Melting_Curves/meltCurve_Q9NWU1_OXSM.pdf</v>
      </c>
    </row>
    <row r="5655" spans="1:28" x14ac:dyDescent="0.25">
      <c r="A5655" t="s">
        <v>5659</v>
      </c>
      <c r="B5655">
        <v>0.99987803227770999</v>
      </c>
      <c r="C5655">
        <v>1.0022259103087801</v>
      </c>
      <c r="D5655">
        <v>0.94042238587912697</v>
      </c>
      <c r="E5655">
        <v>0.97932495541272602</v>
      </c>
      <c r="F5655">
        <v>0.76446644481594594</v>
      </c>
      <c r="G5655">
        <v>0.55331900314032301</v>
      </c>
      <c r="H5655">
        <v>0.55057294587477901</v>
      </c>
      <c r="I5655">
        <v>0.48382645521291401</v>
      </c>
      <c r="J5655">
        <v>0.41951668863296898</v>
      </c>
      <c r="K5655">
        <v>0.27059866463379001</v>
      </c>
      <c r="L5655">
        <v>665.22790036597496</v>
      </c>
      <c r="M5655">
        <v>11.6024650651025</v>
      </c>
      <c r="N5655">
        <v>61.263618344403099</v>
      </c>
      <c r="O5655">
        <v>55.711225791788799</v>
      </c>
      <c r="P5655">
        <v>-3.8413881410261197E-2</v>
      </c>
      <c r="Q5655">
        <v>0.26239910282636703</v>
      </c>
      <c r="R5655">
        <v>0.95581008063012596</v>
      </c>
      <c r="S5655" t="s">
        <v>11966</v>
      </c>
      <c r="T5655" t="s">
        <v>12620</v>
      </c>
      <c r="U5655" t="s">
        <v>12620</v>
      </c>
      <c r="V5655" t="s">
        <v>12620</v>
      </c>
      <c r="W5655" t="s">
        <v>18216</v>
      </c>
      <c r="X5655">
        <v>6</v>
      </c>
      <c r="Y5655" t="s">
        <v>24310</v>
      </c>
      <c r="Z5655" t="s">
        <v>30602</v>
      </c>
      <c r="AA5655">
        <v>0.69994301201907161</v>
      </c>
      <c r="AB5655" t="str">
        <f>HYPERLINK("Melting_Curves/meltCurve_Q9NWU2_GID8.pdf", "Melting_Curves/meltCurve_Q9NWU2_GID8.pdf")</f>
        <v>Melting_Curves/meltCurve_Q9NWU2_GID8.pdf</v>
      </c>
    </row>
    <row r="5656" spans="1:28" x14ac:dyDescent="0.25">
      <c r="A5656" t="s">
        <v>5660</v>
      </c>
      <c r="B5656">
        <v>0.99987803227770999</v>
      </c>
      <c r="C5656">
        <v>0.78630946497500898</v>
      </c>
      <c r="D5656">
        <v>1.00297636372919</v>
      </c>
      <c r="E5656">
        <v>0.86049153017185698</v>
      </c>
      <c r="F5656">
        <v>1.1078096836262801</v>
      </c>
      <c r="G5656">
        <v>0.84783737663423298</v>
      </c>
      <c r="H5656">
        <v>0.57700726497948396</v>
      </c>
      <c r="I5656">
        <v>0.42800329423985001</v>
      </c>
      <c r="J5656">
        <v>0.31971962634517898</v>
      </c>
      <c r="K5656">
        <v>0.26110499505828499</v>
      </c>
      <c r="L5656">
        <v>1517.9009745527401</v>
      </c>
      <c r="M5656">
        <v>25.077628140982299</v>
      </c>
      <c r="N5656">
        <v>62.277075351075702</v>
      </c>
      <c r="O5656">
        <v>60.147150038771898</v>
      </c>
      <c r="P5656">
        <v>-7.7888471269978596E-2</v>
      </c>
      <c r="Q5656">
        <v>0.25276722200023999</v>
      </c>
      <c r="R5656">
        <v>0.90067049004487898</v>
      </c>
      <c r="S5656" t="s">
        <v>11967</v>
      </c>
      <c r="T5656" t="s">
        <v>12620</v>
      </c>
      <c r="U5656" t="s">
        <v>12620</v>
      </c>
      <c r="V5656" t="s">
        <v>12620</v>
      </c>
      <c r="W5656" t="s">
        <v>18217</v>
      </c>
      <c r="X5656">
        <v>7</v>
      </c>
      <c r="Y5656" t="s">
        <v>24311</v>
      </c>
      <c r="Z5656" t="s">
        <v>30603</v>
      </c>
      <c r="AA5656">
        <v>0.76919875601647048</v>
      </c>
      <c r="AB5656" t="str">
        <f>HYPERLINK("Melting_Curves/meltCurve_Q9NWV4_C1orf123.pdf", "Melting_Curves/meltCurve_Q9NWV4_C1orf123.pdf")</f>
        <v>Melting_Curves/meltCurve_Q9NWV4_C1orf123.pdf</v>
      </c>
    </row>
    <row r="5657" spans="1:28" x14ac:dyDescent="0.25">
      <c r="A5657" t="s">
        <v>5661</v>
      </c>
      <c r="B5657">
        <v>0.99987803227770999</v>
      </c>
      <c r="C5657">
        <v>0.97890945503140503</v>
      </c>
      <c r="D5657">
        <v>0.82124731338257495</v>
      </c>
      <c r="E5657">
        <v>0.55615651813992595</v>
      </c>
      <c r="F5657">
        <v>0.32672594242494002</v>
      </c>
      <c r="G5657">
        <v>0.21648567162437099</v>
      </c>
      <c r="H5657">
        <v>0.15781086087344601</v>
      </c>
      <c r="I5657">
        <v>0.116505662238648</v>
      </c>
      <c r="J5657">
        <v>9.6431935754971096E-2</v>
      </c>
      <c r="K5657">
        <v>5.8946798210427698E-2</v>
      </c>
      <c r="L5657">
        <v>833.61737819733003</v>
      </c>
      <c r="M5657">
        <v>16.631563642530001</v>
      </c>
      <c r="N5657">
        <v>50.696640995749497</v>
      </c>
      <c r="O5657">
        <v>49.414792692224303</v>
      </c>
      <c r="P5657">
        <v>-7.6926375859752497E-2</v>
      </c>
      <c r="Q5657">
        <v>8.5823815208175794E-2</v>
      </c>
      <c r="R5657">
        <v>0.99660870111425603</v>
      </c>
      <c r="S5657" t="s">
        <v>11968</v>
      </c>
      <c r="T5657" t="s">
        <v>12620</v>
      </c>
      <c r="U5657" t="s">
        <v>12620</v>
      </c>
      <c r="V5657" t="s">
        <v>12620</v>
      </c>
      <c r="W5657" t="s">
        <v>18218</v>
      </c>
      <c r="X5657">
        <v>4</v>
      </c>
      <c r="Y5657" t="s">
        <v>24312</v>
      </c>
      <c r="Z5657" t="s">
        <v>30604</v>
      </c>
      <c r="AA5657">
        <v>0.41232049946297761</v>
      </c>
      <c r="AB5657" t="str">
        <f>HYPERLINK("Melting_Curves/meltCurve_Q9NWX5_ASB6.pdf", "Melting_Curves/meltCurve_Q9NWX5_ASB6.pdf")</f>
        <v>Melting_Curves/meltCurve_Q9NWX5_ASB6.pdf</v>
      </c>
    </row>
    <row r="5658" spans="1:28" x14ac:dyDescent="0.25">
      <c r="A5658" t="s">
        <v>5662</v>
      </c>
      <c r="B5658">
        <v>0.99987803227770999</v>
      </c>
      <c r="C5658">
        <v>1.10110908481442</v>
      </c>
      <c r="D5658">
        <v>0.88021720073951804</v>
      </c>
      <c r="E5658">
        <v>0.77220689766717199</v>
      </c>
      <c r="F5658">
        <v>0.41867091220944902</v>
      </c>
      <c r="G5658">
        <v>0.20588651953956499</v>
      </c>
      <c r="H5658">
        <v>0.15740015693359399</v>
      </c>
      <c r="I5658">
        <v>0.17811468865465899</v>
      </c>
      <c r="J5658">
        <v>8.6798275761501495E-2</v>
      </c>
      <c r="K5658">
        <v>5.7971161775128802E-2</v>
      </c>
      <c r="L5658">
        <v>1181.4375507601801</v>
      </c>
      <c r="M5658">
        <v>22.773983605242499</v>
      </c>
      <c r="N5658">
        <v>52.420442746380502</v>
      </c>
      <c r="O5658">
        <v>51.481612574852697</v>
      </c>
      <c r="P5658">
        <v>-9.8959017961813001E-2</v>
      </c>
      <c r="Q5658">
        <v>0.10521220241187999</v>
      </c>
      <c r="R5658">
        <v>0.982193857993921</v>
      </c>
      <c r="S5658" t="s">
        <v>11969</v>
      </c>
      <c r="T5658" t="s">
        <v>12620</v>
      </c>
      <c r="U5658" t="s">
        <v>12620</v>
      </c>
      <c r="V5658" t="s">
        <v>12620</v>
      </c>
      <c r="W5658" t="s">
        <v>18219</v>
      </c>
      <c r="X5658">
        <v>5</v>
      </c>
      <c r="Y5658" t="s">
        <v>24313</v>
      </c>
      <c r="Z5658" t="s">
        <v>30605</v>
      </c>
      <c r="AA5658">
        <v>0.46919579014601043</v>
      </c>
      <c r="AB5658" t="str">
        <f>HYPERLINK("Melting_Curves/meltCurve_Q9NWX6_THG1L.pdf", "Melting_Curves/meltCurve_Q9NWX6_THG1L.pdf")</f>
        <v>Melting_Curves/meltCurve_Q9NWX6_THG1L.pdf</v>
      </c>
    </row>
    <row r="5659" spans="1:28" x14ac:dyDescent="0.25">
      <c r="A5659" t="s">
        <v>5663</v>
      </c>
      <c r="B5659">
        <v>0.99987803227770999</v>
      </c>
      <c r="C5659">
        <v>0.77800484927699598</v>
      </c>
      <c r="D5659">
        <v>0.73373937695236102</v>
      </c>
      <c r="E5659">
        <v>0.24199999686646001</v>
      </c>
      <c r="F5659">
        <v>0.16436900734461801</v>
      </c>
      <c r="G5659">
        <v>0.104872279152009</v>
      </c>
      <c r="H5659">
        <v>7.7110819422619298E-2</v>
      </c>
      <c r="I5659">
        <v>7.7232430968562096E-2</v>
      </c>
      <c r="J5659">
        <v>6.0808056444405401E-2</v>
      </c>
      <c r="K5659">
        <v>4.9339410495488997E-2</v>
      </c>
      <c r="L5659">
        <v>909.79825142993002</v>
      </c>
      <c r="M5659">
        <v>19.269339454373601</v>
      </c>
      <c r="N5659">
        <v>47.5232853136324</v>
      </c>
      <c r="O5659">
        <v>46.715126996601597</v>
      </c>
      <c r="P5659">
        <v>-9.7063286525645706E-2</v>
      </c>
      <c r="Q5659">
        <v>5.8783972065477197E-2</v>
      </c>
      <c r="R5659">
        <v>0.98063424746212902</v>
      </c>
      <c r="S5659" t="s">
        <v>11970</v>
      </c>
      <c r="T5659" t="s">
        <v>12620</v>
      </c>
      <c r="U5659" t="s">
        <v>12620</v>
      </c>
      <c r="V5659" t="s">
        <v>12620</v>
      </c>
      <c r="W5659" t="s">
        <v>18220</v>
      </c>
      <c r="X5659">
        <v>8</v>
      </c>
      <c r="Y5659" t="s">
        <v>24314</v>
      </c>
      <c r="Z5659" t="s">
        <v>30606</v>
      </c>
      <c r="AA5659">
        <v>0.29996739823166713</v>
      </c>
      <c r="AB5659" t="str">
        <f>HYPERLINK("Melting_Curves/meltCurve_Q9NWY4_C4orf27.pdf", "Melting_Curves/meltCurve_Q9NWY4_C4orf27.pdf")</f>
        <v>Melting_Curves/meltCurve_Q9NWY4_C4orf27.pdf</v>
      </c>
    </row>
    <row r="5660" spans="1:28" x14ac:dyDescent="0.25">
      <c r="A5660" t="s">
        <v>5664</v>
      </c>
      <c r="B5660">
        <v>0.99987803227770999</v>
      </c>
      <c r="C5660">
        <v>0.81836194476771695</v>
      </c>
      <c r="D5660">
        <v>0.81778703273004605</v>
      </c>
      <c r="E5660">
        <v>0.33387802029918701</v>
      </c>
      <c r="F5660">
        <v>0.124815879833551</v>
      </c>
      <c r="G5660">
        <v>8.9895486955936799E-2</v>
      </c>
      <c r="H5660">
        <v>4.4440052815339699E-2</v>
      </c>
      <c r="I5660">
        <v>4.1811228301648497E-2</v>
      </c>
      <c r="J5660">
        <v>2.4131271267449701E-2</v>
      </c>
      <c r="K5660">
        <v>1.33356904646715E-2</v>
      </c>
      <c r="L5660">
        <v>1024.1243556762599</v>
      </c>
      <c r="M5660">
        <v>21.189014771873701</v>
      </c>
      <c r="N5660">
        <v>48.452036838536202</v>
      </c>
      <c r="O5660">
        <v>47.908475862973503</v>
      </c>
      <c r="P5660">
        <v>-0.107764059661139</v>
      </c>
      <c r="Q5660">
        <v>2.5404748425013099E-2</v>
      </c>
      <c r="R5660">
        <v>0.98484640137606405</v>
      </c>
      <c r="S5660" t="s">
        <v>11971</v>
      </c>
      <c r="T5660" t="s">
        <v>12620</v>
      </c>
      <c r="U5660" t="s">
        <v>12620</v>
      </c>
      <c r="V5660" t="s">
        <v>12620</v>
      </c>
      <c r="W5660" t="s">
        <v>18221</v>
      </c>
      <c r="X5660">
        <v>3</v>
      </c>
      <c r="Y5660" t="s">
        <v>24315</v>
      </c>
      <c r="Z5660" t="s">
        <v>30607</v>
      </c>
      <c r="AA5660">
        <v>0.30830485968228538</v>
      </c>
      <c r="AB5660" t="str">
        <f>HYPERLINK("Melting_Curves/meltCurve_Q9NWZ3_IRAK4.pdf", "Melting_Curves/meltCurve_Q9NWZ3_IRAK4.pdf")</f>
        <v>Melting_Curves/meltCurve_Q9NWZ3_IRAK4.pdf</v>
      </c>
    </row>
    <row r="5661" spans="1:28" x14ac:dyDescent="0.25">
      <c r="A5661" t="s">
        <v>5665</v>
      </c>
      <c r="B5661">
        <v>0.99987803227770999</v>
      </c>
      <c r="C5661">
        <v>1.0581068451501801</v>
      </c>
      <c r="D5661">
        <v>0.61171030060151299</v>
      </c>
      <c r="E5661">
        <v>0.61227847304614802</v>
      </c>
      <c r="F5661">
        <v>0.27461938253208101</v>
      </c>
      <c r="G5661">
        <v>0.17320310712481601</v>
      </c>
      <c r="H5661">
        <v>8.8089979906392807E-2</v>
      </c>
      <c r="I5661">
        <v>6.9053021001506704E-2</v>
      </c>
      <c r="J5661">
        <v>6.5348577811976102E-2</v>
      </c>
      <c r="K5661">
        <v>4.2871342542415598E-2</v>
      </c>
      <c r="L5661">
        <v>722.05461670240595</v>
      </c>
      <c r="M5661">
        <v>14.4822459396015</v>
      </c>
      <c r="N5661">
        <v>50.086285842139297</v>
      </c>
      <c r="O5661">
        <v>48.9362039006648</v>
      </c>
      <c r="P5661">
        <v>-7.1629844028287398E-2</v>
      </c>
      <c r="Q5661">
        <v>3.19494987543898E-2</v>
      </c>
      <c r="R5661">
        <v>0.95533759491612902</v>
      </c>
      <c r="S5661" t="s">
        <v>11972</v>
      </c>
      <c r="T5661" t="s">
        <v>12620</v>
      </c>
      <c r="U5661" t="s">
        <v>12620</v>
      </c>
      <c r="V5661" t="s">
        <v>12620</v>
      </c>
      <c r="W5661" t="s">
        <v>18222</v>
      </c>
      <c r="X5661">
        <v>6</v>
      </c>
      <c r="Y5661" t="s">
        <v>24316</v>
      </c>
      <c r="Z5661" t="s">
        <v>30608</v>
      </c>
      <c r="AA5661">
        <v>0.37472947141255031</v>
      </c>
      <c r="AB5661" t="str">
        <f>HYPERLINK("Melting_Curves/meltCurve_Q9NWZ5_UCKL1.pdf", "Melting_Curves/meltCurve_Q9NWZ5_UCKL1.pdf")</f>
        <v>Melting_Curves/meltCurve_Q9NWZ5_UCKL1.pdf</v>
      </c>
    </row>
    <row r="5662" spans="1:28" x14ac:dyDescent="0.25">
      <c r="A5662" t="s">
        <v>5666</v>
      </c>
      <c r="B5662">
        <v>0.99987803227770999</v>
      </c>
      <c r="C5662">
        <v>1.1239420125235999</v>
      </c>
      <c r="D5662">
        <v>1.1008803083738301</v>
      </c>
      <c r="E5662">
        <v>1.0021003227285601</v>
      </c>
      <c r="F5662">
        <v>1.2251346539560199</v>
      </c>
      <c r="G5662">
        <v>1.0045370440611701</v>
      </c>
      <c r="H5662">
        <v>1.0242766680731601</v>
      </c>
      <c r="I5662">
        <v>0.98226931061015499</v>
      </c>
      <c r="J5662">
        <v>0.95551499721766797</v>
      </c>
      <c r="K5662">
        <v>0.81530446067183204</v>
      </c>
      <c r="L5662">
        <v>2504.1003816976299</v>
      </c>
      <c r="M5662">
        <v>34.583000850835703</v>
      </c>
      <c r="Q5662">
        <v>0.20852958133475399</v>
      </c>
      <c r="R5662">
        <v>0.28563778195610601</v>
      </c>
      <c r="S5662" t="s">
        <v>11973</v>
      </c>
      <c r="T5662" t="s">
        <v>12620</v>
      </c>
      <c r="U5662" t="s">
        <v>12620</v>
      </c>
      <c r="V5662" t="s">
        <v>12620</v>
      </c>
      <c r="W5662" t="s">
        <v>18223</v>
      </c>
      <c r="X5662">
        <v>3</v>
      </c>
      <c r="Y5662" t="s">
        <v>24317</v>
      </c>
      <c r="Z5662" t="s">
        <v>30609</v>
      </c>
      <c r="AA5662">
        <v>0.98704164559495122</v>
      </c>
      <c r="AB5662" t="str">
        <f>HYPERLINK("Melting_Curves/meltCurve_Q9NWZ8_GEMIN8.pdf", "Melting_Curves/meltCurve_Q9NWZ8_GEMIN8.pdf")</f>
        <v>Melting_Curves/meltCurve_Q9NWZ8_GEMIN8.pdf</v>
      </c>
    </row>
    <row r="5663" spans="1:28" x14ac:dyDescent="0.25">
      <c r="A5663" t="s">
        <v>5667</v>
      </c>
      <c r="B5663">
        <v>0.99987803227770999</v>
      </c>
      <c r="C5663">
        <v>0.87126135506035796</v>
      </c>
      <c r="D5663">
        <v>0.97845964529523</v>
      </c>
      <c r="E5663">
        <v>0.75349896224684898</v>
      </c>
      <c r="F5663">
        <v>0.649147391252622</v>
      </c>
      <c r="G5663">
        <v>0.27555475515601702</v>
      </c>
      <c r="H5663">
        <v>0.185665493913719</v>
      </c>
      <c r="I5663">
        <v>0.19060625013955601</v>
      </c>
      <c r="J5663">
        <v>0.10445867177134199</v>
      </c>
      <c r="K5663">
        <v>7.76998913725227E-2</v>
      </c>
      <c r="L5663">
        <v>873.81097085112799</v>
      </c>
      <c r="M5663">
        <v>16.271673838333498</v>
      </c>
      <c r="N5663">
        <v>54.243055049412703</v>
      </c>
      <c r="O5663">
        <v>52.909911767264603</v>
      </c>
      <c r="P5663">
        <v>-7.1123485147126395E-2</v>
      </c>
      <c r="Q5663">
        <v>7.4991024826046304E-2</v>
      </c>
      <c r="R5663">
        <v>0.97991504083002101</v>
      </c>
      <c r="S5663" t="s">
        <v>11974</v>
      </c>
      <c r="T5663" t="s">
        <v>12620</v>
      </c>
      <c r="U5663" t="s">
        <v>12620</v>
      </c>
      <c r="V5663" t="s">
        <v>12620</v>
      </c>
      <c r="W5663" t="s">
        <v>18224</v>
      </c>
      <c r="X5663">
        <v>3</v>
      </c>
      <c r="Y5663" t="s">
        <v>24318</v>
      </c>
      <c r="Z5663" t="s">
        <v>30610</v>
      </c>
      <c r="AA5663">
        <v>0.51473591368800264</v>
      </c>
      <c r="AB5663" t="str">
        <f>HYPERLINK("Melting_Curves/meltCurve_Q9NX01_TXNL4B.pdf", "Melting_Curves/meltCurve_Q9NX01_TXNL4B.pdf")</f>
        <v>Melting_Curves/meltCurve_Q9NX01_TXNL4B.pdf</v>
      </c>
    </row>
    <row r="5664" spans="1:28" x14ac:dyDescent="0.25">
      <c r="A5664" t="s">
        <v>5668</v>
      </c>
      <c r="B5664">
        <v>0.99987803227770999</v>
      </c>
      <c r="C5664">
        <v>1.0718304016144899</v>
      </c>
      <c r="D5664">
        <v>0.93157422670129297</v>
      </c>
      <c r="E5664">
        <v>0.75871000323738302</v>
      </c>
      <c r="F5664">
        <v>0.29542635309515197</v>
      </c>
      <c r="G5664">
        <v>0.15855154492878601</v>
      </c>
      <c r="H5664">
        <v>8.8789043420133995E-2</v>
      </c>
      <c r="I5664">
        <v>7.3316449842933201E-2</v>
      </c>
      <c r="J5664">
        <v>5.7344319869786803E-2</v>
      </c>
      <c r="K5664">
        <v>4.0225236954185402E-2</v>
      </c>
      <c r="L5664">
        <v>1696.40924036349</v>
      </c>
      <c r="M5664">
        <v>32.9995971457911</v>
      </c>
      <c r="N5664">
        <v>51.649735656976397</v>
      </c>
      <c r="O5664">
        <v>51.219288727998602</v>
      </c>
      <c r="P5664">
        <v>-0.149499843574216</v>
      </c>
      <c r="Q5664">
        <v>7.1838180901587903E-2</v>
      </c>
      <c r="R5664">
        <v>0.99239394849168505</v>
      </c>
      <c r="S5664" t="s">
        <v>11975</v>
      </c>
      <c r="T5664" t="s">
        <v>12620</v>
      </c>
      <c r="U5664" t="s">
        <v>12620</v>
      </c>
      <c r="V5664" t="s">
        <v>12620</v>
      </c>
      <c r="W5664" t="s">
        <v>18225</v>
      </c>
      <c r="X5664">
        <v>31</v>
      </c>
      <c r="Y5664" t="s">
        <v>24319</v>
      </c>
      <c r="Z5664" t="s">
        <v>30611</v>
      </c>
      <c r="AA5664">
        <v>0.42961000050631121</v>
      </c>
      <c r="AB5664" t="str">
        <f>HYPERLINK("Melting_Curves/meltCurve_Q9NX02_5_NLRP2.pdf", "Melting_Curves/meltCurve_Q9NX02_5_NLRP2.pdf")</f>
        <v>Melting_Curves/meltCurve_Q9NX02_5_NLRP2.pdf</v>
      </c>
    </row>
    <row r="5665" spans="1:28" x14ac:dyDescent="0.25">
      <c r="A5665" t="s">
        <v>5669</v>
      </c>
      <c r="B5665">
        <v>0.99987803227770999</v>
      </c>
      <c r="C5665">
        <v>1.52069392494332</v>
      </c>
      <c r="D5665">
        <v>1.07927926052489</v>
      </c>
      <c r="E5665">
        <v>0.81162646762580204</v>
      </c>
      <c r="F5665">
        <v>0.26357587708277103</v>
      </c>
      <c r="G5665">
        <v>0.167799479044202</v>
      </c>
      <c r="H5665">
        <v>9.6580940742292704E-2</v>
      </c>
      <c r="I5665">
        <v>6.8279095924404801E-2</v>
      </c>
      <c r="J5665">
        <v>5.8134510496673203E-2</v>
      </c>
      <c r="K5665">
        <v>7.0045498760301306E-2</v>
      </c>
      <c r="L5665">
        <v>2432.8275200143198</v>
      </c>
      <c r="M5665">
        <v>47.305623846291397</v>
      </c>
      <c r="N5665">
        <v>51.642657844804397</v>
      </c>
      <c r="O5665">
        <v>51.336220405155402</v>
      </c>
      <c r="P5665">
        <v>-0.20980091658174699</v>
      </c>
      <c r="Q5665">
        <v>8.9294378900030502E-2</v>
      </c>
      <c r="R5665">
        <v>0.89123249908678503</v>
      </c>
      <c r="S5665" t="s">
        <v>11976</v>
      </c>
      <c r="T5665" t="s">
        <v>12620</v>
      </c>
      <c r="U5665" t="s">
        <v>12620</v>
      </c>
      <c r="V5665" t="s">
        <v>12620</v>
      </c>
      <c r="W5665" t="s">
        <v>18226</v>
      </c>
      <c r="X5665">
        <v>2</v>
      </c>
      <c r="Y5665" t="s">
        <v>24320</v>
      </c>
      <c r="Z5665" t="s">
        <v>30612</v>
      </c>
      <c r="AA5665">
        <v>0.43851789555146742</v>
      </c>
      <c r="AB5665" t="str">
        <f>HYPERLINK("Melting_Curves/meltCurve_Q9NX07_TRNAU1AP.pdf", "Melting_Curves/meltCurve_Q9NX07_TRNAU1AP.pdf")</f>
        <v>Melting_Curves/meltCurve_Q9NX07_TRNAU1AP.pdf</v>
      </c>
    </row>
    <row r="5666" spans="1:28" x14ac:dyDescent="0.25">
      <c r="A5666" t="s">
        <v>5670</v>
      </c>
      <c r="B5666">
        <v>0.99987803227770999</v>
      </c>
      <c r="C5666">
        <v>0.97665256685970203</v>
      </c>
      <c r="D5666">
        <v>0.95499688960173901</v>
      </c>
      <c r="E5666">
        <v>0.96494848510353404</v>
      </c>
      <c r="F5666">
        <v>0.80277295726086395</v>
      </c>
      <c r="G5666">
        <v>0.54567439404565798</v>
      </c>
      <c r="H5666">
        <v>0.26231580591565901</v>
      </c>
      <c r="I5666">
        <v>0.23254898617258901</v>
      </c>
      <c r="J5666">
        <v>0.119346267418317</v>
      </c>
      <c r="K5666">
        <v>9.3367273280790697E-2</v>
      </c>
      <c r="L5666">
        <v>1035.5335571470901</v>
      </c>
      <c r="M5666">
        <v>18.152494527636801</v>
      </c>
      <c r="N5666">
        <v>57.544142318934703</v>
      </c>
      <c r="O5666">
        <v>56.367550312422303</v>
      </c>
      <c r="P5666">
        <v>-7.4663176920420404E-2</v>
      </c>
      <c r="Q5666">
        <v>7.2660909557266506E-2</v>
      </c>
      <c r="R5666">
        <v>0.99554254012342602</v>
      </c>
      <c r="S5666" t="s">
        <v>11977</v>
      </c>
      <c r="T5666" t="s">
        <v>12620</v>
      </c>
      <c r="U5666" t="s">
        <v>12620</v>
      </c>
      <c r="V5666" t="s">
        <v>12620</v>
      </c>
      <c r="W5666" t="s">
        <v>18227</v>
      </c>
      <c r="X5666">
        <v>4</v>
      </c>
      <c r="Y5666" t="s">
        <v>24321</v>
      </c>
      <c r="Z5666" t="s">
        <v>30613</v>
      </c>
      <c r="AA5666">
        <v>0.61215628250218912</v>
      </c>
      <c r="AB5666" t="str">
        <f>HYPERLINK("Melting_Curves/meltCurve_Q9NX08_COMMD8.pdf", "Melting_Curves/meltCurve_Q9NX08_COMMD8.pdf")</f>
        <v>Melting_Curves/meltCurve_Q9NX08_COMMD8.pdf</v>
      </c>
    </row>
    <row r="5667" spans="1:28" x14ac:dyDescent="0.25">
      <c r="A5667" t="s">
        <v>5671</v>
      </c>
      <c r="B5667">
        <v>0.99987803227770999</v>
      </c>
      <c r="C5667">
        <v>1.10543482817851</v>
      </c>
      <c r="D5667">
        <v>0.98853022485375197</v>
      </c>
      <c r="E5667">
        <v>1.1426593646089001</v>
      </c>
      <c r="F5667">
        <v>0.87579481952852301</v>
      </c>
      <c r="G5667">
        <v>0.76645889485386398</v>
      </c>
      <c r="H5667">
        <v>0.55589973583007701</v>
      </c>
      <c r="I5667">
        <v>0.51229359152029097</v>
      </c>
      <c r="J5667">
        <v>0.33830961689908101</v>
      </c>
      <c r="K5667">
        <v>0.221856132959935</v>
      </c>
      <c r="L5667">
        <v>879.90280949886699</v>
      </c>
      <c r="M5667">
        <v>14.2287421070645</v>
      </c>
      <c r="N5667">
        <v>62.8953163102396</v>
      </c>
      <c r="O5667">
        <v>60.656783327741003</v>
      </c>
      <c r="P5667">
        <v>-5.2422488292335E-2</v>
      </c>
      <c r="Q5667">
        <v>0.106207632284171</v>
      </c>
      <c r="R5667">
        <v>0.94685706165261296</v>
      </c>
      <c r="S5667" t="s">
        <v>11978</v>
      </c>
      <c r="T5667" t="s">
        <v>12620</v>
      </c>
      <c r="U5667" t="s">
        <v>12620</v>
      </c>
      <c r="V5667" t="s">
        <v>12620</v>
      </c>
      <c r="W5667" t="s">
        <v>18228</v>
      </c>
      <c r="X5667">
        <v>2</v>
      </c>
      <c r="Y5667" t="s">
        <v>24322</v>
      </c>
      <c r="Z5667" t="s">
        <v>30614</v>
      </c>
      <c r="AA5667">
        <v>0.75375117928592483</v>
      </c>
      <c r="AB5667" t="str">
        <f>HYPERLINK("Melting_Curves/meltCurve_Q9NX24_NHP2.pdf", "Melting_Curves/meltCurve_Q9NX24_NHP2.pdf")</f>
        <v>Melting_Curves/meltCurve_Q9NX24_NHP2.pdf</v>
      </c>
    </row>
    <row r="5668" spans="1:28" x14ac:dyDescent="0.25">
      <c r="A5668" t="s">
        <v>5672</v>
      </c>
      <c r="B5668">
        <v>0.99987803227770999</v>
      </c>
      <c r="C5668">
        <v>1.10074281745612</v>
      </c>
      <c r="D5668">
        <v>0.93102366513573798</v>
      </c>
      <c r="E5668">
        <v>0.96067787649654302</v>
      </c>
      <c r="F5668">
        <v>0.64890633849650803</v>
      </c>
      <c r="G5668">
        <v>0.324231857235943</v>
      </c>
      <c r="H5668">
        <v>0.23572389147234199</v>
      </c>
      <c r="I5668">
        <v>0.22975313769775299</v>
      </c>
      <c r="J5668">
        <v>0.126830686032152</v>
      </c>
      <c r="K5668">
        <v>0.104325200428317</v>
      </c>
      <c r="L5668">
        <v>1380.01773044423</v>
      </c>
      <c r="M5668">
        <v>25.551786268521099</v>
      </c>
      <c r="N5668">
        <v>54.8010787855576</v>
      </c>
      <c r="O5668">
        <v>53.681090721417704</v>
      </c>
      <c r="P5668">
        <v>-0.100619792513781</v>
      </c>
      <c r="Q5668">
        <v>0.154451962827866</v>
      </c>
      <c r="R5668">
        <v>0.98147094456738304</v>
      </c>
      <c r="S5668" t="s">
        <v>11979</v>
      </c>
      <c r="T5668" t="s">
        <v>12620</v>
      </c>
      <c r="U5668" t="s">
        <v>12620</v>
      </c>
      <c r="V5668" t="s">
        <v>12620</v>
      </c>
      <c r="W5668" t="s">
        <v>18229</v>
      </c>
      <c r="X5668">
        <v>2</v>
      </c>
      <c r="Y5668" t="s">
        <v>24323</v>
      </c>
      <c r="Z5668" t="s">
        <v>30615</v>
      </c>
      <c r="AA5668">
        <v>0.55680355703008455</v>
      </c>
      <c r="AB5668" t="str">
        <f>HYPERLINK("Melting_Curves/meltCurve_Q9NX38_FAM206A.pdf", "Melting_Curves/meltCurve_Q9NX38_FAM206A.pdf")</f>
        <v>Melting_Curves/meltCurve_Q9NX38_FAM206A.pdf</v>
      </c>
    </row>
    <row r="5669" spans="1:28" x14ac:dyDescent="0.25">
      <c r="A5669" t="s">
        <v>5673</v>
      </c>
      <c r="B5669">
        <v>0.99987803227770999</v>
      </c>
      <c r="C5669">
        <v>0.87248892783028897</v>
      </c>
      <c r="D5669">
        <v>0.81430828451055104</v>
      </c>
      <c r="E5669">
        <v>0.36535611705065202</v>
      </c>
      <c r="F5669">
        <v>0.306584327934114</v>
      </c>
      <c r="G5669">
        <v>0.20824421435407101</v>
      </c>
      <c r="H5669">
        <v>0.189203613295919</v>
      </c>
      <c r="I5669">
        <v>0.16941452731800899</v>
      </c>
      <c r="J5669">
        <v>0.12880483829912501</v>
      </c>
      <c r="K5669">
        <v>9.5025995477813499E-2</v>
      </c>
      <c r="L5669">
        <v>919.78099727915503</v>
      </c>
      <c r="M5669">
        <v>19.084501355881901</v>
      </c>
      <c r="N5669">
        <v>49.0633013610082</v>
      </c>
      <c r="O5669">
        <v>47.675369495710598</v>
      </c>
      <c r="P5669">
        <v>-8.57387519428887E-2</v>
      </c>
      <c r="Q5669">
        <v>0.14329088492990799</v>
      </c>
      <c r="R5669">
        <v>0.98428861555641101</v>
      </c>
      <c r="S5669" t="s">
        <v>11980</v>
      </c>
      <c r="T5669" t="s">
        <v>12620</v>
      </c>
      <c r="U5669" t="s">
        <v>12620</v>
      </c>
      <c r="V5669" t="s">
        <v>12620</v>
      </c>
      <c r="W5669" t="s">
        <v>18230</v>
      </c>
      <c r="X5669">
        <v>10</v>
      </c>
      <c r="Y5669" t="s">
        <v>24324</v>
      </c>
      <c r="Z5669" t="s">
        <v>30616</v>
      </c>
      <c r="AA5669">
        <v>0.39070226940398911</v>
      </c>
      <c r="AB5669" t="str">
        <f>HYPERLINK("Melting_Curves/meltCurve_Q9NX46_ADPRHL2.pdf", "Melting_Curves/meltCurve_Q9NX46_ADPRHL2.pdf")</f>
        <v>Melting_Curves/meltCurve_Q9NX46_ADPRHL2.pdf</v>
      </c>
    </row>
    <row r="5670" spans="1:28" x14ac:dyDescent="0.25">
      <c r="A5670" t="s">
        <v>5674</v>
      </c>
      <c r="B5670">
        <v>0.99987803227770999</v>
      </c>
      <c r="C5670">
        <v>0.99102608059936503</v>
      </c>
      <c r="D5670">
        <v>0.95856930551768305</v>
      </c>
      <c r="E5670">
        <v>0.974068002059989</v>
      </c>
      <c r="F5670">
        <v>0.95934780896712901</v>
      </c>
      <c r="G5670">
        <v>0.87252790552900295</v>
      </c>
      <c r="H5670">
        <v>0.82920110255876001</v>
      </c>
      <c r="I5670">
        <v>0.89802136334066296</v>
      </c>
      <c r="J5670">
        <v>0.66692677575952497</v>
      </c>
      <c r="K5670">
        <v>0.53319337985369497</v>
      </c>
      <c r="L5670">
        <v>751.15786036172597</v>
      </c>
      <c r="M5670">
        <v>10.4594909528118</v>
      </c>
      <c r="O5670">
        <v>69.339681911122497</v>
      </c>
      <c r="P5670">
        <v>-3.7726500145812997E-2</v>
      </c>
      <c r="Q5670">
        <v>0</v>
      </c>
      <c r="R5670">
        <v>0.895775283602948</v>
      </c>
      <c r="S5670" t="s">
        <v>11981</v>
      </c>
      <c r="T5670" t="s">
        <v>12620</v>
      </c>
      <c r="U5670" t="s">
        <v>12620</v>
      </c>
      <c r="V5670" t="s">
        <v>12620</v>
      </c>
      <c r="W5670" t="s">
        <v>18231</v>
      </c>
      <c r="X5670">
        <v>8</v>
      </c>
      <c r="Y5670" t="s">
        <v>24325</v>
      </c>
      <c r="Z5670" t="s">
        <v>30617</v>
      </c>
      <c r="AA5670">
        <v>0.8973952938396963</v>
      </c>
      <c r="AB5670" t="str">
        <f>HYPERLINK("Melting_Curves/meltCurve_Q9NX55_HYPK.pdf", "Melting_Curves/meltCurve_Q9NX55_HYPK.pdf")</f>
        <v>Melting_Curves/meltCurve_Q9NX55_HYPK.pdf</v>
      </c>
    </row>
    <row r="5671" spans="1:28" x14ac:dyDescent="0.25">
      <c r="A5671" t="s">
        <v>5675</v>
      </c>
      <c r="B5671">
        <v>0.99987803227770999</v>
      </c>
      <c r="C5671">
        <v>1.3359275442424901</v>
      </c>
      <c r="D5671">
        <v>0.789579587309304</v>
      </c>
      <c r="E5671">
        <v>0.78550855349743498</v>
      </c>
      <c r="F5671">
        <v>0.18778121706400999</v>
      </c>
      <c r="G5671">
        <v>0.102420575113796</v>
      </c>
      <c r="H5671">
        <v>5.3787394680956099E-2</v>
      </c>
      <c r="I5671">
        <v>2.5364851217088001E-2</v>
      </c>
      <c r="J5671">
        <v>2.6194449188775601E-2</v>
      </c>
      <c r="K5671">
        <v>2.1038028137392702E-2</v>
      </c>
      <c r="L5671">
        <v>2423.79102254178</v>
      </c>
      <c r="M5671">
        <v>47.321965737820598</v>
      </c>
      <c r="N5671">
        <v>51.313884890802498</v>
      </c>
      <c r="O5671">
        <v>51.127935683157403</v>
      </c>
      <c r="P5671">
        <v>-0.22171179405506899</v>
      </c>
      <c r="Q5671">
        <v>4.1827253315213302E-2</v>
      </c>
      <c r="R5671">
        <v>0.92749232460220599</v>
      </c>
      <c r="S5671" t="s">
        <v>11982</v>
      </c>
      <c r="T5671" t="s">
        <v>12620</v>
      </c>
      <c r="U5671" t="s">
        <v>12620</v>
      </c>
      <c r="V5671" t="s">
        <v>12620</v>
      </c>
      <c r="W5671" t="s">
        <v>18232</v>
      </c>
      <c r="X5671">
        <v>1</v>
      </c>
      <c r="Y5671" t="s">
        <v>24326</v>
      </c>
      <c r="Z5671" t="s">
        <v>30618</v>
      </c>
      <c r="AA5671">
        <v>0.40257498656985741</v>
      </c>
      <c r="AB5671" t="str">
        <f>HYPERLINK("Melting_Curves/meltCurve_Q9NX58_LYAR.pdf", "Melting_Curves/meltCurve_Q9NX58_LYAR.pdf")</f>
        <v>Melting_Curves/meltCurve_Q9NX58_LYAR.pdf</v>
      </c>
    </row>
    <row r="5672" spans="1:28" x14ac:dyDescent="0.25">
      <c r="A5672" t="s">
        <v>5676</v>
      </c>
      <c r="B5672">
        <v>0.99987803227770999</v>
      </c>
      <c r="C5672">
        <v>0.84422923983086995</v>
      </c>
      <c r="D5672">
        <v>1.0181657665959301</v>
      </c>
      <c r="E5672">
        <v>0.83019222440892304</v>
      </c>
      <c r="F5672">
        <v>0.88088250305430404</v>
      </c>
      <c r="G5672">
        <v>0.59071216995609099</v>
      </c>
      <c r="H5672">
        <v>0.477856441166917</v>
      </c>
      <c r="I5672">
        <v>0.39855024836705399</v>
      </c>
      <c r="J5672">
        <v>0.405945148033936</v>
      </c>
      <c r="K5672">
        <v>0.34150377876891302</v>
      </c>
      <c r="L5672">
        <v>781.97177590451395</v>
      </c>
      <c r="M5672">
        <v>13.882711280074799</v>
      </c>
      <c r="N5672">
        <v>60.438392484935399</v>
      </c>
      <c r="O5672">
        <v>55.196900753716697</v>
      </c>
      <c r="P5672">
        <v>-4.3672271047060403E-2</v>
      </c>
      <c r="Q5672">
        <v>0.30554102482351603</v>
      </c>
      <c r="R5672">
        <v>0.93864353536501199</v>
      </c>
      <c r="S5672" t="s">
        <v>11983</v>
      </c>
      <c r="T5672" t="s">
        <v>12620</v>
      </c>
      <c r="U5672" t="s">
        <v>12620</v>
      </c>
      <c r="V5672" t="s">
        <v>12620</v>
      </c>
      <c r="W5672" t="s">
        <v>18233</v>
      </c>
      <c r="X5672">
        <v>7</v>
      </c>
      <c r="Y5672" t="s">
        <v>24327</v>
      </c>
      <c r="Z5672" t="s">
        <v>30619</v>
      </c>
      <c r="AA5672">
        <v>0.69605342878430676</v>
      </c>
      <c r="AB5672" t="str">
        <f>HYPERLINK("Melting_Curves/meltCurve_Q9NX70_MED29.pdf", "Melting_Curves/meltCurve_Q9NX70_MED29.pdf")</f>
        <v>Melting_Curves/meltCurve_Q9NX70_MED29.pdf</v>
      </c>
    </row>
    <row r="5673" spans="1:28" x14ac:dyDescent="0.25">
      <c r="A5673" t="s">
        <v>5677</v>
      </c>
      <c r="B5673">
        <v>0.99987803227770999</v>
      </c>
      <c r="C5673">
        <v>1.1133908655728399</v>
      </c>
      <c r="D5673">
        <v>1.0095068373217999</v>
      </c>
      <c r="E5673">
        <v>0.784548312024407</v>
      </c>
      <c r="F5673">
        <v>0.274655793189237</v>
      </c>
      <c r="G5673">
        <v>0.162020184253715</v>
      </c>
      <c r="H5673">
        <v>0.108277348580469</v>
      </c>
      <c r="I5673">
        <v>9.4486687233296104E-2</v>
      </c>
      <c r="J5673">
        <v>7.56253202145339E-2</v>
      </c>
      <c r="K5673">
        <v>5.7174474146693702E-2</v>
      </c>
      <c r="L5673">
        <v>2193.8619476696599</v>
      </c>
      <c r="M5673">
        <v>42.731898539744797</v>
      </c>
      <c r="N5673">
        <v>51.5955548051734</v>
      </c>
      <c r="O5673">
        <v>51.228096058820299</v>
      </c>
      <c r="P5673">
        <v>-0.18865654758885</v>
      </c>
      <c r="Q5673">
        <v>9.5336278188245999E-2</v>
      </c>
      <c r="R5673">
        <v>0.99001447559566202</v>
      </c>
      <c r="S5673" t="s">
        <v>11984</v>
      </c>
      <c r="T5673" t="s">
        <v>12620</v>
      </c>
      <c r="U5673" t="s">
        <v>12620</v>
      </c>
      <c r="V5673" t="s">
        <v>12620</v>
      </c>
      <c r="W5673" t="s">
        <v>18234</v>
      </c>
      <c r="X5673">
        <v>15</v>
      </c>
      <c r="Y5673" t="s">
        <v>24328</v>
      </c>
      <c r="Z5673" t="s">
        <v>30620</v>
      </c>
      <c r="AA5673">
        <v>0.44011368761251302</v>
      </c>
      <c r="AB5673" t="str">
        <f>HYPERLINK("Melting_Curves/meltCurve_Q9NX74_DUS2L.pdf", "Melting_Curves/meltCurve_Q9NX74_DUS2L.pdf")</f>
        <v>Melting_Curves/meltCurve_Q9NX74_DUS2L.pdf</v>
      </c>
    </row>
    <row r="5674" spans="1:28" x14ac:dyDescent="0.25">
      <c r="A5674" t="s">
        <v>5678</v>
      </c>
      <c r="B5674">
        <v>0.99987803227770999</v>
      </c>
      <c r="C5674">
        <v>0.82236248788550703</v>
      </c>
      <c r="D5674">
        <v>1.02694584424659</v>
      </c>
      <c r="E5674">
        <v>0.73986785351416995</v>
      </c>
      <c r="F5674">
        <v>0.57561613477123796</v>
      </c>
      <c r="G5674">
        <v>0.14512402774359801</v>
      </c>
      <c r="H5674">
        <v>0.118111074084862</v>
      </c>
      <c r="I5674">
        <v>9.8930841924670901E-2</v>
      </c>
      <c r="J5674">
        <v>8.6352531965468604E-2</v>
      </c>
      <c r="K5674">
        <v>6.2591431530069297E-2</v>
      </c>
      <c r="L5674">
        <v>1203.7177679415299</v>
      </c>
      <c r="M5674">
        <v>22.8083773517594</v>
      </c>
      <c r="N5674">
        <v>53.104433679016601</v>
      </c>
      <c r="O5674">
        <v>52.374577318955403</v>
      </c>
      <c r="P5674">
        <v>-0.101696295030377</v>
      </c>
      <c r="Q5674">
        <v>6.5922518365879396E-2</v>
      </c>
      <c r="R5674">
        <v>0.96925419203019902</v>
      </c>
      <c r="S5674" t="s">
        <v>11985</v>
      </c>
      <c r="T5674" t="s">
        <v>12620</v>
      </c>
      <c r="U5674" t="s">
        <v>12620</v>
      </c>
      <c r="V5674" t="s">
        <v>12620</v>
      </c>
      <c r="W5674" t="s">
        <v>18235</v>
      </c>
      <c r="X5674">
        <v>9</v>
      </c>
      <c r="Y5674" t="s">
        <v>24329</v>
      </c>
      <c r="Z5674" t="s">
        <v>30621</v>
      </c>
      <c r="AA5674">
        <v>0.47387615086840129</v>
      </c>
      <c r="AB5674" t="str">
        <f>HYPERLINK("Melting_Curves/meltCurve_Q9NXA8_SIRT5.pdf", "Melting_Curves/meltCurve_Q9NXA8_SIRT5.pdf")</f>
        <v>Melting_Curves/meltCurve_Q9NXA8_SIRT5.pdf</v>
      </c>
    </row>
    <row r="5675" spans="1:28" x14ac:dyDescent="0.25">
      <c r="A5675" t="s">
        <v>5679</v>
      </c>
      <c r="B5675">
        <v>0.99987803227770999</v>
      </c>
      <c r="C5675">
        <v>1.04646451974301</v>
      </c>
      <c r="D5675">
        <v>0.921800897896629</v>
      </c>
      <c r="E5675">
        <v>1.219130003379</v>
      </c>
      <c r="F5675">
        <v>1.2094361422603801</v>
      </c>
      <c r="G5675">
        <v>1.0445493884221699</v>
      </c>
      <c r="H5675">
        <v>0.44888031276785501</v>
      </c>
      <c r="I5675">
        <v>0.29505330239057698</v>
      </c>
      <c r="J5675">
        <v>0.19030543034133399</v>
      </c>
      <c r="K5675">
        <v>0.15224053959290401</v>
      </c>
      <c r="L5675">
        <v>4374.2881371839903</v>
      </c>
      <c r="M5675">
        <v>72.475981298613505</v>
      </c>
      <c r="N5675">
        <v>60.8002778836793</v>
      </c>
      <c r="O5675">
        <v>60.309102245415602</v>
      </c>
      <c r="P5675">
        <v>-0.23856507497841201</v>
      </c>
      <c r="Q5675">
        <v>0.20593596250625301</v>
      </c>
      <c r="R5675">
        <v>0.93256467203181403</v>
      </c>
      <c r="S5675" t="s">
        <v>11986</v>
      </c>
      <c r="T5675" t="s">
        <v>12620</v>
      </c>
      <c r="U5675" t="s">
        <v>12620</v>
      </c>
      <c r="V5675" t="s">
        <v>12620</v>
      </c>
      <c r="W5675" t="s">
        <v>18236</v>
      </c>
      <c r="X5675">
        <v>6</v>
      </c>
      <c r="Y5675" t="s">
        <v>24330</v>
      </c>
      <c r="Z5675" t="s">
        <v>30622</v>
      </c>
      <c r="AA5675">
        <v>0.74571030114667791</v>
      </c>
      <c r="AB5675" t="str">
        <f>HYPERLINK("Melting_Curves/meltCurve_Q9NXC5_MIOS.pdf", "Melting_Curves/meltCurve_Q9NXC5_MIOS.pdf")</f>
        <v>Melting_Curves/meltCurve_Q9NXC5_MIOS.pdf</v>
      </c>
    </row>
    <row r="5676" spans="1:28" x14ac:dyDescent="0.25">
      <c r="A5676" t="s">
        <v>5680</v>
      </c>
      <c r="B5676">
        <v>0.99987803227770999</v>
      </c>
      <c r="C5676">
        <v>1.1210465011069699</v>
      </c>
      <c r="D5676">
        <v>0.75894967788266499</v>
      </c>
      <c r="E5676">
        <v>0.595668433375106</v>
      </c>
      <c r="F5676">
        <v>0.30333650741813201</v>
      </c>
      <c r="G5676">
        <v>0.217765945642732</v>
      </c>
      <c r="H5676">
        <v>0.145551870615724</v>
      </c>
      <c r="I5676">
        <v>0.126318871437713</v>
      </c>
      <c r="J5676">
        <v>8.5759363452833207E-2</v>
      </c>
      <c r="K5676">
        <v>7.2859089257041806E-2</v>
      </c>
      <c r="L5676">
        <v>915.22006293513698</v>
      </c>
      <c r="M5676">
        <v>18.259870782489401</v>
      </c>
      <c r="N5676">
        <v>50.705559774159397</v>
      </c>
      <c r="O5676">
        <v>49.532393152645398</v>
      </c>
      <c r="P5676">
        <v>-8.3430347054593595E-2</v>
      </c>
      <c r="Q5676">
        <v>9.4777497174103303E-2</v>
      </c>
      <c r="R5676">
        <v>0.97162907489432504</v>
      </c>
      <c r="S5676" t="s">
        <v>11987</v>
      </c>
      <c r="T5676" t="s">
        <v>12620</v>
      </c>
      <c r="U5676" t="s">
        <v>12620</v>
      </c>
      <c r="V5676" t="s">
        <v>12620</v>
      </c>
      <c r="W5676" t="s">
        <v>18237</v>
      </c>
      <c r="X5676">
        <v>4</v>
      </c>
      <c r="Y5676" t="s">
        <v>24331</v>
      </c>
      <c r="Z5676" t="s">
        <v>30623</v>
      </c>
      <c r="AA5676">
        <v>0.41519840355469989</v>
      </c>
      <c r="AB5676" t="str">
        <f>HYPERLINK("Melting_Curves/meltCurve_Q9NXD2_MTMR10.pdf", "Melting_Curves/meltCurve_Q9NXD2_MTMR10.pdf")</f>
        <v>Melting_Curves/meltCurve_Q9NXD2_MTMR10.pdf</v>
      </c>
    </row>
    <row r="5677" spans="1:28" x14ac:dyDescent="0.25">
      <c r="A5677" t="s">
        <v>5681</v>
      </c>
      <c r="B5677">
        <v>0.99987803227770999</v>
      </c>
      <c r="C5677">
        <v>0.75473463765695104</v>
      </c>
      <c r="D5677">
        <v>0.99336987987027203</v>
      </c>
      <c r="E5677">
        <v>0.78694122884144801</v>
      </c>
      <c r="F5677">
        <v>1.11361024970777</v>
      </c>
      <c r="G5677">
        <v>0.87236639592068599</v>
      </c>
      <c r="H5677">
        <v>1.0270840989924099</v>
      </c>
      <c r="I5677">
        <v>0.85175079933203901</v>
      </c>
      <c r="J5677">
        <v>1.1131046984876201</v>
      </c>
      <c r="K5677">
        <v>0.96742424513182101</v>
      </c>
      <c r="L5677">
        <v>1.07465621879371E-5</v>
      </c>
      <c r="M5677">
        <v>13.334812557403099</v>
      </c>
      <c r="Q5677">
        <v>0.94802634262724905</v>
      </c>
      <c r="R5677">
        <v>-1.4432899320127E-14</v>
      </c>
      <c r="S5677" t="s">
        <v>11988</v>
      </c>
      <c r="T5677" t="s">
        <v>12620</v>
      </c>
      <c r="U5677" t="s">
        <v>12620</v>
      </c>
      <c r="V5677" t="s">
        <v>12620</v>
      </c>
      <c r="W5677" t="s">
        <v>18238</v>
      </c>
      <c r="X5677">
        <v>4</v>
      </c>
      <c r="Y5677" t="s">
        <v>24332</v>
      </c>
      <c r="Z5677" t="s">
        <v>30624</v>
      </c>
      <c r="AA5677">
        <v>0.948026426679075</v>
      </c>
      <c r="AB5677" t="str">
        <f>HYPERLINK("Melting_Curves/meltCurve_Q9NXE8_CWC25.pdf", "Melting_Curves/meltCurve_Q9NXE8_CWC25.pdf")</f>
        <v>Melting_Curves/meltCurve_Q9NXE8_CWC25.pdf</v>
      </c>
    </row>
    <row r="5678" spans="1:28" x14ac:dyDescent="0.25">
      <c r="A5678" t="s">
        <v>5682</v>
      </c>
      <c r="B5678">
        <v>0.99987803227770999</v>
      </c>
      <c r="C5678">
        <v>1.1247633212013199</v>
      </c>
      <c r="D5678">
        <v>1.0645867859881999</v>
      </c>
      <c r="E5678">
        <v>1.1349347422912199</v>
      </c>
      <c r="F5678">
        <v>1.02165373410701</v>
      </c>
      <c r="G5678">
        <v>0.94563898526356005</v>
      </c>
      <c r="H5678">
        <v>0.88272452465236595</v>
      </c>
      <c r="I5678">
        <v>0.28312447878734298</v>
      </c>
      <c r="J5678">
        <v>0.15051616180093499</v>
      </c>
      <c r="K5678">
        <v>9.4373722916944403E-2</v>
      </c>
      <c r="L5678">
        <v>4254.2900357485596</v>
      </c>
      <c r="M5678">
        <v>67.896368007246906</v>
      </c>
      <c r="N5678">
        <v>62.901238423650902</v>
      </c>
      <c r="O5678">
        <v>62.604289632525301</v>
      </c>
      <c r="P5678">
        <v>-0.239896327428784</v>
      </c>
      <c r="Q5678">
        <v>0.115208307558768</v>
      </c>
      <c r="R5678">
        <v>0.973243455296255</v>
      </c>
      <c r="S5678" t="s">
        <v>11989</v>
      </c>
      <c r="T5678" t="s">
        <v>12620</v>
      </c>
      <c r="U5678" t="s">
        <v>12620</v>
      </c>
      <c r="V5678" t="s">
        <v>12620</v>
      </c>
      <c r="W5678" t="s">
        <v>18239</v>
      </c>
      <c r="X5678">
        <v>17</v>
      </c>
      <c r="Y5678" t="s">
        <v>24333</v>
      </c>
      <c r="Z5678" t="s">
        <v>30625</v>
      </c>
      <c r="AA5678">
        <v>0.78477350776774724</v>
      </c>
      <c r="AB5678" t="str">
        <f>HYPERLINK("Melting_Curves/meltCurve_Q9NXG2_THUMPD1.pdf", "Melting_Curves/meltCurve_Q9NXG2_THUMPD1.pdf")</f>
        <v>Melting_Curves/meltCurve_Q9NXG2_THUMPD1.pdf</v>
      </c>
    </row>
    <row r="5679" spans="1:28" x14ac:dyDescent="0.25">
      <c r="A5679" t="s">
        <v>5683</v>
      </c>
      <c r="B5679">
        <v>0.99987803227770999</v>
      </c>
      <c r="C5679">
        <v>1.4769543771651099</v>
      </c>
      <c r="D5679">
        <v>0.97402643306388403</v>
      </c>
      <c r="E5679">
        <v>1.55204261411093</v>
      </c>
      <c r="F5679">
        <v>0.934745863762944</v>
      </c>
      <c r="G5679">
        <v>1.00115864109609</v>
      </c>
      <c r="H5679">
        <v>1.6029855234694199</v>
      </c>
      <c r="I5679">
        <v>1.8164004826614999</v>
      </c>
      <c r="J5679">
        <v>1.1888707809155901</v>
      </c>
      <c r="K5679">
        <v>0.53469085780025705</v>
      </c>
      <c r="L5679">
        <v>10232.7574827155</v>
      </c>
      <c r="M5679">
        <v>250</v>
      </c>
      <c r="O5679">
        <v>40.928410540405501</v>
      </c>
      <c r="P5679">
        <v>0.35323755399309098</v>
      </c>
      <c r="Q5679">
        <v>1.23131922620847</v>
      </c>
      <c r="R5679">
        <v>3.4779067356299299E-2</v>
      </c>
      <c r="S5679" t="s">
        <v>11990</v>
      </c>
      <c r="T5679" t="s">
        <v>12620</v>
      </c>
      <c r="U5679" t="s">
        <v>12620</v>
      </c>
      <c r="V5679" t="s">
        <v>12620</v>
      </c>
      <c r="W5679" t="s">
        <v>18240</v>
      </c>
      <c r="X5679">
        <v>5</v>
      </c>
      <c r="Y5679" t="s">
        <v>24334</v>
      </c>
      <c r="Z5679" t="s">
        <v>30626</v>
      </c>
      <c r="AA5679">
        <v>1.2241202236385531</v>
      </c>
      <c r="AB5679" t="str">
        <f>HYPERLINK("Melting_Curves/meltCurve_Q9NXG6_P4HTM.pdf", "Melting_Curves/meltCurve_Q9NXG6_P4HTM.pdf")</f>
        <v>Melting_Curves/meltCurve_Q9NXG6_P4HTM.pdf</v>
      </c>
    </row>
    <row r="5680" spans="1:28" x14ac:dyDescent="0.25">
      <c r="A5680" t="s">
        <v>5684</v>
      </c>
      <c r="B5680">
        <v>0.99987803227770999</v>
      </c>
      <c r="C5680">
        <v>1.22641923604328</v>
      </c>
      <c r="D5680">
        <v>0.88901457112468096</v>
      </c>
      <c r="E5680">
        <v>1.1458711320177299</v>
      </c>
      <c r="F5680">
        <v>0.82345127620508296</v>
      </c>
      <c r="G5680">
        <v>0.89467712492315399</v>
      </c>
      <c r="H5680">
        <v>0.34057887069060699</v>
      </c>
      <c r="I5680">
        <v>0.18150376774310001</v>
      </c>
      <c r="J5680">
        <v>0.13433935725458901</v>
      </c>
      <c r="K5680">
        <v>9.2938175226549E-2</v>
      </c>
      <c r="L5680">
        <v>2364.6466543576798</v>
      </c>
      <c r="M5680">
        <v>39.7310960378476</v>
      </c>
      <c r="N5680">
        <v>59.896500326774401</v>
      </c>
      <c r="O5680">
        <v>59.366092715809899</v>
      </c>
      <c r="P5680">
        <v>-0.148665064743945</v>
      </c>
      <c r="Q5680">
        <v>0.111462193172205</v>
      </c>
      <c r="R5680">
        <v>0.93327426850475304</v>
      </c>
      <c r="S5680" t="s">
        <v>11991</v>
      </c>
      <c r="T5680" t="s">
        <v>12620</v>
      </c>
      <c r="U5680" t="s">
        <v>12620</v>
      </c>
      <c r="V5680" t="s">
        <v>12620</v>
      </c>
      <c r="W5680" t="s">
        <v>18241</v>
      </c>
      <c r="X5680">
        <v>16</v>
      </c>
      <c r="Y5680" t="s">
        <v>24335</v>
      </c>
      <c r="Z5680" t="s">
        <v>30627</v>
      </c>
      <c r="AA5680">
        <v>0.69303014351884229</v>
      </c>
      <c r="AB5680" t="str">
        <f>HYPERLINK("Melting_Curves/meltCurve_Q9NXH9_2_TRMT1.pdf", "Melting_Curves/meltCurve_Q9NXH9_2_TRMT1.pdf")</f>
        <v>Melting_Curves/meltCurve_Q9NXH9_2_TRMT1.pdf</v>
      </c>
    </row>
    <row r="5681" spans="1:28" x14ac:dyDescent="0.25">
      <c r="A5681" t="s">
        <v>5685</v>
      </c>
      <c r="B5681">
        <v>0.99987803227770999</v>
      </c>
      <c r="C5681">
        <v>0.97959879409519401</v>
      </c>
      <c r="D5681">
        <v>1.0152339907443699</v>
      </c>
      <c r="E5681">
        <v>0.97830342200944098</v>
      </c>
      <c r="F5681">
        <v>1.0016218991541399</v>
      </c>
      <c r="G5681">
        <v>0.86555049750868895</v>
      </c>
      <c r="H5681">
        <v>0.88073842182043305</v>
      </c>
      <c r="I5681">
        <v>0.85205867326496199</v>
      </c>
      <c r="J5681">
        <v>0.92848478530925804</v>
      </c>
      <c r="K5681">
        <v>0.791785289746613</v>
      </c>
      <c r="L5681">
        <v>14017.7045565883</v>
      </c>
      <c r="M5681">
        <v>250</v>
      </c>
      <c r="O5681">
        <v>56.067225528476598</v>
      </c>
      <c r="P5681">
        <v>-0.15242105445374901</v>
      </c>
      <c r="Q5681">
        <v>0.86326677891509196</v>
      </c>
      <c r="R5681">
        <v>0.79721092265047899</v>
      </c>
      <c r="S5681" t="s">
        <v>11992</v>
      </c>
      <c r="T5681" t="s">
        <v>12620</v>
      </c>
      <c r="U5681" t="s">
        <v>12620</v>
      </c>
      <c r="V5681" t="s">
        <v>12620</v>
      </c>
      <c r="W5681" t="s">
        <v>18242</v>
      </c>
      <c r="X5681">
        <v>15</v>
      </c>
      <c r="Y5681" t="s">
        <v>24336</v>
      </c>
      <c r="Z5681" t="s">
        <v>30628</v>
      </c>
      <c r="AA5681">
        <v>0.93652739198274015</v>
      </c>
      <c r="AB5681" t="str">
        <f>HYPERLINK("Melting_Curves/meltCurve_Q9NXR1_2_NDE1.pdf", "Melting_Curves/meltCurve_Q9NXR1_2_NDE1.pdf")</f>
        <v>Melting_Curves/meltCurve_Q9NXR1_2_NDE1.pdf</v>
      </c>
    </row>
    <row r="5682" spans="1:28" x14ac:dyDescent="0.25">
      <c r="A5682" t="s">
        <v>5686</v>
      </c>
      <c r="B5682">
        <v>0.99987803227770999</v>
      </c>
      <c r="C5682">
        <v>1.0624540829391</v>
      </c>
      <c r="D5682">
        <v>0.86844658975608502</v>
      </c>
      <c r="E5682">
        <v>1.11585139247828</v>
      </c>
      <c r="F5682">
        <v>0.83627487083617102</v>
      </c>
      <c r="G5682">
        <v>0.78261021976767098</v>
      </c>
      <c r="H5682">
        <v>0.56243411098312102</v>
      </c>
      <c r="I5682">
        <v>0.25148870676781898</v>
      </c>
      <c r="J5682">
        <v>0.16109549142493801</v>
      </c>
      <c r="K5682">
        <v>0.102921457565854</v>
      </c>
      <c r="L5682">
        <v>1101.7509543830699</v>
      </c>
      <c r="M5682">
        <v>18.0465531472917</v>
      </c>
      <c r="N5682">
        <v>61.050493532070497</v>
      </c>
      <c r="O5682">
        <v>60.315662045752298</v>
      </c>
      <c r="P5682">
        <v>-7.4804097077657505E-2</v>
      </c>
      <c r="Q5682">
        <v>0</v>
      </c>
      <c r="R5682">
        <v>0.95759065942209398</v>
      </c>
      <c r="S5682" t="s">
        <v>11993</v>
      </c>
      <c r="T5682" t="s">
        <v>12620</v>
      </c>
      <c r="U5682" t="s">
        <v>12620</v>
      </c>
      <c r="V5682" t="s">
        <v>12620</v>
      </c>
      <c r="W5682" t="s">
        <v>18243</v>
      </c>
      <c r="X5682">
        <v>11</v>
      </c>
      <c r="Y5682" t="s">
        <v>24337</v>
      </c>
      <c r="Z5682" t="s">
        <v>30629</v>
      </c>
      <c r="AA5682">
        <v>0.70682903846234735</v>
      </c>
      <c r="AB5682" t="str">
        <f>HYPERLINK("Melting_Curves/meltCurve_Q9NXR7_BRE.pdf", "Melting_Curves/meltCurve_Q9NXR7_BRE.pdf")</f>
        <v>Melting_Curves/meltCurve_Q9NXR7_BRE.pdf</v>
      </c>
    </row>
    <row r="5683" spans="1:28" x14ac:dyDescent="0.25">
      <c r="A5683" t="s">
        <v>5687</v>
      </c>
      <c r="B5683">
        <v>0.99987803227770999</v>
      </c>
      <c r="C5683">
        <v>1.0994192750479499</v>
      </c>
      <c r="D5683">
        <v>0.90627290897268797</v>
      </c>
      <c r="E5683">
        <v>1.0182087301295999</v>
      </c>
      <c r="F5683">
        <v>0.90717881002377398</v>
      </c>
      <c r="G5683">
        <v>0.960550002827674</v>
      </c>
      <c r="H5683">
        <v>0.95048172396640296</v>
      </c>
      <c r="I5683">
        <v>0.81659275320027103</v>
      </c>
      <c r="J5683">
        <v>0.773495596754735</v>
      </c>
      <c r="K5683">
        <v>0.50981234255764296</v>
      </c>
      <c r="L5683">
        <v>1216.5040615693899</v>
      </c>
      <c r="M5683">
        <v>17.229195976875101</v>
      </c>
      <c r="O5683">
        <v>69.676530558670606</v>
      </c>
      <c r="P5683">
        <v>-6.1822134744071201E-2</v>
      </c>
      <c r="Q5683">
        <v>0</v>
      </c>
      <c r="R5683">
        <v>0.86421193788864703</v>
      </c>
      <c r="S5683" t="s">
        <v>11994</v>
      </c>
      <c r="T5683" t="s">
        <v>12620</v>
      </c>
      <c r="U5683" t="s">
        <v>12620</v>
      </c>
      <c r="V5683" t="s">
        <v>12620</v>
      </c>
      <c r="W5683" t="s">
        <v>18244</v>
      </c>
      <c r="X5683">
        <v>3</v>
      </c>
      <c r="Y5683" t="s">
        <v>24338</v>
      </c>
      <c r="Z5683" t="s">
        <v>30630</v>
      </c>
      <c r="AA5683">
        <v>0.92608071468009479</v>
      </c>
      <c r="AB5683" t="str">
        <f>HYPERLINK("Melting_Curves/meltCurve_Q9NXV2_KCTD5.pdf", "Melting_Curves/meltCurve_Q9NXV2_KCTD5.pdf")</f>
        <v>Melting_Curves/meltCurve_Q9NXV2_KCTD5.pdf</v>
      </c>
    </row>
    <row r="5684" spans="1:28" x14ac:dyDescent="0.25">
      <c r="A5684" t="s">
        <v>5688</v>
      </c>
      <c r="B5684">
        <v>0.99987803227770999</v>
      </c>
      <c r="C5684">
        <v>1.01265247651554</v>
      </c>
      <c r="D5684">
        <v>1.0195624776791901</v>
      </c>
      <c r="E5684">
        <v>0.90414975143987097</v>
      </c>
      <c r="F5684">
        <v>0.67668905700775195</v>
      </c>
      <c r="G5684">
        <v>0.50193447956316095</v>
      </c>
      <c r="H5684">
        <v>0.46638628538763699</v>
      </c>
      <c r="I5684">
        <v>0.36491329706436398</v>
      </c>
      <c r="J5684">
        <v>0.34218314851052101</v>
      </c>
      <c r="K5684">
        <v>0.24726336563293799</v>
      </c>
      <c r="L5684">
        <v>896.17937864970395</v>
      </c>
      <c r="M5684">
        <v>16.449829165474601</v>
      </c>
      <c r="N5684">
        <v>57.585008582648499</v>
      </c>
      <c r="O5684">
        <v>53.693525177170798</v>
      </c>
      <c r="P5684">
        <v>-5.4071319219419899E-2</v>
      </c>
      <c r="Q5684">
        <v>0.29407764102886402</v>
      </c>
      <c r="R5684">
        <v>0.98022618880502399</v>
      </c>
      <c r="S5684" t="s">
        <v>11995</v>
      </c>
      <c r="T5684" t="s">
        <v>12620</v>
      </c>
      <c r="U5684" t="s">
        <v>12620</v>
      </c>
      <c r="V5684" t="s">
        <v>12620</v>
      </c>
      <c r="W5684" t="s">
        <v>18245</v>
      </c>
      <c r="X5684">
        <v>14</v>
      </c>
      <c r="Y5684" t="s">
        <v>24339</v>
      </c>
      <c r="Z5684" t="s">
        <v>30631</v>
      </c>
      <c r="AA5684">
        <v>0.64737322056915025</v>
      </c>
      <c r="AB5684" t="str">
        <f>HYPERLINK("Melting_Curves/meltCurve_Q9NXV6_CDKN2AIP.pdf", "Melting_Curves/meltCurve_Q9NXV6_CDKN2AIP.pdf")</f>
        <v>Melting_Curves/meltCurve_Q9NXV6_CDKN2AIP.pdf</v>
      </c>
    </row>
    <row r="5685" spans="1:28" x14ac:dyDescent="0.25">
      <c r="A5685" t="s">
        <v>5689</v>
      </c>
      <c r="B5685">
        <v>0.99987803227770999</v>
      </c>
      <c r="C5685">
        <v>0.64658941176320694</v>
      </c>
      <c r="D5685">
        <v>0.88786227868748302</v>
      </c>
      <c r="E5685">
        <v>0.71017450372624202</v>
      </c>
      <c r="F5685">
        <v>0.95333576816272103</v>
      </c>
      <c r="G5685">
        <v>0.65203516282792595</v>
      </c>
      <c r="H5685">
        <v>0.83752011283879402</v>
      </c>
      <c r="I5685">
        <v>0.63424789280383698</v>
      </c>
      <c r="J5685">
        <v>0.91822094386009101</v>
      </c>
      <c r="K5685">
        <v>0.69125110323425498</v>
      </c>
      <c r="L5685">
        <v>10236.7907174832</v>
      </c>
      <c r="M5685">
        <v>250</v>
      </c>
      <c r="O5685">
        <v>40.944543371667798</v>
      </c>
      <c r="P5685">
        <v>-0.350874789749825</v>
      </c>
      <c r="Q5685">
        <v>0.77013747628075802</v>
      </c>
      <c r="R5685">
        <v>0.265537034609512</v>
      </c>
      <c r="S5685" t="s">
        <v>11996</v>
      </c>
      <c r="T5685" t="s">
        <v>12620</v>
      </c>
      <c r="U5685" t="s">
        <v>12620</v>
      </c>
      <c r="V5685" t="s">
        <v>12620</v>
      </c>
      <c r="W5685" t="s">
        <v>18246</v>
      </c>
      <c r="X5685">
        <v>3</v>
      </c>
      <c r="Y5685" t="s">
        <v>24340</v>
      </c>
      <c r="Z5685" t="s">
        <v>30632</v>
      </c>
      <c r="AA5685">
        <v>0.77741442350185719</v>
      </c>
      <c r="AB5685" t="str">
        <f>HYPERLINK("Melting_Curves/meltCurve_Q9NXW2_DNAJB12.pdf", "Melting_Curves/meltCurve_Q9NXW2_DNAJB12.pdf")</f>
        <v>Melting_Curves/meltCurve_Q9NXW2_DNAJB12.pdf</v>
      </c>
    </row>
    <row r="5686" spans="1:28" x14ac:dyDescent="0.25">
      <c r="A5686" t="s">
        <v>5690</v>
      </c>
      <c r="B5686">
        <v>0.99987803227770999</v>
      </c>
      <c r="C5686">
        <v>0.99354985038321997</v>
      </c>
      <c r="D5686">
        <v>0.97635386924711898</v>
      </c>
      <c r="E5686">
        <v>0.61136291474556304</v>
      </c>
      <c r="F5686">
        <v>0.43175479896685798</v>
      </c>
      <c r="G5686">
        <v>0.27829535234874703</v>
      </c>
      <c r="H5686">
        <v>0.201627297491348</v>
      </c>
      <c r="I5686">
        <v>0.22231369000835199</v>
      </c>
      <c r="J5686">
        <v>0.11922519554272799</v>
      </c>
      <c r="K5686">
        <v>7.2061939443887099E-2</v>
      </c>
      <c r="L5686">
        <v>956.168271074073</v>
      </c>
      <c r="M5686">
        <v>18.688130433230199</v>
      </c>
      <c r="N5686">
        <v>52.061130649591497</v>
      </c>
      <c r="O5686">
        <v>50.589408511775403</v>
      </c>
      <c r="P5686">
        <v>-7.9647469076587998E-2</v>
      </c>
      <c r="Q5686">
        <v>0.137602877357761</v>
      </c>
      <c r="R5686">
        <v>0.98492277283464102</v>
      </c>
      <c r="S5686" t="s">
        <v>11997</v>
      </c>
      <c r="T5686" t="s">
        <v>12620</v>
      </c>
      <c r="U5686" t="s">
        <v>12620</v>
      </c>
      <c r="V5686" t="s">
        <v>12620</v>
      </c>
      <c r="W5686" t="s">
        <v>18247</v>
      </c>
      <c r="X5686">
        <v>5</v>
      </c>
      <c r="Y5686" t="s">
        <v>24341</v>
      </c>
      <c r="Z5686" t="s">
        <v>30633</v>
      </c>
      <c r="AA5686">
        <v>0.47209817174735291</v>
      </c>
      <c r="AB5686" t="str">
        <f>HYPERLINK("Melting_Curves/meltCurve_Q9NXW9_ALKBH4.pdf", "Melting_Curves/meltCurve_Q9NXW9_ALKBH4.pdf")</f>
        <v>Melting_Curves/meltCurve_Q9NXW9_ALKBH4.pdf</v>
      </c>
    </row>
    <row r="5687" spans="1:28" x14ac:dyDescent="0.25">
      <c r="A5687" t="s">
        <v>5691</v>
      </c>
      <c r="B5687">
        <v>0.99987803227770999</v>
      </c>
      <c r="C5687">
        <v>0.963850665206746</v>
      </c>
      <c r="D5687">
        <v>0.86431843415357301</v>
      </c>
      <c r="E5687">
        <v>0.84504322378049601</v>
      </c>
      <c r="F5687">
        <v>0.58554401488584196</v>
      </c>
      <c r="G5687">
        <v>0.39366099596929599</v>
      </c>
      <c r="H5687">
        <v>0.31024270854866398</v>
      </c>
      <c r="I5687">
        <v>0.303038045062204</v>
      </c>
      <c r="J5687">
        <v>0.26504315274094398</v>
      </c>
      <c r="K5687">
        <v>0.21242786428747901</v>
      </c>
      <c r="L5687">
        <v>809.53202687111002</v>
      </c>
      <c r="M5687">
        <v>15.2838943475892</v>
      </c>
      <c r="N5687">
        <v>55.056124358511298</v>
      </c>
      <c r="O5687">
        <v>52.0844394045059</v>
      </c>
      <c r="P5687">
        <v>-5.7220564615401197E-2</v>
      </c>
      <c r="Q5687">
        <v>0.22008848714865001</v>
      </c>
      <c r="R5687">
        <v>0.98623225148126603</v>
      </c>
      <c r="S5687" t="s">
        <v>11998</v>
      </c>
      <c r="T5687" t="s">
        <v>12620</v>
      </c>
      <c r="U5687" t="s">
        <v>12620</v>
      </c>
      <c r="V5687" t="s">
        <v>12620</v>
      </c>
      <c r="W5687" t="s">
        <v>18248</v>
      </c>
      <c r="X5687">
        <v>4</v>
      </c>
      <c r="Y5687" t="s">
        <v>24342</v>
      </c>
      <c r="Z5687" t="s">
        <v>30634</v>
      </c>
      <c r="AA5687">
        <v>0.57354383158126698</v>
      </c>
      <c r="AB5687" t="str">
        <f>HYPERLINK("Melting_Curves/meltCurve_Q9NXX6_NSMCE4A.pdf", "Melting_Curves/meltCurve_Q9NXX6_NSMCE4A.pdf")</f>
        <v>Melting_Curves/meltCurve_Q9NXX6_NSMCE4A.pdf</v>
      </c>
    </row>
    <row r="5688" spans="1:28" x14ac:dyDescent="0.25">
      <c r="A5688" t="s">
        <v>5692</v>
      </c>
      <c r="B5688">
        <v>0.99987803227770999</v>
      </c>
      <c r="C5688">
        <v>1.05765558034593</v>
      </c>
      <c r="D5688">
        <v>0.98671007168492697</v>
      </c>
      <c r="E5688">
        <v>1.01718946046642</v>
      </c>
      <c r="F5688">
        <v>0.79728133477445395</v>
      </c>
      <c r="G5688">
        <v>0.74767964240967899</v>
      </c>
      <c r="H5688">
        <v>0.60634718458380499</v>
      </c>
      <c r="I5688">
        <v>0.43458081120064501</v>
      </c>
      <c r="J5688">
        <v>0.289170043452942</v>
      </c>
      <c r="K5688">
        <v>0.21409101676783401</v>
      </c>
      <c r="L5688">
        <v>725.56652699037704</v>
      </c>
      <c r="M5688">
        <v>11.626995714115999</v>
      </c>
      <c r="N5688">
        <v>62.403611827282397</v>
      </c>
      <c r="O5688">
        <v>60.643351200915497</v>
      </c>
      <c r="P5688">
        <v>-4.7944920933422397E-2</v>
      </c>
      <c r="Q5688">
        <v>0</v>
      </c>
      <c r="R5688">
        <v>0.97865289097628205</v>
      </c>
      <c r="S5688" t="s">
        <v>11999</v>
      </c>
      <c r="T5688" t="s">
        <v>12620</v>
      </c>
      <c r="U5688" t="s">
        <v>12620</v>
      </c>
      <c r="V5688" t="s">
        <v>12620</v>
      </c>
      <c r="W5688" t="s">
        <v>18249</v>
      </c>
      <c r="X5688">
        <v>2</v>
      </c>
      <c r="Y5688" t="s">
        <v>24343</v>
      </c>
      <c r="Z5688" t="s">
        <v>30635</v>
      </c>
      <c r="AA5688">
        <v>0.7305591100233898</v>
      </c>
      <c r="AB5688" t="str">
        <f>HYPERLINK("Melting_Curves/meltCurve_Q9NY12_2_GAR1.pdf", "Melting_Curves/meltCurve_Q9NY12_2_GAR1.pdf")</f>
        <v>Melting_Curves/meltCurve_Q9NY12_2_GAR1.pdf</v>
      </c>
    </row>
    <row r="5689" spans="1:28" x14ac:dyDescent="0.25">
      <c r="A5689" t="s">
        <v>5693</v>
      </c>
      <c r="B5689">
        <v>0.99987803227770999</v>
      </c>
      <c r="C5689">
        <v>1.0031971209041</v>
      </c>
      <c r="D5689">
        <v>0.95859383751273997</v>
      </c>
      <c r="E5689">
        <v>0.996501499081347</v>
      </c>
      <c r="F5689">
        <v>0.78793356864292197</v>
      </c>
      <c r="G5689">
        <v>0.67332052421327204</v>
      </c>
      <c r="H5689">
        <v>0.41546152804926101</v>
      </c>
      <c r="I5689">
        <v>0.27935459175198402</v>
      </c>
      <c r="J5689">
        <v>0.310832894006766</v>
      </c>
      <c r="K5689">
        <v>0.21848352250574801</v>
      </c>
      <c r="L5689">
        <v>959.82739675000005</v>
      </c>
      <c r="M5689">
        <v>16.649492090092199</v>
      </c>
      <c r="N5689">
        <v>59.369375477304303</v>
      </c>
      <c r="O5689">
        <v>56.836657334358598</v>
      </c>
      <c r="P5689">
        <v>-5.9223556844471399E-2</v>
      </c>
      <c r="Q5689">
        <v>0.191364345604217</v>
      </c>
      <c r="R5689">
        <v>0.98630679192278303</v>
      </c>
      <c r="S5689" t="s">
        <v>12000</v>
      </c>
      <c r="T5689" t="s">
        <v>12620</v>
      </c>
      <c r="U5689" t="s">
        <v>12620</v>
      </c>
      <c r="V5689" t="s">
        <v>12620</v>
      </c>
      <c r="W5689" t="s">
        <v>18250</v>
      </c>
      <c r="X5689">
        <v>18</v>
      </c>
      <c r="Y5689" t="s">
        <v>24344</v>
      </c>
      <c r="Z5689" t="s">
        <v>30636</v>
      </c>
      <c r="AA5689">
        <v>0.67810731931768575</v>
      </c>
      <c r="AB5689" t="str">
        <f>HYPERLINK("Melting_Curves/meltCurve_Q9NY27_PPP4R2.pdf", "Melting_Curves/meltCurve_Q9NY27_PPP4R2.pdf")</f>
        <v>Melting_Curves/meltCurve_Q9NY27_PPP4R2.pdf</v>
      </c>
    </row>
    <row r="5690" spans="1:28" x14ac:dyDescent="0.25">
      <c r="A5690" t="s">
        <v>5694</v>
      </c>
      <c r="B5690">
        <v>0.99987803227770999</v>
      </c>
      <c r="C5690">
        <v>0.78391176955872299</v>
      </c>
      <c r="D5690">
        <v>1.17202699417008</v>
      </c>
      <c r="E5690">
        <v>0.91561541893758602</v>
      </c>
      <c r="F5690">
        <v>0.41339634077680398</v>
      </c>
      <c r="G5690">
        <v>0.15827321491315399</v>
      </c>
      <c r="H5690">
        <v>9.3056900030942996E-2</v>
      </c>
      <c r="I5690">
        <v>7.3025244002316095E-2</v>
      </c>
      <c r="J5690">
        <v>5.8834094507673303E-2</v>
      </c>
      <c r="K5690">
        <v>4.15671931400542E-2</v>
      </c>
      <c r="L5690">
        <v>2368.2107685552101</v>
      </c>
      <c r="M5690">
        <v>45.191362937338603</v>
      </c>
      <c r="N5690">
        <v>52.602709109526899</v>
      </c>
      <c r="O5690">
        <v>52.301751807532497</v>
      </c>
      <c r="P5690">
        <v>-0.199067397104181</v>
      </c>
      <c r="Q5690">
        <v>7.8446886195323598E-2</v>
      </c>
      <c r="R5690">
        <v>0.95491658162279702</v>
      </c>
      <c r="S5690" t="s">
        <v>12001</v>
      </c>
      <c r="T5690" t="s">
        <v>12620</v>
      </c>
      <c r="U5690" t="s">
        <v>12620</v>
      </c>
      <c r="V5690" t="s">
        <v>12620</v>
      </c>
      <c r="W5690" t="s">
        <v>18251</v>
      </c>
      <c r="X5690">
        <v>31</v>
      </c>
      <c r="Y5690" t="s">
        <v>24345</v>
      </c>
      <c r="Z5690" t="s">
        <v>30637</v>
      </c>
      <c r="AA5690">
        <v>0.46209035974885582</v>
      </c>
      <c r="AB5690" t="str">
        <f>HYPERLINK("Melting_Curves/meltCurve_Q9NY33_DPP3.pdf", "Melting_Curves/meltCurve_Q9NY33_DPP3.pdf")</f>
        <v>Melting_Curves/meltCurve_Q9NY33_DPP3.pdf</v>
      </c>
    </row>
    <row r="5691" spans="1:28" x14ac:dyDescent="0.25">
      <c r="A5691" t="s">
        <v>5695</v>
      </c>
      <c r="B5691">
        <v>0.99987803227770999</v>
      </c>
      <c r="C5691">
        <v>1.03078249998212</v>
      </c>
      <c r="D5691">
        <v>1.0301392440197601</v>
      </c>
      <c r="E5691">
        <v>0.76358975146646002</v>
      </c>
      <c r="F5691">
        <v>0.67093709598138795</v>
      </c>
      <c r="G5691">
        <v>0.52637932670947496</v>
      </c>
      <c r="H5691">
        <v>0.43448957909969799</v>
      </c>
      <c r="I5691">
        <v>0.42934321998250102</v>
      </c>
      <c r="J5691">
        <v>0.36588952921850498</v>
      </c>
      <c r="K5691">
        <v>0.28969871080061499</v>
      </c>
      <c r="L5691">
        <v>802.88713918320695</v>
      </c>
      <c r="M5691">
        <v>15.057447665160799</v>
      </c>
      <c r="N5691">
        <v>57.477561276949302</v>
      </c>
      <c r="O5691">
        <v>52.407607624534101</v>
      </c>
      <c r="P5691">
        <v>-4.8009196271156303E-2</v>
      </c>
      <c r="Q5691">
        <v>0.33168011504887901</v>
      </c>
      <c r="R5691">
        <v>0.97423055729664698</v>
      </c>
      <c r="S5691" t="s">
        <v>12002</v>
      </c>
      <c r="T5691" t="s">
        <v>12620</v>
      </c>
      <c r="U5691" t="s">
        <v>12620</v>
      </c>
      <c r="V5691" t="s">
        <v>12620</v>
      </c>
      <c r="W5691" t="s">
        <v>18252</v>
      </c>
      <c r="X5691">
        <v>3</v>
      </c>
      <c r="Y5691" t="s">
        <v>24346</v>
      </c>
      <c r="Z5691" t="s">
        <v>30638</v>
      </c>
      <c r="AA5691">
        <v>0.64255723988541902</v>
      </c>
      <c r="AB5691" t="str">
        <f>HYPERLINK("Melting_Curves/meltCurve_Q9NY61_AATF.pdf", "Melting_Curves/meltCurve_Q9NY61_AATF.pdf")</f>
        <v>Melting_Curves/meltCurve_Q9NY61_AATF.pdf</v>
      </c>
    </row>
    <row r="5692" spans="1:28" x14ac:dyDescent="0.25">
      <c r="A5692" t="s">
        <v>5696</v>
      </c>
      <c r="B5692">
        <v>0.99987803227770999</v>
      </c>
      <c r="C5692">
        <v>1.10755132224936</v>
      </c>
      <c r="D5692">
        <v>0.99207515927093903</v>
      </c>
      <c r="E5692">
        <v>0.59599598343933902</v>
      </c>
      <c r="F5692">
        <v>0.36725338558150999</v>
      </c>
      <c r="G5692">
        <v>0.15488146243401599</v>
      </c>
      <c r="H5692">
        <v>9.9992375824278099E-2</v>
      </c>
      <c r="I5692">
        <v>8.36221707813639E-2</v>
      </c>
      <c r="J5692">
        <v>8.3189824962523001E-2</v>
      </c>
      <c r="K5692">
        <v>6.0266512461097099E-2</v>
      </c>
      <c r="L5692">
        <v>1260.1739883466701</v>
      </c>
      <c r="M5692">
        <v>24.739952807908701</v>
      </c>
      <c r="N5692">
        <v>51.302219445244397</v>
      </c>
      <c r="O5692">
        <v>50.607494561426201</v>
      </c>
      <c r="P5692">
        <v>-0.112343511630565</v>
      </c>
      <c r="Q5692">
        <v>8.0783377604586301E-2</v>
      </c>
      <c r="R5692">
        <v>0.98790236494232198</v>
      </c>
      <c r="S5692" t="s">
        <v>12003</v>
      </c>
      <c r="T5692" t="s">
        <v>12620</v>
      </c>
      <c r="U5692" t="s">
        <v>12620</v>
      </c>
      <c r="V5692" t="s">
        <v>12620</v>
      </c>
      <c r="W5692" t="s">
        <v>18253</v>
      </c>
      <c r="X5692">
        <v>3</v>
      </c>
      <c r="Y5692" t="s">
        <v>24347</v>
      </c>
      <c r="Z5692" t="s">
        <v>30639</v>
      </c>
      <c r="AA5692">
        <v>0.42436397664693998</v>
      </c>
      <c r="AB5692" t="str">
        <f>HYPERLINK("Melting_Curves/meltCurve_Q9NY93_DDX56.pdf", "Melting_Curves/meltCurve_Q9NY93_DDX56.pdf")</f>
        <v>Melting_Curves/meltCurve_Q9NY93_DDX56.pdf</v>
      </c>
    </row>
    <row r="5693" spans="1:28" x14ac:dyDescent="0.25">
      <c r="A5693" t="s">
        <v>5697</v>
      </c>
      <c r="B5693">
        <v>0.99987803227770999</v>
      </c>
      <c r="C5693">
        <v>0.90170308926239895</v>
      </c>
      <c r="D5693">
        <v>1.0061314396015</v>
      </c>
      <c r="E5693">
        <v>0.92441423260425704</v>
      </c>
      <c r="F5693">
        <v>1.1341136088941299</v>
      </c>
      <c r="G5693">
        <v>0.95850578989050195</v>
      </c>
      <c r="H5693">
        <v>0.88361655271419004</v>
      </c>
      <c r="I5693">
        <v>0.805935975783863</v>
      </c>
      <c r="J5693">
        <v>0.81642679575944899</v>
      </c>
      <c r="K5693">
        <v>0.70636570024906398</v>
      </c>
      <c r="L5693">
        <v>1432.8687362513999</v>
      </c>
      <c r="M5693">
        <v>22.959038329195899</v>
      </c>
      <c r="O5693">
        <v>61.942114672850202</v>
      </c>
      <c r="P5693">
        <v>-2.6212830843090899E-2</v>
      </c>
      <c r="Q5693">
        <v>0.71712279059431805</v>
      </c>
      <c r="R5693">
        <v>0.70677426597842197</v>
      </c>
      <c r="S5693" t="s">
        <v>12004</v>
      </c>
      <c r="T5693" t="s">
        <v>12620</v>
      </c>
      <c r="U5693" t="s">
        <v>12620</v>
      </c>
      <c r="V5693" t="s">
        <v>12620</v>
      </c>
      <c r="W5693" t="s">
        <v>18254</v>
      </c>
      <c r="X5693">
        <v>13</v>
      </c>
      <c r="Y5693" t="s">
        <v>24348</v>
      </c>
      <c r="Z5693" t="s">
        <v>30640</v>
      </c>
      <c r="AA5693">
        <v>0.92933183626445881</v>
      </c>
      <c r="AB5693" t="str">
        <f>HYPERLINK("Melting_Curves/meltCurve_Q9NYB0_TERF2IP.pdf", "Melting_Curves/meltCurve_Q9NYB0_TERF2IP.pdf")</f>
        <v>Melting_Curves/meltCurve_Q9NYB0_TERF2IP.pdf</v>
      </c>
    </row>
    <row r="5694" spans="1:28" x14ac:dyDescent="0.25">
      <c r="A5694" t="s">
        <v>5698</v>
      </c>
      <c r="B5694">
        <v>0.99987803227770999</v>
      </c>
      <c r="C5694">
        <v>0.94620398499399605</v>
      </c>
      <c r="D5694">
        <v>0.87041385603200405</v>
      </c>
      <c r="E5694">
        <v>1.1170963812963901</v>
      </c>
      <c r="F5694">
        <v>0.81326002564378896</v>
      </c>
      <c r="G5694">
        <v>0.58835810725350501</v>
      </c>
      <c r="H5694">
        <v>0.48894091704277298</v>
      </c>
      <c r="I5694">
        <v>0.339358096502137</v>
      </c>
      <c r="J5694">
        <v>0.30183225656594698</v>
      </c>
      <c r="K5694">
        <v>0.238879555794069</v>
      </c>
      <c r="L5694">
        <v>1031.5200670096899</v>
      </c>
      <c r="M5694">
        <v>17.999057657677401</v>
      </c>
      <c r="N5694">
        <v>59.471978085654101</v>
      </c>
      <c r="O5694">
        <v>56.616294334324898</v>
      </c>
      <c r="P5694">
        <v>-6.0396343650316202E-2</v>
      </c>
      <c r="Q5694">
        <v>0.24012723527339899</v>
      </c>
      <c r="R5694">
        <v>0.94080399965467398</v>
      </c>
      <c r="S5694" t="s">
        <v>12005</v>
      </c>
      <c r="T5694" t="s">
        <v>12620</v>
      </c>
      <c r="U5694" t="s">
        <v>12620</v>
      </c>
      <c r="V5694" t="s">
        <v>12620</v>
      </c>
      <c r="W5694" t="s">
        <v>18255</v>
      </c>
      <c r="X5694">
        <v>7</v>
      </c>
      <c r="Y5694" t="s">
        <v>24349</v>
      </c>
      <c r="Z5694" t="s">
        <v>30641</v>
      </c>
      <c r="AA5694">
        <v>0.68870551442641137</v>
      </c>
      <c r="AB5694" t="str">
        <f>HYPERLINK("Melting_Curves/meltCurve_Q9NYB9_2_ABI2.pdf", "Melting_Curves/meltCurve_Q9NYB9_2_ABI2.pdf")</f>
        <v>Melting_Curves/meltCurve_Q9NYB9_2_ABI2.pdf</v>
      </c>
    </row>
    <row r="5695" spans="1:28" x14ac:dyDescent="0.25">
      <c r="A5695" t="s">
        <v>5699</v>
      </c>
      <c r="B5695">
        <v>0.99987803227770999</v>
      </c>
      <c r="C5695">
        <v>0.89476835800188304</v>
      </c>
      <c r="D5695">
        <v>0.99434563358319294</v>
      </c>
      <c r="E5695">
        <v>0.88934171979646504</v>
      </c>
      <c r="F5695">
        <v>0.91330597706913996</v>
      </c>
      <c r="G5695">
        <v>0.723665716411378</v>
      </c>
      <c r="H5695">
        <v>0.77203608079602304</v>
      </c>
      <c r="I5695">
        <v>0.67497033849162502</v>
      </c>
      <c r="J5695">
        <v>0.80472293255108995</v>
      </c>
      <c r="K5695">
        <v>0.63267926430421195</v>
      </c>
      <c r="L5695">
        <v>491.16566910190602</v>
      </c>
      <c r="M5695">
        <v>8.8567113910613209</v>
      </c>
      <c r="O5695">
        <v>52.847971654756599</v>
      </c>
      <c r="P5695">
        <v>-1.5249862702532899E-2</v>
      </c>
      <c r="Q5695">
        <v>0.63629703379137903</v>
      </c>
      <c r="R5695">
        <v>0.77392779017409996</v>
      </c>
      <c r="S5695" t="s">
        <v>12006</v>
      </c>
      <c r="T5695" t="s">
        <v>12620</v>
      </c>
      <c r="U5695" t="s">
        <v>12620</v>
      </c>
      <c r="V5695" t="s">
        <v>12620</v>
      </c>
      <c r="W5695" t="s">
        <v>18256</v>
      </c>
      <c r="X5695">
        <v>20</v>
      </c>
      <c r="Y5695" t="s">
        <v>24350</v>
      </c>
      <c r="Z5695" t="s">
        <v>30642</v>
      </c>
      <c r="AA5695">
        <v>0.83244489410539135</v>
      </c>
      <c r="AB5695" t="str">
        <f>HYPERLINK("Melting_Curves/meltCurve_Q9NYF8_2_BCLAF1.pdf", "Melting_Curves/meltCurve_Q9NYF8_2_BCLAF1.pdf")</f>
        <v>Melting_Curves/meltCurve_Q9NYF8_2_BCLAF1.pdf</v>
      </c>
    </row>
    <row r="5696" spans="1:28" x14ac:dyDescent="0.25">
      <c r="A5696" t="s">
        <v>5700</v>
      </c>
      <c r="B5696">
        <v>0.99987803227770999</v>
      </c>
      <c r="C5696">
        <v>0.86571320783172201</v>
      </c>
      <c r="D5696">
        <v>1.0119872622230199</v>
      </c>
      <c r="E5696">
        <v>0.89329364091681895</v>
      </c>
      <c r="F5696">
        <v>1.0479110968208001</v>
      </c>
      <c r="G5696">
        <v>0.72148565276623799</v>
      </c>
      <c r="H5696">
        <v>0.69868056892223895</v>
      </c>
      <c r="I5696">
        <v>0.600530290021425</v>
      </c>
      <c r="J5696">
        <v>0.58876377518858902</v>
      </c>
      <c r="K5696">
        <v>0.42930411270012098</v>
      </c>
      <c r="L5696">
        <v>590.59686234301103</v>
      </c>
      <c r="M5696">
        <v>9.19094714455637</v>
      </c>
      <c r="N5696">
        <v>68.248552269973402</v>
      </c>
      <c r="O5696">
        <v>61.4359956634501</v>
      </c>
      <c r="P5696">
        <v>-2.9646794797241301E-2</v>
      </c>
      <c r="Q5696">
        <v>0.207846778620252</v>
      </c>
      <c r="R5696">
        <v>0.86342253910457101</v>
      </c>
      <c r="S5696" t="s">
        <v>12007</v>
      </c>
      <c r="T5696" t="s">
        <v>12620</v>
      </c>
      <c r="U5696" t="s">
        <v>12620</v>
      </c>
      <c r="V5696" t="s">
        <v>12620</v>
      </c>
      <c r="W5696" t="s">
        <v>18257</v>
      </c>
      <c r="X5696">
        <v>19</v>
      </c>
      <c r="Y5696" t="s">
        <v>24350</v>
      </c>
      <c r="Z5696" t="s">
        <v>30643</v>
      </c>
      <c r="AA5696">
        <v>0.80688903257228084</v>
      </c>
      <c r="AB5696" t="str">
        <f>HYPERLINK("Melting_Curves/meltCurve_Q9NYF8_3_BCLAF1.pdf", "Melting_Curves/meltCurve_Q9NYF8_3_BCLAF1.pdf")</f>
        <v>Melting_Curves/meltCurve_Q9NYF8_3_BCLAF1.pdf</v>
      </c>
    </row>
    <row r="5697" spans="1:28" x14ac:dyDescent="0.25">
      <c r="A5697" t="s">
        <v>5701</v>
      </c>
      <c r="B5697">
        <v>0.99987803227770999</v>
      </c>
      <c r="C5697">
        <v>0.95525951307344603</v>
      </c>
      <c r="D5697">
        <v>0.98703378377733497</v>
      </c>
      <c r="E5697">
        <v>0.86450655380285502</v>
      </c>
      <c r="F5697">
        <v>1.1644034099880101</v>
      </c>
      <c r="G5697">
        <v>0.86295427113560097</v>
      </c>
      <c r="H5697">
        <v>0.97709156426386201</v>
      </c>
      <c r="I5697">
        <v>0.85472521489634601</v>
      </c>
      <c r="J5697">
        <v>1.0254248101655301</v>
      </c>
      <c r="K5697">
        <v>0.81968533844759695</v>
      </c>
      <c r="L5697">
        <v>378.00103938524899</v>
      </c>
      <c r="M5697">
        <v>3.40787961375176</v>
      </c>
      <c r="Q5697">
        <v>0</v>
      </c>
      <c r="R5697">
        <v>0.118155624248168</v>
      </c>
      <c r="S5697" t="s">
        <v>12008</v>
      </c>
      <c r="T5697" t="s">
        <v>12620</v>
      </c>
      <c r="U5697" t="s">
        <v>12620</v>
      </c>
      <c r="V5697" t="s">
        <v>12620</v>
      </c>
      <c r="W5697" t="s">
        <v>18258</v>
      </c>
      <c r="X5697">
        <v>1</v>
      </c>
      <c r="Y5697" t="s">
        <v>24351</v>
      </c>
      <c r="Z5697" t="s">
        <v>30644</v>
      </c>
      <c r="AA5697">
        <v>0.95904338730221883</v>
      </c>
      <c r="AB5697" t="str">
        <f>HYPERLINK("Melting_Curves/meltCurve_Q9NYG5_ANAPC11.pdf", "Melting_Curves/meltCurve_Q9NYG5_ANAPC11.pdf")</f>
        <v>Melting_Curves/meltCurve_Q9NYG5_ANAPC11.pdf</v>
      </c>
    </row>
    <row r="5698" spans="1:28" x14ac:dyDescent="0.25">
      <c r="A5698" t="s">
        <v>5702</v>
      </c>
      <c r="B5698">
        <v>0.99987803227770999</v>
      </c>
      <c r="C5698">
        <v>0.76062354755678696</v>
      </c>
      <c r="D5698">
        <v>0.96512080853117799</v>
      </c>
      <c r="E5698">
        <v>0.76617029357786104</v>
      </c>
      <c r="F5698">
        <v>1.02909159263885</v>
      </c>
      <c r="G5698">
        <v>0.79915214691886305</v>
      </c>
      <c r="H5698">
        <v>0.89703155310659899</v>
      </c>
      <c r="I5698">
        <v>0.83525968952388596</v>
      </c>
      <c r="J5698">
        <v>0.928706310380917</v>
      </c>
      <c r="K5698">
        <v>0.78544040125717696</v>
      </c>
      <c r="L5698">
        <v>10230.777704242701</v>
      </c>
      <c r="M5698">
        <v>250</v>
      </c>
      <c r="O5698">
        <v>40.920492659351403</v>
      </c>
      <c r="P5698">
        <v>-0.20931564049218099</v>
      </c>
      <c r="Q5698">
        <v>0.86295521625314697</v>
      </c>
      <c r="R5698">
        <v>0.18524732991533599</v>
      </c>
      <c r="S5698" t="s">
        <v>12009</v>
      </c>
      <c r="T5698" t="s">
        <v>12620</v>
      </c>
      <c r="U5698" t="s">
        <v>12620</v>
      </c>
      <c r="V5698" t="s">
        <v>12620</v>
      </c>
      <c r="W5698" t="s">
        <v>18259</v>
      </c>
      <c r="X5698">
        <v>6</v>
      </c>
      <c r="Y5698" t="s">
        <v>24352</v>
      </c>
      <c r="Z5698" t="s">
        <v>30645</v>
      </c>
      <c r="AA5698">
        <v>0.86718418549812393</v>
      </c>
      <c r="AB5698" t="str">
        <f>HYPERLINK("Melting_Curves/meltCurve_Q9NYJ1_COA4.pdf", "Melting_Curves/meltCurve_Q9NYJ1_COA4.pdf")</f>
        <v>Melting_Curves/meltCurve_Q9NYJ1_COA4.pdf</v>
      </c>
    </row>
    <row r="5699" spans="1:28" x14ac:dyDescent="0.25">
      <c r="A5699" t="s">
        <v>5703</v>
      </c>
      <c r="B5699">
        <v>0.99987803227770999</v>
      </c>
      <c r="C5699">
        <v>0.98119176978201805</v>
      </c>
      <c r="D5699">
        <v>1.01826458842543</v>
      </c>
      <c r="E5699">
        <v>0.82950835979309601</v>
      </c>
      <c r="F5699">
        <v>1.14418014390238</v>
      </c>
      <c r="G5699">
        <v>0.69590666733906603</v>
      </c>
      <c r="H5699">
        <v>0.72503218527163404</v>
      </c>
      <c r="I5699">
        <v>0.74352878152508906</v>
      </c>
      <c r="J5699">
        <v>0.62010020736636995</v>
      </c>
      <c r="K5699">
        <v>0.56179797694401901</v>
      </c>
      <c r="L5699">
        <v>14123.915080918199</v>
      </c>
      <c r="M5699">
        <v>250</v>
      </c>
      <c r="O5699">
        <v>56.4920450828848</v>
      </c>
      <c r="P5699">
        <v>-0.37326631547935901</v>
      </c>
      <c r="Q5699">
        <v>0.66261476068124203</v>
      </c>
      <c r="R5699">
        <v>0.78434147269168497</v>
      </c>
      <c r="S5699" t="s">
        <v>12010</v>
      </c>
      <c r="T5699" t="s">
        <v>12620</v>
      </c>
      <c r="U5699" t="s">
        <v>12620</v>
      </c>
      <c r="V5699" t="s">
        <v>12620</v>
      </c>
      <c r="W5699" t="s">
        <v>18260</v>
      </c>
      <c r="X5699">
        <v>8</v>
      </c>
      <c r="Y5699" t="s">
        <v>24353</v>
      </c>
      <c r="Z5699" t="s">
        <v>30646</v>
      </c>
      <c r="AA5699">
        <v>0.84816128895933185</v>
      </c>
      <c r="AB5699" t="str">
        <f>HYPERLINK("Melting_Curves/meltCurve_Q9NYJ8_TAB2.pdf", "Melting_Curves/meltCurve_Q9NYJ8_TAB2.pdf")</f>
        <v>Melting_Curves/meltCurve_Q9NYJ8_TAB2.pdf</v>
      </c>
    </row>
    <row r="5700" spans="1:28" x14ac:dyDescent="0.25">
      <c r="A5700" t="s">
        <v>5704</v>
      </c>
      <c r="B5700">
        <v>0.99987803227770999</v>
      </c>
      <c r="C5700">
        <v>0.91185759428097601</v>
      </c>
      <c r="D5700">
        <v>0.95083942896938201</v>
      </c>
      <c r="E5700">
        <v>0.86901527535401601</v>
      </c>
      <c r="F5700">
        <v>0.85864776716965896</v>
      </c>
      <c r="G5700">
        <v>0.40622943735738698</v>
      </c>
      <c r="H5700">
        <v>0.119285723696647</v>
      </c>
      <c r="I5700">
        <v>0.10483500366298899</v>
      </c>
      <c r="J5700">
        <v>8.5662050087287805E-2</v>
      </c>
      <c r="K5700">
        <v>5.4052598372636103E-2</v>
      </c>
      <c r="L5700">
        <v>1476.6864283760301</v>
      </c>
      <c r="M5700">
        <v>26.429943715396</v>
      </c>
      <c r="N5700">
        <v>56.129545875044698</v>
      </c>
      <c r="O5700">
        <v>55.554803123232197</v>
      </c>
      <c r="P5700">
        <v>-0.112139147267123</v>
      </c>
      <c r="Q5700">
        <v>5.71600732277497E-2</v>
      </c>
      <c r="R5700">
        <v>0.98639874141102302</v>
      </c>
      <c r="S5700" t="s">
        <v>12011</v>
      </c>
      <c r="T5700" t="s">
        <v>12620</v>
      </c>
      <c r="U5700" t="s">
        <v>12620</v>
      </c>
      <c r="V5700" t="s">
        <v>12620</v>
      </c>
      <c r="W5700" t="s">
        <v>18261</v>
      </c>
      <c r="X5700">
        <v>14</v>
      </c>
      <c r="Y5700" t="s">
        <v>24354</v>
      </c>
      <c r="Z5700" t="s">
        <v>30647</v>
      </c>
      <c r="AA5700">
        <v>0.56386088872158069</v>
      </c>
      <c r="AB5700" t="str">
        <f>HYPERLINK("Melting_Curves/meltCurve_Q9NYL2_MLTK.pdf", "Melting_Curves/meltCurve_Q9NYL2_MLTK.pdf")</f>
        <v>Melting_Curves/meltCurve_Q9NYL2_MLTK.pdf</v>
      </c>
    </row>
    <row r="5701" spans="1:28" x14ac:dyDescent="0.25">
      <c r="A5701" t="s">
        <v>5705</v>
      </c>
      <c r="B5701">
        <v>0.99987803227770999</v>
      </c>
      <c r="C5701">
        <v>0.83094414121726501</v>
      </c>
      <c r="D5701">
        <v>0.987128004608814</v>
      </c>
      <c r="E5701">
        <v>0.96005932252123505</v>
      </c>
      <c r="F5701">
        <v>1.0321893585714099</v>
      </c>
      <c r="G5701">
        <v>0.71607425935123303</v>
      </c>
      <c r="H5701">
        <v>0.236292346097696</v>
      </c>
      <c r="I5701">
        <v>0.219613851565364</v>
      </c>
      <c r="J5701">
        <v>0.16913442035712301</v>
      </c>
      <c r="K5701">
        <v>0.13489885608698601</v>
      </c>
      <c r="L5701">
        <v>2710.2401902742499</v>
      </c>
      <c r="M5701">
        <v>46.872207187678399</v>
      </c>
      <c r="N5701">
        <v>58.340842704096701</v>
      </c>
      <c r="O5701">
        <v>57.716966274311297</v>
      </c>
      <c r="P5701">
        <v>-0.168417387885784</v>
      </c>
      <c r="Q5701">
        <v>0.17046563140509699</v>
      </c>
      <c r="R5701">
        <v>0.97423715529238697</v>
      </c>
      <c r="S5701" t="s">
        <v>12012</v>
      </c>
      <c r="T5701" t="s">
        <v>12620</v>
      </c>
      <c r="U5701" t="s">
        <v>12620</v>
      </c>
      <c r="V5701" t="s">
        <v>12620</v>
      </c>
      <c r="W5701" t="s">
        <v>18262</v>
      </c>
      <c r="X5701">
        <v>12</v>
      </c>
      <c r="Y5701" t="s">
        <v>24354</v>
      </c>
      <c r="Z5701" t="s">
        <v>30648</v>
      </c>
      <c r="AA5701">
        <v>0.66565591335534369</v>
      </c>
      <c r="AB5701" t="str">
        <f>HYPERLINK("Melting_Curves/meltCurve_Q9NYL2_2_MLTK.pdf", "Melting_Curves/meltCurve_Q9NYL2_2_MLTK.pdf")</f>
        <v>Melting_Curves/meltCurve_Q9NYL2_2_MLTK.pdf</v>
      </c>
    </row>
    <row r="5702" spans="1:28" x14ac:dyDescent="0.25">
      <c r="A5702" t="s">
        <v>5706</v>
      </c>
      <c r="B5702">
        <v>0.99987803227770999</v>
      </c>
      <c r="C5702">
        <v>1.04221216232915</v>
      </c>
      <c r="D5702">
        <v>0.982113085911128</v>
      </c>
      <c r="E5702">
        <v>0.82574829582508502</v>
      </c>
      <c r="F5702">
        <v>0.62232302129908701</v>
      </c>
      <c r="G5702">
        <v>0.49485425280601297</v>
      </c>
      <c r="H5702">
        <v>0.43357818270953202</v>
      </c>
      <c r="I5702">
        <v>0.45206540777534798</v>
      </c>
      <c r="J5702">
        <v>0.42893402151537602</v>
      </c>
      <c r="K5702">
        <v>0.351189229207301</v>
      </c>
      <c r="L5702">
        <v>1181.1693587838199</v>
      </c>
      <c r="M5702">
        <v>22.759763606453699</v>
      </c>
      <c r="N5702">
        <v>56.1293268986811</v>
      </c>
      <c r="O5702">
        <v>51.501596283050901</v>
      </c>
      <c r="P5702">
        <v>-6.5172518555211903E-2</v>
      </c>
      <c r="Q5702">
        <v>0.41011281399454602</v>
      </c>
      <c r="R5702">
        <v>0.98805222416400695</v>
      </c>
      <c r="S5702" t="s">
        <v>12013</v>
      </c>
      <c r="T5702" t="s">
        <v>12620</v>
      </c>
      <c r="U5702" t="s">
        <v>12620</v>
      </c>
      <c r="V5702" t="s">
        <v>12620</v>
      </c>
      <c r="W5702" t="s">
        <v>18263</v>
      </c>
      <c r="X5702">
        <v>18</v>
      </c>
      <c r="Y5702" t="s">
        <v>24355</v>
      </c>
      <c r="Z5702" t="s">
        <v>30649</v>
      </c>
      <c r="AA5702">
        <v>0.65048218309031836</v>
      </c>
      <c r="AB5702" t="str">
        <f>HYPERLINK("Melting_Curves/meltCurve_Q9NYL9_TMOD3.pdf", "Melting_Curves/meltCurve_Q9NYL9_TMOD3.pdf")</f>
        <v>Melting_Curves/meltCurve_Q9NYL9_TMOD3.pdf</v>
      </c>
    </row>
    <row r="5703" spans="1:28" x14ac:dyDescent="0.25">
      <c r="A5703" t="s">
        <v>5707</v>
      </c>
      <c r="B5703">
        <v>0.99987803227770999</v>
      </c>
      <c r="C5703">
        <v>0.99944934244227102</v>
      </c>
      <c r="D5703">
        <v>0.97401782518228197</v>
      </c>
      <c r="E5703">
        <v>0.97103163732895603</v>
      </c>
      <c r="F5703">
        <v>0.84678414610749098</v>
      </c>
      <c r="G5703">
        <v>0.63184265729996103</v>
      </c>
      <c r="H5703">
        <v>0.44697010855088198</v>
      </c>
      <c r="I5703">
        <v>0.33422382864512701</v>
      </c>
      <c r="J5703">
        <v>0.23982526650970801</v>
      </c>
      <c r="K5703">
        <v>0.13443509129596301</v>
      </c>
      <c r="L5703">
        <v>792.77664467688396</v>
      </c>
      <c r="M5703">
        <v>13.3058347082324</v>
      </c>
      <c r="N5703">
        <v>59.9793001405531</v>
      </c>
      <c r="O5703">
        <v>58.283593550638898</v>
      </c>
      <c r="P5703">
        <v>-5.4669937347749699E-2</v>
      </c>
      <c r="Q5703">
        <v>4.2270899737570602E-2</v>
      </c>
      <c r="R5703">
        <v>0.99637326356301503</v>
      </c>
      <c r="S5703" t="s">
        <v>12014</v>
      </c>
      <c r="T5703" t="s">
        <v>12620</v>
      </c>
      <c r="U5703" t="s">
        <v>12620</v>
      </c>
      <c r="V5703" t="s">
        <v>12620</v>
      </c>
      <c r="W5703" t="s">
        <v>18264</v>
      </c>
      <c r="X5703">
        <v>2</v>
      </c>
      <c r="Y5703" t="s">
        <v>24356</v>
      </c>
      <c r="Z5703" t="s">
        <v>30650</v>
      </c>
      <c r="AA5703">
        <v>0.67399799445162356</v>
      </c>
      <c r="AB5703" t="str">
        <f>HYPERLINK("Melting_Curves/meltCurve_Q9NYP9_MIS18A.pdf", "Melting_Curves/meltCurve_Q9NYP9_MIS18A.pdf")</f>
        <v>Melting_Curves/meltCurve_Q9NYP9_MIS18A.pdf</v>
      </c>
    </row>
    <row r="5704" spans="1:28" x14ac:dyDescent="0.25">
      <c r="A5704" t="s">
        <v>5708</v>
      </c>
      <c r="B5704">
        <v>0.99987803227770999</v>
      </c>
      <c r="C5704">
        <v>0.77449157840946103</v>
      </c>
      <c r="D5704">
        <v>0.91530815221054795</v>
      </c>
      <c r="E5704">
        <v>0.77247940847073004</v>
      </c>
      <c r="F5704">
        <v>0.95025786498434095</v>
      </c>
      <c r="G5704">
        <v>0.80669921043279103</v>
      </c>
      <c r="H5704">
        <v>0.81715528394805903</v>
      </c>
      <c r="I5704">
        <v>0.77256413083017506</v>
      </c>
      <c r="J5704">
        <v>0.84095341538200497</v>
      </c>
      <c r="K5704">
        <v>0.72250689959019399</v>
      </c>
      <c r="L5704">
        <v>106.25246021880599</v>
      </c>
      <c r="M5704">
        <v>0.31232149021811001</v>
      </c>
      <c r="O5704">
        <v>42.442500655294602</v>
      </c>
      <c r="P5704">
        <v>-5.3345512822185201E-3</v>
      </c>
      <c r="Q5704">
        <v>0</v>
      </c>
      <c r="R5704">
        <v>0.316614478983476</v>
      </c>
      <c r="S5704" t="s">
        <v>12015</v>
      </c>
      <c r="T5704" t="s">
        <v>12620</v>
      </c>
      <c r="U5704" t="s">
        <v>12620</v>
      </c>
      <c r="V5704" t="s">
        <v>12620</v>
      </c>
      <c r="W5704" t="s">
        <v>18265</v>
      </c>
      <c r="X5704">
        <v>4</v>
      </c>
      <c r="Y5704" t="s">
        <v>24357</v>
      </c>
      <c r="Z5704" t="s">
        <v>30651</v>
      </c>
      <c r="AA5704">
        <v>0.83691823285106826</v>
      </c>
      <c r="AB5704" t="str">
        <f>HYPERLINK("Melting_Curves/meltCurve_Q9NYQ6_CELSR1.pdf", "Melting_Curves/meltCurve_Q9NYQ6_CELSR1.pdf")</f>
        <v>Melting_Curves/meltCurve_Q9NYQ6_CELSR1.pdf</v>
      </c>
    </row>
    <row r="5705" spans="1:28" x14ac:dyDescent="0.25">
      <c r="A5705" t="s">
        <v>5709</v>
      </c>
      <c r="B5705">
        <v>0.99987803227770999</v>
      </c>
      <c r="C5705">
        <v>0.77020672909193899</v>
      </c>
      <c r="D5705">
        <v>0.59287151806083904</v>
      </c>
      <c r="E5705">
        <v>0.429335489667592</v>
      </c>
      <c r="F5705">
        <v>0.37468197178241702</v>
      </c>
      <c r="G5705">
        <v>0.211888081181282</v>
      </c>
      <c r="H5705">
        <v>0.190226031650222</v>
      </c>
      <c r="I5705">
        <v>0.198986253421468</v>
      </c>
      <c r="J5705">
        <v>8.6606908477272607E-2</v>
      </c>
      <c r="K5705">
        <v>5.6255869101191298E-2</v>
      </c>
      <c r="L5705">
        <v>500.10416434127802</v>
      </c>
      <c r="M5705">
        <v>10.3983277608798</v>
      </c>
      <c r="N5705">
        <v>48.826289541525497</v>
      </c>
      <c r="O5705">
        <v>46.417908799649197</v>
      </c>
      <c r="P5705">
        <v>-5.1985457994046198E-2</v>
      </c>
      <c r="Q5705">
        <v>7.21407905331692E-2</v>
      </c>
      <c r="R5705">
        <v>0.97249864736901004</v>
      </c>
      <c r="S5705" t="s">
        <v>12016</v>
      </c>
      <c r="T5705" t="s">
        <v>12620</v>
      </c>
      <c r="U5705" t="s">
        <v>12620</v>
      </c>
      <c r="V5705" t="s">
        <v>12620</v>
      </c>
      <c r="W5705" t="s">
        <v>18266</v>
      </c>
      <c r="X5705">
        <v>4</v>
      </c>
      <c r="Y5705" t="s">
        <v>24358</v>
      </c>
      <c r="Z5705" t="s">
        <v>30652</v>
      </c>
      <c r="AA5705">
        <v>0.36837726695747419</v>
      </c>
      <c r="AB5705" t="str">
        <f>HYPERLINK("Melting_Curves/meltCurve_Q9NYS0_NKIRAS1.pdf", "Melting_Curves/meltCurve_Q9NYS0_NKIRAS1.pdf")</f>
        <v>Melting_Curves/meltCurve_Q9NYS0_NKIRAS1.pdf</v>
      </c>
    </row>
    <row r="5706" spans="1:28" x14ac:dyDescent="0.25">
      <c r="A5706" t="s">
        <v>5710</v>
      </c>
      <c r="B5706">
        <v>0.99987803227770999</v>
      </c>
      <c r="C5706">
        <v>0.81023375606405301</v>
      </c>
      <c r="D5706">
        <v>0.75750417414583504</v>
      </c>
      <c r="E5706">
        <v>0.34093722485920802</v>
      </c>
      <c r="F5706">
        <v>0.20240239601784901</v>
      </c>
      <c r="G5706">
        <v>0.14606043865745899</v>
      </c>
      <c r="H5706">
        <v>0.13250757104219199</v>
      </c>
      <c r="I5706">
        <v>0.121215550817326</v>
      </c>
      <c r="J5706">
        <v>8.64306150987776E-2</v>
      </c>
      <c r="K5706">
        <v>5.6980195181709499E-2</v>
      </c>
      <c r="L5706">
        <v>854.10511939284697</v>
      </c>
      <c r="M5706">
        <v>17.8919625606739</v>
      </c>
      <c r="N5706">
        <v>48.256110024762897</v>
      </c>
      <c r="O5706">
        <v>47.152453938666397</v>
      </c>
      <c r="P5706">
        <v>-8.6559509443065799E-2</v>
      </c>
      <c r="Q5706">
        <v>8.7570845766290803E-2</v>
      </c>
      <c r="R5706">
        <v>0.98611624816232402</v>
      </c>
      <c r="S5706" t="s">
        <v>12017</v>
      </c>
      <c r="T5706" t="s">
        <v>12620</v>
      </c>
      <c r="U5706" t="s">
        <v>12620</v>
      </c>
      <c r="V5706" t="s">
        <v>12620</v>
      </c>
      <c r="W5706" t="s">
        <v>18267</v>
      </c>
      <c r="X5706">
        <v>8</v>
      </c>
      <c r="Y5706" t="s">
        <v>24359</v>
      </c>
      <c r="Z5706" t="s">
        <v>30653</v>
      </c>
      <c r="AA5706">
        <v>0.33941663775768399</v>
      </c>
      <c r="AB5706" t="str">
        <f>HYPERLINK("Melting_Curves/meltCurve_Q9NYT0_PLEK2.pdf", "Melting_Curves/meltCurve_Q9NYT0_PLEK2.pdf")</f>
        <v>Melting_Curves/meltCurve_Q9NYT0_PLEK2.pdf</v>
      </c>
    </row>
    <row r="5707" spans="1:28" x14ac:dyDescent="0.25">
      <c r="A5707" t="s">
        <v>5711</v>
      </c>
      <c r="B5707">
        <v>0.99987803227770999</v>
      </c>
      <c r="C5707">
        <v>1.16082248020747</v>
      </c>
      <c r="D5707">
        <v>0.98127383902745302</v>
      </c>
      <c r="E5707">
        <v>1.23940607908603</v>
      </c>
      <c r="F5707">
        <v>0.79736641297005895</v>
      </c>
      <c r="G5707">
        <v>0.30337713720058201</v>
      </c>
      <c r="H5707">
        <v>0.16287231159628801</v>
      </c>
      <c r="I5707">
        <v>0.139510998846998</v>
      </c>
      <c r="J5707">
        <v>0.107728887013713</v>
      </c>
      <c r="K5707">
        <v>7.6063101948133496E-2</v>
      </c>
      <c r="L5707">
        <v>2258.7420499067798</v>
      </c>
      <c r="M5707">
        <v>41.066684588666199</v>
      </c>
      <c r="N5707">
        <v>55.367602126575001</v>
      </c>
      <c r="O5707">
        <v>54.871871248104199</v>
      </c>
      <c r="P5707">
        <v>-0.164871962073182</v>
      </c>
      <c r="Q5707">
        <v>0.118816993546104</v>
      </c>
      <c r="R5707">
        <v>0.95361314051397505</v>
      </c>
      <c r="S5707" t="s">
        <v>12018</v>
      </c>
      <c r="T5707" t="s">
        <v>12620</v>
      </c>
      <c r="U5707" t="s">
        <v>12620</v>
      </c>
      <c r="V5707" t="s">
        <v>12620</v>
      </c>
      <c r="W5707" t="s">
        <v>18268</v>
      </c>
      <c r="X5707">
        <v>35</v>
      </c>
      <c r="Y5707" t="s">
        <v>24360</v>
      </c>
      <c r="Z5707" t="s">
        <v>30654</v>
      </c>
      <c r="AA5707">
        <v>0.56262928271010848</v>
      </c>
      <c r="AB5707" t="str">
        <f>HYPERLINK("Melting_Curves/meltCurve_Q9NYU2_2_UGGT1.pdf", "Melting_Curves/meltCurve_Q9NYU2_2_UGGT1.pdf")</f>
        <v>Melting_Curves/meltCurve_Q9NYU2_2_UGGT1.pdf</v>
      </c>
    </row>
    <row r="5708" spans="1:28" x14ac:dyDescent="0.25">
      <c r="A5708" t="s">
        <v>5712</v>
      </c>
      <c r="B5708">
        <v>0.99987803227770999</v>
      </c>
      <c r="C5708">
        <v>1.00616149436599</v>
      </c>
      <c r="D5708">
        <v>0.93325996822003199</v>
      </c>
      <c r="E5708">
        <v>0.83086489391999596</v>
      </c>
      <c r="F5708">
        <v>0.60269945838982297</v>
      </c>
      <c r="G5708">
        <v>0.35627951309467498</v>
      </c>
      <c r="H5708">
        <v>0.37821914232050502</v>
      </c>
      <c r="I5708">
        <v>0.311726187752494</v>
      </c>
      <c r="J5708">
        <v>0.31335651576251</v>
      </c>
      <c r="K5708">
        <v>0.25308042097051903</v>
      </c>
      <c r="L5708">
        <v>1159.772781338</v>
      </c>
      <c r="M5708">
        <v>22.154624275437399</v>
      </c>
      <c r="N5708">
        <v>54.533731345509501</v>
      </c>
      <c r="O5708">
        <v>51.9281028311242</v>
      </c>
      <c r="P5708">
        <v>-7.5285757482358495E-2</v>
      </c>
      <c r="Q5708">
        <v>0.29416782241797801</v>
      </c>
      <c r="R5708">
        <v>0.99080028843587897</v>
      </c>
      <c r="S5708" t="s">
        <v>12019</v>
      </c>
      <c r="T5708" t="s">
        <v>12620</v>
      </c>
      <c r="U5708" t="s">
        <v>12620</v>
      </c>
      <c r="V5708" t="s">
        <v>12620</v>
      </c>
      <c r="W5708" t="s">
        <v>18269</v>
      </c>
      <c r="X5708">
        <v>20</v>
      </c>
      <c r="Y5708" t="s">
        <v>24361</v>
      </c>
      <c r="Z5708" t="s">
        <v>30655</v>
      </c>
      <c r="AA5708">
        <v>0.59282159902219356</v>
      </c>
      <c r="AB5708" t="str">
        <f>HYPERLINK("Melting_Curves/meltCurve_Q9NYV4_2_CDK12.pdf", "Melting_Curves/meltCurve_Q9NYV4_2_CDK12.pdf")</f>
        <v>Melting_Curves/meltCurve_Q9NYV4_2_CDK12.pdf</v>
      </c>
    </row>
    <row r="5709" spans="1:28" x14ac:dyDescent="0.25">
      <c r="A5709" t="s">
        <v>5713</v>
      </c>
      <c r="B5709">
        <v>0.99987803227770999</v>
      </c>
      <c r="C5709">
        <v>1.0209202172081</v>
      </c>
      <c r="D5709">
        <v>0.86581685161890598</v>
      </c>
      <c r="E5709">
        <v>0.60461649289081898</v>
      </c>
      <c r="F5709">
        <v>0.262487464750296</v>
      </c>
      <c r="G5709">
        <v>0.16608790744152899</v>
      </c>
      <c r="H5709">
        <v>0.10921941348202199</v>
      </c>
      <c r="I5709">
        <v>8.4296554543010493E-2</v>
      </c>
      <c r="J5709">
        <v>5.1137790336899802E-2</v>
      </c>
      <c r="K5709">
        <v>3.9726218875640401E-2</v>
      </c>
      <c r="L5709">
        <v>1093.2077923976301</v>
      </c>
      <c r="M5709">
        <v>21.683799812358401</v>
      </c>
      <c r="N5709">
        <v>50.7358426187539</v>
      </c>
      <c r="O5709">
        <v>49.992960839128301</v>
      </c>
      <c r="P5709">
        <v>-0.101507139456747</v>
      </c>
      <c r="Q5709">
        <v>6.39053131256236E-2</v>
      </c>
      <c r="R5709">
        <v>0.99463817347762695</v>
      </c>
      <c r="S5709" t="s">
        <v>12020</v>
      </c>
      <c r="T5709" t="s">
        <v>12620</v>
      </c>
      <c r="U5709" t="s">
        <v>12620</v>
      </c>
      <c r="V5709" t="s">
        <v>12620</v>
      </c>
      <c r="W5709" t="s">
        <v>18270</v>
      </c>
      <c r="X5709">
        <v>8</v>
      </c>
      <c r="Y5709" t="s">
        <v>24362</v>
      </c>
      <c r="Z5709" t="s">
        <v>30656</v>
      </c>
      <c r="AA5709">
        <v>0.40004254552859181</v>
      </c>
      <c r="AB5709" t="str">
        <f>HYPERLINK("Melting_Curves/meltCurve_Q9NYY8_FASTKD2.pdf", "Melting_Curves/meltCurve_Q9NYY8_FASTKD2.pdf")</f>
        <v>Melting_Curves/meltCurve_Q9NYY8_FASTKD2.pdf</v>
      </c>
    </row>
    <row r="5710" spans="1:28" x14ac:dyDescent="0.25">
      <c r="A5710" t="s">
        <v>5714</v>
      </c>
      <c r="B5710">
        <v>0.99987803227770999</v>
      </c>
      <c r="C5710">
        <v>0.88045316469714396</v>
      </c>
      <c r="D5710">
        <v>1.00057483263076</v>
      </c>
      <c r="E5710">
        <v>0.84573553816521996</v>
      </c>
      <c r="F5710">
        <v>0.97064804320672105</v>
      </c>
      <c r="G5710">
        <v>0.71526173658879999</v>
      </c>
      <c r="H5710">
        <v>0.76071728588746002</v>
      </c>
      <c r="I5710">
        <v>0.76693307515884102</v>
      </c>
      <c r="J5710">
        <v>0.68597395111002302</v>
      </c>
      <c r="K5710">
        <v>0.596523619094807</v>
      </c>
      <c r="L5710">
        <v>295.13127811507098</v>
      </c>
      <c r="M5710">
        <v>3.6924956320954498</v>
      </c>
      <c r="O5710">
        <v>63.887763863561801</v>
      </c>
      <c r="P5710">
        <v>-1.4688396187822399E-2</v>
      </c>
      <c r="Q5710">
        <v>0</v>
      </c>
      <c r="R5710">
        <v>0.78218870217933201</v>
      </c>
      <c r="S5710" t="s">
        <v>12021</v>
      </c>
      <c r="T5710" t="s">
        <v>12620</v>
      </c>
      <c r="U5710" t="s">
        <v>12620</v>
      </c>
      <c r="V5710" t="s">
        <v>12620</v>
      </c>
      <c r="W5710" t="s">
        <v>18271</v>
      </c>
      <c r="X5710">
        <v>10</v>
      </c>
      <c r="Y5710" t="s">
        <v>24363</v>
      </c>
      <c r="Z5710" t="s">
        <v>30657</v>
      </c>
      <c r="AA5710">
        <v>0.82807877263705232</v>
      </c>
      <c r="AB5710" t="str">
        <f>HYPERLINK("Melting_Curves/meltCurve_Q9NYZ3_GTSE1.pdf", "Melting_Curves/meltCurve_Q9NYZ3_GTSE1.pdf")</f>
        <v>Melting_Curves/meltCurve_Q9NYZ3_GTSE1.pdf</v>
      </c>
    </row>
    <row r="5711" spans="1:28" x14ac:dyDescent="0.25">
      <c r="A5711" t="s">
        <v>5715</v>
      </c>
      <c r="B5711">
        <v>0.99987803227770999</v>
      </c>
      <c r="C5711">
        <v>1.0900392586173899</v>
      </c>
      <c r="D5711">
        <v>0.98526525793502395</v>
      </c>
      <c r="E5711">
        <v>1.14433376954244</v>
      </c>
      <c r="F5711">
        <v>0.65540837148146303</v>
      </c>
      <c r="G5711">
        <v>0.27445724278660499</v>
      </c>
      <c r="H5711">
        <v>0.17524397660305099</v>
      </c>
      <c r="I5711">
        <v>0.146368902854046</v>
      </c>
      <c r="J5711">
        <v>9.3167095904509001E-2</v>
      </c>
      <c r="K5711">
        <v>6.3723883546678295E-2</v>
      </c>
      <c r="L5711">
        <v>2154.9442931203798</v>
      </c>
      <c r="M5711">
        <v>39.943984874162602</v>
      </c>
      <c r="N5711">
        <v>54.345849421315101</v>
      </c>
      <c r="O5711">
        <v>53.814467602376297</v>
      </c>
      <c r="P5711">
        <v>-0.16209786572999199</v>
      </c>
      <c r="Q5711">
        <v>0.12645749344036</v>
      </c>
      <c r="R5711">
        <v>0.97102051657578803</v>
      </c>
      <c r="S5711" t="s">
        <v>12022</v>
      </c>
      <c r="T5711" t="s">
        <v>12620</v>
      </c>
      <c r="U5711" t="s">
        <v>12620</v>
      </c>
      <c r="V5711" t="s">
        <v>12620</v>
      </c>
      <c r="W5711" t="s">
        <v>18272</v>
      </c>
      <c r="X5711">
        <v>17</v>
      </c>
      <c r="Y5711" t="s">
        <v>24364</v>
      </c>
      <c r="Z5711" t="s">
        <v>30658</v>
      </c>
      <c r="AA5711">
        <v>0.53589045677539282</v>
      </c>
      <c r="AB5711" t="str">
        <f>HYPERLINK("Melting_Curves/meltCurve_Q9NZ08_ERAP1.pdf", "Melting_Curves/meltCurve_Q9NZ08_ERAP1.pdf")</f>
        <v>Melting_Curves/meltCurve_Q9NZ08_ERAP1.pdf</v>
      </c>
    </row>
    <row r="5712" spans="1:28" x14ac:dyDescent="0.25">
      <c r="A5712" t="s">
        <v>5716</v>
      </c>
      <c r="B5712">
        <v>0.99987803227770999</v>
      </c>
      <c r="C5712">
        <v>0.97274824636030699</v>
      </c>
      <c r="D5712">
        <v>1.0274046835772199</v>
      </c>
      <c r="E5712">
        <v>0.98926863575773405</v>
      </c>
      <c r="F5712">
        <v>1.0037073251697199</v>
      </c>
      <c r="G5712">
        <v>0.69974915870617604</v>
      </c>
      <c r="H5712">
        <v>0.66493294318922203</v>
      </c>
      <c r="I5712">
        <v>0.58333214470390704</v>
      </c>
      <c r="J5712">
        <v>0.52482140971409297</v>
      </c>
      <c r="K5712">
        <v>0.46073967719877801</v>
      </c>
      <c r="L5712">
        <v>1155.48837495517</v>
      </c>
      <c r="M5712">
        <v>19.9615923977892</v>
      </c>
      <c r="O5712">
        <v>57.314034055491803</v>
      </c>
      <c r="P5712">
        <v>-4.4738908812674102E-2</v>
      </c>
      <c r="Q5712">
        <v>0.48619665370840298</v>
      </c>
      <c r="R5712">
        <v>0.95995115423773703</v>
      </c>
      <c r="S5712" t="s">
        <v>12023</v>
      </c>
      <c r="T5712" t="s">
        <v>12620</v>
      </c>
      <c r="U5712" t="s">
        <v>12620</v>
      </c>
      <c r="V5712" t="s">
        <v>12620</v>
      </c>
      <c r="W5712" t="s">
        <v>18273</v>
      </c>
      <c r="X5712">
        <v>8</v>
      </c>
      <c r="Y5712" t="s">
        <v>24365</v>
      </c>
      <c r="Z5712" t="s">
        <v>30659</v>
      </c>
      <c r="AA5712">
        <v>0.7984133896664195</v>
      </c>
      <c r="AB5712" t="str">
        <f>HYPERLINK("Melting_Curves/meltCurve_Q9NZ09_UBAP1.pdf", "Melting_Curves/meltCurve_Q9NZ09_UBAP1.pdf")</f>
        <v>Melting_Curves/meltCurve_Q9NZ09_UBAP1.pdf</v>
      </c>
    </row>
    <row r="5713" spans="1:28" x14ac:dyDescent="0.25">
      <c r="A5713" t="s">
        <v>5717</v>
      </c>
      <c r="B5713">
        <v>0.99987803227770999</v>
      </c>
      <c r="C5713">
        <v>0.97576341510938802</v>
      </c>
      <c r="D5713">
        <v>1.0186385691173401</v>
      </c>
      <c r="E5713">
        <v>2.1364734729519701</v>
      </c>
      <c r="F5713">
        <v>1.5465583499312301</v>
      </c>
      <c r="G5713">
        <v>1.81567976815924</v>
      </c>
      <c r="H5713">
        <v>1.61997566637562</v>
      </c>
      <c r="I5713">
        <v>0.93404719432493899</v>
      </c>
      <c r="J5713">
        <v>0.24815804400494099</v>
      </c>
      <c r="K5713">
        <v>0.109001129993496</v>
      </c>
      <c r="L5713">
        <v>6339.10253261666</v>
      </c>
      <c r="M5713">
        <v>96.316986707876694</v>
      </c>
      <c r="N5713">
        <v>65.981871220941002</v>
      </c>
      <c r="O5713">
        <v>65.786643924968899</v>
      </c>
      <c r="P5713">
        <v>-0.326454339309182</v>
      </c>
      <c r="Q5713">
        <v>0.108097771257816</v>
      </c>
      <c r="R5713">
        <v>0.306160002790965</v>
      </c>
      <c r="S5713" t="s">
        <v>12024</v>
      </c>
      <c r="T5713" t="s">
        <v>12620</v>
      </c>
      <c r="U5713" t="s">
        <v>12620</v>
      </c>
      <c r="V5713" t="s">
        <v>12620</v>
      </c>
      <c r="W5713" t="s">
        <v>18274</v>
      </c>
      <c r="X5713">
        <v>15</v>
      </c>
      <c r="Y5713" t="s">
        <v>24366</v>
      </c>
      <c r="Z5713" t="s">
        <v>30660</v>
      </c>
      <c r="AA5713">
        <v>0.87620051270786414</v>
      </c>
      <c r="AB5713" t="str">
        <f>HYPERLINK("Melting_Curves/meltCurve_Q9NZ32_ACTR10.pdf", "Melting_Curves/meltCurve_Q9NZ32_ACTR10.pdf")</f>
        <v>Melting_Curves/meltCurve_Q9NZ32_ACTR10.pdf</v>
      </c>
    </row>
    <row r="5714" spans="1:28" x14ac:dyDescent="0.25">
      <c r="A5714" t="s">
        <v>5718</v>
      </c>
      <c r="B5714">
        <v>0.99987803227770999</v>
      </c>
      <c r="C5714">
        <v>0.87204676210064702</v>
      </c>
      <c r="D5714">
        <v>1.5836871642227199</v>
      </c>
      <c r="E5714">
        <v>0.78663734438752597</v>
      </c>
      <c r="F5714">
        <v>0.92068205340393505</v>
      </c>
      <c r="G5714">
        <v>0.71514877741802096</v>
      </c>
      <c r="H5714">
        <v>0.794943907664308</v>
      </c>
      <c r="I5714">
        <v>0.71393893486119497</v>
      </c>
      <c r="J5714">
        <v>0.75453950961147198</v>
      </c>
      <c r="K5714">
        <v>0.64851843284225197</v>
      </c>
      <c r="L5714">
        <v>1479.6489233796401</v>
      </c>
      <c r="M5714">
        <v>28.034538039819399</v>
      </c>
      <c r="O5714">
        <v>52.513138191210203</v>
      </c>
      <c r="P5714">
        <v>-3.7211818759787997E-2</v>
      </c>
      <c r="Q5714">
        <v>0.72118781834262902</v>
      </c>
      <c r="R5714">
        <v>0.37605740809160898</v>
      </c>
      <c r="S5714" t="s">
        <v>12025</v>
      </c>
      <c r="T5714" t="s">
        <v>12620</v>
      </c>
      <c r="U5714" t="s">
        <v>12620</v>
      </c>
      <c r="V5714" t="s">
        <v>12620</v>
      </c>
      <c r="W5714" t="s">
        <v>18275</v>
      </c>
      <c r="X5714">
        <v>3</v>
      </c>
      <c r="Y5714" t="s">
        <v>24367</v>
      </c>
      <c r="Z5714" t="s">
        <v>30661</v>
      </c>
      <c r="AA5714">
        <v>0.84201475415421101</v>
      </c>
      <c r="AB5714" t="str">
        <f>HYPERLINK("Melting_Curves/meltCurve_Q9NZ45_CISD1.pdf", "Melting_Curves/meltCurve_Q9NZ45_CISD1.pdf")</f>
        <v>Melting_Curves/meltCurve_Q9NZ45_CISD1.pdf</v>
      </c>
    </row>
    <row r="5715" spans="1:28" x14ac:dyDescent="0.25">
      <c r="A5715" t="s">
        <v>5719</v>
      </c>
      <c r="B5715">
        <v>0.99987803227770999</v>
      </c>
      <c r="C5715">
        <v>0.93035966761842903</v>
      </c>
      <c r="D5715">
        <v>1.0156750181233201</v>
      </c>
      <c r="E5715">
        <v>0.88348223047964203</v>
      </c>
      <c r="F5715">
        <v>0.78261308712513999</v>
      </c>
      <c r="G5715">
        <v>0.43842516809034798</v>
      </c>
      <c r="H5715">
        <v>0.43081557544918397</v>
      </c>
      <c r="I5715">
        <v>0.37103809052161002</v>
      </c>
      <c r="J5715">
        <v>0.34619532581554602</v>
      </c>
      <c r="K5715">
        <v>0.245028209860571</v>
      </c>
      <c r="L5715">
        <v>1127.9992638075601</v>
      </c>
      <c r="M5715">
        <v>20.745319825631</v>
      </c>
      <c r="N5715">
        <v>57.0248156619623</v>
      </c>
      <c r="O5715">
        <v>53.875997679792597</v>
      </c>
      <c r="P5715">
        <v>-6.6481214698773106E-2</v>
      </c>
      <c r="Q5715">
        <v>0.30940744834218997</v>
      </c>
      <c r="R5715">
        <v>0.97489845346135595</v>
      </c>
      <c r="S5715" t="s">
        <v>12026</v>
      </c>
      <c r="T5715" t="s">
        <v>12620</v>
      </c>
      <c r="U5715" t="s">
        <v>12620</v>
      </c>
      <c r="V5715" t="s">
        <v>12620</v>
      </c>
      <c r="W5715" t="s">
        <v>18276</v>
      </c>
      <c r="X5715">
        <v>10</v>
      </c>
      <c r="Y5715" t="s">
        <v>24368</v>
      </c>
      <c r="Z5715" t="s">
        <v>30662</v>
      </c>
      <c r="AA5715">
        <v>0.64908359801362658</v>
      </c>
      <c r="AB5715" t="str">
        <f>HYPERLINK("Melting_Curves/meltCurve_Q9NZ52_GGA3.pdf", "Melting_Curves/meltCurve_Q9NZ52_GGA3.pdf")</f>
        <v>Melting_Curves/meltCurve_Q9NZ52_GGA3.pdf</v>
      </c>
    </row>
    <row r="5716" spans="1:28" x14ac:dyDescent="0.25">
      <c r="A5716" t="s">
        <v>5720</v>
      </c>
      <c r="B5716">
        <v>0.99987803227770999</v>
      </c>
      <c r="C5716">
        <v>0.89813072929933202</v>
      </c>
      <c r="D5716">
        <v>0.97851525086996005</v>
      </c>
      <c r="E5716">
        <v>0.93646254001374596</v>
      </c>
      <c r="F5716">
        <v>1.03951870758236</v>
      </c>
      <c r="G5716">
        <v>0.99881547823941697</v>
      </c>
      <c r="H5716">
        <v>0.88632917661896904</v>
      </c>
      <c r="I5716">
        <v>0.85976910603441503</v>
      </c>
      <c r="J5716">
        <v>0.733146248038131</v>
      </c>
      <c r="K5716">
        <v>0.608309361849379</v>
      </c>
      <c r="L5716">
        <v>1029.9156540982301</v>
      </c>
      <c r="M5716">
        <v>14.690339170938501</v>
      </c>
      <c r="O5716">
        <v>68.847661605353395</v>
      </c>
      <c r="P5716">
        <v>-4.2195935749463502E-2</v>
      </c>
      <c r="Q5716">
        <v>0.20906576024652401</v>
      </c>
      <c r="R5716">
        <v>0.88338686785868803</v>
      </c>
      <c r="S5716" t="s">
        <v>12027</v>
      </c>
      <c r="T5716" t="s">
        <v>12620</v>
      </c>
      <c r="U5716" t="s">
        <v>12620</v>
      </c>
      <c r="V5716" t="s">
        <v>12620</v>
      </c>
      <c r="W5716" t="s">
        <v>18277</v>
      </c>
      <c r="X5716">
        <v>17</v>
      </c>
      <c r="Y5716" t="s">
        <v>24369</v>
      </c>
      <c r="Z5716" t="s">
        <v>30663</v>
      </c>
      <c r="AA5716">
        <v>0.92581902602504362</v>
      </c>
      <c r="AB5716" t="str">
        <f>HYPERLINK("Melting_Curves/meltCurve_Q9NZ63_C9orf78.pdf", "Melting_Curves/meltCurve_Q9NZ63_C9orf78.pdf")</f>
        <v>Melting_Curves/meltCurve_Q9NZ63_C9orf78.pdf</v>
      </c>
    </row>
    <row r="5717" spans="1:28" x14ac:dyDescent="0.25">
      <c r="A5717" t="s">
        <v>5721</v>
      </c>
      <c r="B5717">
        <v>0.99987803227770999</v>
      </c>
      <c r="C5717">
        <v>0.80201972686097101</v>
      </c>
      <c r="D5717">
        <v>0.94603917809410698</v>
      </c>
      <c r="E5717">
        <v>0.98955825434762801</v>
      </c>
      <c r="F5717">
        <v>0.94851219321095004</v>
      </c>
      <c r="G5717">
        <v>0.75068278028642199</v>
      </c>
      <c r="H5717">
        <v>0.67712564253987995</v>
      </c>
      <c r="I5717">
        <v>0.57612433142130004</v>
      </c>
      <c r="J5717">
        <v>0.67755926537512901</v>
      </c>
      <c r="K5717">
        <v>0.58587358062286599</v>
      </c>
      <c r="L5717">
        <v>1633.81442939248</v>
      </c>
      <c r="M5717">
        <v>29.156074592241499</v>
      </c>
      <c r="O5717">
        <v>55.775215274495302</v>
      </c>
      <c r="P5717">
        <v>-5.0225617149624001E-2</v>
      </c>
      <c r="Q5717">
        <v>0.61567883152607605</v>
      </c>
      <c r="R5717">
        <v>0.79846097126105398</v>
      </c>
      <c r="S5717" t="s">
        <v>12028</v>
      </c>
      <c r="T5717" t="s">
        <v>12620</v>
      </c>
      <c r="U5717" t="s">
        <v>12620</v>
      </c>
      <c r="V5717" t="s">
        <v>12620</v>
      </c>
      <c r="W5717" t="s">
        <v>18278</v>
      </c>
      <c r="X5717">
        <v>16</v>
      </c>
      <c r="Y5717" t="s">
        <v>24370</v>
      </c>
      <c r="Z5717" t="s">
        <v>30664</v>
      </c>
      <c r="AA5717">
        <v>0.8238217318190717</v>
      </c>
      <c r="AB5717" t="str">
        <f>HYPERLINK("Melting_Curves/meltCurve_Q9NZB2_FAM120A.pdf", "Melting_Curves/meltCurve_Q9NZB2_FAM120A.pdf")</f>
        <v>Melting_Curves/meltCurve_Q9NZB2_FAM120A.pdf</v>
      </c>
    </row>
    <row r="5718" spans="1:28" x14ac:dyDescent="0.25">
      <c r="A5718" t="s">
        <v>5722</v>
      </c>
      <c r="B5718">
        <v>0.99987803227770999</v>
      </c>
      <c r="C5718">
        <v>0.82370805434782102</v>
      </c>
      <c r="D5718">
        <v>0.69468322286723905</v>
      </c>
      <c r="E5718">
        <v>0.45866752379118803</v>
      </c>
      <c r="F5718">
        <v>0.52762988320087101</v>
      </c>
      <c r="G5718">
        <v>0.37386733417683399</v>
      </c>
      <c r="H5718">
        <v>0.433703844976707</v>
      </c>
      <c r="I5718">
        <v>0.37787026941431401</v>
      </c>
      <c r="J5718">
        <v>0.49094065359695299</v>
      </c>
      <c r="K5718">
        <v>0.38922918900863401</v>
      </c>
      <c r="L5718">
        <v>878.13205319895201</v>
      </c>
      <c r="M5718">
        <v>19.3486101100826</v>
      </c>
      <c r="N5718">
        <v>50.061163273324297</v>
      </c>
      <c r="O5718">
        <v>44.908302940981599</v>
      </c>
      <c r="P5718">
        <v>-6.2694658024415095E-2</v>
      </c>
      <c r="Q5718">
        <v>0.41796207079581699</v>
      </c>
      <c r="R5718">
        <v>0.94689480939871595</v>
      </c>
      <c r="S5718" t="s">
        <v>12029</v>
      </c>
      <c r="T5718" t="s">
        <v>12620</v>
      </c>
      <c r="U5718" t="s">
        <v>12620</v>
      </c>
      <c r="V5718" t="s">
        <v>12620</v>
      </c>
      <c r="W5718" t="s">
        <v>18279</v>
      </c>
      <c r="X5718">
        <v>6</v>
      </c>
      <c r="Y5718" t="s">
        <v>24371</v>
      </c>
      <c r="Z5718" t="s">
        <v>30665</v>
      </c>
      <c r="AA5718">
        <v>0.53265382897274571</v>
      </c>
      <c r="AB5718" t="str">
        <f>HYPERLINK("Melting_Curves/meltCurve_Q9NZC9_SMARCAL1.pdf", "Melting_Curves/meltCurve_Q9NZC9_SMARCAL1.pdf")</f>
        <v>Melting_Curves/meltCurve_Q9NZC9_SMARCAL1.pdf</v>
      </c>
    </row>
    <row r="5719" spans="1:28" x14ac:dyDescent="0.25">
      <c r="A5719" t="s">
        <v>5723</v>
      </c>
      <c r="B5719">
        <v>0.99987803227770999</v>
      </c>
      <c r="C5719">
        <v>0.94336849175097204</v>
      </c>
      <c r="D5719">
        <v>0.84609858070225996</v>
      </c>
      <c r="E5719">
        <v>0.83349665410010898</v>
      </c>
      <c r="F5719">
        <v>0.665021274986072</v>
      </c>
      <c r="G5719">
        <v>0.35350441691934698</v>
      </c>
      <c r="H5719">
        <v>8.8470096841333001E-2</v>
      </c>
      <c r="I5719">
        <v>6.3774570664977201E-2</v>
      </c>
      <c r="J5719">
        <v>5.99367280500019E-2</v>
      </c>
      <c r="K5719">
        <v>3.9692569302078498E-2</v>
      </c>
      <c r="L5719">
        <v>916.89821852576802</v>
      </c>
      <c r="M5719">
        <v>16.767219313086301</v>
      </c>
      <c r="N5719">
        <v>54.683977515187401</v>
      </c>
      <c r="O5719">
        <v>53.9239029075489</v>
      </c>
      <c r="P5719">
        <v>-7.77406326102726E-2</v>
      </c>
      <c r="Q5719">
        <v>0</v>
      </c>
      <c r="R5719">
        <v>0.98583085028334905</v>
      </c>
      <c r="S5719" t="s">
        <v>12030</v>
      </c>
      <c r="T5719" t="s">
        <v>12620</v>
      </c>
      <c r="U5719" t="s">
        <v>12620</v>
      </c>
      <c r="V5719" t="s">
        <v>12620</v>
      </c>
      <c r="W5719" t="s">
        <v>18280</v>
      </c>
      <c r="X5719">
        <v>6</v>
      </c>
      <c r="Y5719" t="s">
        <v>24372</v>
      </c>
      <c r="Z5719" t="s">
        <v>30666</v>
      </c>
      <c r="AA5719">
        <v>0.50668888789551081</v>
      </c>
      <c r="AB5719" t="str">
        <f>HYPERLINK("Melting_Curves/meltCurve_Q9NZD2_GLTP.pdf", "Melting_Curves/meltCurve_Q9NZD2_GLTP.pdf")</f>
        <v>Melting_Curves/meltCurve_Q9NZD2_GLTP.pdf</v>
      </c>
    </row>
    <row r="5720" spans="1:28" x14ac:dyDescent="0.25">
      <c r="A5720" t="s">
        <v>5724</v>
      </c>
      <c r="B5720">
        <v>0.99987803227770999</v>
      </c>
      <c r="C5720">
        <v>0.97633598845768299</v>
      </c>
      <c r="D5720">
        <v>0.96411271877425797</v>
      </c>
      <c r="E5720">
        <v>0.66117463172893098</v>
      </c>
      <c r="F5720">
        <v>0.39060804321703202</v>
      </c>
      <c r="G5720">
        <v>0.35239929336723103</v>
      </c>
      <c r="H5720">
        <v>0.28149707476742503</v>
      </c>
      <c r="I5720">
        <v>0.179216542726269</v>
      </c>
      <c r="J5720">
        <v>0.112820811562771</v>
      </c>
      <c r="K5720">
        <v>6.2044630097753198E-2</v>
      </c>
      <c r="L5720">
        <v>792.456391737648</v>
      </c>
      <c r="M5720">
        <v>15.3093475227932</v>
      </c>
      <c r="N5720">
        <v>52.674365314049702</v>
      </c>
      <c r="O5720">
        <v>50.903827764439903</v>
      </c>
      <c r="P5720">
        <v>-6.6444957709532002E-2</v>
      </c>
      <c r="Q5720">
        <v>0.11636018545294501</v>
      </c>
      <c r="R5720">
        <v>0.97442512708695095</v>
      </c>
      <c r="S5720" t="s">
        <v>12031</v>
      </c>
      <c r="T5720" t="s">
        <v>12620</v>
      </c>
      <c r="U5720" t="s">
        <v>12620</v>
      </c>
      <c r="V5720" t="s">
        <v>12620</v>
      </c>
      <c r="W5720" t="s">
        <v>18281</v>
      </c>
      <c r="X5720">
        <v>1</v>
      </c>
      <c r="Y5720" t="s">
        <v>24373</v>
      </c>
      <c r="Z5720" t="s">
        <v>30667</v>
      </c>
      <c r="AA5720">
        <v>0.48212147070297501</v>
      </c>
      <c r="AB5720" t="str">
        <f>HYPERLINK("Melting_Curves/meltCurve_Q9NZD8_2_SPG21.pdf", "Melting_Curves/meltCurve_Q9NZD8_2_SPG21.pdf")</f>
        <v>Melting_Curves/meltCurve_Q9NZD8_2_SPG21.pdf</v>
      </c>
    </row>
    <row r="5721" spans="1:28" x14ac:dyDescent="0.25">
      <c r="A5721" t="s">
        <v>5725</v>
      </c>
      <c r="B5721">
        <v>0.99987803227770999</v>
      </c>
      <c r="C5721">
        <v>0.89663178313740699</v>
      </c>
      <c r="D5721">
        <v>0.83705361144123203</v>
      </c>
      <c r="E5721">
        <v>0.56744543132470104</v>
      </c>
      <c r="F5721">
        <v>0.407816737230566</v>
      </c>
      <c r="G5721">
        <v>0.15871625912020901</v>
      </c>
      <c r="H5721">
        <v>0.135015547114819</v>
      </c>
      <c r="I5721">
        <v>0.14925935657055101</v>
      </c>
      <c r="J5721">
        <v>7.0328895576552197E-2</v>
      </c>
      <c r="K5721">
        <v>6.6157216766557406E-2</v>
      </c>
      <c r="L5721">
        <v>742.56430353809003</v>
      </c>
      <c r="M5721">
        <v>14.6744243788636</v>
      </c>
      <c r="N5721">
        <v>51.0433185596359</v>
      </c>
      <c r="O5721">
        <v>49.6907562136102</v>
      </c>
      <c r="P5721">
        <v>-6.9443613041792404E-2</v>
      </c>
      <c r="Q5721">
        <v>5.94995227867589E-2</v>
      </c>
      <c r="R5721">
        <v>0.99317006637003402</v>
      </c>
      <c r="S5721" t="s">
        <v>12032</v>
      </c>
      <c r="T5721" t="s">
        <v>12620</v>
      </c>
      <c r="U5721" t="s">
        <v>12620</v>
      </c>
      <c r="V5721" t="s">
        <v>12620</v>
      </c>
      <c r="W5721" t="s">
        <v>18282</v>
      </c>
      <c r="X5721">
        <v>2</v>
      </c>
      <c r="Y5721" t="s">
        <v>24374</v>
      </c>
      <c r="Z5721" t="s">
        <v>30668</v>
      </c>
      <c r="AA5721">
        <v>0.41472708741765368</v>
      </c>
      <c r="AB5721" t="str">
        <f>HYPERLINK("Melting_Curves/meltCurve_Q9NZI7_4_UBP1.pdf", "Melting_Curves/meltCurve_Q9NZI7_4_UBP1.pdf")</f>
        <v>Melting_Curves/meltCurve_Q9NZI7_4_UBP1.pdf</v>
      </c>
    </row>
    <row r="5722" spans="1:28" x14ac:dyDescent="0.25">
      <c r="A5722" t="s">
        <v>5726</v>
      </c>
      <c r="B5722">
        <v>0.99987803227770999</v>
      </c>
      <c r="C5722">
        <v>0.816717205770082</v>
      </c>
      <c r="D5722">
        <v>0.85713324765077104</v>
      </c>
      <c r="E5722">
        <v>0.62867710408539201</v>
      </c>
      <c r="F5722">
        <v>0.52859154475038705</v>
      </c>
      <c r="G5722">
        <v>0.29769439503530998</v>
      </c>
      <c r="H5722">
        <v>0.25526763383634898</v>
      </c>
      <c r="I5722">
        <v>0.22944107404695099</v>
      </c>
      <c r="J5722">
        <v>0.20579668924967201</v>
      </c>
      <c r="K5722">
        <v>0.145499335878745</v>
      </c>
      <c r="L5722">
        <v>547.49328353728697</v>
      </c>
      <c r="M5722">
        <v>10.5978206152033</v>
      </c>
      <c r="N5722">
        <v>52.903414583584997</v>
      </c>
      <c r="O5722">
        <v>49.9233034499916</v>
      </c>
      <c r="P5722">
        <v>-4.72420852875097E-2</v>
      </c>
      <c r="Q5722">
        <v>0.110170624089154</v>
      </c>
      <c r="R5722">
        <v>0.98055854956717103</v>
      </c>
      <c r="S5722" t="s">
        <v>12033</v>
      </c>
      <c r="T5722" t="s">
        <v>12620</v>
      </c>
      <c r="U5722" t="s">
        <v>12620</v>
      </c>
      <c r="V5722" t="s">
        <v>12620</v>
      </c>
      <c r="W5722" t="s">
        <v>18283</v>
      </c>
      <c r="X5722">
        <v>15</v>
      </c>
      <c r="Y5722" t="s">
        <v>24375</v>
      </c>
      <c r="Z5722" t="s">
        <v>30669</v>
      </c>
      <c r="AA5722">
        <v>0.4886419623248851</v>
      </c>
      <c r="AB5722" t="str">
        <f>HYPERLINK("Melting_Curves/meltCurve_Q9NZI8_IGF2BP1.pdf", "Melting_Curves/meltCurve_Q9NZI8_IGF2BP1.pdf")</f>
        <v>Melting_Curves/meltCurve_Q9NZI8_IGF2BP1.pdf</v>
      </c>
    </row>
    <row r="5723" spans="1:28" x14ac:dyDescent="0.25">
      <c r="A5723" t="s">
        <v>5727</v>
      </c>
      <c r="B5723">
        <v>0.99987803227770999</v>
      </c>
      <c r="C5723">
        <v>1.17569591332728</v>
      </c>
      <c r="D5723">
        <v>0.97277708801191598</v>
      </c>
      <c r="E5723">
        <v>1.1899318624131801</v>
      </c>
      <c r="F5723">
        <v>0.75499648877953895</v>
      </c>
      <c r="G5723">
        <v>0.49680380320308998</v>
      </c>
      <c r="H5723">
        <v>0.21042338180801101</v>
      </c>
      <c r="I5723">
        <v>0.14649338828917599</v>
      </c>
      <c r="J5723">
        <v>9.0908082485494104E-2</v>
      </c>
      <c r="K5723">
        <v>7.95702233006573E-2</v>
      </c>
      <c r="L5723">
        <v>1449.13644246135</v>
      </c>
      <c r="M5723">
        <v>25.702898359582999</v>
      </c>
      <c r="N5723">
        <v>56.807093035066799</v>
      </c>
      <c r="O5723">
        <v>56.042304451313598</v>
      </c>
      <c r="P5723">
        <v>-0.104591802109001</v>
      </c>
      <c r="Q5723">
        <v>8.7807826964097002E-2</v>
      </c>
      <c r="R5723">
        <v>0.95173015184855303</v>
      </c>
      <c r="S5723" t="s">
        <v>12034</v>
      </c>
      <c r="T5723" t="s">
        <v>12620</v>
      </c>
      <c r="U5723" t="s">
        <v>12620</v>
      </c>
      <c r="V5723" t="s">
        <v>12620</v>
      </c>
      <c r="W5723" t="s">
        <v>18284</v>
      </c>
      <c r="X5723">
        <v>4</v>
      </c>
      <c r="Y5723" t="s">
        <v>24376</v>
      </c>
      <c r="Z5723" t="s">
        <v>30670</v>
      </c>
      <c r="AA5723">
        <v>0.59383005405044531</v>
      </c>
      <c r="AB5723" t="str">
        <f>HYPERLINK("Melting_Curves/meltCurve_Q9NZJ4_SACS.pdf", "Melting_Curves/meltCurve_Q9NZJ4_SACS.pdf")</f>
        <v>Melting_Curves/meltCurve_Q9NZJ4_SACS.pdf</v>
      </c>
    </row>
    <row r="5724" spans="1:28" x14ac:dyDescent="0.25">
      <c r="A5724" t="s">
        <v>5728</v>
      </c>
      <c r="B5724">
        <v>0.99987803227770999</v>
      </c>
      <c r="C5724">
        <v>0.94188019881415996</v>
      </c>
      <c r="D5724">
        <v>0.74707846164747305</v>
      </c>
      <c r="E5724">
        <v>0.49551827784926</v>
      </c>
      <c r="F5724">
        <v>0.30085831411585201</v>
      </c>
      <c r="G5724">
        <v>0.17248593818699501</v>
      </c>
      <c r="H5724">
        <v>9.3582573762466897E-2</v>
      </c>
      <c r="I5724">
        <v>8.3378444294326406E-2</v>
      </c>
      <c r="J5724">
        <v>5.5659726244817E-2</v>
      </c>
      <c r="K5724">
        <v>2.9587784508476701E-2</v>
      </c>
      <c r="L5724">
        <v>737.91589258396095</v>
      </c>
      <c r="M5724">
        <v>14.870212847813599</v>
      </c>
      <c r="N5724">
        <v>49.879865093318898</v>
      </c>
      <c r="O5724">
        <v>48.752253142447898</v>
      </c>
      <c r="P5724">
        <v>-7.3459021164079694E-2</v>
      </c>
      <c r="Q5724">
        <v>3.67539663674896E-2</v>
      </c>
      <c r="R5724">
        <v>0.99780875216359899</v>
      </c>
      <c r="S5724" t="s">
        <v>12035</v>
      </c>
      <c r="T5724" t="s">
        <v>12620</v>
      </c>
      <c r="U5724" t="s">
        <v>12620</v>
      </c>
      <c r="V5724" t="s">
        <v>12620</v>
      </c>
      <c r="W5724" t="s">
        <v>18285</v>
      </c>
      <c r="X5724">
        <v>3</v>
      </c>
      <c r="Y5724" t="s">
        <v>24377</v>
      </c>
      <c r="Z5724" t="s">
        <v>30671</v>
      </c>
      <c r="AA5724">
        <v>0.36938013243279161</v>
      </c>
      <c r="AB5724" t="str">
        <f>HYPERLINK("Melting_Curves/meltCurve_Q9NZJ6_COQ3.pdf", "Melting_Curves/meltCurve_Q9NZJ6_COQ3.pdf")</f>
        <v>Melting_Curves/meltCurve_Q9NZJ6_COQ3.pdf</v>
      </c>
    </row>
    <row r="5725" spans="1:28" x14ac:dyDescent="0.25">
      <c r="A5725" t="s">
        <v>5729</v>
      </c>
      <c r="B5725">
        <v>0.99987803227770999</v>
      </c>
      <c r="C5725">
        <v>0.69494187547230801</v>
      </c>
      <c r="D5725">
        <v>0.90034918823820698</v>
      </c>
      <c r="E5725">
        <v>0.72248234753941498</v>
      </c>
      <c r="F5725">
        <v>1.09296671103203</v>
      </c>
      <c r="G5725">
        <v>0.68519027342389704</v>
      </c>
      <c r="H5725">
        <v>0.750099493213498</v>
      </c>
      <c r="I5725">
        <v>0.71899498150919094</v>
      </c>
      <c r="J5725">
        <v>0.98727218549229301</v>
      </c>
      <c r="K5725">
        <v>0.70236169648137903</v>
      </c>
      <c r="L5725">
        <v>10235.445134423901</v>
      </c>
      <c r="M5725">
        <v>250</v>
      </c>
      <c r="O5725">
        <v>40.939161171919899</v>
      </c>
      <c r="P5725">
        <v>-0.29605941023502003</v>
      </c>
      <c r="Q5725">
        <v>0.80607322064902098</v>
      </c>
      <c r="R5725">
        <v>0.158512563248183</v>
      </c>
      <c r="S5725" t="s">
        <v>12036</v>
      </c>
      <c r="T5725" t="s">
        <v>12620</v>
      </c>
      <c r="U5725" t="s">
        <v>12620</v>
      </c>
      <c r="V5725" t="s">
        <v>12620</v>
      </c>
      <c r="W5725" t="s">
        <v>18286</v>
      </c>
      <c r="X5725">
        <v>1</v>
      </c>
      <c r="Y5725" t="s">
        <v>24378</v>
      </c>
      <c r="Z5725" t="s">
        <v>30672</v>
      </c>
      <c r="AA5725">
        <v>0.81217781820285506</v>
      </c>
      <c r="AB5725" t="str">
        <f>HYPERLINK("Melting_Curves/meltCurve_Q9NZJ7_2_MTCH1.pdf", "Melting_Curves/meltCurve_Q9NZJ7_2_MTCH1.pdf")</f>
        <v>Melting_Curves/meltCurve_Q9NZJ7_2_MTCH1.pdf</v>
      </c>
    </row>
    <row r="5726" spans="1:28" x14ac:dyDescent="0.25">
      <c r="A5726" t="s">
        <v>5730</v>
      </c>
      <c r="B5726">
        <v>0.99987803227770999</v>
      </c>
      <c r="C5726">
        <v>0.85816333281666402</v>
      </c>
      <c r="D5726">
        <v>1.01596684930392</v>
      </c>
      <c r="E5726">
        <v>0.72313470664957102</v>
      </c>
      <c r="F5726">
        <v>0.47327198489386901</v>
      </c>
      <c r="G5726">
        <v>0.183584833428039</v>
      </c>
      <c r="H5726">
        <v>0.12566108039787399</v>
      </c>
      <c r="I5726">
        <v>0.113115469974055</v>
      </c>
      <c r="J5726">
        <v>6.8538186004555399E-2</v>
      </c>
      <c r="K5726">
        <v>5.0568474850993902E-2</v>
      </c>
      <c r="L5726">
        <v>1117.85083224748</v>
      </c>
      <c r="M5726">
        <v>21.404334162626501</v>
      </c>
      <c r="N5726">
        <v>52.587684122298697</v>
      </c>
      <c r="O5726">
        <v>51.776000107075603</v>
      </c>
      <c r="P5726">
        <v>-9.6269117033450702E-2</v>
      </c>
      <c r="Q5726">
        <v>6.85427815259953E-2</v>
      </c>
      <c r="R5726">
        <v>0.98341953067614396</v>
      </c>
      <c r="S5726" t="s">
        <v>12037</v>
      </c>
      <c r="T5726" t="s">
        <v>12620</v>
      </c>
      <c r="U5726" t="s">
        <v>12620</v>
      </c>
      <c r="V5726" t="s">
        <v>12620</v>
      </c>
      <c r="W5726" t="s">
        <v>18287</v>
      </c>
      <c r="X5726">
        <v>7</v>
      </c>
      <c r="Y5726" t="s">
        <v>24379</v>
      </c>
      <c r="Z5726" t="s">
        <v>30673</v>
      </c>
      <c r="AA5726">
        <v>0.459522200454068</v>
      </c>
      <c r="AB5726" t="str">
        <f>HYPERLINK("Melting_Curves/meltCurve_Q9NZJ9_NUDT4.pdf", "Melting_Curves/meltCurve_Q9NZJ9_NUDT4.pdf")</f>
        <v>Melting_Curves/meltCurve_Q9NZJ9_NUDT4.pdf</v>
      </c>
    </row>
    <row r="5727" spans="1:28" x14ac:dyDescent="0.25">
      <c r="A5727" t="s">
        <v>5731</v>
      </c>
      <c r="B5727">
        <v>0.99987803227770999</v>
      </c>
      <c r="C5727">
        <v>0.87297933328413502</v>
      </c>
      <c r="D5727">
        <v>0.89294398948987397</v>
      </c>
      <c r="E5727">
        <v>0.65380707670015903</v>
      </c>
      <c r="F5727">
        <v>0.29120840426083699</v>
      </c>
      <c r="G5727">
        <v>0.15482824453523999</v>
      </c>
      <c r="H5727">
        <v>9.9433191585715494E-2</v>
      </c>
      <c r="I5727">
        <v>9.8884000941301106E-2</v>
      </c>
      <c r="J5727">
        <v>9.7672385327847805E-2</v>
      </c>
      <c r="K5727">
        <v>6.4951717472559997E-2</v>
      </c>
      <c r="L5727">
        <v>1090.7039510244899</v>
      </c>
      <c r="M5727">
        <v>21.523746201313799</v>
      </c>
      <c r="N5727">
        <v>51.068546814696496</v>
      </c>
      <c r="O5727">
        <v>50.243102909050599</v>
      </c>
      <c r="P5727">
        <v>-9.8905356845669506E-2</v>
      </c>
      <c r="Q5727">
        <v>7.6519245006166095E-2</v>
      </c>
      <c r="R5727">
        <v>0.98737292833288803</v>
      </c>
      <c r="S5727" t="s">
        <v>12038</v>
      </c>
      <c r="T5727" t="s">
        <v>12620</v>
      </c>
      <c r="U5727" t="s">
        <v>12620</v>
      </c>
      <c r="V5727" t="s">
        <v>12620</v>
      </c>
      <c r="W5727" t="s">
        <v>18288</v>
      </c>
      <c r="X5727">
        <v>6</v>
      </c>
      <c r="Y5727" t="s">
        <v>24379</v>
      </c>
      <c r="Z5727" t="s">
        <v>30674</v>
      </c>
      <c r="AA5727">
        <v>0.41625399517017159</v>
      </c>
      <c r="AB5727" t="str">
        <f>HYPERLINK("Melting_Curves/meltCurve_Q9NZJ9_2_NUDT4.pdf", "Melting_Curves/meltCurve_Q9NZJ9_2_NUDT4.pdf")</f>
        <v>Melting_Curves/meltCurve_Q9NZJ9_2_NUDT4.pdf</v>
      </c>
    </row>
    <row r="5728" spans="1:28" x14ac:dyDescent="0.25">
      <c r="A5728" t="s">
        <v>5732</v>
      </c>
      <c r="B5728">
        <v>0.99987803227770999</v>
      </c>
      <c r="C5728">
        <v>1.12926924998958</v>
      </c>
      <c r="D5728">
        <v>0.95579566591618303</v>
      </c>
      <c r="E5728">
        <v>1.1000029601500001</v>
      </c>
      <c r="F5728">
        <v>0.790513536539453</v>
      </c>
      <c r="G5728">
        <v>0.38252962996527101</v>
      </c>
      <c r="H5728">
        <v>0.15874133289780601</v>
      </c>
      <c r="I5728">
        <v>0.12423952262271799</v>
      </c>
      <c r="J5728">
        <v>8.7105055645851595E-2</v>
      </c>
      <c r="K5728">
        <v>5.8810036865753798E-2</v>
      </c>
      <c r="L5728">
        <v>1697.3915769682901</v>
      </c>
      <c r="M5728">
        <v>30.540197877063299</v>
      </c>
      <c r="N5728">
        <v>55.928993341154602</v>
      </c>
      <c r="O5728">
        <v>55.342265762996099</v>
      </c>
      <c r="P5728">
        <v>-0.12595923009985599</v>
      </c>
      <c r="Q5728">
        <v>8.69965056338977E-2</v>
      </c>
      <c r="R5728">
        <v>0.979408402635775</v>
      </c>
      <c r="S5728" t="s">
        <v>12039</v>
      </c>
      <c r="T5728" t="s">
        <v>12620</v>
      </c>
      <c r="U5728" t="s">
        <v>12620</v>
      </c>
      <c r="V5728" t="s">
        <v>12620</v>
      </c>
      <c r="W5728" t="s">
        <v>12850</v>
      </c>
      <c r="X5728">
        <v>14</v>
      </c>
      <c r="Y5728" t="s">
        <v>19097</v>
      </c>
      <c r="Z5728" t="s">
        <v>30675</v>
      </c>
      <c r="AA5728">
        <v>0.56699712047553841</v>
      </c>
      <c r="AB5728" t="str">
        <f>HYPERLINK("Melting_Curves/meltCurve_Q9NZL4_HSPBP1.pdf", "Melting_Curves/meltCurve_Q9NZL4_HSPBP1.pdf")</f>
        <v>Melting_Curves/meltCurve_Q9NZL4_HSPBP1.pdf</v>
      </c>
    </row>
    <row r="5729" spans="1:28" x14ac:dyDescent="0.25">
      <c r="A5729" t="s">
        <v>5733</v>
      </c>
      <c r="B5729">
        <v>0.99987803227770999</v>
      </c>
      <c r="C5729">
        <v>1.1016917672425</v>
      </c>
      <c r="D5729">
        <v>0.969107803495595</v>
      </c>
      <c r="E5729">
        <v>1.04770162592285</v>
      </c>
      <c r="F5729">
        <v>0.81400565276103698</v>
      </c>
      <c r="G5729">
        <v>0.611183311274616</v>
      </c>
      <c r="H5729">
        <v>0.20053005474463301</v>
      </c>
      <c r="I5729">
        <v>0.160025128537717</v>
      </c>
      <c r="J5729">
        <v>0.11091228884475</v>
      </c>
      <c r="K5729">
        <v>8.3763178052048401E-2</v>
      </c>
      <c r="L5729">
        <v>1383.92376667541</v>
      </c>
      <c r="M5729">
        <v>24.1572822012137</v>
      </c>
      <c r="N5729">
        <v>57.672744141531197</v>
      </c>
      <c r="O5729">
        <v>56.899814740715101</v>
      </c>
      <c r="P5729">
        <v>-9.8243082493679301E-2</v>
      </c>
      <c r="Q5729">
        <v>7.4411265647393796E-2</v>
      </c>
      <c r="R5729">
        <v>0.983969528160617</v>
      </c>
      <c r="S5729" t="s">
        <v>12040</v>
      </c>
      <c r="T5729" t="s">
        <v>12620</v>
      </c>
      <c r="U5729" t="s">
        <v>12620</v>
      </c>
      <c r="V5729" t="s">
        <v>12620</v>
      </c>
      <c r="W5729" t="s">
        <v>18289</v>
      </c>
      <c r="X5729">
        <v>15</v>
      </c>
      <c r="Y5729" t="s">
        <v>24380</v>
      </c>
      <c r="Z5729" t="s">
        <v>30676</v>
      </c>
      <c r="AA5729">
        <v>0.61650010497159891</v>
      </c>
      <c r="AB5729" t="str">
        <f>HYPERLINK("Melting_Curves/meltCurve_Q9NZL9_MAT2B.pdf", "Melting_Curves/meltCurve_Q9NZL9_MAT2B.pdf")</f>
        <v>Melting_Curves/meltCurve_Q9NZL9_MAT2B.pdf</v>
      </c>
    </row>
    <row r="5730" spans="1:28" x14ac:dyDescent="0.25">
      <c r="A5730" t="s">
        <v>5734</v>
      </c>
      <c r="B5730">
        <v>0.99987803227770999</v>
      </c>
      <c r="C5730">
        <v>0.88076440738881001</v>
      </c>
      <c r="D5730">
        <v>0.92803720785127897</v>
      </c>
      <c r="E5730">
        <v>0.807705458324111</v>
      </c>
      <c r="F5730">
        <v>0.88180052881183402</v>
      </c>
      <c r="G5730">
        <v>0.69983694697537602</v>
      </c>
      <c r="H5730">
        <v>0.562662977886768</v>
      </c>
      <c r="I5730">
        <v>0.43790332507653201</v>
      </c>
      <c r="J5730">
        <v>0.38839516861969497</v>
      </c>
      <c r="K5730">
        <v>0.29229794806880599</v>
      </c>
      <c r="L5730">
        <v>478.24852610195501</v>
      </c>
      <c r="M5730">
        <v>7.6250051265606897</v>
      </c>
      <c r="N5730">
        <v>62.721075183938098</v>
      </c>
      <c r="O5730">
        <v>58.843423583242298</v>
      </c>
      <c r="P5730">
        <v>-3.2439117577417499E-2</v>
      </c>
      <c r="Q5730">
        <v>0</v>
      </c>
      <c r="R5730">
        <v>0.96351110510109395</v>
      </c>
      <c r="S5730" t="s">
        <v>12041</v>
      </c>
      <c r="T5730" t="s">
        <v>12620</v>
      </c>
      <c r="U5730" t="s">
        <v>12620</v>
      </c>
      <c r="V5730" t="s">
        <v>12620</v>
      </c>
      <c r="W5730" t="s">
        <v>18290</v>
      </c>
      <c r="X5730">
        <v>3</v>
      </c>
      <c r="Y5730" t="s">
        <v>24381</v>
      </c>
      <c r="Z5730" t="s">
        <v>30677</v>
      </c>
      <c r="AA5730">
        <v>0.70788631976871319</v>
      </c>
      <c r="AB5730" t="str">
        <f>HYPERLINK("Melting_Curves/meltCurve_Q9NZM1_6_MYOF.pdf", "Melting_Curves/meltCurve_Q9NZM1_6_MYOF.pdf")</f>
        <v>Melting_Curves/meltCurve_Q9NZM1_6_MYOF.pdf</v>
      </c>
    </row>
    <row r="5731" spans="1:28" x14ac:dyDescent="0.25">
      <c r="A5731" t="s">
        <v>5735</v>
      </c>
      <c r="B5731">
        <v>0.99987803227770999</v>
      </c>
      <c r="C5731">
        <v>1.04444005190983</v>
      </c>
      <c r="D5731">
        <v>1.01257901782231</v>
      </c>
      <c r="E5731">
        <v>0.92687377230675505</v>
      </c>
      <c r="F5731">
        <v>0.53830310959830496</v>
      </c>
      <c r="G5731">
        <v>0.36694836744216103</v>
      </c>
      <c r="H5731">
        <v>0.253899119355042</v>
      </c>
      <c r="I5731">
        <v>0.17944667543374501</v>
      </c>
      <c r="J5731">
        <v>0.15021769462752399</v>
      </c>
      <c r="K5731">
        <v>0.112359858761509</v>
      </c>
      <c r="L5731">
        <v>1211.2031296509299</v>
      </c>
      <c r="M5731">
        <v>22.647356399517601</v>
      </c>
      <c r="N5731">
        <v>54.377603724706603</v>
      </c>
      <c r="O5731">
        <v>53.069250394026</v>
      </c>
      <c r="P5731">
        <v>-9.0066436613760806E-2</v>
      </c>
      <c r="Q5731">
        <v>0.15581084646548399</v>
      </c>
      <c r="R5731">
        <v>0.98430253960283798</v>
      </c>
      <c r="S5731" t="s">
        <v>12042</v>
      </c>
      <c r="T5731" t="s">
        <v>12620</v>
      </c>
      <c r="U5731" t="s">
        <v>12620</v>
      </c>
      <c r="V5731" t="s">
        <v>12620</v>
      </c>
      <c r="W5731" t="s">
        <v>18291</v>
      </c>
      <c r="X5731">
        <v>22</v>
      </c>
      <c r="Y5731" t="s">
        <v>24382</v>
      </c>
      <c r="Z5731" t="s">
        <v>30678</v>
      </c>
      <c r="AA5731">
        <v>0.54448950658654571</v>
      </c>
      <c r="AB5731" t="str">
        <f>HYPERLINK("Melting_Curves/meltCurve_Q9NZM3_2_ITSN2.pdf", "Melting_Curves/meltCurve_Q9NZM3_2_ITSN2.pdf")</f>
        <v>Melting_Curves/meltCurve_Q9NZM3_2_ITSN2.pdf</v>
      </c>
    </row>
    <row r="5732" spans="1:28" x14ac:dyDescent="0.25">
      <c r="A5732" t="s">
        <v>5736</v>
      </c>
      <c r="B5732">
        <v>0.99987803227770999</v>
      </c>
      <c r="C5732">
        <v>0.83524632510417296</v>
      </c>
      <c r="D5732">
        <v>0.87974326414641102</v>
      </c>
      <c r="E5732">
        <v>0.72437903442829099</v>
      </c>
      <c r="F5732">
        <v>0.800931190172949</v>
      </c>
      <c r="G5732">
        <v>0.64614038735721901</v>
      </c>
      <c r="H5732">
        <v>0.58494278093373697</v>
      </c>
      <c r="I5732">
        <v>0.55708416708651398</v>
      </c>
      <c r="J5732">
        <v>0.54567147438802699</v>
      </c>
      <c r="K5732">
        <v>0.43810631356542601</v>
      </c>
      <c r="L5732">
        <v>264.65969918640701</v>
      </c>
      <c r="M5732">
        <v>4.0591537295214799</v>
      </c>
      <c r="N5732">
        <v>67.514129075025494</v>
      </c>
      <c r="O5732">
        <v>53.774508829326798</v>
      </c>
      <c r="P5732">
        <v>-1.7862329008540699E-2</v>
      </c>
      <c r="Q5732">
        <v>6.4925075694172399E-2</v>
      </c>
      <c r="R5732">
        <v>0.92685821102705201</v>
      </c>
      <c r="S5732" t="s">
        <v>12043</v>
      </c>
      <c r="T5732" t="s">
        <v>12620</v>
      </c>
      <c r="U5732" t="s">
        <v>12620</v>
      </c>
      <c r="V5732" t="s">
        <v>12620</v>
      </c>
      <c r="W5732" t="s">
        <v>18292</v>
      </c>
      <c r="X5732">
        <v>7</v>
      </c>
      <c r="Y5732" t="s">
        <v>24383</v>
      </c>
      <c r="Z5732" t="s">
        <v>30679</v>
      </c>
      <c r="AA5732">
        <v>0.70166875875494072</v>
      </c>
      <c r="AB5732" t="str">
        <f>HYPERLINK("Melting_Curves/meltCurve_Q9NZM4_2_GLTSCR1.pdf", "Melting_Curves/meltCurve_Q9NZM4_2_GLTSCR1.pdf")</f>
        <v>Melting_Curves/meltCurve_Q9NZM4_2_GLTSCR1.pdf</v>
      </c>
    </row>
    <row r="5733" spans="1:28" x14ac:dyDescent="0.25">
      <c r="A5733" t="s">
        <v>5737</v>
      </c>
      <c r="B5733">
        <v>0.99987803227770999</v>
      </c>
      <c r="C5733">
        <v>1.03357700788046</v>
      </c>
      <c r="D5733">
        <v>0.91605892104136399</v>
      </c>
      <c r="E5733">
        <v>0.62350921075634802</v>
      </c>
      <c r="F5733">
        <v>0.168835458585257</v>
      </c>
      <c r="G5733">
        <v>0.11144949130158099</v>
      </c>
      <c r="H5733">
        <v>7.0514944141670199E-2</v>
      </c>
      <c r="I5733">
        <v>6.2534671004181003E-2</v>
      </c>
      <c r="J5733">
        <v>5.0045126331235798E-2</v>
      </c>
      <c r="K5733">
        <v>3.6154401017092101E-2</v>
      </c>
      <c r="L5733">
        <v>1843.13683101109</v>
      </c>
      <c r="M5733">
        <v>36.538791543900601</v>
      </c>
      <c r="N5733">
        <v>50.6179454160483</v>
      </c>
      <c r="O5733">
        <v>50.292908103832502</v>
      </c>
      <c r="P5733">
        <v>-0.17087400649375301</v>
      </c>
      <c r="Q5733">
        <v>5.9221740854910498E-2</v>
      </c>
      <c r="R5733">
        <v>0.99537479950436902</v>
      </c>
      <c r="S5733" t="s">
        <v>12044</v>
      </c>
      <c r="T5733" t="s">
        <v>12620</v>
      </c>
      <c r="U5733" t="s">
        <v>12620</v>
      </c>
      <c r="V5733" t="s">
        <v>12620</v>
      </c>
      <c r="W5733" t="s">
        <v>18293</v>
      </c>
      <c r="X5733">
        <v>16</v>
      </c>
      <c r="Y5733" t="s">
        <v>24384</v>
      </c>
      <c r="Z5733" t="s">
        <v>30680</v>
      </c>
      <c r="AA5733">
        <v>0.39065357193962208</v>
      </c>
      <c r="AB5733" t="str">
        <f>HYPERLINK("Melting_Curves/meltCurve_Q9NZN3_EHD3.pdf", "Melting_Curves/meltCurve_Q9NZN3_EHD3.pdf")</f>
        <v>Melting_Curves/meltCurve_Q9NZN3_EHD3.pdf</v>
      </c>
    </row>
    <row r="5734" spans="1:28" x14ac:dyDescent="0.25">
      <c r="A5734" t="s">
        <v>5738</v>
      </c>
      <c r="B5734">
        <v>0.99987803227770999</v>
      </c>
      <c r="C5734">
        <v>0.98461923043986499</v>
      </c>
      <c r="D5734">
        <v>0.51221947741555196</v>
      </c>
      <c r="E5734">
        <v>0.33166072972173499</v>
      </c>
      <c r="F5734">
        <v>0.20779545939170399</v>
      </c>
      <c r="G5734">
        <v>0.12625295102819001</v>
      </c>
      <c r="H5734">
        <v>9.5078140916599094E-2</v>
      </c>
      <c r="I5734">
        <v>8.4593913079397495E-2</v>
      </c>
      <c r="J5734">
        <v>6.3633294367581E-2</v>
      </c>
      <c r="K5734">
        <v>4.6999402563859198E-2</v>
      </c>
      <c r="L5734">
        <v>929.04491780683099</v>
      </c>
      <c r="M5734">
        <v>19.8476210602653</v>
      </c>
      <c r="N5734">
        <v>47.246429591350299</v>
      </c>
      <c r="O5734">
        <v>46.341466599096997</v>
      </c>
      <c r="P5734">
        <v>-9.8086945383587795E-2</v>
      </c>
      <c r="Q5734">
        <v>8.3952601317445003E-2</v>
      </c>
      <c r="R5734">
        <v>0.97414122834779404</v>
      </c>
      <c r="S5734" t="s">
        <v>12045</v>
      </c>
      <c r="T5734" t="s">
        <v>12620</v>
      </c>
      <c r="U5734" t="s">
        <v>12620</v>
      </c>
      <c r="V5734" t="s">
        <v>12620</v>
      </c>
      <c r="W5734" t="s">
        <v>18294</v>
      </c>
      <c r="X5734">
        <v>25</v>
      </c>
      <c r="Y5734" t="s">
        <v>24385</v>
      </c>
      <c r="Z5734" t="s">
        <v>30681</v>
      </c>
      <c r="AA5734">
        <v>0.30561359178966102</v>
      </c>
      <c r="AB5734" t="str">
        <f>HYPERLINK("Melting_Curves/meltCurve_Q9NZN4_EHD2.pdf", "Melting_Curves/meltCurve_Q9NZN4_EHD2.pdf")</f>
        <v>Melting_Curves/meltCurve_Q9NZN4_EHD2.pdf</v>
      </c>
    </row>
    <row r="5735" spans="1:28" x14ac:dyDescent="0.25">
      <c r="A5735" t="s">
        <v>5739</v>
      </c>
      <c r="B5735">
        <v>0.99987803227770999</v>
      </c>
      <c r="C5735">
        <v>1.08385020422309</v>
      </c>
      <c r="D5735">
        <v>0.90660754896858398</v>
      </c>
      <c r="E5735">
        <v>0.73357521556391203</v>
      </c>
      <c r="F5735">
        <v>0.53106941248121198</v>
      </c>
      <c r="G5735">
        <v>0.38653810207544698</v>
      </c>
      <c r="H5735">
        <v>0.34977054717660899</v>
      </c>
      <c r="I5735">
        <v>0.30108777304609902</v>
      </c>
      <c r="J5735">
        <v>0.35262810527813199</v>
      </c>
      <c r="K5735">
        <v>0.31328657645248398</v>
      </c>
      <c r="L5735">
        <v>1094.2660811301701</v>
      </c>
      <c r="M5735">
        <v>21.462411288005601</v>
      </c>
      <c r="N5735">
        <v>53.551392558678003</v>
      </c>
      <c r="O5735">
        <v>50.548798246899302</v>
      </c>
      <c r="P5735">
        <v>-7.2051912279897101E-2</v>
      </c>
      <c r="Q5735">
        <v>0.32122296808502099</v>
      </c>
      <c r="R5735">
        <v>0.98592652327797103</v>
      </c>
      <c r="S5735" t="s">
        <v>12046</v>
      </c>
      <c r="T5735" t="s">
        <v>12620</v>
      </c>
      <c r="U5735" t="s">
        <v>12620</v>
      </c>
      <c r="V5735" t="s">
        <v>12620</v>
      </c>
      <c r="W5735" t="s">
        <v>18295</v>
      </c>
      <c r="X5735">
        <v>13</v>
      </c>
      <c r="Y5735" t="s">
        <v>24386</v>
      </c>
      <c r="Z5735" t="s">
        <v>30682</v>
      </c>
      <c r="AA5735">
        <v>0.57801879183594218</v>
      </c>
      <c r="AB5735" t="str">
        <f>HYPERLINK("Melting_Curves/meltCurve_Q9NZN5_ARHGEF12.pdf", "Melting_Curves/meltCurve_Q9NZN5_ARHGEF12.pdf")</f>
        <v>Melting_Curves/meltCurve_Q9NZN5_ARHGEF12.pdf</v>
      </c>
    </row>
    <row r="5736" spans="1:28" x14ac:dyDescent="0.25">
      <c r="A5736" t="s">
        <v>5740</v>
      </c>
      <c r="B5736">
        <v>0.99987803227770999</v>
      </c>
      <c r="C5736">
        <v>1.0339328106235099</v>
      </c>
      <c r="D5736">
        <v>0.84230697164081703</v>
      </c>
      <c r="E5736">
        <v>1.0952070816599699</v>
      </c>
      <c r="F5736">
        <v>0.54821289526791905</v>
      </c>
      <c r="G5736">
        <v>0.32631782180229602</v>
      </c>
      <c r="H5736">
        <v>0.26333763934089799</v>
      </c>
      <c r="I5736">
        <v>0.27194108558936098</v>
      </c>
      <c r="J5736">
        <v>0.24207443288090999</v>
      </c>
      <c r="K5736">
        <v>0.206177128023599</v>
      </c>
      <c r="L5736">
        <v>13225.812511267601</v>
      </c>
      <c r="M5736">
        <v>250</v>
      </c>
      <c r="N5736">
        <v>53.060793210689702</v>
      </c>
      <c r="O5736">
        <v>52.899866759703798</v>
      </c>
      <c r="P5736">
        <v>-0.871966313302035</v>
      </c>
      <c r="Q5736">
        <v>0.26196960246267298</v>
      </c>
      <c r="R5736">
        <v>0.96520385098616601</v>
      </c>
      <c r="S5736" t="s">
        <v>12047</v>
      </c>
      <c r="T5736" t="s">
        <v>12620</v>
      </c>
      <c r="U5736" t="s">
        <v>12620</v>
      </c>
      <c r="V5736" t="s">
        <v>12620</v>
      </c>
      <c r="W5736" t="s">
        <v>18296</v>
      </c>
      <c r="X5736">
        <v>10</v>
      </c>
      <c r="Y5736" t="s">
        <v>24387</v>
      </c>
      <c r="Z5736" t="s">
        <v>30683</v>
      </c>
      <c r="AA5736">
        <v>0.57947114978059822</v>
      </c>
      <c r="AB5736" t="str">
        <f>HYPERLINK("Melting_Curves/meltCurve_Q9NZN8_CNOT2.pdf", "Melting_Curves/meltCurve_Q9NZN8_CNOT2.pdf")</f>
        <v>Melting_Curves/meltCurve_Q9NZN8_CNOT2.pdf</v>
      </c>
    </row>
    <row r="5737" spans="1:28" x14ac:dyDescent="0.25">
      <c r="A5737" t="s">
        <v>5741</v>
      </c>
      <c r="B5737">
        <v>0.99987803227770999</v>
      </c>
      <c r="C5737">
        <v>1.06961288082726</v>
      </c>
      <c r="D5737">
        <v>0.85679354851300504</v>
      </c>
      <c r="E5737">
        <v>0.66430375290204002</v>
      </c>
      <c r="F5737">
        <v>0.33552978960959801</v>
      </c>
      <c r="G5737">
        <v>0.207590300344453</v>
      </c>
      <c r="H5737">
        <v>0.12658620397471201</v>
      </c>
      <c r="I5737">
        <v>0.115182781030649</v>
      </c>
      <c r="J5737">
        <v>6.6873054183071906E-2</v>
      </c>
      <c r="K5737">
        <v>2.9233374017888399E-2</v>
      </c>
      <c r="L5737">
        <v>987.68155012372199</v>
      </c>
      <c r="M5737">
        <v>19.3264451787899</v>
      </c>
      <c r="N5737">
        <v>51.493591949211996</v>
      </c>
      <c r="O5737">
        <v>50.567462199808503</v>
      </c>
      <c r="P5737">
        <v>-8.90706786577527E-2</v>
      </c>
      <c r="Q5737">
        <v>6.7824366707275305E-2</v>
      </c>
      <c r="R5737">
        <v>0.988365875405122</v>
      </c>
      <c r="S5737" t="s">
        <v>12048</v>
      </c>
      <c r="T5737" t="s">
        <v>12620</v>
      </c>
      <c r="U5737" t="s">
        <v>12620</v>
      </c>
      <c r="V5737" t="s">
        <v>12620</v>
      </c>
      <c r="W5737" t="s">
        <v>18297</v>
      </c>
      <c r="X5737">
        <v>5</v>
      </c>
      <c r="Y5737" t="s">
        <v>24388</v>
      </c>
      <c r="Z5737" t="s">
        <v>30684</v>
      </c>
      <c r="AA5737">
        <v>0.42667501308274092</v>
      </c>
      <c r="AB5737" t="str">
        <f>HYPERLINK("Melting_Curves/meltCurve_Q9NZQ3_3_NCKIPSD.pdf", "Melting_Curves/meltCurve_Q9NZQ3_3_NCKIPSD.pdf")</f>
        <v>Melting_Curves/meltCurve_Q9NZQ3_3_NCKIPSD.pdf</v>
      </c>
    </row>
    <row r="5738" spans="1:28" x14ac:dyDescent="0.25">
      <c r="A5738" t="s">
        <v>5742</v>
      </c>
      <c r="B5738">
        <v>0.99987803227770999</v>
      </c>
      <c r="C5738">
        <v>0.81377749047574899</v>
      </c>
      <c r="D5738">
        <v>0.78861762594993301</v>
      </c>
      <c r="E5738">
        <v>0.55596749724810202</v>
      </c>
      <c r="F5738">
        <v>0.56170263910401497</v>
      </c>
      <c r="G5738">
        <v>0.44681656249289098</v>
      </c>
      <c r="H5738">
        <v>0.428450088405264</v>
      </c>
      <c r="I5738">
        <v>0.41773562196866998</v>
      </c>
      <c r="J5738">
        <v>0.39365619538630398</v>
      </c>
      <c r="K5738">
        <v>0.31867967715587098</v>
      </c>
      <c r="L5738">
        <v>528.93829519008602</v>
      </c>
      <c r="M5738">
        <v>10.9902310748778</v>
      </c>
      <c r="N5738">
        <v>54.123976613809297</v>
      </c>
      <c r="O5738">
        <v>46.616934675765002</v>
      </c>
      <c r="P5738">
        <v>-3.8204399667578402E-2</v>
      </c>
      <c r="Q5738">
        <v>0.352017527600888</v>
      </c>
      <c r="R5738">
        <v>0.96404402154476898</v>
      </c>
      <c r="S5738" t="s">
        <v>12049</v>
      </c>
      <c r="T5738" t="s">
        <v>12620</v>
      </c>
      <c r="U5738" t="s">
        <v>12620</v>
      </c>
      <c r="V5738" t="s">
        <v>12620</v>
      </c>
      <c r="W5738" t="s">
        <v>18298</v>
      </c>
      <c r="X5738">
        <v>19</v>
      </c>
      <c r="Y5738" t="s">
        <v>24389</v>
      </c>
      <c r="Z5738" t="s">
        <v>30685</v>
      </c>
      <c r="AA5738">
        <v>0.5567909813998857</v>
      </c>
      <c r="AB5738" t="str">
        <f>HYPERLINK("Melting_Curves/meltCurve_Q9NZT2_2_OGFR.pdf", "Melting_Curves/meltCurve_Q9NZT2_2_OGFR.pdf")</f>
        <v>Melting_Curves/meltCurve_Q9NZT2_2_OGFR.pdf</v>
      </c>
    </row>
    <row r="5739" spans="1:28" x14ac:dyDescent="0.25">
      <c r="A5739" t="s">
        <v>5743</v>
      </c>
      <c r="B5739">
        <v>0.99987803227770999</v>
      </c>
      <c r="C5739">
        <v>0.94712902603488602</v>
      </c>
      <c r="D5739">
        <v>1.02233845076858</v>
      </c>
      <c r="E5739">
        <v>0.91292732404633103</v>
      </c>
      <c r="F5739">
        <v>1.11347328199882</v>
      </c>
      <c r="G5739">
        <v>0.23888098651057399</v>
      </c>
      <c r="H5739">
        <v>0.50889893380957796</v>
      </c>
      <c r="I5739">
        <v>1.0852636432207301</v>
      </c>
      <c r="J5739">
        <v>0.90629005338128099</v>
      </c>
      <c r="K5739">
        <v>0.61272350933366804</v>
      </c>
      <c r="L5739">
        <v>13697.3371775139</v>
      </c>
      <c r="M5739">
        <v>250</v>
      </c>
      <c r="O5739">
        <v>54.7858415280743</v>
      </c>
      <c r="P5739">
        <v>-0.37598872090794</v>
      </c>
      <c r="Q5739">
        <v>0.67041825852568604</v>
      </c>
      <c r="R5739">
        <v>0.366385963465022</v>
      </c>
      <c r="S5739" t="s">
        <v>12050</v>
      </c>
      <c r="T5739" t="s">
        <v>12620</v>
      </c>
      <c r="U5739" t="s">
        <v>12620</v>
      </c>
      <c r="V5739" t="s">
        <v>12620</v>
      </c>
      <c r="W5739" t="s">
        <v>18299</v>
      </c>
      <c r="X5739">
        <v>1</v>
      </c>
      <c r="Y5739" t="s">
        <v>24390</v>
      </c>
      <c r="Z5739" t="s">
        <v>30686</v>
      </c>
      <c r="AA5739">
        <v>0.83292659271587766</v>
      </c>
      <c r="AB5739" t="str">
        <f>HYPERLINK("Melting_Curves/meltCurve_Q9NZU0_FLRT3.pdf", "Melting_Curves/meltCurve_Q9NZU0_FLRT3.pdf")</f>
        <v>Melting_Curves/meltCurve_Q9NZU0_FLRT3.pdf</v>
      </c>
    </row>
    <row r="5740" spans="1:28" x14ac:dyDescent="0.25">
      <c r="A5740" t="s">
        <v>5744</v>
      </c>
      <c r="B5740">
        <v>0.99987803227770999</v>
      </c>
      <c r="C5740">
        <v>0.90257544504037401</v>
      </c>
      <c r="D5740">
        <v>1.0129815728034</v>
      </c>
      <c r="E5740">
        <v>0.80860373339473002</v>
      </c>
      <c r="F5740">
        <v>0.46908989528890699</v>
      </c>
      <c r="G5740">
        <v>0.16240877870202899</v>
      </c>
      <c r="H5740">
        <v>0.128900087942214</v>
      </c>
      <c r="I5740">
        <v>0.11036725801299101</v>
      </c>
      <c r="J5740">
        <v>8.6733728111648103E-2</v>
      </c>
      <c r="K5740">
        <v>7.2519509997091697E-2</v>
      </c>
      <c r="L5740">
        <v>1503.99967886077</v>
      </c>
      <c r="M5740">
        <v>28.731858659856201</v>
      </c>
      <c r="N5740">
        <v>52.719844680793102</v>
      </c>
      <c r="O5740">
        <v>52.094454962348301</v>
      </c>
      <c r="P5740">
        <v>-0.125178905465063</v>
      </c>
      <c r="Q5740">
        <v>9.2146980939544001E-2</v>
      </c>
      <c r="R5740">
        <v>0.99258525068205605</v>
      </c>
      <c r="S5740" t="s">
        <v>12051</v>
      </c>
      <c r="T5740" t="s">
        <v>12620</v>
      </c>
      <c r="U5740" t="s">
        <v>12620</v>
      </c>
      <c r="V5740" t="s">
        <v>12620</v>
      </c>
      <c r="W5740" t="s">
        <v>18300</v>
      </c>
      <c r="X5740">
        <v>24</v>
      </c>
      <c r="Y5740" t="s">
        <v>24391</v>
      </c>
      <c r="Z5740" t="s">
        <v>30687</v>
      </c>
      <c r="AA5740">
        <v>0.47210990360715049</v>
      </c>
      <c r="AB5740" t="str">
        <f>HYPERLINK("Melting_Curves/meltCurve_Q9NZU5_LMCD1.pdf", "Melting_Curves/meltCurve_Q9NZU5_LMCD1.pdf")</f>
        <v>Melting_Curves/meltCurve_Q9NZU5_LMCD1.pdf</v>
      </c>
    </row>
    <row r="5741" spans="1:28" x14ac:dyDescent="0.25">
      <c r="A5741" t="s">
        <v>5745</v>
      </c>
      <c r="B5741">
        <v>0.99987803227770999</v>
      </c>
      <c r="C5741">
        <v>0.96530647332916497</v>
      </c>
      <c r="D5741">
        <v>1.1900218453522899</v>
      </c>
      <c r="E5741">
        <v>0.98093216014225104</v>
      </c>
      <c r="F5741">
        <v>0.99880273042921697</v>
      </c>
      <c r="G5741">
        <v>0.990265127639541</v>
      </c>
      <c r="H5741">
        <v>1.14112291380981</v>
      </c>
      <c r="I5741">
        <v>1.0221797671469299</v>
      </c>
      <c r="J5741">
        <v>1.02928875868265</v>
      </c>
      <c r="K5741">
        <v>0.76305109981949704</v>
      </c>
      <c r="L5741">
        <v>15000</v>
      </c>
      <c r="M5741">
        <v>213.11621483801599</v>
      </c>
      <c r="Q5741">
        <v>0</v>
      </c>
      <c r="R5741">
        <v>0.48450801428686702</v>
      </c>
      <c r="S5741" t="s">
        <v>12052</v>
      </c>
      <c r="T5741" t="s">
        <v>12620</v>
      </c>
      <c r="U5741" t="s">
        <v>12620</v>
      </c>
      <c r="V5741" t="s">
        <v>12620</v>
      </c>
      <c r="W5741" t="s">
        <v>18301</v>
      </c>
      <c r="X5741">
        <v>6</v>
      </c>
      <c r="Y5741" t="s">
        <v>24392</v>
      </c>
      <c r="Z5741" t="s">
        <v>30688</v>
      </c>
      <c r="AA5741">
        <v>0.99708434260758871</v>
      </c>
      <c r="AB5741" t="str">
        <f>HYPERLINK("Melting_Curves/meltCurve_Q9NZV1_CRIM1.pdf", "Melting_Curves/meltCurve_Q9NZV1_CRIM1.pdf")</f>
        <v>Melting_Curves/meltCurve_Q9NZV1_CRIM1.pdf</v>
      </c>
    </row>
    <row r="5742" spans="1:28" x14ac:dyDescent="0.25">
      <c r="A5742" t="s">
        <v>5746</v>
      </c>
      <c r="B5742">
        <v>0.99987803227770999</v>
      </c>
      <c r="C5742">
        <v>0.93594724484323999</v>
      </c>
      <c r="D5742">
        <v>0.82879021245760298</v>
      </c>
      <c r="E5742">
        <v>0.36731534974337798</v>
      </c>
      <c r="F5742">
        <v>0.21666796668515201</v>
      </c>
      <c r="G5742">
        <v>0.126752684742443</v>
      </c>
      <c r="H5742">
        <v>0.10363370902115999</v>
      </c>
      <c r="I5742">
        <v>8.6099223011651099E-2</v>
      </c>
      <c r="J5742">
        <v>6.7149666373635106E-2</v>
      </c>
      <c r="K5742">
        <v>5.60474391156109E-2</v>
      </c>
      <c r="L5742">
        <v>1128.4232067877699</v>
      </c>
      <c r="M5742">
        <v>23.2244212179084</v>
      </c>
      <c r="N5742">
        <v>48.955823300378597</v>
      </c>
      <c r="O5742">
        <v>48.231849889042202</v>
      </c>
      <c r="P5742">
        <v>-0.11073852028977101</v>
      </c>
      <c r="Q5742">
        <v>8.0101515762935296E-2</v>
      </c>
      <c r="R5742">
        <v>0.99723230509134997</v>
      </c>
      <c r="S5742" t="s">
        <v>12053</v>
      </c>
      <c r="T5742" t="s">
        <v>12620</v>
      </c>
      <c r="U5742" t="s">
        <v>12620</v>
      </c>
      <c r="V5742" t="s">
        <v>12620</v>
      </c>
      <c r="W5742" t="s">
        <v>18302</v>
      </c>
      <c r="X5742">
        <v>22</v>
      </c>
      <c r="Y5742" t="s">
        <v>24393</v>
      </c>
      <c r="Z5742" t="s">
        <v>30689</v>
      </c>
      <c r="AA5742">
        <v>0.35291706582106153</v>
      </c>
      <c r="AB5742" t="str">
        <f>HYPERLINK("Melting_Curves/meltCurve_Q9NZW5_MPP6.pdf", "Melting_Curves/meltCurve_Q9NZW5_MPP6.pdf")</f>
        <v>Melting_Curves/meltCurve_Q9NZW5_MPP6.pdf</v>
      </c>
    </row>
    <row r="5743" spans="1:28" x14ac:dyDescent="0.25">
      <c r="A5743" t="s">
        <v>5747</v>
      </c>
      <c r="B5743">
        <v>0.99987803227770999</v>
      </c>
      <c r="C5743">
        <v>0.958911628061205</v>
      </c>
      <c r="D5743">
        <v>1.0727915185882</v>
      </c>
      <c r="E5743">
        <v>0.99980556543476296</v>
      </c>
      <c r="F5743">
        <v>1.1817706830184</v>
      </c>
      <c r="G5743">
        <v>0.99728228046345901</v>
      </c>
      <c r="H5743">
        <v>1.1187515250342299</v>
      </c>
      <c r="I5743">
        <v>1.1015240672451001</v>
      </c>
      <c r="J5743">
        <v>1.03406529331151</v>
      </c>
      <c r="K5743">
        <v>0.92593210908938794</v>
      </c>
      <c r="L5743">
        <v>957.83391285488801</v>
      </c>
      <c r="M5743">
        <v>5.2220115237649498</v>
      </c>
      <c r="Q5743">
        <v>0.142468938976022</v>
      </c>
      <c r="R5743">
        <v>-0.27339544236666602</v>
      </c>
      <c r="S5743" t="s">
        <v>12054</v>
      </c>
      <c r="T5743" t="s">
        <v>12620</v>
      </c>
      <c r="U5743" t="s">
        <v>12620</v>
      </c>
      <c r="V5743" t="s">
        <v>12620</v>
      </c>
      <c r="W5743" t="s">
        <v>18303</v>
      </c>
      <c r="X5743">
        <v>8</v>
      </c>
      <c r="Y5743" t="s">
        <v>24394</v>
      </c>
      <c r="Z5743" t="s">
        <v>30690</v>
      </c>
      <c r="AA5743">
        <v>0.99997282150656397</v>
      </c>
      <c r="AB5743" t="str">
        <f>HYPERLINK("Melting_Curves/meltCurve_Q9NZZ3_CHMP5.pdf", "Melting_Curves/meltCurve_Q9NZZ3_CHMP5.pdf")</f>
        <v>Melting_Curves/meltCurve_Q9NZZ3_CHMP5.pdf</v>
      </c>
    </row>
    <row r="5744" spans="1:28" x14ac:dyDescent="0.25">
      <c r="A5744" t="s">
        <v>5748</v>
      </c>
      <c r="B5744">
        <v>0.99987803227770999</v>
      </c>
      <c r="C5744">
        <v>0.92798778103106805</v>
      </c>
      <c r="D5744">
        <v>1.0254416277218601</v>
      </c>
      <c r="E5744">
        <v>1.17475554763026</v>
      </c>
      <c r="F5744">
        <v>1.4829483383844799</v>
      </c>
      <c r="G5744">
        <v>1.2842899269671399</v>
      </c>
      <c r="H5744">
        <v>0.56317695547045699</v>
      </c>
      <c r="I5744">
        <v>0.348624190388439</v>
      </c>
      <c r="J5744">
        <v>0.20186116998923101</v>
      </c>
      <c r="K5744">
        <v>0.132981156020269</v>
      </c>
      <c r="L5744">
        <v>4439.9702630628899</v>
      </c>
      <c r="M5744">
        <v>72.913913852909801</v>
      </c>
      <c r="N5744">
        <v>61.369953502055999</v>
      </c>
      <c r="O5744">
        <v>60.847562295760099</v>
      </c>
      <c r="P5744">
        <v>-0.23481189090738699</v>
      </c>
      <c r="Q5744">
        <v>0.21618645221046401</v>
      </c>
      <c r="R5744">
        <v>0.81421259176733096</v>
      </c>
      <c r="S5744" t="s">
        <v>12055</v>
      </c>
      <c r="T5744" t="s">
        <v>12620</v>
      </c>
      <c r="U5744" t="s">
        <v>12620</v>
      </c>
      <c r="V5744" t="s">
        <v>12620</v>
      </c>
      <c r="W5744" t="s">
        <v>18304</v>
      </c>
      <c r="X5744">
        <v>9</v>
      </c>
      <c r="Y5744" t="s">
        <v>24395</v>
      </c>
      <c r="Z5744" t="s">
        <v>30691</v>
      </c>
      <c r="AA5744">
        <v>0.76305350481527334</v>
      </c>
      <c r="AB5744" t="str">
        <f>HYPERLINK("Melting_Curves/meltCurve_Q9P000_COMMD9.pdf", "Melting_Curves/meltCurve_Q9P000_COMMD9.pdf")</f>
        <v>Melting_Curves/meltCurve_Q9P000_COMMD9.pdf</v>
      </c>
    </row>
    <row r="5745" spans="1:28" x14ac:dyDescent="0.25">
      <c r="A5745" t="s">
        <v>5749</v>
      </c>
      <c r="B5745">
        <v>0.99987803227770999</v>
      </c>
      <c r="C5745">
        <v>0.98233641038202002</v>
      </c>
      <c r="D5745">
        <v>1.16770822046828</v>
      </c>
      <c r="E5745">
        <v>1.02921827418415</v>
      </c>
      <c r="F5745">
        <v>1.13582739307025</v>
      </c>
      <c r="G5745">
        <v>0.849824154564642</v>
      </c>
      <c r="H5745">
        <v>0.93700315446148696</v>
      </c>
      <c r="I5745">
        <v>0.91512126968610197</v>
      </c>
      <c r="J5745">
        <v>0.91188957832979101</v>
      </c>
      <c r="K5745">
        <v>0.80750327392390298</v>
      </c>
      <c r="L5745">
        <v>775.33266754383806</v>
      </c>
      <c r="M5745">
        <v>10.9441071658925</v>
      </c>
      <c r="O5745">
        <v>68.602594242980103</v>
      </c>
      <c r="P5745">
        <v>-1.4727498633688199E-2</v>
      </c>
      <c r="Q5745">
        <v>0.63085264444125899</v>
      </c>
      <c r="R5745">
        <v>0.42314296307425497</v>
      </c>
      <c r="S5745" t="s">
        <v>12056</v>
      </c>
      <c r="T5745" t="s">
        <v>12620</v>
      </c>
      <c r="U5745" t="s">
        <v>12620</v>
      </c>
      <c r="V5745" t="s">
        <v>12620</v>
      </c>
      <c r="W5745" t="s">
        <v>18305</v>
      </c>
      <c r="X5745">
        <v>6</v>
      </c>
      <c r="Y5745" t="s">
        <v>24396</v>
      </c>
      <c r="Z5745" t="s">
        <v>30692</v>
      </c>
      <c r="AA5745">
        <v>0.95915152289954564</v>
      </c>
      <c r="AB5745" t="str">
        <f>HYPERLINK("Melting_Curves/meltCurve_Q9P013_CWC15.pdf", "Melting_Curves/meltCurve_Q9P013_CWC15.pdf")</f>
        <v>Melting_Curves/meltCurve_Q9P013_CWC15.pdf</v>
      </c>
    </row>
    <row r="5746" spans="1:28" x14ac:dyDescent="0.25">
      <c r="A5746" t="s">
        <v>5750</v>
      </c>
      <c r="B5746">
        <v>0.99987803227770999</v>
      </c>
      <c r="C5746">
        <v>0.94594510471835203</v>
      </c>
      <c r="D5746">
        <v>0.89145176271481996</v>
      </c>
      <c r="E5746">
        <v>0.43461447743862502</v>
      </c>
      <c r="F5746">
        <v>0.17043694550212901</v>
      </c>
      <c r="G5746">
        <v>0.15331646449535</v>
      </c>
      <c r="H5746">
        <v>7.1306914949651995E-2</v>
      </c>
      <c r="I5746">
        <v>5.85470915232814E-2</v>
      </c>
      <c r="J5746">
        <v>3.7006470925132401E-2</v>
      </c>
      <c r="K5746">
        <v>3.5038785114278798E-2</v>
      </c>
      <c r="L5746">
        <v>1279.58595153742</v>
      </c>
      <c r="M5746">
        <v>25.9784048242261</v>
      </c>
      <c r="N5746">
        <v>49.498573424314998</v>
      </c>
      <c r="O5746">
        <v>48.966667932446299</v>
      </c>
      <c r="P5746">
        <v>-0.124699659108234</v>
      </c>
      <c r="Q5746">
        <v>5.9825831387790199E-2</v>
      </c>
      <c r="R5746">
        <v>0.99487622810586696</v>
      </c>
      <c r="S5746" t="s">
        <v>12057</v>
      </c>
      <c r="T5746" t="s">
        <v>12620</v>
      </c>
      <c r="U5746" t="s">
        <v>12620</v>
      </c>
      <c r="V5746" t="s">
        <v>12620</v>
      </c>
      <c r="W5746" t="s">
        <v>18306</v>
      </c>
      <c r="X5746">
        <v>6</v>
      </c>
      <c r="Y5746" t="s">
        <v>24397</v>
      </c>
      <c r="Z5746" t="s">
        <v>30693</v>
      </c>
      <c r="AA5746">
        <v>0.35760875754284233</v>
      </c>
      <c r="AB5746" t="str">
        <f>HYPERLINK("Melting_Curves/meltCurve_Q9P016_THYN1.pdf", "Melting_Curves/meltCurve_Q9P016_THYN1.pdf")</f>
        <v>Melting_Curves/meltCurve_Q9P016_THYN1.pdf</v>
      </c>
    </row>
    <row r="5747" spans="1:28" x14ac:dyDescent="0.25">
      <c r="A5747" t="s">
        <v>5751</v>
      </c>
      <c r="B5747">
        <v>0.99987803227770999</v>
      </c>
      <c r="C5747">
        <v>0.87690174402266996</v>
      </c>
      <c r="D5747">
        <v>1.00904221035098</v>
      </c>
      <c r="E5747">
        <v>0.87434085186494703</v>
      </c>
      <c r="F5747">
        <v>1.16770028461553</v>
      </c>
      <c r="G5747">
        <v>0.55064912939637001</v>
      </c>
      <c r="H5747">
        <v>1.0215026400352301</v>
      </c>
      <c r="I5747">
        <v>0.98064365658641595</v>
      </c>
      <c r="J5747">
        <v>1.59463583174503</v>
      </c>
      <c r="K5747">
        <v>1.17679691250164</v>
      </c>
      <c r="L5747">
        <v>15000</v>
      </c>
      <c r="M5747">
        <v>230.20090674665801</v>
      </c>
      <c r="O5747">
        <v>65.155555776044295</v>
      </c>
      <c r="P5747">
        <v>0.34066434395003498</v>
      </c>
      <c r="Q5747">
        <v>1.3856835277823001</v>
      </c>
      <c r="R5747">
        <v>0.45385815020951398</v>
      </c>
      <c r="S5747" t="s">
        <v>12058</v>
      </c>
      <c r="T5747" t="s">
        <v>12620</v>
      </c>
      <c r="U5747" t="s">
        <v>12620</v>
      </c>
      <c r="V5747" t="s">
        <v>12620</v>
      </c>
      <c r="W5747" t="s">
        <v>18307</v>
      </c>
      <c r="X5747">
        <v>2</v>
      </c>
      <c r="Y5747" t="s">
        <v>24398</v>
      </c>
      <c r="Z5747" t="s">
        <v>30694</v>
      </c>
      <c r="AA5747">
        <v>1.062165506800804</v>
      </c>
      <c r="AB5747" t="str">
        <f>HYPERLINK("Melting_Curves/meltCurve_Q9P021_CRIPT.pdf", "Melting_Curves/meltCurve_Q9P021_CRIPT.pdf")</f>
        <v>Melting_Curves/meltCurve_Q9P021_CRIPT.pdf</v>
      </c>
    </row>
    <row r="5748" spans="1:28" x14ac:dyDescent="0.25">
      <c r="A5748" t="s">
        <v>5752</v>
      </c>
      <c r="B5748">
        <v>0.99987803227770999</v>
      </c>
      <c r="C5748">
        <v>0.81484024631645502</v>
      </c>
      <c r="D5748">
        <v>0.91450989048950604</v>
      </c>
      <c r="E5748">
        <v>1.0663614474968199</v>
      </c>
      <c r="F5748">
        <v>1.0479178607961299</v>
      </c>
      <c r="G5748">
        <v>0.72288788877045795</v>
      </c>
      <c r="H5748">
        <v>0.67106142032634997</v>
      </c>
      <c r="I5748">
        <v>0.61930573245766696</v>
      </c>
      <c r="J5748">
        <v>0.64647018634852804</v>
      </c>
      <c r="K5748">
        <v>0.51471175997555196</v>
      </c>
      <c r="L5748">
        <v>10343.5778879398</v>
      </c>
      <c r="M5748">
        <v>182.390191644693</v>
      </c>
      <c r="O5748">
        <v>56.704444018889099</v>
      </c>
      <c r="P5748">
        <v>-0.31128804764958101</v>
      </c>
      <c r="Q5748">
        <v>0.61288673669782201</v>
      </c>
      <c r="R5748">
        <v>0.81932909817831001</v>
      </c>
      <c r="S5748" t="s">
        <v>12059</v>
      </c>
      <c r="T5748" t="s">
        <v>12620</v>
      </c>
      <c r="U5748" t="s">
        <v>12620</v>
      </c>
      <c r="V5748" t="s">
        <v>12620</v>
      </c>
      <c r="W5748" t="s">
        <v>18308</v>
      </c>
      <c r="X5748">
        <v>3</v>
      </c>
      <c r="Y5748" t="s">
        <v>24399</v>
      </c>
      <c r="Z5748" t="s">
        <v>30695</v>
      </c>
      <c r="AA5748">
        <v>0.82859750551247469</v>
      </c>
      <c r="AB5748" t="str">
        <f>HYPERLINK("Melting_Curves/meltCurve_Q9P0J7_KCMF1.pdf", "Melting_Curves/meltCurve_Q9P0J7_KCMF1.pdf")</f>
        <v>Melting_Curves/meltCurve_Q9P0J7_KCMF1.pdf</v>
      </c>
    </row>
    <row r="5749" spans="1:28" x14ac:dyDescent="0.25">
      <c r="A5749" t="s">
        <v>5753</v>
      </c>
      <c r="B5749">
        <v>0.99987803227770999</v>
      </c>
      <c r="C5749">
        <v>1.1476702153551801</v>
      </c>
      <c r="D5749">
        <v>0.91402435967604301</v>
      </c>
      <c r="E5749">
        <v>0.80788655718389502</v>
      </c>
      <c r="F5749">
        <v>0.52133901202547706</v>
      </c>
      <c r="G5749">
        <v>0.41733794307674699</v>
      </c>
      <c r="H5749">
        <v>0.32119899356186699</v>
      </c>
      <c r="I5749">
        <v>0.26526367286823299</v>
      </c>
      <c r="J5749">
        <v>0.22468492113817601</v>
      </c>
      <c r="K5749">
        <v>0.15981697472814499</v>
      </c>
      <c r="L5749">
        <v>896.31678650856202</v>
      </c>
      <c r="M5749">
        <v>16.980278829741</v>
      </c>
      <c r="N5749">
        <v>54.489910537222499</v>
      </c>
      <c r="O5749">
        <v>52.069948690660297</v>
      </c>
      <c r="P5749">
        <v>-6.4735275935016198E-2</v>
      </c>
      <c r="Q5749">
        <v>0.206007562874821</v>
      </c>
      <c r="R5749">
        <v>0.96581292499177296</v>
      </c>
      <c r="S5749" t="s">
        <v>12060</v>
      </c>
      <c r="T5749" t="s">
        <v>12620</v>
      </c>
      <c r="U5749" t="s">
        <v>12620</v>
      </c>
      <c r="V5749" t="s">
        <v>12620</v>
      </c>
      <c r="W5749" t="s">
        <v>18309</v>
      </c>
      <c r="X5749">
        <v>41</v>
      </c>
      <c r="Y5749" t="s">
        <v>24400</v>
      </c>
      <c r="Z5749" t="s">
        <v>30696</v>
      </c>
      <c r="AA5749">
        <v>0.55872395568209332</v>
      </c>
      <c r="AB5749" t="str">
        <f>HYPERLINK("Melting_Curves/meltCurve_Q9P0K7_RAI14.pdf", "Melting_Curves/meltCurve_Q9P0K7_RAI14.pdf")</f>
        <v>Melting_Curves/meltCurve_Q9P0K7_RAI14.pdf</v>
      </c>
    </row>
    <row r="5750" spans="1:28" x14ac:dyDescent="0.25">
      <c r="A5750" t="s">
        <v>5754</v>
      </c>
      <c r="B5750">
        <v>0.99987803227770999</v>
      </c>
      <c r="C5750">
        <v>0.74896295271075197</v>
      </c>
      <c r="D5750">
        <v>1.0287088678537999</v>
      </c>
      <c r="E5750">
        <v>0.80901271682064702</v>
      </c>
      <c r="F5750">
        <v>1.1797086227496301</v>
      </c>
      <c r="G5750">
        <v>0.96787456238535396</v>
      </c>
      <c r="H5750">
        <v>1.01874676792686</v>
      </c>
      <c r="I5750">
        <v>0.78485941754671495</v>
      </c>
      <c r="J5750">
        <v>0.833832238484285</v>
      </c>
      <c r="K5750">
        <v>0.60457185177460804</v>
      </c>
      <c r="L5750">
        <v>1184.53408317756</v>
      </c>
      <c r="M5750">
        <v>16.441114703113101</v>
      </c>
      <c r="Q5750">
        <v>0</v>
      </c>
      <c r="R5750">
        <v>0.41261991736743697</v>
      </c>
      <c r="S5750" t="s">
        <v>12061</v>
      </c>
      <c r="T5750" t="s">
        <v>12620</v>
      </c>
      <c r="U5750" t="s">
        <v>12620</v>
      </c>
      <c r="V5750" t="s">
        <v>12620</v>
      </c>
      <c r="W5750" t="s">
        <v>18310</v>
      </c>
      <c r="X5750">
        <v>6</v>
      </c>
      <c r="Y5750" t="s">
        <v>24401</v>
      </c>
      <c r="Z5750" t="s">
        <v>30697</v>
      </c>
      <c r="AA5750">
        <v>0.94111215571700935</v>
      </c>
      <c r="AB5750" t="str">
        <f>HYPERLINK("Melting_Curves/meltCurve_Q9P0L0_VAPA.pdf", "Melting_Curves/meltCurve_Q9P0L0_VAPA.pdf")</f>
        <v>Melting_Curves/meltCurve_Q9P0L0_VAPA.pdf</v>
      </c>
    </row>
    <row r="5751" spans="1:28" x14ac:dyDescent="0.25">
      <c r="A5751" t="s">
        <v>5755</v>
      </c>
      <c r="B5751">
        <v>0.99987803227770999</v>
      </c>
      <c r="C5751">
        <v>0.76354156062472001</v>
      </c>
      <c r="D5751">
        <v>0.97260976691565704</v>
      </c>
      <c r="E5751">
        <v>0.72856984237512301</v>
      </c>
      <c r="F5751">
        <v>0.74664756383513997</v>
      </c>
      <c r="G5751">
        <v>0.36084724590822398</v>
      </c>
      <c r="H5751">
        <v>0.20835956889221399</v>
      </c>
      <c r="I5751">
        <v>0.188256129468301</v>
      </c>
      <c r="J5751">
        <v>0.14032322612783901</v>
      </c>
      <c r="K5751">
        <v>0.10454720374542401</v>
      </c>
      <c r="L5751">
        <v>652.092537262625</v>
      </c>
      <c r="M5751">
        <v>11.8169731032893</v>
      </c>
      <c r="N5751">
        <v>55.334445263146698</v>
      </c>
      <c r="O5751">
        <v>53.673546070316903</v>
      </c>
      <c r="P5751">
        <v>-5.4177306710053198E-2</v>
      </c>
      <c r="Q5751">
        <v>1.5942805080322701E-2</v>
      </c>
      <c r="R5751">
        <v>0.94018608219134603</v>
      </c>
      <c r="S5751" t="s">
        <v>12062</v>
      </c>
      <c r="T5751" t="s">
        <v>12620</v>
      </c>
      <c r="U5751" t="s">
        <v>12620</v>
      </c>
      <c r="V5751" t="s">
        <v>12620</v>
      </c>
      <c r="W5751" t="s">
        <v>18311</v>
      </c>
      <c r="X5751">
        <v>1</v>
      </c>
      <c r="Y5751" t="s">
        <v>24402</v>
      </c>
      <c r="Z5751" t="s">
        <v>30698</v>
      </c>
      <c r="AA5751">
        <v>0.53674110821095422</v>
      </c>
      <c r="AB5751" t="str">
        <f>HYPERLINK("Melting_Curves/meltCurve_Q9P0M6_H2AFY2.pdf", "Melting_Curves/meltCurve_Q9P0M6_H2AFY2.pdf")</f>
        <v>Melting_Curves/meltCurve_Q9P0M6_H2AFY2.pdf</v>
      </c>
    </row>
    <row r="5752" spans="1:28" x14ac:dyDescent="0.25">
      <c r="A5752" t="s">
        <v>5756</v>
      </c>
      <c r="B5752">
        <v>0.99987803227770999</v>
      </c>
      <c r="C5752">
        <v>0.86722705001489397</v>
      </c>
      <c r="D5752">
        <v>0.79194521532345397</v>
      </c>
      <c r="E5752">
        <v>0.53266557617348897</v>
      </c>
      <c r="F5752">
        <v>0.25924463904023698</v>
      </c>
      <c r="G5752">
        <v>0.15775771455813301</v>
      </c>
      <c r="H5752">
        <v>0.141478220441389</v>
      </c>
      <c r="I5752">
        <v>0.13782485810839701</v>
      </c>
      <c r="J5752">
        <v>8.0373477194501303E-2</v>
      </c>
      <c r="K5752">
        <v>4.2540768778822201E-2</v>
      </c>
      <c r="L5752">
        <v>775.04889154043804</v>
      </c>
      <c r="M5752">
        <v>15.685035215867901</v>
      </c>
      <c r="N5752">
        <v>49.8886919388965</v>
      </c>
      <c r="O5752">
        <v>48.630985502385201</v>
      </c>
      <c r="P5752">
        <v>-7.5041839418015302E-2</v>
      </c>
      <c r="Q5752">
        <v>6.9419005154251201E-2</v>
      </c>
      <c r="R5752">
        <v>0.99011307990532005</v>
      </c>
      <c r="S5752" t="s">
        <v>12063</v>
      </c>
      <c r="T5752" t="s">
        <v>12620</v>
      </c>
      <c r="U5752" t="s">
        <v>12620</v>
      </c>
      <c r="V5752" t="s">
        <v>12620</v>
      </c>
      <c r="W5752" t="s">
        <v>18312</v>
      </c>
      <c r="X5752">
        <v>2</v>
      </c>
      <c r="Y5752" t="s">
        <v>24403</v>
      </c>
      <c r="Z5752" t="s">
        <v>30699</v>
      </c>
      <c r="AA5752">
        <v>0.38224388600111592</v>
      </c>
      <c r="AB5752" t="str">
        <f>HYPERLINK("Melting_Curves/meltCurve_Q9P0N9_3_TBC1D7.pdf", "Melting_Curves/meltCurve_Q9P0N9_3_TBC1D7.pdf")</f>
        <v>Melting_Curves/meltCurve_Q9P0N9_3_TBC1D7.pdf</v>
      </c>
    </row>
    <row r="5753" spans="1:28" x14ac:dyDescent="0.25">
      <c r="A5753" t="s">
        <v>5757</v>
      </c>
      <c r="B5753">
        <v>0.99987803227770999</v>
      </c>
      <c r="C5753">
        <v>0.83125411825551498</v>
      </c>
      <c r="D5753">
        <v>0.98107832193886502</v>
      </c>
      <c r="E5753">
        <v>0.82920124012526397</v>
      </c>
      <c r="F5753">
        <v>1.0224541921352499</v>
      </c>
      <c r="G5753">
        <v>0.69790711739280098</v>
      </c>
      <c r="H5753">
        <v>0.81826070871344603</v>
      </c>
      <c r="I5753">
        <v>0.86904560519806995</v>
      </c>
      <c r="J5753">
        <v>0.833620250021743</v>
      </c>
      <c r="K5753">
        <v>0.65999500669880895</v>
      </c>
      <c r="L5753">
        <v>186.48794486824301</v>
      </c>
      <c r="M5753">
        <v>1.5849226840452899</v>
      </c>
      <c r="O5753">
        <v>59.944050443989802</v>
      </c>
      <c r="P5753">
        <v>-7.6124625753595E-3</v>
      </c>
      <c r="Q5753">
        <v>0</v>
      </c>
      <c r="R5753">
        <v>0.36531046256926503</v>
      </c>
      <c r="S5753" t="s">
        <v>12064</v>
      </c>
      <c r="T5753" t="s">
        <v>12620</v>
      </c>
      <c r="U5753" t="s">
        <v>12620</v>
      </c>
      <c r="V5753" t="s">
        <v>12620</v>
      </c>
      <c r="W5753" t="s">
        <v>18313</v>
      </c>
      <c r="X5753">
        <v>8</v>
      </c>
      <c r="Y5753" t="s">
        <v>24404</v>
      </c>
      <c r="Z5753" t="s">
        <v>30700</v>
      </c>
      <c r="AA5753">
        <v>0.85641466260751886</v>
      </c>
      <c r="AB5753" t="str">
        <f>HYPERLINK("Melting_Curves/meltCurve_Q9P0P0_RNF181.pdf", "Melting_Curves/meltCurve_Q9P0P0_RNF181.pdf")</f>
        <v>Melting_Curves/meltCurve_Q9P0P0_RNF181.pdf</v>
      </c>
    </row>
    <row r="5754" spans="1:28" x14ac:dyDescent="0.25">
      <c r="A5754" t="s">
        <v>5758</v>
      </c>
      <c r="B5754">
        <v>0.99987803227770999</v>
      </c>
      <c r="C5754">
        <v>1.6137301147018701</v>
      </c>
      <c r="D5754">
        <v>0.82693493470433099</v>
      </c>
      <c r="E5754">
        <v>1.0612702663306599</v>
      </c>
      <c r="F5754">
        <v>0.27029805953458602</v>
      </c>
      <c r="G5754">
        <v>0.189226820276054</v>
      </c>
      <c r="H5754">
        <v>8.3351297838191701E-2</v>
      </c>
      <c r="I5754">
        <v>4.7700086244395999E-2</v>
      </c>
      <c r="J5754">
        <v>2.5774292334450201E-2</v>
      </c>
      <c r="K5754">
        <v>1.17238013276122E-2</v>
      </c>
      <c r="L5754">
        <v>13181.0670716965</v>
      </c>
      <c r="M5754">
        <v>250</v>
      </c>
      <c r="N5754">
        <v>52.756835803598797</v>
      </c>
      <c r="O5754">
        <v>52.720894306243601</v>
      </c>
      <c r="P5754">
        <v>-1.1006603910864801</v>
      </c>
      <c r="Q5754">
        <v>7.1555199163195596E-2</v>
      </c>
      <c r="R5754">
        <v>0.85158420968013204</v>
      </c>
      <c r="S5754" t="s">
        <v>12065</v>
      </c>
      <c r="T5754" t="s">
        <v>12620</v>
      </c>
      <c r="U5754" t="s">
        <v>12620</v>
      </c>
      <c r="V5754" t="s">
        <v>12620</v>
      </c>
      <c r="W5754" t="s">
        <v>18314</v>
      </c>
      <c r="X5754">
        <v>3</v>
      </c>
      <c r="Y5754" t="s">
        <v>24405</v>
      </c>
      <c r="Z5754" t="s">
        <v>30701</v>
      </c>
      <c r="AA5754">
        <v>0.46543379958885323</v>
      </c>
      <c r="AB5754" t="str">
        <f>HYPERLINK("Melting_Curves/meltCurve_Q9P0P8_C6orf203.pdf", "Melting_Curves/meltCurve_Q9P0P8_C6orf203.pdf")</f>
        <v>Melting_Curves/meltCurve_Q9P0P8_C6orf203.pdf</v>
      </c>
    </row>
    <row r="5755" spans="1:28" x14ac:dyDescent="0.25">
      <c r="A5755" t="s">
        <v>5759</v>
      </c>
      <c r="B5755">
        <v>0.99987803227770999</v>
      </c>
      <c r="C5755">
        <v>0.85055076382639205</v>
      </c>
      <c r="D5755">
        <v>1.0859878311889</v>
      </c>
      <c r="E5755">
        <v>0.90776693920873297</v>
      </c>
      <c r="F5755">
        <v>1.0580608992467699</v>
      </c>
      <c r="G5755">
        <v>0.93781089126166395</v>
      </c>
      <c r="H5755">
        <v>0.88925304132089</v>
      </c>
      <c r="I5755">
        <v>0.788022200600343</v>
      </c>
      <c r="J5755">
        <v>0.64958345639528103</v>
      </c>
      <c r="K5755">
        <v>0.509933862771494</v>
      </c>
      <c r="L5755">
        <v>997.87092949547502</v>
      </c>
      <c r="M5755">
        <v>14.420314506143001</v>
      </c>
      <c r="O5755">
        <v>67.909031127136601</v>
      </c>
      <c r="P5755">
        <v>-4.8142731834098999E-2</v>
      </c>
      <c r="Q5755">
        <v>9.3240046844791105E-2</v>
      </c>
      <c r="R5755">
        <v>0.852168276987878</v>
      </c>
      <c r="S5755" t="s">
        <v>12066</v>
      </c>
      <c r="T5755" t="s">
        <v>12620</v>
      </c>
      <c r="U5755" t="s">
        <v>12620</v>
      </c>
      <c r="V5755" t="s">
        <v>12620</v>
      </c>
      <c r="W5755" t="s">
        <v>18315</v>
      </c>
      <c r="X5755">
        <v>4</v>
      </c>
      <c r="Y5755" t="s">
        <v>24406</v>
      </c>
      <c r="Z5755" t="s">
        <v>30702</v>
      </c>
      <c r="AA5755">
        <v>0.90045148057583524</v>
      </c>
      <c r="AB5755" t="str">
        <f>HYPERLINK("Melting_Curves/meltCurve_Q9P0R6_GSKIP.pdf", "Melting_Curves/meltCurve_Q9P0R6_GSKIP.pdf")</f>
        <v>Melting_Curves/meltCurve_Q9P0R6_GSKIP.pdf</v>
      </c>
    </row>
    <row r="5756" spans="1:28" x14ac:dyDescent="0.25">
      <c r="A5756" t="s">
        <v>5760</v>
      </c>
      <c r="B5756">
        <v>0.99987803227770999</v>
      </c>
      <c r="C5756">
        <v>0.94506822426951298</v>
      </c>
      <c r="D5756">
        <v>0.98570965532022503</v>
      </c>
      <c r="E5756">
        <v>0.84741349742418803</v>
      </c>
      <c r="F5756">
        <v>0.90490537035182195</v>
      </c>
      <c r="G5756">
        <v>0.674445229927503</v>
      </c>
      <c r="H5756">
        <v>0.61338558458691805</v>
      </c>
      <c r="I5756">
        <v>0.61416052889714401</v>
      </c>
      <c r="J5756">
        <v>0.54111084646832597</v>
      </c>
      <c r="K5756">
        <v>0.46129248715721799</v>
      </c>
      <c r="L5756">
        <v>529.90583074661697</v>
      </c>
      <c r="M5756">
        <v>8.9917922260775303</v>
      </c>
      <c r="N5756">
        <v>68.813106461556103</v>
      </c>
      <c r="O5756">
        <v>56.236289271216997</v>
      </c>
      <c r="P5756">
        <v>-2.5500672504745799E-2</v>
      </c>
      <c r="Q5756">
        <v>0.36252136075942398</v>
      </c>
      <c r="R5756">
        <v>0.95481156437396797</v>
      </c>
      <c r="S5756" t="s">
        <v>12067</v>
      </c>
      <c r="T5756" t="s">
        <v>12620</v>
      </c>
      <c r="U5756" t="s">
        <v>12620</v>
      </c>
      <c r="V5756" t="s">
        <v>12620</v>
      </c>
      <c r="W5756" t="s">
        <v>18316</v>
      </c>
      <c r="X5756">
        <v>2</v>
      </c>
      <c r="Y5756" t="s">
        <v>24407</v>
      </c>
      <c r="Z5756" t="s">
        <v>30703</v>
      </c>
      <c r="AA5756">
        <v>0.7649001348002934</v>
      </c>
      <c r="AB5756" t="str">
        <f>HYPERLINK("Melting_Curves/meltCurve_Q9P0S2_COX16.pdf", "Melting_Curves/meltCurve_Q9P0S2_COX16.pdf")</f>
        <v>Melting_Curves/meltCurve_Q9P0S2_COX16.pdf</v>
      </c>
    </row>
    <row r="5757" spans="1:28" x14ac:dyDescent="0.25">
      <c r="A5757" t="s">
        <v>5761</v>
      </c>
      <c r="B5757">
        <v>0.99987803227770999</v>
      </c>
      <c r="C5757">
        <v>0.91030998431465804</v>
      </c>
      <c r="D5757">
        <v>0.58488669491555201</v>
      </c>
      <c r="E5757">
        <v>0.44348551277647302</v>
      </c>
      <c r="F5757">
        <v>0.34980658264478198</v>
      </c>
      <c r="G5757">
        <v>0.24751554458430799</v>
      </c>
      <c r="H5757">
        <v>0.19772294647684199</v>
      </c>
      <c r="I5757">
        <v>0.196390365106697</v>
      </c>
      <c r="J5757">
        <v>0.185042487902676</v>
      </c>
      <c r="K5757">
        <v>0.147773404859768</v>
      </c>
      <c r="L5757">
        <v>710.53076119986997</v>
      </c>
      <c r="M5757">
        <v>15.0365091838095</v>
      </c>
      <c r="N5757">
        <v>48.657123451476899</v>
      </c>
      <c r="O5757">
        <v>46.441567517667899</v>
      </c>
      <c r="P5757">
        <v>-6.6708231932396098E-2</v>
      </c>
      <c r="Q5757">
        <v>0.17594596047223199</v>
      </c>
      <c r="R5757">
        <v>0.98098447182640902</v>
      </c>
      <c r="S5757" t="s">
        <v>12068</v>
      </c>
      <c r="T5757" t="s">
        <v>12620</v>
      </c>
      <c r="U5757" t="s">
        <v>12620</v>
      </c>
      <c r="V5757" t="s">
        <v>12620</v>
      </c>
      <c r="W5757" t="s">
        <v>18317</v>
      </c>
      <c r="X5757">
        <v>8</v>
      </c>
      <c r="Y5757" t="s">
        <v>24408</v>
      </c>
      <c r="Z5757" t="s">
        <v>30704</v>
      </c>
      <c r="AA5757">
        <v>0.3971350186171444</v>
      </c>
      <c r="AB5757" t="str">
        <f>HYPERLINK("Melting_Curves/meltCurve_Q9P0U4_CXXC1.pdf", "Melting_Curves/meltCurve_Q9P0U4_CXXC1.pdf")</f>
        <v>Melting_Curves/meltCurve_Q9P0U4_CXXC1.pdf</v>
      </c>
    </row>
    <row r="5758" spans="1:28" x14ac:dyDescent="0.25">
      <c r="A5758" t="s">
        <v>5762</v>
      </c>
      <c r="B5758">
        <v>0.99987803227770999</v>
      </c>
      <c r="C5758">
        <v>1.1273334427280799</v>
      </c>
      <c r="D5758">
        <v>1.0893020635870101</v>
      </c>
      <c r="E5758">
        <v>1.31447487099253</v>
      </c>
      <c r="F5758">
        <v>0.942792313226683</v>
      </c>
      <c r="G5758">
        <v>0.96276262213001296</v>
      </c>
      <c r="H5758">
        <v>1.29666013387431</v>
      </c>
      <c r="I5758">
        <v>0.93631608238334996</v>
      </c>
      <c r="J5758">
        <v>0.567754026536053</v>
      </c>
      <c r="K5758">
        <v>0.28132955360127498</v>
      </c>
      <c r="L5758">
        <v>4524.9762245142301</v>
      </c>
      <c r="M5758">
        <v>67.871703578010298</v>
      </c>
      <c r="N5758">
        <v>67.372942074776205</v>
      </c>
      <c r="O5758">
        <v>66.611750173959393</v>
      </c>
      <c r="P5758">
        <v>-0.19006997593359201</v>
      </c>
      <c r="Q5758">
        <v>0.253833965360373</v>
      </c>
      <c r="R5758">
        <v>0.75881635130816305</v>
      </c>
      <c r="S5758" t="s">
        <v>12069</v>
      </c>
      <c r="T5758" t="s">
        <v>12620</v>
      </c>
      <c r="U5758" t="s">
        <v>12620</v>
      </c>
      <c r="V5758" t="s">
        <v>12620</v>
      </c>
      <c r="W5758" t="s">
        <v>18318</v>
      </c>
      <c r="X5758">
        <v>3</v>
      </c>
      <c r="Y5758" t="s">
        <v>24409</v>
      </c>
      <c r="Z5758" t="s">
        <v>30705</v>
      </c>
      <c r="AA5758">
        <v>0.91727228647020564</v>
      </c>
      <c r="AB5758" t="str">
        <f>HYPERLINK("Melting_Curves/meltCurve_Q9P0V3_SH3BP4.pdf", "Melting_Curves/meltCurve_Q9P0V3_SH3BP4.pdf")</f>
        <v>Melting_Curves/meltCurve_Q9P0V3_SH3BP4.pdf</v>
      </c>
    </row>
    <row r="5759" spans="1:28" x14ac:dyDescent="0.25">
      <c r="A5759" t="s">
        <v>5763</v>
      </c>
      <c r="B5759">
        <v>0.99987803227770999</v>
      </c>
      <c r="C5759">
        <v>0.81921634467198501</v>
      </c>
      <c r="D5759">
        <v>0.89306984399354195</v>
      </c>
      <c r="E5759">
        <v>0.76419702332663297</v>
      </c>
      <c r="F5759">
        <v>0.88553023036289402</v>
      </c>
      <c r="G5759">
        <v>0.93656709563162199</v>
      </c>
      <c r="H5759">
        <v>0.75527555146539205</v>
      </c>
      <c r="I5759">
        <v>0.52037960375476</v>
      </c>
      <c r="J5759">
        <v>0.472974786471338</v>
      </c>
      <c r="K5759">
        <v>0.34511956117977499</v>
      </c>
      <c r="L5759">
        <v>567.67058679982097</v>
      </c>
      <c r="M5759">
        <v>8.5654473121514005</v>
      </c>
      <c r="N5759">
        <v>66.274481476106303</v>
      </c>
      <c r="O5759">
        <v>62.958573760557996</v>
      </c>
      <c r="P5759">
        <v>-3.4042010144406297E-2</v>
      </c>
      <c r="Q5759">
        <v>0</v>
      </c>
      <c r="R5759">
        <v>0.77477380744067104</v>
      </c>
      <c r="S5759" t="s">
        <v>12070</v>
      </c>
      <c r="T5759" t="s">
        <v>12620</v>
      </c>
      <c r="U5759" t="s">
        <v>12620</v>
      </c>
      <c r="V5759" t="s">
        <v>12620</v>
      </c>
      <c r="W5759" t="s">
        <v>18319</v>
      </c>
      <c r="X5759">
        <v>4</v>
      </c>
      <c r="Y5759" t="s">
        <v>24410</v>
      </c>
      <c r="Z5759" t="s">
        <v>30706</v>
      </c>
      <c r="AA5759">
        <v>0.78878065218389792</v>
      </c>
      <c r="AB5759" t="str">
        <f>HYPERLINK("Melting_Curves/meltCurve_Q9P1F3_ABRACL.pdf", "Melting_Curves/meltCurve_Q9P1F3_ABRACL.pdf")</f>
        <v>Melting_Curves/meltCurve_Q9P1F3_ABRACL.pdf</v>
      </c>
    </row>
    <row r="5760" spans="1:28" x14ac:dyDescent="0.25">
      <c r="A5760" t="s">
        <v>5764</v>
      </c>
      <c r="B5760">
        <v>0.99987803227770999</v>
      </c>
      <c r="C5760">
        <v>0.95797242886052403</v>
      </c>
      <c r="D5760">
        <v>1.49812954159443</v>
      </c>
      <c r="E5760">
        <v>1.68360403354249</v>
      </c>
      <c r="F5760">
        <v>2.7811137869892</v>
      </c>
      <c r="G5760">
        <v>2.72159334923326</v>
      </c>
      <c r="H5760">
        <v>2.7609311041838498</v>
      </c>
      <c r="I5760">
        <v>2.6432204163781998</v>
      </c>
      <c r="J5760">
        <v>2.6878861944272998</v>
      </c>
      <c r="K5760">
        <v>2.3914545476622799</v>
      </c>
      <c r="L5760">
        <v>11244.6618153528</v>
      </c>
      <c r="M5760">
        <v>250</v>
      </c>
      <c r="O5760">
        <v>44.975768960585597</v>
      </c>
      <c r="P5760">
        <v>0.69481858304237498</v>
      </c>
      <c r="Q5760">
        <v>1.5</v>
      </c>
      <c r="R5760">
        <v>-0.63429547987114998</v>
      </c>
      <c r="S5760" t="s">
        <v>12071</v>
      </c>
      <c r="T5760" t="s">
        <v>12620</v>
      </c>
      <c r="U5760" t="s">
        <v>12620</v>
      </c>
      <c r="V5760" t="s">
        <v>12620</v>
      </c>
      <c r="W5760" t="s">
        <v>18320</v>
      </c>
      <c r="X5760">
        <v>1</v>
      </c>
      <c r="Y5760" t="s">
        <v>24411</v>
      </c>
      <c r="Z5760" t="s">
        <v>30707</v>
      </c>
      <c r="AA5760">
        <v>1.4169830772301859</v>
      </c>
      <c r="AB5760" t="str">
        <f>HYPERLINK("Melting_Curves/meltCurve_Q9P1U0_ZNRD1.pdf", "Melting_Curves/meltCurve_Q9P1U0_ZNRD1.pdf")</f>
        <v>Melting_Curves/meltCurve_Q9P1U0_ZNRD1.pdf</v>
      </c>
    </row>
    <row r="5761" spans="1:28" x14ac:dyDescent="0.25">
      <c r="A5761" t="s">
        <v>5765</v>
      </c>
      <c r="B5761">
        <v>0.99987803227770999</v>
      </c>
      <c r="C5761">
        <v>0.89139738707753202</v>
      </c>
      <c r="D5761">
        <v>1.0958578038998701</v>
      </c>
      <c r="E5761">
        <v>1.0449172740877699</v>
      </c>
      <c r="F5761">
        <v>1.10413854193426</v>
      </c>
      <c r="G5761">
        <v>0.62328518353759599</v>
      </c>
      <c r="H5761">
        <v>0.581749562764309</v>
      </c>
      <c r="I5761">
        <v>0.48450157158032198</v>
      </c>
      <c r="J5761">
        <v>0.51478641536605996</v>
      </c>
      <c r="K5761">
        <v>0.43817607225173399</v>
      </c>
      <c r="L5761">
        <v>14184.066450324601</v>
      </c>
      <c r="M5761">
        <v>250</v>
      </c>
      <c r="O5761">
        <v>56.7326350863462</v>
      </c>
      <c r="P5761">
        <v>-0.54553763688156698</v>
      </c>
      <c r="Q5761">
        <v>0.50480339797487594</v>
      </c>
      <c r="R5761">
        <v>0.93366231184098702</v>
      </c>
      <c r="S5761" t="s">
        <v>12072</v>
      </c>
      <c r="T5761" t="s">
        <v>12620</v>
      </c>
      <c r="U5761" t="s">
        <v>12620</v>
      </c>
      <c r="V5761" t="s">
        <v>12620</v>
      </c>
      <c r="W5761" t="s">
        <v>18321</v>
      </c>
      <c r="X5761">
        <v>2</v>
      </c>
      <c r="Y5761" t="s">
        <v>24412</v>
      </c>
      <c r="Z5761" t="s">
        <v>30708</v>
      </c>
      <c r="AA5761">
        <v>0.78111077050594768</v>
      </c>
      <c r="AB5761" t="str">
        <f>HYPERLINK("Melting_Curves/meltCurve_Q9P1V8_SAMD15.pdf", "Melting_Curves/meltCurve_Q9P1V8_SAMD15.pdf")</f>
        <v>Melting_Curves/meltCurve_Q9P1V8_SAMD15.pdf</v>
      </c>
    </row>
    <row r="5762" spans="1:28" x14ac:dyDescent="0.25">
      <c r="A5762" t="s">
        <v>5766</v>
      </c>
      <c r="B5762">
        <v>0.99987803227770999</v>
      </c>
      <c r="C5762">
        <v>0.95016533283329996</v>
      </c>
      <c r="D5762">
        <v>1.01772681681836</v>
      </c>
      <c r="E5762">
        <v>0.92981259891749901</v>
      </c>
      <c r="F5762">
        <v>0.97593120727265703</v>
      </c>
      <c r="G5762">
        <v>0.72523568651510295</v>
      </c>
      <c r="H5762">
        <v>0.452789370160608</v>
      </c>
      <c r="I5762">
        <v>0.27423496028553801</v>
      </c>
      <c r="J5762">
        <v>0.21416363019752699</v>
      </c>
      <c r="K5762">
        <v>0.174914750553857</v>
      </c>
      <c r="L5762">
        <v>1285.89167452176</v>
      </c>
      <c r="M5762">
        <v>21.728115936926098</v>
      </c>
      <c r="N5762">
        <v>60.142127653552798</v>
      </c>
      <c r="O5762">
        <v>58.686548991131801</v>
      </c>
      <c r="P5762">
        <v>-7.8985142252672794E-2</v>
      </c>
      <c r="Q5762">
        <v>0.14668035099693</v>
      </c>
      <c r="R5762">
        <v>0.99300074820859296</v>
      </c>
      <c r="S5762" t="s">
        <v>12073</v>
      </c>
      <c r="T5762" t="s">
        <v>12620</v>
      </c>
      <c r="U5762" t="s">
        <v>12620</v>
      </c>
      <c r="V5762" t="s">
        <v>12620</v>
      </c>
      <c r="W5762" t="s">
        <v>18322</v>
      </c>
      <c r="X5762">
        <v>13</v>
      </c>
      <c r="Y5762" t="s">
        <v>24413</v>
      </c>
      <c r="Z5762" t="s">
        <v>30709</v>
      </c>
      <c r="AA5762">
        <v>0.70016320692173506</v>
      </c>
      <c r="AB5762" t="str">
        <f>HYPERLINK("Melting_Curves/meltCurve_Q9P1Y5_CAMSAP3.pdf", "Melting_Curves/meltCurve_Q9P1Y5_CAMSAP3.pdf")</f>
        <v>Melting_Curves/meltCurve_Q9P1Y5_CAMSAP3.pdf</v>
      </c>
    </row>
    <row r="5763" spans="1:28" x14ac:dyDescent="0.25">
      <c r="A5763" t="s">
        <v>5767</v>
      </c>
      <c r="B5763">
        <v>0.99987803227770999</v>
      </c>
      <c r="C5763">
        <v>0.92323027405295899</v>
      </c>
      <c r="D5763">
        <v>1.0039138659304101</v>
      </c>
      <c r="E5763">
        <v>0.88719037366362996</v>
      </c>
      <c r="F5763">
        <v>0.89738249968891703</v>
      </c>
      <c r="G5763">
        <v>0.63058750736981595</v>
      </c>
      <c r="H5763">
        <v>0.71066679643196295</v>
      </c>
      <c r="I5763">
        <v>0.67451326017778701</v>
      </c>
      <c r="J5763">
        <v>0.707019881517987</v>
      </c>
      <c r="K5763">
        <v>0.59305399910882695</v>
      </c>
      <c r="L5763">
        <v>1296.58281775503</v>
      </c>
      <c r="M5763">
        <v>24.3960925145015</v>
      </c>
      <c r="O5763">
        <v>52.793911199628504</v>
      </c>
      <c r="P5763">
        <v>-3.9977418784745797E-2</v>
      </c>
      <c r="Q5763">
        <v>0.65395556320519899</v>
      </c>
      <c r="R5763">
        <v>0.87412322332356096</v>
      </c>
      <c r="S5763" t="s">
        <v>12074</v>
      </c>
      <c r="T5763" t="s">
        <v>12620</v>
      </c>
      <c r="U5763" t="s">
        <v>12620</v>
      </c>
      <c r="V5763" t="s">
        <v>12620</v>
      </c>
      <c r="W5763" t="s">
        <v>18323</v>
      </c>
      <c r="X5763">
        <v>1</v>
      </c>
      <c r="Y5763" t="s">
        <v>24414</v>
      </c>
      <c r="Z5763" t="s">
        <v>30710</v>
      </c>
      <c r="AA5763">
        <v>0.80894338219009831</v>
      </c>
      <c r="AB5763" t="str">
        <f>HYPERLINK("Melting_Curves/meltCurve_Q9P1Z0_ZBTB4.pdf", "Melting_Curves/meltCurve_Q9P1Z0_ZBTB4.pdf")</f>
        <v>Melting_Curves/meltCurve_Q9P1Z0_ZBTB4.pdf</v>
      </c>
    </row>
    <row r="5764" spans="1:28" x14ac:dyDescent="0.25">
      <c r="A5764" t="s">
        <v>5768</v>
      </c>
      <c r="B5764">
        <v>0.99987803227770999</v>
      </c>
      <c r="C5764">
        <v>1.00712112130108</v>
      </c>
      <c r="D5764">
        <v>1.0779863330195401</v>
      </c>
      <c r="E5764">
        <v>0.96095685983836698</v>
      </c>
      <c r="F5764">
        <v>0.89912859845402704</v>
      </c>
      <c r="G5764">
        <v>0.64261614064121797</v>
      </c>
      <c r="H5764">
        <v>0.43280885904305599</v>
      </c>
      <c r="I5764">
        <v>0.33064609696309299</v>
      </c>
      <c r="J5764">
        <v>0.35762657911621298</v>
      </c>
      <c r="K5764">
        <v>0.27601648928628297</v>
      </c>
      <c r="L5764">
        <v>1304.87281757137</v>
      </c>
      <c r="M5764">
        <v>22.884855284081301</v>
      </c>
      <c r="N5764">
        <v>59.323570832055303</v>
      </c>
      <c r="O5764">
        <v>56.589038117129299</v>
      </c>
      <c r="P5764">
        <v>-7.1331438991770801E-2</v>
      </c>
      <c r="Q5764">
        <v>0.29446801196025701</v>
      </c>
      <c r="R5764">
        <v>0.98977432623413497</v>
      </c>
      <c r="S5764" t="s">
        <v>12075</v>
      </c>
      <c r="T5764" t="s">
        <v>12620</v>
      </c>
      <c r="U5764" t="s">
        <v>12620</v>
      </c>
      <c r="V5764" t="s">
        <v>12620</v>
      </c>
      <c r="W5764" t="s">
        <v>18324</v>
      </c>
      <c r="X5764">
        <v>7</v>
      </c>
      <c r="Y5764" t="s">
        <v>24415</v>
      </c>
      <c r="Z5764" t="s">
        <v>30711</v>
      </c>
      <c r="AA5764">
        <v>0.70195755000005178</v>
      </c>
      <c r="AB5764" t="str">
        <f>HYPERLINK("Melting_Curves/meltCurve_Q9P1Z2_2_CALCOCO1.pdf", "Melting_Curves/meltCurve_Q9P1Z2_2_CALCOCO1.pdf")</f>
        <v>Melting_Curves/meltCurve_Q9P1Z2_2_CALCOCO1.pdf</v>
      </c>
    </row>
    <row r="5765" spans="1:28" x14ac:dyDescent="0.25">
      <c r="A5765" t="s">
        <v>5769</v>
      </c>
      <c r="B5765">
        <v>0.99987803227770999</v>
      </c>
      <c r="C5765">
        <v>1.26037523073757</v>
      </c>
      <c r="D5765">
        <v>1.7498396800970799</v>
      </c>
      <c r="E5765">
        <v>0.98354043147341697</v>
      </c>
      <c r="F5765">
        <v>0.70999621532920898</v>
      </c>
      <c r="G5765">
        <v>0.39374559260664499</v>
      </c>
      <c r="H5765">
        <v>0.29457820954118402</v>
      </c>
      <c r="I5765">
        <v>0.26610066903094998</v>
      </c>
      <c r="J5765">
        <v>0.19071854230653601</v>
      </c>
      <c r="K5765">
        <v>0.23537486281596301</v>
      </c>
      <c r="L5765">
        <v>1837.00698940494</v>
      </c>
      <c r="M5765">
        <v>33.968458405001499</v>
      </c>
      <c r="N5765">
        <v>55.182512532269698</v>
      </c>
      <c r="O5765">
        <v>53.893391477507002</v>
      </c>
      <c r="P5765">
        <v>-0.118749150774863</v>
      </c>
      <c r="Q5765">
        <v>0.24638692259696701</v>
      </c>
      <c r="R5765">
        <v>0.74431488470930596</v>
      </c>
      <c r="S5765" t="s">
        <v>12076</v>
      </c>
      <c r="T5765" t="s">
        <v>12620</v>
      </c>
      <c r="U5765" t="s">
        <v>12620</v>
      </c>
      <c r="V5765" t="s">
        <v>12620</v>
      </c>
      <c r="W5765" t="s">
        <v>18325</v>
      </c>
      <c r="X5765">
        <v>1</v>
      </c>
      <c r="Y5765" t="s">
        <v>24416</v>
      </c>
      <c r="Z5765" t="s">
        <v>30712</v>
      </c>
      <c r="AA5765">
        <v>0.60396638311084816</v>
      </c>
      <c r="AB5765" t="str">
        <f>HYPERLINK("Melting_Curves/meltCurve_Q9P203_BTBD7.pdf", "Melting_Curves/meltCurve_Q9P203_BTBD7.pdf")</f>
        <v>Melting_Curves/meltCurve_Q9P203_BTBD7.pdf</v>
      </c>
    </row>
    <row r="5766" spans="1:28" x14ac:dyDescent="0.25">
      <c r="A5766" t="s">
        <v>5770</v>
      </c>
      <c r="B5766">
        <v>0.99987803227770999</v>
      </c>
      <c r="C5766">
        <v>0.91051349056068998</v>
      </c>
      <c r="D5766">
        <v>0.99869109608723505</v>
      </c>
      <c r="E5766">
        <v>0.90354357006757402</v>
      </c>
      <c r="F5766">
        <v>1.0678018219216701</v>
      </c>
      <c r="G5766">
        <v>0.87891191713441397</v>
      </c>
      <c r="H5766">
        <v>0.93535658060826099</v>
      </c>
      <c r="I5766">
        <v>0.91193152758664497</v>
      </c>
      <c r="J5766">
        <v>0.975006804357892</v>
      </c>
      <c r="K5766">
        <v>0.806713536405954</v>
      </c>
      <c r="L5766">
        <v>245.96164586265601</v>
      </c>
      <c r="M5766">
        <v>1.54882974648974</v>
      </c>
      <c r="Q5766">
        <v>0</v>
      </c>
      <c r="R5766">
        <v>0.223565073873288</v>
      </c>
      <c r="S5766" t="s">
        <v>12077</v>
      </c>
      <c r="T5766" t="s">
        <v>12620</v>
      </c>
      <c r="U5766" t="s">
        <v>12620</v>
      </c>
      <c r="V5766" t="s">
        <v>12620</v>
      </c>
      <c r="W5766" t="s">
        <v>18326</v>
      </c>
      <c r="X5766">
        <v>21</v>
      </c>
      <c r="Y5766" t="s">
        <v>24417</v>
      </c>
      <c r="Z5766" t="s">
        <v>30713</v>
      </c>
      <c r="AA5766">
        <v>0.94373221658672735</v>
      </c>
      <c r="AB5766" t="str">
        <f>HYPERLINK("Melting_Curves/meltCurve_Q9P206_2_KIAA1522.pdf", "Melting_Curves/meltCurve_Q9P206_2_KIAA1522.pdf")</f>
        <v>Melting_Curves/meltCurve_Q9P206_2_KIAA1522.pdf</v>
      </c>
    </row>
    <row r="5767" spans="1:28" x14ac:dyDescent="0.25">
      <c r="A5767" t="s">
        <v>5771</v>
      </c>
      <c r="B5767">
        <v>0.99987803227770999</v>
      </c>
      <c r="C5767">
        <v>1.1248267479434999</v>
      </c>
      <c r="D5767">
        <v>0.99064301620551098</v>
      </c>
      <c r="E5767">
        <v>0.95091159738930497</v>
      </c>
      <c r="F5767">
        <v>0.84630303614834901</v>
      </c>
      <c r="G5767">
        <v>0.51692331056287499</v>
      </c>
      <c r="H5767">
        <v>0.55686340815204705</v>
      </c>
      <c r="I5767">
        <v>0.56043686299770001</v>
      </c>
      <c r="J5767">
        <v>0.54969225956057199</v>
      </c>
      <c r="K5767">
        <v>0.48551494517536697</v>
      </c>
      <c r="L5767">
        <v>3843.4193541864802</v>
      </c>
      <c r="M5767">
        <v>71.828695647436902</v>
      </c>
      <c r="O5767">
        <v>53.466705078258002</v>
      </c>
      <c r="P5767">
        <v>-0.156880068883613</v>
      </c>
      <c r="Q5767">
        <v>0.53289653533810799</v>
      </c>
      <c r="R5767">
        <v>0.95958765014634695</v>
      </c>
      <c r="S5767" t="s">
        <v>12078</v>
      </c>
      <c r="T5767" t="s">
        <v>12620</v>
      </c>
      <c r="U5767" t="s">
        <v>12620</v>
      </c>
      <c r="V5767" t="s">
        <v>12620</v>
      </c>
      <c r="W5767" t="s">
        <v>18327</v>
      </c>
      <c r="X5767">
        <v>8</v>
      </c>
      <c r="Y5767" t="s">
        <v>24418</v>
      </c>
      <c r="Z5767" t="s">
        <v>30714</v>
      </c>
      <c r="AA5767">
        <v>0.74375239094239087</v>
      </c>
      <c r="AB5767" t="str">
        <f>HYPERLINK("Melting_Curves/meltCurve_Q9P219_CCDC88C.pdf", "Melting_Curves/meltCurve_Q9P219_CCDC88C.pdf")</f>
        <v>Melting_Curves/meltCurve_Q9P219_CCDC88C.pdf</v>
      </c>
    </row>
    <row r="5768" spans="1:28" x14ac:dyDescent="0.25">
      <c r="A5768" t="s">
        <v>5772</v>
      </c>
      <c r="B5768">
        <v>0.99987803227770999</v>
      </c>
      <c r="C5768">
        <v>0.98154489850582305</v>
      </c>
      <c r="D5768">
        <v>0.95405080375821905</v>
      </c>
      <c r="E5768">
        <v>0.968294805275147</v>
      </c>
      <c r="F5768">
        <v>0.62139186183628603</v>
      </c>
      <c r="G5768">
        <v>0.49336819972669499</v>
      </c>
      <c r="H5768">
        <v>0.35963316233065501</v>
      </c>
      <c r="I5768">
        <v>0.35515173737845701</v>
      </c>
      <c r="J5768">
        <v>0.22746369785309101</v>
      </c>
      <c r="K5768">
        <v>0.160032891514509</v>
      </c>
      <c r="L5768">
        <v>813.38363183822401</v>
      </c>
      <c r="M5768">
        <v>14.7101464865165</v>
      </c>
      <c r="N5768">
        <v>57.016460624639699</v>
      </c>
      <c r="O5768">
        <v>54.302342210340399</v>
      </c>
      <c r="P5768">
        <v>-5.5580624097604697E-2</v>
      </c>
      <c r="Q5768">
        <v>0.17938847621350901</v>
      </c>
      <c r="R5768">
        <v>0.96991478177408696</v>
      </c>
      <c r="S5768" t="s">
        <v>12079</v>
      </c>
      <c r="T5768" t="s">
        <v>12620</v>
      </c>
      <c r="U5768" t="s">
        <v>12620</v>
      </c>
      <c r="V5768" t="s">
        <v>12620</v>
      </c>
      <c r="W5768" t="s">
        <v>18328</v>
      </c>
      <c r="X5768">
        <v>8</v>
      </c>
      <c r="Y5768" t="s">
        <v>24419</v>
      </c>
      <c r="Z5768" t="s">
        <v>30715</v>
      </c>
      <c r="AA5768">
        <v>0.61351949406526052</v>
      </c>
      <c r="AB5768" t="str">
        <f>HYPERLINK("Melting_Curves/meltCurve_Q9P253_VPS18.pdf", "Melting_Curves/meltCurve_Q9P253_VPS18.pdf")</f>
        <v>Melting_Curves/meltCurve_Q9P253_VPS18.pdf</v>
      </c>
    </row>
    <row r="5769" spans="1:28" x14ac:dyDescent="0.25">
      <c r="A5769" t="s">
        <v>5773</v>
      </c>
      <c r="B5769">
        <v>0.99987803227770999</v>
      </c>
      <c r="C5769">
        <v>0.91619422301012399</v>
      </c>
      <c r="D5769">
        <v>1.00291399692867</v>
      </c>
      <c r="E5769">
        <v>0.80802738268700003</v>
      </c>
      <c r="F5769">
        <v>0.43684422423060398</v>
      </c>
      <c r="G5769">
        <v>0.13908671383323501</v>
      </c>
      <c r="H5769">
        <v>0.110154908844063</v>
      </c>
      <c r="I5769">
        <v>8.6067841864111302E-2</v>
      </c>
      <c r="J5769">
        <v>7.9910806837971804E-2</v>
      </c>
      <c r="K5769">
        <v>6.4346421069567297E-2</v>
      </c>
      <c r="L5769">
        <v>1593.3502739831599</v>
      </c>
      <c r="M5769">
        <v>30.5237217828635</v>
      </c>
      <c r="N5769">
        <v>52.4994342801903</v>
      </c>
      <c r="O5769">
        <v>51.977872748714901</v>
      </c>
      <c r="P5769">
        <v>-0.13509744523969899</v>
      </c>
      <c r="Q5769">
        <v>7.9793029302465707E-2</v>
      </c>
      <c r="R5769">
        <v>0.99506708164942403</v>
      </c>
      <c r="S5769" t="s">
        <v>12080</v>
      </c>
      <c r="T5769" t="s">
        <v>12620</v>
      </c>
      <c r="U5769" t="s">
        <v>12620</v>
      </c>
      <c r="V5769" t="s">
        <v>12620</v>
      </c>
      <c r="W5769" t="s">
        <v>18329</v>
      </c>
      <c r="X5769">
        <v>25</v>
      </c>
      <c r="Y5769" t="s">
        <v>24420</v>
      </c>
      <c r="Z5769" t="s">
        <v>30716</v>
      </c>
      <c r="AA5769">
        <v>0.45972165037521201</v>
      </c>
      <c r="AB5769" t="str">
        <f>HYPERLINK("Melting_Curves/meltCurve_Q9P258_RCC2.pdf", "Melting_Curves/meltCurve_Q9P258_RCC2.pdf")</f>
        <v>Melting_Curves/meltCurve_Q9P258_RCC2.pdf</v>
      </c>
    </row>
    <row r="5770" spans="1:28" x14ac:dyDescent="0.25">
      <c r="A5770" t="s">
        <v>5774</v>
      </c>
      <c r="B5770">
        <v>0.99987803227770999</v>
      </c>
      <c r="C5770">
        <v>1.18492478712881</v>
      </c>
      <c r="D5770">
        <v>0.98308726341122299</v>
      </c>
      <c r="E5770">
        <v>1.0098975605585701</v>
      </c>
      <c r="F5770">
        <v>0.45295222750188202</v>
      </c>
      <c r="G5770">
        <v>0.242311970092741</v>
      </c>
      <c r="H5770">
        <v>0.164367459695173</v>
      </c>
      <c r="I5770">
        <v>0.16676457048687901</v>
      </c>
      <c r="J5770">
        <v>8.4131382331589899E-2</v>
      </c>
      <c r="K5770">
        <v>7.6704029927831402E-2</v>
      </c>
      <c r="L5770">
        <v>13219.2262892648</v>
      </c>
      <c r="M5770">
        <v>250</v>
      </c>
      <c r="N5770">
        <v>52.950555511245703</v>
      </c>
      <c r="O5770">
        <v>52.873509162827098</v>
      </c>
      <c r="P5770">
        <v>-1.00847279147146</v>
      </c>
      <c r="Q5770">
        <v>0.14685587697563299</v>
      </c>
      <c r="R5770">
        <v>0.97111352321142097</v>
      </c>
      <c r="S5770" t="s">
        <v>12081</v>
      </c>
      <c r="T5770" t="s">
        <v>12620</v>
      </c>
      <c r="U5770" t="s">
        <v>12620</v>
      </c>
      <c r="V5770" t="s">
        <v>12620</v>
      </c>
      <c r="W5770" t="s">
        <v>18330</v>
      </c>
      <c r="X5770">
        <v>14</v>
      </c>
      <c r="Y5770" t="s">
        <v>24421</v>
      </c>
      <c r="Z5770" t="s">
        <v>30717</v>
      </c>
      <c r="AA5770">
        <v>0.51313024575108934</v>
      </c>
      <c r="AB5770" t="str">
        <f>HYPERLINK("Melting_Curves/meltCurve_Q9P260_KIAA1468.pdf", "Melting_Curves/meltCurve_Q9P260_KIAA1468.pdf")</f>
        <v>Melting_Curves/meltCurve_Q9P260_KIAA1468.pdf</v>
      </c>
    </row>
    <row r="5771" spans="1:28" x14ac:dyDescent="0.25">
      <c r="A5771" t="s">
        <v>5775</v>
      </c>
      <c r="B5771">
        <v>0.99987803227770999</v>
      </c>
      <c r="C5771">
        <v>1.1162805271793099</v>
      </c>
      <c r="D5771">
        <v>0.91171480543954497</v>
      </c>
      <c r="E5771">
        <v>0.89707723227529601</v>
      </c>
      <c r="F5771">
        <v>0.34405941043957999</v>
      </c>
      <c r="G5771">
        <v>0.19911353798418999</v>
      </c>
      <c r="H5771">
        <v>0.15217896730421299</v>
      </c>
      <c r="I5771">
        <v>0.14013475412229001</v>
      </c>
      <c r="J5771">
        <v>0.113223848574875</v>
      </c>
      <c r="K5771">
        <v>8.6979601903333398E-2</v>
      </c>
      <c r="L5771">
        <v>2660.8214216301199</v>
      </c>
      <c r="M5771">
        <v>51.304865462316499</v>
      </c>
      <c r="N5771">
        <v>52.184578605601203</v>
      </c>
      <c r="O5771">
        <v>51.784326469853099</v>
      </c>
      <c r="P5771">
        <v>-0.214112359326074</v>
      </c>
      <c r="Q5771">
        <v>0.13554734981996999</v>
      </c>
      <c r="R5771">
        <v>0.98330938471603002</v>
      </c>
      <c r="S5771" t="s">
        <v>12082</v>
      </c>
      <c r="T5771" t="s">
        <v>12620</v>
      </c>
      <c r="U5771" t="s">
        <v>12620</v>
      </c>
      <c r="V5771" t="s">
        <v>12620</v>
      </c>
      <c r="W5771" t="s">
        <v>18331</v>
      </c>
      <c r="X5771">
        <v>15</v>
      </c>
      <c r="Y5771" t="s">
        <v>24421</v>
      </c>
      <c r="Z5771" t="s">
        <v>30718</v>
      </c>
      <c r="AA5771">
        <v>0.47925682979470868</v>
      </c>
      <c r="AB5771" t="str">
        <f>HYPERLINK("Melting_Curves/meltCurve_Q9P260_2_KIAA1468.pdf", "Melting_Curves/meltCurve_Q9P260_2_KIAA1468.pdf")</f>
        <v>Melting_Curves/meltCurve_Q9P260_2_KIAA1468.pdf</v>
      </c>
    </row>
    <row r="5772" spans="1:28" x14ac:dyDescent="0.25">
      <c r="A5772" t="s">
        <v>5776</v>
      </c>
      <c r="B5772">
        <v>0.99987803227770999</v>
      </c>
      <c r="C5772">
        <v>1.08069283614851</v>
      </c>
      <c r="D5772">
        <v>1.0021399650038001</v>
      </c>
      <c r="E5772">
        <v>1.13357316899571</v>
      </c>
      <c r="F5772">
        <v>0.97823118445330304</v>
      </c>
      <c r="G5772">
        <v>0.69660658425052402</v>
      </c>
      <c r="H5772">
        <v>0.321358214375702</v>
      </c>
      <c r="I5772">
        <v>0.26259212775586199</v>
      </c>
      <c r="J5772">
        <v>0.237375508493053</v>
      </c>
      <c r="K5772">
        <v>0.20018367205513399</v>
      </c>
      <c r="L5772">
        <v>2152.2441673870699</v>
      </c>
      <c r="M5772">
        <v>37.285419260760698</v>
      </c>
      <c r="N5772">
        <v>58.6666459335664</v>
      </c>
      <c r="O5772">
        <v>57.558196402949903</v>
      </c>
      <c r="P5772">
        <v>-0.12543825786006901</v>
      </c>
      <c r="Q5772">
        <v>0.22543676053761399</v>
      </c>
      <c r="R5772">
        <v>0.98117294597277804</v>
      </c>
      <c r="S5772" t="s">
        <v>12083</v>
      </c>
      <c r="T5772" t="s">
        <v>12620</v>
      </c>
      <c r="U5772" t="s">
        <v>12620</v>
      </c>
      <c r="V5772" t="s">
        <v>12620</v>
      </c>
      <c r="W5772" t="s">
        <v>18332</v>
      </c>
      <c r="X5772">
        <v>32</v>
      </c>
      <c r="Y5772" t="s">
        <v>24422</v>
      </c>
      <c r="Z5772" t="s">
        <v>30719</v>
      </c>
      <c r="AA5772">
        <v>0.68650696976411107</v>
      </c>
      <c r="AB5772" t="str">
        <f>HYPERLINK("Melting_Curves/meltCurve_Q9P265_DIP2B.pdf", "Melting_Curves/meltCurve_Q9P265_DIP2B.pdf")</f>
        <v>Melting_Curves/meltCurve_Q9P265_DIP2B.pdf</v>
      </c>
    </row>
    <row r="5773" spans="1:28" x14ac:dyDescent="0.25">
      <c r="A5773" t="s">
        <v>5777</v>
      </c>
      <c r="B5773">
        <v>0.99987803227770999</v>
      </c>
      <c r="C5773">
        <v>0.92699102362290298</v>
      </c>
      <c r="D5773">
        <v>1.0043992280607199</v>
      </c>
      <c r="E5773">
        <v>0.86907892917791696</v>
      </c>
      <c r="F5773">
        <v>0.96596549807159604</v>
      </c>
      <c r="G5773">
        <v>0.89772487704453896</v>
      </c>
      <c r="H5773">
        <v>0.84322008181287</v>
      </c>
      <c r="I5773">
        <v>0.82067018292272698</v>
      </c>
      <c r="J5773">
        <v>0.78046240377677201</v>
      </c>
      <c r="K5773">
        <v>0.65597590019357499</v>
      </c>
      <c r="L5773">
        <v>380.68212425530498</v>
      </c>
      <c r="M5773">
        <v>4.5854448280732596</v>
      </c>
      <c r="Q5773">
        <v>0</v>
      </c>
      <c r="R5773">
        <v>0.84238941034506998</v>
      </c>
      <c r="S5773" t="s">
        <v>12084</v>
      </c>
      <c r="T5773" t="s">
        <v>12620</v>
      </c>
      <c r="U5773" t="s">
        <v>12620</v>
      </c>
      <c r="V5773" t="s">
        <v>12620</v>
      </c>
      <c r="W5773" t="s">
        <v>18333</v>
      </c>
      <c r="X5773">
        <v>10</v>
      </c>
      <c r="Y5773" t="s">
        <v>24423</v>
      </c>
      <c r="Z5773" t="s">
        <v>30720</v>
      </c>
      <c r="AA5773">
        <v>0.88874379405888171</v>
      </c>
      <c r="AB5773" t="str">
        <f>HYPERLINK("Melting_Curves/meltCurve_Q9P266_KIAA1462.pdf", "Melting_Curves/meltCurve_Q9P266_KIAA1462.pdf")</f>
        <v>Melting_Curves/meltCurve_Q9P266_KIAA1462.pdf</v>
      </c>
    </row>
    <row r="5774" spans="1:28" x14ac:dyDescent="0.25">
      <c r="A5774" t="s">
        <v>5778</v>
      </c>
      <c r="B5774">
        <v>0.99987803227770999</v>
      </c>
      <c r="C5774">
        <v>0.94656736220897097</v>
      </c>
      <c r="D5774">
        <v>0.98752764385779801</v>
      </c>
      <c r="E5774">
        <v>0.99412504486470299</v>
      </c>
      <c r="F5774">
        <v>1.12585487659368</v>
      </c>
      <c r="G5774">
        <v>0.95162781505251204</v>
      </c>
      <c r="H5774">
        <v>0.91312697548973598</v>
      </c>
      <c r="I5774">
        <v>0.88468289224862096</v>
      </c>
      <c r="J5774">
        <v>0.81612208688538401</v>
      </c>
      <c r="K5774">
        <v>0.73770941247036104</v>
      </c>
      <c r="L5774">
        <v>1123.70022698247</v>
      </c>
      <c r="M5774">
        <v>16.869862511113201</v>
      </c>
      <c r="O5774">
        <v>65.695062444507897</v>
      </c>
      <c r="P5774">
        <v>-2.3719132438390099E-2</v>
      </c>
      <c r="Q5774">
        <v>0.630552854132997</v>
      </c>
      <c r="R5774">
        <v>0.79124237962598298</v>
      </c>
      <c r="S5774" t="s">
        <v>12085</v>
      </c>
      <c r="T5774" t="s">
        <v>12620</v>
      </c>
      <c r="U5774" t="s">
        <v>12620</v>
      </c>
      <c r="V5774" t="s">
        <v>12620</v>
      </c>
      <c r="W5774" t="s">
        <v>18334</v>
      </c>
      <c r="X5774">
        <v>20</v>
      </c>
      <c r="Y5774" t="s">
        <v>24424</v>
      </c>
      <c r="Z5774" t="s">
        <v>30721</v>
      </c>
      <c r="AA5774">
        <v>0.94519984309512095</v>
      </c>
      <c r="AB5774" t="str">
        <f>HYPERLINK("Melting_Curves/meltCurve_Q9P270_SLAIN2.pdf", "Melting_Curves/meltCurve_Q9P270_SLAIN2.pdf")</f>
        <v>Melting_Curves/meltCurve_Q9P270_SLAIN2.pdf</v>
      </c>
    </row>
    <row r="5775" spans="1:28" x14ac:dyDescent="0.25">
      <c r="A5775" t="s">
        <v>5779</v>
      </c>
      <c r="B5775">
        <v>0.99987803227770999</v>
      </c>
      <c r="C5775">
        <v>0.97509770799439299</v>
      </c>
      <c r="D5775">
        <v>0.98297072813134001</v>
      </c>
      <c r="E5775">
        <v>0.83313659415114305</v>
      </c>
      <c r="F5775">
        <v>0.88921102610666503</v>
      </c>
      <c r="G5775">
        <v>0.72553189958969699</v>
      </c>
      <c r="H5775">
        <v>0.678615436985884</v>
      </c>
      <c r="I5775">
        <v>0.61639243090545703</v>
      </c>
      <c r="J5775">
        <v>0.68903355732803495</v>
      </c>
      <c r="K5775">
        <v>0.57296652528326597</v>
      </c>
      <c r="L5775">
        <v>596.55310757636005</v>
      </c>
      <c r="M5775">
        <v>10.812719876964101</v>
      </c>
      <c r="O5775">
        <v>53.384846074033497</v>
      </c>
      <c r="P5775">
        <v>-2.1942404806119101E-2</v>
      </c>
      <c r="Q5775">
        <v>0.56681746296383595</v>
      </c>
      <c r="R5775">
        <v>0.93598808937518996</v>
      </c>
      <c r="S5775" t="s">
        <v>12086</v>
      </c>
      <c r="T5775" t="s">
        <v>12620</v>
      </c>
      <c r="U5775" t="s">
        <v>12620</v>
      </c>
      <c r="V5775" t="s">
        <v>12620</v>
      </c>
      <c r="W5775" t="s">
        <v>18335</v>
      </c>
      <c r="X5775">
        <v>7</v>
      </c>
      <c r="Y5775" t="s">
        <v>24425</v>
      </c>
      <c r="Z5775" t="s">
        <v>30722</v>
      </c>
      <c r="AA5775">
        <v>0.79641887615363549</v>
      </c>
      <c r="AB5775" t="str">
        <f>HYPERLINK("Melting_Curves/meltCurve_Q9P275_USP36.pdf", "Melting_Curves/meltCurve_Q9P275_USP36.pdf")</f>
        <v>Melting_Curves/meltCurve_Q9P275_USP36.pdf</v>
      </c>
    </row>
    <row r="5776" spans="1:28" x14ac:dyDescent="0.25">
      <c r="A5776" t="s">
        <v>5780</v>
      </c>
      <c r="B5776">
        <v>0.99987803227770999</v>
      </c>
      <c r="C5776">
        <v>0.985732018540179</v>
      </c>
      <c r="D5776">
        <v>1.03635996206773</v>
      </c>
      <c r="E5776">
        <v>0.86320690377860398</v>
      </c>
      <c r="F5776">
        <v>0.651596566225906</v>
      </c>
      <c r="G5776">
        <v>0.36422308167571799</v>
      </c>
      <c r="H5776">
        <v>0.17684529411104699</v>
      </c>
      <c r="I5776">
        <v>0.11883851389562</v>
      </c>
      <c r="J5776">
        <v>8.5195439967418199E-2</v>
      </c>
      <c r="K5776">
        <v>5.02126821272375E-2</v>
      </c>
      <c r="L5776">
        <v>1032.2153409819</v>
      </c>
      <c r="M5776">
        <v>18.8541025063038</v>
      </c>
      <c r="N5776">
        <v>55.067646753298398</v>
      </c>
      <c r="O5776">
        <v>54.1427710976293</v>
      </c>
      <c r="P5776">
        <v>-8.2541905858355497E-2</v>
      </c>
      <c r="Q5776">
        <v>5.1906103125187703E-2</v>
      </c>
      <c r="R5776">
        <v>0.99700482770812704</v>
      </c>
      <c r="S5776" t="s">
        <v>12087</v>
      </c>
      <c r="T5776" t="s">
        <v>12620</v>
      </c>
      <c r="U5776" t="s">
        <v>12620</v>
      </c>
      <c r="V5776" t="s">
        <v>12620</v>
      </c>
      <c r="W5776" t="s">
        <v>18336</v>
      </c>
      <c r="X5776">
        <v>12</v>
      </c>
      <c r="Y5776" t="s">
        <v>24426</v>
      </c>
      <c r="Z5776" t="s">
        <v>30723</v>
      </c>
      <c r="AA5776">
        <v>0.53184234793701224</v>
      </c>
      <c r="AB5776" t="str">
        <f>HYPERLINK("Melting_Curves/meltCurve_Q9P287_BCCIP.pdf", "Melting_Curves/meltCurve_Q9P287_BCCIP.pdf")</f>
        <v>Melting_Curves/meltCurve_Q9P287_BCCIP.pdf</v>
      </c>
    </row>
    <row r="5777" spans="1:28" x14ac:dyDescent="0.25">
      <c r="A5777" t="s">
        <v>5781</v>
      </c>
      <c r="B5777">
        <v>0.99987803227770999</v>
      </c>
      <c r="C5777">
        <v>0.82057309756187502</v>
      </c>
      <c r="D5777">
        <v>0.99187851774992997</v>
      </c>
      <c r="E5777">
        <v>0.86817190698038804</v>
      </c>
      <c r="F5777">
        <v>0.94959329649296498</v>
      </c>
      <c r="G5777">
        <v>0.60710472829225803</v>
      </c>
      <c r="H5777">
        <v>0.46923004254794198</v>
      </c>
      <c r="I5777">
        <v>0.43420139853704298</v>
      </c>
      <c r="J5777">
        <v>0.24888742191441299</v>
      </c>
      <c r="K5777">
        <v>0.18067054517759801</v>
      </c>
      <c r="L5777">
        <v>660.70485348588102</v>
      </c>
      <c r="M5777">
        <v>10.860999671057501</v>
      </c>
      <c r="N5777">
        <v>60.832784614926098</v>
      </c>
      <c r="O5777">
        <v>58.879463494257102</v>
      </c>
      <c r="P5777">
        <v>-4.6131737729268499E-2</v>
      </c>
      <c r="Q5777">
        <v>0</v>
      </c>
      <c r="R5777">
        <v>0.936987857126097</v>
      </c>
      <c r="S5777" t="s">
        <v>12088</v>
      </c>
      <c r="T5777" t="s">
        <v>12620</v>
      </c>
      <c r="U5777" t="s">
        <v>12620</v>
      </c>
      <c r="V5777" t="s">
        <v>12620</v>
      </c>
      <c r="W5777" t="s">
        <v>18337</v>
      </c>
      <c r="X5777">
        <v>10</v>
      </c>
      <c r="Y5777" t="s">
        <v>24426</v>
      </c>
      <c r="Z5777" t="s">
        <v>30724</v>
      </c>
      <c r="AA5777">
        <v>0.68757228999814302</v>
      </c>
      <c r="AB5777" t="str">
        <f>HYPERLINK("Melting_Curves/meltCurve_Q9P287_2_BCCIP.pdf", "Melting_Curves/meltCurve_Q9P287_2_BCCIP.pdf")</f>
        <v>Melting_Curves/meltCurve_Q9P287_2_BCCIP.pdf</v>
      </c>
    </row>
    <row r="5778" spans="1:28" x14ac:dyDescent="0.25">
      <c r="A5778" t="s">
        <v>5782</v>
      </c>
      <c r="B5778">
        <v>0.99987803227770999</v>
      </c>
      <c r="C5778">
        <v>0.96343104909257204</v>
      </c>
      <c r="D5778">
        <v>0.70456860956870404</v>
      </c>
      <c r="E5778">
        <v>0.47786618777720602</v>
      </c>
      <c r="F5778">
        <v>0.316082312042613</v>
      </c>
      <c r="G5778">
        <v>0.19591496361174901</v>
      </c>
      <c r="H5778">
        <v>0.12606504303616201</v>
      </c>
      <c r="I5778">
        <v>0.101230839816386</v>
      </c>
      <c r="J5778">
        <v>9.6694305545044698E-2</v>
      </c>
      <c r="K5778">
        <v>7.7128185847949199E-2</v>
      </c>
      <c r="L5778">
        <v>742.70551923301798</v>
      </c>
      <c r="M5778">
        <v>15.135516786287701</v>
      </c>
      <c r="N5778">
        <v>49.643401544788503</v>
      </c>
      <c r="O5778">
        <v>48.237693901883098</v>
      </c>
      <c r="P5778">
        <v>-7.2162395444185498E-2</v>
      </c>
      <c r="Q5778">
        <v>8.0148201792766702E-2</v>
      </c>
      <c r="R5778">
        <v>0.993988661849177</v>
      </c>
      <c r="S5778" t="s">
        <v>12089</v>
      </c>
      <c r="T5778" t="s">
        <v>12620</v>
      </c>
      <c r="U5778" t="s">
        <v>12620</v>
      </c>
      <c r="V5778" t="s">
        <v>12620</v>
      </c>
      <c r="W5778" t="s">
        <v>18338</v>
      </c>
      <c r="X5778">
        <v>13</v>
      </c>
      <c r="Y5778" t="s">
        <v>24427</v>
      </c>
      <c r="Z5778" t="s">
        <v>30725</v>
      </c>
      <c r="AA5778">
        <v>0.38052591313995687</v>
      </c>
      <c r="AB5778" t="str">
        <f>HYPERLINK("Melting_Curves/meltCurve_Q9P289_MST4.pdf", "Melting_Curves/meltCurve_Q9P289_MST4.pdf")</f>
        <v>Melting_Curves/meltCurve_Q9P289_MST4.pdf</v>
      </c>
    </row>
    <row r="5779" spans="1:28" x14ac:dyDescent="0.25">
      <c r="A5779" t="s">
        <v>5783</v>
      </c>
      <c r="B5779">
        <v>0.99987803227770999</v>
      </c>
      <c r="C5779">
        <v>0.90889974372125104</v>
      </c>
      <c r="D5779">
        <v>1.0216928225909601</v>
      </c>
      <c r="E5779">
        <v>0.99599044025356598</v>
      </c>
      <c r="F5779">
        <v>1.1590986400124199</v>
      </c>
      <c r="G5779">
        <v>0.94505744639838296</v>
      </c>
      <c r="H5779">
        <v>0.43789183776596402</v>
      </c>
      <c r="I5779">
        <v>0.340588823208757</v>
      </c>
      <c r="J5779">
        <v>0.113669484620572</v>
      </c>
      <c r="K5779">
        <v>8.6140869102110898E-2</v>
      </c>
      <c r="L5779">
        <v>2036.9393379032899</v>
      </c>
      <c r="M5779">
        <v>33.610087543373702</v>
      </c>
      <c r="N5779">
        <v>61.044082699315197</v>
      </c>
      <c r="O5779">
        <v>60.391662238652401</v>
      </c>
      <c r="P5779">
        <v>-0.124194419506923</v>
      </c>
      <c r="Q5779">
        <v>0.107378012423236</v>
      </c>
      <c r="R5779">
        <v>0.963469209062918</v>
      </c>
      <c r="S5779" t="s">
        <v>12090</v>
      </c>
      <c r="T5779" t="s">
        <v>12620</v>
      </c>
      <c r="U5779" t="s">
        <v>12620</v>
      </c>
      <c r="V5779" t="s">
        <v>12620</v>
      </c>
      <c r="W5779" t="s">
        <v>18339</v>
      </c>
      <c r="X5779">
        <v>3</v>
      </c>
      <c r="Y5779" t="s">
        <v>24428</v>
      </c>
      <c r="Z5779" t="s">
        <v>30726</v>
      </c>
      <c r="AA5779">
        <v>0.72493568466861624</v>
      </c>
      <c r="AB5779" t="str">
        <f>HYPERLINK("Melting_Curves/meltCurve_Q9P299_COPZ2.pdf", "Melting_Curves/meltCurve_Q9P299_COPZ2.pdf")</f>
        <v>Melting_Curves/meltCurve_Q9P299_COPZ2.pdf</v>
      </c>
    </row>
    <row r="5780" spans="1:28" x14ac:dyDescent="0.25">
      <c r="A5780" t="s">
        <v>5784</v>
      </c>
      <c r="B5780">
        <v>0.99987803227770999</v>
      </c>
      <c r="C5780">
        <v>0.68957255405807005</v>
      </c>
      <c r="D5780">
        <v>0.77940454121495195</v>
      </c>
      <c r="E5780">
        <v>0.52745452432699502</v>
      </c>
      <c r="F5780">
        <v>0.48282693555265299</v>
      </c>
      <c r="G5780">
        <v>0.28307130851821999</v>
      </c>
      <c r="H5780">
        <v>0.36133269193583101</v>
      </c>
      <c r="I5780">
        <v>0.34787500467545401</v>
      </c>
      <c r="J5780">
        <v>0.46124900911178701</v>
      </c>
      <c r="K5780">
        <v>0.40453724159339599</v>
      </c>
      <c r="L5780">
        <v>626.918987361154</v>
      </c>
      <c r="M5780">
        <v>13.6153691777203</v>
      </c>
      <c r="N5780">
        <v>50.893701149984999</v>
      </c>
      <c r="O5780">
        <v>45.085707126512801</v>
      </c>
      <c r="P5780">
        <v>-4.8072536198085297E-2</v>
      </c>
      <c r="Q5780">
        <v>0.36334725742998297</v>
      </c>
      <c r="R5780">
        <v>0.86706888712702102</v>
      </c>
      <c r="S5780" t="s">
        <v>12091</v>
      </c>
      <c r="T5780" t="s">
        <v>12620</v>
      </c>
      <c r="U5780" t="s">
        <v>12620</v>
      </c>
      <c r="V5780" t="s">
        <v>12620</v>
      </c>
      <c r="W5780" t="s">
        <v>18340</v>
      </c>
      <c r="X5780">
        <v>3</v>
      </c>
      <c r="Y5780" t="s">
        <v>24429</v>
      </c>
      <c r="Z5780" t="s">
        <v>30727</v>
      </c>
      <c r="AA5780">
        <v>0.51423561631722547</v>
      </c>
      <c r="AB5780" t="str">
        <f>HYPERLINK("Melting_Curves/meltCurve_Q9P2B2_PTGFRN.pdf", "Melting_Curves/meltCurve_Q9P2B2_PTGFRN.pdf")</f>
        <v>Melting_Curves/meltCurve_Q9P2B2_PTGFRN.pdf</v>
      </c>
    </row>
    <row r="5781" spans="1:28" x14ac:dyDescent="0.25">
      <c r="A5781" t="s">
        <v>5785</v>
      </c>
      <c r="B5781">
        <v>0.99987803227770999</v>
      </c>
      <c r="C5781">
        <v>1.03725730731642</v>
      </c>
      <c r="D5781">
        <v>0.92089299409413905</v>
      </c>
      <c r="E5781">
        <v>0.93498016747187696</v>
      </c>
      <c r="F5781">
        <v>0.779920587895224</v>
      </c>
      <c r="G5781">
        <v>0.62305112150046005</v>
      </c>
      <c r="H5781">
        <v>0.54801114021477504</v>
      </c>
      <c r="I5781">
        <v>0.51806930810059204</v>
      </c>
      <c r="J5781">
        <v>0.481391712741915</v>
      </c>
      <c r="K5781">
        <v>0.41881019104490802</v>
      </c>
      <c r="L5781">
        <v>807.22063733253697</v>
      </c>
      <c r="M5781">
        <v>14.658915122087301</v>
      </c>
      <c r="N5781">
        <v>63.421136321963097</v>
      </c>
      <c r="O5781">
        <v>54.072527863683</v>
      </c>
      <c r="P5781">
        <v>-3.8805310184062601E-2</v>
      </c>
      <c r="Q5781">
        <v>0.427496718885439</v>
      </c>
      <c r="R5781">
        <v>0.98225162218048501</v>
      </c>
      <c r="S5781" t="s">
        <v>12092</v>
      </c>
      <c r="T5781" t="s">
        <v>12620</v>
      </c>
      <c r="U5781" t="s">
        <v>12620</v>
      </c>
      <c r="V5781" t="s">
        <v>12620</v>
      </c>
      <c r="W5781" t="s">
        <v>18341</v>
      </c>
      <c r="X5781">
        <v>25</v>
      </c>
      <c r="Y5781" t="s">
        <v>24430</v>
      </c>
      <c r="Z5781" t="s">
        <v>30728</v>
      </c>
      <c r="AA5781">
        <v>0.72627446070781587</v>
      </c>
      <c r="AB5781" t="str">
        <f>HYPERLINK("Melting_Curves/meltCurve_Q9P2B4_CTTNBP2NL.pdf", "Melting_Curves/meltCurve_Q9P2B4_CTTNBP2NL.pdf")</f>
        <v>Melting_Curves/meltCurve_Q9P2B4_CTTNBP2NL.pdf</v>
      </c>
    </row>
    <row r="5782" spans="1:28" x14ac:dyDescent="0.25">
      <c r="A5782" t="s">
        <v>5786</v>
      </c>
      <c r="B5782">
        <v>0.99987803227770999</v>
      </c>
      <c r="C5782">
        <v>0.85439078012886305</v>
      </c>
      <c r="D5782">
        <v>0.99601796852227897</v>
      </c>
      <c r="E5782">
        <v>0.88732486055081605</v>
      </c>
      <c r="F5782">
        <v>1.1353199452126099</v>
      </c>
      <c r="G5782">
        <v>1.0062727935336899</v>
      </c>
      <c r="H5782">
        <v>1.0283004700967899</v>
      </c>
      <c r="I5782">
        <v>0.91616412336841102</v>
      </c>
      <c r="J5782">
        <v>0.94241746595065001</v>
      </c>
      <c r="K5782">
        <v>0.76698986575529904</v>
      </c>
      <c r="L5782">
        <v>1789.14869978352</v>
      </c>
      <c r="M5782">
        <v>24.336255736399899</v>
      </c>
      <c r="Q5782">
        <v>0</v>
      </c>
      <c r="R5782">
        <v>0.39858011019182299</v>
      </c>
      <c r="S5782" t="s">
        <v>12093</v>
      </c>
      <c r="T5782" t="s">
        <v>12620</v>
      </c>
      <c r="U5782" t="s">
        <v>12620</v>
      </c>
      <c r="V5782" t="s">
        <v>12620</v>
      </c>
      <c r="W5782" t="s">
        <v>18342</v>
      </c>
      <c r="X5782">
        <v>2</v>
      </c>
      <c r="Y5782" t="s">
        <v>24431</v>
      </c>
      <c r="Z5782" t="s">
        <v>30729</v>
      </c>
      <c r="AA5782">
        <v>0.9782053998741157</v>
      </c>
      <c r="AB5782" t="str">
        <f>HYPERLINK("Melting_Curves/meltCurve_Q9P2B7_2_KIAA1430.pdf", "Melting_Curves/meltCurve_Q9P2B7_2_KIAA1430.pdf")</f>
        <v>Melting_Curves/meltCurve_Q9P2B7_2_KIAA1430.pdf</v>
      </c>
    </row>
    <row r="5783" spans="1:28" x14ac:dyDescent="0.25">
      <c r="A5783" t="s">
        <v>5787</v>
      </c>
      <c r="B5783">
        <v>0.99987803227770999</v>
      </c>
      <c r="C5783">
        <v>1.0967969477242301</v>
      </c>
      <c r="D5783">
        <v>0.81832816561717303</v>
      </c>
      <c r="E5783">
        <v>0.995470025790957</v>
      </c>
      <c r="F5783">
        <v>0.50354722744774605</v>
      </c>
      <c r="G5783">
        <v>0.35594922358507503</v>
      </c>
      <c r="H5783">
        <v>0.14285510797845699</v>
      </c>
      <c r="I5783">
        <v>0.114186533130316</v>
      </c>
      <c r="J5783">
        <v>8.8766091222093904E-2</v>
      </c>
      <c r="K5783">
        <v>6.62191078471671E-2</v>
      </c>
      <c r="L5783">
        <v>1138.78904384104</v>
      </c>
      <c r="M5783">
        <v>21.15081694105</v>
      </c>
      <c r="N5783">
        <v>54.272157653682498</v>
      </c>
      <c r="O5783">
        <v>53.367009790775398</v>
      </c>
      <c r="P5783">
        <v>-9.1427824596704094E-2</v>
      </c>
      <c r="Q5783">
        <v>7.7273973552278497E-2</v>
      </c>
      <c r="R5783">
        <v>0.95437985252926805</v>
      </c>
      <c r="S5783" t="s">
        <v>12094</v>
      </c>
      <c r="T5783" t="s">
        <v>12620</v>
      </c>
      <c r="U5783" t="s">
        <v>12620</v>
      </c>
      <c r="V5783" t="s">
        <v>12620</v>
      </c>
      <c r="W5783" t="s">
        <v>18343</v>
      </c>
      <c r="X5783">
        <v>17</v>
      </c>
      <c r="Y5783" t="s">
        <v>24432</v>
      </c>
      <c r="Z5783" t="s">
        <v>30730</v>
      </c>
      <c r="AA5783">
        <v>0.51445894221954258</v>
      </c>
      <c r="AB5783" t="str">
        <f>HYPERLINK("Melting_Curves/meltCurve_Q9P2D3_3_HEATR5B.pdf", "Melting_Curves/meltCurve_Q9P2D3_3_HEATR5B.pdf")</f>
        <v>Melting_Curves/meltCurve_Q9P2D3_3_HEATR5B.pdf</v>
      </c>
    </row>
    <row r="5784" spans="1:28" x14ac:dyDescent="0.25">
      <c r="A5784" t="s">
        <v>5788</v>
      </c>
      <c r="B5784">
        <v>0.99987803227770999</v>
      </c>
      <c r="C5784">
        <v>1.00954742847991</v>
      </c>
      <c r="D5784">
        <v>0.94330408553187906</v>
      </c>
      <c r="E5784">
        <v>0.76290946117201697</v>
      </c>
      <c r="F5784">
        <v>0.56601620312379397</v>
      </c>
      <c r="G5784">
        <v>0.44810551509852398</v>
      </c>
      <c r="H5784">
        <v>0.344892484964193</v>
      </c>
      <c r="I5784">
        <v>0.327205988955446</v>
      </c>
      <c r="J5784">
        <v>0.267673987471584</v>
      </c>
      <c r="K5784">
        <v>0.24018818504671799</v>
      </c>
      <c r="L5784">
        <v>810.85116765474902</v>
      </c>
      <c r="M5784">
        <v>15.4471003781272</v>
      </c>
      <c r="N5784">
        <v>55.029533668858399</v>
      </c>
      <c r="O5784">
        <v>51.635993537243898</v>
      </c>
      <c r="P5784">
        <v>-5.5742306547157797E-2</v>
      </c>
      <c r="Q5784">
        <v>0.25473385473549198</v>
      </c>
      <c r="R5784">
        <v>0.99406546715289801</v>
      </c>
      <c r="S5784" t="s">
        <v>12095</v>
      </c>
      <c r="T5784" t="s">
        <v>12620</v>
      </c>
      <c r="U5784" t="s">
        <v>12620</v>
      </c>
      <c r="V5784" t="s">
        <v>12620</v>
      </c>
      <c r="W5784" t="s">
        <v>18344</v>
      </c>
      <c r="X5784">
        <v>2</v>
      </c>
      <c r="Y5784" t="s">
        <v>24433</v>
      </c>
      <c r="Z5784" t="s">
        <v>30731</v>
      </c>
      <c r="AA5784">
        <v>0.5807362580669051</v>
      </c>
      <c r="AB5784" t="str">
        <f>HYPERLINK("Melting_Curves/meltCurve_Q9P2D6_3_FAM135A.pdf", "Melting_Curves/meltCurve_Q9P2D6_3_FAM135A.pdf")</f>
        <v>Melting_Curves/meltCurve_Q9P2D6_3_FAM135A.pdf</v>
      </c>
    </row>
    <row r="5785" spans="1:28" x14ac:dyDescent="0.25">
      <c r="A5785" t="s">
        <v>5789</v>
      </c>
      <c r="B5785">
        <v>0.99987803227770999</v>
      </c>
      <c r="C5785">
        <v>1.03004723251032</v>
      </c>
      <c r="D5785">
        <v>0.93242526709843299</v>
      </c>
      <c r="E5785">
        <v>0.78138794979931903</v>
      </c>
      <c r="F5785">
        <v>0.76756428518543096</v>
      </c>
      <c r="G5785">
        <v>0.73298456944482504</v>
      </c>
      <c r="H5785">
        <v>0.75779516122273405</v>
      </c>
      <c r="I5785">
        <v>0.74326639011163098</v>
      </c>
      <c r="J5785">
        <v>0.74672109815253496</v>
      </c>
      <c r="K5785">
        <v>0.62888287270533505</v>
      </c>
      <c r="L5785">
        <v>1372.14601592228</v>
      </c>
      <c r="M5785">
        <v>28.580552391591699</v>
      </c>
      <c r="O5785">
        <v>47.776583565394603</v>
      </c>
      <c r="P5785">
        <v>-4.1218350099135798E-2</v>
      </c>
      <c r="Q5785">
        <v>0.72439212209151504</v>
      </c>
      <c r="R5785">
        <v>0.91190410357125495</v>
      </c>
      <c r="S5785" t="s">
        <v>12096</v>
      </c>
      <c r="T5785" t="s">
        <v>12620</v>
      </c>
      <c r="U5785" t="s">
        <v>12620</v>
      </c>
      <c r="V5785" t="s">
        <v>12620</v>
      </c>
      <c r="W5785" t="s">
        <v>18345</v>
      </c>
      <c r="X5785">
        <v>1</v>
      </c>
      <c r="Y5785" t="s">
        <v>24434</v>
      </c>
      <c r="Z5785" t="s">
        <v>30732</v>
      </c>
      <c r="AA5785">
        <v>0.79981351874263917</v>
      </c>
      <c r="AB5785" t="str">
        <f>HYPERLINK("Melting_Curves/meltCurve_Q9P2D7_5_DNAH1.pdf", "Melting_Curves/meltCurve_Q9P2D7_5_DNAH1.pdf")</f>
        <v>Melting_Curves/meltCurve_Q9P2D7_5_DNAH1.pdf</v>
      </c>
    </row>
    <row r="5786" spans="1:28" x14ac:dyDescent="0.25">
      <c r="A5786" t="s">
        <v>5790</v>
      </c>
      <c r="B5786">
        <v>0.99987803227770999</v>
      </c>
      <c r="C5786">
        <v>1.01041777048716</v>
      </c>
      <c r="D5786">
        <v>0.80941591829277504</v>
      </c>
      <c r="E5786">
        <v>0.59974601784141202</v>
      </c>
      <c r="F5786">
        <v>0.29114183996256598</v>
      </c>
      <c r="G5786">
        <v>0.17839890405358899</v>
      </c>
      <c r="H5786">
        <v>0.13868549090285301</v>
      </c>
      <c r="I5786">
        <v>0.105332433823913</v>
      </c>
      <c r="J5786">
        <v>8.6819573127542196E-2</v>
      </c>
      <c r="K5786">
        <v>6.2872754928087499E-2</v>
      </c>
      <c r="L5786">
        <v>932.31316019554595</v>
      </c>
      <c r="M5786">
        <v>18.574255442187201</v>
      </c>
      <c r="N5786">
        <v>50.674297170109703</v>
      </c>
      <c r="O5786">
        <v>49.622860975707198</v>
      </c>
      <c r="P5786">
        <v>-8.6025733900747303E-2</v>
      </c>
      <c r="Q5786">
        <v>8.0736430098915596E-2</v>
      </c>
      <c r="R5786">
        <v>0.99314159051031703</v>
      </c>
      <c r="S5786" t="s">
        <v>12097</v>
      </c>
      <c r="T5786" t="s">
        <v>12620</v>
      </c>
      <c r="U5786" t="s">
        <v>12620</v>
      </c>
      <c r="V5786" t="s">
        <v>12620</v>
      </c>
      <c r="W5786" t="s">
        <v>18346</v>
      </c>
      <c r="X5786">
        <v>8</v>
      </c>
      <c r="Y5786" t="s">
        <v>24435</v>
      </c>
      <c r="Z5786" t="s">
        <v>30733</v>
      </c>
      <c r="AA5786">
        <v>0.40783419589910203</v>
      </c>
      <c r="AB5786" t="str">
        <f>HYPERLINK("Melting_Curves/meltCurve_Q9P2E3_ZNFX1.pdf", "Melting_Curves/meltCurve_Q9P2E3_ZNFX1.pdf")</f>
        <v>Melting_Curves/meltCurve_Q9P2E3_ZNFX1.pdf</v>
      </c>
    </row>
    <row r="5787" spans="1:28" x14ac:dyDescent="0.25">
      <c r="A5787" t="s">
        <v>5791</v>
      </c>
      <c r="B5787">
        <v>0.99987803227770999</v>
      </c>
      <c r="C5787">
        <v>1.02965262986271</v>
      </c>
      <c r="D5787">
        <v>0.99613968022830002</v>
      </c>
      <c r="E5787">
        <v>1.07177105383389</v>
      </c>
      <c r="F5787">
        <v>1.0493836783211601</v>
      </c>
      <c r="G5787">
        <v>1.03406309347325</v>
      </c>
      <c r="H5787">
        <v>1.2705860180564801</v>
      </c>
      <c r="I5787">
        <v>1.1569516209266599</v>
      </c>
      <c r="J5787">
        <v>1.2649256175063199</v>
      </c>
      <c r="K5787">
        <v>0.90434880110962801</v>
      </c>
      <c r="L5787">
        <v>1069.54553754063</v>
      </c>
      <c r="M5787">
        <v>20.230242964137901</v>
      </c>
      <c r="O5787">
        <v>52.360195670642902</v>
      </c>
      <c r="P5787">
        <v>1.3032437406398501E-2</v>
      </c>
      <c r="Q5787">
        <v>1.1349187208653999</v>
      </c>
      <c r="R5787">
        <v>0.20728923607410499</v>
      </c>
      <c r="S5787" t="s">
        <v>12098</v>
      </c>
      <c r="T5787" t="s">
        <v>12620</v>
      </c>
      <c r="U5787" t="s">
        <v>12620</v>
      </c>
      <c r="V5787" t="s">
        <v>12620</v>
      </c>
      <c r="W5787" t="s">
        <v>18347</v>
      </c>
      <c r="X5787">
        <v>82</v>
      </c>
      <c r="Y5787" t="s">
        <v>24436</v>
      </c>
      <c r="Z5787" t="s">
        <v>30734</v>
      </c>
      <c r="AA5787">
        <v>1.075223323346441</v>
      </c>
      <c r="AB5787" t="str">
        <f>HYPERLINK("Melting_Curves/meltCurve_Q9P2E9_RRBP1.pdf", "Melting_Curves/meltCurve_Q9P2E9_RRBP1.pdf")</f>
        <v>Melting_Curves/meltCurve_Q9P2E9_RRBP1.pdf</v>
      </c>
    </row>
    <row r="5788" spans="1:28" x14ac:dyDescent="0.25">
      <c r="A5788" t="s">
        <v>5792</v>
      </c>
      <c r="B5788">
        <v>0.99987803227770999</v>
      </c>
      <c r="C5788">
        <v>0.837304254503071</v>
      </c>
      <c r="D5788">
        <v>0.76871152310420399</v>
      </c>
      <c r="E5788">
        <v>1.1049609236323299</v>
      </c>
      <c r="F5788">
        <v>1.05681304211989</v>
      </c>
      <c r="G5788">
        <v>0.89013358465337</v>
      </c>
      <c r="H5788">
        <v>0.61101798835744803</v>
      </c>
      <c r="I5788">
        <v>0.57744977518611396</v>
      </c>
      <c r="J5788">
        <v>0.182486207034046</v>
      </c>
      <c r="K5788">
        <v>0.45728812549229397</v>
      </c>
      <c r="L5788">
        <v>1705.0685749910799</v>
      </c>
      <c r="M5788">
        <v>28.101905290046702</v>
      </c>
      <c r="N5788">
        <v>63.157580426519502</v>
      </c>
      <c r="O5788">
        <v>60.3697109638711</v>
      </c>
      <c r="P5788">
        <v>-7.7462905437492402E-2</v>
      </c>
      <c r="Q5788">
        <v>0.33436895329005201</v>
      </c>
      <c r="R5788">
        <v>0.79028375431353204</v>
      </c>
      <c r="S5788" t="s">
        <v>12099</v>
      </c>
      <c r="T5788" t="s">
        <v>12620</v>
      </c>
      <c r="U5788" t="s">
        <v>12620</v>
      </c>
      <c r="V5788" t="s">
        <v>12620</v>
      </c>
      <c r="W5788" t="s">
        <v>18348</v>
      </c>
      <c r="X5788">
        <v>1</v>
      </c>
      <c r="Y5788" t="s">
        <v>24437</v>
      </c>
      <c r="Z5788" t="s">
        <v>30735</v>
      </c>
      <c r="AA5788">
        <v>0.7971658566751858</v>
      </c>
      <c r="AB5788" t="str">
        <f>HYPERLINK("Melting_Curves/meltCurve_Q9P2G1_ANKIB1.pdf", "Melting_Curves/meltCurve_Q9P2G1_ANKIB1.pdf")</f>
        <v>Melting_Curves/meltCurve_Q9P2G1_ANKIB1.pdf</v>
      </c>
    </row>
    <row r="5789" spans="1:28" x14ac:dyDescent="0.25">
      <c r="A5789" t="s">
        <v>5793</v>
      </c>
      <c r="B5789">
        <v>0.99987803227770999</v>
      </c>
      <c r="C5789">
        <v>1.0883504137323301</v>
      </c>
      <c r="D5789">
        <v>0.93325480314578402</v>
      </c>
      <c r="E5789">
        <v>0.91974020698653502</v>
      </c>
      <c r="F5789">
        <v>0.83911061560768996</v>
      </c>
      <c r="G5789">
        <v>0.48634853177133602</v>
      </c>
      <c r="H5789">
        <v>0.51479846832394605</v>
      </c>
      <c r="I5789">
        <v>0.52721638330564602</v>
      </c>
      <c r="J5789">
        <v>0.47782644682326803</v>
      </c>
      <c r="K5789">
        <v>0.35646724791291001</v>
      </c>
      <c r="L5789">
        <v>1962.59305063893</v>
      </c>
      <c r="M5789">
        <v>36.398720928954098</v>
      </c>
      <c r="N5789">
        <v>57.910778320888397</v>
      </c>
      <c r="O5789">
        <v>53.757315253369498</v>
      </c>
      <c r="P5789">
        <v>-9.1523637792926299E-2</v>
      </c>
      <c r="Q5789">
        <v>0.45931620489372299</v>
      </c>
      <c r="R5789">
        <v>0.94582677772616897</v>
      </c>
      <c r="S5789" t="s">
        <v>12100</v>
      </c>
      <c r="T5789" t="s">
        <v>12620</v>
      </c>
      <c r="U5789" t="s">
        <v>12620</v>
      </c>
      <c r="V5789" t="s">
        <v>12620</v>
      </c>
      <c r="W5789" t="s">
        <v>18349</v>
      </c>
      <c r="X5789">
        <v>1</v>
      </c>
      <c r="Y5789" t="s">
        <v>24438</v>
      </c>
      <c r="Z5789" t="s">
        <v>30736</v>
      </c>
      <c r="AA5789">
        <v>0.71260818005858717</v>
      </c>
      <c r="AB5789" t="str">
        <f>HYPERLINK("Melting_Curves/meltCurve_Q9P2H5_USP35.pdf", "Melting_Curves/meltCurve_Q9P2H5_USP35.pdf")</f>
        <v>Melting_Curves/meltCurve_Q9P2H5_USP35.pdf</v>
      </c>
    </row>
    <row r="5790" spans="1:28" x14ac:dyDescent="0.25">
      <c r="A5790" t="s">
        <v>5794</v>
      </c>
      <c r="B5790">
        <v>0.99987803227770999</v>
      </c>
      <c r="C5790">
        <v>1.20985613496621</v>
      </c>
      <c r="D5790">
        <v>1.2005704100827801</v>
      </c>
      <c r="E5790">
        <v>1.3025312583256099</v>
      </c>
      <c r="F5790">
        <v>0.46987032601078299</v>
      </c>
      <c r="G5790">
        <v>0.31859553326017198</v>
      </c>
      <c r="H5790">
        <v>0.170748130593222</v>
      </c>
      <c r="I5790">
        <v>0.13772157439447599</v>
      </c>
      <c r="J5790">
        <v>8.43638704534838E-2</v>
      </c>
      <c r="K5790">
        <v>6.3207443984071507E-2</v>
      </c>
      <c r="L5790">
        <v>13222.4015222418</v>
      </c>
      <c r="M5790">
        <v>250</v>
      </c>
      <c r="N5790">
        <v>52.968179978669802</v>
      </c>
      <c r="O5790">
        <v>52.886219879366699</v>
      </c>
      <c r="P5790">
        <v>-0.99869201161153398</v>
      </c>
      <c r="Q5790">
        <v>0.154927249916337</v>
      </c>
      <c r="R5790">
        <v>0.91104355186294605</v>
      </c>
      <c r="S5790" t="s">
        <v>12101</v>
      </c>
      <c r="T5790" t="s">
        <v>12620</v>
      </c>
      <c r="U5790" t="s">
        <v>12620</v>
      </c>
      <c r="V5790" t="s">
        <v>12620</v>
      </c>
      <c r="W5790" t="s">
        <v>18350</v>
      </c>
      <c r="X5790">
        <v>8</v>
      </c>
      <c r="Y5790" t="s">
        <v>24439</v>
      </c>
      <c r="Z5790" t="s">
        <v>30737</v>
      </c>
      <c r="AA5790">
        <v>0.51809418544035279</v>
      </c>
      <c r="AB5790" t="str">
        <f>HYPERLINK("Melting_Curves/meltCurve_Q9P2I0_CPSF2.pdf", "Melting_Curves/meltCurve_Q9P2I0_CPSF2.pdf")</f>
        <v>Melting_Curves/meltCurve_Q9P2I0_CPSF2.pdf</v>
      </c>
    </row>
    <row r="5791" spans="1:28" x14ac:dyDescent="0.25">
      <c r="A5791" t="s">
        <v>5795</v>
      </c>
      <c r="B5791">
        <v>0.99987803227770999</v>
      </c>
      <c r="C5791">
        <v>0.82820390571635405</v>
      </c>
      <c r="D5791">
        <v>0.65348653666208101</v>
      </c>
      <c r="E5791">
        <v>0.49941891908226499</v>
      </c>
      <c r="F5791">
        <v>0.30820124731996501</v>
      </c>
      <c r="G5791">
        <v>0.16560432666564201</v>
      </c>
      <c r="H5791">
        <v>0.11102816271373001</v>
      </c>
      <c r="I5791">
        <v>9.4584326697771504E-2</v>
      </c>
      <c r="J5791">
        <v>6.9525361161566795E-2</v>
      </c>
      <c r="K5791">
        <v>4.99035588736794E-2</v>
      </c>
      <c r="L5791">
        <v>580.06682307078097</v>
      </c>
      <c r="M5791">
        <v>11.831055269920499</v>
      </c>
      <c r="N5791">
        <v>49.261080905309299</v>
      </c>
      <c r="O5791">
        <v>47.691347383507498</v>
      </c>
      <c r="P5791">
        <v>-6.0354274633837697E-2</v>
      </c>
      <c r="Q5791">
        <v>2.7088027689892699E-2</v>
      </c>
      <c r="R5791">
        <v>0.99245158773215303</v>
      </c>
      <c r="S5791" t="s">
        <v>12102</v>
      </c>
      <c r="T5791" t="s">
        <v>12620</v>
      </c>
      <c r="U5791" t="s">
        <v>12620</v>
      </c>
      <c r="V5791" t="s">
        <v>12620</v>
      </c>
      <c r="W5791" t="s">
        <v>18351</v>
      </c>
      <c r="X5791">
        <v>27</v>
      </c>
      <c r="Y5791" t="s">
        <v>24440</v>
      </c>
      <c r="Z5791" t="s">
        <v>30738</v>
      </c>
      <c r="AA5791">
        <v>0.35643875677544012</v>
      </c>
      <c r="AB5791" t="str">
        <f>HYPERLINK("Melting_Curves/meltCurve_Q9P2J5_LARS.pdf", "Melting_Curves/meltCurve_Q9P2J5_LARS.pdf")</f>
        <v>Melting_Curves/meltCurve_Q9P2J5_LARS.pdf</v>
      </c>
    </row>
    <row r="5792" spans="1:28" x14ac:dyDescent="0.25">
      <c r="A5792" t="s">
        <v>5796</v>
      </c>
      <c r="B5792">
        <v>0.99987803227770999</v>
      </c>
      <c r="C5792">
        <v>1.21489757481213</v>
      </c>
      <c r="D5792">
        <v>0.97476831337271896</v>
      </c>
      <c r="E5792">
        <v>0.98833471559913399</v>
      </c>
      <c r="F5792">
        <v>0.54969941177663895</v>
      </c>
      <c r="G5792">
        <v>0.44205870941657699</v>
      </c>
      <c r="H5792">
        <v>0.243055157575648</v>
      </c>
      <c r="I5792">
        <v>0.23492854533767901</v>
      </c>
      <c r="J5792">
        <v>0.14921030782686701</v>
      </c>
      <c r="K5792">
        <v>0.12116049661367</v>
      </c>
      <c r="L5792">
        <v>1131.3122629099701</v>
      </c>
      <c r="M5792">
        <v>20.8912950115302</v>
      </c>
      <c r="N5792">
        <v>55.161913675329401</v>
      </c>
      <c r="O5792">
        <v>53.663473612368001</v>
      </c>
      <c r="P5792">
        <v>-8.1865217806622703E-2</v>
      </c>
      <c r="Q5792">
        <v>0.15887420503538199</v>
      </c>
      <c r="R5792">
        <v>0.94521521532714403</v>
      </c>
      <c r="S5792" t="s">
        <v>12103</v>
      </c>
      <c r="T5792" t="s">
        <v>12620</v>
      </c>
      <c r="U5792" t="s">
        <v>12620</v>
      </c>
      <c r="V5792" t="s">
        <v>12620</v>
      </c>
      <c r="W5792" t="s">
        <v>18352</v>
      </c>
      <c r="X5792">
        <v>2</v>
      </c>
      <c r="Y5792" t="s">
        <v>24441</v>
      </c>
      <c r="Z5792" t="s">
        <v>30739</v>
      </c>
      <c r="AA5792">
        <v>0.56629688676899781</v>
      </c>
      <c r="AB5792" t="str">
        <f>HYPERLINK("Melting_Curves/meltCurve_Q9P2K3_4_RCOR3.pdf", "Melting_Curves/meltCurve_Q9P2K3_4_RCOR3.pdf")</f>
        <v>Melting_Curves/meltCurve_Q9P2K3_4_RCOR3.pdf</v>
      </c>
    </row>
    <row r="5793" spans="1:28" x14ac:dyDescent="0.25">
      <c r="A5793" t="s">
        <v>5797</v>
      </c>
      <c r="B5793">
        <v>0.99987803227770999</v>
      </c>
      <c r="C5793">
        <v>0.69138209540678297</v>
      </c>
      <c r="D5793">
        <v>0.88329258793005305</v>
      </c>
      <c r="E5793">
        <v>0.66166279315605403</v>
      </c>
      <c r="F5793">
        <v>0.935229934499479</v>
      </c>
      <c r="G5793">
        <v>0.50168358126685697</v>
      </c>
      <c r="H5793">
        <v>0.55646507539911105</v>
      </c>
      <c r="I5793">
        <v>0.46684081756407197</v>
      </c>
      <c r="J5793">
        <v>0.57127125520708499</v>
      </c>
      <c r="K5793">
        <v>0.43682410666947802</v>
      </c>
      <c r="L5793">
        <v>233.396797618573</v>
      </c>
      <c r="M5793">
        <v>3.6304705385901999</v>
      </c>
      <c r="N5793">
        <v>65.999778284436701</v>
      </c>
      <c r="O5793">
        <v>51.079843895062602</v>
      </c>
      <c r="P5793">
        <v>-1.72665831804566E-2</v>
      </c>
      <c r="Q5793">
        <v>4.4923939599716398E-2</v>
      </c>
      <c r="R5793">
        <v>0.63590061417445298</v>
      </c>
      <c r="S5793" t="s">
        <v>12104</v>
      </c>
      <c r="T5793" t="s">
        <v>12620</v>
      </c>
      <c r="U5793" t="s">
        <v>12620</v>
      </c>
      <c r="V5793" t="s">
        <v>12620</v>
      </c>
      <c r="W5793" t="s">
        <v>18353</v>
      </c>
      <c r="X5793">
        <v>3</v>
      </c>
      <c r="Y5793" t="s">
        <v>24442</v>
      </c>
      <c r="Z5793" t="s">
        <v>30740</v>
      </c>
      <c r="AA5793">
        <v>0.6705539385634649</v>
      </c>
      <c r="AB5793" t="str">
        <f>HYPERLINK("Melting_Curves/meltCurve_Q9P2K5_2_MYEF2.pdf", "Melting_Curves/meltCurve_Q9P2K5_2_MYEF2.pdf")</f>
        <v>Melting_Curves/meltCurve_Q9P2K5_2_MYEF2.pdf</v>
      </c>
    </row>
    <row r="5794" spans="1:28" x14ac:dyDescent="0.25">
      <c r="A5794" t="s">
        <v>5798</v>
      </c>
      <c r="B5794">
        <v>0.99987803227770999</v>
      </c>
      <c r="C5794">
        <v>1.02703103459637</v>
      </c>
      <c r="D5794">
        <v>0.83364676271914195</v>
      </c>
      <c r="E5794">
        <v>1.1123928703149799</v>
      </c>
      <c r="F5794">
        <v>0.73589913246879601</v>
      </c>
      <c r="G5794">
        <v>0.55936850956843098</v>
      </c>
      <c r="H5794">
        <v>0.244769751988965</v>
      </c>
      <c r="I5794">
        <v>0.18027666629198399</v>
      </c>
      <c r="J5794">
        <v>0.119735018285006</v>
      </c>
      <c r="K5794">
        <v>6.5912871081909005E-2</v>
      </c>
      <c r="L5794">
        <v>1119.1865239302099</v>
      </c>
      <c r="M5794">
        <v>19.631179246229902</v>
      </c>
      <c r="N5794">
        <v>57.392632635373303</v>
      </c>
      <c r="O5794">
        <v>56.428968553990202</v>
      </c>
      <c r="P5794">
        <v>-8.1649685726564003E-2</v>
      </c>
      <c r="Q5794">
        <v>6.1239043345777198E-2</v>
      </c>
      <c r="R5794">
        <v>0.95687681499699495</v>
      </c>
      <c r="S5794" t="s">
        <v>12105</v>
      </c>
      <c r="T5794" t="s">
        <v>12620</v>
      </c>
      <c r="U5794" t="s">
        <v>12620</v>
      </c>
      <c r="V5794" t="s">
        <v>12620</v>
      </c>
      <c r="W5794" t="s">
        <v>18354</v>
      </c>
      <c r="X5794">
        <v>6</v>
      </c>
      <c r="Y5794" t="s">
        <v>24443</v>
      </c>
      <c r="Z5794" t="s">
        <v>30741</v>
      </c>
      <c r="AA5794">
        <v>0.60527287628919568</v>
      </c>
      <c r="AB5794" t="str">
        <f>HYPERLINK("Melting_Curves/meltCurve_Q9P2K6_KLHL42.pdf", "Melting_Curves/meltCurve_Q9P2K6_KLHL42.pdf")</f>
        <v>Melting_Curves/meltCurve_Q9P2K6_KLHL42.pdf</v>
      </c>
    </row>
    <row r="5795" spans="1:28" x14ac:dyDescent="0.25">
      <c r="A5795" t="s">
        <v>5799</v>
      </c>
      <c r="B5795">
        <v>0.99987803227770999</v>
      </c>
      <c r="C5795">
        <v>0.96524023462361297</v>
      </c>
      <c r="D5795">
        <v>0.93430100764608204</v>
      </c>
      <c r="E5795">
        <v>0.77237513575027805</v>
      </c>
      <c r="F5795">
        <v>0.71506413802982605</v>
      </c>
      <c r="G5795">
        <v>0.46801813323921299</v>
      </c>
      <c r="H5795">
        <v>0.338395389721169</v>
      </c>
      <c r="I5795">
        <v>0.29553003027055402</v>
      </c>
      <c r="J5795">
        <v>0.21665352308531399</v>
      </c>
      <c r="K5795">
        <v>0.171227446733586</v>
      </c>
      <c r="L5795">
        <v>623.04081819016403</v>
      </c>
      <c r="M5795">
        <v>11.178234916068</v>
      </c>
      <c r="N5795">
        <v>56.837633086338201</v>
      </c>
      <c r="O5795">
        <v>54.042409101305097</v>
      </c>
      <c r="P5795">
        <v>-4.6692746373004398E-2</v>
      </c>
      <c r="Q5795">
        <v>9.7321333757255907E-2</v>
      </c>
      <c r="R5795">
        <v>0.995501965674365</v>
      </c>
      <c r="S5795" t="s">
        <v>12106</v>
      </c>
      <c r="T5795" t="s">
        <v>12620</v>
      </c>
      <c r="U5795" t="s">
        <v>12620</v>
      </c>
      <c r="V5795" t="s">
        <v>12620</v>
      </c>
      <c r="W5795" t="s">
        <v>18355</v>
      </c>
      <c r="X5795">
        <v>5</v>
      </c>
      <c r="Y5795" t="s">
        <v>24444</v>
      </c>
      <c r="Z5795" t="s">
        <v>30742</v>
      </c>
      <c r="AA5795">
        <v>0.59056364061428834</v>
      </c>
      <c r="AB5795" t="str">
        <f>HYPERLINK("Melting_Curves/meltCurve_Q9P2K8_2_EIF2AK4.pdf", "Melting_Curves/meltCurve_Q9P2K8_2_EIF2AK4.pdf")</f>
        <v>Melting_Curves/meltCurve_Q9P2K8_2_EIF2AK4.pdf</v>
      </c>
    </row>
    <row r="5796" spans="1:28" x14ac:dyDescent="0.25">
      <c r="A5796" t="s">
        <v>5800</v>
      </c>
      <c r="B5796">
        <v>0.99987803227770999</v>
      </c>
      <c r="C5796">
        <v>0.56963608089162898</v>
      </c>
      <c r="D5796">
        <v>1.26143920405057</v>
      </c>
      <c r="E5796">
        <v>0.55459273265133102</v>
      </c>
      <c r="F5796">
        <v>0.56063352037116798</v>
      </c>
      <c r="G5796">
        <v>0.39973396573526299</v>
      </c>
      <c r="H5796">
        <v>0.45253903412622098</v>
      </c>
      <c r="I5796">
        <v>0.38715136657559501</v>
      </c>
      <c r="J5796">
        <v>0.39684563242833198</v>
      </c>
      <c r="K5796">
        <v>0.32091699715257799</v>
      </c>
      <c r="L5796">
        <v>5636.7574354417502</v>
      </c>
      <c r="M5796">
        <v>113.921701264356</v>
      </c>
      <c r="N5796">
        <v>50.285356931761001</v>
      </c>
      <c r="O5796">
        <v>49.463997737018197</v>
      </c>
      <c r="P5796">
        <v>-0.33424267890024401</v>
      </c>
      <c r="Q5796">
        <v>0.41949696083124299</v>
      </c>
      <c r="R5796">
        <v>0.65404670869167902</v>
      </c>
      <c r="S5796" t="s">
        <v>12107</v>
      </c>
      <c r="T5796" t="s">
        <v>12620</v>
      </c>
      <c r="U5796" t="s">
        <v>12620</v>
      </c>
      <c r="V5796" t="s">
        <v>12620</v>
      </c>
      <c r="W5796" t="s">
        <v>18356</v>
      </c>
      <c r="X5796">
        <v>2</v>
      </c>
      <c r="Y5796" t="s">
        <v>24445</v>
      </c>
      <c r="Z5796" t="s">
        <v>30743</v>
      </c>
      <c r="AA5796">
        <v>0.60316387583451292</v>
      </c>
      <c r="AB5796" t="str">
        <f>HYPERLINK("Melting_Curves/meltCurve_Q9P2M4_TBC1D14.pdf", "Melting_Curves/meltCurve_Q9P2M4_TBC1D14.pdf")</f>
        <v>Melting_Curves/meltCurve_Q9P2M4_TBC1D14.pdf</v>
      </c>
    </row>
    <row r="5797" spans="1:28" x14ac:dyDescent="0.25">
      <c r="A5797" t="s">
        <v>5801</v>
      </c>
      <c r="B5797">
        <v>0.99987803227770999</v>
      </c>
      <c r="C5797">
        <v>1.0402665394544801</v>
      </c>
      <c r="D5797">
        <v>1.0407032367864799</v>
      </c>
      <c r="E5797">
        <v>0.90040740282628196</v>
      </c>
      <c r="F5797">
        <v>0.828750504703618</v>
      </c>
      <c r="G5797">
        <v>0.68703054850345202</v>
      </c>
      <c r="H5797">
        <v>0.72610295426540405</v>
      </c>
      <c r="I5797">
        <v>0.67590995325463898</v>
      </c>
      <c r="J5797">
        <v>0.637979813324968</v>
      </c>
      <c r="K5797">
        <v>0.47483257200794099</v>
      </c>
      <c r="L5797">
        <v>551.99754505405394</v>
      </c>
      <c r="M5797">
        <v>9.3913555451724697</v>
      </c>
      <c r="O5797">
        <v>56.296938272536202</v>
      </c>
      <c r="P5797">
        <v>-2.27843464900571E-2</v>
      </c>
      <c r="Q5797">
        <v>0.454009982870968</v>
      </c>
      <c r="R5797">
        <v>0.90989754518831201</v>
      </c>
      <c r="S5797" t="s">
        <v>12108</v>
      </c>
      <c r="T5797" t="s">
        <v>12620</v>
      </c>
      <c r="U5797" t="s">
        <v>12620</v>
      </c>
      <c r="V5797" t="s">
        <v>12620</v>
      </c>
      <c r="W5797" t="s">
        <v>18357</v>
      </c>
      <c r="X5797">
        <v>5</v>
      </c>
      <c r="Y5797" t="s">
        <v>24446</v>
      </c>
      <c r="Z5797" t="s">
        <v>30744</v>
      </c>
      <c r="AA5797">
        <v>0.79732712112105841</v>
      </c>
      <c r="AB5797" t="str">
        <f>HYPERLINK("Melting_Curves/meltCurve_Q9P2M7_CGN.pdf", "Melting_Curves/meltCurve_Q9P2M7_CGN.pdf")</f>
        <v>Melting_Curves/meltCurve_Q9P2M7_CGN.pdf</v>
      </c>
    </row>
    <row r="5798" spans="1:28" x14ac:dyDescent="0.25">
      <c r="A5798" t="s">
        <v>5802</v>
      </c>
      <c r="B5798">
        <v>0.99987803227770999</v>
      </c>
      <c r="C5798">
        <v>0.74491705468397695</v>
      </c>
      <c r="D5798">
        <v>0.98860966145484297</v>
      </c>
      <c r="E5798">
        <v>0.81695228742818704</v>
      </c>
      <c r="F5798">
        <v>0.81979279031594698</v>
      </c>
      <c r="G5798">
        <v>0.62965972059151998</v>
      </c>
      <c r="H5798">
        <v>0.50470607598100903</v>
      </c>
      <c r="I5798">
        <v>0.58662077486137099</v>
      </c>
      <c r="J5798">
        <v>0.47730608967006699</v>
      </c>
      <c r="K5798">
        <v>0.38881167922280102</v>
      </c>
      <c r="L5798">
        <v>323.07297024871701</v>
      </c>
      <c r="M5798">
        <v>4.9711971622091502</v>
      </c>
      <c r="N5798">
        <v>64.988952154285698</v>
      </c>
      <c r="O5798">
        <v>56.643871253826198</v>
      </c>
      <c r="P5798">
        <v>-2.2077712654127099E-2</v>
      </c>
      <c r="Q5798">
        <v>0</v>
      </c>
      <c r="R5798">
        <v>0.84555479099230002</v>
      </c>
      <c r="S5798" t="s">
        <v>12109</v>
      </c>
      <c r="T5798" t="s">
        <v>12620</v>
      </c>
      <c r="U5798" t="s">
        <v>12620</v>
      </c>
      <c r="V5798" t="s">
        <v>12620</v>
      </c>
      <c r="W5798" t="s">
        <v>18358</v>
      </c>
      <c r="X5798">
        <v>16</v>
      </c>
      <c r="Y5798" t="s">
        <v>24447</v>
      </c>
      <c r="Z5798" t="s">
        <v>30745</v>
      </c>
      <c r="AA5798">
        <v>0.70301197576064101</v>
      </c>
      <c r="AB5798" t="str">
        <f>HYPERLINK("Melting_Curves/meltCurve_Q9P2N5_RBM27.pdf", "Melting_Curves/meltCurve_Q9P2N5_RBM27.pdf")</f>
        <v>Melting_Curves/meltCurve_Q9P2N5_RBM27.pdf</v>
      </c>
    </row>
    <row r="5799" spans="1:28" x14ac:dyDescent="0.25">
      <c r="A5799" t="s">
        <v>5803</v>
      </c>
      <c r="B5799">
        <v>0.99987803227770999</v>
      </c>
      <c r="C5799">
        <v>0.75494476237197805</v>
      </c>
      <c r="D5799">
        <v>0.90950880527164502</v>
      </c>
      <c r="E5799">
        <v>0.67825269657972997</v>
      </c>
      <c r="F5799">
        <v>0.998412761859094</v>
      </c>
      <c r="G5799">
        <v>0.49360882045838</v>
      </c>
      <c r="H5799">
        <v>0.54135091356919496</v>
      </c>
      <c r="I5799">
        <v>0.52807954206901098</v>
      </c>
      <c r="J5799">
        <v>0.44074817510620401</v>
      </c>
      <c r="K5799">
        <v>0.42222047184613498</v>
      </c>
      <c r="L5799">
        <v>290.37603786136901</v>
      </c>
      <c r="M5799">
        <v>4.5144019209739303</v>
      </c>
      <c r="N5799">
        <v>64.322150329869203</v>
      </c>
      <c r="O5799">
        <v>54.713974175869097</v>
      </c>
      <c r="P5799">
        <v>-2.08057880119281E-2</v>
      </c>
      <c r="Q5799">
        <v>0</v>
      </c>
      <c r="R5799">
        <v>0.70075566955860102</v>
      </c>
      <c r="S5799" t="s">
        <v>12110</v>
      </c>
      <c r="T5799" t="s">
        <v>12620</v>
      </c>
      <c r="U5799" t="s">
        <v>12620</v>
      </c>
      <c r="V5799" t="s">
        <v>12620</v>
      </c>
      <c r="W5799" t="s">
        <v>18359</v>
      </c>
      <c r="X5799">
        <v>2</v>
      </c>
      <c r="Y5799" t="s">
        <v>24448</v>
      </c>
      <c r="Z5799" t="s">
        <v>30746</v>
      </c>
      <c r="AA5799">
        <v>0.68106304511087679</v>
      </c>
      <c r="AB5799" t="str">
        <f>HYPERLINK("Melting_Curves/meltCurve_Q9P2N6_3_KANSL3.pdf", "Melting_Curves/meltCurve_Q9P2N6_3_KANSL3.pdf")</f>
        <v>Melting_Curves/meltCurve_Q9P2N6_3_KANSL3.pdf</v>
      </c>
    </row>
    <row r="5800" spans="1:28" x14ac:dyDescent="0.25">
      <c r="A5800" t="s">
        <v>5804</v>
      </c>
      <c r="B5800">
        <v>0.99987803227770999</v>
      </c>
      <c r="C5800">
        <v>1.21030714894131</v>
      </c>
      <c r="D5800">
        <v>0.758563304639856</v>
      </c>
      <c r="E5800">
        <v>0.39971530762478302</v>
      </c>
      <c r="F5800">
        <v>0.195493482472609</v>
      </c>
      <c r="G5800">
        <v>0.133787213126105</v>
      </c>
      <c r="H5800">
        <v>9.5405191993654506E-2</v>
      </c>
      <c r="I5800">
        <v>8.2438088799718895E-2</v>
      </c>
      <c r="J5800">
        <v>7.5901547204576397E-2</v>
      </c>
      <c r="K5800">
        <v>5.7680127443998898E-2</v>
      </c>
      <c r="L5800">
        <v>1272.0606119096401</v>
      </c>
      <c r="M5800">
        <v>26.148905815643101</v>
      </c>
      <c r="N5800">
        <v>49.001731408886798</v>
      </c>
      <c r="O5800">
        <v>48.364945183905199</v>
      </c>
      <c r="P5800">
        <v>-0.123504837223278</v>
      </c>
      <c r="Q5800">
        <v>8.6273100418682094E-2</v>
      </c>
      <c r="R5800">
        <v>0.96176004542376803</v>
      </c>
      <c r="S5800" t="s">
        <v>12111</v>
      </c>
      <c r="T5800" t="s">
        <v>12620</v>
      </c>
      <c r="U5800" t="s">
        <v>12620</v>
      </c>
      <c r="V5800" t="s">
        <v>12620</v>
      </c>
      <c r="W5800" t="s">
        <v>18360</v>
      </c>
      <c r="X5800">
        <v>23</v>
      </c>
      <c r="Y5800" t="s">
        <v>24449</v>
      </c>
      <c r="Z5800" t="s">
        <v>30747</v>
      </c>
      <c r="AA5800">
        <v>0.35699448353844659</v>
      </c>
      <c r="AB5800" t="str">
        <f>HYPERLINK("Melting_Curves/meltCurve_Q9P2R3_ANKFY1.pdf", "Melting_Curves/meltCurve_Q9P2R3_ANKFY1.pdf")</f>
        <v>Melting_Curves/meltCurve_Q9P2R3_ANKFY1.pdf</v>
      </c>
    </row>
    <row r="5801" spans="1:28" x14ac:dyDescent="0.25">
      <c r="A5801" t="s">
        <v>5805</v>
      </c>
      <c r="B5801">
        <v>0.99987803227770999</v>
      </c>
      <c r="C5801">
        <v>1.12374717736312</v>
      </c>
      <c r="D5801">
        <v>0.70789612236356203</v>
      </c>
      <c r="E5801">
        <v>0.45758046281361298</v>
      </c>
      <c r="F5801">
        <v>0.210783763475234</v>
      </c>
      <c r="G5801">
        <v>0.14996307831651001</v>
      </c>
      <c r="H5801">
        <v>0.110676172713344</v>
      </c>
      <c r="I5801">
        <v>7.4747070553588493E-2</v>
      </c>
      <c r="J5801">
        <v>7.9474587810549793E-2</v>
      </c>
      <c r="K5801">
        <v>5.56137652535965E-2</v>
      </c>
      <c r="L5801">
        <v>1031.68929426982</v>
      </c>
      <c r="M5801">
        <v>21.146244590184299</v>
      </c>
      <c r="N5801">
        <v>49.1955459199066</v>
      </c>
      <c r="O5801">
        <v>48.358271009837999</v>
      </c>
      <c r="P5801">
        <v>-0.10054565792579601</v>
      </c>
      <c r="Q5801">
        <v>8.0293017373193998E-2</v>
      </c>
      <c r="R5801">
        <v>0.97235212573138396</v>
      </c>
      <c r="S5801" t="s">
        <v>12112</v>
      </c>
      <c r="T5801" t="s">
        <v>12620</v>
      </c>
      <c r="U5801" t="s">
        <v>12620</v>
      </c>
      <c r="V5801" t="s">
        <v>12620</v>
      </c>
      <c r="W5801" t="s">
        <v>18361</v>
      </c>
      <c r="X5801">
        <v>5</v>
      </c>
      <c r="Y5801" t="s">
        <v>24450</v>
      </c>
      <c r="Z5801" t="s">
        <v>30748</v>
      </c>
      <c r="AA5801">
        <v>0.36122737134379951</v>
      </c>
      <c r="AB5801" t="str">
        <f>HYPERLINK("Melting_Curves/meltCurve_Q9P2R6_RERE.pdf", "Melting_Curves/meltCurve_Q9P2R6_RERE.pdf")</f>
        <v>Melting_Curves/meltCurve_Q9P2R6_RERE.pdf</v>
      </c>
    </row>
    <row r="5802" spans="1:28" x14ac:dyDescent="0.25">
      <c r="A5802" t="s">
        <v>5806</v>
      </c>
      <c r="B5802">
        <v>0.99987803227770999</v>
      </c>
      <c r="C5802">
        <v>0.85669365751715998</v>
      </c>
      <c r="D5802">
        <v>0.80847531126629402</v>
      </c>
      <c r="E5802">
        <v>0.67628284093032098</v>
      </c>
      <c r="F5802">
        <v>0.57203031505503599</v>
      </c>
      <c r="G5802">
        <v>0.41676326427953903</v>
      </c>
      <c r="H5802">
        <v>0.28403430999680301</v>
      </c>
      <c r="I5802">
        <v>0.26199336606249002</v>
      </c>
      <c r="J5802">
        <v>0.190710722379175</v>
      </c>
      <c r="K5802">
        <v>0.157629830246068</v>
      </c>
      <c r="L5802">
        <v>438.06048373956799</v>
      </c>
      <c r="M5802">
        <v>8.0680009081640893</v>
      </c>
      <c r="N5802">
        <v>54.573290009003401</v>
      </c>
      <c r="O5802">
        <v>51.265399935969903</v>
      </c>
      <c r="P5802">
        <v>-3.8596498008371199E-2</v>
      </c>
      <c r="Q5802">
        <v>2.00798588012659E-2</v>
      </c>
      <c r="R5802">
        <v>0.99344480447513495</v>
      </c>
      <c r="S5802" t="s">
        <v>12113</v>
      </c>
      <c r="T5802" t="s">
        <v>12620</v>
      </c>
      <c r="U5802" t="s">
        <v>12620</v>
      </c>
      <c r="V5802" t="s">
        <v>12620</v>
      </c>
      <c r="W5802" t="s">
        <v>18362</v>
      </c>
      <c r="X5802">
        <v>7</v>
      </c>
      <c r="Y5802" t="s">
        <v>24451</v>
      </c>
      <c r="Z5802" t="s">
        <v>30749</v>
      </c>
      <c r="AA5802">
        <v>0.51839896834940935</v>
      </c>
      <c r="AB5802" t="str">
        <f>HYPERLINK("Melting_Curves/meltCurve_Q9P2W1_PSMC3IP.pdf", "Melting_Curves/meltCurve_Q9P2W1_PSMC3IP.pdf")</f>
        <v>Melting_Curves/meltCurve_Q9P2W1_PSMC3IP.pdf</v>
      </c>
    </row>
    <row r="5803" spans="1:28" x14ac:dyDescent="0.25">
      <c r="A5803" t="s">
        <v>5807</v>
      </c>
      <c r="B5803">
        <v>0.99987803227770999</v>
      </c>
      <c r="C5803">
        <v>0.77019809499959202</v>
      </c>
      <c r="D5803">
        <v>0.79870246603014905</v>
      </c>
      <c r="E5803">
        <v>0.51413309037240795</v>
      </c>
      <c r="F5803">
        <v>0.30365156389919401</v>
      </c>
      <c r="G5803">
        <v>0.19027262312495299</v>
      </c>
      <c r="H5803">
        <v>0.123295685934862</v>
      </c>
      <c r="I5803">
        <v>8.9752214311853207E-2</v>
      </c>
      <c r="J5803">
        <v>8.3313225405515501E-2</v>
      </c>
      <c r="K5803">
        <v>5.5478101629507101E-2</v>
      </c>
      <c r="L5803">
        <v>613.61436851886901</v>
      </c>
      <c r="M5803">
        <v>12.358122151741901</v>
      </c>
      <c r="N5803">
        <v>49.924518038251399</v>
      </c>
      <c r="O5803">
        <v>48.406314438825099</v>
      </c>
      <c r="P5803">
        <v>-6.1761792397389298E-2</v>
      </c>
      <c r="Q5803">
        <v>3.2533325925512398E-2</v>
      </c>
      <c r="R5803">
        <v>0.98244566572321901</v>
      </c>
      <c r="S5803" t="s">
        <v>12114</v>
      </c>
      <c r="T5803" t="s">
        <v>12620</v>
      </c>
      <c r="U5803" t="s">
        <v>12620</v>
      </c>
      <c r="V5803" t="s">
        <v>12620</v>
      </c>
      <c r="W5803" t="s">
        <v>18363</v>
      </c>
      <c r="X5803">
        <v>4</v>
      </c>
      <c r="Y5803" t="s">
        <v>24452</v>
      </c>
      <c r="Z5803" t="s">
        <v>30750</v>
      </c>
      <c r="AA5803">
        <v>0.37641760772241167</v>
      </c>
      <c r="AB5803" t="str">
        <f>HYPERLINK("Melting_Curves/meltCurve_Q9P2X3_IMPACT.pdf", "Melting_Curves/meltCurve_Q9P2X3_IMPACT.pdf")</f>
        <v>Melting_Curves/meltCurve_Q9P2X3_IMPACT.pdf</v>
      </c>
    </row>
    <row r="5804" spans="1:28" x14ac:dyDescent="0.25">
      <c r="A5804" t="s">
        <v>5808</v>
      </c>
      <c r="B5804">
        <v>0.99987803227770999</v>
      </c>
      <c r="C5804">
        <v>1.1572516072943799</v>
      </c>
      <c r="D5804">
        <v>0.93823770730992995</v>
      </c>
      <c r="E5804">
        <v>1.08231891427448</v>
      </c>
      <c r="F5804">
        <v>0.50735018906632501</v>
      </c>
      <c r="G5804">
        <v>0.28570253079679298</v>
      </c>
      <c r="H5804">
        <v>0.179775242034206</v>
      </c>
      <c r="I5804">
        <v>0.21323612186031099</v>
      </c>
      <c r="J5804">
        <v>0.123869089407963</v>
      </c>
      <c r="K5804">
        <v>0.15580003800012299</v>
      </c>
      <c r="L5804">
        <v>13226.4102905241</v>
      </c>
      <c r="M5804">
        <v>250</v>
      </c>
      <c r="N5804">
        <v>53.008150135303502</v>
      </c>
      <c r="O5804">
        <v>52.902260789268801</v>
      </c>
      <c r="P5804">
        <v>-0.95497276751972604</v>
      </c>
      <c r="Q5804">
        <v>0.191676586544023</v>
      </c>
      <c r="R5804">
        <v>0.96952947050309002</v>
      </c>
      <c r="S5804" t="s">
        <v>12115</v>
      </c>
      <c r="T5804" t="s">
        <v>12620</v>
      </c>
      <c r="U5804" t="s">
        <v>12620</v>
      </c>
      <c r="V5804" t="s">
        <v>12620</v>
      </c>
      <c r="W5804" t="s">
        <v>18364</v>
      </c>
      <c r="X5804">
        <v>3</v>
      </c>
      <c r="Y5804" t="s">
        <v>24453</v>
      </c>
      <c r="Z5804" t="s">
        <v>30751</v>
      </c>
      <c r="AA5804">
        <v>0.53948270212205229</v>
      </c>
      <c r="AB5804" t="str">
        <f>HYPERLINK("Melting_Curves/meltCurve_Q9P2Y5_UVRAG.pdf", "Melting_Curves/meltCurve_Q9P2Y5_UVRAG.pdf")</f>
        <v>Melting_Curves/meltCurve_Q9P2Y5_UVRAG.pdf</v>
      </c>
    </row>
    <row r="5805" spans="1:28" x14ac:dyDescent="0.25">
      <c r="A5805" t="s">
        <v>5809</v>
      </c>
      <c r="B5805">
        <v>0.99987803227770999</v>
      </c>
      <c r="C5805">
        <v>0.92137794957236296</v>
      </c>
      <c r="D5805">
        <v>1.03581818530596</v>
      </c>
      <c r="E5805">
        <v>0.90223016813270396</v>
      </c>
      <c r="F5805">
        <v>0.65075046447663798</v>
      </c>
      <c r="G5805">
        <v>0.19067905757657699</v>
      </c>
      <c r="H5805">
        <v>9.8117030317199205E-2</v>
      </c>
      <c r="I5805">
        <v>6.4447121955477193E-2</v>
      </c>
      <c r="J5805">
        <v>4.8905269107730201E-2</v>
      </c>
      <c r="K5805">
        <v>3.3427964441863002E-2</v>
      </c>
      <c r="L5805">
        <v>1618.6784874636801</v>
      </c>
      <c r="M5805">
        <v>30.036381588649402</v>
      </c>
      <c r="N5805">
        <v>54.076226893930901</v>
      </c>
      <c r="O5805">
        <v>53.653391946251197</v>
      </c>
      <c r="P5805">
        <v>-0.13310067360776201</v>
      </c>
      <c r="Q5805">
        <v>4.8985446397309798E-2</v>
      </c>
      <c r="R5805">
        <v>0.99488067947801295</v>
      </c>
      <c r="S5805" t="s">
        <v>12116</v>
      </c>
      <c r="T5805" t="s">
        <v>12620</v>
      </c>
      <c r="U5805" t="s">
        <v>12620</v>
      </c>
      <c r="V5805" t="s">
        <v>12620</v>
      </c>
      <c r="W5805" t="s">
        <v>18365</v>
      </c>
      <c r="X5805">
        <v>19</v>
      </c>
      <c r="Y5805" t="s">
        <v>24454</v>
      </c>
      <c r="Z5805" t="s">
        <v>30752</v>
      </c>
      <c r="AA5805">
        <v>0.49554847182785561</v>
      </c>
      <c r="AB5805" t="str">
        <f>HYPERLINK("Melting_Curves/meltCurve_Q9UBB4_ATXN10.pdf", "Melting_Curves/meltCurve_Q9UBB4_ATXN10.pdf")</f>
        <v>Melting_Curves/meltCurve_Q9UBB4_ATXN10.pdf</v>
      </c>
    </row>
    <row r="5806" spans="1:28" x14ac:dyDescent="0.25">
      <c r="A5806" t="s">
        <v>5810</v>
      </c>
      <c r="B5806">
        <v>0.99987803227770999</v>
      </c>
      <c r="C5806">
        <v>2.1141303557312998</v>
      </c>
      <c r="D5806">
        <v>1.6159775662061</v>
      </c>
      <c r="E5806">
        <v>1.7899662625983199</v>
      </c>
      <c r="F5806">
        <v>1.0290972468474999</v>
      </c>
      <c r="G5806">
        <v>0.82947294949788397</v>
      </c>
      <c r="H5806">
        <v>0.91575932877962996</v>
      </c>
      <c r="I5806">
        <v>1.1087416128430501</v>
      </c>
      <c r="J5806">
        <v>0.77050220658746604</v>
      </c>
      <c r="K5806">
        <v>0.66203195022342198</v>
      </c>
      <c r="L5806">
        <v>15000</v>
      </c>
      <c r="M5806">
        <v>224.629393500541</v>
      </c>
      <c r="O5806">
        <v>66.771352774082501</v>
      </c>
      <c r="P5806">
        <v>-0.28426492391942099</v>
      </c>
      <c r="Q5806">
        <v>0.66200760365074995</v>
      </c>
      <c r="R5806">
        <v>-8.0072487644659504E-2</v>
      </c>
      <c r="S5806" t="s">
        <v>12117</v>
      </c>
      <c r="T5806" t="s">
        <v>12620</v>
      </c>
      <c r="U5806" t="s">
        <v>12620</v>
      </c>
      <c r="V5806" t="s">
        <v>12620</v>
      </c>
      <c r="W5806" t="s">
        <v>18366</v>
      </c>
      <c r="X5806">
        <v>4</v>
      </c>
      <c r="Y5806" t="s">
        <v>24455</v>
      </c>
      <c r="Z5806" t="s">
        <v>30753</v>
      </c>
      <c r="AA5806">
        <v>0.96373343346073714</v>
      </c>
      <c r="AB5806" t="str">
        <f>HYPERLINK("Melting_Curves/meltCurve_Q9UBB5_MBD2.pdf", "Melting_Curves/meltCurve_Q9UBB5_MBD2.pdf")</f>
        <v>Melting_Curves/meltCurve_Q9UBB5_MBD2.pdf</v>
      </c>
    </row>
    <row r="5807" spans="1:28" x14ac:dyDescent="0.25">
      <c r="A5807" t="s">
        <v>5811</v>
      </c>
      <c r="B5807">
        <v>0.99987803227770999</v>
      </c>
      <c r="C5807">
        <v>0.984578639851732</v>
      </c>
      <c r="D5807">
        <v>1.01427933712504</v>
      </c>
      <c r="E5807">
        <v>0.79027006264514699</v>
      </c>
      <c r="F5807">
        <v>0.36102604313153303</v>
      </c>
      <c r="G5807">
        <v>0.23224225461194101</v>
      </c>
      <c r="H5807">
        <v>0.19809321521793899</v>
      </c>
      <c r="I5807">
        <v>0.16869000921757299</v>
      </c>
      <c r="J5807">
        <v>0.109417270328522</v>
      </c>
      <c r="K5807">
        <v>6.9040190185386097E-2</v>
      </c>
      <c r="L5807">
        <v>1788.59756325019</v>
      </c>
      <c r="M5807">
        <v>34.705886154802698</v>
      </c>
      <c r="N5807">
        <v>52.051811574037799</v>
      </c>
      <c r="O5807">
        <v>51.365653006482702</v>
      </c>
      <c r="P5807">
        <v>-0.14433125950402001</v>
      </c>
      <c r="Q5807">
        <v>0.14554639851574899</v>
      </c>
      <c r="R5807">
        <v>0.98988454386899805</v>
      </c>
      <c r="S5807" t="s">
        <v>12118</v>
      </c>
      <c r="T5807" t="s">
        <v>12620</v>
      </c>
      <c r="U5807" t="s">
        <v>12620</v>
      </c>
      <c r="V5807" t="s">
        <v>12620</v>
      </c>
      <c r="W5807" t="s">
        <v>18367</v>
      </c>
      <c r="X5807">
        <v>10</v>
      </c>
      <c r="Y5807" t="s">
        <v>24456</v>
      </c>
      <c r="Z5807" t="s">
        <v>30754</v>
      </c>
      <c r="AA5807">
        <v>0.47815667211391999</v>
      </c>
      <c r="AB5807" t="str">
        <f>HYPERLINK("Melting_Curves/meltCurve_Q9UBB6_NCDN.pdf", "Melting_Curves/meltCurve_Q9UBB6_NCDN.pdf")</f>
        <v>Melting_Curves/meltCurve_Q9UBB6_NCDN.pdf</v>
      </c>
    </row>
    <row r="5808" spans="1:28" x14ac:dyDescent="0.25">
      <c r="A5808" t="s">
        <v>5812</v>
      </c>
      <c r="B5808">
        <v>0.99987803227770999</v>
      </c>
      <c r="C5808">
        <v>1.07914457947098</v>
      </c>
      <c r="D5808">
        <v>1.0253185395289399</v>
      </c>
      <c r="E5808">
        <v>1.23428119607993</v>
      </c>
      <c r="F5808">
        <v>1.36917855304755</v>
      </c>
      <c r="G5808">
        <v>1.4560224790749501</v>
      </c>
      <c r="H5808">
        <v>1.1527241621300099</v>
      </c>
      <c r="I5808">
        <v>0.60867961389202696</v>
      </c>
      <c r="J5808">
        <v>0.31970071395765098</v>
      </c>
      <c r="K5808">
        <v>0.19820132588571801</v>
      </c>
      <c r="L5808">
        <v>15000</v>
      </c>
      <c r="M5808">
        <v>234.487264316379</v>
      </c>
      <c r="N5808">
        <v>64.168982462429597</v>
      </c>
      <c r="O5808">
        <v>63.964704993292997</v>
      </c>
      <c r="P5808">
        <v>-0.679161527160701</v>
      </c>
      <c r="Q5808">
        <v>0.25893856234412999</v>
      </c>
      <c r="R5808">
        <v>0.73645050307482696</v>
      </c>
      <c r="S5808" t="s">
        <v>12119</v>
      </c>
      <c r="T5808" t="s">
        <v>12620</v>
      </c>
      <c r="U5808" t="s">
        <v>12620</v>
      </c>
      <c r="V5808" t="s">
        <v>12620</v>
      </c>
      <c r="W5808" t="s">
        <v>18368</v>
      </c>
      <c r="X5808">
        <v>25</v>
      </c>
      <c r="Y5808" t="s">
        <v>24457</v>
      </c>
      <c r="Z5808" t="s">
        <v>30755</v>
      </c>
      <c r="AA5808">
        <v>0.85112538800756932</v>
      </c>
      <c r="AB5808" t="str">
        <f>HYPERLINK("Melting_Curves/meltCurve_Q9UBC2_2_EPS15L1.pdf", "Melting_Curves/meltCurve_Q9UBC2_2_EPS15L1.pdf")</f>
        <v>Melting_Curves/meltCurve_Q9UBC2_2_EPS15L1.pdf</v>
      </c>
    </row>
    <row r="5809" spans="1:28" x14ac:dyDescent="0.25">
      <c r="A5809" t="s">
        <v>5813</v>
      </c>
      <c r="B5809">
        <v>0.99987803227770999</v>
      </c>
      <c r="C5809">
        <v>0.97973939209469596</v>
      </c>
      <c r="D5809">
        <v>0.59981651583194795</v>
      </c>
      <c r="E5809">
        <v>0.46277139147614799</v>
      </c>
      <c r="F5809">
        <v>0.246556026301232</v>
      </c>
      <c r="G5809">
        <v>0.13074490988010801</v>
      </c>
      <c r="H5809">
        <v>0.109334029107418</v>
      </c>
      <c r="I5809">
        <v>8.99197957484454E-2</v>
      </c>
      <c r="J5809">
        <v>7.9650572555791693E-2</v>
      </c>
      <c r="K5809">
        <v>5.44220909853474E-2</v>
      </c>
      <c r="L5809">
        <v>765.36827362745998</v>
      </c>
      <c r="M5809">
        <v>15.8585382264915</v>
      </c>
      <c r="N5809">
        <v>48.700290739985199</v>
      </c>
      <c r="O5809">
        <v>47.514355961464503</v>
      </c>
      <c r="P5809">
        <v>-7.7900776101753097E-2</v>
      </c>
      <c r="Q5809">
        <v>6.6470161492091506E-2</v>
      </c>
      <c r="R5809">
        <v>0.97988956336385102</v>
      </c>
      <c r="S5809" t="s">
        <v>12120</v>
      </c>
      <c r="T5809" t="s">
        <v>12620</v>
      </c>
      <c r="U5809" t="s">
        <v>12620</v>
      </c>
      <c r="V5809" t="s">
        <v>12620</v>
      </c>
      <c r="W5809" t="s">
        <v>18369</v>
      </c>
      <c r="X5809">
        <v>4</v>
      </c>
      <c r="Y5809" t="s">
        <v>24458</v>
      </c>
      <c r="Z5809" t="s">
        <v>30756</v>
      </c>
      <c r="AA5809">
        <v>0.34483720457260908</v>
      </c>
      <c r="AB5809" t="str">
        <f>HYPERLINK("Melting_Curves/meltCurve_Q9UBD5_ORC3.pdf", "Melting_Curves/meltCurve_Q9UBD5_ORC3.pdf")</f>
        <v>Melting_Curves/meltCurve_Q9UBD5_ORC3.pdf</v>
      </c>
    </row>
    <row r="5810" spans="1:28" x14ac:dyDescent="0.25">
      <c r="A5810" t="s">
        <v>5814</v>
      </c>
      <c r="B5810">
        <v>0.99987803227770999</v>
      </c>
      <c r="C5810">
        <v>1.0411683537451299</v>
      </c>
      <c r="D5810">
        <v>1.0413541613657</v>
      </c>
      <c r="E5810">
        <v>1.08520263709284</v>
      </c>
      <c r="F5810">
        <v>0.79887373568270503</v>
      </c>
      <c r="G5810">
        <v>0.41858054009719498</v>
      </c>
      <c r="H5810">
        <v>0.17785995783386499</v>
      </c>
      <c r="I5810">
        <v>0.12893792645527499</v>
      </c>
      <c r="J5810">
        <v>9.0886956080761097E-2</v>
      </c>
      <c r="K5810">
        <v>5.90923469644897E-2</v>
      </c>
      <c r="L5810">
        <v>1593.87891307883</v>
      </c>
      <c r="M5810">
        <v>28.527012435864801</v>
      </c>
      <c r="N5810">
        <v>56.2424531601214</v>
      </c>
      <c r="O5810">
        <v>55.600219290732802</v>
      </c>
      <c r="P5810">
        <v>-0.117299449761017</v>
      </c>
      <c r="Q5810">
        <v>8.5523135452923393E-2</v>
      </c>
      <c r="R5810">
        <v>0.98879635634347895</v>
      </c>
      <c r="S5810" t="s">
        <v>12121</v>
      </c>
      <c r="T5810" t="s">
        <v>12620</v>
      </c>
      <c r="U5810" t="s">
        <v>12620</v>
      </c>
      <c r="V5810" t="s">
        <v>12620</v>
      </c>
      <c r="W5810" t="s">
        <v>18370</v>
      </c>
      <c r="X5810">
        <v>26</v>
      </c>
      <c r="Y5810" t="s">
        <v>24459</v>
      </c>
      <c r="Z5810" t="s">
        <v>30757</v>
      </c>
      <c r="AA5810">
        <v>0.57604272205787699</v>
      </c>
      <c r="AB5810" t="str">
        <f>HYPERLINK("Melting_Curves/meltCurve_Q9UBE0_SAE1.pdf", "Melting_Curves/meltCurve_Q9UBE0_SAE1.pdf")</f>
        <v>Melting_Curves/meltCurve_Q9UBE0_SAE1.pdf</v>
      </c>
    </row>
    <row r="5811" spans="1:28" x14ac:dyDescent="0.25">
      <c r="A5811" t="s">
        <v>5815</v>
      </c>
      <c r="B5811">
        <v>0.99987803227770999</v>
      </c>
      <c r="C5811">
        <v>1.0030820628795301</v>
      </c>
      <c r="D5811">
        <v>0.92194514576147502</v>
      </c>
      <c r="E5811">
        <v>1.29729570511064</v>
      </c>
      <c r="F5811">
        <v>0.69126131653309797</v>
      </c>
      <c r="G5811">
        <v>0.39223306146648301</v>
      </c>
      <c r="H5811">
        <v>0.18555725401758999</v>
      </c>
      <c r="I5811">
        <v>0.131472494037394</v>
      </c>
      <c r="J5811">
        <v>0.104456845543644</v>
      </c>
      <c r="K5811">
        <v>6.55858737818487E-2</v>
      </c>
      <c r="L5811">
        <v>1709.0193979043099</v>
      </c>
      <c r="M5811">
        <v>30.924338842244101</v>
      </c>
      <c r="N5811">
        <v>55.703000727674002</v>
      </c>
      <c r="O5811">
        <v>55.034983541705898</v>
      </c>
      <c r="P5811">
        <v>-0.12530190162607099</v>
      </c>
      <c r="Q5811">
        <v>0.108023190397472</v>
      </c>
      <c r="R5811">
        <v>0.92888816703981703</v>
      </c>
      <c r="S5811" t="s">
        <v>12122</v>
      </c>
      <c r="T5811" t="s">
        <v>12620</v>
      </c>
      <c r="U5811" t="s">
        <v>12620</v>
      </c>
      <c r="V5811" t="s">
        <v>12620</v>
      </c>
      <c r="W5811" t="s">
        <v>18371</v>
      </c>
      <c r="X5811">
        <v>19</v>
      </c>
      <c r="Y5811" t="s">
        <v>24460</v>
      </c>
      <c r="Z5811" t="s">
        <v>30758</v>
      </c>
      <c r="AA5811">
        <v>0.56747574419697788</v>
      </c>
      <c r="AB5811" t="str">
        <f>HYPERLINK("Melting_Curves/meltCurve_Q9UBF2_COPG2.pdf", "Melting_Curves/meltCurve_Q9UBF2_COPG2.pdf")</f>
        <v>Melting_Curves/meltCurve_Q9UBF2_COPG2.pdf</v>
      </c>
    </row>
    <row r="5812" spans="1:28" x14ac:dyDescent="0.25">
      <c r="A5812" t="s">
        <v>5816</v>
      </c>
      <c r="B5812">
        <v>0.99987803227770999</v>
      </c>
      <c r="C5812">
        <v>1.07244077268925</v>
      </c>
      <c r="D5812">
        <v>1.0227582629897001</v>
      </c>
      <c r="E5812">
        <v>1.0886106334368</v>
      </c>
      <c r="F5812">
        <v>0.86519749921659295</v>
      </c>
      <c r="G5812">
        <v>0.63016862957004005</v>
      </c>
      <c r="H5812">
        <v>0.75310080273302804</v>
      </c>
      <c r="I5812">
        <v>0.775294696993583</v>
      </c>
      <c r="J5812">
        <v>0.72202613827520001</v>
      </c>
      <c r="K5812">
        <v>0.63152327441077705</v>
      </c>
      <c r="L5812">
        <v>13259.993576925601</v>
      </c>
      <c r="M5812">
        <v>250</v>
      </c>
      <c r="O5812">
        <v>53.036581301399501</v>
      </c>
      <c r="P5812">
        <v>-0.35067459102902399</v>
      </c>
      <c r="Q5812">
        <v>0.70242270376166105</v>
      </c>
      <c r="R5812">
        <v>0.88766057935942899</v>
      </c>
      <c r="S5812" t="s">
        <v>12123</v>
      </c>
      <c r="T5812" t="s">
        <v>12620</v>
      </c>
      <c r="U5812" t="s">
        <v>12620</v>
      </c>
      <c r="V5812" t="s">
        <v>12620</v>
      </c>
      <c r="W5812" t="s">
        <v>18372</v>
      </c>
      <c r="X5812">
        <v>2</v>
      </c>
      <c r="Y5812" t="s">
        <v>24461</v>
      </c>
      <c r="Z5812" t="s">
        <v>30759</v>
      </c>
      <c r="AA5812">
        <v>0.83179708012818321</v>
      </c>
      <c r="AB5812" t="str">
        <f>HYPERLINK("Melting_Curves/meltCurve_Q9UBF6_RNF7.pdf", "Melting_Curves/meltCurve_Q9UBF6_RNF7.pdf")</f>
        <v>Melting_Curves/meltCurve_Q9UBF6_RNF7.pdf</v>
      </c>
    </row>
    <row r="5813" spans="1:28" x14ac:dyDescent="0.25">
      <c r="A5813" t="s">
        <v>5817</v>
      </c>
      <c r="B5813">
        <v>0.99987803227770999</v>
      </c>
      <c r="C5813">
        <v>1.0366442194068399</v>
      </c>
      <c r="D5813">
        <v>1.0166758852669999</v>
      </c>
      <c r="E5813">
        <v>0.94267057191888304</v>
      </c>
      <c r="F5813">
        <v>0.55734012920057097</v>
      </c>
      <c r="G5813">
        <v>0.248222658477046</v>
      </c>
      <c r="H5813">
        <v>0.15674901946949099</v>
      </c>
      <c r="I5813">
        <v>0.11949549579086401</v>
      </c>
      <c r="J5813">
        <v>8.4554448047000103E-2</v>
      </c>
      <c r="K5813">
        <v>4.2209944432579201E-2</v>
      </c>
      <c r="L5813">
        <v>1558.99351900083</v>
      </c>
      <c r="M5813">
        <v>29.190144237517799</v>
      </c>
      <c r="N5813">
        <v>53.798107123660103</v>
      </c>
      <c r="O5813">
        <v>53.159429470521303</v>
      </c>
      <c r="P5813">
        <v>-0.12418997473966099</v>
      </c>
      <c r="Q5813">
        <v>9.5335602360780897E-2</v>
      </c>
      <c r="R5813">
        <v>0.99297113696379802</v>
      </c>
      <c r="S5813" t="s">
        <v>12124</v>
      </c>
      <c r="T5813" t="s">
        <v>12620</v>
      </c>
      <c r="U5813" t="s">
        <v>12620</v>
      </c>
      <c r="V5813" t="s">
        <v>12620</v>
      </c>
      <c r="W5813" t="s">
        <v>18373</v>
      </c>
      <c r="X5813">
        <v>7</v>
      </c>
      <c r="Y5813" t="s">
        <v>24462</v>
      </c>
      <c r="Z5813" t="s">
        <v>30760</v>
      </c>
      <c r="AA5813">
        <v>0.50588816674432491</v>
      </c>
      <c r="AB5813" t="str">
        <f>HYPERLINK("Melting_Curves/meltCurve_Q9UBF8_2_PI4KB.pdf", "Melting_Curves/meltCurve_Q9UBF8_2_PI4KB.pdf")</f>
        <v>Melting_Curves/meltCurve_Q9UBF8_2_PI4KB.pdf</v>
      </c>
    </row>
    <row r="5814" spans="1:28" x14ac:dyDescent="0.25">
      <c r="A5814" t="s">
        <v>5818</v>
      </c>
      <c r="B5814">
        <v>0.99987803227770999</v>
      </c>
      <c r="C5814">
        <v>0.87677254054357101</v>
      </c>
      <c r="D5814">
        <v>0.87947280496740499</v>
      </c>
      <c r="E5814">
        <v>0.95645262096942296</v>
      </c>
      <c r="F5814">
        <v>0.65297229580514304</v>
      </c>
      <c r="G5814">
        <v>0.54357299577756102</v>
      </c>
      <c r="H5814">
        <v>0.46335581013250898</v>
      </c>
      <c r="I5814">
        <v>0.469178964923885</v>
      </c>
      <c r="J5814">
        <v>0.41434584755778398</v>
      </c>
      <c r="K5814">
        <v>0.31347190827954202</v>
      </c>
      <c r="L5814">
        <v>561.30499509905701</v>
      </c>
      <c r="M5814">
        <v>10.165817070214</v>
      </c>
      <c r="N5814">
        <v>60.026314388772001</v>
      </c>
      <c r="O5814">
        <v>53.206178340064298</v>
      </c>
      <c r="P5814">
        <v>-3.4472161487808399E-2</v>
      </c>
      <c r="Q5814">
        <v>0.27864345760037001</v>
      </c>
      <c r="R5814">
        <v>0.93007832972951798</v>
      </c>
      <c r="S5814" t="s">
        <v>12125</v>
      </c>
      <c r="T5814" t="s">
        <v>12620</v>
      </c>
      <c r="U5814" t="s">
        <v>12620</v>
      </c>
      <c r="V5814" t="s">
        <v>12620</v>
      </c>
      <c r="W5814" t="s">
        <v>18374</v>
      </c>
      <c r="X5814">
        <v>4</v>
      </c>
      <c r="Y5814" t="s">
        <v>24463</v>
      </c>
      <c r="Z5814" t="s">
        <v>30761</v>
      </c>
      <c r="AA5814">
        <v>0.66234410774403685</v>
      </c>
      <c r="AB5814" t="str">
        <f>HYPERLINK("Melting_Curves/meltCurve_Q9UBG0_MRC2.pdf", "Melting_Curves/meltCurve_Q9UBG0_MRC2.pdf")</f>
        <v>Melting_Curves/meltCurve_Q9UBG0_MRC2.pdf</v>
      </c>
    </row>
    <row r="5815" spans="1:28" x14ac:dyDescent="0.25">
      <c r="A5815" t="s">
        <v>5819</v>
      </c>
      <c r="B5815">
        <v>0.99987803227770999</v>
      </c>
      <c r="C5815">
        <v>1.02008047879914</v>
      </c>
      <c r="D5815">
        <v>0.91033011079386705</v>
      </c>
      <c r="E5815">
        <v>1.0084280048349401</v>
      </c>
      <c r="F5815">
        <v>0.72211194454139005</v>
      </c>
      <c r="G5815">
        <v>0.33438445525775301</v>
      </c>
      <c r="H5815">
        <v>0.14599375500263301</v>
      </c>
      <c r="I5815">
        <v>0.16893759236090899</v>
      </c>
      <c r="J5815">
        <v>6.0568761224127798E-2</v>
      </c>
      <c r="K5815">
        <v>3.9978235627229498E-2</v>
      </c>
      <c r="L5815">
        <v>1450.8354411989001</v>
      </c>
      <c r="M5815">
        <v>26.398189334675699</v>
      </c>
      <c r="N5815">
        <v>55.317712441528698</v>
      </c>
      <c r="O5815">
        <v>54.647174405382898</v>
      </c>
      <c r="P5815">
        <v>-0.111283498042983</v>
      </c>
      <c r="Q5815">
        <v>7.8533342660057404E-2</v>
      </c>
      <c r="R5815">
        <v>0.98760482149411299</v>
      </c>
      <c r="S5815" t="s">
        <v>12126</v>
      </c>
      <c r="T5815" t="s">
        <v>12620</v>
      </c>
      <c r="U5815" t="s">
        <v>12620</v>
      </c>
      <c r="V5815" t="s">
        <v>12620</v>
      </c>
      <c r="W5815" t="s">
        <v>18375</v>
      </c>
      <c r="X5815">
        <v>9</v>
      </c>
      <c r="Y5815" t="s">
        <v>24464</v>
      </c>
      <c r="Z5815" t="s">
        <v>30762</v>
      </c>
      <c r="AA5815">
        <v>0.54576742139059109</v>
      </c>
      <c r="AB5815" t="str">
        <f>HYPERLINK("Melting_Curves/meltCurve_Q9UBI1_COMMD3.pdf", "Melting_Curves/meltCurve_Q9UBI1_COMMD3.pdf")</f>
        <v>Melting_Curves/meltCurve_Q9UBI1_COMMD3.pdf</v>
      </c>
    </row>
    <row r="5816" spans="1:28" x14ac:dyDescent="0.25">
      <c r="A5816" t="s">
        <v>5820</v>
      </c>
      <c r="B5816">
        <v>0.99987803227770999</v>
      </c>
      <c r="C5816">
        <v>0.82804596464528601</v>
      </c>
      <c r="D5816">
        <v>0.78259947027050702</v>
      </c>
      <c r="E5816">
        <v>0.65778843579874602</v>
      </c>
      <c r="F5816">
        <v>0.56833069098665701</v>
      </c>
      <c r="G5816">
        <v>0.44543496045651199</v>
      </c>
      <c r="H5816">
        <v>0.378529015426249</v>
      </c>
      <c r="I5816">
        <v>0.36932481327239702</v>
      </c>
      <c r="J5816">
        <v>0.410149982302765</v>
      </c>
      <c r="K5816">
        <v>0.36496877086129897</v>
      </c>
      <c r="L5816">
        <v>519.227383880464</v>
      </c>
      <c r="M5816">
        <v>10.551008216927</v>
      </c>
      <c r="N5816">
        <v>54.9493953449537</v>
      </c>
      <c r="O5816">
        <v>47.542031180795298</v>
      </c>
      <c r="P5816">
        <v>-3.6973408869497702E-2</v>
      </c>
      <c r="Q5816">
        <v>0.333866469030353</v>
      </c>
      <c r="R5816">
        <v>0.97873601698268997</v>
      </c>
      <c r="S5816" t="s">
        <v>12127</v>
      </c>
      <c r="T5816" t="s">
        <v>12620</v>
      </c>
      <c r="U5816" t="s">
        <v>12620</v>
      </c>
      <c r="V5816" t="s">
        <v>12620</v>
      </c>
      <c r="W5816" t="s">
        <v>18376</v>
      </c>
      <c r="X5816">
        <v>4</v>
      </c>
      <c r="Y5816" t="s">
        <v>24465</v>
      </c>
      <c r="Z5816" t="s">
        <v>30763</v>
      </c>
      <c r="AA5816">
        <v>0.56801416693536433</v>
      </c>
      <c r="AB5816" t="str">
        <f>HYPERLINK("Melting_Curves/meltCurve_Q9UBI6_GNG12.pdf", "Melting_Curves/meltCurve_Q9UBI6_GNG12.pdf")</f>
        <v>Melting_Curves/meltCurve_Q9UBI6_GNG12.pdf</v>
      </c>
    </row>
    <row r="5817" spans="1:28" x14ac:dyDescent="0.25">
      <c r="A5817" t="s">
        <v>5821</v>
      </c>
      <c r="B5817">
        <v>0.99987803227770999</v>
      </c>
      <c r="C5817">
        <v>0.99886555115169195</v>
      </c>
      <c r="D5817">
        <v>1.0085511510493601</v>
      </c>
      <c r="E5817">
        <v>0.842008542473065</v>
      </c>
      <c r="F5817">
        <v>0.68274977367947698</v>
      </c>
      <c r="G5817">
        <v>0.31849060746109797</v>
      </c>
      <c r="H5817">
        <v>0.19041426206272499</v>
      </c>
      <c r="I5817">
        <v>0.13291112339918401</v>
      </c>
      <c r="J5817">
        <v>0.117191918719855</v>
      </c>
      <c r="K5817">
        <v>7.7749903878997606E-2</v>
      </c>
      <c r="L5817">
        <v>1119.55613731268</v>
      </c>
      <c r="M5817">
        <v>20.605509033375402</v>
      </c>
      <c r="N5817">
        <v>54.850854952837402</v>
      </c>
      <c r="O5817">
        <v>53.828885638459802</v>
      </c>
      <c r="P5817">
        <v>-8.72406406693398E-2</v>
      </c>
      <c r="Q5817">
        <v>8.8412622289163495E-2</v>
      </c>
      <c r="R5817">
        <v>0.99771400215656902</v>
      </c>
      <c r="S5817" t="s">
        <v>12128</v>
      </c>
      <c r="T5817" t="s">
        <v>12620</v>
      </c>
      <c r="U5817" t="s">
        <v>12620</v>
      </c>
      <c r="V5817" t="s">
        <v>12620</v>
      </c>
      <c r="W5817" t="s">
        <v>18377</v>
      </c>
      <c r="X5817">
        <v>12</v>
      </c>
      <c r="Y5817" t="s">
        <v>24466</v>
      </c>
      <c r="Z5817" t="s">
        <v>30764</v>
      </c>
      <c r="AA5817">
        <v>0.53568197497524217</v>
      </c>
      <c r="AB5817" t="str">
        <f>HYPERLINK("Melting_Curves/meltCurve_Q9UBK8_2_MTRR.pdf", "Melting_Curves/meltCurve_Q9UBK8_2_MTRR.pdf")</f>
        <v>Melting_Curves/meltCurve_Q9UBK8_2_MTRR.pdf</v>
      </c>
    </row>
    <row r="5818" spans="1:28" x14ac:dyDescent="0.25">
      <c r="A5818" t="s">
        <v>5822</v>
      </c>
      <c r="B5818">
        <v>0.99987803227770999</v>
      </c>
      <c r="C5818">
        <v>1.02655327980065</v>
      </c>
      <c r="D5818">
        <v>0.90342004502372797</v>
      </c>
      <c r="E5818">
        <v>1.3276029471038899</v>
      </c>
      <c r="F5818">
        <v>1.00253363904929</v>
      </c>
      <c r="G5818">
        <v>0.45623428167464603</v>
      </c>
      <c r="H5818">
        <v>0.16100358012114999</v>
      </c>
      <c r="I5818">
        <v>0.111494505533001</v>
      </c>
      <c r="J5818">
        <v>8.9177664853235999E-2</v>
      </c>
      <c r="K5818">
        <v>5.7019813672188897E-2</v>
      </c>
      <c r="L5818">
        <v>3309.6298709584999</v>
      </c>
      <c r="M5818">
        <v>58.464616718074701</v>
      </c>
      <c r="N5818">
        <v>56.826721060661498</v>
      </c>
      <c r="O5818">
        <v>56.542992276744897</v>
      </c>
      <c r="P5818">
        <v>-0.23257023340868199</v>
      </c>
      <c r="Q5818">
        <v>0.10029610345088</v>
      </c>
      <c r="R5818">
        <v>0.94258820137675003</v>
      </c>
      <c r="S5818" t="s">
        <v>12129</v>
      </c>
      <c r="T5818" t="s">
        <v>12620</v>
      </c>
      <c r="U5818" t="s">
        <v>12620</v>
      </c>
      <c r="V5818" t="s">
        <v>12620</v>
      </c>
      <c r="W5818" t="s">
        <v>18378</v>
      </c>
      <c r="X5818">
        <v>3</v>
      </c>
      <c r="Y5818" t="s">
        <v>24467</v>
      </c>
      <c r="Z5818" t="s">
        <v>30765</v>
      </c>
      <c r="AA5818">
        <v>0.60004548546075376</v>
      </c>
      <c r="AB5818" t="str">
        <f>HYPERLINK("Melting_Curves/meltCurve_Q9UBK9_UXT.pdf", "Melting_Curves/meltCurve_Q9UBK9_UXT.pdf")</f>
        <v>Melting_Curves/meltCurve_Q9UBK9_UXT.pdf</v>
      </c>
    </row>
    <row r="5819" spans="1:28" x14ac:dyDescent="0.25">
      <c r="A5819" t="s">
        <v>5823</v>
      </c>
      <c r="B5819">
        <v>0.99987803227770999</v>
      </c>
      <c r="C5819">
        <v>1.10415732515126</v>
      </c>
      <c r="D5819">
        <v>0.92430257484550404</v>
      </c>
      <c r="E5819">
        <v>0.90046063809314802</v>
      </c>
      <c r="F5819">
        <v>0.41739249413717699</v>
      </c>
      <c r="G5819">
        <v>0.25586054224594401</v>
      </c>
      <c r="H5819">
        <v>0.14514191972454399</v>
      </c>
      <c r="I5819">
        <v>0.118477921670057</v>
      </c>
      <c r="J5819">
        <v>9.98376975156538E-2</v>
      </c>
      <c r="K5819">
        <v>8.0088154107126594E-2</v>
      </c>
      <c r="L5819">
        <v>1862.8640103423099</v>
      </c>
      <c r="M5819">
        <v>35.631516168271403</v>
      </c>
      <c r="N5819">
        <v>52.707327588936501</v>
      </c>
      <c r="O5819">
        <v>52.117476325412802</v>
      </c>
      <c r="P5819">
        <v>-0.149536452331898</v>
      </c>
      <c r="Q5819">
        <v>0.12510706913845099</v>
      </c>
      <c r="R5819">
        <v>0.98161942925876</v>
      </c>
      <c r="S5819" t="s">
        <v>12130</v>
      </c>
      <c r="T5819" t="s">
        <v>12620</v>
      </c>
      <c r="U5819" t="s">
        <v>12620</v>
      </c>
      <c r="V5819" t="s">
        <v>12620</v>
      </c>
      <c r="W5819" t="s">
        <v>18379</v>
      </c>
      <c r="X5819">
        <v>11</v>
      </c>
      <c r="Y5819" t="s">
        <v>24468</v>
      </c>
      <c r="Z5819" t="s">
        <v>30766</v>
      </c>
      <c r="AA5819">
        <v>0.48725478103621478</v>
      </c>
      <c r="AB5819" t="str">
        <f>HYPERLINK("Melting_Curves/meltCurve_Q9UBL3_3_ASH2L.pdf", "Melting_Curves/meltCurve_Q9UBL3_3_ASH2L.pdf")</f>
        <v>Melting_Curves/meltCurve_Q9UBL3_3_ASH2L.pdf</v>
      </c>
    </row>
    <row r="5820" spans="1:28" x14ac:dyDescent="0.25">
      <c r="A5820" t="s">
        <v>5824</v>
      </c>
      <c r="B5820">
        <v>0.99987803227770999</v>
      </c>
      <c r="C5820">
        <v>0.93893948382984704</v>
      </c>
      <c r="D5820">
        <v>0.92416989348387202</v>
      </c>
      <c r="E5820">
        <v>0.91068456402739895</v>
      </c>
      <c r="F5820">
        <v>1.12271051432274</v>
      </c>
      <c r="G5820">
        <v>0.84556427830576297</v>
      </c>
      <c r="H5820">
        <v>0.97039802301626299</v>
      </c>
      <c r="I5820">
        <v>1.0880491753485499</v>
      </c>
      <c r="J5820">
        <v>0.81950828576256096</v>
      </c>
      <c r="K5820">
        <v>0.64352109454533302</v>
      </c>
      <c r="L5820">
        <v>15000</v>
      </c>
      <c r="M5820">
        <v>223.90560938233699</v>
      </c>
      <c r="O5820">
        <v>66.987172748589998</v>
      </c>
      <c r="P5820">
        <v>-0.297905923167818</v>
      </c>
      <c r="Q5820">
        <v>0.64349486282620405</v>
      </c>
      <c r="R5820">
        <v>0.618559259385562</v>
      </c>
      <c r="S5820" t="s">
        <v>12131</v>
      </c>
      <c r="T5820" t="s">
        <v>12620</v>
      </c>
      <c r="U5820" t="s">
        <v>12620</v>
      </c>
      <c r="V5820" t="s">
        <v>12620</v>
      </c>
      <c r="W5820" t="s">
        <v>18380</v>
      </c>
      <c r="X5820">
        <v>2</v>
      </c>
      <c r="Y5820" t="s">
        <v>24469</v>
      </c>
      <c r="Z5820" t="s">
        <v>30767</v>
      </c>
      <c r="AA5820">
        <v>0.96431254000117561</v>
      </c>
      <c r="AB5820" t="str">
        <f>HYPERLINK("Melting_Curves/meltCurve_Q9UBN6_TNFRSF10D.pdf", "Melting_Curves/meltCurve_Q9UBN6_TNFRSF10D.pdf")</f>
        <v>Melting_Curves/meltCurve_Q9UBN6_TNFRSF10D.pdf</v>
      </c>
    </row>
    <row r="5821" spans="1:28" x14ac:dyDescent="0.25">
      <c r="A5821" t="s">
        <v>5825</v>
      </c>
      <c r="B5821">
        <v>0.99987803227770999</v>
      </c>
      <c r="C5821">
        <v>0.89810533904321299</v>
      </c>
      <c r="D5821">
        <v>0.87142658125447103</v>
      </c>
      <c r="E5821">
        <v>0.428905745714454</v>
      </c>
      <c r="F5821">
        <v>0.31538079914697598</v>
      </c>
      <c r="G5821">
        <v>0.185644092984148</v>
      </c>
      <c r="H5821">
        <v>0.135495404251846</v>
      </c>
      <c r="I5821">
        <v>0.109911243910345</v>
      </c>
      <c r="J5821">
        <v>7.9968590910912393E-2</v>
      </c>
      <c r="K5821">
        <v>5.7004023648240802E-2</v>
      </c>
      <c r="L5821">
        <v>894.69935231761201</v>
      </c>
      <c r="M5821">
        <v>18.1319082079286</v>
      </c>
      <c r="N5821">
        <v>49.869558002043597</v>
      </c>
      <c r="O5821">
        <v>48.755459386333001</v>
      </c>
      <c r="P5821">
        <v>-8.4890787413005903E-2</v>
      </c>
      <c r="Q5821">
        <v>8.6981716989580293E-2</v>
      </c>
      <c r="R5821">
        <v>0.98950056888382998</v>
      </c>
      <c r="S5821" t="s">
        <v>12132</v>
      </c>
      <c r="T5821" t="s">
        <v>12620</v>
      </c>
      <c r="U5821" t="s">
        <v>12620</v>
      </c>
      <c r="V5821" t="s">
        <v>12620</v>
      </c>
      <c r="W5821" t="s">
        <v>18381</v>
      </c>
      <c r="X5821">
        <v>17</v>
      </c>
      <c r="Y5821" t="s">
        <v>24470</v>
      </c>
      <c r="Z5821" t="s">
        <v>30768</v>
      </c>
      <c r="AA5821">
        <v>0.386849415783381</v>
      </c>
      <c r="AB5821" t="str">
        <f>HYPERLINK("Melting_Curves/meltCurve_Q9UBP0_3_SPAST.pdf", "Melting_Curves/meltCurve_Q9UBP0_3_SPAST.pdf")</f>
        <v>Melting_Curves/meltCurve_Q9UBP0_3_SPAST.pdf</v>
      </c>
    </row>
    <row r="5822" spans="1:28" x14ac:dyDescent="0.25">
      <c r="A5822" t="s">
        <v>5826</v>
      </c>
      <c r="B5822">
        <v>0.99987803227770999</v>
      </c>
      <c r="C5822">
        <v>1.16389859597544</v>
      </c>
      <c r="D5822">
        <v>1.0283286874728901</v>
      </c>
      <c r="E5822">
        <v>0.95780814351360499</v>
      </c>
      <c r="F5822">
        <v>0.52659179380353205</v>
      </c>
      <c r="G5822">
        <v>0.146434976138863</v>
      </c>
      <c r="H5822">
        <v>0.10480164421032501</v>
      </c>
      <c r="I5822">
        <v>8.7331022782767997E-2</v>
      </c>
      <c r="J5822">
        <v>7.82245898012255E-2</v>
      </c>
      <c r="K5822">
        <v>5.6289320830848102E-2</v>
      </c>
      <c r="L5822">
        <v>2381.42086365152</v>
      </c>
      <c r="M5822">
        <v>44.967955286756897</v>
      </c>
      <c r="N5822">
        <v>53.181353181515597</v>
      </c>
      <c r="O5822">
        <v>52.853761817823703</v>
      </c>
      <c r="P5822">
        <v>-0.19441041680334201</v>
      </c>
      <c r="Q5822">
        <v>8.5988374163582099E-2</v>
      </c>
      <c r="R5822">
        <v>0.98507540984876996</v>
      </c>
      <c r="S5822" t="s">
        <v>12133</v>
      </c>
      <c r="T5822" t="s">
        <v>12620</v>
      </c>
      <c r="U5822" t="s">
        <v>12620</v>
      </c>
      <c r="V5822" t="s">
        <v>12620</v>
      </c>
      <c r="W5822" t="s">
        <v>18382</v>
      </c>
      <c r="X5822">
        <v>9</v>
      </c>
      <c r="Y5822" t="s">
        <v>24471</v>
      </c>
      <c r="Z5822" t="s">
        <v>30769</v>
      </c>
      <c r="AA5822">
        <v>0.48342790211147452</v>
      </c>
      <c r="AB5822" t="str">
        <f>HYPERLINK("Melting_Curves/meltCurve_Q9UBP6_METTL1.pdf", "Melting_Curves/meltCurve_Q9UBP6_METTL1.pdf")</f>
        <v>Melting_Curves/meltCurve_Q9UBP6_METTL1.pdf</v>
      </c>
    </row>
    <row r="5823" spans="1:28" x14ac:dyDescent="0.25">
      <c r="A5823" t="s">
        <v>5827</v>
      </c>
      <c r="B5823">
        <v>0.99987803227770999</v>
      </c>
      <c r="C5823">
        <v>0.87100342677530695</v>
      </c>
      <c r="D5823">
        <v>0.87171373800555296</v>
      </c>
      <c r="E5823">
        <v>0.39677583333504601</v>
      </c>
      <c r="F5823">
        <v>0.25096215466997301</v>
      </c>
      <c r="G5823">
        <v>0.15159264298944899</v>
      </c>
      <c r="H5823">
        <v>0.11935410654534</v>
      </c>
      <c r="I5823">
        <v>9.1087796737072305E-2</v>
      </c>
      <c r="J5823">
        <v>9.6769953084064803E-2</v>
      </c>
      <c r="K5823">
        <v>5.5774394245709201E-2</v>
      </c>
      <c r="L5823">
        <v>1040.73282947298</v>
      </c>
      <c r="M5823">
        <v>21.293528249771001</v>
      </c>
      <c r="N5823">
        <v>49.330261624871397</v>
      </c>
      <c r="O5823">
        <v>48.450611578419498</v>
      </c>
      <c r="P5823">
        <v>-0.100084354282552</v>
      </c>
      <c r="Q5823">
        <v>8.9108377006578504E-2</v>
      </c>
      <c r="R5823">
        <v>0.98826475828608396</v>
      </c>
      <c r="S5823" t="s">
        <v>12134</v>
      </c>
      <c r="T5823" t="s">
        <v>12620</v>
      </c>
      <c r="U5823" t="s">
        <v>12620</v>
      </c>
      <c r="V5823" t="s">
        <v>12620</v>
      </c>
      <c r="W5823" t="s">
        <v>18383</v>
      </c>
      <c r="X5823">
        <v>2</v>
      </c>
      <c r="Y5823" t="s">
        <v>24472</v>
      </c>
      <c r="Z5823" t="s">
        <v>30770</v>
      </c>
      <c r="AA5823">
        <v>0.36983145538173401</v>
      </c>
      <c r="AB5823" t="str">
        <f>HYPERLINK("Melting_Curves/meltCurve_Q9UBP9_4_GULP1.pdf", "Melting_Curves/meltCurve_Q9UBP9_4_GULP1.pdf")</f>
        <v>Melting_Curves/meltCurve_Q9UBP9_4_GULP1.pdf</v>
      </c>
    </row>
    <row r="5824" spans="1:28" x14ac:dyDescent="0.25">
      <c r="A5824" t="s">
        <v>5828</v>
      </c>
      <c r="B5824">
        <v>0.99987803227770999</v>
      </c>
      <c r="C5824">
        <v>0.99077355098044095</v>
      </c>
      <c r="D5824">
        <v>1.0082115357282799</v>
      </c>
      <c r="E5824">
        <v>0.80314812265761204</v>
      </c>
      <c r="F5824">
        <v>1.27114845041572</v>
      </c>
      <c r="G5824">
        <v>1.0118368976004699</v>
      </c>
      <c r="H5824">
        <v>0.40545113572866298</v>
      </c>
      <c r="I5824">
        <v>0.14312100794392499</v>
      </c>
      <c r="J5824">
        <v>5.5887891772543101E-2</v>
      </c>
      <c r="K5824">
        <v>4.4642964412050602E-2</v>
      </c>
      <c r="L5824">
        <v>3677.4412177526601</v>
      </c>
      <c r="M5824">
        <v>60.806638754395003</v>
      </c>
      <c r="N5824">
        <v>60.622291307649</v>
      </c>
      <c r="O5824">
        <v>60.4123168336451</v>
      </c>
      <c r="P5824">
        <v>-0.234638200897958</v>
      </c>
      <c r="Q5824">
        <v>6.7533909570452993E-2</v>
      </c>
      <c r="R5824">
        <v>0.93991181372587496</v>
      </c>
      <c r="S5824" t="s">
        <v>12135</v>
      </c>
      <c r="T5824" t="s">
        <v>12620</v>
      </c>
      <c r="U5824" t="s">
        <v>12620</v>
      </c>
      <c r="V5824" t="s">
        <v>12620</v>
      </c>
      <c r="W5824" t="s">
        <v>18384</v>
      </c>
      <c r="X5824">
        <v>10</v>
      </c>
      <c r="Y5824" t="s">
        <v>24473</v>
      </c>
      <c r="Z5824" t="s">
        <v>30771</v>
      </c>
      <c r="AA5824">
        <v>0.7056915245592239</v>
      </c>
      <c r="AB5824" t="str">
        <f>HYPERLINK("Melting_Curves/meltCurve_Q9UBQ0_VPS29.pdf", "Melting_Curves/meltCurve_Q9UBQ0_VPS29.pdf")</f>
        <v>Melting_Curves/meltCurve_Q9UBQ0_VPS29.pdf</v>
      </c>
    </row>
    <row r="5825" spans="1:28" x14ac:dyDescent="0.25">
      <c r="A5825" t="s">
        <v>5829</v>
      </c>
      <c r="B5825">
        <v>0.99987803227770999</v>
      </c>
      <c r="C5825">
        <v>0.84983824678527997</v>
      </c>
      <c r="D5825">
        <v>0.94851786799592397</v>
      </c>
      <c r="E5825">
        <v>0.75831741212206305</v>
      </c>
      <c r="F5825">
        <v>0.24718365864608499</v>
      </c>
      <c r="G5825">
        <v>0.12013108004926699</v>
      </c>
      <c r="H5825">
        <v>7.4281089511404094E-2</v>
      </c>
      <c r="I5825">
        <v>6.8791913621822395E-2</v>
      </c>
      <c r="J5825">
        <v>5.03702501791225E-2</v>
      </c>
      <c r="K5825">
        <v>3.54167958843511E-2</v>
      </c>
      <c r="L5825">
        <v>2045.12104955929</v>
      </c>
      <c r="M5825">
        <v>39.907872929733301</v>
      </c>
      <c r="N5825">
        <v>51.423225067096503</v>
      </c>
      <c r="O5825">
        <v>51.117883703857302</v>
      </c>
      <c r="P5825">
        <v>-0.18263972304999801</v>
      </c>
      <c r="Q5825">
        <v>6.4231095895149595E-2</v>
      </c>
      <c r="R5825">
        <v>0.98260283779819702</v>
      </c>
      <c r="S5825" t="s">
        <v>12136</v>
      </c>
      <c r="T5825" t="s">
        <v>12620</v>
      </c>
      <c r="U5825" t="s">
        <v>12620</v>
      </c>
      <c r="V5825" t="s">
        <v>12620</v>
      </c>
      <c r="W5825" t="s">
        <v>18385</v>
      </c>
      <c r="X5825">
        <v>13</v>
      </c>
      <c r="Y5825" t="s">
        <v>24474</v>
      </c>
      <c r="Z5825" t="s">
        <v>30772</v>
      </c>
      <c r="AA5825">
        <v>0.41835103557625802</v>
      </c>
      <c r="AB5825" t="str">
        <f>HYPERLINK("Melting_Curves/meltCurve_Q9UBQ7_GRHPR.pdf", "Melting_Curves/meltCurve_Q9UBQ7_GRHPR.pdf")</f>
        <v>Melting_Curves/meltCurve_Q9UBQ7_GRHPR.pdf</v>
      </c>
    </row>
    <row r="5826" spans="1:28" x14ac:dyDescent="0.25">
      <c r="A5826" t="s">
        <v>5830</v>
      </c>
      <c r="B5826">
        <v>0.99987803227770999</v>
      </c>
      <c r="C5826">
        <v>1.0128995327955099</v>
      </c>
      <c r="D5826">
        <v>1.0496306280349801</v>
      </c>
      <c r="E5826">
        <v>1.03828733029023</v>
      </c>
      <c r="F5826">
        <v>1.09218515976432</v>
      </c>
      <c r="G5826">
        <v>1.0806765341601301</v>
      </c>
      <c r="H5826">
        <v>1.0976568251376899</v>
      </c>
      <c r="I5826">
        <v>1.0961596480012199</v>
      </c>
      <c r="J5826">
        <v>0.807399159212696</v>
      </c>
      <c r="K5826">
        <v>0.51405820973528404</v>
      </c>
      <c r="L5826">
        <v>15000</v>
      </c>
      <c r="M5826">
        <v>223.45964275558299</v>
      </c>
      <c r="O5826">
        <v>67.1208373031223</v>
      </c>
      <c r="P5826">
        <v>-0.40449396796002002</v>
      </c>
      <c r="Q5826">
        <v>0.51400666570660403</v>
      </c>
      <c r="R5826">
        <v>0.87645134914287304</v>
      </c>
      <c r="S5826" t="s">
        <v>12137</v>
      </c>
      <c r="T5826" t="s">
        <v>12620</v>
      </c>
      <c r="U5826" t="s">
        <v>12620</v>
      </c>
      <c r="V5826" t="s">
        <v>12620</v>
      </c>
      <c r="W5826" t="s">
        <v>18386</v>
      </c>
      <c r="X5826">
        <v>7</v>
      </c>
      <c r="Y5826" t="s">
        <v>24475</v>
      </c>
      <c r="Z5826" t="s">
        <v>30773</v>
      </c>
      <c r="AA5826">
        <v>0.95351642995929142</v>
      </c>
      <c r="AB5826" t="str">
        <f>HYPERLINK("Melting_Curves/meltCurve_Q9UBR2_CTSZ.pdf", "Melting_Curves/meltCurve_Q9UBR2_CTSZ.pdf")</f>
        <v>Melting_Curves/meltCurve_Q9UBR2_CTSZ.pdf</v>
      </c>
    </row>
    <row r="5827" spans="1:28" x14ac:dyDescent="0.25">
      <c r="A5827" t="s">
        <v>5831</v>
      </c>
      <c r="B5827">
        <v>0.99987803227770999</v>
      </c>
      <c r="C5827">
        <v>0.74931497594724605</v>
      </c>
      <c r="D5827">
        <v>0.5537438179891</v>
      </c>
      <c r="E5827">
        <v>0.280339102478674</v>
      </c>
      <c r="F5827">
        <v>0.190536235216374</v>
      </c>
      <c r="G5827">
        <v>0.122965352988553</v>
      </c>
      <c r="H5827">
        <v>0.14920011394561</v>
      </c>
      <c r="I5827">
        <v>0.12154478032616001</v>
      </c>
      <c r="J5827">
        <v>0.10433554526837099</v>
      </c>
      <c r="K5827">
        <v>7.1380709989383201E-2</v>
      </c>
      <c r="L5827">
        <v>790.91860048867397</v>
      </c>
      <c r="M5827">
        <v>17.2331281404735</v>
      </c>
      <c r="N5827">
        <v>46.5246808140949</v>
      </c>
      <c r="O5827">
        <v>45.290612242497502</v>
      </c>
      <c r="P5827">
        <v>-8.5238906393776001E-2</v>
      </c>
      <c r="Q5827">
        <v>0.103982489540432</v>
      </c>
      <c r="R5827">
        <v>0.99047150332151601</v>
      </c>
      <c r="S5827" t="s">
        <v>12138</v>
      </c>
      <c r="T5827" t="s">
        <v>12620</v>
      </c>
      <c r="U5827" t="s">
        <v>12620</v>
      </c>
      <c r="V5827" t="s">
        <v>12620</v>
      </c>
      <c r="W5827" t="s">
        <v>18387</v>
      </c>
      <c r="X5827">
        <v>3</v>
      </c>
      <c r="Y5827" t="s">
        <v>24476</v>
      </c>
      <c r="Z5827" t="s">
        <v>30774</v>
      </c>
      <c r="AA5827">
        <v>0.29960435814709119</v>
      </c>
      <c r="AB5827" t="str">
        <f>HYPERLINK("Melting_Curves/meltCurve_Q9UBS0_RPS6KB2.pdf", "Melting_Curves/meltCurve_Q9UBS0_RPS6KB2.pdf")</f>
        <v>Melting_Curves/meltCurve_Q9UBS0_RPS6KB2.pdf</v>
      </c>
    </row>
    <row r="5828" spans="1:28" x14ac:dyDescent="0.25">
      <c r="A5828" t="s">
        <v>5832</v>
      </c>
      <c r="B5828">
        <v>0.99987803227770999</v>
      </c>
      <c r="C5828">
        <v>0.98373320651241702</v>
      </c>
      <c r="D5828">
        <v>0.93339409478754898</v>
      </c>
      <c r="E5828">
        <v>1.14247167612059</v>
      </c>
      <c r="F5828">
        <v>0.94337598721284399</v>
      </c>
      <c r="G5828">
        <v>0.78796867952182303</v>
      </c>
      <c r="H5828">
        <v>0.37269036908175901</v>
      </c>
      <c r="I5828">
        <v>0.148962143545741</v>
      </c>
      <c r="J5828">
        <v>0.111680242225815</v>
      </c>
      <c r="K5828">
        <v>8.1409981896326603E-2</v>
      </c>
      <c r="L5828">
        <v>1763.60172158199</v>
      </c>
      <c r="M5828">
        <v>29.698120065470999</v>
      </c>
      <c r="N5828">
        <v>59.690152131487203</v>
      </c>
      <c r="O5828">
        <v>59.116985066593301</v>
      </c>
      <c r="P5828">
        <v>-0.11672675916226199</v>
      </c>
      <c r="Q5828">
        <v>7.0582642319029498E-2</v>
      </c>
      <c r="R5828">
        <v>0.982782025497556</v>
      </c>
      <c r="S5828" t="s">
        <v>12139</v>
      </c>
      <c r="T5828" t="s">
        <v>12620</v>
      </c>
      <c r="U5828" t="s">
        <v>12620</v>
      </c>
      <c r="V5828" t="s">
        <v>12620</v>
      </c>
      <c r="W5828" t="s">
        <v>18388</v>
      </c>
      <c r="X5828">
        <v>2</v>
      </c>
      <c r="Y5828" t="s">
        <v>24477</v>
      </c>
      <c r="Z5828" t="s">
        <v>30775</v>
      </c>
      <c r="AA5828">
        <v>0.67705963393123336</v>
      </c>
      <c r="AB5828" t="str">
        <f>HYPERLINK("Melting_Curves/meltCurve_Q9UBS4_DNAJB11.pdf", "Melting_Curves/meltCurve_Q9UBS4_DNAJB11.pdf")</f>
        <v>Melting_Curves/meltCurve_Q9UBS4_DNAJB11.pdf</v>
      </c>
    </row>
    <row r="5829" spans="1:28" x14ac:dyDescent="0.25">
      <c r="A5829" t="s">
        <v>5833</v>
      </c>
      <c r="B5829">
        <v>0.99987803227770999</v>
      </c>
      <c r="C5829">
        <v>0.89333974422604101</v>
      </c>
      <c r="D5829">
        <v>1.00548714196061</v>
      </c>
      <c r="E5829">
        <v>0.80467821530990802</v>
      </c>
      <c r="F5829">
        <v>0.56115333510658605</v>
      </c>
      <c r="G5829">
        <v>0.259097588017631</v>
      </c>
      <c r="H5829">
        <v>0.126260923077395</v>
      </c>
      <c r="I5829">
        <v>9.2858253972438007E-2</v>
      </c>
      <c r="J5829">
        <v>7.0437115447543205E-2</v>
      </c>
      <c r="K5829">
        <v>4.4818046687173499E-2</v>
      </c>
      <c r="L5829">
        <v>1065.8852978827199</v>
      </c>
      <c r="M5829">
        <v>19.949785189297799</v>
      </c>
      <c r="N5829">
        <v>53.7107853444056</v>
      </c>
      <c r="O5829">
        <v>52.900268859169302</v>
      </c>
      <c r="P5829">
        <v>-8.9589402681026095E-2</v>
      </c>
      <c r="Q5829">
        <v>4.9784926789338303E-2</v>
      </c>
      <c r="R5829">
        <v>0.99206291122270895</v>
      </c>
      <c r="S5829" t="s">
        <v>12140</v>
      </c>
      <c r="T5829" t="s">
        <v>12620</v>
      </c>
      <c r="U5829" t="s">
        <v>12620</v>
      </c>
      <c r="V5829" t="s">
        <v>12620</v>
      </c>
      <c r="W5829" t="s">
        <v>18389</v>
      </c>
      <c r="X5829">
        <v>11</v>
      </c>
      <c r="Y5829" t="s">
        <v>24478</v>
      </c>
      <c r="Z5829" t="s">
        <v>30776</v>
      </c>
      <c r="AA5829">
        <v>0.4881827334596141</v>
      </c>
      <c r="AB5829" t="str">
        <f>HYPERLINK("Melting_Curves/meltCurve_Q9UBS8_RNF14.pdf", "Melting_Curves/meltCurve_Q9UBS8_RNF14.pdf")</f>
        <v>Melting_Curves/meltCurve_Q9UBS8_RNF14.pdf</v>
      </c>
    </row>
    <row r="5830" spans="1:28" x14ac:dyDescent="0.25">
      <c r="A5830" t="s">
        <v>5834</v>
      </c>
      <c r="B5830">
        <v>0.99987803227770999</v>
      </c>
      <c r="C5830">
        <v>1.10560908177127</v>
      </c>
      <c r="D5830">
        <v>0.95290293746555099</v>
      </c>
      <c r="E5830">
        <v>1.0924173583444901</v>
      </c>
      <c r="F5830">
        <v>0.74545466631809298</v>
      </c>
      <c r="G5830">
        <v>0.43054652048723802</v>
      </c>
      <c r="H5830">
        <v>0.194822880270038</v>
      </c>
      <c r="I5830">
        <v>0.151731599525363</v>
      </c>
      <c r="J5830">
        <v>0.119135667509101</v>
      </c>
      <c r="K5830">
        <v>7.8499768307872406E-2</v>
      </c>
      <c r="L5830">
        <v>1453.6756524556199</v>
      </c>
      <c r="M5830">
        <v>26.1282408754461</v>
      </c>
      <c r="N5830">
        <v>56.142833368053701</v>
      </c>
      <c r="O5830">
        <v>55.313332781175397</v>
      </c>
      <c r="P5830">
        <v>-0.10569041706811701</v>
      </c>
      <c r="Q5830">
        <v>0.10502586663310599</v>
      </c>
      <c r="R5830">
        <v>0.97798825667405398</v>
      </c>
      <c r="S5830" t="s">
        <v>12141</v>
      </c>
      <c r="T5830" t="s">
        <v>12620</v>
      </c>
      <c r="U5830" t="s">
        <v>12620</v>
      </c>
      <c r="V5830" t="s">
        <v>12620</v>
      </c>
      <c r="W5830" t="s">
        <v>18390</v>
      </c>
      <c r="X5830">
        <v>36</v>
      </c>
      <c r="Y5830" t="s">
        <v>24479</v>
      </c>
      <c r="Z5830" t="s">
        <v>30777</v>
      </c>
      <c r="AA5830">
        <v>0.57913688800722085</v>
      </c>
      <c r="AB5830" t="str">
        <f>HYPERLINK("Melting_Curves/meltCurve_Q9UBT2_UBA2.pdf", "Melting_Curves/meltCurve_Q9UBT2_UBA2.pdf")</f>
        <v>Melting_Curves/meltCurve_Q9UBT2_UBA2.pdf</v>
      </c>
    </row>
    <row r="5831" spans="1:28" x14ac:dyDescent="0.25">
      <c r="A5831" t="s">
        <v>5835</v>
      </c>
      <c r="B5831">
        <v>0.99987803227770999</v>
      </c>
      <c r="C5831">
        <v>0.79947948247376599</v>
      </c>
      <c r="D5831">
        <v>0.74882354241722904</v>
      </c>
      <c r="E5831">
        <v>0.33664936271977802</v>
      </c>
      <c r="F5831">
        <v>0.22903545013783999</v>
      </c>
      <c r="G5831">
        <v>0.17554135711501001</v>
      </c>
      <c r="H5831">
        <v>0.130774335609427</v>
      </c>
      <c r="I5831">
        <v>9.30366221998013E-2</v>
      </c>
      <c r="J5831">
        <v>9.2980831669482594E-2</v>
      </c>
      <c r="K5831">
        <v>7.1975902750012505E-2</v>
      </c>
      <c r="L5831">
        <v>787.48275325908696</v>
      </c>
      <c r="M5831">
        <v>16.501470348476001</v>
      </c>
      <c r="N5831">
        <v>48.280351545775297</v>
      </c>
      <c r="O5831">
        <v>47.037643833576801</v>
      </c>
      <c r="P5831">
        <v>-8.0090321179708296E-2</v>
      </c>
      <c r="Q5831">
        <v>8.6869666849773097E-2</v>
      </c>
      <c r="R5831">
        <v>0.98563226239734902</v>
      </c>
      <c r="S5831" t="s">
        <v>12142</v>
      </c>
      <c r="T5831" t="s">
        <v>12620</v>
      </c>
      <c r="U5831" t="s">
        <v>12620</v>
      </c>
      <c r="V5831" t="s">
        <v>12620</v>
      </c>
      <c r="W5831" t="s">
        <v>18391</v>
      </c>
      <c r="X5831">
        <v>2</v>
      </c>
      <c r="Y5831" t="s">
        <v>24480</v>
      </c>
      <c r="Z5831" t="s">
        <v>30778</v>
      </c>
      <c r="AA5831">
        <v>0.34151946762517449</v>
      </c>
      <c r="AB5831" t="str">
        <f>HYPERLINK("Melting_Curves/meltCurve_Q9UBT7_2_CTNNAL1.pdf", "Melting_Curves/meltCurve_Q9UBT7_2_CTNNAL1.pdf")</f>
        <v>Melting_Curves/meltCurve_Q9UBT7_2_CTNNAL1.pdf</v>
      </c>
    </row>
    <row r="5832" spans="1:28" x14ac:dyDescent="0.25">
      <c r="A5832" t="s">
        <v>5836</v>
      </c>
      <c r="B5832">
        <v>0.99987803227770999</v>
      </c>
      <c r="C5832">
        <v>0.98604328313026701</v>
      </c>
      <c r="D5832">
        <v>0.75059800932170195</v>
      </c>
      <c r="E5832">
        <v>0.49110042662116299</v>
      </c>
      <c r="F5832">
        <v>0.38603893267440897</v>
      </c>
      <c r="G5832">
        <v>0.26951090613837703</v>
      </c>
      <c r="H5832">
        <v>0.121291926513445</v>
      </c>
      <c r="I5832">
        <v>0.115094474974491</v>
      </c>
      <c r="J5832">
        <v>6.3380893299577301E-2</v>
      </c>
      <c r="K5832">
        <v>3.9374729939106401E-2</v>
      </c>
      <c r="L5832">
        <v>648.82338413450896</v>
      </c>
      <c r="M5832">
        <v>12.8819980662874</v>
      </c>
      <c r="N5832">
        <v>50.692219359550002</v>
      </c>
      <c r="O5832">
        <v>49.199265812534399</v>
      </c>
      <c r="P5832">
        <v>-6.2871160897883305E-2</v>
      </c>
      <c r="Q5832">
        <v>3.96994345657984E-2</v>
      </c>
      <c r="R5832">
        <v>0.98778900189848695</v>
      </c>
      <c r="S5832" t="s">
        <v>12143</v>
      </c>
      <c r="T5832" t="s">
        <v>12620</v>
      </c>
      <c r="U5832" t="s">
        <v>12620</v>
      </c>
      <c r="V5832" t="s">
        <v>12620</v>
      </c>
      <c r="W5832" t="s">
        <v>18392</v>
      </c>
      <c r="X5832">
        <v>6</v>
      </c>
      <c r="Y5832" t="s">
        <v>24481</v>
      </c>
      <c r="Z5832" t="s">
        <v>30779</v>
      </c>
      <c r="AA5832">
        <v>0.40067746789235448</v>
      </c>
      <c r="AB5832" t="str">
        <f>HYPERLINK("Melting_Curves/meltCurve_Q9UBU9_NXF1.pdf", "Melting_Curves/meltCurve_Q9UBU9_NXF1.pdf")</f>
        <v>Melting_Curves/meltCurve_Q9UBU9_NXF1.pdf</v>
      </c>
    </row>
    <row r="5833" spans="1:28" x14ac:dyDescent="0.25">
      <c r="A5833" t="s">
        <v>5837</v>
      </c>
      <c r="B5833">
        <v>0.99987803227770999</v>
      </c>
      <c r="C5833">
        <v>1.0663484090762601</v>
      </c>
      <c r="D5833">
        <v>0.94561710849013303</v>
      </c>
      <c r="E5833">
        <v>1.0182751363021001</v>
      </c>
      <c r="F5833">
        <v>0.76719565661131595</v>
      </c>
      <c r="G5833">
        <v>0.38879108151077002</v>
      </c>
      <c r="H5833">
        <v>0.191291740563409</v>
      </c>
      <c r="I5833">
        <v>0.13379144867141901</v>
      </c>
      <c r="J5833">
        <v>0.108560693050922</v>
      </c>
      <c r="K5833">
        <v>7.4152903196687506E-2</v>
      </c>
      <c r="L5833">
        <v>1457.5918263737201</v>
      </c>
      <c r="M5833">
        <v>26.296897392775399</v>
      </c>
      <c r="N5833">
        <v>55.886260297090203</v>
      </c>
      <c r="O5833">
        <v>55.110724322033697</v>
      </c>
      <c r="P5833">
        <v>-0.107729466483118</v>
      </c>
      <c r="Q5833">
        <v>9.6930176008359306E-2</v>
      </c>
      <c r="R5833">
        <v>0.99184857855946595</v>
      </c>
      <c r="S5833" t="s">
        <v>12144</v>
      </c>
      <c r="T5833" t="s">
        <v>12620</v>
      </c>
      <c r="U5833" t="s">
        <v>12620</v>
      </c>
      <c r="V5833" t="s">
        <v>12620</v>
      </c>
      <c r="W5833" t="s">
        <v>18393</v>
      </c>
      <c r="X5833">
        <v>4</v>
      </c>
      <c r="Y5833" t="s">
        <v>24482</v>
      </c>
      <c r="Z5833" t="s">
        <v>30780</v>
      </c>
      <c r="AA5833">
        <v>0.56899123852751099</v>
      </c>
      <c r="AB5833" t="str">
        <f>HYPERLINK("Melting_Curves/meltCurve_Q9UBV8_PEF1.pdf", "Melting_Curves/meltCurve_Q9UBV8_PEF1.pdf")</f>
        <v>Melting_Curves/meltCurve_Q9UBV8_PEF1.pdf</v>
      </c>
    </row>
    <row r="5834" spans="1:28" x14ac:dyDescent="0.25">
      <c r="A5834" t="s">
        <v>5838</v>
      </c>
      <c r="B5834">
        <v>0.99987803227770999</v>
      </c>
      <c r="C5834">
        <v>0.81807720425632702</v>
      </c>
      <c r="D5834">
        <v>0.92520207250640196</v>
      </c>
      <c r="E5834">
        <v>0.74191561928958405</v>
      </c>
      <c r="F5834">
        <v>0.85495122639342902</v>
      </c>
      <c r="G5834">
        <v>0.64475403925140495</v>
      </c>
      <c r="H5834">
        <v>0.71692671060563196</v>
      </c>
      <c r="I5834">
        <v>0.68031993409487401</v>
      </c>
      <c r="J5834">
        <v>0.69460523431769805</v>
      </c>
      <c r="K5834">
        <v>0.62378743579655704</v>
      </c>
      <c r="L5834">
        <v>359.36389016928001</v>
      </c>
      <c r="M5834">
        <v>7.1876204344795802</v>
      </c>
      <c r="O5834">
        <v>46.561892712993298</v>
      </c>
      <c r="P5834">
        <v>-1.5133241248630899E-2</v>
      </c>
      <c r="Q5834">
        <v>0.60852191483502405</v>
      </c>
      <c r="R5834">
        <v>0.74668561867679095</v>
      </c>
      <c r="S5834" t="s">
        <v>12145</v>
      </c>
      <c r="T5834" t="s">
        <v>12620</v>
      </c>
      <c r="U5834" t="s">
        <v>12620</v>
      </c>
      <c r="V5834" t="s">
        <v>12620</v>
      </c>
      <c r="W5834" t="s">
        <v>18394</v>
      </c>
      <c r="X5834">
        <v>6</v>
      </c>
      <c r="Y5834" t="s">
        <v>24483</v>
      </c>
      <c r="Z5834" t="s">
        <v>30781</v>
      </c>
      <c r="AA5834">
        <v>0.76515644805124872</v>
      </c>
      <c r="AB5834" t="str">
        <f>HYPERLINK("Melting_Curves/meltCurve_Q9UBW7_ZMYM2.pdf", "Melting_Curves/meltCurve_Q9UBW7_ZMYM2.pdf")</f>
        <v>Melting_Curves/meltCurve_Q9UBW7_ZMYM2.pdf</v>
      </c>
    </row>
    <row r="5835" spans="1:28" x14ac:dyDescent="0.25">
      <c r="A5835" t="s">
        <v>5839</v>
      </c>
      <c r="B5835">
        <v>0.99987803227770999</v>
      </c>
      <c r="C5835">
        <v>1.1119042674364901</v>
      </c>
      <c r="D5835">
        <v>0.84533787111520597</v>
      </c>
      <c r="E5835">
        <v>1.3728722619708</v>
      </c>
      <c r="F5835">
        <v>0.949040591819025</v>
      </c>
      <c r="G5835">
        <v>0.71199470892048999</v>
      </c>
      <c r="H5835">
        <v>0.33949175137239701</v>
      </c>
      <c r="I5835">
        <v>0.262391384409906</v>
      </c>
      <c r="J5835">
        <v>0.23218652908430701</v>
      </c>
      <c r="K5835">
        <v>0.17895016221773299</v>
      </c>
      <c r="L5835">
        <v>2015.1469052566399</v>
      </c>
      <c r="M5835">
        <v>34.747427022028397</v>
      </c>
      <c r="N5835">
        <v>58.931834755687198</v>
      </c>
      <c r="O5835">
        <v>57.8030578391067</v>
      </c>
      <c r="P5835">
        <v>-0.118369819151523</v>
      </c>
      <c r="Q5835">
        <v>0.21236039704409099</v>
      </c>
      <c r="R5835">
        <v>0.88788990738572904</v>
      </c>
      <c r="S5835" t="s">
        <v>12146</v>
      </c>
      <c r="T5835" t="s">
        <v>12620</v>
      </c>
      <c r="U5835" t="s">
        <v>12620</v>
      </c>
      <c r="V5835" t="s">
        <v>12620</v>
      </c>
      <c r="W5835" t="s">
        <v>18395</v>
      </c>
      <c r="X5835">
        <v>6</v>
      </c>
      <c r="Y5835" t="s">
        <v>24484</v>
      </c>
      <c r="Z5835" t="s">
        <v>30782</v>
      </c>
      <c r="AA5835">
        <v>0.68881031783256208</v>
      </c>
      <c r="AB5835" t="str">
        <f>HYPERLINK("Melting_Curves/meltCurve_Q9UBW8_COPS7A.pdf", "Melting_Curves/meltCurve_Q9UBW8_COPS7A.pdf")</f>
        <v>Melting_Curves/meltCurve_Q9UBW8_COPS7A.pdf</v>
      </c>
    </row>
    <row r="5836" spans="1:28" x14ac:dyDescent="0.25">
      <c r="A5836" t="s">
        <v>5840</v>
      </c>
      <c r="B5836">
        <v>0.99987803227770999</v>
      </c>
      <c r="C5836">
        <v>0.92322705536140004</v>
      </c>
      <c r="D5836">
        <v>0.80480546257928498</v>
      </c>
      <c r="E5836">
        <v>0.41681795969746899</v>
      </c>
      <c r="F5836">
        <v>0.27048002279460398</v>
      </c>
      <c r="G5836">
        <v>0.152911066654116</v>
      </c>
      <c r="H5836">
        <v>0.11344485418733299</v>
      </c>
      <c r="I5836">
        <v>9.9608839448069406E-2</v>
      </c>
      <c r="J5836">
        <v>6.4092590811599404E-2</v>
      </c>
      <c r="K5836">
        <v>4.6237029995670698E-2</v>
      </c>
      <c r="L5836">
        <v>894.92577021303896</v>
      </c>
      <c r="M5836">
        <v>18.2817643648477</v>
      </c>
      <c r="N5836">
        <v>49.371906576300702</v>
      </c>
      <c r="O5836">
        <v>48.377406851394603</v>
      </c>
      <c r="P5836">
        <v>-8.7673995872531399E-2</v>
      </c>
      <c r="Q5836">
        <v>7.2027752779899604E-2</v>
      </c>
      <c r="R5836">
        <v>0.99690456567530195</v>
      </c>
      <c r="S5836" t="s">
        <v>12147</v>
      </c>
      <c r="T5836" t="s">
        <v>12620</v>
      </c>
      <c r="U5836" t="s">
        <v>12620</v>
      </c>
      <c r="V5836" t="s">
        <v>12620</v>
      </c>
      <c r="W5836" t="s">
        <v>18396</v>
      </c>
      <c r="X5836">
        <v>2</v>
      </c>
      <c r="Y5836" t="s">
        <v>24485</v>
      </c>
      <c r="Z5836" t="s">
        <v>30783</v>
      </c>
      <c r="AA5836">
        <v>0.36452474511361582</v>
      </c>
      <c r="AB5836" t="str">
        <f>HYPERLINK("Melting_Curves/meltCurve_Q9UBZ4_APEX2.pdf", "Melting_Curves/meltCurve_Q9UBZ4_APEX2.pdf")</f>
        <v>Melting_Curves/meltCurve_Q9UBZ4_APEX2.pdf</v>
      </c>
    </row>
    <row r="5837" spans="1:28" x14ac:dyDescent="0.25">
      <c r="A5837" t="s">
        <v>5841</v>
      </c>
      <c r="B5837">
        <v>0.99987803227770999</v>
      </c>
      <c r="C5837">
        <v>1.0487849863615699</v>
      </c>
      <c r="D5837">
        <v>1.13540146053198</v>
      </c>
      <c r="E5837">
        <v>1.0783442215602299</v>
      </c>
      <c r="F5837">
        <v>0.88892506060364695</v>
      </c>
      <c r="G5837">
        <v>0.63024512946208799</v>
      </c>
      <c r="H5837">
        <v>0.57357886978696904</v>
      </c>
      <c r="I5837">
        <v>0.454115355878486</v>
      </c>
      <c r="J5837">
        <v>0.51021613880432704</v>
      </c>
      <c r="K5837">
        <v>0.40374499783495599</v>
      </c>
      <c r="L5837">
        <v>1670.29958148221</v>
      </c>
      <c r="M5837">
        <v>29.954305872405499</v>
      </c>
      <c r="N5837">
        <v>61.370935194264398</v>
      </c>
      <c r="O5837">
        <v>55.514830649069602</v>
      </c>
      <c r="P5837">
        <v>-7.1811545292991899E-2</v>
      </c>
      <c r="Q5837">
        <v>0.467645197488467</v>
      </c>
      <c r="R5837">
        <v>0.94309309278692599</v>
      </c>
      <c r="S5837" t="s">
        <v>12148</v>
      </c>
      <c r="T5837" t="s">
        <v>12620</v>
      </c>
      <c r="U5837" t="s">
        <v>12620</v>
      </c>
      <c r="V5837" t="s">
        <v>12620</v>
      </c>
      <c r="W5837" t="s">
        <v>18397</v>
      </c>
      <c r="X5837">
        <v>36</v>
      </c>
      <c r="Y5837" t="s">
        <v>24486</v>
      </c>
      <c r="Z5837" t="s">
        <v>30784</v>
      </c>
      <c r="AA5837">
        <v>0.75089437397323622</v>
      </c>
      <c r="AB5837" t="str">
        <f>HYPERLINK("Melting_Curves/meltCurve_Q9UDT6_CLIP2.pdf", "Melting_Curves/meltCurve_Q9UDT6_CLIP2.pdf")</f>
        <v>Melting_Curves/meltCurve_Q9UDT6_CLIP2.pdf</v>
      </c>
    </row>
    <row r="5838" spans="1:28" x14ac:dyDescent="0.25">
      <c r="A5838" t="s">
        <v>5842</v>
      </c>
      <c r="B5838">
        <v>0.99987803227770999</v>
      </c>
      <c r="C5838">
        <v>0.92091021281833396</v>
      </c>
      <c r="D5838">
        <v>0.96840015634634902</v>
      </c>
      <c r="E5838">
        <v>0.73112416989936901</v>
      </c>
      <c r="F5838">
        <v>0.49061071080190899</v>
      </c>
      <c r="G5838">
        <v>0.23251911565151101</v>
      </c>
      <c r="H5838">
        <v>0.17926844096228101</v>
      </c>
      <c r="I5838">
        <v>0.169806065662751</v>
      </c>
      <c r="J5838">
        <v>0.110409840283009</v>
      </c>
      <c r="K5838">
        <v>7.5643089299235897E-2</v>
      </c>
      <c r="L5838">
        <v>1003.75873293493</v>
      </c>
      <c r="M5838">
        <v>19.222398343931498</v>
      </c>
      <c r="N5838">
        <v>52.865254542801203</v>
      </c>
      <c r="O5838">
        <v>51.662891431737897</v>
      </c>
      <c r="P5838">
        <v>-8.3270921184455907E-2</v>
      </c>
      <c r="Q5838">
        <v>0.104824959405993</v>
      </c>
      <c r="R5838">
        <v>0.99310894359334401</v>
      </c>
      <c r="S5838" t="s">
        <v>12149</v>
      </c>
      <c r="T5838" t="s">
        <v>12620</v>
      </c>
      <c r="U5838" t="s">
        <v>12620</v>
      </c>
      <c r="V5838" t="s">
        <v>12620</v>
      </c>
      <c r="W5838" t="s">
        <v>18398</v>
      </c>
      <c r="X5838">
        <v>5</v>
      </c>
      <c r="Y5838" t="s">
        <v>24487</v>
      </c>
      <c r="Z5838" t="s">
        <v>30785</v>
      </c>
      <c r="AA5838">
        <v>0.4826748675594924</v>
      </c>
      <c r="AB5838" t="str">
        <f>HYPERLINK("Melting_Curves/meltCurve_Q9UDX3_2_SEC14L4.pdf", "Melting_Curves/meltCurve_Q9UDX3_2_SEC14L4.pdf")</f>
        <v>Melting_Curves/meltCurve_Q9UDX3_2_SEC14L4.pdf</v>
      </c>
    </row>
    <row r="5839" spans="1:28" x14ac:dyDescent="0.25">
      <c r="A5839" t="s">
        <v>5843</v>
      </c>
      <c r="B5839">
        <v>0.99987803227770999</v>
      </c>
      <c r="C5839">
        <v>0.96195461441360197</v>
      </c>
      <c r="D5839">
        <v>0.97418163250126399</v>
      </c>
      <c r="E5839">
        <v>0.81565415241114203</v>
      </c>
      <c r="F5839">
        <v>0.512234438803151</v>
      </c>
      <c r="G5839">
        <v>0.35564500014170802</v>
      </c>
      <c r="H5839">
        <v>0.28286031551214103</v>
      </c>
      <c r="I5839">
        <v>0.240656168638332</v>
      </c>
      <c r="J5839">
        <v>0.23872090968618101</v>
      </c>
      <c r="K5839">
        <v>0.19214028035886099</v>
      </c>
      <c r="L5839">
        <v>1170.7294545140701</v>
      </c>
      <c r="M5839">
        <v>22.427540547248999</v>
      </c>
      <c r="N5839">
        <v>53.6576092914162</v>
      </c>
      <c r="O5839">
        <v>51.790829121437902</v>
      </c>
      <c r="P5839">
        <v>-8.3572349841732396E-2</v>
      </c>
      <c r="Q5839">
        <v>0.22805770847290399</v>
      </c>
      <c r="R5839">
        <v>0.994310089955041</v>
      </c>
      <c r="S5839" t="s">
        <v>12150</v>
      </c>
      <c r="T5839" t="s">
        <v>12620</v>
      </c>
      <c r="U5839" t="s">
        <v>12620</v>
      </c>
      <c r="V5839" t="s">
        <v>12620</v>
      </c>
      <c r="W5839" t="s">
        <v>18399</v>
      </c>
      <c r="X5839">
        <v>6</v>
      </c>
      <c r="Y5839" t="s">
        <v>24488</v>
      </c>
      <c r="Z5839" t="s">
        <v>30786</v>
      </c>
      <c r="AA5839">
        <v>0.55066127108768226</v>
      </c>
      <c r="AB5839" t="str">
        <f>HYPERLINK("Melting_Curves/meltCurve_Q9UDY2_3_TJP2.pdf", "Melting_Curves/meltCurve_Q9UDY2_3_TJP2.pdf")</f>
        <v>Melting_Curves/meltCurve_Q9UDY2_3_TJP2.pdf</v>
      </c>
    </row>
    <row r="5840" spans="1:28" x14ac:dyDescent="0.25">
      <c r="A5840" t="s">
        <v>5844</v>
      </c>
      <c r="B5840">
        <v>0.99987803227770999</v>
      </c>
      <c r="C5840">
        <v>0.92104602650752299</v>
      </c>
      <c r="D5840">
        <v>0.95374039250694198</v>
      </c>
      <c r="E5840">
        <v>0.809912959871119</v>
      </c>
      <c r="F5840">
        <v>0.56973800025361698</v>
      </c>
      <c r="G5840">
        <v>0.47782424507598897</v>
      </c>
      <c r="H5840">
        <v>0.39122003287552298</v>
      </c>
      <c r="I5840">
        <v>0.40560068009770101</v>
      </c>
      <c r="J5840">
        <v>0.34031327784243298</v>
      </c>
      <c r="K5840">
        <v>0.25640786732712201</v>
      </c>
      <c r="L5840">
        <v>762.46696724768003</v>
      </c>
      <c r="M5840">
        <v>14.514468624665501</v>
      </c>
      <c r="N5840">
        <v>56.0737548898041</v>
      </c>
      <c r="O5840">
        <v>51.564547881339998</v>
      </c>
      <c r="P5840">
        <v>-4.9256417624535101E-2</v>
      </c>
      <c r="Q5840">
        <v>0.30012096938016403</v>
      </c>
      <c r="R5840">
        <v>0.97756232451134695</v>
      </c>
      <c r="S5840" t="s">
        <v>12151</v>
      </c>
      <c r="T5840" t="s">
        <v>12620</v>
      </c>
      <c r="U5840" t="s">
        <v>12620</v>
      </c>
      <c r="V5840" t="s">
        <v>12620</v>
      </c>
      <c r="W5840" t="s">
        <v>18400</v>
      </c>
      <c r="X5840">
        <v>9</v>
      </c>
      <c r="Y5840" t="s">
        <v>24489</v>
      </c>
      <c r="Z5840" t="s">
        <v>30787</v>
      </c>
      <c r="AA5840">
        <v>0.60856266944707871</v>
      </c>
      <c r="AB5840" t="str">
        <f>HYPERLINK("Melting_Curves/meltCurve_Q9UDY4_DNAJB4.pdf", "Melting_Curves/meltCurve_Q9UDY4_DNAJB4.pdf")</f>
        <v>Melting_Curves/meltCurve_Q9UDY4_DNAJB4.pdf</v>
      </c>
    </row>
    <row r="5841" spans="1:28" x14ac:dyDescent="0.25">
      <c r="A5841" t="s">
        <v>5845</v>
      </c>
      <c r="B5841">
        <v>0.99987803227770999</v>
      </c>
      <c r="C5841">
        <v>1.06296995734419</v>
      </c>
      <c r="D5841">
        <v>0.96118262672234001</v>
      </c>
      <c r="E5841">
        <v>0.67617545953326497</v>
      </c>
      <c r="F5841">
        <v>0.26123541256278598</v>
      </c>
      <c r="G5841">
        <v>0.171839391272887</v>
      </c>
      <c r="H5841">
        <v>9.8671265542515499E-2</v>
      </c>
      <c r="I5841">
        <v>8.1391588904584894E-2</v>
      </c>
      <c r="J5841">
        <v>6.1179338069890198E-2</v>
      </c>
      <c r="K5841">
        <v>3.4371085999102102E-2</v>
      </c>
      <c r="L5841">
        <v>1584.2347920748</v>
      </c>
      <c r="M5841">
        <v>31.119120979187802</v>
      </c>
      <c r="N5841">
        <v>51.187316298741798</v>
      </c>
      <c r="O5841">
        <v>50.699885306907902</v>
      </c>
      <c r="P5841">
        <v>-0.141495083851187</v>
      </c>
      <c r="Q5841">
        <v>7.7898932859383194E-2</v>
      </c>
      <c r="R5841">
        <v>0.99323264794167698</v>
      </c>
      <c r="S5841" t="s">
        <v>12152</v>
      </c>
      <c r="T5841" t="s">
        <v>12620</v>
      </c>
      <c r="U5841" t="s">
        <v>12620</v>
      </c>
      <c r="V5841" t="s">
        <v>12620</v>
      </c>
      <c r="W5841" t="s">
        <v>18401</v>
      </c>
      <c r="X5841">
        <v>14</v>
      </c>
      <c r="Y5841" t="s">
        <v>24490</v>
      </c>
      <c r="Z5841" t="s">
        <v>30788</v>
      </c>
      <c r="AA5841">
        <v>0.41857598892156472</v>
      </c>
      <c r="AB5841" t="str">
        <f>HYPERLINK("Melting_Curves/meltCurve_Q9UDY8_MALT1.pdf", "Melting_Curves/meltCurve_Q9UDY8_MALT1.pdf")</f>
        <v>Melting_Curves/meltCurve_Q9UDY8_MALT1.pdf</v>
      </c>
    </row>
    <row r="5842" spans="1:28" x14ac:dyDescent="0.25">
      <c r="A5842" t="s">
        <v>5846</v>
      </c>
      <c r="B5842">
        <v>0.99987803227770999</v>
      </c>
      <c r="C5842">
        <v>0.86351343458144403</v>
      </c>
      <c r="D5842">
        <v>0.98274890489090005</v>
      </c>
      <c r="E5842">
        <v>0.817812322648797</v>
      </c>
      <c r="F5842">
        <v>0.86287384487702201</v>
      </c>
      <c r="G5842">
        <v>0.72672880753112901</v>
      </c>
      <c r="H5842">
        <v>0.77617769508993295</v>
      </c>
      <c r="I5842">
        <v>0.75139261871316199</v>
      </c>
      <c r="J5842">
        <v>0.70941658386712403</v>
      </c>
      <c r="K5842">
        <v>0.56721852172709097</v>
      </c>
      <c r="L5842">
        <v>240.85941018017499</v>
      </c>
      <c r="M5842">
        <v>2.8956848593940898</v>
      </c>
      <c r="O5842">
        <v>60.279284877930998</v>
      </c>
      <c r="P5842">
        <v>-1.2419914761046201E-2</v>
      </c>
      <c r="Q5842">
        <v>0</v>
      </c>
      <c r="R5842">
        <v>0.80629068480739197</v>
      </c>
      <c r="S5842" t="s">
        <v>12153</v>
      </c>
      <c r="T5842" t="s">
        <v>12620</v>
      </c>
      <c r="U5842" t="s">
        <v>12620</v>
      </c>
      <c r="V5842" t="s">
        <v>12620</v>
      </c>
      <c r="W5842" t="s">
        <v>18402</v>
      </c>
      <c r="X5842">
        <v>13</v>
      </c>
      <c r="Y5842" t="s">
        <v>24491</v>
      </c>
      <c r="Z5842" t="s">
        <v>30789</v>
      </c>
      <c r="AA5842">
        <v>0.80866596366228949</v>
      </c>
      <c r="AB5842" t="str">
        <f>HYPERLINK("Melting_Curves/meltCurve_Q9UEE9_CFDP1.pdf", "Melting_Curves/meltCurve_Q9UEE9_CFDP1.pdf")</f>
        <v>Melting_Curves/meltCurve_Q9UEE9_CFDP1.pdf</v>
      </c>
    </row>
    <row r="5843" spans="1:28" x14ac:dyDescent="0.25">
      <c r="A5843" t="s">
        <v>5847</v>
      </c>
      <c r="B5843">
        <v>0.99987803227770999</v>
      </c>
      <c r="C5843">
        <v>0.54203529980069498</v>
      </c>
      <c r="D5843">
        <v>0.92547289206436001</v>
      </c>
      <c r="E5843">
        <v>1.0526716705191701</v>
      </c>
      <c r="F5843">
        <v>0.948490676242432</v>
      </c>
      <c r="G5843">
        <v>0.65011674622927595</v>
      </c>
      <c r="H5843">
        <v>0.54546245430489104</v>
      </c>
      <c r="I5843">
        <v>0.37833445638473601</v>
      </c>
      <c r="J5843">
        <v>0.43281500824663299</v>
      </c>
      <c r="K5843">
        <v>0.259531776604841</v>
      </c>
      <c r="L5843">
        <v>1102.57423211626</v>
      </c>
      <c r="M5843">
        <v>18.954061551694199</v>
      </c>
      <c r="N5843">
        <v>61.098629302576299</v>
      </c>
      <c r="O5843">
        <v>57.5349564348247</v>
      </c>
      <c r="P5843">
        <v>-5.7786598131921503E-2</v>
      </c>
      <c r="Q5843">
        <v>0.29838455537619302</v>
      </c>
      <c r="R5843">
        <v>0.67509241411218301</v>
      </c>
      <c r="S5843" t="s">
        <v>12154</v>
      </c>
      <c r="T5843" t="s">
        <v>12620</v>
      </c>
      <c r="U5843" t="s">
        <v>12620</v>
      </c>
      <c r="V5843" t="s">
        <v>12620</v>
      </c>
      <c r="W5843" t="s">
        <v>18403</v>
      </c>
      <c r="X5843">
        <v>5</v>
      </c>
      <c r="Y5843" t="s">
        <v>24492</v>
      </c>
      <c r="Z5843" t="s">
        <v>30790</v>
      </c>
      <c r="AA5843">
        <v>0.73153064239037158</v>
      </c>
      <c r="AB5843" t="str">
        <f>HYPERLINK("Melting_Curves/meltCurve_Q9UEG4_ZNF629.pdf", "Melting_Curves/meltCurve_Q9UEG4_ZNF629.pdf")</f>
        <v>Melting_Curves/meltCurve_Q9UEG4_ZNF629.pdf</v>
      </c>
    </row>
    <row r="5844" spans="1:28" x14ac:dyDescent="0.25">
      <c r="A5844" t="s">
        <v>5848</v>
      </c>
      <c r="B5844">
        <v>0.99987803227770999</v>
      </c>
      <c r="C5844">
        <v>1.0173499419971599</v>
      </c>
      <c r="D5844">
        <v>0.94207994437800702</v>
      </c>
      <c r="E5844">
        <v>0.85561099549014696</v>
      </c>
      <c r="F5844">
        <v>0.594009075129178</v>
      </c>
      <c r="G5844">
        <v>0.45179349939575197</v>
      </c>
      <c r="H5844">
        <v>0.35816314417700301</v>
      </c>
      <c r="I5844">
        <v>0.28966625382471001</v>
      </c>
      <c r="J5844">
        <v>0.308892018683466</v>
      </c>
      <c r="K5844">
        <v>0.25492128222303601</v>
      </c>
      <c r="L5844">
        <v>968.08376822084904</v>
      </c>
      <c r="M5844">
        <v>18.261438975450801</v>
      </c>
      <c r="N5844">
        <v>55.425339698657197</v>
      </c>
      <c r="O5844">
        <v>52.389015135962097</v>
      </c>
      <c r="P5844">
        <v>-6.3251012227687101E-2</v>
      </c>
      <c r="Q5844">
        <v>0.27420752304666002</v>
      </c>
      <c r="R5844">
        <v>0.99272318307931395</v>
      </c>
      <c r="S5844" t="s">
        <v>12155</v>
      </c>
      <c r="T5844" t="s">
        <v>12620</v>
      </c>
      <c r="U5844" t="s">
        <v>12620</v>
      </c>
      <c r="V5844" t="s">
        <v>12620</v>
      </c>
      <c r="W5844" t="s">
        <v>18404</v>
      </c>
      <c r="X5844">
        <v>7</v>
      </c>
      <c r="Y5844" t="s">
        <v>24493</v>
      </c>
      <c r="Z5844" t="s">
        <v>30791</v>
      </c>
      <c r="AA5844">
        <v>0.60062802311296604</v>
      </c>
      <c r="AB5844" t="str">
        <f>HYPERLINK("Melting_Curves/meltCurve_Q9UER7_3_DAXX.pdf", "Melting_Curves/meltCurve_Q9UER7_3_DAXX.pdf")</f>
        <v>Melting_Curves/meltCurve_Q9UER7_3_DAXX.pdf</v>
      </c>
    </row>
    <row r="5845" spans="1:28" x14ac:dyDescent="0.25">
      <c r="A5845" t="s">
        <v>5849</v>
      </c>
      <c r="B5845">
        <v>0.99987803227770999</v>
      </c>
      <c r="C5845">
        <v>1.06687089167833</v>
      </c>
      <c r="D5845">
        <v>0.77804194440750796</v>
      </c>
      <c r="E5845">
        <v>0.65554221632654097</v>
      </c>
      <c r="F5845">
        <v>0.23155083438600099</v>
      </c>
      <c r="G5845">
        <v>0.151413838606756</v>
      </c>
      <c r="H5845">
        <v>0.13371402323463</v>
      </c>
      <c r="I5845">
        <v>9.6539050326681405E-2</v>
      </c>
      <c r="J5845">
        <v>5.9327718090491498E-2</v>
      </c>
      <c r="K5845">
        <v>4.3025327766513403E-2</v>
      </c>
      <c r="L5845">
        <v>1038.39556495391</v>
      </c>
      <c r="M5845">
        <v>20.632655123480699</v>
      </c>
      <c r="N5845">
        <v>50.6809280078825</v>
      </c>
      <c r="O5845">
        <v>49.862159139474102</v>
      </c>
      <c r="P5845">
        <v>-9.6524564589123202E-2</v>
      </c>
      <c r="Q5845">
        <v>6.6957753277377102E-2</v>
      </c>
      <c r="R5845">
        <v>0.975376419374552</v>
      </c>
      <c r="S5845" t="s">
        <v>12156</v>
      </c>
      <c r="T5845" t="s">
        <v>12620</v>
      </c>
      <c r="U5845" t="s">
        <v>12620</v>
      </c>
      <c r="V5845" t="s">
        <v>12620</v>
      </c>
      <c r="W5845" t="s">
        <v>18405</v>
      </c>
      <c r="X5845">
        <v>4</v>
      </c>
      <c r="Y5845" t="s">
        <v>24494</v>
      </c>
      <c r="Z5845" t="s">
        <v>30792</v>
      </c>
      <c r="AA5845">
        <v>0.40038325412037767</v>
      </c>
      <c r="AB5845" t="str">
        <f>HYPERLINK("Melting_Curves/meltCurve_Q9UET6_2_FTSJ1.pdf", "Melting_Curves/meltCurve_Q9UET6_2_FTSJ1.pdf")</f>
        <v>Melting_Curves/meltCurve_Q9UET6_2_FTSJ1.pdf</v>
      </c>
    </row>
    <row r="5846" spans="1:28" x14ac:dyDescent="0.25">
      <c r="A5846" t="s">
        <v>5850</v>
      </c>
      <c r="B5846">
        <v>0.99987803227770999</v>
      </c>
      <c r="C5846">
        <v>0.82136222887742805</v>
      </c>
      <c r="D5846">
        <v>0.98306076761582595</v>
      </c>
      <c r="E5846">
        <v>0.81266131254190099</v>
      </c>
      <c r="F5846">
        <v>1.0704059927782601</v>
      </c>
      <c r="G5846">
        <v>0.80056556739097395</v>
      </c>
      <c r="H5846">
        <v>1.00085269139778</v>
      </c>
      <c r="I5846">
        <v>0.78393825190691002</v>
      </c>
      <c r="J5846">
        <v>1.10658776826037</v>
      </c>
      <c r="K5846">
        <v>0.90257374506139798</v>
      </c>
      <c r="L5846">
        <v>10221.623366870101</v>
      </c>
      <c r="M5846">
        <v>250</v>
      </c>
      <c r="O5846">
        <v>40.883877015423998</v>
      </c>
      <c r="P5846">
        <v>-0.121956317368551</v>
      </c>
      <c r="Q5846">
        <v>0.92022324682877399</v>
      </c>
      <c r="R5846">
        <v>4.4613822893788499E-2</v>
      </c>
      <c r="S5846" t="s">
        <v>12157</v>
      </c>
      <c r="T5846" t="s">
        <v>12620</v>
      </c>
      <c r="U5846" t="s">
        <v>12620</v>
      </c>
      <c r="V5846" t="s">
        <v>12620</v>
      </c>
      <c r="W5846" t="s">
        <v>18406</v>
      </c>
      <c r="X5846">
        <v>3</v>
      </c>
      <c r="Y5846" t="s">
        <v>24495</v>
      </c>
      <c r="Z5846" t="s">
        <v>30793</v>
      </c>
      <c r="AA5846">
        <v>0.92258797455227159</v>
      </c>
      <c r="AB5846" t="str">
        <f>HYPERLINK("Melting_Curves/meltCurve_Q9UEU0_VTI1B.pdf", "Melting_Curves/meltCurve_Q9UEU0_VTI1B.pdf")</f>
        <v>Melting_Curves/meltCurve_Q9UEU0_VTI1B.pdf</v>
      </c>
    </row>
    <row r="5847" spans="1:28" x14ac:dyDescent="0.25">
      <c r="A5847" t="s">
        <v>5851</v>
      </c>
      <c r="B5847">
        <v>0.99987803227770999</v>
      </c>
      <c r="C5847">
        <v>0.74659359830213801</v>
      </c>
      <c r="D5847">
        <v>0.52652592638293405</v>
      </c>
      <c r="E5847">
        <v>0.39426095017185298</v>
      </c>
      <c r="F5847">
        <v>0.31097462148010901</v>
      </c>
      <c r="G5847">
        <v>0.24164351883093299</v>
      </c>
      <c r="H5847">
        <v>0.15283668876658199</v>
      </c>
      <c r="I5847">
        <v>0.15624107096353501</v>
      </c>
      <c r="J5847">
        <v>0.127728773761183</v>
      </c>
      <c r="K5847">
        <v>9.8799656001884298E-2</v>
      </c>
      <c r="L5847">
        <v>581.07458544041504</v>
      </c>
      <c r="M5847">
        <v>12.496955374719899</v>
      </c>
      <c r="N5847">
        <v>47.553417515294299</v>
      </c>
      <c r="O5847">
        <v>45.354843139563499</v>
      </c>
      <c r="P5847">
        <v>-6.0549413570447602E-2</v>
      </c>
      <c r="Q5847">
        <v>0.12117997649876699</v>
      </c>
      <c r="R5847">
        <v>0.97567812448087698</v>
      </c>
      <c r="S5847" t="s">
        <v>12158</v>
      </c>
      <c r="T5847" t="s">
        <v>12620</v>
      </c>
      <c r="U5847" t="s">
        <v>12620</v>
      </c>
      <c r="V5847" t="s">
        <v>12620</v>
      </c>
      <c r="W5847" t="s">
        <v>18407</v>
      </c>
      <c r="X5847">
        <v>10</v>
      </c>
      <c r="Y5847" t="s">
        <v>24496</v>
      </c>
      <c r="Z5847" t="s">
        <v>30794</v>
      </c>
      <c r="AA5847">
        <v>0.34706531169666782</v>
      </c>
      <c r="AB5847" t="str">
        <f>HYPERLINK("Melting_Curves/meltCurve_Q9UEW8_STK39.pdf", "Melting_Curves/meltCurve_Q9UEW8_STK39.pdf")</f>
        <v>Melting_Curves/meltCurve_Q9UEW8_STK39.pdf</v>
      </c>
    </row>
    <row r="5848" spans="1:28" x14ac:dyDescent="0.25">
      <c r="A5848" t="s">
        <v>5852</v>
      </c>
      <c r="B5848">
        <v>0.99987803227770999</v>
      </c>
      <c r="C5848">
        <v>1.11025141562201</v>
      </c>
      <c r="D5848">
        <v>0.99244042096400498</v>
      </c>
      <c r="E5848">
        <v>1.0594812800866</v>
      </c>
      <c r="F5848">
        <v>0.75751960345467495</v>
      </c>
      <c r="G5848">
        <v>0.84960550836770798</v>
      </c>
      <c r="H5848">
        <v>0.69707654248980599</v>
      </c>
      <c r="I5848">
        <v>0.51220043428035</v>
      </c>
      <c r="J5848">
        <v>0.28948657653344601</v>
      </c>
      <c r="K5848">
        <v>0.141438322816554</v>
      </c>
      <c r="L5848">
        <v>966.88624305924895</v>
      </c>
      <c r="M5848">
        <v>15.2255578734732</v>
      </c>
      <c r="N5848">
        <v>63.504158715412999</v>
      </c>
      <c r="O5848">
        <v>62.438902159204503</v>
      </c>
      <c r="P5848">
        <v>-6.0967635021226201E-2</v>
      </c>
      <c r="Q5848">
        <v>0</v>
      </c>
      <c r="R5848">
        <v>0.93621146649870701</v>
      </c>
      <c r="S5848" t="s">
        <v>12159</v>
      </c>
      <c r="T5848" t="s">
        <v>12620</v>
      </c>
      <c r="U5848" t="s">
        <v>12620</v>
      </c>
      <c r="V5848" t="s">
        <v>12620</v>
      </c>
      <c r="W5848" t="s">
        <v>18408</v>
      </c>
      <c r="X5848">
        <v>12</v>
      </c>
      <c r="Y5848" t="s">
        <v>24497</v>
      </c>
      <c r="Z5848" t="s">
        <v>30795</v>
      </c>
      <c r="AA5848">
        <v>0.77132107588919963</v>
      </c>
      <c r="AB5848" t="str">
        <f>HYPERLINK("Melting_Curves/meltCurve_Q9UEY8_2_ADD3.pdf", "Melting_Curves/meltCurve_Q9UEY8_2_ADD3.pdf")</f>
        <v>Melting_Curves/meltCurve_Q9UEY8_2_ADD3.pdf</v>
      </c>
    </row>
    <row r="5849" spans="1:28" x14ac:dyDescent="0.25">
      <c r="A5849" t="s">
        <v>5853</v>
      </c>
      <c r="B5849">
        <v>0.99987803227770999</v>
      </c>
      <c r="C5849">
        <v>0.85068083121018501</v>
      </c>
      <c r="D5849">
        <v>0.74699774911267502</v>
      </c>
      <c r="E5849">
        <v>0.42639445625373901</v>
      </c>
      <c r="F5849">
        <v>0.29002665643394898</v>
      </c>
      <c r="G5849">
        <v>0.20576679498416101</v>
      </c>
      <c r="H5849">
        <v>0.19408683971574001</v>
      </c>
      <c r="I5849">
        <v>0.15509000032074499</v>
      </c>
      <c r="J5849">
        <v>0.17278955375558799</v>
      </c>
      <c r="K5849">
        <v>0.137153010807118</v>
      </c>
      <c r="L5849">
        <v>795.79767340493004</v>
      </c>
      <c r="M5849">
        <v>16.597549654020401</v>
      </c>
      <c r="N5849">
        <v>49.005307569128902</v>
      </c>
      <c r="O5849">
        <v>47.266893056400498</v>
      </c>
      <c r="P5849">
        <v>-7.4566135131989994E-2</v>
      </c>
      <c r="Q5849">
        <v>0.15065287904257799</v>
      </c>
      <c r="R5849">
        <v>0.99501344925010804</v>
      </c>
      <c r="S5849" t="s">
        <v>12160</v>
      </c>
      <c r="T5849" t="s">
        <v>12620</v>
      </c>
      <c r="U5849" t="s">
        <v>12620</v>
      </c>
      <c r="V5849" t="s">
        <v>12620</v>
      </c>
      <c r="W5849" t="s">
        <v>18409</v>
      </c>
      <c r="X5849">
        <v>5</v>
      </c>
      <c r="Y5849" t="s">
        <v>24498</v>
      </c>
      <c r="Z5849" t="s">
        <v>30796</v>
      </c>
      <c r="AA5849">
        <v>0.39349667834013041</v>
      </c>
      <c r="AB5849" t="str">
        <f>HYPERLINK("Melting_Curves/meltCurve_Q9UF56_FBXL17.pdf", "Melting_Curves/meltCurve_Q9UF56_FBXL17.pdf")</f>
        <v>Melting_Curves/meltCurve_Q9UF56_FBXL17.pdf</v>
      </c>
    </row>
    <row r="5850" spans="1:28" x14ac:dyDescent="0.25">
      <c r="A5850" t="s">
        <v>5854</v>
      </c>
      <c r="B5850">
        <v>0.99987803227770999</v>
      </c>
      <c r="C5850">
        <v>0.93361739087835505</v>
      </c>
      <c r="D5850">
        <v>0.81330587575146496</v>
      </c>
      <c r="E5850">
        <v>0.48605581037308099</v>
      </c>
      <c r="F5850">
        <v>0.35598794019515201</v>
      </c>
      <c r="G5850">
        <v>0.18330638160145901</v>
      </c>
      <c r="H5850">
        <v>0.11020815737238</v>
      </c>
      <c r="I5850">
        <v>9.9088042158924097E-2</v>
      </c>
      <c r="J5850">
        <v>6.9177357539134399E-2</v>
      </c>
      <c r="K5850">
        <v>4.7847221382636897E-2</v>
      </c>
      <c r="L5850">
        <v>761.85255446246902</v>
      </c>
      <c r="M5850">
        <v>15.2540857480999</v>
      </c>
      <c r="N5850">
        <v>50.318601087956402</v>
      </c>
      <c r="O5850">
        <v>49.109417360780903</v>
      </c>
      <c r="P5850">
        <v>-7.3494200991138098E-2</v>
      </c>
      <c r="Q5850">
        <v>5.3652677110443303E-2</v>
      </c>
      <c r="R5850">
        <v>0.99752322918615699</v>
      </c>
      <c r="S5850" t="s">
        <v>12161</v>
      </c>
      <c r="T5850" t="s">
        <v>12620</v>
      </c>
      <c r="U5850" t="s">
        <v>12620</v>
      </c>
      <c r="V5850" t="s">
        <v>12620</v>
      </c>
      <c r="W5850" t="s">
        <v>18410</v>
      </c>
      <c r="X5850">
        <v>8</v>
      </c>
      <c r="Y5850" t="s">
        <v>24499</v>
      </c>
      <c r="Z5850" t="s">
        <v>30797</v>
      </c>
      <c r="AA5850">
        <v>0.38928052527520002</v>
      </c>
      <c r="AB5850" t="str">
        <f>HYPERLINK("Melting_Curves/meltCurve_Q9UFC0_LRWD1.pdf", "Melting_Curves/meltCurve_Q9UFC0_LRWD1.pdf")</f>
        <v>Melting_Curves/meltCurve_Q9UFC0_LRWD1.pdf</v>
      </c>
    </row>
    <row r="5851" spans="1:28" x14ac:dyDescent="0.25">
      <c r="A5851" t="s">
        <v>5855</v>
      </c>
      <c r="B5851">
        <v>0.99987803227770999</v>
      </c>
      <c r="C5851">
        <v>0.73868251720979805</v>
      </c>
      <c r="D5851">
        <v>0.69518937579877305</v>
      </c>
      <c r="E5851">
        <v>0.69986498388138496</v>
      </c>
      <c r="F5851">
        <v>1.3689543902746</v>
      </c>
      <c r="G5851">
        <v>1.10900293039662</v>
      </c>
      <c r="H5851">
        <v>0.77282903452346796</v>
      </c>
      <c r="I5851">
        <v>1.18165123083162</v>
      </c>
      <c r="J5851">
        <v>0.85412592429507095</v>
      </c>
      <c r="K5851">
        <v>0.49602947455378699</v>
      </c>
      <c r="L5851">
        <v>15000</v>
      </c>
      <c r="M5851">
        <v>222.982204725065</v>
      </c>
      <c r="N5851">
        <v>68.754451079152204</v>
      </c>
      <c r="O5851">
        <v>67.264531138274606</v>
      </c>
      <c r="P5851">
        <v>-0.41773662137301998</v>
      </c>
      <c r="Q5851">
        <v>0.49594438881076902</v>
      </c>
      <c r="R5851">
        <v>0.24591572676891099</v>
      </c>
      <c r="S5851" t="s">
        <v>12162</v>
      </c>
      <c r="T5851" t="s">
        <v>12620</v>
      </c>
      <c r="U5851" t="s">
        <v>12620</v>
      </c>
      <c r="V5851" t="s">
        <v>12620</v>
      </c>
      <c r="W5851" t="s">
        <v>18411</v>
      </c>
      <c r="X5851">
        <v>4</v>
      </c>
      <c r="Y5851" t="s">
        <v>24500</v>
      </c>
      <c r="Z5851" t="s">
        <v>30798</v>
      </c>
      <c r="AA5851">
        <v>0.95420384642982647</v>
      </c>
      <c r="AB5851" t="str">
        <f>HYPERLINK("Melting_Curves/meltCurve_Q9UFG5_C19orf25.pdf", "Melting_Curves/meltCurve_Q9UFG5_C19orf25.pdf")</f>
        <v>Melting_Curves/meltCurve_Q9UFG5_C19orf25.pdf</v>
      </c>
    </row>
    <row r="5852" spans="1:28" x14ac:dyDescent="0.25">
      <c r="A5852" t="s">
        <v>5856</v>
      </c>
      <c r="B5852">
        <v>0.99987803227770999</v>
      </c>
      <c r="C5852">
        <v>0.83340742012028302</v>
      </c>
      <c r="D5852">
        <v>0.88348021804017596</v>
      </c>
      <c r="E5852">
        <v>0.82489243636377196</v>
      </c>
      <c r="F5852">
        <v>0.93668499320974996</v>
      </c>
      <c r="G5852">
        <v>0.68962056045812603</v>
      </c>
      <c r="H5852">
        <v>0.97981140579103398</v>
      </c>
      <c r="I5852">
        <v>0.67820875708254402</v>
      </c>
      <c r="J5852">
        <v>1.1404536360829101</v>
      </c>
      <c r="K5852">
        <v>0.871533132977235</v>
      </c>
      <c r="L5852">
        <v>10241.486954742</v>
      </c>
      <c r="M5852">
        <v>250</v>
      </c>
      <c r="O5852">
        <v>40.963326280800302</v>
      </c>
      <c r="P5852">
        <v>-0.196976355311065</v>
      </c>
      <c r="Q5852">
        <v>0.87089909278991195</v>
      </c>
      <c r="R5852">
        <v>8.4351344721603702E-2</v>
      </c>
      <c r="S5852" t="s">
        <v>12163</v>
      </c>
      <c r="T5852" t="s">
        <v>12620</v>
      </c>
      <c r="U5852" t="s">
        <v>12620</v>
      </c>
      <c r="V5852" t="s">
        <v>12620</v>
      </c>
      <c r="W5852" t="s">
        <v>18412</v>
      </c>
      <c r="X5852">
        <v>1</v>
      </c>
      <c r="Y5852" t="s">
        <v>24501</v>
      </c>
      <c r="Z5852" t="s">
        <v>30799</v>
      </c>
      <c r="AA5852">
        <v>0.87506679046215485</v>
      </c>
      <c r="AB5852" t="str">
        <f>HYPERLINK("Melting_Curves/meltCurve_Q9UFM8_DKFZp566H1924.pdf", "Melting_Curves/meltCurve_Q9UFM8_DKFZp566H1924.pdf")</f>
        <v>Melting_Curves/meltCurve_Q9UFM8_DKFZp566H1924.pdf</v>
      </c>
    </row>
    <row r="5853" spans="1:28" x14ac:dyDescent="0.25">
      <c r="A5853" t="s">
        <v>5857</v>
      </c>
      <c r="B5853">
        <v>0.99987803227770999</v>
      </c>
      <c r="C5853">
        <v>1.0602088832328</v>
      </c>
      <c r="D5853">
        <v>0.96020761946105404</v>
      </c>
      <c r="E5853">
        <v>1.07418912864311</v>
      </c>
      <c r="F5853">
        <v>0.78909779196251195</v>
      </c>
      <c r="G5853">
        <v>0.643762647015932</v>
      </c>
      <c r="H5853">
        <v>0.62669609624860401</v>
      </c>
      <c r="I5853">
        <v>0.63077024083699296</v>
      </c>
      <c r="J5853">
        <v>0.45162113375198198</v>
      </c>
      <c r="K5853">
        <v>0.31561930606813698</v>
      </c>
      <c r="L5853">
        <v>544.84912319712805</v>
      </c>
      <c r="M5853">
        <v>8.5051225595853506</v>
      </c>
      <c r="N5853">
        <v>64.931368167464797</v>
      </c>
      <c r="O5853">
        <v>60.814249967917704</v>
      </c>
      <c r="P5853">
        <v>-3.3110239309923101E-2</v>
      </c>
      <c r="Q5853">
        <v>5.38570042054256E-2</v>
      </c>
      <c r="R5853">
        <v>0.90462486639245199</v>
      </c>
      <c r="S5853" t="s">
        <v>12164</v>
      </c>
      <c r="T5853" t="s">
        <v>12620</v>
      </c>
      <c r="U5853" t="s">
        <v>12620</v>
      </c>
      <c r="V5853" t="s">
        <v>12620</v>
      </c>
      <c r="W5853" t="s">
        <v>18413</v>
      </c>
      <c r="X5853">
        <v>6</v>
      </c>
      <c r="Y5853" t="s">
        <v>24502</v>
      </c>
      <c r="Z5853" t="s">
        <v>30800</v>
      </c>
      <c r="AA5853">
        <v>0.75895112460096892</v>
      </c>
      <c r="AB5853" t="str">
        <f>HYPERLINK("Melting_Curves/meltCurve_Q9UFN0_NIPSNAP3A.pdf", "Melting_Curves/meltCurve_Q9UFN0_NIPSNAP3A.pdf")</f>
        <v>Melting_Curves/meltCurve_Q9UFN0_NIPSNAP3A.pdf</v>
      </c>
    </row>
    <row r="5854" spans="1:28" x14ac:dyDescent="0.25">
      <c r="A5854" t="s">
        <v>5858</v>
      </c>
      <c r="B5854">
        <v>0.99987803227770999</v>
      </c>
      <c r="C5854">
        <v>0.88432054924329295</v>
      </c>
      <c r="D5854">
        <v>0.969050385470278</v>
      </c>
      <c r="E5854">
        <v>0.77356682936603804</v>
      </c>
      <c r="F5854">
        <v>0.767225704552564</v>
      </c>
      <c r="G5854">
        <v>0.48856361249904001</v>
      </c>
      <c r="H5854">
        <v>0.51108212770976302</v>
      </c>
      <c r="I5854">
        <v>0.59150395942299705</v>
      </c>
      <c r="J5854">
        <v>0.47091646818938299</v>
      </c>
      <c r="K5854">
        <v>0.405777364915892</v>
      </c>
      <c r="L5854">
        <v>660.97455459132902</v>
      </c>
      <c r="M5854">
        <v>12.6048886057026</v>
      </c>
      <c r="N5854">
        <v>62.539330625562201</v>
      </c>
      <c r="O5854">
        <v>51.1706395456455</v>
      </c>
      <c r="P5854">
        <v>-3.4818270233729097E-2</v>
      </c>
      <c r="Q5854">
        <v>0.43472147007516998</v>
      </c>
      <c r="R5854">
        <v>0.91208815950226696</v>
      </c>
      <c r="S5854" t="s">
        <v>12165</v>
      </c>
      <c r="T5854" t="s">
        <v>12620</v>
      </c>
      <c r="U5854" t="s">
        <v>12620</v>
      </c>
      <c r="V5854" t="s">
        <v>12620</v>
      </c>
      <c r="W5854" t="s">
        <v>18414</v>
      </c>
      <c r="X5854">
        <v>4</v>
      </c>
      <c r="Y5854" t="s">
        <v>24503</v>
      </c>
      <c r="Z5854" t="s">
        <v>30801</v>
      </c>
      <c r="AA5854">
        <v>0.68487420207994132</v>
      </c>
      <c r="AB5854" t="str">
        <f>HYPERLINK("Melting_Curves/meltCurve_Q9UFW8_CGGBP1.pdf", "Melting_Curves/meltCurve_Q9UFW8_CGGBP1.pdf")</f>
        <v>Melting_Curves/meltCurve_Q9UFW8_CGGBP1.pdf</v>
      </c>
    </row>
    <row r="5855" spans="1:28" x14ac:dyDescent="0.25">
      <c r="A5855" t="s">
        <v>5859</v>
      </c>
      <c r="B5855">
        <v>0.99987803227770999</v>
      </c>
      <c r="C5855">
        <v>0.89632575718552399</v>
      </c>
      <c r="D5855">
        <v>0.75612490835535595</v>
      </c>
      <c r="E5855">
        <v>0.46147436351045401</v>
      </c>
      <c r="F5855">
        <v>0.34625459140338499</v>
      </c>
      <c r="G5855">
        <v>0.23820121229296101</v>
      </c>
      <c r="H5855">
        <v>0.15603380136628001</v>
      </c>
      <c r="I5855">
        <v>0.104435582560278</v>
      </c>
      <c r="J5855">
        <v>7.7546071218148702E-2</v>
      </c>
      <c r="K5855">
        <v>5.09182650746468E-2</v>
      </c>
      <c r="L5855">
        <v>643.276140700621</v>
      </c>
      <c r="M5855">
        <v>12.974960747181299</v>
      </c>
      <c r="N5855">
        <v>50.042416341046298</v>
      </c>
      <c r="O5855">
        <v>48.444899013410797</v>
      </c>
      <c r="P5855">
        <v>-6.3172612604977599E-2</v>
      </c>
      <c r="Q5855">
        <v>5.6691787477827098E-2</v>
      </c>
      <c r="R5855">
        <v>0.99474138558623804</v>
      </c>
      <c r="S5855" t="s">
        <v>12166</v>
      </c>
      <c r="T5855" t="s">
        <v>12620</v>
      </c>
      <c r="U5855" t="s">
        <v>12620</v>
      </c>
      <c r="V5855" t="s">
        <v>12620</v>
      </c>
      <c r="W5855" t="s">
        <v>18415</v>
      </c>
      <c r="X5855">
        <v>12</v>
      </c>
      <c r="Y5855" t="s">
        <v>24504</v>
      </c>
      <c r="Z5855" t="s">
        <v>30802</v>
      </c>
      <c r="AA5855">
        <v>0.38729337092035299</v>
      </c>
      <c r="AB5855" t="str">
        <f>HYPERLINK("Melting_Curves/meltCurve_Q9UG63_ABCF2.pdf", "Melting_Curves/meltCurve_Q9UG63_ABCF2.pdf")</f>
        <v>Melting_Curves/meltCurve_Q9UG63_ABCF2.pdf</v>
      </c>
    </row>
    <row r="5856" spans="1:28" x14ac:dyDescent="0.25">
      <c r="A5856" t="s">
        <v>5860</v>
      </c>
      <c r="B5856">
        <v>0.99987803227770999</v>
      </c>
      <c r="C5856">
        <v>0.86797922509346404</v>
      </c>
      <c r="D5856">
        <v>0.85559203483853097</v>
      </c>
      <c r="E5856">
        <v>0.67112930823959804</v>
      </c>
      <c r="F5856">
        <v>0.61254332962561897</v>
      </c>
      <c r="G5856">
        <v>0.40799390989579098</v>
      </c>
      <c r="H5856">
        <v>0.19179249398366899</v>
      </c>
      <c r="I5856">
        <v>0.156271933223745</v>
      </c>
      <c r="J5856">
        <v>0.115604522675906</v>
      </c>
      <c r="K5856">
        <v>9.0461354014364406E-2</v>
      </c>
      <c r="L5856">
        <v>553.38251760832497</v>
      </c>
      <c r="M5856">
        <v>10.219768243954</v>
      </c>
      <c r="N5856">
        <v>54.148245108028</v>
      </c>
      <c r="O5856">
        <v>52.197810996103598</v>
      </c>
      <c r="P5856">
        <v>-4.8969209720345297E-2</v>
      </c>
      <c r="Q5856">
        <v>0</v>
      </c>
      <c r="R5856">
        <v>0.98786091406912202</v>
      </c>
      <c r="S5856" t="s">
        <v>12167</v>
      </c>
      <c r="T5856" t="s">
        <v>12620</v>
      </c>
      <c r="U5856" t="s">
        <v>12620</v>
      </c>
      <c r="V5856" t="s">
        <v>12620</v>
      </c>
      <c r="W5856" t="s">
        <v>18416</v>
      </c>
      <c r="X5856">
        <v>1</v>
      </c>
      <c r="Y5856" t="s">
        <v>24505</v>
      </c>
      <c r="Z5856" t="s">
        <v>30803</v>
      </c>
      <c r="AA5856">
        <v>0.5007818506268843</v>
      </c>
      <c r="AB5856" t="str">
        <f>HYPERLINK("Melting_Curves/meltCurve_Q9UGC7_MTRF1L.pdf", "Melting_Curves/meltCurve_Q9UGC7_MTRF1L.pdf")</f>
        <v>Melting_Curves/meltCurve_Q9UGC7_MTRF1L.pdf</v>
      </c>
    </row>
    <row r="5857" spans="1:28" x14ac:dyDescent="0.25">
      <c r="A5857" t="s">
        <v>5861</v>
      </c>
      <c r="B5857">
        <v>0.99987803227770999</v>
      </c>
      <c r="C5857">
        <v>0.86687403086980597</v>
      </c>
      <c r="D5857">
        <v>1.0274984604927599</v>
      </c>
      <c r="E5857">
        <v>0.89212772610955304</v>
      </c>
      <c r="F5857">
        <v>0.98803838491765195</v>
      </c>
      <c r="G5857">
        <v>0.51407049380624503</v>
      </c>
      <c r="H5857">
        <v>0.14586933017137699</v>
      </c>
      <c r="I5857">
        <v>0.118102343630355</v>
      </c>
      <c r="J5857">
        <v>9.2420084605410305E-2</v>
      </c>
      <c r="K5857">
        <v>6.5966255600032803E-2</v>
      </c>
      <c r="L5857">
        <v>2431.3718883751899</v>
      </c>
      <c r="M5857">
        <v>42.769813370821602</v>
      </c>
      <c r="N5857">
        <v>57.115782503260803</v>
      </c>
      <c r="O5857">
        <v>56.723992932312498</v>
      </c>
      <c r="P5857">
        <v>-0.17136556662524599</v>
      </c>
      <c r="Q5857">
        <v>9.0898664333787599E-2</v>
      </c>
      <c r="R5857">
        <v>0.98072990832398799</v>
      </c>
      <c r="S5857" t="s">
        <v>12168</v>
      </c>
      <c r="T5857" t="s">
        <v>12620</v>
      </c>
      <c r="U5857" t="s">
        <v>12620</v>
      </c>
      <c r="V5857" t="s">
        <v>12620</v>
      </c>
      <c r="W5857" t="s">
        <v>18417</v>
      </c>
      <c r="X5857">
        <v>38</v>
      </c>
      <c r="Y5857" t="s">
        <v>24506</v>
      </c>
      <c r="Z5857" t="s">
        <v>30804</v>
      </c>
      <c r="AA5857">
        <v>0.60454639647500064</v>
      </c>
      <c r="AB5857" t="str">
        <f>HYPERLINK("Melting_Curves/meltCurve_Q9UGI8_TES.pdf", "Melting_Curves/meltCurve_Q9UGI8_TES.pdf")</f>
        <v>Melting_Curves/meltCurve_Q9UGI8_TES.pdf</v>
      </c>
    </row>
    <row r="5858" spans="1:28" x14ac:dyDescent="0.25">
      <c r="A5858" t="s">
        <v>5862</v>
      </c>
      <c r="B5858">
        <v>0.99987803227770999</v>
      </c>
      <c r="C5858">
        <v>0.99557086966425301</v>
      </c>
      <c r="D5858">
        <v>1.13482248323146</v>
      </c>
      <c r="E5858">
        <v>1.0542856433235599</v>
      </c>
      <c r="F5858">
        <v>1.05900922737648</v>
      </c>
      <c r="G5858">
        <v>0.58845240584296099</v>
      </c>
      <c r="H5858">
        <v>0.14071068674607101</v>
      </c>
      <c r="I5858">
        <v>0.12823053298449999</v>
      </c>
      <c r="J5858">
        <v>0.120386332242441</v>
      </c>
      <c r="K5858">
        <v>8.2650727188684894E-2</v>
      </c>
      <c r="L5858">
        <v>5228.9480655561701</v>
      </c>
      <c r="M5858">
        <v>91.598687953249893</v>
      </c>
      <c r="N5858">
        <v>57.252533612419903</v>
      </c>
      <c r="O5858">
        <v>57.058210559974398</v>
      </c>
      <c r="P5858">
        <v>-0.35425629478517801</v>
      </c>
      <c r="Q5858">
        <v>0.117313617723716</v>
      </c>
      <c r="R5858">
        <v>0.98635975164057199</v>
      </c>
      <c r="S5858" t="s">
        <v>12169</v>
      </c>
      <c r="T5858" t="s">
        <v>12620</v>
      </c>
      <c r="U5858" t="s">
        <v>12620</v>
      </c>
      <c r="V5858" t="s">
        <v>12620</v>
      </c>
      <c r="W5858" t="s">
        <v>18418</v>
      </c>
      <c r="X5858">
        <v>38</v>
      </c>
      <c r="Y5858" t="s">
        <v>24506</v>
      </c>
      <c r="Z5858" t="s">
        <v>30805</v>
      </c>
      <c r="AA5858">
        <v>0.62067505565196568</v>
      </c>
      <c r="AB5858" t="str">
        <f>HYPERLINK("Melting_Curves/meltCurve_Q9UGI8_2_TES.pdf", "Melting_Curves/meltCurve_Q9UGI8_2_TES.pdf")</f>
        <v>Melting_Curves/meltCurve_Q9UGI8_2_TES.pdf</v>
      </c>
    </row>
    <row r="5859" spans="1:28" x14ac:dyDescent="0.25">
      <c r="A5859" t="s">
        <v>5863</v>
      </c>
      <c r="B5859">
        <v>0.99987803227770999</v>
      </c>
      <c r="C5859">
        <v>1.0952350889043301</v>
      </c>
      <c r="D5859">
        <v>0.96936557783883903</v>
      </c>
      <c r="E5859">
        <v>1.1561116817745101</v>
      </c>
      <c r="F5859">
        <v>0.85012847915303102</v>
      </c>
      <c r="G5859">
        <v>0.44745489530549099</v>
      </c>
      <c r="H5859">
        <v>0.334904098881597</v>
      </c>
      <c r="I5859">
        <v>0.30706797750968601</v>
      </c>
      <c r="J5859">
        <v>0.16146802189803999</v>
      </c>
      <c r="K5859">
        <v>0.14067216147016401</v>
      </c>
      <c r="L5859">
        <v>1774.8434202429601</v>
      </c>
      <c r="M5859">
        <v>31.8342138563765</v>
      </c>
      <c r="N5859">
        <v>56.747333192913899</v>
      </c>
      <c r="O5859">
        <v>55.534088576204802</v>
      </c>
      <c r="P5859">
        <v>-0.11266821944224301</v>
      </c>
      <c r="Q5859">
        <v>0.213815205881285</v>
      </c>
      <c r="R5859">
        <v>0.95747033806267101</v>
      </c>
      <c r="S5859" t="s">
        <v>12170</v>
      </c>
      <c r="T5859" t="s">
        <v>12620</v>
      </c>
      <c r="U5859" t="s">
        <v>12620</v>
      </c>
      <c r="V5859" t="s">
        <v>12620</v>
      </c>
      <c r="W5859" t="s">
        <v>18419</v>
      </c>
      <c r="X5859">
        <v>3</v>
      </c>
      <c r="Y5859" t="s">
        <v>24507</v>
      </c>
      <c r="Z5859" t="s">
        <v>30806</v>
      </c>
      <c r="AA5859">
        <v>0.6313219904591989</v>
      </c>
      <c r="AB5859" t="str">
        <f>HYPERLINK("Melting_Curves/meltCurve_Q9UGJ0_2_PRKAG2.pdf", "Melting_Curves/meltCurve_Q9UGJ0_2_PRKAG2.pdf")</f>
        <v>Melting_Curves/meltCurve_Q9UGJ0_2_PRKAG2.pdf</v>
      </c>
    </row>
    <row r="5860" spans="1:28" x14ac:dyDescent="0.25">
      <c r="A5860" t="s">
        <v>5864</v>
      </c>
      <c r="B5860">
        <v>0.99987803227770999</v>
      </c>
      <c r="C5860">
        <v>0.82867585351350503</v>
      </c>
      <c r="D5860">
        <v>0.77590223702818395</v>
      </c>
      <c r="E5860">
        <v>0.59609648059019804</v>
      </c>
      <c r="F5860">
        <v>0.415182988603368</v>
      </c>
      <c r="G5860">
        <v>0.284176404885357</v>
      </c>
      <c r="H5860">
        <v>0.31412649079624</v>
      </c>
      <c r="I5860">
        <v>0.26898960315322301</v>
      </c>
      <c r="J5860">
        <v>0.21907645960272701</v>
      </c>
      <c r="K5860">
        <v>0.155490899875079</v>
      </c>
      <c r="L5860">
        <v>568.63746558818798</v>
      </c>
      <c r="M5860">
        <v>11.4661332959309</v>
      </c>
      <c r="N5860">
        <v>51.528344730675997</v>
      </c>
      <c r="O5860">
        <v>48.156243826465698</v>
      </c>
      <c r="P5860">
        <v>-4.9124368987854501E-2</v>
      </c>
      <c r="Q5860">
        <v>0.17497378936746999</v>
      </c>
      <c r="R5860">
        <v>0.98058245536345501</v>
      </c>
      <c r="S5860" t="s">
        <v>12171</v>
      </c>
      <c r="T5860" t="s">
        <v>12620</v>
      </c>
      <c r="U5860" t="s">
        <v>12620</v>
      </c>
      <c r="V5860" t="s">
        <v>12620</v>
      </c>
      <c r="W5860" t="s">
        <v>18420</v>
      </c>
      <c r="X5860">
        <v>4</v>
      </c>
      <c r="Y5860" t="s">
        <v>24508</v>
      </c>
      <c r="Z5860" t="s">
        <v>30807</v>
      </c>
      <c r="AA5860">
        <v>0.4702259997547133</v>
      </c>
      <c r="AB5860" t="str">
        <f>HYPERLINK("Melting_Curves/meltCurve_Q9UGK8_SERGEF.pdf", "Melting_Curves/meltCurve_Q9UGK8_SERGEF.pdf")</f>
        <v>Melting_Curves/meltCurve_Q9UGK8_SERGEF.pdf</v>
      </c>
    </row>
    <row r="5861" spans="1:28" x14ac:dyDescent="0.25">
      <c r="A5861" t="s">
        <v>5865</v>
      </c>
      <c r="B5861">
        <v>0.99987803227770999</v>
      </c>
      <c r="C5861">
        <v>0.926410147874696</v>
      </c>
      <c r="D5861">
        <v>1.0217324170934601</v>
      </c>
      <c r="E5861">
        <v>0.93014092585178099</v>
      </c>
      <c r="F5861">
        <v>1.03446804268545</v>
      </c>
      <c r="G5861">
        <v>0.83347624027457601</v>
      </c>
      <c r="H5861">
        <v>0.85331046629846996</v>
      </c>
      <c r="I5861">
        <v>0.81335366017391597</v>
      </c>
      <c r="J5861">
        <v>0.74815357511612102</v>
      </c>
      <c r="K5861">
        <v>0.60911662551525403</v>
      </c>
      <c r="L5861">
        <v>539.27128691345399</v>
      </c>
      <c r="M5861">
        <v>7.1203640651273998</v>
      </c>
      <c r="Q5861">
        <v>0</v>
      </c>
      <c r="R5861">
        <v>0.85633252709203</v>
      </c>
      <c r="S5861" t="s">
        <v>12172</v>
      </c>
      <c r="T5861" t="s">
        <v>12620</v>
      </c>
      <c r="U5861" t="s">
        <v>12620</v>
      </c>
      <c r="V5861" t="s">
        <v>12620</v>
      </c>
      <c r="W5861" t="s">
        <v>18421</v>
      </c>
      <c r="X5861">
        <v>18</v>
      </c>
      <c r="Y5861" t="s">
        <v>24509</v>
      </c>
      <c r="Z5861" t="s">
        <v>30808</v>
      </c>
      <c r="AA5861">
        <v>0.894051133062712</v>
      </c>
      <c r="AB5861" t="str">
        <f>HYPERLINK("Melting_Curves/meltCurve_Q9UGP4_LIMD1.pdf", "Melting_Curves/meltCurve_Q9UGP4_LIMD1.pdf")</f>
        <v>Melting_Curves/meltCurve_Q9UGP4_LIMD1.pdf</v>
      </c>
    </row>
    <row r="5862" spans="1:28" x14ac:dyDescent="0.25">
      <c r="A5862" t="s">
        <v>5866</v>
      </c>
      <c r="B5862">
        <v>0.99987803227770999</v>
      </c>
      <c r="C5862">
        <v>0.93196079746965899</v>
      </c>
      <c r="D5862">
        <v>0.91997296641911297</v>
      </c>
      <c r="E5862">
        <v>0.91546427691269205</v>
      </c>
      <c r="F5862">
        <v>0.88280075939798797</v>
      </c>
      <c r="G5862">
        <v>0.65506908101400396</v>
      </c>
      <c r="H5862">
        <v>0.50999783855465397</v>
      </c>
      <c r="I5862">
        <v>0.48945189306125703</v>
      </c>
      <c r="J5862">
        <v>0.38392486879663801</v>
      </c>
      <c r="K5862">
        <v>0.32708864612399702</v>
      </c>
      <c r="L5862">
        <v>636.51395145394804</v>
      </c>
      <c r="M5862">
        <v>10.7433979880509</v>
      </c>
      <c r="N5862">
        <v>62.330135527574903</v>
      </c>
      <c r="O5862">
        <v>57.304970936746997</v>
      </c>
      <c r="P5862">
        <v>-3.72226587599436E-2</v>
      </c>
      <c r="Q5862">
        <v>0.20611519607968101</v>
      </c>
      <c r="R5862">
        <v>0.97988062387249097</v>
      </c>
      <c r="S5862" t="s">
        <v>12173</v>
      </c>
      <c r="T5862" t="s">
        <v>12620</v>
      </c>
      <c r="U5862" t="s">
        <v>12620</v>
      </c>
      <c r="V5862" t="s">
        <v>12620</v>
      </c>
      <c r="W5862" t="s">
        <v>18422</v>
      </c>
      <c r="X5862">
        <v>1</v>
      </c>
      <c r="Y5862" t="s">
        <v>24510</v>
      </c>
      <c r="Z5862" t="s">
        <v>30809</v>
      </c>
      <c r="AA5862">
        <v>0.71851007347697049</v>
      </c>
      <c r="AB5862" t="str">
        <f>HYPERLINK("Melting_Curves/meltCurve_Q9UGT4_SUSD2.pdf", "Melting_Curves/meltCurve_Q9UGT4_SUSD2.pdf")</f>
        <v>Melting_Curves/meltCurve_Q9UGT4_SUSD2.pdf</v>
      </c>
    </row>
    <row r="5863" spans="1:28" x14ac:dyDescent="0.25">
      <c r="A5863" t="s">
        <v>5867</v>
      </c>
      <c r="B5863">
        <v>0.99987803227770999</v>
      </c>
      <c r="C5863">
        <v>0.728784337344344</v>
      </c>
      <c r="D5863">
        <v>0.95689340493000796</v>
      </c>
      <c r="E5863">
        <v>0.779025149488907</v>
      </c>
      <c r="F5863">
        <v>1.0362031094084401</v>
      </c>
      <c r="G5863">
        <v>0.89540104222748296</v>
      </c>
      <c r="H5863">
        <v>0.95710737716097405</v>
      </c>
      <c r="I5863">
        <v>0.85202427173350803</v>
      </c>
      <c r="J5863">
        <v>0.92800586266547203</v>
      </c>
      <c r="K5863">
        <v>0.80328629616506797</v>
      </c>
      <c r="L5863">
        <v>28.313305677934501</v>
      </c>
      <c r="M5863">
        <v>1.0000000000000001E-5</v>
      </c>
      <c r="Q5863">
        <v>0.71298945242200296</v>
      </c>
      <c r="R5863">
        <v>4.6316855421165704E-3</v>
      </c>
      <c r="S5863" t="s">
        <v>12174</v>
      </c>
      <c r="T5863" t="s">
        <v>12620</v>
      </c>
      <c r="U5863" t="s">
        <v>12620</v>
      </c>
      <c r="V5863" t="s">
        <v>12620</v>
      </c>
      <c r="W5863" t="s">
        <v>18423</v>
      </c>
      <c r="X5863">
        <v>11</v>
      </c>
      <c r="Y5863" t="s">
        <v>24511</v>
      </c>
      <c r="Z5863" t="s">
        <v>30810</v>
      </c>
      <c r="AA5863">
        <v>0.89346883053279302</v>
      </c>
      <c r="AB5863" t="str">
        <f>HYPERLINK("Melting_Curves/meltCurve_Q9UGU0_2_TCF20.pdf", "Melting_Curves/meltCurve_Q9UGU0_2_TCF20.pdf")</f>
        <v>Melting_Curves/meltCurve_Q9UGU0_2_TCF20.pdf</v>
      </c>
    </row>
    <row r="5864" spans="1:28" x14ac:dyDescent="0.25">
      <c r="A5864" t="s">
        <v>5868</v>
      </c>
      <c r="B5864">
        <v>0.99987803227770999</v>
      </c>
      <c r="C5864">
        <v>0.91107203959083205</v>
      </c>
      <c r="D5864">
        <v>1.04622784047336</v>
      </c>
      <c r="E5864">
        <v>0.84402221838552405</v>
      </c>
      <c r="F5864">
        <v>0.74723874336312901</v>
      </c>
      <c r="G5864">
        <v>0.219107018324736</v>
      </c>
      <c r="H5864">
        <v>0.129388506768529</v>
      </c>
      <c r="I5864">
        <v>0.118254224572682</v>
      </c>
      <c r="J5864">
        <v>6.42170116154335E-2</v>
      </c>
      <c r="K5864">
        <v>4.7833186407080598E-2</v>
      </c>
      <c r="L5864">
        <v>1553.8834049176101</v>
      </c>
      <c r="M5864">
        <v>28.602970785839599</v>
      </c>
      <c r="N5864">
        <v>54.612085225451601</v>
      </c>
      <c r="O5864">
        <v>54.062478471141503</v>
      </c>
      <c r="P5864">
        <v>-0.123064796721282</v>
      </c>
      <c r="Q5864">
        <v>6.9588180361333907E-2</v>
      </c>
      <c r="R5864">
        <v>0.98514137007382696</v>
      </c>
      <c r="S5864" t="s">
        <v>12175</v>
      </c>
      <c r="T5864" t="s">
        <v>12620</v>
      </c>
      <c r="U5864" t="s">
        <v>12620</v>
      </c>
      <c r="V5864" t="s">
        <v>12620</v>
      </c>
      <c r="W5864" t="s">
        <v>18424</v>
      </c>
      <c r="X5864">
        <v>9</v>
      </c>
      <c r="Y5864" t="s">
        <v>24512</v>
      </c>
      <c r="Z5864" t="s">
        <v>30811</v>
      </c>
      <c r="AA5864">
        <v>0.52060584584385772</v>
      </c>
      <c r="AB5864" t="str">
        <f>HYPERLINK("Melting_Curves/meltCurve_Q9UGV2_NDRG3.pdf", "Melting_Curves/meltCurve_Q9UGV2_NDRG3.pdf")</f>
        <v>Melting_Curves/meltCurve_Q9UGV2_NDRG3.pdf</v>
      </c>
    </row>
    <row r="5865" spans="1:28" x14ac:dyDescent="0.25">
      <c r="A5865" t="s">
        <v>5869</v>
      </c>
      <c r="B5865">
        <v>0.99987803227770999</v>
      </c>
      <c r="C5865">
        <v>1.0959206211576999</v>
      </c>
      <c r="D5865">
        <v>0.87066847491402199</v>
      </c>
      <c r="E5865">
        <v>0.452067752335643</v>
      </c>
      <c r="F5865">
        <v>0.19953435649349299</v>
      </c>
      <c r="G5865">
        <v>0.142786085037268</v>
      </c>
      <c r="H5865">
        <v>0.118248753107803</v>
      </c>
      <c r="I5865">
        <v>9.8821458608940704E-2</v>
      </c>
      <c r="J5865">
        <v>6.6171856088490494E-2</v>
      </c>
      <c r="K5865">
        <v>7.1424617847693106E-2</v>
      </c>
      <c r="L5865">
        <v>1393.9943614609899</v>
      </c>
      <c r="M5865">
        <v>28.3073667484753</v>
      </c>
      <c r="N5865">
        <v>49.609714494804102</v>
      </c>
      <c r="O5865">
        <v>49.001156788503799</v>
      </c>
      <c r="P5865">
        <v>-0.13085426665390601</v>
      </c>
      <c r="Q5865">
        <v>9.3952463954090695E-2</v>
      </c>
      <c r="R5865">
        <v>0.99035147989778005</v>
      </c>
      <c r="S5865" t="s">
        <v>12176</v>
      </c>
      <c r="T5865" t="s">
        <v>12620</v>
      </c>
      <c r="U5865" t="s">
        <v>12620</v>
      </c>
      <c r="V5865" t="s">
        <v>12620</v>
      </c>
      <c r="W5865" t="s">
        <v>18425</v>
      </c>
      <c r="X5865">
        <v>6</v>
      </c>
      <c r="Y5865" t="s">
        <v>24513</v>
      </c>
      <c r="Z5865" t="s">
        <v>30812</v>
      </c>
      <c r="AA5865">
        <v>0.37940035071979061</v>
      </c>
      <c r="AB5865" t="str">
        <f>HYPERLINK("Melting_Curves/meltCurve_Q9UH62_ARMCX3.pdf", "Melting_Curves/meltCurve_Q9UH62_ARMCX3.pdf")</f>
        <v>Melting_Curves/meltCurve_Q9UH62_ARMCX3.pdf</v>
      </c>
    </row>
    <row r="5866" spans="1:28" x14ac:dyDescent="0.25">
      <c r="A5866" t="s">
        <v>5870</v>
      </c>
      <c r="B5866">
        <v>0.99987803227770999</v>
      </c>
      <c r="C5866">
        <v>0.84179332081928504</v>
      </c>
      <c r="D5866">
        <v>1.0342507019426901</v>
      </c>
      <c r="E5866">
        <v>0.89667222502460897</v>
      </c>
      <c r="F5866">
        <v>0.80511062225556695</v>
      </c>
      <c r="G5866">
        <v>0.32139178985779498</v>
      </c>
      <c r="H5866">
        <v>0.12940886860481299</v>
      </c>
      <c r="I5866">
        <v>0.109091971851039</v>
      </c>
      <c r="J5866">
        <v>8.3008911799032997E-2</v>
      </c>
      <c r="K5866">
        <v>6.22133587413728E-2</v>
      </c>
      <c r="L5866">
        <v>1568.97933454862</v>
      </c>
      <c r="M5866">
        <v>28.457587676747</v>
      </c>
      <c r="N5866">
        <v>55.445179650038099</v>
      </c>
      <c r="O5866">
        <v>54.863852705687499</v>
      </c>
      <c r="P5866">
        <v>-0.12010255877982599</v>
      </c>
      <c r="Q5866">
        <v>7.38166257561053E-2</v>
      </c>
      <c r="R5866">
        <v>0.98039698041358403</v>
      </c>
      <c r="S5866" t="s">
        <v>12177</v>
      </c>
      <c r="T5866" t="s">
        <v>12620</v>
      </c>
      <c r="U5866" t="s">
        <v>12620</v>
      </c>
      <c r="V5866" t="s">
        <v>12620</v>
      </c>
      <c r="W5866" t="s">
        <v>18426</v>
      </c>
      <c r="X5866">
        <v>32</v>
      </c>
      <c r="Y5866" t="s">
        <v>24514</v>
      </c>
      <c r="Z5866" t="s">
        <v>30813</v>
      </c>
      <c r="AA5866">
        <v>0.54782982985514106</v>
      </c>
      <c r="AB5866" t="str">
        <f>HYPERLINK("Melting_Curves/meltCurve_Q9UH65_SWAP70.pdf", "Melting_Curves/meltCurve_Q9UH65_SWAP70.pdf")</f>
        <v>Melting_Curves/meltCurve_Q9UH65_SWAP70.pdf</v>
      </c>
    </row>
    <row r="5867" spans="1:28" x14ac:dyDescent="0.25">
      <c r="A5867" t="s">
        <v>5871</v>
      </c>
      <c r="B5867">
        <v>0.99987803227770999</v>
      </c>
      <c r="C5867">
        <v>0.76514327428426399</v>
      </c>
      <c r="D5867">
        <v>1.1008145795783599</v>
      </c>
      <c r="E5867">
        <v>0.72399583451332405</v>
      </c>
      <c r="F5867">
        <v>0.76745905428243</v>
      </c>
      <c r="G5867">
        <v>0.429799819600859</v>
      </c>
      <c r="H5867">
        <v>0.31307729909948601</v>
      </c>
      <c r="I5867">
        <v>0.316008777129967</v>
      </c>
      <c r="J5867">
        <v>0.19070508502804501</v>
      </c>
      <c r="K5867">
        <v>0.13929984926365199</v>
      </c>
      <c r="L5867">
        <v>646.82262055643002</v>
      </c>
      <c r="M5867">
        <v>11.5615818382666</v>
      </c>
      <c r="N5867">
        <v>56.767075260060899</v>
      </c>
      <c r="O5867">
        <v>54.350684258501602</v>
      </c>
      <c r="P5867">
        <v>-4.9098820334120198E-2</v>
      </c>
      <c r="Q5867">
        <v>7.7007987134862996E-2</v>
      </c>
      <c r="R5867">
        <v>0.90779012246214896</v>
      </c>
      <c r="S5867" t="s">
        <v>12178</v>
      </c>
      <c r="T5867" t="s">
        <v>12620</v>
      </c>
      <c r="U5867" t="s">
        <v>12620</v>
      </c>
      <c r="V5867" t="s">
        <v>12620</v>
      </c>
      <c r="W5867" t="s">
        <v>18427</v>
      </c>
      <c r="X5867">
        <v>1</v>
      </c>
      <c r="Y5867" t="s">
        <v>24515</v>
      </c>
      <c r="Z5867" t="s">
        <v>30814</v>
      </c>
      <c r="AA5867">
        <v>0.58684541477253316</v>
      </c>
      <c r="AB5867" t="str">
        <f>HYPERLINK("Melting_Curves/meltCurve_Q9UH92_2_MLX.pdf", "Melting_Curves/meltCurve_Q9UH92_2_MLX.pdf")</f>
        <v>Melting_Curves/meltCurve_Q9UH92_2_MLX.pdf</v>
      </c>
    </row>
    <row r="5868" spans="1:28" x14ac:dyDescent="0.25">
      <c r="A5868" t="s">
        <v>5872</v>
      </c>
      <c r="B5868">
        <v>0.99987803227770999</v>
      </c>
      <c r="C5868">
        <v>1.26328299198379</v>
      </c>
      <c r="D5868">
        <v>1.1130124089767299</v>
      </c>
      <c r="E5868">
        <v>1.48113292196858</v>
      </c>
      <c r="F5868">
        <v>1.51854244808835</v>
      </c>
      <c r="G5868">
        <v>1.0726512724268</v>
      </c>
      <c r="H5868">
        <v>1.00136335939695</v>
      </c>
      <c r="I5868">
        <v>0.97589921147830405</v>
      </c>
      <c r="J5868">
        <v>0.99323028515001899</v>
      </c>
      <c r="K5868">
        <v>0.64187597598135004</v>
      </c>
      <c r="L5868">
        <v>6786.7787572398402</v>
      </c>
      <c r="M5868">
        <v>96.370435205241193</v>
      </c>
      <c r="Q5868">
        <v>0</v>
      </c>
      <c r="R5868">
        <v>2.6084609400247E-2</v>
      </c>
      <c r="S5868" t="s">
        <v>12179</v>
      </c>
      <c r="T5868" t="s">
        <v>12620</v>
      </c>
      <c r="U5868" t="s">
        <v>12620</v>
      </c>
      <c r="V5868" t="s">
        <v>12620</v>
      </c>
      <c r="W5868" t="s">
        <v>18428</v>
      </c>
      <c r="X5868">
        <v>1</v>
      </c>
      <c r="Y5868" t="s">
        <v>24516</v>
      </c>
      <c r="Z5868" t="s">
        <v>30815</v>
      </c>
      <c r="AA5868">
        <v>0.98956815387856956</v>
      </c>
      <c r="AB5868" t="str">
        <f>HYPERLINK("Melting_Curves/meltCurve_Q9UHA3_RSL24D1.pdf", "Melting_Curves/meltCurve_Q9UHA3_RSL24D1.pdf")</f>
        <v>Melting_Curves/meltCurve_Q9UHA3_RSL24D1.pdf</v>
      </c>
    </row>
    <row r="5869" spans="1:28" x14ac:dyDescent="0.25">
      <c r="A5869" t="s">
        <v>5873</v>
      </c>
      <c r="B5869">
        <v>0.99987803227770999</v>
      </c>
      <c r="C5869">
        <v>0.98238719668688401</v>
      </c>
      <c r="D5869">
        <v>0.95585075933768204</v>
      </c>
      <c r="E5869">
        <v>1.00483481571109</v>
      </c>
      <c r="F5869">
        <v>0.92652672176561102</v>
      </c>
      <c r="G5869">
        <v>0.91603850102665696</v>
      </c>
      <c r="H5869">
        <v>0.36959499399393397</v>
      </c>
      <c r="I5869">
        <v>0.28289597324669302</v>
      </c>
      <c r="J5869">
        <v>7.3621228855824603E-2</v>
      </c>
      <c r="K5869">
        <v>3.8815709675366503E-2</v>
      </c>
      <c r="L5869">
        <v>1801.39827364803</v>
      </c>
      <c r="M5869">
        <v>29.887014672389402</v>
      </c>
      <c r="N5869">
        <v>60.483365377711401</v>
      </c>
      <c r="O5869">
        <v>60.005695230125198</v>
      </c>
      <c r="P5869">
        <v>-0.11838838274287</v>
      </c>
      <c r="Q5869">
        <v>4.9228521992794698E-2</v>
      </c>
      <c r="R5869">
        <v>0.98424457574035595</v>
      </c>
      <c r="S5869" t="s">
        <v>12180</v>
      </c>
      <c r="T5869" t="s">
        <v>12620</v>
      </c>
      <c r="U5869" t="s">
        <v>12620</v>
      </c>
      <c r="V5869" t="s">
        <v>12620</v>
      </c>
      <c r="W5869" t="s">
        <v>18429</v>
      </c>
      <c r="X5869">
        <v>1</v>
      </c>
      <c r="Y5869" t="s">
        <v>24517</v>
      </c>
      <c r="Z5869" t="s">
        <v>30816</v>
      </c>
      <c r="AA5869">
        <v>0.69743166759943098</v>
      </c>
      <c r="AB5869" t="str">
        <f>HYPERLINK("Melting_Curves/meltCurve_Q9UHA4_2_LAMTOR3.pdf", "Melting_Curves/meltCurve_Q9UHA4_2_LAMTOR3.pdf")</f>
        <v>Melting_Curves/meltCurve_Q9UHA4_2_LAMTOR3.pdf</v>
      </c>
    </row>
    <row r="5870" spans="1:28" x14ac:dyDescent="0.25">
      <c r="A5870" t="s">
        <v>5874</v>
      </c>
      <c r="B5870">
        <v>0.99987803227770999</v>
      </c>
      <c r="C5870">
        <v>0.83982806477716299</v>
      </c>
      <c r="D5870">
        <v>0.93671887377296303</v>
      </c>
      <c r="E5870">
        <v>0.78078581710904105</v>
      </c>
      <c r="F5870">
        <v>0.95502365266626799</v>
      </c>
      <c r="G5870">
        <v>0.63862228841319602</v>
      </c>
      <c r="H5870">
        <v>0.68887372502940702</v>
      </c>
      <c r="I5870">
        <v>0.63033377260049595</v>
      </c>
      <c r="J5870">
        <v>0.72823371226655598</v>
      </c>
      <c r="K5870">
        <v>0.58903764703636596</v>
      </c>
      <c r="L5870">
        <v>320.82096695496898</v>
      </c>
      <c r="M5870">
        <v>5.6164086820858596</v>
      </c>
      <c r="O5870">
        <v>51.113231446659498</v>
      </c>
      <c r="P5870">
        <v>-1.42105536945008E-2</v>
      </c>
      <c r="Q5870">
        <v>0.48480492732522601</v>
      </c>
      <c r="R5870">
        <v>0.689765417736801</v>
      </c>
      <c r="S5870" t="s">
        <v>12181</v>
      </c>
      <c r="T5870" t="s">
        <v>12620</v>
      </c>
      <c r="U5870" t="s">
        <v>12620</v>
      </c>
      <c r="V5870" t="s">
        <v>12620</v>
      </c>
      <c r="W5870" t="s">
        <v>18430</v>
      </c>
      <c r="X5870">
        <v>6</v>
      </c>
      <c r="Y5870" t="s">
        <v>24518</v>
      </c>
      <c r="Z5870" t="s">
        <v>30817</v>
      </c>
      <c r="AA5870">
        <v>0.77857970161004075</v>
      </c>
      <c r="AB5870" t="str">
        <f>HYPERLINK("Melting_Curves/meltCurve_Q9UHB6_LIMA1.pdf", "Melting_Curves/meltCurve_Q9UHB6_LIMA1.pdf")</f>
        <v>Melting_Curves/meltCurve_Q9UHB6_LIMA1.pdf</v>
      </c>
    </row>
    <row r="5871" spans="1:28" x14ac:dyDescent="0.25">
      <c r="A5871" t="s">
        <v>5875</v>
      </c>
      <c r="B5871">
        <v>0.99987803227770999</v>
      </c>
      <c r="C5871">
        <v>0.93530339626185799</v>
      </c>
      <c r="D5871">
        <v>0.96931298432010005</v>
      </c>
      <c r="E5871">
        <v>0.91721591764454702</v>
      </c>
      <c r="F5871">
        <v>1.05951123468916</v>
      </c>
      <c r="G5871">
        <v>0.91130618499765104</v>
      </c>
      <c r="H5871">
        <v>0.96299176129443598</v>
      </c>
      <c r="I5871">
        <v>0.90049716855076101</v>
      </c>
      <c r="J5871">
        <v>0.94404123309197496</v>
      </c>
      <c r="K5871">
        <v>0.74050888497857503</v>
      </c>
      <c r="L5871">
        <v>1100.02142877187</v>
      </c>
      <c r="M5871">
        <v>14.506322927390199</v>
      </c>
      <c r="Q5871">
        <v>0</v>
      </c>
      <c r="R5871">
        <v>0.51933047423106504</v>
      </c>
      <c r="S5871" t="s">
        <v>12182</v>
      </c>
      <c r="T5871" t="s">
        <v>12620</v>
      </c>
      <c r="U5871" t="s">
        <v>12620</v>
      </c>
      <c r="V5871" t="s">
        <v>12620</v>
      </c>
      <c r="W5871" t="s">
        <v>18431</v>
      </c>
      <c r="X5871">
        <v>23</v>
      </c>
      <c r="Y5871" t="s">
        <v>24519</v>
      </c>
      <c r="Z5871" t="s">
        <v>30818</v>
      </c>
      <c r="AA5871">
        <v>0.96562772696569854</v>
      </c>
      <c r="AB5871" t="str">
        <f>HYPERLINK("Melting_Curves/meltCurve_Q9UHB7_AFF4.pdf", "Melting_Curves/meltCurve_Q9UHB7_AFF4.pdf")</f>
        <v>Melting_Curves/meltCurve_Q9UHB7_AFF4.pdf</v>
      </c>
    </row>
    <row r="5872" spans="1:28" x14ac:dyDescent="0.25">
      <c r="A5872" t="s">
        <v>5876</v>
      </c>
      <c r="B5872">
        <v>0.99987803227770999</v>
      </c>
      <c r="C5872">
        <v>0.97570780814946401</v>
      </c>
      <c r="D5872">
        <v>0.81529038487102801</v>
      </c>
      <c r="E5872">
        <v>0.53695014724158896</v>
      </c>
      <c r="F5872">
        <v>0.257220689919195</v>
      </c>
      <c r="G5872">
        <v>0.14692044300467499</v>
      </c>
      <c r="H5872">
        <v>9.7377109748811502E-2</v>
      </c>
      <c r="I5872">
        <v>8.6930546586651197E-2</v>
      </c>
      <c r="J5872">
        <v>6.91106804171506E-2</v>
      </c>
      <c r="K5872">
        <v>5.1496599145229902E-2</v>
      </c>
      <c r="L5872">
        <v>955.08088226479799</v>
      </c>
      <c r="M5872">
        <v>19.1913801118849</v>
      </c>
      <c r="N5872">
        <v>50.118033060543198</v>
      </c>
      <c r="O5872">
        <v>49.235230254866998</v>
      </c>
      <c r="P5872">
        <v>-9.1308555031943198E-2</v>
      </c>
      <c r="Q5872">
        <v>6.3032188547952894E-2</v>
      </c>
      <c r="R5872">
        <v>0.99793652938064803</v>
      </c>
      <c r="S5872" t="s">
        <v>12183</v>
      </c>
      <c r="T5872" t="s">
        <v>12620</v>
      </c>
      <c r="U5872" t="s">
        <v>12620</v>
      </c>
      <c r="V5872" t="s">
        <v>12620</v>
      </c>
      <c r="W5872" t="s">
        <v>18432</v>
      </c>
      <c r="X5872">
        <v>24</v>
      </c>
      <c r="Y5872" t="s">
        <v>24520</v>
      </c>
      <c r="Z5872" t="s">
        <v>30819</v>
      </c>
      <c r="AA5872">
        <v>0.38220836674756858</v>
      </c>
      <c r="AB5872" t="str">
        <f>HYPERLINK("Melting_Curves/meltCurve_Q9UHB9_SRP68.pdf", "Melting_Curves/meltCurve_Q9UHB9_SRP68.pdf")</f>
        <v>Melting_Curves/meltCurve_Q9UHB9_SRP68.pdf</v>
      </c>
    </row>
    <row r="5873" spans="1:28" x14ac:dyDescent="0.25">
      <c r="A5873" t="s">
        <v>5877</v>
      </c>
      <c r="B5873">
        <v>0.99987803227770999</v>
      </c>
      <c r="C5873">
        <v>1.2244178090981499</v>
      </c>
      <c r="D5873">
        <v>0.65486128290509404</v>
      </c>
      <c r="E5873">
        <v>1.0946168548026001</v>
      </c>
      <c r="F5873">
        <v>0.86851992388068999</v>
      </c>
      <c r="G5873">
        <v>0.327005365804307</v>
      </c>
      <c r="H5873">
        <v>0.14938339439394399</v>
      </c>
      <c r="I5873">
        <v>0.107820961782119</v>
      </c>
      <c r="J5873">
        <v>8.7336035222694799E-2</v>
      </c>
      <c r="K5873">
        <v>5.6447489532334701E-2</v>
      </c>
      <c r="L5873">
        <v>2195.31512970828</v>
      </c>
      <c r="M5873">
        <v>39.538673765112399</v>
      </c>
      <c r="N5873">
        <v>55.8077541779884</v>
      </c>
      <c r="O5873">
        <v>55.3817731967264</v>
      </c>
      <c r="P5873">
        <v>-0.162192257800823</v>
      </c>
      <c r="Q5873">
        <v>9.1271963808814804E-2</v>
      </c>
      <c r="R5873">
        <v>0.90505733873171801</v>
      </c>
      <c r="S5873" t="s">
        <v>12184</v>
      </c>
      <c r="T5873" t="s">
        <v>12620</v>
      </c>
      <c r="U5873" t="s">
        <v>12620</v>
      </c>
      <c r="V5873" t="s">
        <v>12620</v>
      </c>
      <c r="W5873" t="s">
        <v>18433</v>
      </c>
      <c r="X5873">
        <v>15</v>
      </c>
      <c r="Y5873" t="s">
        <v>24521</v>
      </c>
      <c r="Z5873" t="s">
        <v>30820</v>
      </c>
      <c r="AA5873">
        <v>0.56503622919924024</v>
      </c>
      <c r="AB5873" t="str">
        <f>HYPERLINK("Melting_Curves/meltCurve_Q9UHD1_CHORDC1.pdf", "Melting_Curves/meltCurve_Q9UHD1_CHORDC1.pdf")</f>
        <v>Melting_Curves/meltCurve_Q9UHD1_CHORDC1.pdf</v>
      </c>
    </row>
    <row r="5874" spans="1:28" x14ac:dyDescent="0.25">
      <c r="A5874" t="s">
        <v>5878</v>
      </c>
      <c r="B5874">
        <v>0.99987803227770999</v>
      </c>
      <c r="C5874">
        <v>1.03057797785771</v>
      </c>
      <c r="D5874">
        <v>0.71971843215169695</v>
      </c>
      <c r="E5874">
        <v>0.42464258882956801</v>
      </c>
      <c r="F5874">
        <v>0.20971099917744801</v>
      </c>
      <c r="G5874">
        <v>0.111409585817587</v>
      </c>
      <c r="H5874">
        <v>6.3128431515733302E-2</v>
      </c>
      <c r="I5874">
        <v>7.7474163968268894E-2</v>
      </c>
      <c r="J5874">
        <v>5.2744834099731797E-2</v>
      </c>
      <c r="K5874">
        <v>3.8241486669334898E-2</v>
      </c>
      <c r="L5874">
        <v>971.04866616924699</v>
      </c>
      <c r="M5874">
        <v>19.9398048107881</v>
      </c>
      <c r="N5874">
        <v>48.975618304550999</v>
      </c>
      <c r="O5874">
        <v>48.217136172292101</v>
      </c>
      <c r="P5874">
        <v>-9.7882948808624401E-2</v>
      </c>
      <c r="Q5874">
        <v>5.3254637991558197E-2</v>
      </c>
      <c r="R5874">
        <v>0.991324436098589</v>
      </c>
      <c r="S5874" t="s">
        <v>12185</v>
      </c>
      <c r="T5874" t="s">
        <v>12620</v>
      </c>
      <c r="U5874" t="s">
        <v>12620</v>
      </c>
      <c r="V5874" t="s">
        <v>12620</v>
      </c>
      <c r="W5874" t="s">
        <v>18434</v>
      </c>
      <c r="X5874">
        <v>11</v>
      </c>
      <c r="Y5874" t="s">
        <v>24522</v>
      </c>
      <c r="Z5874" t="s">
        <v>30821</v>
      </c>
      <c r="AA5874">
        <v>0.34116651020022459</v>
      </c>
      <c r="AB5874" t="str">
        <f>HYPERLINK("Melting_Curves/meltCurve_Q9UHD2_TBK1.pdf", "Melting_Curves/meltCurve_Q9UHD2_TBK1.pdf")</f>
        <v>Melting_Curves/meltCurve_Q9UHD2_TBK1.pdf</v>
      </c>
    </row>
    <row r="5875" spans="1:28" x14ac:dyDescent="0.25">
      <c r="A5875" t="s">
        <v>5879</v>
      </c>
      <c r="B5875">
        <v>0.99987803227770999</v>
      </c>
      <c r="C5875">
        <v>1.05515801335173</v>
      </c>
      <c r="D5875">
        <v>0.92235754897363897</v>
      </c>
      <c r="E5875">
        <v>1.2302163740173699</v>
      </c>
      <c r="F5875">
        <v>0.90931537304083199</v>
      </c>
      <c r="G5875">
        <v>0.46510111637143797</v>
      </c>
      <c r="H5875">
        <v>0.33677114149474902</v>
      </c>
      <c r="I5875">
        <v>0.30200887703251</v>
      </c>
      <c r="J5875">
        <v>0.27284642234213802</v>
      </c>
      <c r="K5875">
        <v>0.22319321272890499</v>
      </c>
      <c r="L5875">
        <v>2481.7021336345101</v>
      </c>
      <c r="M5875">
        <v>44.574033466065202</v>
      </c>
      <c r="N5875">
        <v>56.712326140595998</v>
      </c>
      <c r="O5875">
        <v>55.564224595211002</v>
      </c>
      <c r="P5875">
        <v>-0.144682373429877</v>
      </c>
      <c r="Q5875">
        <v>0.27857942667278301</v>
      </c>
      <c r="R5875">
        <v>0.94756692832067002</v>
      </c>
      <c r="S5875" t="s">
        <v>12186</v>
      </c>
      <c r="T5875" t="s">
        <v>12620</v>
      </c>
      <c r="U5875" t="s">
        <v>12620</v>
      </c>
      <c r="V5875" t="s">
        <v>12620</v>
      </c>
      <c r="W5875" t="s">
        <v>18435</v>
      </c>
      <c r="X5875">
        <v>35</v>
      </c>
      <c r="Y5875" t="s">
        <v>24523</v>
      </c>
      <c r="Z5875" t="s">
        <v>30822</v>
      </c>
      <c r="AA5875">
        <v>0.65777185119882675</v>
      </c>
      <c r="AB5875" t="str">
        <f>HYPERLINK("Melting_Curves/meltCurve_Q9UHD8_SEPT9.pdf", "Melting_Curves/meltCurve_Q9UHD8_SEPT9.pdf")</f>
        <v>Melting_Curves/meltCurve_Q9UHD8_SEPT9.pdf</v>
      </c>
    </row>
    <row r="5876" spans="1:28" x14ac:dyDescent="0.25">
      <c r="A5876" t="s">
        <v>5880</v>
      </c>
      <c r="B5876">
        <v>0.99987803227770999</v>
      </c>
      <c r="C5876">
        <v>0.95782922538158499</v>
      </c>
      <c r="D5876">
        <v>0.98758973564837205</v>
      </c>
      <c r="E5876">
        <v>0.94139341807006804</v>
      </c>
      <c r="F5876">
        <v>1.03504220428647</v>
      </c>
      <c r="G5876">
        <v>1.0129499284956101</v>
      </c>
      <c r="H5876">
        <v>1.04850788622962</v>
      </c>
      <c r="I5876">
        <v>1.0063993091593899</v>
      </c>
      <c r="J5876">
        <v>0.81168519156042596</v>
      </c>
      <c r="K5876">
        <v>0.58119984721593099</v>
      </c>
      <c r="L5876">
        <v>15000</v>
      </c>
      <c r="M5876">
        <v>223.678367235276</v>
      </c>
      <c r="O5876">
        <v>67.055209917627707</v>
      </c>
      <c r="P5876">
        <v>-0.349280693577598</v>
      </c>
      <c r="Q5876">
        <v>0.581164828372568</v>
      </c>
      <c r="R5876">
        <v>0.94965401830622198</v>
      </c>
      <c r="S5876" t="s">
        <v>12187</v>
      </c>
      <c r="T5876" t="s">
        <v>12620</v>
      </c>
      <c r="U5876" t="s">
        <v>12620</v>
      </c>
      <c r="V5876" t="s">
        <v>12620</v>
      </c>
      <c r="W5876" t="s">
        <v>18436</v>
      </c>
      <c r="X5876">
        <v>11</v>
      </c>
      <c r="Y5876" t="s">
        <v>24524</v>
      </c>
      <c r="Z5876" t="s">
        <v>30823</v>
      </c>
      <c r="AA5876">
        <v>0.95902338209267468</v>
      </c>
      <c r="AB5876" t="str">
        <f>HYPERLINK("Melting_Curves/meltCurve_Q9UHD9_UBQLN2.pdf", "Melting_Curves/meltCurve_Q9UHD9_UBQLN2.pdf")</f>
        <v>Melting_Curves/meltCurve_Q9UHD9_UBQLN2.pdf</v>
      </c>
    </row>
    <row r="5877" spans="1:28" x14ac:dyDescent="0.25">
      <c r="A5877" t="s">
        <v>5881</v>
      </c>
      <c r="B5877">
        <v>0.99987803227770999</v>
      </c>
      <c r="C5877">
        <v>0.86605074588459097</v>
      </c>
      <c r="D5877">
        <v>0.92901816642783897</v>
      </c>
      <c r="E5877">
        <v>0.60400721288635695</v>
      </c>
      <c r="F5877">
        <v>0.65744679379717397</v>
      </c>
      <c r="G5877">
        <v>0.45007038272300398</v>
      </c>
      <c r="H5877">
        <v>0.46258207995913903</v>
      </c>
      <c r="I5877">
        <v>0.378854446186769</v>
      </c>
      <c r="J5877">
        <v>0.43780811325821301</v>
      </c>
      <c r="K5877">
        <v>0.38255496766932401</v>
      </c>
      <c r="L5877">
        <v>640.82551237519601</v>
      </c>
      <c r="M5877">
        <v>12.809510723545699</v>
      </c>
      <c r="N5877">
        <v>56.294563438687902</v>
      </c>
      <c r="O5877">
        <v>48.855105564202802</v>
      </c>
      <c r="P5877">
        <v>-4.0655840832527101E-2</v>
      </c>
      <c r="Q5877">
        <v>0.37987519654513402</v>
      </c>
      <c r="R5877">
        <v>0.94100835920317105</v>
      </c>
      <c r="S5877" t="s">
        <v>12188</v>
      </c>
      <c r="T5877" t="s">
        <v>12620</v>
      </c>
      <c r="U5877" t="s">
        <v>12620</v>
      </c>
      <c r="V5877" t="s">
        <v>12620</v>
      </c>
      <c r="W5877" t="s">
        <v>18437</v>
      </c>
      <c r="X5877">
        <v>5</v>
      </c>
      <c r="Y5877" t="s">
        <v>24525</v>
      </c>
      <c r="Z5877" t="s">
        <v>30824</v>
      </c>
      <c r="AA5877">
        <v>0.60646558225581937</v>
      </c>
      <c r="AB5877" t="str">
        <f>HYPERLINK("Melting_Curves/meltCurve_Q9UHG0_DCDC2.pdf", "Melting_Curves/meltCurve_Q9UHG0_DCDC2.pdf")</f>
        <v>Melting_Curves/meltCurve_Q9UHG0_DCDC2.pdf</v>
      </c>
    </row>
    <row r="5878" spans="1:28" x14ac:dyDescent="0.25">
      <c r="A5878" t="s">
        <v>5882</v>
      </c>
      <c r="B5878">
        <v>0.99987803227770999</v>
      </c>
      <c r="C5878">
        <v>0.96833862751852495</v>
      </c>
      <c r="D5878">
        <v>0.99449325203107297</v>
      </c>
      <c r="E5878">
        <v>0.76994214860306198</v>
      </c>
      <c r="F5878">
        <v>0.37528050736657098</v>
      </c>
      <c r="G5878">
        <v>0.209149758247726</v>
      </c>
      <c r="H5878">
        <v>0.20625509263605599</v>
      </c>
      <c r="I5878">
        <v>0.170034170142675</v>
      </c>
      <c r="J5878">
        <v>0.20916823332419601</v>
      </c>
      <c r="K5878">
        <v>0.15608712326625099</v>
      </c>
      <c r="L5878">
        <v>1865.58678774127</v>
      </c>
      <c r="M5878">
        <v>36.379971434804602</v>
      </c>
      <c r="N5878">
        <v>51.940937383625901</v>
      </c>
      <c r="O5878">
        <v>51.126392265827803</v>
      </c>
      <c r="P5878">
        <v>-0.14495617825144499</v>
      </c>
      <c r="Q5878">
        <v>0.18514899902540299</v>
      </c>
      <c r="R5878">
        <v>0.99764017493947299</v>
      </c>
      <c r="S5878" t="s">
        <v>12189</v>
      </c>
      <c r="T5878" t="s">
        <v>12620</v>
      </c>
      <c r="U5878" t="s">
        <v>12620</v>
      </c>
      <c r="V5878" t="s">
        <v>12620</v>
      </c>
      <c r="W5878" t="s">
        <v>18438</v>
      </c>
      <c r="X5878">
        <v>7</v>
      </c>
      <c r="Y5878" t="s">
        <v>24526</v>
      </c>
      <c r="Z5878" t="s">
        <v>30825</v>
      </c>
      <c r="AA5878">
        <v>0.49504479570932941</v>
      </c>
      <c r="AB5878" t="str">
        <f>HYPERLINK("Melting_Curves/meltCurve_Q9UHI6_DDX20.pdf", "Melting_Curves/meltCurve_Q9UHI6_DDX20.pdf")</f>
        <v>Melting_Curves/meltCurve_Q9UHI6_DDX20.pdf</v>
      </c>
    </row>
    <row r="5879" spans="1:28" x14ac:dyDescent="0.25">
      <c r="A5879" t="s">
        <v>5883</v>
      </c>
      <c r="B5879">
        <v>0.99987803227770999</v>
      </c>
      <c r="C5879">
        <v>1.1450383555822099</v>
      </c>
      <c r="D5879">
        <v>1.0613307831743</v>
      </c>
      <c r="E5879">
        <v>0.60778808414866803</v>
      </c>
      <c r="F5879">
        <v>0</v>
      </c>
      <c r="G5879">
        <v>0.31418873471367098</v>
      </c>
      <c r="H5879">
        <v>0</v>
      </c>
      <c r="I5879">
        <v>0</v>
      </c>
      <c r="J5879">
        <v>0</v>
      </c>
      <c r="K5879">
        <v>0</v>
      </c>
      <c r="L5879">
        <v>12517.3963791893</v>
      </c>
      <c r="M5879">
        <v>250</v>
      </c>
      <c r="N5879">
        <v>50.0917580904636</v>
      </c>
      <c r="O5879">
        <v>50.066381417829803</v>
      </c>
      <c r="P5879">
        <v>-1.18297363389435</v>
      </c>
      <c r="Q5879">
        <v>5.2364654946869003E-2</v>
      </c>
      <c r="R5879">
        <v>0.951362735631198</v>
      </c>
      <c r="S5879" t="s">
        <v>12190</v>
      </c>
      <c r="T5879" t="s">
        <v>12620</v>
      </c>
      <c r="U5879" t="s">
        <v>12620</v>
      </c>
      <c r="V5879" t="s">
        <v>12620</v>
      </c>
      <c r="W5879" t="s">
        <v>18439</v>
      </c>
      <c r="X5879">
        <v>1</v>
      </c>
      <c r="Y5879" t="s">
        <v>24527</v>
      </c>
      <c r="Z5879" t="s">
        <v>30826</v>
      </c>
      <c r="AA5879">
        <v>0.37052442979476358</v>
      </c>
      <c r="AB5879" t="str">
        <f>HYPERLINK("Melting_Curves/meltCurve_Q9UHJ3_2_SFMBT1.pdf", "Melting_Curves/meltCurve_Q9UHJ3_2_SFMBT1.pdf")</f>
        <v>Melting_Curves/meltCurve_Q9UHJ3_2_SFMBT1.pdf</v>
      </c>
    </row>
    <row r="5880" spans="1:28" x14ac:dyDescent="0.25">
      <c r="A5880" t="s">
        <v>5884</v>
      </c>
      <c r="B5880">
        <v>0.99987803227770999</v>
      </c>
      <c r="C5880">
        <v>1.0542856865124799</v>
      </c>
      <c r="D5880">
        <v>0.97492301005084603</v>
      </c>
      <c r="E5880">
        <v>0.62060405713417</v>
      </c>
      <c r="F5880">
        <v>0.18549338869714599</v>
      </c>
      <c r="G5880">
        <v>0.115429542466187</v>
      </c>
      <c r="H5880">
        <v>9.0127897381234195E-2</v>
      </c>
      <c r="I5880">
        <v>8.7100226482118001E-2</v>
      </c>
      <c r="J5880">
        <v>7.4808871674136801E-2</v>
      </c>
      <c r="K5880">
        <v>6.1925988832746699E-2</v>
      </c>
      <c r="L5880">
        <v>2081.7446275409202</v>
      </c>
      <c r="M5880">
        <v>41.295430256591203</v>
      </c>
      <c r="N5880">
        <v>50.634473941159797</v>
      </c>
      <c r="O5880">
        <v>50.293232503007701</v>
      </c>
      <c r="P5880">
        <v>-0.18817448067776399</v>
      </c>
      <c r="Q5880">
        <v>8.3299478231809304E-2</v>
      </c>
      <c r="R5880">
        <v>0.99747585307416498</v>
      </c>
      <c r="S5880" t="s">
        <v>12191</v>
      </c>
      <c r="T5880" t="s">
        <v>12620</v>
      </c>
      <c r="U5880" t="s">
        <v>12620</v>
      </c>
      <c r="V5880" t="s">
        <v>12620</v>
      </c>
      <c r="W5880" t="s">
        <v>18440</v>
      </c>
      <c r="X5880">
        <v>11</v>
      </c>
      <c r="Y5880" t="s">
        <v>24528</v>
      </c>
      <c r="Z5880" t="s">
        <v>30827</v>
      </c>
      <c r="AA5880">
        <v>0.40442161750994932</v>
      </c>
      <c r="AB5880" t="str">
        <f>HYPERLINK("Melting_Curves/meltCurve_Q9UHJ6_SHPK.pdf", "Melting_Curves/meltCurve_Q9UHJ6_SHPK.pdf")</f>
        <v>Melting_Curves/meltCurve_Q9UHJ6_SHPK.pdf</v>
      </c>
    </row>
    <row r="5881" spans="1:28" x14ac:dyDescent="0.25">
      <c r="A5881" t="s">
        <v>5885</v>
      </c>
      <c r="B5881">
        <v>0.99987803227770999</v>
      </c>
      <c r="C5881">
        <v>1.0501794915043901</v>
      </c>
      <c r="D5881">
        <v>0.98635351775457503</v>
      </c>
      <c r="E5881">
        <v>0.99407294408522096</v>
      </c>
      <c r="F5881">
        <v>0.87490876254317695</v>
      </c>
      <c r="G5881">
        <v>0.78065333506861501</v>
      </c>
      <c r="H5881">
        <v>0.89823451645798702</v>
      </c>
      <c r="I5881">
        <v>0.632783839059891</v>
      </c>
      <c r="J5881">
        <v>0.25762798920326602</v>
      </c>
      <c r="K5881">
        <v>0.117863380183091</v>
      </c>
      <c r="L5881">
        <v>1861.81181925328</v>
      </c>
      <c r="M5881">
        <v>28.666150277140201</v>
      </c>
      <c r="N5881">
        <v>64.948088159767195</v>
      </c>
      <c r="O5881">
        <v>64.634489325120896</v>
      </c>
      <c r="P5881">
        <v>-0.110878783583121</v>
      </c>
      <c r="Q5881">
        <v>0</v>
      </c>
      <c r="R5881">
        <v>0.93575448364879699</v>
      </c>
      <c r="S5881" t="s">
        <v>12192</v>
      </c>
      <c r="T5881" t="s">
        <v>12620</v>
      </c>
      <c r="U5881" t="s">
        <v>12620</v>
      </c>
      <c r="V5881" t="s">
        <v>12620</v>
      </c>
      <c r="W5881" t="s">
        <v>18441</v>
      </c>
      <c r="X5881">
        <v>7</v>
      </c>
      <c r="Y5881" t="s">
        <v>24529</v>
      </c>
      <c r="Z5881" t="s">
        <v>30828</v>
      </c>
      <c r="AA5881">
        <v>0.8290669076310796</v>
      </c>
      <c r="AB5881" t="str">
        <f>HYPERLINK("Melting_Curves/meltCurve_Q9UHL4_DPP7.pdf", "Melting_Curves/meltCurve_Q9UHL4_DPP7.pdf")</f>
        <v>Melting_Curves/meltCurve_Q9UHL4_DPP7.pdf</v>
      </c>
    </row>
    <row r="5882" spans="1:28" x14ac:dyDescent="0.25">
      <c r="A5882" t="s">
        <v>5886</v>
      </c>
      <c r="B5882">
        <v>0.99987803227770999</v>
      </c>
      <c r="C5882">
        <v>1.51050482789276</v>
      </c>
      <c r="D5882">
        <v>1.40633186300656</v>
      </c>
      <c r="E5882">
        <v>1.44005408012986</v>
      </c>
      <c r="F5882">
        <v>1.4521295054486201</v>
      </c>
      <c r="G5882">
        <v>0.796114559246624</v>
      </c>
      <c r="H5882">
        <v>0.90889543431258601</v>
      </c>
      <c r="I5882">
        <v>0.80785308721971405</v>
      </c>
      <c r="J5882">
        <v>0.630518631758888</v>
      </c>
      <c r="K5882">
        <v>0.47351313937043099</v>
      </c>
      <c r="L5882">
        <v>1353.75360653025</v>
      </c>
      <c r="M5882">
        <v>20.182131372496201</v>
      </c>
      <c r="N5882">
        <v>69.465647455932796</v>
      </c>
      <c r="O5882">
        <v>66.428707436092594</v>
      </c>
      <c r="P5882">
        <v>-5.6950618801831901E-2</v>
      </c>
      <c r="Q5882">
        <v>0.25022049639889699</v>
      </c>
      <c r="R5882">
        <v>0.340414866910695</v>
      </c>
      <c r="S5882" t="s">
        <v>12193</v>
      </c>
      <c r="T5882" t="s">
        <v>12620</v>
      </c>
      <c r="U5882" t="s">
        <v>12620</v>
      </c>
      <c r="V5882" t="s">
        <v>12620</v>
      </c>
      <c r="W5882" t="s">
        <v>18442</v>
      </c>
      <c r="X5882">
        <v>2</v>
      </c>
      <c r="Y5882" t="s">
        <v>24530</v>
      </c>
      <c r="Z5882" t="s">
        <v>30829</v>
      </c>
      <c r="AA5882">
        <v>0.90416363064568039</v>
      </c>
      <c r="AB5882" t="str">
        <f>HYPERLINK("Melting_Curves/meltCurve_Q9UHN1_POLG2.pdf", "Melting_Curves/meltCurve_Q9UHN1_POLG2.pdf")</f>
        <v>Melting_Curves/meltCurve_Q9UHN1_POLG2.pdf</v>
      </c>
    </row>
    <row r="5883" spans="1:28" x14ac:dyDescent="0.25">
      <c r="A5883" t="s">
        <v>5887</v>
      </c>
      <c r="B5883">
        <v>0.99987803227770999</v>
      </c>
      <c r="C5883">
        <v>1.0550593714537699</v>
      </c>
      <c r="D5883">
        <v>1.1157079544567201</v>
      </c>
      <c r="E5883">
        <v>1.08112253703603</v>
      </c>
      <c r="F5883">
        <v>1.2810149520490799</v>
      </c>
      <c r="G5883">
        <v>1.0013794512047101</v>
      </c>
      <c r="H5883">
        <v>1.080321948565</v>
      </c>
      <c r="I5883">
        <v>1.1688028748871699</v>
      </c>
      <c r="J5883">
        <v>0.90640227051361499</v>
      </c>
      <c r="K5883">
        <v>0.76136091801810701</v>
      </c>
      <c r="L5883">
        <v>15000</v>
      </c>
      <c r="M5883">
        <v>223.44217484280401</v>
      </c>
      <c r="O5883">
        <v>67.126084028690499</v>
      </c>
      <c r="P5883">
        <v>-0.198611679434926</v>
      </c>
      <c r="Q5883">
        <v>0.76133378704537302</v>
      </c>
      <c r="R5883">
        <v>0.24886123061012</v>
      </c>
      <c r="S5883" t="s">
        <v>12194</v>
      </c>
      <c r="T5883" t="s">
        <v>12620</v>
      </c>
      <c r="U5883" t="s">
        <v>12620</v>
      </c>
      <c r="V5883" t="s">
        <v>12620</v>
      </c>
      <c r="W5883" t="s">
        <v>18443</v>
      </c>
      <c r="X5883">
        <v>1</v>
      </c>
      <c r="Y5883" t="s">
        <v>24531</v>
      </c>
      <c r="Z5883" t="s">
        <v>30830</v>
      </c>
      <c r="AA5883">
        <v>0.9772141595011693</v>
      </c>
      <c r="AB5883" t="str">
        <f>HYPERLINK("Melting_Curves/meltCurve_Q9UHN6_2_TMEM2.pdf", "Melting_Curves/meltCurve_Q9UHN6_2_TMEM2.pdf")</f>
        <v>Melting_Curves/meltCurve_Q9UHN6_2_TMEM2.pdf</v>
      </c>
    </row>
    <row r="5884" spans="1:28" x14ac:dyDescent="0.25">
      <c r="A5884" t="s">
        <v>5888</v>
      </c>
      <c r="B5884">
        <v>0.99987803227770999</v>
      </c>
      <c r="C5884">
        <v>1.11893608785628</v>
      </c>
      <c r="D5884">
        <v>0.91225175489588695</v>
      </c>
      <c r="E5884">
        <v>0.98090605498371697</v>
      </c>
      <c r="F5884">
        <v>0.627294211709017</v>
      </c>
      <c r="G5884">
        <v>0.45073966542657001</v>
      </c>
      <c r="H5884">
        <v>0.35547577950538001</v>
      </c>
      <c r="I5884">
        <v>0.310632924517455</v>
      </c>
      <c r="J5884">
        <v>0.29038846478060898</v>
      </c>
      <c r="K5884">
        <v>0.221780262611428</v>
      </c>
      <c r="L5884">
        <v>1255.56414070303</v>
      </c>
      <c r="M5884">
        <v>23.378474199990698</v>
      </c>
      <c r="N5884">
        <v>55.6360729450086</v>
      </c>
      <c r="O5884">
        <v>53.317683503602098</v>
      </c>
      <c r="P5884">
        <v>-7.9168175304770605E-2</v>
      </c>
      <c r="Q5884">
        <v>0.27779916970868501</v>
      </c>
      <c r="R5884">
        <v>0.96422865646834</v>
      </c>
      <c r="S5884" t="s">
        <v>12195</v>
      </c>
      <c r="T5884" t="s">
        <v>12620</v>
      </c>
      <c r="U5884" t="s">
        <v>12620</v>
      </c>
      <c r="V5884" t="s">
        <v>12620</v>
      </c>
      <c r="W5884" t="s">
        <v>18444</v>
      </c>
      <c r="X5884">
        <v>13</v>
      </c>
      <c r="Y5884" t="s">
        <v>24532</v>
      </c>
      <c r="Z5884" t="s">
        <v>30831</v>
      </c>
      <c r="AA5884">
        <v>0.61528829457646195</v>
      </c>
      <c r="AB5884" t="str">
        <f>HYPERLINK("Melting_Curves/meltCurve_Q9UHP3_USP25.pdf", "Melting_Curves/meltCurve_Q9UHP3_USP25.pdf")</f>
        <v>Melting_Curves/meltCurve_Q9UHP3_USP25.pdf</v>
      </c>
    </row>
    <row r="5885" spans="1:28" x14ac:dyDescent="0.25">
      <c r="A5885" t="s">
        <v>5889</v>
      </c>
      <c r="B5885">
        <v>0.99987803227770999</v>
      </c>
      <c r="C5885">
        <v>1.0200782002147699</v>
      </c>
      <c r="D5885">
        <v>0.94921174742555803</v>
      </c>
      <c r="E5885">
        <v>0.67964451805437898</v>
      </c>
      <c r="F5885">
        <v>0.40677811472235798</v>
      </c>
      <c r="G5885">
        <v>0.21648180357796401</v>
      </c>
      <c r="H5885">
        <v>0.17029640900212201</v>
      </c>
      <c r="I5885">
        <v>0.15264780989046101</v>
      </c>
      <c r="J5885">
        <v>0.114173072599737</v>
      </c>
      <c r="K5885">
        <v>8.7007295671080301E-2</v>
      </c>
      <c r="L5885">
        <v>1130.2072127793299</v>
      </c>
      <c r="M5885">
        <v>22.018267555535999</v>
      </c>
      <c r="N5885">
        <v>51.979140813204097</v>
      </c>
      <c r="O5885">
        <v>50.912659388141599</v>
      </c>
      <c r="P5885">
        <v>-9.5131271375509099E-2</v>
      </c>
      <c r="Q5885">
        <v>0.120134680507042</v>
      </c>
      <c r="R5885">
        <v>0.99731393832060899</v>
      </c>
      <c r="S5885" t="s">
        <v>12196</v>
      </c>
      <c r="T5885" t="s">
        <v>12620</v>
      </c>
      <c r="U5885" t="s">
        <v>12620</v>
      </c>
      <c r="V5885" t="s">
        <v>12620</v>
      </c>
      <c r="W5885" t="s">
        <v>18445</v>
      </c>
      <c r="X5885">
        <v>7</v>
      </c>
      <c r="Y5885" t="s">
        <v>24533</v>
      </c>
      <c r="Z5885" t="s">
        <v>30832</v>
      </c>
      <c r="AA5885">
        <v>0.46263458380207068</v>
      </c>
      <c r="AB5885" t="str">
        <f>HYPERLINK("Melting_Curves/meltCurve_Q9UHQ1_4_NARF.pdf", "Melting_Curves/meltCurve_Q9UHQ1_4_NARF.pdf")</f>
        <v>Melting_Curves/meltCurve_Q9UHQ1_4_NARF.pdf</v>
      </c>
    </row>
    <row r="5886" spans="1:28" x14ac:dyDescent="0.25">
      <c r="A5886" t="s">
        <v>5890</v>
      </c>
      <c r="B5886">
        <v>0.99987803227770999</v>
      </c>
      <c r="C5886">
        <v>1.0050227458012</v>
      </c>
      <c r="D5886">
        <v>1.02915824011211</v>
      </c>
      <c r="E5886">
        <v>1.0409402114288999</v>
      </c>
      <c r="F5886">
        <v>0.99118613592356697</v>
      </c>
      <c r="G5886">
        <v>0.78747206396756098</v>
      </c>
      <c r="H5886">
        <v>0.55613042139692304</v>
      </c>
      <c r="I5886">
        <v>0.32226877173163598</v>
      </c>
      <c r="J5886">
        <v>0.20003546889280399</v>
      </c>
      <c r="K5886">
        <v>0.133835717454068</v>
      </c>
      <c r="L5886">
        <v>1255.29930876299</v>
      </c>
      <c r="M5886">
        <v>20.579295073732101</v>
      </c>
      <c r="N5886">
        <v>61.470127335779999</v>
      </c>
      <c r="O5886">
        <v>60.430952278314997</v>
      </c>
      <c r="P5886">
        <v>-7.89164213928812E-2</v>
      </c>
      <c r="Q5886">
        <v>7.3076927675507705E-2</v>
      </c>
      <c r="R5886">
        <v>0.99499099827020299</v>
      </c>
      <c r="S5886" t="s">
        <v>12197</v>
      </c>
      <c r="T5886" t="s">
        <v>12620</v>
      </c>
      <c r="U5886" t="s">
        <v>12620</v>
      </c>
      <c r="V5886" t="s">
        <v>12620</v>
      </c>
      <c r="W5886" t="s">
        <v>18446</v>
      </c>
      <c r="X5886">
        <v>21</v>
      </c>
      <c r="Y5886" t="s">
        <v>24534</v>
      </c>
      <c r="Z5886" t="s">
        <v>30833</v>
      </c>
      <c r="AA5886">
        <v>0.72761840150760138</v>
      </c>
      <c r="AB5886" t="str">
        <f>HYPERLINK("Melting_Curves/meltCurve_Q9UHR4_BAIAP2L1.pdf", "Melting_Curves/meltCurve_Q9UHR4_BAIAP2L1.pdf")</f>
        <v>Melting_Curves/meltCurve_Q9UHR4_BAIAP2L1.pdf</v>
      </c>
    </row>
    <row r="5887" spans="1:28" x14ac:dyDescent="0.25">
      <c r="A5887" t="s">
        <v>5891</v>
      </c>
      <c r="B5887">
        <v>0.99987803227770999</v>
      </c>
      <c r="C5887">
        <v>0.56374632916098899</v>
      </c>
      <c r="D5887">
        <v>0.40704240108872702</v>
      </c>
      <c r="E5887">
        <v>0.346485424650397</v>
      </c>
      <c r="F5887">
        <v>0.23404385459815699</v>
      </c>
      <c r="G5887">
        <v>0.123784631671298</v>
      </c>
      <c r="H5887">
        <v>0.130179682619562</v>
      </c>
      <c r="I5887">
        <v>0.109484355939779</v>
      </c>
      <c r="J5887">
        <v>0.147311834883044</v>
      </c>
      <c r="K5887">
        <v>0.102687808939676</v>
      </c>
      <c r="L5887">
        <v>694.42557180749805</v>
      </c>
      <c r="M5887">
        <v>15.7010765440369</v>
      </c>
      <c r="N5887">
        <v>45.091781333233897</v>
      </c>
      <c r="O5887">
        <v>43.529103274971497</v>
      </c>
      <c r="P5887">
        <v>-7.8469221979832499E-2</v>
      </c>
      <c r="Q5887">
        <v>0.12989265060965099</v>
      </c>
      <c r="R5887">
        <v>0.93864653079941396</v>
      </c>
      <c r="S5887" t="s">
        <v>12198</v>
      </c>
      <c r="T5887" t="s">
        <v>12620</v>
      </c>
      <c r="U5887" t="s">
        <v>12620</v>
      </c>
      <c r="V5887" t="s">
        <v>12620</v>
      </c>
      <c r="W5887" t="s">
        <v>18447</v>
      </c>
      <c r="X5887">
        <v>3</v>
      </c>
      <c r="Y5887" t="s">
        <v>24535</v>
      </c>
      <c r="Z5887" t="s">
        <v>30834</v>
      </c>
      <c r="AA5887">
        <v>0.28037088863775672</v>
      </c>
      <c r="AB5887" t="str">
        <f>HYPERLINK("Melting_Curves/meltCurve_Q9UHR6_ZNHIT2.pdf", "Melting_Curves/meltCurve_Q9UHR6_ZNHIT2.pdf")</f>
        <v>Melting_Curves/meltCurve_Q9UHR6_ZNHIT2.pdf</v>
      </c>
    </row>
    <row r="5888" spans="1:28" x14ac:dyDescent="0.25">
      <c r="A5888" t="s">
        <v>5892</v>
      </c>
      <c r="B5888">
        <v>0.99987803227770999</v>
      </c>
      <c r="C5888">
        <v>1.0457453070401499</v>
      </c>
      <c r="D5888">
        <v>1.02206921991896</v>
      </c>
      <c r="E5888">
        <v>1.09500132741762</v>
      </c>
      <c r="F5888">
        <v>1.06845609317336</v>
      </c>
      <c r="G5888">
        <v>0.88434540910280501</v>
      </c>
      <c r="H5888">
        <v>1.1681615477228</v>
      </c>
      <c r="I5888">
        <v>0.99210177339971295</v>
      </c>
      <c r="J5888">
        <v>1.3340981870187401</v>
      </c>
      <c r="K5888">
        <v>1.1096771078242</v>
      </c>
      <c r="L5888">
        <v>1922.4673931704699</v>
      </c>
      <c r="M5888">
        <v>30.758496947146298</v>
      </c>
      <c r="O5888">
        <v>62.239609036178202</v>
      </c>
      <c r="P5888">
        <v>2.4192862993031802E-2</v>
      </c>
      <c r="Q5888">
        <v>1.1958151459947399</v>
      </c>
      <c r="R5888">
        <v>0.27271138912620202</v>
      </c>
      <c r="S5888" t="s">
        <v>12199</v>
      </c>
      <c r="T5888" t="s">
        <v>12620</v>
      </c>
      <c r="U5888" t="s">
        <v>12620</v>
      </c>
      <c r="V5888" t="s">
        <v>12620</v>
      </c>
      <c r="W5888" t="s">
        <v>18448</v>
      </c>
      <c r="X5888">
        <v>15</v>
      </c>
      <c r="Y5888" t="s">
        <v>24536</v>
      </c>
      <c r="Z5888" t="s">
        <v>30835</v>
      </c>
      <c r="AA5888">
        <v>1.04815669942749</v>
      </c>
      <c r="AB5888" t="str">
        <f>HYPERLINK("Melting_Curves/meltCurve_Q9UHV9_PFDN2.pdf", "Melting_Curves/meltCurve_Q9UHV9_PFDN2.pdf")</f>
        <v>Melting_Curves/meltCurve_Q9UHV9_PFDN2.pdf</v>
      </c>
    </row>
    <row r="5889" spans="1:28" x14ac:dyDescent="0.25">
      <c r="A5889" t="s">
        <v>5893</v>
      </c>
      <c r="B5889">
        <v>0.99987803227770999</v>
      </c>
      <c r="C5889">
        <v>1.01456825170898</v>
      </c>
      <c r="D5889">
        <v>1.04451988278162</v>
      </c>
      <c r="E5889">
        <v>1.0112435107684901</v>
      </c>
      <c r="F5889">
        <v>1.05011110555481</v>
      </c>
      <c r="G5889">
        <v>0.922608588440886</v>
      </c>
      <c r="H5889">
        <v>0.70588029018684895</v>
      </c>
      <c r="I5889">
        <v>0.203826553670338</v>
      </c>
      <c r="J5889">
        <v>0.151581855559864</v>
      </c>
      <c r="K5889">
        <v>0.124884961459723</v>
      </c>
      <c r="L5889">
        <v>3740.0767019302102</v>
      </c>
      <c r="M5889">
        <v>60.6716643684735</v>
      </c>
      <c r="N5889">
        <v>61.9530890813719</v>
      </c>
      <c r="O5889">
        <v>61.577687880151899</v>
      </c>
      <c r="P5889">
        <v>-0.21420310152621999</v>
      </c>
      <c r="Q5889">
        <v>0.130393174852901</v>
      </c>
      <c r="R5889">
        <v>0.99288682091535796</v>
      </c>
      <c r="S5889" t="s">
        <v>12200</v>
      </c>
      <c r="T5889" t="s">
        <v>12620</v>
      </c>
      <c r="U5889" t="s">
        <v>12620</v>
      </c>
      <c r="V5889" t="s">
        <v>12620</v>
      </c>
      <c r="W5889" t="s">
        <v>18449</v>
      </c>
      <c r="X5889">
        <v>3</v>
      </c>
      <c r="Y5889" t="s">
        <v>24537</v>
      </c>
      <c r="Z5889" t="s">
        <v>30836</v>
      </c>
      <c r="AA5889">
        <v>0.75937588138705081</v>
      </c>
      <c r="AB5889" t="str">
        <f>HYPERLINK("Melting_Curves/meltCurve_Q9UHW5_GPN3.pdf", "Melting_Curves/meltCurve_Q9UHW5_GPN3.pdf")</f>
        <v>Melting_Curves/meltCurve_Q9UHW5_GPN3.pdf</v>
      </c>
    </row>
    <row r="5890" spans="1:28" x14ac:dyDescent="0.25">
      <c r="A5890" t="s">
        <v>5894</v>
      </c>
      <c r="B5890">
        <v>0.99987803227770999</v>
      </c>
      <c r="C5890">
        <v>1.0410548340238399</v>
      </c>
      <c r="D5890">
        <v>0.90478098728316403</v>
      </c>
      <c r="E5890">
        <v>1.02681351254247</v>
      </c>
      <c r="F5890">
        <v>0.86578315327121003</v>
      </c>
      <c r="G5890">
        <v>0.35015891014899703</v>
      </c>
      <c r="H5890">
        <v>0.18695470975918899</v>
      </c>
      <c r="I5890">
        <v>0.14213526336065099</v>
      </c>
      <c r="J5890">
        <v>9.65684521786975E-2</v>
      </c>
      <c r="K5890">
        <v>6.0634243137316503E-2</v>
      </c>
      <c r="L5890">
        <v>1971.6351650362401</v>
      </c>
      <c r="M5890">
        <v>35.492374170394697</v>
      </c>
      <c r="N5890">
        <v>55.930739537502902</v>
      </c>
      <c r="O5890">
        <v>55.375499908241999</v>
      </c>
      <c r="P5890">
        <v>-0.14307641329141799</v>
      </c>
      <c r="Q5890">
        <v>0.10708711220269999</v>
      </c>
      <c r="R5890">
        <v>0.98937668298012904</v>
      </c>
      <c r="S5890" t="s">
        <v>12201</v>
      </c>
      <c r="T5890" t="s">
        <v>12620</v>
      </c>
      <c r="U5890" t="s">
        <v>12620</v>
      </c>
      <c r="V5890" t="s">
        <v>12620</v>
      </c>
      <c r="W5890" t="s">
        <v>18450</v>
      </c>
      <c r="X5890">
        <v>22</v>
      </c>
      <c r="Y5890" t="s">
        <v>24538</v>
      </c>
      <c r="Z5890" t="s">
        <v>30837</v>
      </c>
      <c r="AA5890">
        <v>0.5742560700737539</v>
      </c>
      <c r="AB5890" t="str">
        <f>HYPERLINK("Melting_Curves/meltCurve_Q9UHX1_4_PUF60.pdf", "Melting_Curves/meltCurve_Q9UHX1_4_PUF60.pdf")</f>
        <v>Melting_Curves/meltCurve_Q9UHX1_4_PUF60.pdf</v>
      </c>
    </row>
    <row r="5891" spans="1:28" x14ac:dyDescent="0.25">
      <c r="A5891" t="s">
        <v>5895</v>
      </c>
      <c r="B5891">
        <v>0.99987803227770999</v>
      </c>
      <c r="C5891">
        <v>1.03982984551347</v>
      </c>
      <c r="D5891">
        <v>1.00328016451978</v>
      </c>
      <c r="E5891">
        <v>0.95138403327580301</v>
      </c>
      <c r="F5891">
        <v>0.62421469067716995</v>
      </c>
      <c r="G5891">
        <v>0.30440327006581103</v>
      </c>
      <c r="H5891">
        <v>0.16161201473131501</v>
      </c>
      <c r="I5891">
        <v>0.11396002936671901</v>
      </c>
      <c r="J5891">
        <v>9.5752803861349101E-2</v>
      </c>
      <c r="K5891">
        <v>6.2818732295649493E-2</v>
      </c>
      <c r="L5891">
        <v>1370.82162569909</v>
      </c>
      <c r="M5891">
        <v>25.329423645344399</v>
      </c>
      <c r="N5891">
        <v>54.546977919925702</v>
      </c>
      <c r="O5891">
        <v>53.785781588008</v>
      </c>
      <c r="P5891">
        <v>-0.107140967066504</v>
      </c>
      <c r="Q5891">
        <v>8.99773871687162E-2</v>
      </c>
      <c r="R5891">
        <v>0.99527304728272503</v>
      </c>
      <c r="S5891" t="s">
        <v>12202</v>
      </c>
      <c r="T5891" t="s">
        <v>12620</v>
      </c>
      <c r="U5891" t="s">
        <v>12620</v>
      </c>
      <c r="V5891" t="s">
        <v>12620</v>
      </c>
      <c r="W5891" t="s">
        <v>18451</v>
      </c>
      <c r="X5891">
        <v>10</v>
      </c>
      <c r="Y5891" t="s">
        <v>24539</v>
      </c>
      <c r="Z5891" t="s">
        <v>30838</v>
      </c>
      <c r="AA5891">
        <v>0.52651196034222969</v>
      </c>
      <c r="AB5891" t="str">
        <f>HYPERLINK("Melting_Curves/meltCurve_Q9UHY1_NRBP1.pdf", "Melting_Curves/meltCurve_Q9UHY1_NRBP1.pdf")</f>
        <v>Melting_Curves/meltCurve_Q9UHY1_NRBP1.pdf</v>
      </c>
    </row>
    <row r="5892" spans="1:28" x14ac:dyDescent="0.25">
      <c r="A5892" t="s">
        <v>5896</v>
      </c>
      <c r="B5892">
        <v>0.99987803227770999</v>
      </c>
      <c r="C5892">
        <v>0.88532774224410904</v>
      </c>
      <c r="D5892">
        <v>0.98728781820360301</v>
      </c>
      <c r="E5892">
        <v>0.67085760794190796</v>
      </c>
      <c r="F5892">
        <v>0.26639675998565299</v>
      </c>
      <c r="G5892">
        <v>0.16461187783085399</v>
      </c>
      <c r="H5892">
        <v>0.108550154654213</v>
      </c>
      <c r="I5892">
        <v>9.6495149962047902E-2</v>
      </c>
      <c r="J5892">
        <v>6.8923869253878403E-2</v>
      </c>
      <c r="K5892">
        <v>5.2178056950767999E-2</v>
      </c>
      <c r="L5892">
        <v>1608.8263045373999</v>
      </c>
      <c r="M5892">
        <v>31.636651630734001</v>
      </c>
      <c r="N5892">
        <v>51.166788059201103</v>
      </c>
      <c r="O5892">
        <v>50.651353747058998</v>
      </c>
      <c r="P5892">
        <v>-0.142390705500582</v>
      </c>
      <c r="Q5892">
        <v>8.8115437328980001E-2</v>
      </c>
      <c r="R5892">
        <v>0.98816724069626305</v>
      </c>
      <c r="S5892" t="s">
        <v>12203</v>
      </c>
      <c r="T5892" t="s">
        <v>12620</v>
      </c>
      <c r="U5892" t="s">
        <v>12620</v>
      </c>
      <c r="V5892" t="s">
        <v>12620</v>
      </c>
      <c r="W5892" t="s">
        <v>18452</v>
      </c>
      <c r="X5892">
        <v>8</v>
      </c>
      <c r="Y5892" t="s">
        <v>24540</v>
      </c>
      <c r="Z5892" t="s">
        <v>30839</v>
      </c>
      <c r="AA5892">
        <v>0.42315313806136412</v>
      </c>
      <c r="AB5892" t="str">
        <f>HYPERLINK("Melting_Curves/meltCurve_Q9UHY7_ENOPH1.pdf", "Melting_Curves/meltCurve_Q9UHY7_ENOPH1.pdf")</f>
        <v>Melting_Curves/meltCurve_Q9UHY7_ENOPH1.pdf</v>
      </c>
    </row>
    <row r="5893" spans="1:28" x14ac:dyDescent="0.25">
      <c r="A5893" t="s">
        <v>5897</v>
      </c>
      <c r="B5893">
        <v>0.99987803227770999</v>
      </c>
      <c r="C5893">
        <v>1.16894937013916</v>
      </c>
      <c r="D5893">
        <v>0.91116793924856898</v>
      </c>
      <c r="E5893">
        <v>1.0568801283198701</v>
      </c>
      <c r="F5893">
        <v>0.88256207505107398</v>
      </c>
      <c r="G5893">
        <v>0.46858415691760003</v>
      </c>
      <c r="H5893">
        <v>0.56530452110546803</v>
      </c>
      <c r="I5893">
        <v>0.59226013422094903</v>
      </c>
      <c r="J5893">
        <v>0.80707335701363703</v>
      </c>
      <c r="K5893">
        <v>0.68273374040496704</v>
      </c>
      <c r="L5893">
        <v>13291.994508052099</v>
      </c>
      <c r="M5893">
        <v>250</v>
      </c>
      <c r="O5893">
        <v>53.164570023160699</v>
      </c>
      <c r="P5893">
        <v>-0.44297449826104701</v>
      </c>
      <c r="Q5893">
        <v>0.62319118090620695</v>
      </c>
      <c r="R5893">
        <v>0.78133439880033695</v>
      </c>
      <c r="S5893" t="s">
        <v>12204</v>
      </c>
      <c r="T5893" t="s">
        <v>12620</v>
      </c>
      <c r="U5893" t="s">
        <v>12620</v>
      </c>
      <c r="V5893" t="s">
        <v>12620</v>
      </c>
      <c r="W5893" t="s">
        <v>18453</v>
      </c>
      <c r="X5893">
        <v>3</v>
      </c>
      <c r="Y5893" t="s">
        <v>24541</v>
      </c>
      <c r="Z5893" t="s">
        <v>30840</v>
      </c>
      <c r="AA5893">
        <v>0.7886200156228147</v>
      </c>
      <c r="AB5893" t="str">
        <f>HYPERLINK("Melting_Curves/meltCurve_Q9UHY8_FEZ2.pdf", "Melting_Curves/meltCurve_Q9UHY8_FEZ2.pdf")</f>
        <v>Melting_Curves/meltCurve_Q9UHY8_FEZ2.pdf</v>
      </c>
    </row>
    <row r="5894" spans="1:28" x14ac:dyDescent="0.25">
      <c r="A5894" t="s">
        <v>5898</v>
      </c>
      <c r="B5894">
        <v>0.99987803227770999</v>
      </c>
      <c r="C5894">
        <v>0.983846615176595</v>
      </c>
      <c r="D5894">
        <v>0.94368329567848397</v>
      </c>
      <c r="E5894">
        <v>0.91009549232478804</v>
      </c>
      <c r="F5894">
        <v>0.80144412060528902</v>
      </c>
      <c r="G5894">
        <v>0.61135117904569802</v>
      </c>
      <c r="H5894">
        <v>0.42783929934275999</v>
      </c>
      <c r="I5894">
        <v>0.351794938202379</v>
      </c>
      <c r="J5894">
        <v>0.26669616563955101</v>
      </c>
      <c r="K5894">
        <v>0.17336240396217301</v>
      </c>
      <c r="L5894">
        <v>661.58575050207298</v>
      </c>
      <c r="M5894">
        <v>11.185757788421901</v>
      </c>
      <c r="N5894">
        <v>59.6838275070943</v>
      </c>
      <c r="O5894">
        <v>57.349493721039003</v>
      </c>
      <c r="P5894">
        <v>-4.6435810564285397E-2</v>
      </c>
      <c r="Q5894">
        <v>4.7993683512359199E-2</v>
      </c>
      <c r="R5894">
        <v>0.99774340953709795</v>
      </c>
      <c r="S5894" t="s">
        <v>12205</v>
      </c>
      <c r="T5894" t="s">
        <v>12620</v>
      </c>
      <c r="U5894" t="s">
        <v>12620</v>
      </c>
      <c r="V5894" t="s">
        <v>12620</v>
      </c>
      <c r="W5894" t="s">
        <v>18454</v>
      </c>
      <c r="X5894">
        <v>10</v>
      </c>
      <c r="Y5894" t="s">
        <v>24542</v>
      </c>
      <c r="Z5894" t="s">
        <v>30841</v>
      </c>
      <c r="AA5894">
        <v>0.66085152083213416</v>
      </c>
      <c r="AB5894" t="str">
        <f>HYPERLINK("Melting_Curves/meltCurve_Q9UI08_EVL.pdf", "Melting_Curves/meltCurve_Q9UI08_EVL.pdf")</f>
        <v>Melting_Curves/meltCurve_Q9UI08_EVL.pdf</v>
      </c>
    </row>
    <row r="5895" spans="1:28" x14ac:dyDescent="0.25">
      <c r="A5895" t="s">
        <v>5899</v>
      </c>
      <c r="B5895">
        <v>0.99987803227770999</v>
      </c>
      <c r="C5895">
        <v>0.84300068396238304</v>
      </c>
      <c r="D5895">
        <v>0.86421974542664404</v>
      </c>
      <c r="E5895">
        <v>1.0066292999316899</v>
      </c>
      <c r="F5895">
        <v>0.69196990190551799</v>
      </c>
      <c r="G5895">
        <v>0.46453826594803999</v>
      </c>
      <c r="H5895">
        <v>0.42977702840677201</v>
      </c>
      <c r="I5895">
        <v>0.37831540347097597</v>
      </c>
      <c r="J5895">
        <v>0.44966174613448801</v>
      </c>
      <c r="K5895">
        <v>0.34287354564229</v>
      </c>
      <c r="L5895">
        <v>2769.8750402391101</v>
      </c>
      <c r="M5895">
        <v>52.286534371642198</v>
      </c>
      <c r="N5895">
        <v>54.761311331569303</v>
      </c>
      <c r="O5895">
        <v>52.897600893623803</v>
      </c>
      <c r="P5895">
        <v>-0.14600041493435301</v>
      </c>
      <c r="Q5895">
        <v>0.40917360119190499</v>
      </c>
      <c r="R5895">
        <v>0.91497207546566495</v>
      </c>
      <c r="S5895" t="s">
        <v>12206</v>
      </c>
      <c r="T5895" t="s">
        <v>12620</v>
      </c>
      <c r="U5895" t="s">
        <v>12620</v>
      </c>
      <c r="V5895" t="s">
        <v>12620</v>
      </c>
      <c r="W5895" t="s">
        <v>18455</v>
      </c>
      <c r="X5895">
        <v>13</v>
      </c>
      <c r="Y5895" t="s">
        <v>24543</v>
      </c>
      <c r="Z5895" t="s">
        <v>30842</v>
      </c>
      <c r="AA5895">
        <v>0.66596625117976427</v>
      </c>
      <c r="AB5895" t="str">
        <f>HYPERLINK("Melting_Curves/meltCurve_Q9UI10_EIF2B4.pdf", "Melting_Curves/meltCurve_Q9UI10_EIF2B4.pdf")</f>
        <v>Melting_Curves/meltCurve_Q9UI10_EIF2B4.pdf</v>
      </c>
    </row>
    <row r="5896" spans="1:28" x14ac:dyDescent="0.25">
      <c r="A5896" t="s">
        <v>5900</v>
      </c>
      <c r="B5896">
        <v>0.99987803227770999</v>
      </c>
      <c r="C5896">
        <v>0.88760711541733905</v>
      </c>
      <c r="D5896">
        <v>0.89687242976812398</v>
      </c>
      <c r="E5896">
        <v>1.0374659260457599</v>
      </c>
      <c r="F5896">
        <v>0.79416300135788198</v>
      </c>
      <c r="G5896">
        <v>0.65737463139315899</v>
      </c>
      <c r="H5896">
        <v>0.78207186290762598</v>
      </c>
      <c r="I5896">
        <v>0.62610329785614705</v>
      </c>
      <c r="J5896">
        <v>0.64941716824974205</v>
      </c>
      <c r="K5896">
        <v>0.56785295844956196</v>
      </c>
      <c r="L5896">
        <v>389.43837167807402</v>
      </c>
      <c r="M5896">
        <v>6.41034661040531</v>
      </c>
      <c r="O5896">
        <v>55.647671107203301</v>
      </c>
      <c r="P5896">
        <v>-1.7072630119297199E-2</v>
      </c>
      <c r="Q5896">
        <v>0.408685799314084</v>
      </c>
      <c r="R5896">
        <v>0.77544000461439699</v>
      </c>
      <c r="S5896" t="s">
        <v>12207</v>
      </c>
      <c r="T5896" t="s">
        <v>12620</v>
      </c>
      <c r="U5896" t="s">
        <v>12620</v>
      </c>
      <c r="V5896" t="s">
        <v>12620</v>
      </c>
      <c r="W5896" t="s">
        <v>18456</v>
      </c>
      <c r="X5896">
        <v>13</v>
      </c>
      <c r="Y5896" t="s">
        <v>24543</v>
      </c>
      <c r="Z5896" t="s">
        <v>30843</v>
      </c>
      <c r="AA5896">
        <v>0.79476671233724439</v>
      </c>
      <c r="AB5896" t="str">
        <f>HYPERLINK("Melting_Curves/meltCurve_Q9UI10_3_EIF2B4.pdf", "Melting_Curves/meltCurve_Q9UI10_3_EIF2B4.pdf")</f>
        <v>Melting_Curves/meltCurve_Q9UI10_3_EIF2B4.pdf</v>
      </c>
    </row>
    <row r="5897" spans="1:28" x14ac:dyDescent="0.25">
      <c r="A5897" t="s">
        <v>5901</v>
      </c>
      <c r="B5897">
        <v>0.99987803227770999</v>
      </c>
      <c r="C5897">
        <v>0.918729540366789</v>
      </c>
      <c r="D5897">
        <v>0.92189673204726197</v>
      </c>
      <c r="E5897">
        <v>0.89826381422498502</v>
      </c>
      <c r="F5897">
        <v>0.51106354743048199</v>
      </c>
      <c r="G5897">
        <v>0.20368206371651301</v>
      </c>
      <c r="H5897">
        <v>0.118399840150472</v>
      </c>
      <c r="I5897">
        <v>0.104912687126725</v>
      </c>
      <c r="J5897">
        <v>9.0676430743199907E-2</v>
      </c>
      <c r="K5897">
        <v>6.5355624539593302E-2</v>
      </c>
      <c r="L5897">
        <v>1569.73155319188</v>
      </c>
      <c r="M5897">
        <v>29.6700304394898</v>
      </c>
      <c r="N5897">
        <v>53.2647946234218</v>
      </c>
      <c r="O5897">
        <v>52.667724569854599</v>
      </c>
      <c r="P5897">
        <v>-0.128090059029834</v>
      </c>
      <c r="Q5897">
        <v>9.0508003768675099E-2</v>
      </c>
      <c r="R5897">
        <v>0.99072749286325901</v>
      </c>
      <c r="S5897" t="s">
        <v>12208</v>
      </c>
      <c r="T5897" t="s">
        <v>12620</v>
      </c>
      <c r="U5897" t="s">
        <v>12620</v>
      </c>
      <c r="V5897" t="s">
        <v>12620</v>
      </c>
      <c r="W5897" t="s">
        <v>18457</v>
      </c>
      <c r="X5897">
        <v>12</v>
      </c>
      <c r="Y5897" t="s">
        <v>24544</v>
      </c>
      <c r="Z5897" t="s">
        <v>30844</v>
      </c>
      <c r="AA5897">
        <v>0.48779992131151489</v>
      </c>
      <c r="AB5897" t="str">
        <f>HYPERLINK("Melting_Curves/meltCurve_Q9UI12_2_ATP6V1H.pdf", "Melting_Curves/meltCurve_Q9UI12_2_ATP6V1H.pdf")</f>
        <v>Melting_Curves/meltCurve_Q9UI12_2_ATP6V1H.pdf</v>
      </c>
    </row>
    <row r="5898" spans="1:28" x14ac:dyDescent="0.25">
      <c r="A5898" t="s">
        <v>5902</v>
      </c>
      <c r="B5898">
        <v>0.99987803227770999</v>
      </c>
      <c r="C5898">
        <v>1.18216895560372</v>
      </c>
      <c r="D5898">
        <v>0.94871624526923803</v>
      </c>
      <c r="E5898">
        <v>1.2687518895396299</v>
      </c>
      <c r="F5898">
        <v>0.73444213271597603</v>
      </c>
      <c r="G5898">
        <v>0.36670419531334197</v>
      </c>
      <c r="H5898">
        <v>0.15898903591456001</v>
      </c>
      <c r="I5898">
        <v>0.129772206171934</v>
      </c>
      <c r="J5898">
        <v>9.9918829118384206E-2</v>
      </c>
      <c r="K5898">
        <v>6.27186928290865E-2</v>
      </c>
      <c r="L5898">
        <v>1851.08728647878</v>
      </c>
      <c r="M5898">
        <v>33.501561819269597</v>
      </c>
      <c r="N5898">
        <v>55.636854480740602</v>
      </c>
      <c r="O5898">
        <v>55.058001785111898</v>
      </c>
      <c r="P5898">
        <v>-0.136451267237644</v>
      </c>
      <c r="Q5898">
        <v>0.10300270573015</v>
      </c>
      <c r="R5898">
        <v>0.93601400512592703</v>
      </c>
      <c r="S5898" t="s">
        <v>12209</v>
      </c>
      <c r="T5898" t="s">
        <v>12620</v>
      </c>
      <c r="U5898" t="s">
        <v>12620</v>
      </c>
      <c r="V5898" t="s">
        <v>12620</v>
      </c>
      <c r="W5898" t="s">
        <v>18458</v>
      </c>
      <c r="X5898">
        <v>15</v>
      </c>
      <c r="Y5898" t="s">
        <v>24545</v>
      </c>
      <c r="Z5898" t="s">
        <v>30845</v>
      </c>
      <c r="AA5898">
        <v>0.56391887369090166</v>
      </c>
      <c r="AB5898" t="str">
        <f>HYPERLINK("Melting_Curves/meltCurve_Q9UI26_IPO11.pdf", "Melting_Curves/meltCurve_Q9UI26_IPO11.pdf")</f>
        <v>Melting_Curves/meltCurve_Q9UI26_IPO11.pdf</v>
      </c>
    </row>
    <row r="5899" spans="1:28" x14ac:dyDescent="0.25">
      <c r="A5899" t="s">
        <v>5903</v>
      </c>
      <c r="B5899">
        <v>0.99987803227770999</v>
      </c>
      <c r="C5899">
        <v>0.949332840129129</v>
      </c>
      <c r="D5899">
        <v>0.95287950658508103</v>
      </c>
      <c r="E5899">
        <v>0.83282213643714598</v>
      </c>
      <c r="F5899">
        <v>0.716890879198401</v>
      </c>
      <c r="G5899">
        <v>0.58110048163258399</v>
      </c>
      <c r="H5899">
        <v>0.41920733521253201</v>
      </c>
      <c r="I5899">
        <v>0.32994835894302199</v>
      </c>
      <c r="J5899">
        <v>0.211228176682697</v>
      </c>
      <c r="K5899">
        <v>0.151139306207459</v>
      </c>
      <c r="L5899">
        <v>567.33850355125298</v>
      </c>
      <c r="M5899">
        <v>9.6761633821128097</v>
      </c>
      <c r="N5899">
        <v>58.632586833437301</v>
      </c>
      <c r="O5899">
        <v>56.292580178004599</v>
      </c>
      <c r="P5899">
        <v>-4.2996341276454603E-2</v>
      </c>
      <c r="Q5899">
        <v>0</v>
      </c>
      <c r="R5899">
        <v>0.99675528211688502</v>
      </c>
      <c r="S5899" t="s">
        <v>12210</v>
      </c>
      <c r="T5899" t="s">
        <v>12620</v>
      </c>
      <c r="U5899" t="s">
        <v>12620</v>
      </c>
      <c r="V5899" t="s">
        <v>12620</v>
      </c>
      <c r="W5899" t="s">
        <v>18459</v>
      </c>
      <c r="X5899">
        <v>4</v>
      </c>
      <c r="Y5899" t="s">
        <v>24546</v>
      </c>
      <c r="Z5899" t="s">
        <v>30846</v>
      </c>
      <c r="AA5899">
        <v>0.62597272513858837</v>
      </c>
      <c r="AB5899" t="str">
        <f>HYPERLINK("Melting_Curves/meltCurve_Q9UI30_TRMT112.pdf", "Melting_Curves/meltCurve_Q9UI30_TRMT112.pdf")</f>
        <v>Melting_Curves/meltCurve_Q9UI30_TRMT112.pdf</v>
      </c>
    </row>
    <row r="5900" spans="1:28" x14ac:dyDescent="0.25">
      <c r="A5900" t="s">
        <v>5904</v>
      </c>
      <c r="B5900">
        <v>0.99987803227770999</v>
      </c>
      <c r="C5900">
        <v>1.0985684973618299</v>
      </c>
      <c r="D5900">
        <v>0.87934209475163105</v>
      </c>
      <c r="E5900">
        <v>1.2912496219010801</v>
      </c>
      <c r="F5900">
        <v>0.89689137887383397</v>
      </c>
      <c r="G5900">
        <v>0.22842716814441499</v>
      </c>
      <c r="H5900">
        <v>0.13031147351352099</v>
      </c>
      <c r="I5900">
        <v>0.111238995923939</v>
      </c>
      <c r="J5900">
        <v>8.2466049348056902E-2</v>
      </c>
      <c r="K5900">
        <v>5.0375876658000002E-2</v>
      </c>
      <c r="L5900">
        <v>3059.2669582675198</v>
      </c>
      <c r="M5900">
        <v>55.444275204479602</v>
      </c>
      <c r="N5900">
        <v>55.382679439415597</v>
      </c>
      <c r="O5900">
        <v>55.105686021652403</v>
      </c>
      <c r="P5900">
        <v>-0.22816526248350499</v>
      </c>
      <c r="Q5900">
        <v>9.2912931014648106E-2</v>
      </c>
      <c r="R5900">
        <v>0.94830545940425603</v>
      </c>
      <c r="S5900" t="s">
        <v>12211</v>
      </c>
      <c r="T5900" t="s">
        <v>12620</v>
      </c>
      <c r="U5900" t="s">
        <v>12620</v>
      </c>
      <c r="V5900" t="s">
        <v>12620</v>
      </c>
      <c r="W5900" t="s">
        <v>18460</v>
      </c>
      <c r="X5900">
        <v>34</v>
      </c>
      <c r="Y5900" t="s">
        <v>24547</v>
      </c>
      <c r="Z5900" t="s">
        <v>30847</v>
      </c>
      <c r="AA5900">
        <v>0.55361137393269333</v>
      </c>
      <c r="AB5900" t="str">
        <f>HYPERLINK("Melting_Curves/meltCurve_Q9UIA9_XPO7.pdf", "Melting_Curves/meltCurve_Q9UIA9_XPO7.pdf")</f>
        <v>Melting_Curves/meltCurve_Q9UIA9_XPO7.pdf</v>
      </c>
    </row>
    <row r="5901" spans="1:28" x14ac:dyDescent="0.25">
      <c r="A5901" t="s">
        <v>5905</v>
      </c>
      <c r="B5901">
        <v>0.99987803227770999</v>
      </c>
      <c r="C5901">
        <v>0.929188070197561</v>
      </c>
      <c r="D5901">
        <v>1.00440475223907</v>
      </c>
      <c r="E5901">
        <v>0.86887510944077095</v>
      </c>
      <c r="F5901">
        <v>0.61947881376163205</v>
      </c>
      <c r="G5901">
        <v>0.23927411857977801</v>
      </c>
      <c r="H5901">
        <v>0.17185815721964001</v>
      </c>
      <c r="I5901">
        <v>0.15387671454467999</v>
      </c>
      <c r="J5901">
        <v>0.122570768065242</v>
      </c>
      <c r="K5901">
        <v>8.4759718888904698E-2</v>
      </c>
      <c r="L5901">
        <v>1414.1734323993901</v>
      </c>
      <c r="M5901">
        <v>26.455633510193699</v>
      </c>
      <c r="N5901">
        <v>54.000122017628101</v>
      </c>
      <c r="O5901">
        <v>53.1519117764242</v>
      </c>
      <c r="P5901">
        <v>-0.10984232099460201</v>
      </c>
      <c r="Q5901">
        <v>0.117274373372228</v>
      </c>
      <c r="R5901">
        <v>0.99443316476098198</v>
      </c>
      <c r="S5901" t="s">
        <v>12212</v>
      </c>
      <c r="T5901" t="s">
        <v>12620</v>
      </c>
      <c r="U5901" t="s">
        <v>12620</v>
      </c>
      <c r="V5901" t="s">
        <v>12620</v>
      </c>
      <c r="W5901" t="s">
        <v>18461</v>
      </c>
      <c r="X5901">
        <v>8</v>
      </c>
      <c r="Y5901" t="s">
        <v>24548</v>
      </c>
      <c r="Z5901" t="s">
        <v>30848</v>
      </c>
      <c r="AA5901">
        <v>0.52049444483929896</v>
      </c>
      <c r="AB5901" t="str">
        <f>HYPERLINK("Melting_Curves/meltCurve_Q9UIC8_LCMT1.pdf", "Melting_Curves/meltCurve_Q9UIC8_LCMT1.pdf")</f>
        <v>Melting_Curves/meltCurve_Q9UIC8_LCMT1.pdf</v>
      </c>
    </row>
    <row r="5902" spans="1:28" x14ac:dyDescent="0.25">
      <c r="A5902" t="s">
        <v>5906</v>
      </c>
      <c r="B5902">
        <v>0.99987803227770999</v>
      </c>
      <c r="C5902">
        <v>1.0767081457372101</v>
      </c>
      <c r="D5902">
        <v>0.82194313995179602</v>
      </c>
      <c r="E5902">
        <v>0.93255954838526001</v>
      </c>
      <c r="F5902">
        <v>0.33311671795435699</v>
      </c>
      <c r="G5902">
        <v>0.232603961714521</v>
      </c>
      <c r="H5902">
        <v>0.15480876742382699</v>
      </c>
      <c r="I5902">
        <v>0.127007996698348</v>
      </c>
      <c r="J5902">
        <v>7.8720877340346898E-2</v>
      </c>
      <c r="K5902">
        <v>6.76012364039002E-2</v>
      </c>
      <c r="L5902">
        <v>3059.8721174861898</v>
      </c>
      <c r="M5902">
        <v>58.877789806968003</v>
      </c>
      <c r="N5902">
        <v>52.2373712952608</v>
      </c>
      <c r="O5902">
        <v>51.910036289587701</v>
      </c>
      <c r="P5902">
        <v>-0.24665474222339301</v>
      </c>
      <c r="Q5902">
        <v>0.13014051928256301</v>
      </c>
      <c r="R5902">
        <v>0.96589327165513394</v>
      </c>
      <c r="S5902" t="s">
        <v>12213</v>
      </c>
      <c r="T5902" t="s">
        <v>12620</v>
      </c>
      <c r="U5902" t="s">
        <v>12620</v>
      </c>
      <c r="V5902" t="s">
        <v>12620</v>
      </c>
      <c r="W5902" t="s">
        <v>18462</v>
      </c>
      <c r="X5902">
        <v>7</v>
      </c>
      <c r="Y5902" t="s">
        <v>24549</v>
      </c>
      <c r="Z5902" t="s">
        <v>30849</v>
      </c>
      <c r="AA5902">
        <v>0.47864699534721511</v>
      </c>
      <c r="AB5902" t="str">
        <f>HYPERLINK("Melting_Curves/meltCurve_Q9UID3_VPS51.pdf", "Melting_Curves/meltCurve_Q9UID3_VPS51.pdf")</f>
        <v>Melting_Curves/meltCurve_Q9UID3_VPS51.pdf</v>
      </c>
    </row>
    <row r="5903" spans="1:28" x14ac:dyDescent="0.25">
      <c r="A5903" t="s">
        <v>5907</v>
      </c>
      <c r="B5903">
        <v>0.99987803227770999</v>
      </c>
      <c r="C5903">
        <v>1.12254223997469</v>
      </c>
      <c r="D5903">
        <v>1.1571205198043899</v>
      </c>
      <c r="E5903">
        <v>0.94484256241216802</v>
      </c>
      <c r="F5903">
        <v>0.81716815911041396</v>
      </c>
      <c r="G5903">
        <v>0.72404926972403805</v>
      </c>
      <c r="H5903">
        <v>0.51068435994748396</v>
      </c>
      <c r="I5903">
        <v>0.63960632983727195</v>
      </c>
      <c r="J5903">
        <v>0.45070700904752098</v>
      </c>
      <c r="K5903">
        <v>0.30363934927873798</v>
      </c>
      <c r="L5903">
        <v>720.04430036527901</v>
      </c>
      <c r="M5903">
        <v>12.036585336541799</v>
      </c>
      <c r="N5903">
        <v>63.911347773525598</v>
      </c>
      <c r="O5903">
        <v>58.241879512875897</v>
      </c>
      <c r="P5903">
        <v>-3.7799856137832703E-2</v>
      </c>
      <c r="Q5903">
        <v>0.26855990125315499</v>
      </c>
      <c r="R5903">
        <v>0.89065266922355801</v>
      </c>
      <c r="S5903" t="s">
        <v>12214</v>
      </c>
      <c r="T5903" t="s">
        <v>12620</v>
      </c>
      <c r="U5903" t="s">
        <v>12620</v>
      </c>
      <c r="V5903" t="s">
        <v>12620</v>
      </c>
      <c r="W5903" t="s">
        <v>18463</v>
      </c>
      <c r="X5903">
        <v>1</v>
      </c>
      <c r="Y5903" t="s">
        <v>24550</v>
      </c>
      <c r="Z5903" t="s">
        <v>30850</v>
      </c>
      <c r="AA5903">
        <v>0.75439025210573962</v>
      </c>
      <c r="AB5903" t="str">
        <f>HYPERLINK("Melting_Curves/meltCurve_Q9UID6_ZNF639.pdf", "Melting_Curves/meltCurve_Q9UID6_ZNF639.pdf")</f>
        <v>Melting_Curves/meltCurve_Q9UID6_ZNF639.pdf</v>
      </c>
    </row>
    <row r="5904" spans="1:28" x14ac:dyDescent="0.25">
      <c r="A5904" t="s">
        <v>5908</v>
      </c>
      <c r="B5904">
        <v>0.99987803227770999</v>
      </c>
      <c r="C5904">
        <v>1.1517038720536199</v>
      </c>
      <c r="D5904">
        <v>1.66504500133469</v>
      </c>
      <c r="E5904">
        <v>1.12259885313522</v>
      </c>
      <c r="F5904">
        <v>0.93663457746860601</v>
      </c>
      <c r="G5904">
        <v>0.68167156267669804</v>
      </c>
      <c r="H5904">
        <v>0.68695662341268804</v>
      </c>
      <c r="I5904">
        <v>0.65230600537887795</v>
      </c>
      <c r="J5904">
        <v>0.52327306161179798</v>
      </c>
      <c r="K5904">
        <v>0.43879630299783001</v>
      </c>
      <c r="S5904" t="s">
        <v>12215</v>
      </c>
      <c r="T5904" t="s">
        <v>12620</v>
      </c>
      <c r="U5904" t="s">
        <v>12621</v>
      </c>
      <c r="V5904" t="s">
        <v>12620</v>
      </c>
      <c r="W5904" t="s">
        <v>18464</v>
      </c>
      <c r="X5904">
        <v>1</v>
      </c>
      <c r="Y5904" t="s">
        <v>24551</v>
      </c>
      <c r="Z5904" t="s">
        <v>30851</v>
      </c>
      <c r="AB5904" t="str">
        <f>HYPERLINK("Melting_Curves/meltCurve_Q9UIF8_4_BAZ2B.pdf", "Melting_Curves/meltCurve_Q9UIF8_4_BAZ2B.pdf")</f>
        <v>Melting_Curves/meltCurve_Q9UIF8_4_BAZ2B.pdf</v>
      </c>
    </row>
    <row r="5905" spans="1:28" x14ac:dyDescent="0.25">
      <c r="A5905" t="s">
        <v>5909</v>
      </c>
      <c r="B5905">
        <v>0.99987803227770999</v>
      </c>
      <c r="C5905">
        <v>0.71313284672196697</v>
      </c>
      <c r="D5905">
        <v>0.55662092638739202</v>
      </c>
      <c r="E5905">
        <v>0.248482178314026</v>
      </c>
      <c r="F5905">
        <v>0.13149683049313299</v>
      </c>
      <c r="G5905">
        <v>7.26409800579145E-2</v>
      </c>
      <c r="H5905">
        <v>4.8999759903017297E-2</v>
      </c>
      <c r="I5905">
        <v>5.1518785121735897E-2</v>
      </c>
      <c r="J5905">
        <v>4.75161193398283E-2</v>
      </c>
      <c r="K5905">
        <v>3.7851295258564899E-2</v>
      </c>
      <c r="L5905">
        <v>754.98867030134795</v>
      </c>
      <c r="M5905">
        <v>16.374880401226601</v>
      </c>
      <c r="N5905">
        <v>46.319427295928598</v>
      </c>
      <c r="O5905">
        <v>45.435335004729701</v>
      </c>
      <c r="P5905">
        <v>-8.6839749159866503E-2</v>
      </c>
      <c r="Q5905">
        <v>3.6252983253865501E-2</v>
      </c>
      <c r="R5905">
        <v>0.98972243046309005</v>
      </c>
      <c r="S5905" t="s">
        <v>12216</v>
      </c>
      <c r="T5905" t="s">
        <v>12620</v>
      </c>
      <c r="U5905" t="s">
        <v>12620</v>
      </c>
      <c r="V5905" t="s">
        <v>12620</v>
      </c>
      <c r="W5905" t="s">
        <v>18465</v>
      </c>
      <c r="X5905">
        <v>7</v>
      </c>
      <c r="Y5905" t="s">
        <v>24552</v>
      </c>
      <c r="Z5905" t="s">
        <v>30852</v>
      </c>
      <c r="AA5905">
        <v>0.25555447043246832</v>
      </c>
      <c r="AB5905" t="str">
        <f>HYPERLINK("Melting_Curves/meltCurve_Q9UIG0_2_BAZ1B.pdf", "Melting_Curves/meltCurve_Q9UIG0_2_BAZ1B.pdf")</f>
        <v>Melting_Curves/meltCurve_Q9UIG0_2_BAZ1B.pdf</v>
      </c>
    </row>
    <row r="5906" spans="1:28" x14ac:dyDescent="0.25">
      <c r="A5906" t="s">
        <v>5910</v>
      </c>
      <c r="B5906">
        <v>0.99987803227770999</v>
      </c>
      <c r="C5906">
        <v>0.81913821002490905</v>
      </c>
      <c r="D5906">
        <v>0.98210628895520702</v>
      </c>
      <c r="E5906">
        <v>0.80886846184001704</v>
      </c>
      <c r="F5906">
        <v>0.95802689593556101</v>
      </c>
      <c r="G5906">
        <v>0.46892314968274001</v>
      </c>
      <c r="H5906">
        <v>0.77937229527878105</v>
      </c>
      <c r="I5906">
        <v>0.69092306490169697</v>
      </c>
      <c r="J5906">
        <v>1.1799564365423201</v>
      </c>
      <c r="K5906">
        <v>1.00223973577272</v>
      </c>
      <c r="L5906">
        <v>10244.016716952599</v>
      </c>
      <c r="M5906">
        <v>250</v>
      </c>
      <c r="O5906">
        <v>40.973452117013103</v>
      </c>
      <c r="P5906">
        <v>-0.22210294917582901</v>
      </c>
      <c r="Q5906">
        <v>0.85439483370540903</v>
      </c>
      <c r="R5906">
        <v>5.31783277205286E-2</v>
      </c>
      <c r="S5906" t="s">
        <v>12217</v>
      </c>
      <c r="T5906" t="s">
        <v>12620</v>
      </c>
      <c r="U5906" t="s">
        <v>12620</v>
      </c>
      <c r="V5906" t="s">
        <v>12620</v>
      </c>
      <c r="W5906" t="s">
        <v>18466</v>
      </c>
      <c r="X5906">
        <v>3</v>
      </c>
      <c r="Y5906" t="s">
        <v>24553</v>
      </c>
      <c r="Z5906" t="s">
        <v>30853</v>
      </c>
      <c r="AA5906">
        <v>0.85914433498013842</v>
      </c>
      <c r="AB5906" t="str">
        <f>HYPERLINK("Melting_Curves/meltCurve_Q9UII2_ATPIF1.pdf", "Melting_Curves/meltCurve_Q9UII2_ATPIF1.pdf")</f>
        <v>Melting_Curves/meltCurve_Q9UII2_ATPIF1.pdf</v>
      </c>
    </row>
    <row r="5907" spans="1:28" x14ac:dyDescent="0.25">
      <c r="A5907" t="s">
        <v>5911</v>
      </c>
      <c r="B5907">
        <v>0.99987803227770999</v>
      </c>
      <c r="C5907">
        <v>0.60650987431745595</v>
      </c>
      <c r="D5907">
        <v>1.0709821701031701</v>
      </c>
      <c r="E5907">
        <v>0.76010741670773996</v>
      </c>
      <c r="F5907">
        <v>0.89331376406670604</v>
      </c>
      <c r="G5907">
        <v>0.41563247212799898</v>
      </c>
      <c r="H5907">
        <v>0.100925633056644</v>
      </c>
      <c r="I5907">
        <v>7.8965300802590205E-2</v>
      </c>
      <c r="J5907">
        <v>5.8876256763364498E-2</v>
      </c>
      <c r="K5907">
        <v>4.4894863399687901E-2</v>
      </c>
      <c r="L5907">
        <v>1351.2319346888901</v>
      </c>
      <c r="M5907">
        <v>24.099605474430099</v>
      </c>
      <c r="N5907">
        <v>56.188094420370703</v>
      </c>
      <c r="O5907">
        <v>55.686829792239898</v>
      </c>
      <c r="P5907">
        <v>-0.105492186229041</v>
      </c>
      <c r="Q5907">
        <v>2.4973812054475901E-2</v>
      </c>
      <c r="R5907">
        <v>0.86726179328178599</v>
      </c>
      <c r="S5907" t="s">
        <v>12218</v>
      </c>
      <c r="T5907" t="s">
        <v>12620</v>
      </c>
      <c r="U5907" t="s">
        <v>12620</v>
      </c>
      <c r="V5907" t="s">
        <v>12620</v>
      </c>
      <c r="W5907" t="s">
        <v>18467</v>
      </c>
      <c r="X5907">
        <v>16</v>
      </c>
      <c r="Y5907" t="s">
        <v>24554</v>
      </c>
      <c r="Z5907" t="s">
        <v>30854</v>
      </c>
      <c r="AA5907">
        <v>0.5567128487888765</v>
      </c>
      <c r="AB5907" t="str">
        <f>HYPERLINK("Melting_Curves/meltCurve_Q9UIJ7_AK3.pdf", "Melting_Curves/meltCurve_Q9UIJ7_AK3.pdf")</f>
        <v>Melting_Curves/meltCurve_Q9UIJ7_AK3.pdf</v>
      </c>
    </row>
    <row r="5908" spans="1:28" x14ac:dyDescent="0.25">
      <c r="A5908" t="s">
        <v>5912</v>
      </c>
      <c r="B5908">
        <v>0.99987803227770999</v>
      </c>
      <c r="C5908">
        <v>0.85500633151952898</v>
      </c>
      <c r="D5908">
        <v>1.02636258175884</v>
      </c>
      <c r="E5908">
        <v>0.91879999081068797</v>
      </c>
      <c r="F5908">
        <v>1.2102803387507199</v>
      </c>
      <c r="G5908">
        <v>0.75825274863792103</v>
      </c>
      <c r="H5908">
        <v>0.99168145554935305</v>
      </c>
      <c r="I5908">
        <v>0.92690822808415996</v>
      </c>
      <c r="J5908">
        <v>1.0190663989284601</v>
      </c>
      <c r="K5908">
        <v>0.83617153150494805</v>
      </c>
      <c r="L5908">
        <v>293.00886900580201</v>
      </c>
      <c r="M5908">
        <v>1.9268234634008701</v>
      </c>
      <c r="Q5908">
        <v>0</v>
      </c>
      <c r="R5908">
        <v>3.1089389163275302E-2</v>
      </c>
      <c r="S5908" t="s">
        <v>12219</v>
      </c>
      <c r="T5908" t="s">
        <v>12620</v>
      </c>
      <c r="U5908" t="s">
        <v>12620</v>
      </c>
      <c r="V5908" t="s">
        <v>12620</v>
      </c>
      <c r="W5908" t="s">
        <v>18468</v>
      </c>
      <c r="X5908">
        <v>2</v>
      </c>
      <c r="Y5908" t="s">
        <v>24555</v>
      </c>
      <c r="Z5908" t="s">
        <v>30855</v>
      </c>
      <c r="AA5908">
        <v>0.96181282472784246</v>
      </c>
      <c r="AB5908" t="str">
        <f>HYPERLINK("Melting_Curves/meltCurve_Q9UIL1_3_SCOC.pdf", "Melting_Curves/meltCurve_Q9UIL1_3_SCOC.pdf")</f>
        <v>Melting_Curves/meltCurve_Q9UIL1_3_SCOC.pdf</v>
      </c>
    </row>
    <row r="5909" spans="1:28" x14ac:dyDescent="0.25">
      <c r="A5909" t="s">
        <v>5913</v>
      </c>
      <c r="B5909">
        <v>0.99987803227770999</v>
      </c>
      <c r="C5909">
        <v>1.13903131422189</v>
      </c>
      <c r="D5909">
        <v>0.97503563326820597</v>
      </c>
      <c r="E5909">
        <v>0.88412321738851196</v>
      </c>
      <c r="F5909">
        <v>0.65837788879749004</v>
      </c>
      <c r="G5909">
        <v>0.39912696398025199</v>
      </c>
      <c r="H5909">
        <v>0.315813792515102</v>
      </c>
      <c r="I5909">
        <v>0.27872715156113798</v>
      </c>
      <c r="J5909">
        <v>0.21953734206084499</v>
      </c>
      <c r="K5909">
        <v>0.19828436798773599</v>
      </c>
      <c r="L5909">
        <v>1134.6754643674899</v>
      </c>
      <c r="M5909">
        <v>21.086004629386</v>
      </c>
      <c r="N5909">
        <v>55.372800151953598</v>
      </c>
      <c r="O5909">
        <v>53.3348015743166</v>
      </c>
      <c r="P5909">
        <v>-7.6693980697189398E-2</v>
      </c>
      <c r="Q5909">
        <v>0.22406348745698099</v>
      </c>
      <c r="R5909">
        <v>0.98010995891826602</v>
      </c>
      <c r="S5909" t="s">
        <v>12220</v>
      </c>
      <c r="T5909" t="s">
        <v>12620</v>
      </c>
      <c r="U5909" t="s">
        <v>12620</v>
      </c>
      <c r="V5909" t="s">
        <v>12620</v>
      </c>
      <c r="W5909" t="s">
        <v>18469</v>
      </c>
      <c r="X5909">
        <v>4</v>
      </c>
      <c r="Y5909" t="s">
        <v>24556</v>
      </c>
      <c r="Z5909" t="s">
        <v>30856</v>
      </c>
      <c r="AA5909">
        <v>0.5909871472395849</v>
      </c>
      <c r="AB5909" t="str">
        <f>HYPERLINK("Melting_Curves/meltCurve_Q9UIM3_FKBPL.pdf", "Melting_Curves/meltCurve_Q9UIM3_FKBPL.pdf")</f>
        <v>Melting_Curves/meltCurve_Q9UIM3_FKBPL.pdf</v>
      </c>
    </row>
    <row r="5910" spans="1:28" x14ac:dyDescent="0.25">
      <c r="A5910" t="s">
        <v>5914</v>
      </c>
      <c r="B5910">
        <v>0.99987803227770999</v>
      </c>
      <c r="C5910">
        <v>1.1470207513330699</v>
      </c>
      <c r="D5910">
        <v>1.03205391101665</v>
      </c>
      <c r="E5910">
        <v>1.08937398074365</v>
      </c>
      <c r="F5910">
        <v>0.69935307702613303</v>
      </c>
      <c r="G5910">
        <v>0.31549191919233099</v>
      </c>
      <c r="H5910">
        <v>0.25255076965359202</v>
      </c>
      <c r="I5910">
        <v>0.19411049603535999</v>
      </c>
      <c r="J5910">
        <v>0.144798139428226</v>
      </c>
      <c r="K5910">
        <v>6.5979778223128296E-2</v>
      </c>
      <c r="L5910">
        <v>1849.5181930444201</v>
      </c>
      <c r="M5910">
        <v>34.044428232958701</v>
      </c>
      <c r="N5910">
        <v>54.941688495647902</v>
      </c>
      <c r="O5910">
        <v>54.140186862063601</v>
      </c>
      <c r="P5910">
        <v>-0.13229526755726001</v>
      </c>
      <c r="Q5910">
        <v>0.15845706025310199</v>
      </c>
      <c r="R5910">
        <v>0.96692161783338104</v>
      </c>
      <c r="S5910" t="s">
        <v>12221</v>
      </c>
      <c r="T5910" t="s">
        <v>12620</v>
      </c>
      <c r="U5910" t="s">
        <v>12620</v>
      </c>
      <c r="V5910" t="s">
        <v>12620</v>
      </c>
      <c r="W5910" t="s">
        <v>18470</v>
      </c>
      <c r="X5910">
        <v>1</v>
      </c>
      <c r="Y5910" t="s">
        <v>24557</v>
      </c>
      <c r="Z5910" t="s">
        <v>30857</v>
      </c>
      <c r="AA5910">
        <v>0.56467818207068754</v>
      </c>
      <c r="AB5910" t="str">
        <f>HYPERLINK("Melting_Curves/meltCurve_Q9UIV1_2_CNOT7.pdf", "Melting_Curves/meltCurve_Q9UIV1_2_CNOT7.pdf")</f>
        <v>Melting_Curves/meltCurve_Q9UIV1_2_CNOT7.pdf</v>
      </c>
    </row>
    <row r="5911" spans="1:28" x14ac:dyDescent="0.25">
      <c r="A5911" t="s">
        <v>5915</v>
      </c>
      <c r="B5911">
        <v>0.99987803227770999</v>
      </c>
      <c r="C5911">
        <v>1.11248013944956</v>
      </c>
      <c r="D5911">
        <v>0.95566689445737696</v>
      </c>
      <c r="E5911">
        <v>1.0202664950666001</v>
      </c>
      <c r="F5911">
        <v>0.79327095328389496</v>
      </c>
      <c r="G5911">
        <v>0.65384861160455898</v>
      </c>
      <c r="H5911">
        <v>0.39926780353887797</v>
      </c>
      <c r="I5911">
        <v>0.288336442153733</v>
      </c>
      <c r="J5911">
        <v>0.21288662570640099</v>
      </c>
      <c r="K5911">
        <v>0.15301857242526401</v>
      </c>
      <c r="L5911">
        <v>936.24888115877798</v>
      </c>
      <c r="M5911">
        <v>16.035128217744099</v>
      </c>
      <c r="N5911">
        <v>59.257049488484199</v>
      </c>
      <c r="O5911">
        <v>57.501943276638002</v>
      </c>
      <c r="P5911">
        <v>-6.2410886355916399E-2</v>
      </c>
      <c r="Q5911">
        <v>0.10484857007073101</v>
      </c>
      <c r="R5911">
        <v>0.98000094101652901</v>
      </c>
      <c r="S5911" t="s">
        <v>12222</v>
      </c>
      <c r="T5911" t="s">
        <v>12620</v>
      </c>
      <c r="U5911" t="s">
        <v>12620</v>
      </c>
      <c r="V5911" t="s">
        <v>12620</v>
      </c>
      <c r="W5911" t="s">
        <v>18471</v>
      </c>
      <c r="X5911">
        <v>15</v>
      </c>
      <c r="Y5911" t="s">
        <v>24558</v>
      </c>
      <c r="Z5911" t="s">
        <v>30858</v>
      </c>
      <c r="AA5911">
        <v>0.66449466110919486</v>
      </c>
      <c r="AB5911" t="str">
        <f>HYPERLINK("Melting_Curves/meltCurve_Q9UJ41_RABGEF1.pdf", "Melting_Curves/meltCurve_Q9UJ41_RABGEF1.pdf")</f>
        <v>Melting_Curves/meltCurve_Q9UJ41_RABGEF1.pdf</v>
      </c>
    </row>
    <row r="5912" spans="1:28" x14ac:dyDescent="0.25">
      <c r="A5912" t="s">
        <v>5916</v>
      </c>
      <c r="B5912">
        <v>0.99987803227770999</v>
      </c>
      <c r="C5912">
        <v>0.66039433041622597</v>
      </c>
      <c r="D5912">
        <v>0.53890807272452101</v>
      </c>
      <c r="E5912">
        <v>0.24160842870253901</v>
      </c>
      <c r="F5912">
        <v>0.12917655277478901</v>
      </c>
      <c r="G5912">
        <v>7.7042968020990296E-2</v>
      </c>
      <c r="H5912">
        <v>5.7983560199513097E-2</v>
      </c>
      <c r="I5912">
        <v>4.6043952439336899E-2</v>
      </c>
      <c r="J5912">
        <v>4.1504079465980399E-2</v>
      </c>
      <c r="K5912">
        <v>1.88854091930598E-2</v>
      </c>
      <c r="L5912">
        <v>707.00593325093905</v>
      </c>
      <c r="M5912">
        <v>15.4262163476729</v>
      </c>
      <c r="N5912">
        <v>46.017000034467699</v>
      </c>
      <c r="O5912">
        <v>45.081989409293698</v>
      </c>
      <c r="P5912">
        <v>-8.2973444109387701E-2</v>
      </c>
      <c r="Q5912">
        <v>3.01526175101142E-2</v>
      </c>
      <c r="R5912">
        <v>0.98215745240951002</v>
      </c>
      <c r="S5912" t="s">
        <v>12223</v>
      </c>
      <c r="T5912" t="s">
        <v>12620</v>
      </c>
      <c r="U5912" t="s">
        <v>12620</v>
      </c>
      <c r="V5912" t="s">
        <v>12620</v>
      </c>
      <c r="W5912" t="s">
        <v>18472</v>
      </c>
      <c r="X5912">
        <v>2</v>
      </c>
      <c r="Y5912" t="s">
        <v>24559</v>
      </c>
      <c r="Z5912" t="s">
        <v>30859</v>
      </c>
      <c r="AA5912">
        <v>0.2457495286189392</v>
      </c>
      <c r="AB5912" t="str">
        <f>HYPERLINK("Melting_Curves/meltCurve_Q9UJ68_2_MSRA.pdf", "Melting_Curves/meltCurve_Q9UJ68_2_MSRA.pdf")</f>
        <v>Melting_Curves/meltCurve_Q9UJ68_2_MSRA.pdf</v>
      </c>
    </row>
    <row r="5913" spans="1:28" x14ac:dyDescent="0.25">
      <c r="A5913" t="s">
        <v>5917</v>
      </c>
      <c r="B5913">
        <v>0.99987803227770999</v>
      </c>
      <c r="C5913">
        <v>1.0150354842439799</v>
      </c>
      <c r="D5913">
        <v>1.0307291028486401</v>
      </c>
      <c r="E5913">
        <v>1.0257361631080999</v>
      </c>
      <c r="F5913">
        <v>1.03594709999589</v>
      </c>
      <c r="G5913">
        <v>0.83930057309899497</v>
      </c>
      <c r="H5913">
        <v>0.32292670532109802</v>
      </c>
      <c r="I5913">
        <v>0.13923126171717101</v>
      </c>
      <c r="J5913">
        <v>7.3381083383832299E-2</v>
      </c>
      <c r="K5913">
        <v>5.7140442394999699E-2</v>
      </c>
      <c r="L5913">
        <v>2210.97390376866</v>
      </c>
      <c r="M5913">
        <v>37.179235753475602</v>
      </c>
      <c r="N5913">
        <v>59.679875151506003</v>
      </c>
      <c r="O5913">
        <v>59.296716896535301</v>
      </c>
      <c r="P5913">
        <v>-0.14705885640875099</v>
      </c>
      <c r="Q5913">
        <v>6.1832981660808001E-2</v>
      </c>
      <c r="R5913">
        <v>0.99758331484737695</v>
      </c>
      <c r="S5913" t="s">
        <v>12224</v>
      </c>
      <c r="T5913" t="s">
        <v>12620</v>
      </c>
      <c r="U5913" t="s">
        <v>12620</v>
      </c>
      <c r="V5913" t="s">
        <v>12620</v>
      </c>
      <c r="W5913" t="s">
        <v>18473</v>
      </c>
      <c r="X5913">
        <v>14</v>
      </c>
      <c r="Y5913" t="s">
        <v>24560</v>
      </c>
      <c r="Z5913" t="s">
        <v>30860</v>
      </c>
      <c r="AA5913">
        <v>0.6748359826400433</v>
      </c>
      <c r="AB5913" t="str">
        <f>HYPERLINK("Melting_Curves/meltCurve_Q9UJ70_2_NAGK.pdf", "Melting_Curves/meltCurve_Q9UJ70_2_NAGK.pdf")</f>
        <v>Melting_Curves/meltCurve_Q9UJ70_2_NAGK.pdf</v>
      </c>
    </row>
    <row r="5914" spans="1:28" x14ac:dyDescent="0.25">
      <c r="A5914" t="s">
        <v>5918</v>
      </c>
      <c r="B5914">
        <v>0.99987803227770999</v>
      </c>
      <c r="C5914">
        <v>1.1462923646429499</v>
      </c>
      <c r="D5914">
        <v>0.89592200283441503</v>
      </c>
      <c r="E5914">
        <v>1.2314948365952201</v>
      </c>
      <c r="F5914">
        <v>0.88389596727083197</v>
      </c>
      <c r="G5914">
        <v>0.76578791843804705</v>
      </c>
      <c r="H5914">
        <v>0.263250496798421</v>
      </c>
      <c r="I5914">
        <v>0.178932011846028</v>
      </c>
      <c r="J5914">
        <v>0.123238706071211</v>
      </c>
      <c r="K5914">
        <v>8.6506095461171495E-2</v>
      </c>
      <c r="L5914">
        <v>1987.7303110369601</v>
      </c>
      <c r="M5914">
        <v>33.945499517029297</v>
      </c>
      <c r="N5914">
        <v>58.957918631808901</v>
      </c>
      <c r="O5914">
        <v>58.354419364088599</v>
      </c>
      <c r="P5914">
        <v>-0.13042459907439699</v>
      </c>
      <c r="Q5914">
        <v>0.10317167186354</v>
      </c>
      <c r="R5914">
        <v>0.94581922783147798</v>
      </c>
      <c r="S5914" t="s">
        <v>12225</v>
      </c>
      <c r="T5914" t="s">
        <v>12620</v>
      </c>
      <c r="U5914" t="s">
        <v>12620</v>
      </c>
      <c r="V5914" t="s">
        <v>12620</v>
      </c>
      <c r="W5914" t="s">
        <v>18474</v>
      </c>
      <c r="X5914">
        <v>16</v>
      </c>
      <c r="Y5914" t="s">
        <v>24561</v>
      </c>
      <c r="Z5914" t="s">
        <v>30861</v>
      </c>
      <c r="AA5914">
        <v>0.66265607015018091</v>
      </c>
      <c r="AB5914" t="str">
        <f>HYPERLINK("Melting_Curves/meltCurve_Q9UJA5_TRMT6.pdf", "Melting_Curves/meltCurve_Q9UJA5_TRMT6.pdf")</f>
        <v>Melting_Curves/meltCurve_Q9UJA5_TRMT6.pdf</v>
      </c>
    </row>
    <row r="5915" spans="1:28" x14ac:dyDescent="0.25">
      <c r="A5915" t="s">
        <v>5919</v>
      </c>
      <c r="B5915">
        <v>0.99987803227770999</v>
      </c>
      <c r="C5915">
        <v>1.08212017462132</v>
      </c>
      <c r="D5915">
        <v>0.99895910702922097</v>
      </c>
      <c r="E5915">
        <v>0.86286535425911703</v>
      </c>
      <c r="F5915">
        <v>0.63400292387434798</v>
      </c>
      <c r="G5915">
        <v>1.1298382697067899</v>
      </c>
      <c r="H5915">
        <v>0.51914018264369399</v>
      </c>
      <c r="I5915">
        <v>0.909603360757815</v>
      </c>
      <c r="J5915">
        <v>0.42465351880961799</v>
      </c>
      <c r="K5915">
        <v>0.31998991587347397</v>
      </c>
      <c r="L5915">
        <v>687.92855123031802</v>
      </c>
      <c r="M5915">
        <v>10.252539454769501</v>
      </c>
      <c r="N5915">
        <v>67.098355593000505</v>
      </c>
      <c r="O5915">
        <v>64.695978171810395</v>
      </c>
      <c r="P5915">
        <v>-3.9635663758795799E-2</v>
      </c>
      <c r="Q5915">
        <v>0</v>
      </c>
      <c r="R5915">
        <v>0.57064579266232196</v>
      </c>
      <c r="S5915" t="s">
        <v>12226</v>
      </c>
      <c r="T5915" t="s">
        <v>12620</v>
      </c>
      <c r="U5915" t="s">
        <v>12620</v>
      </c>
      <c r="V5915" t="s">
        <v>12620</v>
      </c>
      <c r="W5915" t="s">
        <v>18475</v>
      </c>
      <c r="X5915">
        <v>4</v>
      </c>
      <c r="Y5915" t="s">
        <v>24562</v>
      </c>
      <c r="Z5915" t="s">
        <v>30862</v>
      </c>
      <c r="AA5915">
        <v>0.82222312871143832</v>
      </c>
      <c r="AB5915" t="str">
        <f>HYPERLINK("Melting_Curves/meltCurve_Q9UJJ2_ZNF280C.pdf", "Melting_Curves/meltCurve_Q9UJJ2_ZNF280C.pdf")</f>
        <v>Melting_Curves/meltCurve_Q9UJJ2_ZNF280C.pdf</v>
      </c>
    </row>
    <row r="5916" spans="1:28" x14ac:dyDescent="0.25">
      <c r="A5916" t="s">
        <v>5920</v>
      </c>
      <c r="B5916">
        <v>0.99987803227770999</v>
      </c>
      <c r="C5916">
        <v>0.94670471674851198</v>
      </c>
      <c r="D5916">
        <v>0.942562254053253</v>
      </c>
      <c r="E5916">
        <v>0.94637376964919195</v>
      </c>
      <c r="F5916">
        <v>0.99548811648731905</v>
      </c>
      <c r="G5916">
        <v>0.59995486984787005</v>
      </c>
      <c r="H5916">
        <v>0.47680973918526598</v>
      </c>
      <c r="I5916">
        <v>0.26942470006637698</v>
      </c>
      <c r="J5916">
        <v>0.10532936068648401</v>
      </c>
      <c r="K5916">
        <v>4.9520276419032998E-2</v>
      </c>
      <c r="L5916">
        <v>1019.42953037004</v>
      </c>
      <c r="M5916">
        <v>17.0467135916155</v>
      </c>
      <c r="N5916">
        <v>59.802115289474401</v>
      </c>
      <c r="O5916">
        <v>58.997331966394299</v>
      </c>
      <c r="P5916">
        <v>-7.2239517072145404E-2</v>
      </c>
      <c r="Q5916">
        <v>0</v>
      </c>
      <c r="R5916">
        <v>0.97709951911554105</v>
      </c>
      <c r="S5916" t="s">
        <v>12227</v>
      </c>
      <c r="T5916" t="s">
        <v>12620</v>
      </c>
      <c r="U5916" t="s">
        <v>12620</v>
      </c>
      <c r="V5916" t="s">
        <v>12620</v>
      </c>
      <c r="W5916" t="s">
        <v>18476</v>
      </c>
      <c r="X5916">
        <v>4</v>
      </c>
      <c r="Y5916" t="s">
        <v>24563</v>
      </c>
      <c r="Z5916" t="s">
        <v>30863</v>
      </c>
      <c r="AA5916">
        <v>0.66868457725265373</v>
      </c>
      <c r="AB5916" t="str">
        <f>HYPERLINK("Melting_Curves/meltCurve_Q9UJK0_TSR3.pdf", "Melting_Curves/meltCurve_Q9UJK0_TSR3.pdf")</f>
        <v>Melting_Curves/meltCurve_Q9UJK0_TSR3.pdf</v>
      </c>
    </row>
    <row r="5917" spans="1:28" x14ac:dyDescent="0.25">
      <c r="A5917" t="s">
        <v>5921</v>
      </c>
      <c r="B5917">
        <v>0.99987803227770999</v>
      </c>
      <c r="C5917">
        <v>0.94477295464764599</v>
      </c>
      <c r="D5917">
        <v>1.0224854840554101</v>
      </c>
      <c r="E5917">
        <v>0.90522409022989803</v>
      </c>
      <c r="F5917">
        <v>1.00409246738531</v>
      </c>
      <c r="G5917">
        <v>0.86634769786835797</v>
      </c>
      <c r="H5917">
        <v>0.97116644470922697</v>
      </c>
      <c r="I5917">
        <v>0.88993999879881402</v>
      </c>
      <c r="J5917">
        <v>0.92349909830580401</v>
      </c>
      <c r="K5917">
        <v>0.74503961658437201</v>
      </c>
      <c r="L5917">
        <v>424.08057528556799</v>
      </c>
      <c r="M5917">
        <v>4.59600253943682</v>
      </c>
      <c r="Q5917">
        <v>0</v>
      </c>
      <c r="R5917">
        <v>0.51218341002523504</v>
      </c>
      <c r="S5917" t="s">
        <v>12228</v>
      </c>
      <c r="T5917" t="s">
        <v>12620</v>
      </c>
      <c r="U5917" t="s">
        <v>12620</v>
      </c>
      <c r="V5917" t="s">
        <v>12620</v>
      </c>
      <c r="W5917" t="s">
        <v>18477</v>
      </c>
      <c r="X5917">
        <v>7</v>
      </c>
      <c r="Y5917" t="s">
        <v>24564</v>
      </c>
      <c r="Z5917" t="s">
        <v>30864</v>
      </c>
      <c r="AA5917">
        <v>0.93910104757955548</v>
      </c>
      <c r="AB5917" t="str">
        <f>HYPERLINK("Melting_Curves/meltCurve_Q9UJM3_ERRFI1.pdf", "Melting_Curves/meltCurve_Q9UJM3_ERRFI1.pdf")</f>
        <v>Melting_Curves/meltCurve_Q9UJM3_ERRFI1.pdf</v>
      </c>
    </row>
    <row r="5918" spans="1:28" x14ac:dyDescent="0.25">
      <c r="A5918" t="s">
        <v>5922</v>
      </c>
      <c r="B5918">
        <v>0.99987803227770999</v>
      </c>
      <c r="C5918">
        <v>0.83721810474013203</v>
      </c>
      <c r="D5918">
        <v>1.0346395850822601</v>
      </c>
      <c r="E5918">
        <v>0.83151744975434005</v>
      </c>
      <c r="F5918">
        <v>0.90029767775105096</v>
      </c>
      <c r="G5918">
        <v>0.64591840231005004</v>
      </c>
      <c r="H5918">
        <v>0.72267235195249002</v>
      </c>
      <c r="I5918">
        <v>0.71649490511368696</v>
      </c>
      <c r="J5918">
        <v>0.79522800479780198</v>
      </c>
      <c r="K5918">
        <v>0.68317290708915801</v>
      </c>
      <c r="L5918">
        <v>901.44860834598001</v>
      </c>
      <c r="M5918">
        <v>17.6678192711544</v>
      </c>
      <c r="O5918">
        <v>50.3818850799491</v>
      </c>
      <c r="P5918">
        <v>-2.53991159370748E-2</v>
      </c>
      <c r="Q5918">
        <v>0.71030101695951897</v>
      </c>
      <c r="R5918">
        <v>0.62973615339969702</v>
      </c>
      <c r="S5918" t="s">
        <v>12229</v>
      </c>
      <c r="T5918" t="s">
        <v>12620</v>
      </c>
      <c r="U5918" t="s">
        <v>12620</v>
      </c>
      <c r="V5918" t="s">
        <v>12620</v>
      </c>
      <c r="W5918" t="s">
        <v>18478</v>
      </c>
      <c r="X5918">
        <v>21</v>
      </c>
      <c r="Y5918" t="s">
        <v>24565</v>
      </c>
      <c r="Z5918" t="s">
        <v>30865</v>
      </c>
      <c r="AA5918">
        <v>0.8217829267902772</v>
      </c>
      <c r="AB5918" t="str">
        <f>HYPERLINK("Melting_Curves/meltCurve_Q9UJU6_DBNL.pdf", "Melting_Curves/meltCurve_Q9UJU6_DBNL.pdf")</f>
        <v>Melting_Curves/meltCurve_Q9UJU6_DBNL.pdf</v>
      </c>
    </row>
    <row r="5919" spans="1:28" x14ac:dyDescent="0.25">
      <c r="A5919" t="s">
        <v>5923</v>
      </c>
      <c r="B5919">
        <v>0.99987803227770999</v>
      </c>
      <c r="C5919">
        <v>0.67339201756443601</v>
      </c>
      <c r="D5919">
        <v>0.72633432337790504</v>
      </c>
      <c r="E5919">
        <v>0.596252973454657</v>
      </c>
      <c r="F5919">
        <v>0.82813834650040696</v>
      </c>
      <c r="G5919">
        <v>0.37899753270259301</v>
      </c>
      <c r="H5919">
        <v>0.67261819805603396</v>
      </c>
      <c r="I5919">
        <v>0.55598875470998199</v>
      </c>
      <c r="J5919">
        <v>1.0474669787265001</v>
      </c>
      <c r="K5919">
        <v>0.75675010898714301</v>
      </c>
      <c r="L5919">
        <v>10264.271820108699</v>
      </c>
      <c r="M5919">
        <v>250</v>
      </c>
      <c r="O5919">
        <v>41.054455384203898</v>
      </c>
      <c r="P5919">
        <v>-0.46754742450072501</v>
      </c>
      <c r="Q5919">
        <v>0.69288148845969699</v>
      </c>
      <c r="R5919">
        <v>0.23467933921823</v>
      </c>
      <c r="S5919" t="s">
        <v>12230</v>
      </c>
      <c r="T5919" t="s">
        <v>12620</v>
      </c>
      <c r="U5919" t="s">
        <v>12620</v>
      </c>
      <c r="V5919" t="s">
        <v>12620</v>
      </c>
      <c r="W5919" t="s">
        <v>18479</v>
      </c>
      <c r="X5919">
        <v>20</v>
      </c>
      <c r="Y5919" t="s">
        <v>24565</v>
      </c>
      <c r="Z5919" t="s">
        <v>30866</v>
      </c>
      <c r="AA5919">
        <v>0.70372745825245586</v>
      </c>
      <c r="AB5919" t="str">
        <f>HYPERLINK("Melting_Curves/meltCurve_Q9UJU6_2_DBNL.pdf", "Melting_Curves/meltCurve_Q9UJU6_2_DBNL.pdf")</f>
        <v>Melting_Curves/meltCurve_Q9UJU6_2_DBNL.pdf</v>
      </c>
    </row>
    <row r="5920" spans="1:28" x14ac:dyDescent="0.25">
      <c r="A5920" t="s">
        <v>5924</v>
      </c>
      <c r="B5920">
        <v>0.99987803227770999</v>
      </c>
      <c r="C5920">
        <v>0.85510898384692102</v>
      </c>
      <c r="D5920">
        <v>0.50737732232710098</v>
      </c>
      <c r="E5920">
        <v>0.467132991504427</v>
      </c>
      <c r="F5920">
        <v>0.25322164886640203</v>
      </c>
      <c r="G5920">
        <v>0.13141229126332499</v>
      </c>
      <c r="H5920">
        <v>8.3489245442846305E-2</v>
      </c>
      <c r="I5920">
        <v>6.0570487034806303E-2</v>
      </c>
      <c r="J5920">
        <v>4.95135639873482E-2</v>
      </c>
      <c r="K5920">
        <v>3.3701840110348602E-2</v>
      </c>
      <c r="L5920">
        <v>595.06397259746097</v>
      </c>
      <c r="M5920">
        <v>12.4178885816565</v>
      </c>
      <c r="N5920">
        <v>48.091239347976</v>
      </c>
      <c r="O5920">
        <v>46.728071185674501</v>
      </c>
      <c r="P5920">
        <v>-6.5013090062251006E-2</v>
      </c>
      <c r="Q5920">
        <v>2.16387903163099E-2</v>
      </c>
      <c r="R5920">
        <v>0.97284686909782203</v>
      </c>
      <c r="S5920" t="s">
        <v>12231</v>
      </c>
      <c r="T5920" t="s">
        <v>12620</v>
      </c>
      <c r="U5920" t="s">
        <v>12620</v>
      </c>
      <c r="V5920" t="s">
        <v>12620</v>
      </c>
      <c r="W5920" t="s">
        <v>18480</v>
      </c>
      <c r="X5920">
        <v>5</v>
      </c>
      <c r="Y5920" t="s">
        <v>24566</v>
      </c>
      <c r="Z5920" t="s">
        <v>30867</v>
      </c>
      <c r="AA5920">
        <v>0.31612437205887761</v>
      </c>
      <c r="AB5920" t="str">
        <f>HYPERLINK("Melting_Curves/meltCurve_Q9UJV9_DDX41.pdf", "Melting_Curves/meltCurve_Q9UJV9_DDX41.pdf")</f>
        <v>Melting_Curves/meltCurve_Q9UJV9_DDX41.pdf</v>
      </c>
    </row>
    <row r="5921" spans="1:28" x14ac:dyDescent="0.25">
      <c r="A5921" t="s">
        <v>5925</v>
      </c>
      <c r="B5921">
        <v>0.99987803227770999</v>
      </c>
      <c r="C5921">
        <v>0.97408244137184996</v>
      </c>
      <c r="D5921">
        <v>1.0877139667042801</v>
      </c>
      <c r="E5921">
        <v>1.9562049337173</v>
      </c>
      <c r="F5921">
        <v>1.6306335656577999</v>
      </c>
      <c r="G5921">
        <v>1.89409208466552</v>
      </c>
      <c r="H5921">
        <v>1.5816478471277</v>
      </c>
      <c r="I5921">
        <v>1.0720154190275</v>
      </c>
      <c r="J5921">
        <v>0.34671679479166001</v>
      </c>
      <c r="K5921">
        <v>0.17136263569341301</v>
      </c>
      <c r="L5921">
        <v>15000</v>
      </c>
      <c r="M5921">
        <v>225.195233915779</v>
      </c>
      <c r="N5921">
        <v>66.733201433028498</v>
      </c>
      <c r="O5921">
        <v>66.603606925323405</v>
      </c>
      <c r="P5921">
        <v>-0.70046805829333403</v>
      </c>
      <c r="Q5921">
        <v>0.171319834547527</v>
      </c>
      <c r="R5921">
        <v>0.24963580386647599</v>
      </c>
      <c r="S5921" t="s">
        <v>12232</v>
      </c>
      <c r="T5921" t="s">
        <v>12620</v>
      </c>
      <c r="U5921" t="s">
        <v>12620</v>
      </c>
      <c r="V5921" t="s">
        <v>12620</v>
      </c>
      <c r="W5921" t="s">
        <v>18481</v>
      </c>
      <c r="X5921">
        <v>10</v>
      </c>
      <c r="Y5921" t="s">
        <v>24567</v>
      </c>
      <c r="Z5921" t="s">
        <v>30868</v>
      </c>
      <c r="AA5921">
        <v>0.90644714600175569</v>
      </c>
      <c r="AB5921" t="str">
        <f>HYPERLINK("Melting_Curves/meltCurve_Q9UJW0_DCTN4.pdf", "Melting_Curves/meltCurve_Q9UJW0_DCTN4.pdf")</f>
        <v>Melting_Curves/meltCurve_Q9UJW0_DCTN4.pdf</v>
      </c>
    </row>
    <row r="5922" spans="1:28" x14ac:dyDescent="0.25">
      <c r="A5922" t="s">
        <v>5926</v>
      </c>
      <c r="B5922">
        <v>0.99987803227770999</v>
      </c>
      <c r="C5922">
        <v>0.68997412970558902</v>
      </c>
      <c r="D5922">
        <v>0.29356284971624202</v>
      </c>
      <c r="E5922">
        <v>0.41511313177127301</v>
      </c>
      <c r="F5922">
        <v>0.226774647809564</v>
      </c>
      <c r="G5922">
        <v>0.180893277823442</v>
      </c>
      <c r="H5922">
        <v>0.103725598574912</v>
      </c>
      <c r="I5922">
        <v>8.9503318291227402E-2</v>
      </c>
      <c r="J5922">
        <v>6.9141256821132702E-2</v>
      </c>
      <c r="K5922">
        <v>4.4248728823221797E-2</v>
      </c>
      <c r="L5922">
        <v>649.58228144500004</v>
      </c>
      <c r="M5922">
        <v>14.4686465353417</v>
      </c>
      <c r="N5922">
        <v>45.564016427047299</v>
      </c>
      <c r="O5922">
        <v>44.064354911166902</v>
      </c>
      <c r="P5922">
        <v>-7.4250207478623001E-2</v>
      </c>
      <c r="Q5922">
        <v>9.5587149137332905E-2</v>
      </c>
      <c r="R5922">
        <v>0.90862229539853401</v>
      </c>
      <c r="S5922" t="s">
        <v>12233</v>
      </c>
      <c r="T5922" t="s">
        <v>12620</v>
      </c>
      <c r="U5922" t="s">
        <v>12620</v>
      </c>
      <c r="V5922" t="s">
        <v>12620</v>
      </c>
      <c r="W5922" t="s">
        <v>18482</v>
      </c>
      <c r="X5922">
        <v>2</v>
      </c>
      <c r="Y5922" t="s">
        <v>24568</v>
      </c>
      <c r="Z5922" t="s">
        <v>30869</v>
      </c>
      <c r="AA5922">
        <v>0.27485363375147659</v>
      </c>
      <c r="AB5922" t="str">
        <f>HYPERLINK("Melting_Curves/meltCurve_Q9UJX0_2_OSGIN1.pdf", "Melting_Curves/meltCurve_Q9UJX0_2_OSGIN1.pdf")</f>
        <v>Melting_Curves/meltCurve_Q9UJX0_2_OSGIN1.pdf</v>
      </c>
    </row>
    <row r="5923" spans="1:28" x14ac:dyDescent="0.25">
      <c r="A5923" t="s">
        <v>5927</v>
      </c>
      <c r="B5923">
        <v>0.99987803227770999</v>
      </c>
      <c r="C5923">
        <v>0.66372617307984905</v>
      </c>
      <c r="D5923">
        <v>0.73985514785422701</v>
      </c>
      <c r="E5923">
        <v>1.24046982706005</v>
      </c>
      <c r="F5923">
        <v>1.11378715531985</v>
      </c>
      <c r="G5923">
        <v>0.39681653833351399</v>
      </c>
      <c r="H5923">
        <v>0.31023303649073303</v>
      </c>
      <c r="I5923">
        <v>0.247639069892715</v>
      </c>
      <c r="J5923">
        <v>0.25717318892805502</v>
      </c>
      <c r="K5923">
        <v>0.193928043682079</v>
      </c>
      <c r="L5923">
        <v>14168.579199553</v>
      </c>
      <c r="M5923">
        <v>250</v>
      </c>
      <c r="N5923">
        <v>56.833943801861601</v>
      </c>
      <c r="O5923">
        <v>56.670686730114099</v>
      </c>
      <c r="P5923">
        <v>-0.82467307535692702</v>
      </c>
      <c r="Q5923">
        <v>0.25224332532297999</v>
      </c>
      <c r="R5923">
        <v>0.81372470687520704</v>
      </c>
      <c r="S5923" t="s">
        <v>12234</v>
      </c>
      <c r="T5923" t="s">
        <v>12620</v>
      </c>
      <c r="U5923" t="s">
        <v>12620</v>
      </c>
      <c r="V5923" t="s">
        <v>12620</v>
      </c>
      <c r="W5923" t="s">
        <v>18483</v>
      </c>
      <c r="X5923">
        <v>5</v>
      </c>
      <c r="Y5923" t="s">
        <v>24569</v>
      </c>
      <c r="Z5923" t="s">
        <v>30870</v>
      </c>
      <c r="AA5923">
        <v>0.66792875515549299</v>
      </c>
      <c r="AB5923" t="str">
        <f>HYPERLINK("Melting_Curves/meltCurve_Q9UJX2_3_CDC23.pdf", "Melting_Curves/meltCurve_Q9UJX2_3_CDC23.pdf")</f>
        <v>Melting_Curves/meltCurve_Q9UJX2_3_CDC23.pdf</v>
      </c>
    </row>
    <row r="5924" spans="1:28" x14ac:dyDescent="0.25">
      <c r="A5924" t="s">
        <v>5928</v>
      </c>
      <c r="B5924">
        <v>0.99987803227770999</v>
      </c>
      <c r="C5924">
        <v>0.83402071663188204</v>
      </c>
      <c r="D5924">
        <v>0.76047904777317599</v>
      </c>
      <c r="E5924">
        <v>1.0878900669051901</v>
      </c>
      <c r="F5924">
        <v>0.810203527374455</v>
      </c>
      <c r="G5924">
        <v>0.32969013851400703</v>
      </c>
      <c r="H5924">
        <v>0.181534741470463</v>
      </c>
      <c r="I5924">
        <v>0.15639170300121299</v>
      </c>
      <c r="J5924">
        <v>0.13829046926229399</v>
      </c>
      <c r="K5924">
        <v>0.101894740554497</v>
      </c>
      <c r="L5924">
        <v>2034.35507373207</v>
      </c>
      <c r="M5924">
        <v>36.9605143717895</v>
      </c>
      <c r="N5924">
        <v>55.523358012867703</v>
      </c>
      <c r="O5924">
        <v>54.880924892029803</v>
      </c>
      <c r="P5924">
        <v>-0.14525853249572099</v>
      </c>
      <c r="Q5924">
        <v>0.13725226818594699</v>
      </c>
      <c r="R5924">
        <v>0.92908811762096599</v>
      </c>
      <c r="S5924" t="s">
        <v>12235</v>
      </c>
      <c r="T5924" t="s">
        <v>12620</v>
      </c>
      <c r="U5924" t="s">
        <v>12620</v>
      </c>
      <c r="V5924" t="s">
        <v>12620</v>
      </c>
      <c r="W5924" t="s">
        <v>18484</v>
      </c>
      <c r="X5924">
        <v>9</v>
      </c>
      <c r="Y5924" t="s">
        <v>24570</v>
      </c>
      <c r="Z5924" t="s">
        <v>30871</v>
      </c>
      <c r="AA5924">
        <v>0.57363789697555334</v>
      </c>
      <c r="AB5924" t="str">
        <f>HYPERLINK("Melting_Curves/meltCurve_Q9UJX3_2_ANAPC7.pdf", "Melting_Curves/meltCurve_Q9UJX3_2_ANAPC7.pdf")</f>
        <v>Melting_Curves/meltCurve_Q9UJX3_2_ANAPC7.pdf</v>
      </c>
    </row>
    <row r="5925" spans="1:28" x14ac:dyDescent="0.25">
      <c r="A5925" t="s">
        <v>5929</v>
      </c>
      <c r="B5925">
        <v>0.99987803227770999</v>
      </c>
      <c r="C5925">
        <v>1.10039734836335</v>
      </c>
      <c r="D5925">
        <v>0.94111869430150397</v>
      </c>
      <c r="E5925">
        <v>1.7171486191054599</v>
      </c>
      <c r="F5925">
        <v>1.5813492403472</v>
      </c>
      <c r="G5925">
        <v>0.60513518100365604</v>
      </c>
      <c r="H5925">
        <v>0.22395756158917399</v>
      </c>
      <c r="I5925">
        <v>0.346498391945954</v>
      </c>
      <c r="J5925">
        <v>0.26450827682683797</v>
      </c>
      <c r="K5925">
        <v>0.16587640238300999</v>
      </c>
      <c r="L5925">
        <v>14243.9217022965</v>
      </c>
      <c r="M5925">
        <v>250</v>
      </c>
      <c r="N5925">
        <v>57.134290060547201</v>
      </c>
      <c r="O5925">
        <v>56.972039778594002</v>
      </c>
      <c r="P5925">
        <v>-0.82254147284925005</v>
      </c>
      <c r="Q5925">
        <v>0.250210140009965</v>
      </c>
      <c r="R5925">
        <v>0.69185163064980904</v>
      </c>
      <c r="S5925" t="s">
        <v>12236</v>
      </c>
      <c r="T5925" t="s">
        <v>12620</v>
      </c>
      <c r="U5925" t="s">
        <v>12620</v>
      </c>
      <c r="V5925" t="s">
        <v>12620</v>
      </c>
      <c r="W5925" t="s">
        <v>18485</v>
      </c>
      <c r="X5925">
        <v>4</v>
      </c>
      <c r="Y5925" t="s">
        <v>24571</v>
      </c>
      <c r="Z5925" t="s">
        <v>30872</v>
      </c>
      <c r="AA5925">
        <v>0.67455837377694672</v>
      </c>
      <c r="AB5925" t="str">
        <f>HYPERLINK("Melting_Curves/meltCurve_Q9UJX5_ANAPC4.pdf", "Melting_Curves/meltCurve_Q9UJX5_ANAPC4.pdf")</f>
        <v>Melting_Curves/meltCurve_Q9UJX5_ANAPC4.pdf</v>
      </c>
    </row>
    <row r="5926" spans="1:28" x14ac:dyDescent="0.25">
      <c r="A5926" t="s">
        <v>5930</v>
      </c>
      <c r="B5926">
        <v>0.99987803227770999</v>
      </c>
      <c r="C5926">
        <v>0.88893083101860404</v>
      </c>
      <c r="D5926">
        <v>0.68151112966085903</v>
      </c>
      <c r="E5926">
        <v>1.3722179403480399</v>
      </c>
      <c r="F5926">
        <v>0.71730862672275997</v>
      </c>
      <c r="G5926">
        <v>0.238896882717544</v>
      </c>
      <c r="H5926">
        <v>0.14013854027735301</v>
      </c>
      <c r="I5926">
        <v>0.115970257392771</v>
      </c>
      <c r="J5926">
        <v>9.8427145560482196E-2</v>
      </c>
      <c r="K5926">
        <v>9.5090212415336606E-2</v>
      </c>
      <c r="L5926">
        <v>13288.0535166928</v>
      </c>
      <c r="M5926">
        <v>250</v>
      </c>
      <c r="N5926">
        <v>53.220814109006902</v>
      </c>
      <c r="O5926">
        <v>53.148811937532699</v>
      </c>
      <c r="P5926">
        <v>-1.0140106724673601</v>
      </c>
      <c r="Q5926">
        <v>0.137704588462812</v>
      </c>
      <c r="R5926">
        <v>0.85981507579368899</v>
      </c>
      <c r="S5926" t="s">
        <v>12237</v>
      </c>
      <c r="T5926" t="s">
        <v>12620</v>
      </c>
      <c r="U5926" t="s">
        <v>12620</v>
      </c>
      <c r="V5926" t="s">
        <v>12620</v>
      </c>
      <c r="W5926" t="s">
        <v>18486</v>
      </c>
      <c r="X5926">
        <v>3</v>
      </c>
      <c r="Y5926" t="s">
        <v>24572</v>
      </c>
      <c r="Z5926" t="s">
        <v>30873</v>
      </c>
      <c r="AA5926">
        <v>0.51582148588479793</v>
      </c>
      <c r="AB5926" t="str">
        <f>HYPERLINK("Melting_Curves/meltCurve_Q9UJX6_ANAPC2.pdf", "Melting_Curves/meltCurve_Q9UJX6_ANAPC2.pdf")</f>
        <v>Melting_Curves/meltCurve_Q9UJX6_ANAPC2.pdf</v>
      </c>
    </row>
    <row r="5927" spans="1:28" x14ac:dyDescent="0.25">
      <c r="A5927" t="s">
        <v>5931</v>
      </c>
      <c r="B5927">
        <v>0.99987803227770999</v>
      </c>
      <c r="C5927">
        <v>1.08136428484721</v>
      </c>
      <c r="D5927">
        <v>0.99049488997133095</v>
      </c>
      <c r="E5927">
        <v>0.97193993750437402</v>
      </c>
      <c r="F5927">
        <v>0.75096272981422096</v>
      </c>
      <c r="G5927">
        <v>0.46627084616806702</v>
      </c>
      <c r="H5927">
        <v>0.51006480666500098</v>
      </c>
      <c r="I5927">
        <v>0.57605005951625099</v>
      </c>
      <c r="J5927">
        <v>0.46668479503501697</v>
      </c>
      <c r="K5927">
        <v>0.37702523454742198</v>
      </c>
      <c r="L5927">
        <v>3086.5647295303602</v>
      </c>
      <c r="M5927">
        <v>58.165398604517797</v>
      </c>
      <c r="N5927">
        <v>56.057119835510001</v>
      </c>
      <c r="O5927">
        <v>53.002690769864103</v>
      </c>
      <c r="P5927">
        <v>-0.143328595443868</v>
      </c>
      <c r="Q5927">
        <v>0.47757272384031602</v>
      </c>
      <c r="R5927">
        <v>0.95697654591805603</v>
      </c>
      <c r="S5927" t="s">
        <v>12238</v>
      </c>
      <c r="T5927" t="s">
        <v>12620</v>
      </c>
      <c r="U5927" t="s">
        <v>12620</v>
      </c>
      <c r="V5927" t="s">
        <v>12620</v>
      </c>
      <c r="W5927" t="s">
        <v>18487</v>
      </c>
      <c r="X5927">
        <v>5</v>
      </c>
      <c r="Y5927" t="s">
        <v>24573</v>
      </c>
      <c r="Z5927" t="s">
        <v>30874</v>
      </c>
      <c r="AA5927">
        <v>0.70599742526501885</v>
      </c>
      <c r="AB5927" t="str">
        <f>HYPERLINK("Melting_Curves/meltCurve_Q9UJY1_HSPB8.pdf", "Melting_Curves/meltCurve_Q9UJY1_HSPB8.pdf")</f>
        <v>Melting_Curves/meltCurve_Q9UJY1_HSPB8.pdf</v>
      </c>
    </row>
    <row r="5928" spans="1:28" x14ac:dyDescent="0.25">
      <c r="A5928" t="s">
        <v>5932</v>
      </c>
      <c r="B5928">
        <v>0.99987803227770999</v>
      </c>
      <c r="C5928">
        <v>0.91192345957316201</v>
      </c>
      <c r="D5928">
        <v>0.92906085588146703</v>
      </c>
      <c r="E5928">
        <v>0.52522894777337803</v>
      </c>
      <c r="F5928">
        <v>0.28481426687831601</v>
      </c>
      <c r="G5928">
        <v>0.18156899980070901</v>
      </c>
      <c r="H5928">
        <v>0.143576778624254</v>
      </c>
      <c r="I5928">
        <v>0.13155980877369999</v>
      </c>
      <c r="J5928">
        <v>9.9610028962401204E-2</v>
      </c>
      <c r="K5928">
        <v>6.7586806734332094E-2</v>
      </c>
      <c r="L5928">
        <v>1143.5431816795799</v>
      </c>
      <c r="M5928">
        <v>22.9334005678881</v>
      </c>
      <c r="N5928">
        <v>50.401651936494098</v>
      </c>
      <c r="O5928">
        <v>49.4891598451593</v>
      </c>
      <c r="P5928">
        <v>-0.10327515050639401</v>
      </c>
      <c r="Q5928">
        <v>0.108565938030872</v>
      </c>
      <c r="R5928">
        <v>0.99244647161390798</v>
      </c>
      <c r="S5928" t="s">
        <v>12239</v>
      </c>
      <c r="T5928" t="s">
        <v>12620</v>
      </c>
      <c r="U5928" t="s">
        <v>12620</v>
      </c>
      <c r="V5928" t="s">
        <v>12620</v>
      </c>
      <c r="W5928" t="s">
        <v>18488</v>
      </c>
      <c r="X5928">
        <v>7</v>
      </c>
      <c r="Y5928" t="s">
        <v>24574</v>
      </c>
      <c r="Z5928" t="s">
        <v>30875</v>
      </c>
      <c r="AA5928">
        <v>0.41112303946048928</v>
      </c>
      <c r="AB5928" t="str">
        <f>HYPERLINK("Melting_Curves/meltCurve_Q9UJY4_GGA2.pdf", "Melting_Curves/meltCurve_Q9UJY4_GGA2.pdf")</f>
        <v>Melting_Curves/meltCurve_Q9UJY4_GGA2.pdf</v>
      </c>
    </row>
    <row r="5929" spans="1:28" x14ac:dyDescent="0.25">
      <c r="A5929" t="s">
        <v>5933</v>
      </c>
      <c r="B5929">
        <v>0.99987803227770999</v>
      </c>
      <c r="C5929">
        <v>1.15346655994388</v>
      </c>
      <c r="D5929">
        <v>1.1291888217427</v>
      </c>
      <c r="E5929">
        <v>1.2840907592323101</v>
      </c>
      <c r="F5929">
        <v>1.00208420393216</v>
      </c>
      <c r="G5929">
        <v>0.43675034504926702</v>
      </c>
      <c r="H5929">
        <v>0.24347684205023101</v>
      </c>
      <c r="I5929">
        <v>0.19348454160322801</v>
      </c>
      <c r="J5929">
        <v>0.16083264740914299</v>
      </c>
      <c r="K5929">
        <v>0.12817744707671799</v>
      </c>
      <c r="L5929">
        <v>3756.2198754573601</v>
      </c>
      <c r="M5929">
        <v>66.666458433878404</v>
      </c>
      <c r="N5929">
        <v>56.722235208900997</v>
      </c>
      <c r="O5929">
        <v>56.292842284292199</v>
      </c>
      <c r="P5929">
        <v>-0.242883439558611</v>
      </c>
      <c r="Q5929">
        <v>0.17964173364247299</v>
      </c>
      <c r="R5929">
        <v>0.93781851036450103</v>
      </c>
      <c r="S5929" t="s">
        <v>12240</v>
      </c>
      <c r="T5929" t="s">
        <v>12620</v>
      </c>
      <c r="U5929" t="s">
        <v>12620</v>
      </c>
      <c r="V5929" t="s">
        <v>12620</v>
      </c>
      <c r="W5929" t="s">
        <v>18489</v>
      </c>
      <c r="X5929">
        <v>10</v>
      </c>
      <c r="Y5929" t="s">
        <v>24575</v>
      </c>
      <c r="Z5929" t="s">
        <v>30876</v>
      </c>
      <c r="AA5929">
        <v>0.62770250964589491</v>
      </c>
      <c r="AB5929" t="str">
        <f>HYPERLINK("Melting_Curves/meltCurve_Q9UJY5_4_GGA1.pdf", "Melting_Curves/meltCurve_Q9UJY5_4_GGA1.pdf")</f>
        <v>Melting_Curves/meltCurve_Q9UJY5_4_GGA1.pdf</v>
      </c>
    </row>
    <row r="5930" spans="1:28" x14ac:dyDescent="0.25">
      <c r="A5930" t="s">
        <v>5934</v>
      </c>
      <c r="B5930">
        <v>0.99987803227770999</v>
      </c>
      <c r="C5930">
        <v>1.03734006684327</v>
      </c>
      <c r="D5930">
        <v>1.0251053111283499</v>
      </c>
      <c r="E5930">
        <v>0.69751762052641697</v>
      </c>
      <c r="F5930">
        <v>0.39066043190334399</v>
      </c>
      <c r="G5930">
        <v>0.24314119604839099</v>
      </c>
      <c r="H5930">
        <v>0.13135181740773599</v>
      </c>
      <c r="I5930">
        <v>5.0175657399467E-2</v>
      </c>
      <c r="J5930">
        <v>0</v>
      </c>
      <c r="K5930">
        <v>0</v>
      </c>
      <c r="L5930">
        <v>1031.25500962302</v>
      </c>
      <c r="M5930">
        <v>19.748292272648101</v>
      </c>
      <c r="N5930">
        <v>52.362743404774598</v>
      </c>
      <c r="O5930">
        <v>51.693364920787303</v>
      </c>
      <c r="P5930">
        <v>-9.3006768886822203E-2</v>
      </c>
      <c r="Q5930">
        <v>2.6211260365674099E-2</v>
      </c>
      <c r="R5930">
        <v>0.98731158725666501</v>
      </c>
      <c r="S5930" t="s">
        <v>12241</v>
      </c>
      <c r="T5930" t="s">
        <v>12620</v>
      </c>
      <c r="U5930" t="s">
        <v>12620</v>
      </c>
      <c r="V5930" t="s">
        <v>12620</v>
      </c>
      <c r="W5930" t="s">
        <v>18490</v>
      </c>
      <c r="X5930">
        <v>1</v>
      </c>
      <c r="Y5930" t="s">
        <v>24576</v>
      </c>
      <c r="Z5930" t="s">
        <v>30877</v>
      </c>
      <c r="AA5930">
        <v>0.43663412249414069</v>
      </c>
      <c r="AB5930" t="str">
        <f>HYPERLINK("Melting_Curves/meltCurve_Q9UK22_FBXO2.pdf", "Melting_Curves/meltCurve_Q9UK22_FBXO2.pdf")</f>
        <v>Melting_Curves/meltCurve_Q9UK22_FBXO2.pdf</v>
      </c>
    </row>
    <row r="5931" spans="1:28" x14ac:dyDescent="0.25">
      <c r="A5931" t="s">
        <v>5935</v>
      </c>
      <c r="B5931">
        <v>0.99987803227770999</v>
      </c>
      <c r="C5931">
        <v>0.93675888617176895</v>
      </c>
      <c r="D5931">
        <v>1.0433758774387201</v>
      </c>
      <c r="E5931">
        <v>0.818539367112185</v>
      </c>
      <c r="F5931">
        <v>0.76349937812325996</v>
      </c>
      <c r="G5931">
        <v>0.57866075144387197</v>
      </c>
      <c r="H5931">
        <v>0.64412476524659601</v>
      </c>
      <c r="I5931">
        <v>0.69852590029217898</v>
      </c>
      <c r="J5931">
        <v>0.54519240310976202</v>
      </c>
      <c r="K5931">
        <v>0.474704824207966</v>
      </c>
      <c r="L5931">
        <v>1021.22888465423</v>
      </c>
      <c r="M5931">
        <v>19.7280218177306</v>
      </c>
      <c r="O5931">
        <v>51.242308733613001</v>
      </c>
      <c r="P5931">
        <v>-4.1294176185514703E-2</v>
      </c>
      <c r="Q5931">
        <v>0.570978531732237</v>
      </c>
      <c r="R5931">
        <v>0.88157963150297503</v>
      </c>
      <c r="S5931" t="s">
        <v>12242</v>
      </c>
      <c r="T5931" t="s">
        <v>12620</v>
      </c>
      <c r="U5931" t="s">
        <v>12620</v>
      </c>
      <c r="V5931" t="s">
        <v>12620</v>
      </c>
      <c r="W5931" t="s">
        <v>18491</v>
      </c>
      <c r="X5931">
        <v>3</v>
      </c>
      <c r="Y5931" t="s">
        <v>24577</v>
      </c>
      <c r="Z5931" t="s">
        <v>30878</v>
      </c>
      <c r="AA5931">
        <v>0.74532340255049834</v>
      </c>
      <c r="AB5931" t="str">
        <f>HYPERLINK("Melting_Curves/meltCurve_Q9UK33_ZNF580.pdf", "Melting_Curves/meltCurve_Q9UK33_ZNF580.pdf")</f>
        <v>Melting_Curves/meltCurve_Q9UK33_ZNF580.pdf</v>
      </c>
    </row>
    <row r="5932" spans="1:28" x14ac:dyDescent="0.25">
      <c r="A5932" t="s">
        <v>5936</v>
      </c>
      <c r="B5932">
        <v>0.99987803227770999</v>
      </c>
      <c r="C5932">
        <v>1.06700476024187</v>
      </c>
      <c r="D5932">
        <v>1.0683821601243599</v>
      </c>
      <c r="E5932">
        <v>0.98989561000230097</v>
      </c>
      <c r="F5932">
        <v>0.59533075174866801</v>
      </c>
      <c r="G5932">
        <v>0.22699493760109499</v>
      </c>
      <c r="H5932">
        <v>0.15070302551857501</v>
      </c>
      <c r="I5932">
        <v>0.127656639771945</v>
      </c>
      <c r="J5932">
        <v>9.8218641331465406E-2</v>
      </c>
      <c r="K5932">
        <v>6.7598910938026197E-2</v>
      </c>
      <c r="L5932">
        <v>2010.7715472140501</v>
      </c>
      <c r="M5932">
        <v>37.640818361944902</v>
      </c>
      <c r="N5932">
        <v>53.792299497659798</v>
      </c>
      <c r="O5932">
        <v>53.2698656783949</v>
      </c>
      <c r="P5932">
        <v>-0.15639367108272201</v>
      </c>
      <c r="Q5932">
        <v>0.114679427722962</v>
      </c>
      <c r="R5932">
        <v>0.99022518889055999</v>
      </c>
      <c r="S5932" t="s">
        <v>12243</v>
      </c>
      <c r="T5932" t="s">
        <v>12620</v>
      </c>
      <c r="U5932" t="s">
        <v>12620</v>
      </c>
      <c r="V5932" t="s">
        <v>12620</v>
      </c>
      <c r="W5932" t="s">
        <v>18492</v>
      </c>
      <c r="X5932">
        <v>11</v>
      </c>
      <c r="Y5932" t="s">
        <v>24578</v>
      </c>
      <c r="Z5932" t="s">
        <v>30879</v>
      </c>
      <c r="AA5932">
        <v>0.51439877683734603</v>
      </c>
      <c r="AB5932" t="str">
        <f>HYPERLINK("Melting_Curves/meltCurve_Q9UK41_VPS28.pdf", "Melting_Curves/meltCurve_Q9UK41_VPS28.pdf")</f>
        <v>Melting_Curves/meltCurve_Q9UK41_VPS28.pdf</v>
      </c>
    </row>
    <row r="5933" spans="1:28" x14ac:dyDescent="0.25">
      <c r="A5933" t="s">
        <v>5937</v>
      </c>
      <c r="B5933">
        <v>0.99987803227770999</v>
      </c>
      <c r="C5933">
        <v>1.0105453817712799</v>
      </c>
      <c r="D5933">
        <v>1.0206414803497501</v>
      </c>
      <c r="E5933">
        <v>0.92947081044997004</v>
      </c>
      <c r="F5933">
        <v>0.79105136383323305</v>
      </c>
      <c r="G5933">
        <v>0.46289528602055802</v>
      </c>
      <c r="H5933">
        <v>0.25486529147874998</v>
      </c>
      <c r="I5933">
        <v>0.17969910566212399</v>
      </c>
      <c r="J5933">
        <v>0.14732786161248301</v>
      </c>
      <c r="K5933">
        <v>0.112244962029534</v>
      </c>
      <c r="L5933">
        <v>1169.7879761269301</v>
      </c>
      <c r="M5933">
        <v>20.9129563149319</v>
      </c>
      <c r="N5933">
        <v>56.636651472022002</v>
      </c>
      <c r="O5933">
        <v>55.432116322736498</v>
      </c>
      <c r="P5933">
        <v>-8.3570527145733597E-2</v>
      </c>
      <c r="Q5933">
        <v>0.113972276576893</v>
      </c>
      <c r="R5933">
        <v>0.998925165183847</v>
      </c>
      <c r="S5933" t="s">
        <v>12244</v>
      </c>
      <c r="T5933" t="s">
        <v>12620</v>
      </c>
      <c r="U5933" t="s">
        <v>12620</v>
      </c>
      <c r="V5933" t="s">
        <v>12620</v>
      </c>
      <c r="W5933" t="s">
        <v>18493</v>
      </c>
      <c r="X5933">
        <v>10</v>
      </c>
      <c r="Y5933" t="s">
        <v>24579</v>
      </c>
      <c r="Z5933" t="s">
        <v>30880</v>
      </c>
      <c r="AA5933">
        <v>0.59537978846455197</v>
      </c>
      <c r="AB5933" t="str">
        <f>HYPERLINK("Melting_Curves/meltCurve_Q9UK59_DBR1.pdf", "Melting_Curves/meltCurve_Q9UK59_DBR1.pdf")</f>
        <v>Melting_Curves/meltCurve_Q9UK59_DBR1.pdf</v>
      </c>
    </row>
    <row r="5934" spans="1:28" x14ac:dyDescent="0.25">
      <c r="A5934" t="s">
        <v>5938</v>
      </c>
      <c r="B5934">
        <v>0.99987803227770999</v>
      </c>
      <c r="C5934">
        <v>0.82117782203745604</v>
      </c>
      <c r="D5934">
        <v>1.1586481399386399</v>
      </c>
      <c r="E5934">
        <v>0.78804498846585702</v>
      </c>
      <c r="F5934">
        <v>0.76216143614760901</v>
      </c>
      <c r="G5934">
        <v>0.57287834429437001</v>
      </c>
      <c r="H5934">
        <v>0.41068267328108699</v>
      </c>
      <c r="I5934">
        <v>0.33723145551900202</v>
      </c>
      <c r="J5934">
        <v>0.35821668296935499</v>
      </c>
      <c r="K5934">
        <v>0.30598968240931002</v>
      </c>
      <c r="L5934">
        <v>842.20405667315094</v>
      </c>
      <c r="M5934">
        <v>15.2962726932378</v>
      </c>
      <c r="N5934">
        <v>58.312651602892899</v>
      </c>
      <c r="O5934">
        <v>54.144122886917799</v>
      </c>
      <c r="P5934">
        <v>-5.0361393854769898E-2</v>
      </c>
      <c r="Q5934">
        <v>0.28701113719468002</v>
      </c>
      <c r="R5934">
        <v>0.90658183013351701</v>
      </c>
      <c r="S5934" t="s">
        <v>12245</v>
      </c>
      <c r="T5934" t="s">
        <v>12620</v>
      </c>
      <c r="U5934" t="s">
        <v>12620</v>
      </c>
      <c r="V5934" t="s">
        <v>12620</v>
      </c>
      <c r="W5934" t="s">
        <v>18494</v>
      </c>
      <c r="X5934">
        <v>3</v>
      </c>
      <c r="Y5934" t="s">
        <v>24580</v>
      </c>
      <c r="Z5934" t="s">
        <v>30881</v>
      </c>
      <c r="AA5934">
        <v>0.65832473311130657</v>
      </c>
      <c r="AB5934" t="str">
        <f>HYPERLINK("Melting_Curves/meltCurve_Q9UK61_3_FAM208A.pdf", "Melting_Curves/meltCurve_Q9UK61_3_FAM208A.pdf")</f>
        <v>Melting_Curves/meltCurve_Q9UK61_3_FAM208A.pdf</v>
      </c>
    </row>
    <row r="5935" spans="1:28" x14ac:dyDescent="0.25">
      <c r="A5935" t="s">
        <v>5939</v>
      </c>
      <c r="B5935">
        <v>0.99987803227770999</v>
      </c>
      <c r="C5935">
        <v>0.96832214794120097</v>
      </c>
      <c r="D5935">
        <v>0.76338763204196003</v>
      </c>
      <c r="E5935">
        <v>0.96941200428788199</v>
      </c>
      <c r="F5935">
        <v>0.71388082811144704</v>
      </c>
      <c r="G5935">
        <v>0.36403728682815101</v>
      </c>
      <c r="H5935">
        <v>0.16834553237164401</v>
      </c>
      <c r="I5935">
        <v>0.15874117970875201</v>
      </c>
      <c r="J5935">
        <v>0.109647497173506</v>
      </c>
      <c r="K5935">
        <v>7.1457804971693906E-2</v>
      </c>
      <c r="L5935">
        <v>1168.4702666195999</v>
      </c>
      <c r="M5935">
        <v>21.248925668902402</v>
      </c>
      <c r="N5935">
        <v>55.458692812764298</v>
      </c>
      <c r="O5935">
        <v>54.509534406899299</v>
      </c>
      <c r="P5935">
        <v>-8.9441683252939094E-2</v>
      </c>
      <c r="Q5935">
        <v>8.2250143009986704E-2</v>
      </c>
      <c r="R5935">
        <v>0.95874499388106604</v>
      </c>
      <c r="S5935" t="s">
        <v>12246</v>
      </c>
      <c r="T5935" t="s">
        <v>12620</v>
      </c>
      <c r="U5935" t="s">
        <v>12620</v>
      </c>
      <c r="V5935" t="s">
        <v>12620</v>
      </c>
      <c r="W5935" t="s">
        <v>18495</v>
      </c>
      <c r="X5935">
        <v>8</v>
      </c>
      <c r="Y5935" t="s">
        <v>24581</v>
      </c>
      <c r="Z5935" t="s">
        <v>30882</v>
      </c>
      <c r="AA5935">
        <v>0.5519432611886721</v>
      </c>
      <c r="AB5935" t="str">
        <f>HYPERLINK("Melting_Curves/meltCurve_Q9UK73_FEM1B.pdf", "Melting_Curves/meltCurve_Q9UK73_FEM1B.pdf")</f>
        <v>Melting_Curves/meltCurve_Q9UK73_FEM1B.pdf</v>
      </c>
    </row>
    <row r="5936" spans="1:28" x14ac:dyDescent="0.25">
      <c r="A5936" t="s">
        <v>5940</v>
      </c>
      <c r="B5936">
        <v>0.99987803227770999</v>
      </c>
      <c r="C5936">
        <v>0.76535875151010202</v>
      </c>
      <c r="D5936">
        <v>0.98675214998467398</v>
      </c>
      <c r="E5936">
        <v>0.79143708899423404</v>
      </c>
      <c r="F5936">
        <v>1.13048276958439</v>
      </c>
      <c r="G5936">
        <v>0.97730433104400805</v>
      </c>
      <c r="H5936">
        <v>1.0540426830874701</v>
      </c>
      <c r="I5936">
        <v>1.0508120864845001</v>
      </c>
      <c r="J5936">
        <v>1.0325955149644199</v>
      </c>
      <c r="K5936">
        <v>0.88437794662798896</v>
      </c>
      <c r="L5936">
        <v>15000</v>
      </c>
      <c r="M5936">
        <v>212.25112873010099</v>
      </c>
      <c r="Q5936">
        <v>0</v>
      </c>
      <c r="R5936">
        <v>2.1333643582615101E-2</v>
      </c>
      <c r="S5936" t="s">
        <v>12247</v>
      </c>
      <c r="T5936" t="s">
        <v>12620</v>
      </c>
      <c r="U5936" t="s">
        <v>12620</v>
      </c>
      <c r="V5936" t="s">
        <v>12620</v>
      </c>
      <c r="W5936" t="s">
        <v>18496</v>
      </c>
      <c r="X5936">
        <v>9</v>
      </c>
      <c r="Y5936" t="s">
        <v>24582</v>
      </c>
      <c r="Z5936" t="s">
        <v>30883</v>
      </c>
      <c r="AA5936">
        <v>0.99867480488428606</v>
      </c>
      <c r="AB5936" t="str">
        <f>HYPERLINK("Melting_Curves/meltCurve_Q9UK76_HN1.pdf", "Melting_Curves/meltCurve_Q9UK76_HN1.pdf")</f>
        <v>Melting_Curves/meltCurve_Q9UK76_HN1.pdf</v>
      </c>
    </row>
    <row r="5937" spans="1:28" x14ac:dyDescent="0.25">
      <c r="A5937" t="s">
        <v>5941</v>
      </c>
      <c r="B5937">
        <v>0.99987803227770999</v>
      </c>
      <c r="C5937">
        <v>0.99808350656242495</v>
      </c>
      <c r="D5937">
        <v>0.9224707023259</v>
      </c>
      <c r="E5937">
        <v>0.86897188477010601</v>
      </c>
      <c r="F5937">
        <v>0.70918874237428897</v>
      </c>
      <c r="G5937">
        <v>0.32972713356897099</v>
      </c>
      <c r="H5937">
        <v>0.142488804878565</v>
      </c>
      <c r="I5937">
        <v>9.9805842927926297E-2</v>
      </c>
      <c r="J5937">
        <v>6.8832898591128497E-2</v>
      </c>
      <c r="K5937">
        <v>4.41568031476334E-2</v>
      </c>
      <c r="L5937">
        <v>1097.7929530523199</v>
      </c>
      <c r="M5937">
        <v>20.0076920311453</v>
      </c>
      <c r="N5937">
        <v>55.078977695659297</v>
      </c>
      <c r="O5937">
        <v>54.329241691852701</v>
      </c>
      <c r="P5937">
        <v>-8.8682055865053899E-2</v>
      </c>
      <c r="Q5937">
        <v>3.67960187542586E-2</v>
      </c>
      <c r="R5937">
        <v>0.99697715628748296</v>
      </c>
      <c r="S5937" t="s">
        <v>12248</v>
      </c>
      <c r="T5937" t="s">
        <v>12620</v>
      </c>
      <c r="U5937" t="s">
        <v>12620</v>
      </c>
      <c r="V5937" t="s">
        <v>12620</v>
      </c>
      <c r="W5937" t="s">
        <v>18497</v>
      </c>
      <c r="X5937">
        <v>10</v>
      </c>
      <c r="Y5937" t="s">
        <v>24583</v>
      </c>
      <c r="Z5937" t="s">
        <v>30884</v>
      </c>
      <c r="AA5937">
        <v>0.52703732557616056</v>
      </c>
      <c r="AB5937" t="str">
        <f>HYPERLINK("Melting_Curves/meltCurve_Q9UK99_FBXO3.pdf", "Melting_Curves/meltCurve_Q9UK99_FBXO3.pdf")</f>
        <v>Melting_Curves/meltCurve_Q9UK99_FBXO3.pdf</v>
      </c>
    </row>
    <row r="5938" spans="1:28" x14ac:dyDescent="0.25">
      <c r="A5938" t="s">
        <v>5942</v>
      </c>
      <c r="B5938">
        <v>0.99987803227770999</v>
      </c>
      <c r="C5938">
        <v>0.955340061348386</v>
      </c>
      <c r="D5938">
        <v>0.75519585421247004</v>
      </c>
      <c r="E5938">
        <v>0.86325652334749903</v>
      </c>
      <c r="F5938">
        <v>0.30286584632899899</v>
      </c>
      <c r="G5938">
        <v>0.152887677241835</v>
      </c>
      <c r="H5938">
        <v>8.9400729383999303E-2</v>
      </c>
      <c r="I5938">
        <v>7.0689934836905E-2</v>
      </c>
      <c r="J5938">
        <v>6.5702943809117703E-2</v>
      </c>
      <c r="K5938">
        <v>4.4976399035200697E-2</v>
      </c>
      <c r="L5938">
        <v>2268.2590345181702</v>
      </c>
      <c r="M5938">
        <v>43.822932756897302</v>
      </c>
      <c r="N5938">
        <v>51.9632619943756</v>
      </c>
      <c r="O5938">
        <v>51.652203137403198</v>
      </c>
      <c r="P5938">
        <v>-0.19537190400134399</v>
      </c>
      <c r="Q5938">
        <v>7.8895571689626798E-2</v>
      </c>
      <c r="R5938">
        <v>0.95643494830996001</v>
      </c>
      <c r="S5938" t="s">
        <v>12249</v>
      </c>
      <c r="T5938" t="s">
        <v>12620</v>
      </c>
      <c r="U5938" t="s">
        <v>12620</v>
      </c>
      <c r="V5938" t="s">
        <v>12620</v>
      </c>
      <c r="W5938" t="s">
        <v>18498</v>
      </c>
      <c r="X5938">
        <v>4</v>
      </c>
      <c r="Y5938" t="s">
        <v>24584</v>
      </c>
      <c r="Z5938" t="s">
        <v>30885</v>
      </c>
      <c r="AA5938">
        <v>0.44269892861896948</v>
      </c>
      <c r="AB5938" t="str">
        <f>HYPERLINK("Melting_Curves/meltCurve_Q9UKA4_AKAP11.pdf", "Melting_Curves/meltCurve_Q9UKA4_AKAP11.pdf")</f>
        <v>Melting_Curves/meltCurve_Q9UKA4_AKAP11.pdf</v>
      </c>
    </row>
    <row r="5939" spans="1:28" x14ac:dyDescent="0.25">
      <c r="A5939" t="s">
        <v>5943</v>
      </c>
      <c r="B5939">
        <v>0.99987803227770999</v>
      </c>
      <c r="C5939">
        <v>1.08030141243655</v>
      </c>
      <c r="D5939">
        <v>0.922125573302499</v>
      </c>
      <c r="E5939">
        <v>0.92436757947862302</v>
      </c>
      <c r="F5939">
        <v>0.903796578990263</v>
      </c>
      <c r="G5939">
        <v>0.62462660030246797</v>
      </c>
      <c r="H5939">
        <v>0.32244265596222699</v>
      </c>
      <c r="I5939">
        <v>0.15339237062708</v>
      </c>
      <c r="J5939">
        <v>5.5666016593321502E-2</v>
      </c>
      <c r="K5939">
        <v>4.2561371809554098E-2</v>
      </c>
      <c r="L5939">
        <v>1145.5424115954299</v>
      </c>
      <c r="M5939">
        <v>19.574674257187802</v>
      </c>
      <c r="N5939">
        <v>58.521660465229601</v>
      </c>
      <c r="O5939">
        <v>57.921141677999998</v>
      </c>
      <c r="P5939">
        <v>-8.4491442868334807E-2</v>
      </c>
      <c r="Q5939">
        <v>0</v>
      </c>
      <c r="R5939">
        <v>0.990720007728909</v>
      </c>
      <c r="S5939" t="s">
        <v>12250</v>
      </c>
      <c r="T5939" t="s">
        <v>12620</v>
      </c>
      <c r="U5939" t="s">
        <v>12620</v>
      </c>
      <c r="V5939" t="s">
        <v>12620</v>
      </c>
      <c r="W5939" t="s">
        <v>18499</v>
      </c>
      <c r="X5939">
        <v>2</v>
      </c>
      <c r="Y5939" t="s">
        <v>24585</v>
      </c>
      <c r="Z5939" t="s">
        <v>30886</v>
      </c>
      <c r="AA5939">
        <v>0.62829088940038569</v>
      </c>
      <c r="AB5939" t="str">
        <f>HYPERLINK("Melting_Curves/meltCurve_Q9UKA8_RCAN3.pdf", "Melting_Curves/meltCurve_Q9UKA8_RCAN3.pdf")</f>
        <v>Melting_Curves/meltCurve_Q9UKA8_RCAN3.pdf</v>
      </c>
    </row>
    <row r="5940" spans="1:28" x14ac:dyDescent="0.25">
      <c r="A5940" t="s">
        <v>5944</v>
      </c>
      <c r="B5940">
        <v>0.99987803227770999</v>
      </c>
      <c r="C5940">
        <v>1.06920053177852</v>
      </c>
      <c r="D5940">
        <v>1.07333387025322</v>
      </c>
      <c r="E5940">
        <v>0.68237124587653497</v>
      </c>
      <c r="F5940">
        <v>0.30282969380150798</v>
      </c>
      <c r="G5940">
        <v>0.22648956271094101</v>
      </c>
      <c r="H5940">
        <v>0.15865862775039299</v>
      </c>
      <c r="I5940">
        <v>0.14985354093127701</v>
      </c>
      <c r="J5940">
        <v>8.9200605864674903E-2</v>
      </c>
      <c r="K5940">
        <v>5.6823732035090502E-2</v>
      </c>
      <c r="L5940">
        <v>1776.3820079351001</v>
      </c>
      <c r="M5940">
        <v>34.892724306230903</v>
      </c>
      <c r="N5940">
        <v>51.3527353053762</v>
      </c>
      <c r="O5940">
        <v>50.743467721481601</v>
      </c>
      <c r="P5940">
        <v>-0.14956939186025101</v>
      </c>
      <c r="Q5940">
        <v>0.12994565654418</v>
      </c>
      <c r="R5940">
        <v>0.98308224794229404</v>
      </c>
      <c r="S5940" t="s">
        <v>12251</v>
      </c>
      <c r="T5940" t="s">
        <v>12620</v>
      </c>
      <c r="U5940" t="s">
        <v>12620</v>
      </c>
      <c r="V5940" t="s">
        <v>12620</v>
      </c>
      <c r="W5940" t="s">
        <v>18500</v>
      </c>
      <c r="X5940">
        <v>5</v>
      </c>
      <c r="Y5940" t="s">
        <v>24586</v>
      </c>
      <c r="Z5940" t="s">
        <v>30887</v>
      </c>
      <c r="AA5940">
        <v>0.45038151544178839</v>
      </c>
      <c r="AB5940" t="str">
        <f>HYPERLINK("Melting_Curves/meltCurve_Q9UKA9_PTBP2.pdf", "Melting_Curves/meltCurve_Q9UKA9_PTBP2.pdf")</f>
        <v>Melting_Curves/meltCurve_Q9UKA9_PTBP2.pdf</v>
      </c>
    </row>
    <row r="5941" spans="1:28" x14ac:dyDescent="0.25">
      <c r="A5941" t="s">
        <v>5945</v>
      </c>
      <c r="B5941">
        <v>0.99987803227770999</v>
      </c>
      <c r="C5941">
        <v>1.10572689427483</v>
      </c>
      <c r="D5941">
        <v>0.86294626133994701</v>
      </c>
      <c r="E5941">
        <v>0.93752090560774504</v>
      </c>
      <c r="F5941">
        <v>0.50665182162312505</v>
      </c>
      <c r="G5941">
        <v>0.25797097970987698</v>
      </c>
      <c r="H5941">
        <v>0.12848172939237601</v>
      </c>
      <c r="I5941">
        <v>0.100602655872123</v>
      </c>
      <c r="J5941">
        <v>8.3869638315856906E-2</v>
      </c>
      <c r="K5941">
        <v>6.0975507281112097E-2</v>
      </c>
      <c r="L5941">
        <v>1415.81094976285</v>
      </c>
      <c r="M5941">
        <v>26.626829914087601</v>
      </c>
      <c r="N5941">
        <v>53.556185614876199</v>
      </c>
      <c r="O5941">
        <v>52.875144005223603</v>
      </c>
      <c r="P5941">
        <v>-0.114960015799252</v>
      </c>
      <c r="Q5941">
        <v>8.6866322534282198E-2</v>
      </c>
      <c r="R5941">
        <v>0.976668069883179</v>
      </c>
      <c r="S5941" t="s">
        <v>12252</v>
      </c>
      <c r="T5941" t="s">
        <v>12620</v>
      </c>
      <c r="U5941" t="s">
        <v>12620</v>
      </c>
      <c r="V5941" t="s">
        <v>12620</v>
      </c>
      <c r="W5941" t="s">
        <v>18501</v>
      </c>
      <c r="X5941">
        <v>2</v>
      </c>
      <c r="Y5941" t="s">
        <v>24587</v>
      </c>
      <c r="Z5941" t="s">
        <v>30888</v>
      </c>
      <c r="AA5941">
        <v>0.49527653081557349</v>
      </c>
      <c r="AB5941" t="str">
        <f>HYPERLINK("Melting_Curves/meltCurve_Q9UKB1_2_FBXW11.pdf", "Melting_Curves/meltCurve_Q9UKB1_2_FBXW11.pdf")</f>
        <v>Melting_Curves/meltCurve_Q9UKB1_2_FBXW11.pdf</v>
      </c>
    </row>
    <row r="5942" spans="1:28" x14ac:dyDescent="0.25">
      <c r="A5942" t="s">
        <v>5946</v>
      </c>
      <c r="B5942">
        <v>0.99987803227770999</v>
      </c>
      <c r="C5942">
        <v>0.864873627839988</v>
      </c>
      <c r="D5942">
        <v>1.0115656947795499</v>
      </c>
      <c r="E5942">
        <v>0.83910739551509295</v>
      </c>
      <c r="F5942">
        <v>1.05298729405196</v>
      </c>
      <c r="G5942">
        <v>0.726295567855055</v>
      </c>
      <c r="H5942">
        <v>0.85379498816393495</v>
      </c>
      <c r="I5942">
        <v>0.80309102427673895</v>
      </c>
      <c r="J5942">
        <v>0.94358541735304102</v>
      </c>
      <c r="K5942">
        <v>0.76007277215628299</v>
      </c>
      <c r="L5942">
        <v>295.46935322740899</v>
      </c>
      <c r="M5942">
        <v>5.3846602684940601</v>
      </c>
      <c r="O5942">
        <v>48.682922671769198</v>
      </c>
      <c r="P5942">
        <v>-6.6907276382870903E-3</v>
      </c>
      <c r="Q5942">
        <v>0.75917780580819505</v>
      </c>
      <c r="R5942">
        <v>0.246547887667979</v>
      </c>
      <c r="S5942" t="s">
        <v>12253</v>
      </c>
      <c r="T5942" t="s">
        <v>12620</v>
      </c>
      <c r="U5942" t="s">
        <v>12620</v>
      </c>
      <c r="V5942" t="s">
        <v>12620</v>
      </c>
      <c r="W5942" t="s">
        <v>18502</v>
      </c>
      <c r="X5942">
        <v>3</v>
      </c>
      <c r="Y5942" t="s">
        <v>24588</v>
      </c>
      <c r="Z5942" t="s">
        <v>30889</v>
      </c>
      <c r="AA5942">
        <v>0.88500686994357913</v>
      </c>
      <c r="AB5942" t="str">
        <f>HYPERLINK("Melting_Curves/meltCurve_Q9UKB3_DNAJC12.pdf", "Melting_Curves/meltCurve_Q9UKB3_DNAJC12.pdf")</f>
        <v>Melting_Curves/meltCurve_Q9UKB3_DNAJC12.pdf</v>
      </c>
    </row>
    <row r="5943" spans="1:28" x14ac:dyDescent="0.25">
      <c r="A5943" t="s">
        <v>5947</v>
      </c>
      <c r="B5943">
        <v>0.99987803227770999</v>
      </c>
      <c r="C5943">
        <v>0.15938213615631999</v>
      </c>
      <c r="D5943">
        <v>1.4027344210299999</v>
      </c>
      <c r="E5943">
        <v>0.75856250426949301</v>
      </c>
      <c r="F5943">
        <v>0.280380964688212</v>
      </c>
      <c r="G5943">
        <v>0.150366756756076</v>
      </c>
      <c r="H5943">
        <v>9.45141711403861E-2</v>
      </c>
      <c r="I5943">
        <v>8.3843834356831098E-2</v>
      </c>
      <c r="J5943">
        <v>6.77975962668462E-2</v>
      </c>
      <c r="K5943">
        <v>4.5988095487168701E-2</v>
      </c>
      <c r="L5943">
        <v>2271.9769850853299</v>
      </c>
      <c r="M5943">
        <v>44.2617400474508</v>
      </c>
      <c r="N5943">
        <v>51.553373674799801</v>
      </c>
      <c r="O5943">
        <v>51.226050834873</v>
      </c>
      <c r="P5943">
        <v>-0.19720289559378301</v>
      </c>
      <c r="Q5943">
        <v>8.7075161716345495E-2</v>
      </c>
      <c r="R5943">
        <v>0.57290059580624697</v>
      </c>
      <c r="S5943" t="s">
        <v>12254</v>
      </c>
      <c r="T5943" t="s">
        <v>12620</v>
      </c>
      <c r="U5943" t="s">
        <v>12620</v>
      </c>
      <c r="V5943" t="s">
        <v>12620</v>
      </c>
      <c r="W5943" t="s">
        <v>18503</v>
      </c>
      <c r="X5943">
        <v>8</v>
      </c>
      <c r="Y5943" t="s">
        <v>24589</v>
      </c>
      <c r="Z5943" t="s">
        <v>30890</v>
      </c>
      <c r="AA5943">
        <v>0.43451290748664612</v>
      </c>
      <c r="AB5943" t="str">
        <f>HYPERLINK("Melting_Curves/meltCurve_Q9UKD2_MRTO4.pdf", "Melting_Curves/meltCurve_Q9UKD2_MRTO4.pdf")</f>
        <v>Melting_Curves/meltCurve_Q9UKD2_MRTO4.pdf</v>
      </c>
    </row>
    <row r="5944" spans="1:28" x14ac:dyDescent="0.25">
      <c r="A5944" t="s">
        <v>5948</v>
      </c>
      <c r="B5944">
        <v>0.99987803227770999</v>
      </c>
      <c r="C5944">
        <v>1.25080450390052</v>
      </c>
      <c r="D5944">
        <v>1.0994598956391299</v>
      </c>
      <c r="E5944">
        <v>1.0149870186079499</v>
      </c>
      <c r="F5944">
        <v>0.95609000106806896</v>
      </c>
      <c r="G5944">
        <v>0.63941371408532299</v>
      </c>
      <c r="H5944">
        <v>0.54138843212690602</v>
      </c>
      <c r="I5944">
        <v>0.54736915117169305</v>
      </c>
      <c r="J5944">
        <v>0.54470245232825498</v>
      </c>
      <c r="K5944">
        <v>0.408229919994753</v>
      </c>
      <c r="L5944">
        <v>2359.8133972171699</v>
      </c>
      <c r="M5944">
        <v>42.3206892731422</v>
      </c>
      <c r="O5944">
        <v>55.636225047755502</v>
      </c>
      <c r="P5944">
        <v>-9.4068097000346906E-2</v>
      </c>
      <c r="Q5944">
        <v>0.50534042418025005</v>
      </c>
      <c r="R5944">
        <v>0.88911138732728201</v>
      </c>
      <c r="S5944" t="s">
        <v>12255</v>
      </c>
      <c r="T5944" t="s">
        <v>12620</v>
      </c>
      <c r="U5944" t="s">
        <v>12620</v>
      </c>
      <c r="V5944" t="s">
        <v>12620</v>
      </c>
      <c r="W5944" t="s">
        <v>18504</v>
      </c>
      <c r="X5944">
        <v>9</v>
      </c>
      <c r="Y5944" t="s">
        <v>24590</v>
      </c>
      <c r="Z5944" t="s">
        <v>30891</v>
      </c>
      <c r="AA5944">
        <v>0.76690160031113952</v>
      </c>
      <c r="AB5944" t="str">
        <f>HYPERLINK("Melting_Curves/meltCurve_Q9UKE5_8_TNIK.pdf", "Melting_Curves/meltCurve_Q9UKE5_8_TNIK.pdf")</f>
        <v>Melting_Curves/meltCurve_Q9UKE5_8_TNIK.pdf</v>
      </c>
    </row>
    <row r="5945" spans="1:28" x14ac:dyDescent="0.25">
      <c r="A5945" t="s">
        <v>5949</v>
      </c>
      <c r="B5945">
        <v>0.99987803227770999</v>
      </c>
      <c r="C5945">
        <v>0.87369669080203705</v>
      </c>
      <c r="D5945">
        <v>0.95767642240523299</v>
      </c>
      <c r="E5945">
        <v>1.0083301959446</v>
      </c>
      <c r="F5945">
        <v>0.90298984113493896</v>
      </c>
      <c r="G5945">
        <v>0.5861406863152</v>
      </c>
      <c r="H5945">
        <v>0.35402722145147802</v>
      </c>
      <c r="I5945">
        <v>0.19554037189336401</v>
      </c>
      <c r="J5945">
        <v>0.13016665604702199</v>
      </c>
      <c r="K5945">
        <v>9.2980238332656104E-2</v>
      </c>
      <c r="L5945">
        <v>1176.54845194468</v>
      </c>
      <c r="M5945">
        <v>20.2682699569142</v>
      </c>
      <c r="N5945">
        <v>58.507027560017796</v>
      </c>
      <c r="O5945">
        <v>57.492568558821198</v>
      </c>
      <c r="P5945">
        <v>-8.1668451104866494E-2</v>
      </c>
      <c r="Q5945">
        <v>7.3392270342712604E-2</v>
      </c>
      <c r="R5945">
        <v>0.98369304713419503</v>
      </c>
      <c r="S5945" t="s">
        <v>12256</v>
      </c>
      <c r="T5945" t="s">
        <v>12620</v>
      </c>
      <c r="U5945" t="s">
        <v>12620</v>
      </c>
      <c r="V5945" t="s">
        <v>12620</v>
      </c>
      <c r="W5945" t="s">
        <v>18505</v>
      </c>
      <c r="X5945">
        <v>14</v>
      </c>
      <c r="Y5945" t="s">
        <v>24591</v>
      </c>
      <c r="Z5945" t="s">
        <v>30892</v>
      </c>
      <c r="AA5945">
        <v>0.64118077451154654</v>
      </c>
      <c r="AB5945" t="str">
        <f>HYPERLINK("Melting_Curves/meltCurve_Q9UKF6_CPSF3.pdf", "Melting_Curves/meltCurve_Q9UKF6_CPSF3.pdf")</f>
        <v>Melting_Curves/meltCurve_Q9UKF6_CPSF3.pdf</v>
      </c>
    </row>
    <row r="5946" spans="1:28" x14ac:dyDescent="0.25">
      <c r="A5946" t="s">
        <v>5950</v>
      </c>
      <c r="B5946">
        <v>0.99987803227770999</v>
      </c>
      <c r="C5946">
        <v>1.00980499378811</v>
      </c>
      <c r="D5946">
        <v>0.98863824490298302</v>
      </c>
      <c r="E5946">
        <v>0.96513810705287395</v>
      </c>
      <c r="F5946">
        <v>0.84509019255947704</v>
      </c>
      <c r="G5946">
        <v>0.54109689217404799</v>
      </c>
      <c r="H5946">
        <v>0.27172834185619599</v>
      </c>
      <c r="I5946">
        <v>0.202523588202496</v>
      </c>
      <c r="J5946">
        <v>0.170001972749872</v>
      </c>
      <c r="K5946">
        <v>0.114347865220967</v>
      </c>
      <c r="L5946">
        <v>1239.09503748677</v>
      </c>
      <c r="M5946">
        <v>21.8282716085854</v>
      </c>
      <c r="N5946">
        <v>57.502496445133602</v>
      </c>
      <c r="O5946">
        <v>56.295618777897502</v>
      </c>
      <c r="P5946">
        <v>-8.5111308169196195E-2</v>
      </c>
      <c r="Q5946">
        <v>0.122004065310096</v>
      </c>
      <c r="R5946">
        <v>0.999103179970665</v>
      </c>
      <c r="S5946" t="s">
        <v>12257</v>
      </c>
      <c r="T5946" t="s">
        <v>12620</v>
      </c>
      <c r="U5946" t="s">
        <v>12620</v>
      </c>
      <c r="V5946" t="s">
        <v>12620</v>
      </c>
      <c r="W5946" t="s">
        <v>18506</v>
      </c>
      <c r="X5946">
        <v>22</v>
      </c>
      <c r="Y5946" t="s">
        <v>24592</v>
      </c>
      <c r="Z5946" t="s">
        <v>30893</v>
      </c>
      <c r="AA5946">
        <v>0.62239782791182985</v>
      </c>
      <c r="AB5946" t="str">
        <f>HYPERLINK("Melting_Curves/meltCurve_Q9UKG1_APPL1.pdf", "Melting_Curves/meltCurve_Q9UKG1_APPL1.pdf")</f>
        <v>Melting_Curves/meltCurve_Q9UKG1_APPL1.pdf</v>
      </c>
    </row>
    <row r="5947" spans="1:28" x14ac:dyDescent="0.25">
      <c r="A5947" t="s">
        <v>5951</v>
      </c>
      <c r="B5947">
        <v>0.99987803227770999</v>
      </c>
      <c r="C5947">
        <v>1.0377877526921899</v>
      </c>
      <c r="D5947">
        <v>1.05417180816469</v>
      </c>
      <c r="E5947">
        <v>0.64463511721331501</v>
      </c>
      <c r="F5947">
        <v>0.35035848294327898</v>
      </c>
      <c r="G5947">
        <v>0.30052037999012099</v>
      </c>
      <c r="H5947">
        <v>0.207866822489264</v>
      </c>
      <c r="I5947">
        <v>0.21284669342885501</v>
      </c>
      <c r="J5947">
        <v>9.5840464863421307E-2</v>
      </c>
      <c r="K5947">
        <v>8.7098475455698404E-2</v>
      </c>
      <c r="L5947">
        <v>1445.4908696110599</v>
      </c>
      <c r="M5947">
        <v>28.468455614965499</v>
      </c>
      <c r="N5947">
        <v>51.5147920594653</v>
      </c>
      <c r="O5947">
        <v>50.526607730421198</v>
      </c>
      <c r="P5947">
        <v>-0.117230118015061</v>
      </c>
      <c r="Q5947">
        <v>0.16775340683953599</v>
      </c>
      <c r="R5947">
        <v>0.974773125846783</v>
      </c>
      <c r="S5947" t="s">
        <v>12258</v>
      </c>
      <c r="T5947" t="s">
        <v>12620</v>
      </c>
      <c r="U5947" t="s">
        <v>12620</v>
      </c>
      <c r="V5947" t="s">
        <v>12620</v>
      </c>
      <c r="W5947" t="s">
        <v>18507</v>
      </c>
      <c r="X5947">
        <v>2</v>
      </c>
      <c r="Y5947" t="s">
        <v>24593</v>
      </c>
      <c r="Z5947" t="s">
        <v>30894</v>
      </c>
      <c r="AA5947">
        <v>0.47246439635442727</v>
      </c>
      <c r="AB5947" t="str">
        <f>HYPERLINK("Melting_Curves/meltCurve_Q9UKG9_CROT.pdf", "Melting_Curves/meltCurve_Q9UKG9_CROT.pdf")</f>
        <v>Melting_Curves/meltCurve_Q9UKG9_CROT.pdf</v>
      </c>
    </row>
    <row r="5948" spans="1:28" x14ac:dyDescent="0.25">
      <c r="A5948" t="s">
        <v>5952</v>
      </c>
      <c r="B5948">
        <v>0.99987803227770999</v>
      </c>
      <c r="C5948">
        <v>0.93619695343287601</v>
      </c>
      <c r="D5948">
        <v>0.74916658632460598</v>
      </c>
      <c r="E5948">
        <v>0.47674806302348999</v>
      </c>
      <c r="F5948">
        <v>0.39313614423376803</v>
      </c>
      <c r="G5948">
        <v>0.30549746490004898</v>
      </c>
      <c r="H5948">
        <v>0.32561959398189</v>
      </c>
      <c r="I5948">
        <v>0.27368513715355602</v>
      </c>
      <c r="J5948">
        <v>0.28806004273561697</v>
      </c>
      <c r="K5948">
        <v>0.24194097231861</v>
      </c>
      <c r="L5948">
        <v>901.52627324756804</v>
      </c>
      <c r="M5948">
        <v>18.913042567028601</v>
      </c>
      <c r="N5948">
        <v>49.805629124223003</v>
      </c>
      <c r="O5948">
        <v>47.143603184395602</v>
      </c>
      <c r="P5948">
        <v>-7.2410915233135795E-2</v>
      </c>
      <c r="Q5948">
        <v>0.27804894327190899</v>
      </c>
      <c r="R5948">
        <v>0.99440518649075005</v>
      </c>
      <c r="S5948" t="s">
        <v>12259</v>
      </c>
      <c r="T5948" t="s">
        <v>12620</v>
      </c>
      <c r="U5948" t="s">
        <v>12620</v>
      </c>
      <c r="V5948" t="s">
        <v>12620</v>
      </c>
      <c r="W5948" t="s">
        <v>18508</v>
      </c>
      <c r="X5948">
        <v>6</v>
      </c>
      <c r="Y5948" t="s">
        <v>24594</v>
      </c>
      <c r="Z5948" t="s">
        <v>30895</v>
      </c>
      <c r="AA5948">
        <v>0.47420956458625979</v>
      </c>
      <c r="AB5948" t="str">
        <f>HYPERLINK("Melting_Curves/meltCurve_Q9UKI8_TLK1.pdf", "Melting_Curves/meltCurve_Q9UKI8_TLK1.pdf")</f>
        <v>Melting_Curves/meltCurve_Q9UKI8_TLK1.pdf</v>
      </c>
    </row>
    <row r="5949" spans="1:28" x14ac:dyDescent="0.25">
      <c r="A5949" t="s">
        <v>5953</v>
      </c>
      <c r="B5949">
        <v>0.99987803227770999</v>
      </c>
      <c r="C5949">
        <v>0.88875529426020405</v>
      </c>
      <c r="D5949">
        <v>1.0391540349942501</v>
      </c>
      <c r="E5949">
        <v>0.94521345761689002</v>
      </c>
      <c r="F5949">
        <v>1.10158756022704</v>
      </c>
      <c r="G5949">
        <v>0.93170435129761797</v>
      </c>
      <c r="H5949">
        <v>0.95657901872229001</v>
      </c>
      <c r="I5949">
        <v>0.90200302050789205</v>
      </c>
      <c r="J5949">
        <v>0.87190387419240001</v>
      </c>
      <c r="K5949">
        <v>0.72650792510156004</v>
      </c>
      <c r="L5949">
        <v>996.72782832157202</v>
      </c>
      <c r="M5949">
        <v>13.1986910372921</v>
      </c>
      <c r="Q5949">
        <v>0</v>
      </c>
      <c r="R5949">
        <v>0.65928934597489497</v>
      </c>
      <c r="S5949" t="s">
        <v>12260</v>
      </c>
      <c r="T5949" t="s">
        <v>12620</v>
      </c>
      <c r="U5949" t="s">
        <v>12620</v>
      </c>
      <c r="V5949" t="s">
        <v>12620</v>
      </c>
      <c r="W5949" t="s">
        <v>18509</v>
      </c>
      <c r="X5949">
        <v>22</v>
      </c>
      <c r="Y5949" t="s">
        <v>24595</v>
      </c>
      <c r="Z5949" t="s">
        <v>30896</v>
      </c>
      <c r="AA5949">
        <v>0.95663221950127642</v>
      </c>
      <c r="AB5949" t="str">
        <f>HYPERLINK("Melting_Curves/meltCurve_Q9UKJ3_GPATCH8.pdf", "Melting_Curves/meltCurve_Q9UKJ3_GPATCH8.pdf")</f>
        <v>Melting_Curves/meltCurve_Q9UKJ3_GPATCH8.pdf</v>
      </c>
    </row>
    <row r="5950" spans="1:28" x14ac:dyDescent="0.25">
      <c r="A5950" t="s">
        <v>5954</v>
      </c>
      <c r="B5950">
        <v>0.99987803227770999</v>
      </c>
      <c r="C5950">
        <v>1.07591205725948</v>
      </c>
      <c r="D5950">
        <v>0.83255468707204905</v>
      </c>
      <c r="E5950">
        <v>0.69323034462449296</v>
      </c>
      <c r="F5950">
        <v>0.49471458744395302</v>
      </c>
      <c r="G5950">
        <v>0.319056769560978</v>
      </c>
      <c r="H5950">
        <v>0.25466912136028702</v>
      </c>
      <c r="I5950">
        <v>0.22843741204829801</v>
      </c>
      <c r="J5950">
        <v>0.15903868738035201</v>
      </c>
      <c r="K5950">
        <v>0.12567579747146099</v>
      </c>
      <c r="L5950">
        <v>762.80004152427102</v>
      </c>
      <c r="M5950">
        <v>14.7033932504284</v>
      </c>
      <c r="N5950">
        <v>53.093376484708102</v>
      </c>
      <c r="O5950">
        <v>50.947887823895201</v>
      </c>
      <c r="P5950">
        <v>-6.18547034522502E-2</v>
      </c>
      <c r="Q5950">
        <v>0.14277684468971699</v>
      </c>
      <c r="R5950">
        <v>0.98299329540408598</v>
      </c>
      <c r="S5950" t="s">
        <v>12261</v>
      </c>
      <c r="T5950" t="s">
        <v>12620</v>
      </c>
      <c r="U5950" t="s">
        <v>12620</v>
      </c>
      <c r="V5950" t="s">
        <v>12620</v>
      </c>
      <c r="W5950" t="s">
        <v>18510</v>
      </c>
      <c r="X5950">
        <v>8</v>
      </c>
      <c r="Y5950" t="s">
        <v>24596</v>
      </c>
      <c r="Z5950" t="s">
        <v>30897</v>
      </c>
      <c r="AA5950">
        <v>0.50205722987654444</v>
      </c>
      <c r="AB5950" t="str">
        <f>HYPERLINK("Melting_Curves/meltCurve_Q9UKK3_PARP4.pdf", "Melting_Curves/meltCurve_Q9UKK3_PARP4.pdf")</f>
        <v>Melting_Curves/meltCurve_Q9UKK3_PARP4.pdf</v>
      </c>
    </row>
    <row r="5951" spans="1:28" x14ac:dyDescent="0.25">
      <c r="A5951" t="s">
        <v>5955</v>
      </c>
      <c r="B5951">
        <v>0.99987803227770999</v>
      </c>
      <c r="C5951">
        <v>0.73993293972551599</v>
      </c>
      <c r="D5951">
        <v>0.71826506558651704</v>
      </c>
      <c r="E5951">
        <v>0.36088284610428201</v>
      </c>
      <c r="F5951">
        <v>0.23530437405282101</v>
      </c>
      <c r="G5951">
        <v>8.9327979589395604E-2</v>
      </c>
      <c r="H5951">
        <v>7.0719234381053306E-2</v>
      </c>
      <c r="I5951">
        <v>6.4537930141409197E-2</v>
      </c>
      <c r="J5951">
        <v>5.3011716602173103E-2</v>
      </c>
      <c r="K5951">
        <v>4.2191967789873303E-2</v>
      </c>
      <c r="L5951">
        <v>670.22279848139897</v>
      </c>
      <c r="M5951">
        <v>13.984107630191801</v>
      </c>
      <c r="N5951">
        <v>48.111219353029099</v>
      </c>
      <c r="O5951">
        <v>46.979299918405701</v>
      </c>
      <c r="P5951">
        <v>-7.2490822081289694E-2</v>
      </c>
      <c r="Q5951">
        <v>2.60044687138484E-2</v>
      </c>
      <c r="R5951">
        <v>0.98276040267120801</v>
      </c>
      <c r="S5951" t="s">
        <v>12262</v>
      </c>
      <c r="T5951" t="s">
        <v>12620</v>
      </c>
      <c r="U5951" t="s">
        <v>12620</v>
      </c>
      <c r="V5951" t="s">
        <v>12620</v>
      </c>
      <c r="W5951" t="s">
        <v>18511</v>
      </c>
      <c r="X5951">
        <v>1</v>
      </c>
      <c r="Y5951" t="s">
        <v>24597</v>
      </c>
      <c r="Z5951" t="s">
        <v>30898</v>
      </c>
      <c r="AA5951">
        <v>0.31223183530243609</v>
      </c>
      <c r="AB5951" t="str">
        <f>HYPERLINK("Melting_Curves/meltCurve_Q9UKK6_NXT1.pdf", "Melting_Curves/meltCurve_Q9UKK6_NXT1.pdf")</f>
        <v>Melting_Curves/meltCurve_Q9UKK6_NXT1.pdf</v>
      </c>
    </row>
    <row r="5952" spans="1:28" x14ac:dyDescent="0.25">
      <c r="A5952" t="s">
        <v>5956</v>
      </c>
      <c r="B5952">
        <v>0.99987803227770999</v>
      </c>
      <c r="C5952">
        <v>0.93341348070105201</v>
      </c>
      <c r="D5952">
        <v>0.99100783981568197</v>
      </c>
      <c r="E5952">
        <v>1.0027976450074301</v>
      </c>
      <c r="F5952">
        <v>1.10003104566972</v>
      </c>
      <c r="G5952">
        <v>0.75334301472236298</v>
      </c>
      <c r="H5952">
        <v>1.09897962663592</v>
      </c>
      <c r="I5952">
        <v>1.18125104862983</v>
      </c>
      <c r="J5952">
        <v>1.19042185058348</v>
      </c>
      <c r="K5952">
        <v>0.93600416126582697</v>
      </c>
      <c r="L5952">
        <v>15000</v>
      </c>
      <c r="M5952">
        <v>249.21924623532101</v>
      </c>
      <c r="O5952">
        <v>60.184092183134801</v>
      </c>
      <c r="P5952">
        <v>0.106174715743972</v>
      </c>
      <c r="Q5952">
        <v>1.10256076066846</v>
      </c>
      <c r="R5952">
        <v>0.24439802739953001</v>
      </c>
      <c r="S5952" t="s">
        <v>12263</v>
      </c>
      <c r="T5952" t="s">
        <v>12620</v>
      </c>
      <c r="U5952" t="s">
        <v>12620</v>
      </c>
      <c r="V5952" t="s">
        <v>12620</v>
      </c>
      <c r="W5952" t="s">
        <v>18512</v>
      </c>
      <c r="X5952">
        <v>14</v>
      </c>
      <c r="Y5952" t="s">
        <v>24598</v>
      </c>
      <c r="Z5952" t="s">
        <v>30899</v>
      </c>
      <c r="AA5952">
        <v>1.033533414375158</v>
      </c>
      <c r="AB5952" t="str">
        <f>HYPERLINK("Melting_Curves/meltCurve_Q9UKK9_NUDT5.pdf", "Melting_Curves/meltCurve_Q9UKK9_NUDT5.pdf")</f>
        <v>Melting_Curves/meltCurve_Q9UKK9_NUDT5.pdf</v>
      </c>
    </row>
    <row r="5953" spans="1:28" x14ac:dyDescent="0.25">
      <c r="A5953" t="s">
        <v>5957</v>
      </c>
      <c r="B5953">
        <v>0.99987803227770999</v>
      </c>
      <c r="C5953">
        <v>1.01439026892655</v>
      </c>
      <c r="D5953">
        <v>1.0453916118754001</v>
      </c>
      <c r="E5953">
        <v>1.09477013815934</v>
      </c>
      <c r="F5953">
        <v>1.0442656704885001</v>
      </c>
      <c r="G5953">
        <v>1.13556833154787</v>
      </c>
      <c r="H5953">
        <v>0.83369385627872195</v>
      </c>
      <c r="I5953">
        <v>0.86456794212495003</v>
      </c>
      <c r="J5953">
        <v>0.76108420786314601</v>
      </c>
      <c r="K5953">
        <v>0.531724284476353</v>
      </c>
      <c r="L5953">
        <v>1243.20730058872</v>
      </c>
      <c r="M5953">
        <v>17.578121372821101</v>
      </c>
      <c r="O5953">
        <v>69.8284136013298</v>
      </c>
      <c r="P5953">
        <v>-6.29366786502428E-2</v>
      </c>
      <c r="Q5953">
        <v>0</v>
      </c>
      <c r="R5953">
        <v>0.840005741894569</v>
      </c>
      <c r="S5953" t="s">
        <v>12264</v>
      </c>
      <c r="T5953" t="s">
        <v>12620</v>
      </c>
      <c r="U5953" t="s">
        <v>12620</v>
      </c>
      <c r="V5953" t="s">
        <v>12620</v>
      </c>
      <c r="W5953" t="s">
        <v>18513</v>
      </c>
      <c r="X5953">
        <v>2</v>
      </c>
      <c r="Y5953" t="s">
        <v>24599</v>
      </c>
      <c r="Z5953" t="s">
        <v>30900</v>
      </c>
      <c r="AA5953">
        <v>0.92921072350780998</v>
      </c>
      <c r="AB5953" t="str">
        <f>HYPERLINK("Melting_Curves/meltCurve_Q9UKL3_CASP8AP2.pdf", "Melting_Curves/meltCurve_Q9UKL3_CASP8AP2.pdf")</f>
        <v>Melting_Curves/meltCurve_Q9UKL3_CASP8AP2.pdf</v>
      </c>
    </row>
    <row r="5954" spans="1:28" x14ac:dyDescent="0.25">
      <c r="A5954" t="s">
        <v>5958</v>
      </c>
      <c r="B5954">
        <v>0.99987803227770999</v>
      </c>
      <c r="C5954">
        <v>0.85783431936639198</v>
      </c>
      <c r="D5954">
        <v>0.89651595740142598</v>
      </c>
      <c r="E5954">
        <v>0.86787315788469999</v>
      </c>
      <c r="F5954">
        <v>0.91537099061106098</v>
      </c>
      <c r="G5954">
        <v>0.64972629615640898</v>
      </c>
      <c r="H5954">
        <v>0.48248266829030501</v>
      </c>
      <c r="I5954">
        <v>0.184837709779238</v>
      </c>
      <c r="J5954">
        <v>8.6502228726141994E-2</v>
      </c>
      <c r="K5954">
        <v>6.4735438032881495E-2</v>
      </c>
      <c r="L5954">
        <v>991.91516178636402</v>
      </c>
      <c r="M5954">
        <v>16.686016490087201</v>
      </c>
      <c r="N5954">
        <v>59.445893942690901</v>
      </c>
      <c r="O5954">
        <v>58.611757633622901</v>
      </c>
      <c r="P5954">
        <v>-7.1176529240290803E-2</v>
      </c>
      <c r="Q5954">
        <v>0</v>
      </c>
      <c r="R5954">
        <v>0.958404962641348</v>
      </c>
      <c r="S5954" t="s">
        <v>12265</v>
      </c>
      <c r="T5954" t="s">
        <v>12620</v>
      </c>
      <c r="U5954" t="s">
        <v>12620</v>
      </c>
      <c r="V5954" t="s">
        <v>12620</v>
      </c>
      <c r="W5954" t="s">
        <v>18514</v>
      </c>
      <c r="X5954">
        <v>8</v>
      </c>
      <c r="Y5954" t="s">
        <v>24600</v>
      </c>
      <c r="Z5954" t="s">
        <v>30901</v>
      </c>
      <c r="AA5954">
        <v>0.65774113025972303</v>
      </c>
      <c r="AB5954" t="str">
        <f>HYPERLINK("Melting_Curves/meltCurve_Q9UKL6_PCTP.pdf", "Melting_Curves/meltCurve_Q9UKL6_PCTP.pdf")</f>
        <v>Melting_Curves/meltCurve_Q9UKL6_PCTP.pdf</v>
      </c>
    </row>
    <row r="5955" spans="1:28" x14ac:dyDescent="0.25">
      <c r="A5955" t="s">
        <v>5959</v>
      </c>
      <c r="B5955">
        <v>0.99987803227770999</v>
      </c>
      <c r="C5955">
        <v>1.0533922868002901</v>
      </c>
      <c r="D5955">
        <v>0.94351814013759505</v>
      </c>
      <c r="E5955">
        <v>0.95607898531125401</v>
      </c>
      <c r="F5955">
        <v>0.65420924168440397</v>
      </c>
      <c r="G5955">
        <v>0.37114850023316598</v>
      </c>
      <c r="H5955">
        <v>0.411166326099829</v>
      </c>
      <c r="I5955">
        <v>0.44562772109764598</v>
      </c>
      <c r="J5955">
        <v>0.26767411922787399</v>
      </c>
      <c r="K5955">
        <v>0.194982718429417</v>
      </c>
      <c r="L5955">
        <v>1940.1436267614499</v>
      </c>
      <c r="M5955">
        <v>36.600980179312799</v>
      </c>
      <c r="N5955">
        <v>54.585297967811897</v>
      </c>
      <c r="O5955">
        <v>52.850482210835601</v>
      </c>
      <c r="P5955">
        <v>-0.116630132155321</v>
      </c>
      <c r="Q5955">
        <v>0.32636341570879401</v>
      </c>
      <c r="R5955">
        <v>0.95215513631377802</v>
      </c>
      <c r="S5955" t="s">
        <v>12266</v>
      </c>
      <c r="T5955" t="s">
        <v>12620</v>
      </c>
      <c r="U5955" t="s">
        <v>12620</v>
      </c>
      <c r="V5955" t="s">
        <v>12620</v>
      </c>
      <c r="W5955" t="s">
        <v>18515</v>
      </c>
      <c r="X5955">
        <v>8</v>
      </c>
      <c r="Y5955" t="s">
        <v>24601</v>
      </c>
      <c r="Z5955" t="s">
        <v>30902</v>
      </c>
      <c r="AA5955">
        <v>0.62139712287471072</v>
      </c>
      <c r="AB5955" t="str">
        <f>HYPERLINK("Melting_Curves/meltCurve_Q9UKN8_GTF3C4.pdf", "Melting_Curves/meltCurve_Q9UKN8_GTF3C4.pdf")</f>
        <v>Melting_Curves/meltCurve_Q9UKN8_GTF3C4.pdf</v>
      </c>
    </row>
    <row r="5956" spans="1:28" x14ac:dyDescent="0.25">
      <c r="A5956" t="s">
        <v>5960</v>
      </c>
      <c r="B5956">
        <v>0.99987803227770999</v>
      </c>
      <c r="C5956">
        <v>0.80898608501568003</v>
      </c>
      <c r="D5956">
        <v>0.53205777961858103</v>
      </c>
      <c r="E5956">
        <v>0.36540888943043798</v>
      </c>
      <c r="F5956">
        <v>0.30976825479617098</v>
      </c>
      <c r="G5956">
        <v>0.17857792935218</v>
      </c>
      <c r="H5956">
        <v>0.149728683251937</v>
      </c>
      <c r="I5956">
        <v>0.13301098446474299</v>
      </c>
      <c r="J5956">
        <v>9.4212501198118401E-2</v>
      </c>
      <c r="K5956">
        <v>6.7772448956902001E-2</v>
      </c>
      <c r="L5956">
        <v>634.48171212754301</v>
      </c>
      <c r="M5956">
        <v>13.552367194998901</v>
      </c>
      <c r="N5956">
        <v>47.583628201085602</v>
      </c>
      <c r="O5956">
        <v>45.832979634935597</v>
      </c>
      <c r="P5956">
        <v>-6.6682948319118501E-2</v>
      </c>
      <c r="Q5956">
        <v>9.8071146555382294E-2</v>
      </c>
      <c r="R5956">
        <v>0.98111749890688804</v>
      </c>
      <c r="S5956" t="s">
        <v>12267</v>
      </c>
      <c r="T5956" t="s">
        <v>12620</v>
      </c>
      <c r="U5956" t="s">
        <v>12620</v>
      </c>
      <c r="V5956" t="s">
        <v>12620</v>
      </c>
      <c r="W5956" t="s">
        <v>18516</v>
      </c>
      <c r="X5956">
        <v>5</v>
      </c>
      <c r="Y5956" t="s">
        <v>24602</v>
      </c>
      <c r="Z5956" t="s">
        <v>30903</v>
      </c>
      <c r="AA5956">
        <v>0.33346374690866948</v>
      </c>
      <c r="AB5956" t="str">
        <f>HYPERLINK("Melting_Curves/meltCurve_Q9UKS6_PACSIN3.pdf", "Melting_Curves/meltCurve_Q9UKS6_PACSIN3.pdf")</f>
        <v>Melting_Curves/meltCurve_Q9UKS6_PACSIN3.pdf</v>
      </c>
    </row>
    <row r="5957" spans="1:28" x14ac:dyDescent="0.25">
      <c r="A5957" t="s">
        <v>5961</v>
      </c>
      <c r="B5957">
        <v>0.99987803227770999</v>
      </c>
      <c r="C5957">
        <v>0.84495083456168696</v>
      </c>
      <c r="D5957">
        <v>0.95737133157902898</v>
      </c>
      <c r="E5957">
        <v>0.81253071104476104</v>
      </c>
      <c r="F5957">
        <v>0.82404804701846102</v>
      </c>
      <c r="G5957">
        <v>0.61598422650247697</v>
      </c>
      <c r="H5957">
        <v>0.50130306630489396</v>
      </c>
      <c r="I5957">
        <v>0.38579698988084199</v>
      </c>
      <c r="J5957">
        <v>0.29287943440352399</v>
      </c>
      <c r="K5957">
        <v>0.23486695866722701</v>
      </c>
      <c r="L5957">
        <v>502.16743610212302</v>
      </c>
      <c r="M5957">
        <v>8.2984488653331301</v>
      </c>
      <c r="N5957">
        <v>60.513408762044598</v>
      </c>
      <c r="O5957">
        <v>57.304825323192901</v>
      </c>
      <c r="P5957">
        <v>-3.6238796472593503E-2</v>
      </c>
      <c r="Q5957">
        <v>0</v>
      </c>
      <c r="R5957">
        <v>0.96902853100364394</v>
      </c>
      <c r="S5957" t="s">
        <v>12268</v>
      </c>
      <c r="T5957" t="s">
        <v>12620</v>
      </c>
      <c r="U5957" t="s">
        <v>12620</v>
      </c>
      <c r="V5957" t="s">
        <v>12620</v>
      </c>
      <c r="W5957" t="s">
        <v>18517</v>
      </c>
      <c r="X5957">
        <v>4</v>
      </c>
      <c r="Y5957" t="s">
        <v>24603</v>
      </c>
      <c r="Z5957" t="s">
        <v>30904</v>
      </c>
      <c r="AA5957">
        <v>0.66566254978653527</v>
      </c>
      <c r="AB5957" t="str">
        <f>HYPERLINK("Melting_Curves/meltCurve_Q9UKT4_2_FBXO5.pdf", "Melting_Curves/meltCurve_Q9UKT4_2_FBXO5.pdf")</f>
        <v>Melting_Curves/meltCurve_Q9UKT4_2_FBXO5.pdf</v>
      </c>
    </row>
    <row r="5958" spans="1:28" x14ac:dyDescent="0.25">
      <c r="A5958" t="s">
        <v>5962</v>
      </c>
      <c r="B5958">
        <v>0.99987803227770999</v>
      </c>
      <c r="C5958">
        <v>1.03150744261658</v>
      </c>
      <c r="D5958">
        <v>1.0482763655592</v>
      </c>
      <c r="E5958">
        <v>0.86593358082230298</v>
      </c>
      <c r="F5958">
        <v>0.51867236475798495</v>
      </c>
      <c r="G5958">
        <v>0.24916530950114599</v>
      </c>
      <c r="H5958">
        <v>0.17400486848733701</v>
      </c>
      <c r="I5958">
        <v>0.13795236021059601</v>
      </c>
      <c r="J5958">
        <v>0.11504739287013301</v>
      </c>
      <c r="K5958">
        <v>9.2055727847047505E-2</v>
      </c>
      <c r="L5958">
        <v>1497.1966829579501</v>
      </c>
      <c r="M5958">
        <v>28.344132057900499</v>
      </c>
      <c r="N5958">
        <v>53.368737768996098</v>
      </c>
      <c r="O5958">
        <v>52.5612706382421</v>
      </c>
      <c r="P5958">
        <v>-0.117830450657828</v>
      </c>
      <c r="Q5958">
        <v>0.12598946887895399</v>
      </c>
      <c r="R5958">
        <v>0.994641750507678</v>
      </c>
      <c r="S5958" t="s">
        <v>12269</v>
      </c>
      <c r="T5958" t="s">
        <v>12620</v>
      </c>
      <c r="U5958" t="s">
        <v>12620</v>
      </c>
      <c r="V5958" t="s">
        <v>12620</v>
      </c>
      <c r="W5958" t="s">
        <v>18518</v>
      </c>
      <c r="X5958">
        <v>5</v>
      </c>
      <c r="Y5958" t="s">
        <v>24604</v>
      </c>
      <c r="Z5958" t="s">
        <v>30905</v>
      </c>
      <c r="AA5958">
        <v>0.50586181957810417</v>
      </c>
      <c r="AB5958" t="str">
        <f>HYPERLINK("Melting_Curves/meltCurve_Q9UKT5_FBXO4.pdf", "Melting_Curves/meltCurve_Q9UKT5_FBXO4.pdf")</f>
        <v>Melting_Curves/meltCurve_Q9UKT5_FBXO4.pdf</v>
      </c>
    </row>
    <row r="5959" spans="1:28" x14ac:dyDescent="0.25">
      <c r="A5959" t="s">
        <v>5963</v>
      </c>
      <c r="B5959">
        <v>0.99987803227770999</v>
      </c>
      <c r="C5959">
        <v>1.06551165322744</v>
      </c>
      <c r="D5959">
        <v>0.92626584217371499</v>
      </c>
      <c r="E5959">
        <v>0.89286022131552101</v>
      </c>
      <c r="F5959">
        <v>0.63521677048180603</v>
      </c>
      <c r="G5959">
        <v>0.35117098365799898</v>
      </c>
      <c r="H5959">
        <v>0.25424615748952401</v>
      </c>
      <c r="I5959">
        <v>0.1740428696827</v>
      </c>
      <c r="J5959">
        <v>8.1060337944489802E-2</v>
      </c>
      <c r="K5959">
        <v>5.09687115335083E-2</v>
      </c>
      <c r="L5959">
        <v>906.72474825962001</v>
      </c>
      <c r="M5959">
        <v>16.528124803798701</v>
      </c>
      <c r="N5959">
        <v>55.2578248795432</v>
      </c>
      <c r="O5959">
        <v>54.075296947518602</v>
      </c>
      <c r="P5959">
        <v>-7.2126298329831001E-2</v>
      </c>
      <c r="Q5959">
        <v>5.6158676522526103E-2</v>
      </c>
      <c r="R5959">
        <v>0.988893539601992</v>
      </c>
      <c r="S5959" t="s">
        <v>12270</v>
      </c>
      <c r="T5959" t="s">
        <v>12620</v>
      </c>
      <c r="U5959" t="s">
        <v>12620</v>
      </c>
      <c r="V5959" t="s">
        <v>12620</v>
      </c>
      <c r="W5959" t="s">
        <v>18519</v>
      </c>
      <c r="X5959">
        <v>4</v>
      </c>
      <c r="Y5959" t="s">
        <v>24605</v>
      </c>
      <c r="Z5959" t="s">
        <v>30906</v>
      </c>
      <c r="AA5959">
        <v>0.5400721261415744</v>
      </c>
      <c r="AB5959" t="str">
        <f>HYPERLINK("Melting_Curves/meltCurve_Q9UKU7_ACAD8.pdf", "Melting_Curves/meltCurve_Q9UKU7_ACAD8.pdf")</f>
        <v>Melting_Curves/meltCurve_Q9UKU7_ACAD8.pdf</v>
      </c>
    </row>
    <row r="5960" spans="1:28" x14ac:dyDescent="0.25">
      <c r="A5960" t="s">
        <v>5964</v>
      </c>
      <c r="B5960">
        <v>0.99987803227770999</v>
      </c>
      <c r="C5960">
        <v>1.0414567031250499</v>
      </c>
      <c r="D5960">
        <v>1.00068975218198</v>
      </c>
      <c r="E5960">
        <v>1.13787889353129</v>
      </c>
      <c r="F5960">
        <v>1.04132053160591</v>
      </c>
      <c r="G5960">
        <v>0.958251738266089</v>
      </c>
      <c r="H5960">
        <v>1.0549171746217001</v>
      </c>
      <c r="I5960">
        <v>0.84851765569395798</v>
      </c>
      <c r="J5960">
        <v>0.77733332320752302</v>
      </c>
      <c r="K5960">
        <v>0.24093593030236099</v>
      </c>
      <c r="L5960">
        <v>3235.43662556956</v>
      </c>
      <c r="M5960">
        <v>47.258802036330202</v>
      </c>
      <c r="N5960">
        <v>68.462096552470598</v>
      </c>
      <c r="O5960">
        <v>68.339844803001697</v>
      </c>
      <c r="P5960">
        <v>-0.17288176573688599</v>
      </c>
      <c r="Q5960">
        <v>0</v>
      </c>
      <c r="R5960">
        <v>0.92779988593625895</v>
      </c>
      <c r="S5960" t="s">
        <v>12271</v>
      </c>
      <c r="T5960" t="s">
        <v>12620</v>
      </c>
      <c r="U5960" t="s">
        <v>12620</v>
      </c>
      <c r="V5960" t="s">
        <v>12620</v>
      </c>
      <c r="W5960" t="s">
        <v>18520</v>
      </c>
      <c r="X5960">
        <v>20</v>
      </c>
      <c r="Y5960" t="s">
        <v>24606</v>
      </c>
      <c r="Z5960" t="s">
        <v>30907</v>
      </c>
      <c r="AA5960">
        <v>0.93605043527184717</v>
      </c>
      <c r="AB5960" t="str">
        <f>HYPERLINK("Melting_Curves/meltCurve_Q9UKV8_AGO2.pdf", "Melting_Curves/meltCurve_Q9UKV8_AGO2.pdf")</f>
        <v>Melting_Curves/meltCurve_Q9UKV8_AGO2.pdf</v>
      </c>
    </row>
    <row r="5961" spans="1:28" x14ac:dyDescent="0.25">
      <c r="A5961" t="s">
        <v>5965</v>
      </c>
      <c r="B5961">
        <v>0.99987803227770999</v>
      </c>
      <c r="C5961">
        <v>0.98276426898637104</v>
      </c>
      <c r="D5961">
        <v>0.87438702432355397</v>
      </c>
      <c r="E5961">
        <v>1.30346751167153</v>
      </c>
      <c r="F5961">
        <v>1.2246866550104101</v>
      </c>
      <c r="G5961">
        <v>1.10306224257651</v>
      </c>
      <c r="H5961">
        <v>0.69383769900848602</v>
      </c>
      <c r="I5961">
        <v>0.48228807620939901</v>
      </c>
      <c r="J5961">
        <v>0.37960403152275901</v>
      </c>
      <c r="K5961">
        <v>0.30391870066629001</v>
      </c>
      <c r="L5961">
        <v>2756.2305466749599</v>
      </c>
      <c r="M5961">
        <v>44.819300183229402</v>
      </c>
      <c r="N5961">
        <v>63.137086369187998</v>
      </c>
      <c r="O5961">
        <v>61.374474273324402</v>
      </c>
      <c r="P5961">
        <v>-0.119767081563737</v>
      </c>
      <c r="Q5961">
        <v>0.34397635615611999</v>
      </c>
      <c r="R5961">
        <v>0.84122905072908205</v>
      </c>
      <c r="S5961" t="s">
        <v>12272</v>
      </c>
      <c r="T5961" t="s">
        <v>12620</v>
      </c>
      <c r="U5961" t="s">
        <v>12620</v>
      </c>
      <c r="V5961" t="s">
        <v>12620</v>
      </c>
      <c r="W5961" t="s">
        <v>18521</v>
      </c>
      <c r="X5961">
        <v>14</v>
      </c>
      <c r="Y5961" t="s">
        <v>24607</v>
      </c>
      <c r="Z5961" t="s">
        <v>30908</v>
      </c>
      <c r="AA5961">
        <v>0.81609130069045088</v>
      </c>
      <c r="AB5961" t="str">
        <f>HYPERLINK("Melting_Curves/meltCurve_Q9UKX7_NUP50.pdf", "Melting_Curves/meltCurve_Q9UKX7_NUP50.pdf")</f>
        <v>Melting_Curves/meltCurve_Q9UKX7_NUP50.pdf</v>
      </c>
    </row>
    <row r="5962" spans="1:28" x14ac:dyDescent="0.25">
      <c r="A5962" t="s">
        <v>5966</v>
      </c>
      <c r="B5962">
        <v>0.99987803227770999</v>
      </c>
      <c r="C5962">
        <v>0.79042176042831502</v>
      </c>
      <c r="D5962">
        <v>0.99225703288938105</v>
      </c>
      <c r="E5962">
        <v>0.85730762035721297</v>
      </c>
      <c r="F5962">
        <v>1.1479198055203399</v>
      </c>
      <c r="G5962">
        <v>0.94981735616521201</v>
      </c>
      <c r="H5962">
        <v>1.0245535581160601</v>
      </c>
      <c r="I5962">
        <v>1.0171389702758999</v>
      </c>
      <c r="J5962">
        <v>1.0501066732842801</v>
      </c>
      <c r="K5962">
        <v>0.89948138673741795</v>
      </c>
      <c r="L5962">
        <v>15000</v>
      </c>
      <c r="M5962">
        <v>212.094192204557</v>
      </c>
      <c r="Q5962">
        <v>0</v>
      </c>
      <c r="R5962">
        <v>2.9005705693782899E-2</v>
      </c>
      <c r="S5962" t="s">
        <v>12273</v>
      </c>
      <c r="T5962" t="s">
        <v>12620</v>
      </c>
      <c r="U5962" t="s">
        <v>12620</v>
      </c>
      <c r="V5962" t="s">
        <v>12620</v>
      </c>
      <c r="W5962" t="s">
        <v>18522</v>
      </c>
      <c r="X5962">
        <v>14</v>
      </c>
      <c r="Y5962" t="s">
        <v>24608</v>
      </c>
      <c r="Z5962" t="s">
        <v>30909</v>
      </c>
      <c r="AA5962">
        <v>0.99885741606676171</v>
      </c>
      <c r="AB5962" t="str">
        <f>HYPERLINK("Melting_Curves/meltCurve_Q9UKY7_CDV3.pdf", "Melting_Curves/meltCurve_Q9UKY7_CDV3.pdf")</f>
        <v>Melting_Curves/meltCurve_Q9UKY7_CDV3.pdf</v>
      </c>
    </row>
    <row r="5963" spans="1:28" x14ac:dyDescent="0.25">
      <c r="A5963" t="s">
        <v>5967</v>
      </c>
      <c r="B5963">
        <v>0.99987803227770999</v>
      </c>
      <c r="C5963">
        <v>0.83106833040725003</v>
      </c>
      <c r="D5963">
        <v>0.78680600999536399</v>
      </c>
      <c r="E5963">
        <v>0.80927697368388396</v>
      </c>
      <c r="F5963">
        <v>0.32808742026496901</v>
      </c>
      <c r="G5963">
        <v>0.14650685192574001</v>
      </c>
      <c r="H5963">
        <v>8.8648312250194206E-2</v>
      </c>
      <c r="I5963">
        <v>6.0495132838923098E-2</v>
      </c>
      <c r="J5963">
        <v>5.6478405802453099E-2</v>
      </c>
      <c r="K5963">
        <v>4.4365724287955897E-2</v>
      </c>
      <c r="L5963">
        <v>876.86308607819296</v>
      </c>
      <c r="M5963">
        <v>16.970658717120799</v>
      </c>
      <c r="N5963">
        <v>51.789961552961799</v>
      </c>
      <c r="O5963">
        <v>50.967919494272302</v>
      </c>
      <c r="P5963">
        <v>-8.1634212952975099E-2</v>
      </c>
      <c r="Q5963">
        <v>1.9374039437664199E-2</v>
      </c>
      <c r="R5963">
        <v>0.95253913031082904</v>
      </c>
      <c r="S5963" t="s">
        <v>12274</v>
      </c>
      <c r="T5963" t="s">
        <v>12620</v>
      </c>
      <c r="U5963" t="s">
        <v>12620</v>
      </c>
      <c r="V5963" t="s">
        <v>12620</v>
      </c>
      <c r="W5963" t="s">
        <v>18523</v>
      </c>
      <c r="X5963">
        <v>3</v>
      </c>
      <c r="Y5963" t="s">
        <v>24609</v>
      </c>
      <c r="Z5963" t="s">
        <v>30910</v>
      </c>
      <c r="AA5963">
        <v>0.41894683549907458</v>
      </c>
      <c r="AB5963" t="str">
        <f>HYPERLINK("Melting_Curves/meltCurve_Q9UKZ1_CNOT11.pdf", "Melting_Curves/meltCurve_Q9UKZ1_CNOT11.pdf")</f>
        <v>Melting_Curves/meltCurve_Q9UKZ1_CNOT11.pdf</v>
      </c>
    </row>
    <row r="5964" spans="1:28" x14ac:dyDescent="0.25">
      <c r="A5964" t="s">
        <v>5968</v>
      </c>
      <c r="B5964">
        <v>0.99987803227770999</v>
      </c>
      <c r="C5964">
        <v>0.86427214512323203</v>
      </c>
      <c r="D5964">
        <v>1.01874580833002</v>
      </c>
      <c r="E5964">
        <v>0.82166615281667799</v>
      </c>
      <c r="F5964">
        <v>0.76526700339964704</v>
      </c>
      <c r="G5964">
        <v>0.21891652174293699</v>
      </c>
      <c r="H5964">
        <v>0.134765944092399</v>
      </c>
      <c r="I5964">
        <v>0.131494532251304</v>
      </c>
      <c r="J5964">
        <v>8.7525720618531005E-2</v>
      </c>
      <c r="K5964">
        <v>6.5101513385147899E-2</v>
      </c>
      <c r="L5964">
        <v>1559.7363822810801</v>
      </c>
      <c r="M5964">
        <v>28.725110796316599</v>
      </c>
      <c r="N5964">
        <v>54.649087527676599</v>
      </c>
      <c r="O5964">
        <v>54.037590065466702</v>
      </c>
      <c r="P5964">
        <v>-0.121718278133636</v>
      </c>
      <c r="Q5964">
        <v>8.4102890842214201E-2</v>
      </c>
      <c r="R5964">
        <v>0.97417846914832196</v>
      </c>
      <c r="S5964" t="s">
        <v>12275</v>
      </c>
      <c r="T5964" t="s">
        <v>12620</v>
      </c>
      <c r="U5964" t="s">
        <v>12620</v>
      </c>
      <c r="V5964" t="s">
        <v>12620</v>
      </c>
      <c r="W5964" t="s">
        <v>18524</v>
      </c>
      <c r="X5964">
        <v>13</v>
      </c>
      <c r="Y5964" t="s">
        <v>24610</v>
      </c>
      <c r="Z5964" t="s">
        <v>30911</v>
      </c>
      <c r="AA5964">
        <v>0.52719831351672564</v>
      </c>
      <c r="AB5964" t="str">
        <f>HYPERLINK("Melting_Curves/meltCurve_Q9UL15_BAG5.pdf", "Melting_Curves/meltCurve_Q9UL15_BAG5.pdf")</f>
        <v>Melting_Curves/meltCurve_Q9UL15_BAG5.pdf</v>
      </c>
    </row>
    <row r="5965" spans="1:28" x14ac:dyDescent="0.25">
      <c r="A5965" t="s">
        <v>5969</v>
      </c>
      <c r="B5965">
        <v>0.99987803227770999</v>
      </c>
      <c r="C5965">
        <v>0.93479214287061596</v>
      </c>
      <c r="D5965">
        <v>1.0580632489572199</v>
      </c>
      <c r="E5965">
        <v>0.96953332555761995</v>
      </c>
      <c r="F5965">
        <v>1.1041193990209699</v>
      </c>
      <c r="G5965">
        <v>0.95472089658672998</v>
      </c>
      <c r="H5965">
        <v>0.64575938517187104</v>
      </c>
      <c r="I5965">
        <v>0.356401918796663</v>
      </c>
      <c r="J5965">
        <v>0.14873784920386801</v>
      </c>
      <c r="K5965">
        <v>0.10193802325487</v>
      </c>
      <c r="L5965">
        <v>1931.97856534274</v>
      </c>
      <c r="M5965">
        <v>31.1112524026295</v>
      </c>
      <c r="N5965">
        <v>62.4184432681785</v>
      </c>
      <c r="O5965">
        <v>61.844151700704799</v>
      </c>
      <c r="P5965">
        <v>-0.116510551458417</v>
      </c>
      <c r="Q5965">
        <v>7.3588493188356696E-2</v>
      </c>
      <c r="R5965">
        <v>0.98428839784773203</v>
      </c>
      <c r="S5965" t="s">
        <v>12276</v>
      </c>
      <c r="T5965" t="s">
        <v>12620</v>
      </c>
      <c r="U5965" t="s">
        <v>12620</v>
      </c>
      <c r="V5965" t="s">
        <v>12620</v>
      </c>
      <c r="W5965" t="s">
        <v>18525</v>
      </c>
      <c r="X5965">
        <v>9</v>
      </c>
      <c r="Y5965" t="s">
        <v>24611</v>
      </c>
      <c r="Z5965" t="s">
        <v>30912</v>
      </c>
      <c r="AA5965">
        <v>0.76013568883396765</v>
      </c>
      <c r="AB5965" t="str">
        <f>HYPERLINK("Melting_Curves/meltCurve_Q9UL25_RAB21.pdf", "Melting_Curves/meltCurve_Q9UL25_RAB21.pdf")</f>
        <v>Melting_Curves/meltCurve_Q9UL25_RAB21.pdf</v>
      </c>
    </row>
    <row r="5966" spans="1:28" x14ac:dyDescent="0.25">
      <c r="A5966" t="s">
        <v>5970</v>
      </c>
      <c r="B5966">
        <v>0.99987803227770999</v>
      </c>
      <c r="C5966">
        <v>1.0137456949722501</v>
      </c>
      <c r="D5966">
        <v>1.0103025800107499</v>
      </c>
      <c r="E5966">
        <v>0.94002186375177899</v>
      </c>
      <c r="F5966">
        <v>0.91261383301415699</v>
      </c>
      <c r="G5966">
        <v>0.70214497336835002</v>
      </c>
      <c r="H5966">
        <v>0.293328344179761</v>
      </c>
      <c r="I5966">
        <v>0.217636903208003</v>
      </c>
      <c r="J5966">
        <v>0.161830145287788</v>
      </c>
      <c r="K5966">
        <v>0.106968378783371</v>
      </c>
      <c r="L5966">
        <v>1447.80288602934</v>
      </c>
      <c r="M5966">
        <v>24.852481827935101</v>
      </c>
      <c r="N5966">
        <v>58.847321312589301</v>
      </c>
      <c r="O5966">
        <v>57.882612910815702</v>
      </c>
      <c r="P5966">
        <v>-9.5479025530088898E-2</v>
      </c>
      <c r="Q5966">
        <v>0.110511469255397</v>
      </c>
      <c r="R5966">
        <v>0.99576848236120197</v>
      </c>
      <c r="S5966" t="s">
        <v>12277</v>
      </c>
      <c r="T5966" t="s">
        <v>12620</v>
      </c>
      <c r="U5966" t="s">
        <v>12620</v>
      </c>
      <c r="V5966" t="s">
        <v>12620</v>
      </c>
      <c r="W5966" t="s">
        <v>18526</v>
      </c>
      <c r="X5966">
        <v>4</v>
      </c>
      <c r="Y5966" t="s">
        <v>24612</v>
      </c>
      <c r="Z5966" t="s">
        <v>30913</v>
      </c>
      <c r="AA5966">
        <v>0.65949269440161395</v>
      </c>
      <c r="AB5966" t="str">
        <f>HYPERLINK("Melting_Curves/meltCurve_Q9UL26_RAB22A.pdf", "Melting_Curves/meltCurve_Q9UL26_RAB22A.pdf")</f>
        <v>Melting_Curves/meltCurve_Q9UL26_RAB22A.pdf</v>
      </c>
    </row>
    <row r="5967" spans="1:28" x14ac:dyDescent="0.25">
      <c r="A5967" t="s">
        <v>5971</v>
      </c>
      <c r="B5967">
        <v>0.99987803227770999</v>
      </c>
      <c r="C5967">
        <v>0.81803739197295899</v>
      </c>
      <c r="D5967">
        <v>0.81086587151360701</v>
      </c>
      <c r="E5967">
        <v>0.85989904919966598</v>
      </c>
      <c r="F5967">
        <v>0.85463374742242704</v>
      </c>
      <c r="G5967">
        <v>0.34004643874314999</v>
      </c>
      <c r="H5967">
        <v>0.161854659623064</v>
      </c>
      <c r="I5967">
        <v>0.13295205066999999</v>
      </c>
      <c r="J5967">
        <v>0.103731634734837</v>
      </c>
      <c r="K5967">
        <v>7.4956256865274198E-2</v>
      </c>
      <c r="L5967">
        <v>1469.83757394394</v>
      </c>
      <c r="M5967">
        <v>26.558310432586801</v>
      </c>
      <c r="N5967">
        <v>55.747955850399002</v>
      </c>
      <c r="O5967">
        <v>55.032870948148599</v>
      </c>
      <c r="P5967">
        <v>-0.110083441083264</v>
      </c>
      <c r="Q5967">
        <v>8.7570912549298996E-2</v>
      </c>
      <c r="R5967">
        <v>0.937402913238369</v>
      </c>
      <c r="S5967" t="s">
        <v>12278</v>
      </c>
      <c r="T5967" t="s">
        <v>12620</v>
      </c>
      <c r="U5967" t="s">
        <v>12620</v>
      </c>
      <c r="V5967" t="s">
        <v>12620</v>
      </c>
      <c r="W5967" t="s">
        <v>18527</v>
      </c>
      <c r="X5967">
        <v>3</v>
      </c>
      <c r="Y5967" t="s">
        <v>24613</v>
      </c>
      <c r="Z5967" t="s">
        <v>30914</v>
      </c>
      <c r="AA5967">
        <v>0.5618220068769787</v>
      </c>
      <c r="AB5967" t="str">
        <f>HYPERLINK("Melting_Curves/meltCurve_Q9UL33_2_TRAPPC2L.pdf", "Melting_Curves/meltCurve_Q9UL33_2_TRAPPC2L.pdf")</f>
        <v>Melting_Curves/meltCurve_Q9UL33_2_TRAPPC2L.pdf</v>
      </c>
    </row>
    <row r="5968" spans="1:28" x14ac:dyDescent="0.25">
      <c r="A5968" t="s">
        <v>5972</v>
      </c>
      <c r="B5968">
        <v>0.99987803227770999</v>
      </c>
      <c r="C5968">
        <v>0.858918867339589</v>
      </c>
      <c r="D5968">
        <v>0.97002685181540105</v>
      </c>
      <c r="E5968">
        <v>0.478508893897371</v>
      </c>
      <c r="F5968">
        <v>0.19530751760783099</v>
      </c>
      <c r="G5968">
        <v>0.11549695938108</v>
      </c>
      <c r="H5968">
        <v>9.3106027073408704E-2</v>
      </c>
      <c r="I5968">
        <v>9.2931277791737002E-2</v>
      </c>
      <c r="J5968">
        <v>8.1223031856015704E-2</v>
      </c>
      <c r="K5968">
        <v>4.6868414067824403E-2</v>
      </c>
      <c r="L5968">
        <v>1591.87646152454</v>
      </c>
      <c r="M5968">
        <v>32.066316447501201</v>
      </c>
      <c r="N5968">
        <v>49.924428024787801</v>
      </c>
      <c r="O5968">
        <v>49.451385258634801</v>
      </c>
      <c r="P5968">
        <v>-0.14871772506978001</v>
      </c>
      <c r="Q5968">
        <v>8.2618592396208806E-2</v>
      </c>
      <c r="R5968">
        <v>0.98499417727403504</v>
      </c>
      <c r="S5968" t="s">
        <v>12279</v>
      </c>
      <c r="T5968" t="s">
        <v>12620</v>
      </c>
      <c r="U5968" t="s">
        <v>12620</v>
      </c>
      <c r="V5968" t="s">
        <v>12620</v>
      </c>
      <c r="W5968" t="s">
        <v>18528</v>
      </c>
      <c r="X5968">
        <v>2</v>
      </c>
      <c r="Y5968" t="s">
        <v>24614</v>
      </c>
      <c r="Z5968" t="s">
        <v>30915</v>
      </c>
      <c r="AA5968">
        <v>0.38243148323000942</v>
      </c>
      <c r="AB5968" t="str">
        <f>HYPERLINK("Melting_Curves/meltCurve_Q9UL42_PNMA2.pdf", "Melting_Curves/meltCurve_Q9UL42_PNMA2.pdf")</f>
        <v>Melting_Curves/meltCurve_Q9UL42_PNMA2.pdf</v>
      </c>
    </row>
    <row r="5969" spans="1:28" x14ac:dyDescent="0.25">
      <c r="A5969" t="s">
        <v>5973</v>
      </c>
      <c r="B5969">
        <v>0.99987803227770999</v>
      </c>
      <c r="C5969">
        <v>1.1430316844005</v>
      </c>
      <c r="D5969">
        <v>1.06547260422032</v>
      </c>
      <c r="E5969">
        <v>1.18060044673468</v>
      </c>
      <c r="F5969">
        <v>1.1348418001156499</v>
      </c>
      <c r="G5969">
        <v>0.96290730608888797</v>
      </c>
      <c r="H5969">
        <v>0.83092851429776904</v>
      </c>
      <c r="I5969">
        <v>0.32495247021464502</v>
      </c>
      <c r="J5969">
        <v>0.143507432159836</v>
      </c>
      <c r="K5969">
        <v>7.7962846605434705E-2</v>
      </c>
      <c r="L5969">
        <v>3178.1827536309202</v>
      </c>
      <c r="M5969">
        <v>50.666247260102097</v>
      </c>
      <c r="N5969">
        <v>62.9699222846602</v>
      </c>
      <c r="O5969">
        <v>62.630323436028803</v>
      </c>
      <c r="P5969">
        <v>-0.18434435335096</v>
      </c>
      <c r="Q5969">
        <v>8.8502711293206096E-2</v>
      </c>
      <c r="R5969">
        <v>0.95422549847865101</v>
      </c>
      <c r="S5969" t="s">
        <v>12280</v>
      </c>
      <c r="T5969" t="s">
        <v>12620</v>
      </c>
      <c r="U5969" t="s">
        <v>12620</v>
      </c>
      <c r="V5969" t="s">
        <v>12620</v>
      </c>
      <c r="W5969" t="s">
        <v>18529</v>
      </c>
      <c r="X5969">
        <v>14</v>
      </c>
      <c r="Y5969" t="s">
        <v>24615</v>
      </c>
      <c r="Z5969" t="s">
        <v>30916</v>
      </c>
      <c r="AA5969">
        <v>0.78124981042199637</v>
      </c>
      <c r="AB5969" t="str">
        <f>HYPERLINK("Melting_Curves/meltCurve_Q9UL46_PSME2.pdf", "Melting_Curves/meltCurve_Q9UL46_PSME2.pdf")</f>
        <v>Melting_Curves/meltCurve_Q9UL46_PSME2.pdf</v>
      </c>
    </row>
    <row r="5970" spans="1:28" x14ac:dyDescent="0.25">
      <c r="A5970" t="s">
        <v>5974</v>
      </c>
      <c r="B5970">
        <v>0.99987803227770999</v>
      </c>
      <c r="C5970">
        <v>0.56827548411477902</v>
      </c>
      <c r="D5970">
        <v>0.83426041615338298</v>
      </c>
      <c r="E5970">
        <v>0.70279078025894304</v>
      </c>
      <c r="F5970">
        <v>1.1143302425638799</v>
      </c>
      <c r="G5970">
        <v>0.65058121980148098</v>
      </c>
      <c r="H5970">
        <v>0.79618679289090399</v>
      </c>
      <c r="I5970">
        <v>0.89719877146851001</v>
      </c>
      <c r="J5970">
        <v>1.44269497708682</v>
      </c>
      <c r="K5970">
        <v>1.1274760810717399</v>
      </c>
      <c r="L5970">
        <v>10210.389919158801</v>
      </c>
      <c r="M5970">
        <v>250</v>
      </c>
      <c r="O5970">
        <v>40.838964570302103</v>
      </c>
      <c r="P5970">
        <v>-0.14729298751880299</v>
      </c>
      <c r="Q5970">
        <v>0.90375535378296401</v>
      </c>
      <c r="R5970">
        <v>1.32694340741918E-2</v>
      </c>
      <c r="S5970" t="s">
        <v>12281</v>
      </c>
      <c r="T5970" t="s">
        <v>12620</v>
      </c>
      <c r="U5970" t="s">
        <v>12620</v>
      </c>
      <c r="V5970" t="s">
        <v>12620</v>
      </c>
      <c r="W5970" t="s">
        <v>18530</v>
      </c>
      <c r="X5970">
        <v>1</v>
      </c>
      <c r="Y5970" t="s">
        <v>24616</v>
      </c>
      <c r="Z5970" t="s">
        <v>30917</v>
      </c>
      <c r="AA5970">
        <v>0.90646469153386433</v>
      </c>
      <c r="AB5970" t="str">
        <f>HYPERLINK("Melting_Curves/meltCurve_Q9UL51_HCN2.pdf", "Melting_Curves/meltCurve_Q9UL51_HCN2.pdf")</f>
        <v>Melting_Curves/meltCurve_Q9UL51_HCN2.pdf</v>
      </c>
    </row>
    <row r="5971" spans="1:28" x14ac:dyDescent="0.25">
      <c r="A5971" t="s">
        <v>5975</v>
      </c>
      <c r="B5971">
        <v>0.99987803227770999</v>
      </c>
      <c r="C5971">
        <v>0.96714331687530597</v>
      </c>
      <c r="D5971">
        <v>0.92781247684025303</v>
      </c>
      <c r="E5971">
        <v>1.2018639802408499</v>
      </c>
      <c r="F5971">
        <v>1.0811941586746501</v>
      </c>
      <c r="G5971">
        <v>0.64808075739119098</v>
      </c>
      <c r="H5971">
        <v>0.29222815138268399</v>
      </c>
      <c r="I5971">
        <v>0.244798076179913</v>
      </c>
      <c r="J5971">
        <v>0.20093752497381601</v>
      </c>
      <c r="K5971">
        <v>0.117117925106743</v>
      </c>
      <c r="L5971">
        <v>2488.4653238177102</v>
      </c>
      <c r="M5971">
        <v>43.275110710107498</v>
      </c>
      <c r="N5971">
        <v>58.156995904008603</v>
      </c>
      <c r="O5971">
        <v>57.381018395523597</v>
      </c>
      <c r="P5971">
        <v>-0.15223571554308399</v>
      </c>
      <c r="Q5971">
        <v>0.19256830438093001</v>
      </c>
      <c r="R5971">
        <v>0.95698362520323599</v>
      </c>
      <c r="S5971" t="s">
        <v>12282</v>
      </c>
      <c r="T5971" t="s">
        <v>12620</v>
      </c>
      <c r="U5971" t="s">
        <v>12620</v>
      </c>
      <c r="V5971" t="s">
        <v>12620</v>
      </c>
      <c r="W5971" t="s">
        <v>18531</v>
      </c>
      <c r="X5971">
        <v>9</v>
      </c>
      <c r="Y5971" t="s">
        <v>24617</v>
      </c>
      <c r="Z5971" t="s">
        <v>30918</v>
      </c>
      <c r="AA5971">
        <v>0.66637560912643845</v>
      </c>
      <c r="AB5971" t="str">
        <f>HYPERLINK("Melting_Curves/meltCurve_Q9UL63_MKLN1.pdf", "Melting_Curves/meltCurve_Q9UL63_MKLN1.pdf")</f>
        <v>Melting_Curves/meltCurve_Q9UL63_MKLN1.pdf</v>
      </c>
    </row>
    <row r="5972" spans="1:28" x14ac:dyDescent="0.25">
      <c r="A5972" t="s">
        <v>5976</v>
      </c>
      <c r="B5972">
        <v>0.99987803227770999</v>
      </c>
      <c r="C5972">
        <v>0.96035116999799597</v>
      </c>
      <c r="D5972">
        <v>0.88992642629130003</v>
      </c>
      <c r="E5972">
        <v>1.23292595706938</v>
      </c>
      <c r="F5972">
        <v>1.0752754082539799</v>
      </c>
      <c r="G5972">
        <v>0.99452184006550304</v>
      </c>
      <c r="H5972">
        <v>0.896534985552634</v>
      </c>
      <c r="I5972">
        <v>0.93688931337701198</v>
      </c>
      <c r="J5972">
        <v>0.61497539375237198</v>
      </c>
      <c r="K5972">
        <v>0.31798102362212199</v>
      </c>
      <c r="L5972">
        <v>2587.1369847343199</v>
      </c>
      <c r="M5972">
        <v>38.382618034606601</v>
      </c>
      <c r="N5972">
        <v>68.041237949170096</v>
      </c>
      <c r="O5972">
        <v>67.221684268556501</v>
      </c>
      <c r="P5972">
        <v>-0.121191566170769</v>
      </c>
      <c r="Q5972">
        <v>0.15100307393005999</v>
      </c>
      <c r="R5972">
        <v>0.85849041300905404</v>
      </c>
      <c r="S5972" t="s">
        <v>12283</v>
      </c>
      <c r="T5972" t="s">
        <v>12620</v>
      </c>
      <c r="U5972" t="s">
        <v>12620</v>
      </c>
      <c r="V5972" t="s">
        <v>12620</v>
      </c>
      <c r="W5972" t="s">
        <v>18532</v>
      </c>
      <c r="X5972">
        <v>15</v>
      </c>
      <c r="Y5972" t="s">
        <v>24618</v>
      </c>
      <c r="Z5972" t="s">
        <v>30919</v>
      </c>
      <c r="AA5972">
        <v>0.91854036510100556</v>
      </c>
      <c r="AB5972" t="str">
        <f>HYPERLINK("Melting_Curves/meltCurve_Q9ULA0_DNPEP.pdf", "Melting_Curves/meltCurve_Q9ULA0_DNPEP.pdf")</f>
        <v>Melting_Curves/meltCurve_Q9ULA0_DNPEP.pdf</v>
      </c>
    </row>
    <row r="5973" spans="1:28" x14ac:dyDescent="0.25">
      <c r="A5973" t="s">
        <v>5977</v>
      </c>
      <c r="B5973">
        <v>0.99987803227770999</v>
      </c>
      <c r="C5973">
        <v>0.853149593315359</v>
      </c>
      <c r="D5973">
        <v>0.98573332741149899</v>
      </c>
      <c r="E5973">
        <v>0.64914329739448995</v>
      </c>
      <c r="F5973">
        <v>0.37546984324889299</v>
      </c>
      <c r="G5973">
        <v>0.19863381113464401</v>
      </c>
      <c r="H5973">
        <v>0.13320184328766299</v>
      </c>
      <c r="I5973">
        <v>0.11047037238199001</v>
      </c>
      <c r="J5973">
        <v>7.9249736034725501E-2</v>
      </c>
      <c r="K5973">
        <v>5.5600525173366201E-2</v>
      </c>
      <c r="L5973">
        <v>1041.0089831067801</v>
      </c>
      <c r="M5973">
        <v>20.305615052851198</v>
      </c>
      <c r="N5973">
        <v>51.707223201474697</v>
      </c>
      <c r="O5973">
        <v>50.777586971744803</v>
      </c>
      <c r="P5973">
        <v>-9.2041414387718096E-2</v>
      </c>
      <c r="Q5973">
        <v>7.9368352908120998E-2</v>
      </c>
      <c r="R5973">
        <v>0.98294782994929497</v>
      </c>
      <c r="S5973" t="s">
        <v>12284</v>
      </c>
      <c r="T5973" t="s">
        <v>12620</v>
      </c>
      <c r="U5973" t="s">
        <v>12620</v>
      </c>
      <c r="V5973" t="s">
        <v>12620</v>
      </c>
      <c r="W5973" t="s">
        <v>18533</v>
      </c>
      <c r="X5973">
        <v>7</v>
      </c>
      <c r="Y5973" t="s">
        <v>24619</v>
      </c>
      <c r="Z5973" t="s">
        <v>30920</v>
      </c>
      <c r="AA5973">
        <v>0.43754524169727538</v>
      </c>
      <c r="AB5973" t="str">
        <f>HYPERLINK("Melting_Curves/meltCurve_Q9ULC3_RAB23.pdf", "Melting_Curves/meltCurve_Q9ULC3_RAB23.pdf")</f>
        <v>Melting_Curves/meltCurve_Q9ULC3_RAB23.pdf</v>
      </c>
    </row>
    <row r="5974" spans="1:28" x14ac:dyDescent="0.25">
      <c r="A5974" t="s">
        <v>5978</v>
      </c>
      <c r="B5974">
        <v>0.99987803227770999</v>
      </c>
      <c r="C5974">
        <v>0.859312691632237</v>
      </c>
      <c r="D5974">
        <v>1.00668179798722</v>
      </c>
      <c r="E5974">
        <v>0.79608618192084302</v>
      </c>
      <c r="F5974">
        <v>0.82282479278730403</v>
      </c>
      <c r="G5974">
        <v>0.399822398647451</v>
      </c>
      <c r="H5974">
        <v>0.15412849802561401</v>
      </c>
      <c r="I5974">
        <v>0.107162408319586</v>
      </c>
      <c r="J5974">
        <v>8.88756087760737E-2</v>
      </c>
      <c r="K5974">
        <v>6.2469242780409197E-2</v>
      </c>
      <c r="L5974">
        <v>1086.82566378365</v>
      </c>
      <c r="M5974">
        <v>19.513137204611802</v>
      </c>
      <c r="N5974">
        <v>55.918082955517797</v>
      </c>
      <c r="O5974">
        <v>55.122057939785599</v>
      </c>
      <c r="P5974">
        <v>-8.5219076666266894E-2</v>
      </c>
      <c r="Q5974">
        <v>3.7103627664598002E-2</v>
      </c>
      <c r="R5974">
        <v>0.97263750343702005</v>
      </c>
      <c r="S5974" t="s">
        <v>12285</v>
      </c>
      <c r="T5974" t="s">
        <v>12620</v>
      </c>
      <c r="U5974" t="s">
        <v>12620</v>
      </c>
      <c r="V5974" t="s">
        <v>12620</v>
      </c>
      <c r="W5974" t="s">
        <v>18534</v>
      </c>
      <c r="X5974">
        <v>10</v>
      </c>
      <c r="Y5974" t="s">
        <v>24620</v>
      </c>
      <c r="Z5974" t="s">
        <v>30921</v>
      </c>
      <c r="AA5974">
        <v>0.55391147704793808</v>
      </c>
      <c r="AB5974" t="str">
        <f>HYPERLINK("Melting_Curves/meltCurve_Q9ULC4_MCTS1.pdf", "Melting_Curves/meltCurve_Q9ULC4_MCTS1.pdf")</f>
        <v>Melting_Curves/meltCurve_Q9ULC4_MCTS1.pdf</v>
      </c>
    </row>
    <row r="5975" spans="1:28" x14ac:dyDescent="0.25">
      <c r="A5975" t="s">
        <v>5979</v>
      </c>
      <c r="B5975">
        <v>0.99987803227770999</v>
      </c>
      <c r="C5975">
        <v>0.90409264666061295</v>
      </c>
      <c r="D5975">
        <v>0.96696577891023106</v>
      </c>
      <c r="E5975">
        <v>0.91259800186504303</v>
      </c>
      <c r="F5975">
        <v>0.83479256277998704</v>
      </c>
      <c r="G5975">
        <v>0.626262987192858</v>
      </c>
      <c r="H5975">
        <v>0.560554402951012</v>
      </c>
      <c r="I5975">
        <v>0.52830694510299803</v>
      </c>
      <c r="J5975">
        <v>0.49851706553264802</v>
      </c>
      <c r="K5975">
        <v>0.39213604682221098</v>
      </c>
      <c r="L5975">
        <v>638.71985479470004</v>
      </c>
      <c r="M5975">
        <v>11.2216422942835</v>
      </c>
      <c r="N5975">
        <v>64.217130840868904</v>
      </c>
      <c r="O5975">
        <v>55.200798867181497</v>
      </c>
      <c r="P5975">
        <v>-3.2518964684383603E-2</v>
      </c>
      <c r="Q5975">
        <v>0.36033884211551798</v>
      </c>
      <c r="R5975">
        <v>0.96865899403971301</v>
      </c>
      <c r="S5975" t="s">
        <v>12286</v>
      </c>
      <c r="T5975" t="s">
        <v>12620</v>
      </c>
      <c r="U5975" t="s">
        <v>12620</v>
      </c>
      <c r="V5975" t="s">
        <v>12620</v>
      </c>
      <c r="W5975" t="s">
        <v>18535</v>
      </c>
      <c r="X5975">
        <v>34</v>
      </c>
      <c r="Y5975" t="s">
        <v>24621</v>
      </c>
      <c r="Z5975" t="s">
        <v>30922</v>
      </c>
      <c r="AA5975">
        <v>0.73196933525908281</v>
      </c>
      <c r="AB5975" t="str">
        <f>HYPERLINK("Melting_Curves/meltCurve_Q9ULD2_MTUS1.pdf", "Melting_Curves/meltCurve_Q9ULD2_MTUS1.pdf")</f>
        <v>Melting_Curves/meltCurve_Q9ULD2_MTUS1.pdf</v>
      </c>
    </row>
    <row r="5976" spans="1:28" x14ac:dyDescent="0.25">
      <c r="A5976" t="s">
        <v>5980</v>
      </c>
      <c r="B5976">
        <v>0.99987803227770999</v>
      </c>
      <c r="C5976">
        <v>0.95321503285812803</v>
      </c>
      <c r="D5976">
        <v>0.98138404487023101</v>
      </c>
      <c r="E5976">
        <v>0.83995223075802805</v>
      </c>
      <c r="F5976">
        <v>1.1484629765741401</v>
      </c>
      <c r="G5976">
        <v>0.80170735239898905</v>
      </c>
      <c r="H5976">
        <v>0.204487129357768</v>
      </c>
      <c r="I5976">
        <v>5.5625458306157699E-2</v>
      </c>
      <c r="J5976">
        <v>6.7294286026825606E-2</v>
      </c>
      <c r="K5976">
        <v>2.8519960704344E-2</v>
      </c>
      <c r="L5976">
        <v>2702.1312056853299</v>
      </c>
      <c r="M5976">
        <v>45.976389978364303</v>
      </c>
      <c r="N5976">
        <v>58.890727471948203</v>
      </c>
      <c r="O5976">
        <v>58.661287368421597</v>
      </c>
      <c r="P5976">
        <v>-0.187279289193307</v>
      </c>
      <c r="Q5976">
        <v>4.4202439516378499E-2</v>
      </c>
      <c r="R5976">
        <v>0.97194474061568104</v>
      </c>
      <c r="S5976" t="s">
        <v>12287</v>
      </c>
      <c r="T5976" t="s">
        <v>12620</v>
      </c>
      <c r="U5976" t="s">
        <v>12620</v>
      </c>
      <c r="V5976" t="s">
        <v>12620</v>
      </c>
      <c r="W5976" t="s">
        <v>18536</v>
      </c>
      <c r="X5976">
        <v>1</v>
      </c>
      <c r="Y5976" t="s">
        <v>24622</v>
      </c>
      <c r="Z5976" t="s">
        <v>30923</v>
      </c>
      <c r="AA5976">
        <v>0.64517687649921884</v>
      </c>
      <c r="AB5976" t="str">
        <f>HYPERLINK("Melting_Curves/meltCurve_Q9ULD5_ZNF777.pdf", "Melting_Curves/meltCurve_Q9ULD5_ZNF777.pdf")</f>
        <v>Melting_Curves/meltCurve_Q9ULD5_ZNF777.pdf</v>
      </c>
    </row>
    <row r="5977" spans="1:28" x14ac:dyDescent="0.25">
      <c r="A5977" t="s">
        <v>5981</v>
      </c>
      <c r="B5977">
        <v>0.99987803227770999</v>
      </c>
      <c r="C5977">
        <v>0.88160713938508894</v>
      </c>
      <c r="D5977">
        <v>0.98475189629338</v>
      </c>
      <c r="E5977">
        <v>0.78367337333668396</v>
      </c>
      <c r="F5977">
        <v>0.81995402592325195</v>
      </c>
      <c r="G5977">
        <v>0.59861840072959205</v>
      </c>
      <c r="H5977">
        <v>0.60842856160654502</v>
      </c>
      <c r="I5977">
        <v>0.51600554027757495</v>
      </c>
      <c r="J5977">
        <v>0.58698026153508298</v>
      </c>
      <c r="K5977">
        <v>0.494915379282934</v>
      </c>
      <c r="L5977">
        <v>570.86110943448296</v>
      </c>
      <c r="M5977">
        <v>10.6764848336813</v>
      </c>
      <c r="O5977">
        <v>51.695553729826301</v>
      </c>
      <c r="P5977">
        <v>-2.70223675809095E-2</v>
      </c>
      <c r="Q5977">
        <v>0.47682878276667501</v>
      </c>
      <c r="R5977">
        <v>0.91768639707563704</v>
      </c>
      <c r="S5977" t="s">
        <v>12288</v>
      </c>
      <c r="T5977" t="s">
        <v>12620</v>
      </c>
      <c r="U5977" t="s">
        <v>12620</v>
      </c>
      <c r="V5977" t="s">
        <v>12620</v>
      </c>
      <c r="W5977" t="s">
        <v>18537</v>
      </c>
      <c r="X5977">
        <v>6</v>
      </c>
      <c r="Y5977" t="s">
        <v>24623</v>
      </c>
      <c r="Z5977" t="s">
        <v>30924</v>
      </c>
      <c r="AA5977">
        <v>0.72774324255147316</v>
      </c>
      <c r="AB5977" t="str">
        <f>HYPERLINK("Melting_Curves/meltCurve_Q9ULE0_WWC3.pdf", "Melting_Curves/meltCurve_Q9ULE0_WWC3.pdf")</f>
        <v>Melting_Curves/meltCurve_Q9ULE0_WWC3.pdf</v>
      </c>
    </row>
    <row r="5978" spans="1:28" x14ac:dyDescent="0.25">
      <c r="A5978" t="s">
        <v>5982</v>
      </c>
      <c r="B5978">
        <v>0.99987803227770999</v>
      </c>
      <c r="C5978">
        <v>0.98150948511670399</v>
      </c>
      <c r="D5978">
        <v>0.76523982518172695</v>
      </c>
      <c r="E5978">
        <v>0.79552971760689095</v>
      </c>
      <c r="F5978">
        <v>0.58529168465784698</v>
      </c>
      <c r="G5978">
        <v>0.39995502883456302</v>
      </c>
      <c r="H5978">
        <v>0.13597758298265999</v>
      </c>
      <c r="I5978">
        <v>0.12633780107661899</v>
      </c>
      <c r="J5978">
        <v>0.12902277453842401</v>
      </c>
      <c r="K5978">
        <v>0.10099490003843301</v>
      </c>
      <c r="L5978">
        <v>635.344498287899</v>
      </c>
      <c r="M5978">
        <v>11.7069676699995</v>
      </c>
      <c r="N5978">
        <v>54.313150029736804</v>
      </c>
      <c r="O5978">
        <v>52.759670524793101</v>
      </c>
      <c r="P5978">
        <v>-5.5234684969027503E-2</v>
      </c>
      <c r="Q5978">
        <v>4.5617016156797099E-3</v>
      </c>
      <c r="R5978">
        <v>0.97455296530625701</v>
      </c>
      <c r="S5978" t="s">
        <v>12289</v>
      </c>
      <c r="T5978" t="s">
        <v>12620</v>
      </c>
      <c r="U5978" t="s">
        <v>12620</v>
      </c>
      <c r="V5978" t="s">
        <v>12620</v>
      </c>
      <c r="W5978" t="s">
        <v>18538</v>
      </c>
      <c r="X5978">
        <v>6</v>
      </c>
      <c r="Y5978" t="s">
        <v>24624</v>
      </c>
      <c r="Z5978" t="s">
        <v>30925</v>
      </c>
      <c r="AA5978">
        <v>0.50392956056225668</v>
      </c>
      <c r="AB5978" t="str">
        <f>HYPERLINK("Melting_Curves/meltCurve_Q9ULE6_PALD1.pdf", "Melting_Curves/meltCurve_Q9ULE6_PALD1.pdf")</f>
        <v>Melting_Curves/meltCurve_Q9ULE6_PALD1.pdf</v>
      </c>
    </row>
    <row r="5979" spans="1:28" x14ac:dyDescent="0.25">
      <c r="A5979" t="s">
        <v>5983</v>
      </c>
      <c r="B5979">
        <v>0.99987803227770999</v>
      </c>
      <c r="C5979">
        <v>0.91519715254665401</v>
      </c>
      <c r="D5979">
        <v>0.93191366182911395</v>
      </c>
      <c r="E5979">
        <v>0.74673280103516504</v>
      </c>
      <c r="F5979">
        <v>0.74581892297848795</v>
      </c>
      <c r="G5979">
        <v>0.59276749934803397</v>
      </c>
      <c r="H5979">
        <v>0.47866269896259001</v>
      </c>
      <c r="I5979">
        <v>0.53766622074303605</v>
      </c>
      <c r="J5979">
        <v>0.38521894699137599</v>
      </c>
      <c r="K5979">
        <v>0.32062436120424598</v>
      </c>
      <c r="L5979">
        <v>398.54045122557602</v>
      </c>
      <c r="M5979">
        <v>6.7546299909066398</v>
      </c>
      <c r="N5979">
        <v>61.608063636799599</v>
      </c>
      <c r="O5979">
        <v>54.477654752863998</v>
      </c>
      <c r="P5979">
        <v>-2.7203387546911401E-2</v>
      </c>
      <c r="Q5979">
        <v>0.124243405279608</v>
      </c>
      <c r="R5979">
        <v>0.96604305273311797</v>
      </c>
      <c r="S5979" t="s">
        <v>12290</v>
      </c>
      <c r="T5979" t="s">
        <v>12620</v>
      </c>
      <c r="U5979" t="s">
        <v>12620</v>
      </c>
      <c r="V5979" t="s">
        <v>12620</v>
      </c>
      <c r="W5979" t="s">
        <v>18539</v>
      </c>
      <c r="X5979">
        <v>2</v>
      </c>
      <c r="Y5979" t="s">
        <v>24625</v>
      </c>
      <c r="Z5979" t="s">
        <v>30926</v>
      </c>
      <c r="AA5979">
        <v>0.66658328236838671</v>
      </c>
      <c r="AB5979" t="str">
        <f>HYPERLINK("Melting_Curves/meltCurve_Q9ULF5_SLC39A10.pdf", "Melting_Curves/meltCurve_Q9ULF5_SLC39A10.pdf")</f>
        <v>Melting_Curves/meltCurve_Q9ULF5_SLC39A10.pdf</v>
      </c>
    </row>
    <row r="5980" spans="1:28" x14ac:dyDescent="0.25">
      <c r="A5980" t="s">
        <v>5984</v>
      </c>
      <c r="B5980">
        <v>0.99987803227770999</v>
      </c>
      <c r="C5980">
        <v>0.87315988474134099</v>
      </c>
      <c r="D5980">
        <v>0.96031468730962199</v>
      </c>
      <c r="E5980">
        <v>0.87858790895133099</v>
      </c>
      <c r="F5980">
        <v>1.0134963912235699</v>
      </c>
      <c r="G5980">
        <v>0.97560195757594703</v>
      </c>
      <c r="H5980">
        <v>1.0088951466230101</v>
      </c>
      <c r="I5980">
        <v>0.99224865219493097</v>
      </c>
      <c r="J5980">
        <v>0.87495766484892101</v>
      </c>
      <c r="K5980">
        <v>0.65158739636144103</v>
      </c>
      <c r="L5980">
        <v>4616.5958925976602</v>
      </c>
      <c r="M5980">
        <v>68.167506525001301</v>
      </c>
      <c r="O5980">
        <v>67.666076650157606</v>
      </c>
      <c r="P5980">
        <v>-9.7314944305582102E-2</v>
      </c>
      <c r="Q5980">
        <v>0.61360366494648899</v>
      </c>
      <c r="R5980">
        <v>0.69994277595774601</v>
      </c>
      <c r="S5980" t="s">
        <v>12291</v>
      </c>
      <c r="T5980" t="s">
        <v>12620</v>
      </c>
      <c r="U5980" t="s">
        <v>12620</v>
      </c>
      <c r="V5980" t="s">
        <v>12620</v>
      </c>
      <c r="W5980" t="s">
        <v>18540</v>
      </c>
      <c r="X5980">
        <v>8</v>
      </c>
      <c r="Y5980" t="s">
        <v>24626</v>
      </c>
      <c r="Z5980" t="s">
        <v>30927</v>
      </c>
      <c r="AA5980">
        <v>0.96984763806085594</v>
      </c>
      <c r="AB5980" t="str">
        <f>HYPERLINK("Melting_Curves/meltCurve_Q9ULH0_5_KIDINS220.pdf", "Melting_Curves/meltCurve_Q9ULH0_5_KIDINS220.pdf")</f>
        <v>Melting_Curves/meltCurve_Q9ULH0_5_KIDINS220.pdf</v>
      </c>
    </row>
    <row r="5981" spans="1:28" x14ac:dyDescent="0.25">
      <c r="A5981" t="s">
        <v>5985</v>
      </c>
      <c r="B5981">
        <v>0.99987803227770999</v>
      </c>
      <c r="C5981">
        <v>1.0670758051765701</v>
      </c>
      <c r="D5981">
        <v>0.98068870835205202</v>
      </c>
      <c r="E5981">
        <v>0.89021027629826699</v>
      </c>
      <c r="F5981">
        <v>0.44039579586855898</v>
      </c>
      <c r="G5981">
        <v>0.31934752384352599</v>
      </c>
      <c r="H5981">
        <v>0.28137751882602902</v>
      </c>
      <c r="I5981">
        <v>0.25595941037644798</v>
      </c>
      <c r="J5981">
        <v>0.27229042744714299</v>
      </c>
      <c r="K5981">
        <v>0.23064061028310701</v>
      </c>
      <c r="L5981">
        <v>2489.2190841527099</v>
      </c>
      <c r="M5981">
        <v>48.104996932181002</v>
      </c>
      <c r="N5981">
        <v>52.590791688684803</v>
      </c>
      <c r="O5981">
        <v>51.656354598897998</v>
      </c>
      <c r="P5981">
        <v>-0.17013437218539801</v>
      </c>
      <c r="Q5981">
        <v>0.269222484089569</v>
      </c>
      <c r="R5981">
        <v>0.99279891025843803</v>
      </c>
      <c r="S5981" t="s">
        <v>12292</v>
      </c>
      <c r="T5981" t="s">
        <v>12620</v>
      </c>
      <c r="U5981" t="s">
        <v>12620</v>
      </c>
      <c r="V5981" t="s">
        <v>12620</v>
      </c>
      <c r="W5981" t="s">
        <v>18541</v>
      </c>
      <c r="X5981">
        <v>16</v>
      </c>
      <c r="Y5981" t="s">
        <v>24627</v>
      </c>
      <c r="Z5981" t="s">
        <v>30928</v>
      </c>
      <c r="AA5981">
        <v>0.55713772158641772</v>
      </c>
      <c r="AB5981" t="str">
        <f>HYPERLINK("Melting_Curves/meltCurve_Q9ULH1_ASAP1.pdf", "Melting_Curves/meltCurve_Q9ULH1_ASAP1.pdf")</f>
        <v>Melting_Curves/meltCurve_Q9ULH1_ASAP1.pdf</v>
      </c>
    </row>
    <row r="5982" spans="1:28" x14ac:dyDescent="0.25">
      <c r="A5982" t="s">
        <v>5986</v>
      </c>
      <c r="B5982">
        <v>0.99987803227770999</v>
      </c>
      <c r="C5982">
        <v>1.0569153610731701</v>
      </c>
      <c r="D5982">
        <v>0.97597152663951303</v>
      </c>
      <c r="E5982">
        <v>1.0213944300836699</v>
      </c>
      <c r="F5982">
        <v>0.88801289432017905</v>
      </c>
      <c r="G5982">
        <v>0.77725467430014505</v>
      </c>
      <c r="H5982">
        <v>0.71791987754912301</v>
      </c>
      <c r="I5982">
        <v>0.67054561649440703</v>
      </c>
      <c r="J5982">
        <v>0.60862956080890496</v>
      </c>
      <c r="K5982">
        <v>0.48541155873548097</v>
      </c>
      <c r="L5982">
        <v>625.148684051651</v>
      </c>
      <c r="M5982">
        <v>9.9560984981046303</v>
      </c>
      <c r="O5982">
        <v>60.414926858589403</v>
      </c>
      <c r="P5982">
        <v>-2.6904130088340399E-2</v>
      </c>
      <c r="Q5982">
        <v>0.347291530644249</v>
      </c>
      <c r="R5982">
        <v>0.95775401523585801</v>
      </c>
      <c r="S5982" t="s">
        <v>12293</v>
      </c>
      <c r="T5982" t="s">
        <v>12620</v>
      </c>
      <c r="U5982" t="s">
        <v>12620</v>
      </c>
      <c r="V5982" t="s">
        <v>12620</v>
      </c>
      <c r="W5982" t="s">
        <v>18542</v>
      </c>
      <c r="X5982">
        <v>20</v>
      </c>
      <c r="Y5982" t="s">
        <v>24628</v>
      </c>
      <c r="Z5982" t="s">
        <v>30929</v>
      </c>
      <c r="AA5982">
        <v>0.82398593412210164</v>
      </c>
      <c r="AB5982" t="str">
        <f>HYPERLINK("Melting_Curves/meltCurve_Q9ULH7_4_MKL2.pdf", "Melting_Curves/meltCurve_Q9ULH7_4_MKL2.pdf")</f>
        <v>Melting_Curves/meltCurve_Q9ULH7_4_MKL2.pdf</v>
      </c>
    </row>
    <row r="5983" spans="1:28" x14ac:dyDescent="0.25">
      <c r="A5983" t="s">
        <v>5987</v>
      </c>
      <c r="B5983">
        <v>0.99987803227770999</v>
      </c>
      <c r="C5983">
        <v>1.1660820448293401</v>
      </c>
      <c r="D5983">
        <v>1.0930274013839401</v>
      </c>
      <c r="E5983">
        <v>1.07253949715028</v>
      </c>
      <c r="F5983">
        <v>0.96470651275546004</v>
      </c>
      <c r="G5983">
        <v>0.74194409509412795</v>
      </c>
      <c r="H5983">
        <v>0.63899448413942594</v>
      </c>
      <c r="I5983">
        <v>0.58771284043335603</v>
      </c>
      <c r="J5983">
        <v>0.46577735520900398</v>
      </c>
      <c r="K5983">
        <v>0.33008268787148698</v>
      </c>
      <c r="L5983">
        <v>893.56526273113604</v>
      </c>
      <c r="M5983">
        <v>14.519908671452701</v>
      </c>
      <c r="N5983">
        <v>64.907770797438502</v>
      </c>
      <c r="O5983">
        <v>60.408717949941703</v>
      </c>
      <c r="P5983">
        <v>-4.41969935761879E-2</v>
      </c>
      <c r="Q5983">
        <v>0.26457458769425901</v>
      </c>
      <c r="R5983">
        <v>0.92075722026303397</v>
      </c>
      <c r="S5983" t="s">
        <v>12294</v>
      </c>
      <c r="T5983" t="s">
        <v>12620</v>
      </c>
      <c r="U5983" t="s">
        <v>12620</v>
      </c>
      <c r="V5983" t="s">
        <v>12620</v>
      </c>
      <c r="W5983" t="s">
        <v>18543</v>
      </c>
      <c r="X5983">
        <v>4</v>
      </c>
      <c r="Y5983" t="s">
        <v>24629</v>
      </c>
      <c r="Z5983" t="s">
        <v>30930</v>
      </c>
      <c r="AA5983">
        <v>0.79178879128109236</v>
      </c>
      <c r="AB5983" t="str">
        <f>HYPERLINK("Melting_Curves/meltCurve_Q9ULJ3_2_ZBTB21.pdf", "Melting_Curves/meltCurve_Q9ULJ3_2_ZBTB21.pdf")</f>
        <v>Melting_Curves/meltCurve_Q9ULJ3_2_ZBTB21.pdf</v>
      </c>
    </row>
    <row r="5984" spans="1:28" x14ac:dyDescent="0.25">
      <c r="A5984" t="s">
        <v>5988</v>
      </c>
      <c r="B5984">
        <v>0.99987803227770999</v>
      </c>
      <c r="C5984">
        <v>0.79462854436972197</v>
      </c>
      <c r="D5984">
        <v>1.0646548133487801</v>
      </c>
      <c r="E5984">
        <v>0.97803707696489195</v>
      </c>
      <c r="F5984">
        <v>0.95441851964660396</v>
      </c>
      <c r="G5984">
        <v>0.67011207543611395</v>
      </c>
      <c r="H5984">
        <v>0.34824913395708301</v>
      </c>
      <c r="I5984">
        <v>0.16549411140675099</v>
      </c>
      <c r="J5984">
        <v>0.10477453157369</v>
      </c>
      <c r="K5984">
        <v>7.1839621857067396E-2</v>
      </c>
      <c r="L5984">
        <v>1372.51063528648</v>
      </c>
      <c r="M5984">
        <v>23.365640269000501</v>
      </c>
      <c r="N5984">
        <v>59.018788491187202</v>
      </c>
      <c r="O5984">
        <v>58.315366807466503</v>
      </c>
      <c r="P5984">
        <v>-9.4946802198344907E-2</v>
      </c>
      <c r="Q5984">
        <v>5.21535031996214E-2</v>
      </c>
      <c r="R5984">
        <v>0.96732346201401098</v>
      </c>
      <c r="S5984" t="s">
        <v>12295</v>
      </c>
      <c r="T5984" t="s">
        <v>12620</v>
      </c>
      <c r="U5984" t="s">
        <v>12620</v>
      </c>
      <c r="V5984" t="s">
        <v>12620</v>
      </c>
      <c r="W5984" t="s">
        <v>18544</v>
      </c>
      <c r="X5984">
        <v>12</v>
      </c>
      <c r="Y5984" t="s">
        <v>24630</v>
      </c>
      <c r="Z5984" t="s">
        <v>30931</v>
      </c>
      <c r="AA5984">
        <v>0.65282472046954376</v>
      </c>
      <c r="AB5984" t="str">
        <f>HYPERLINK("Melting_Curves/meltCurve_Q9ULJ6_ZMIZ1.pdf", "Melting_Curves/meltCurve_Q9ULJ6_ZMIZ1.pdf")</f>
        <v>Melting_Curves/meltCurve_Q9ULJ6_ZMIZ1.pdf</v>
      </c>
    </row>
    <row r="5985" spans="1:28" x14ac:dyDescent="0.25">
      <c r="A5985" t="s">
        <v>5989</v>
      </c>
      <c r="B5985">
        <v>0.99987803227770999</v>
      </c>
      <c r="C5985">
        <v>0.96509977328720598</v>
      </c>
      <c r="D5985">
        <v>0.924561811314074</v>
      </c>
      <c r="E5985">
        <v>0.865939764907104</v>
      </c>
      <c r="F5985">
        <v>0.69468296047723499</v>
      </c>
      <c r="G5985">
        <v>0.66066102947918004</v>
      </c>
      <c r="H5985">
        <v>0.55879664292301501</v>
      </c>
      <c r="I5985">
        <v>0.52764554943604802</v>
      </c>
      <c r="J5985">
        <v>0.44468322684698203</v>
      </c>
      <c r="K5985">
        <v>0.32058215270951701</v>
      </c>
      <c r="L5985">
        <v>390.477601927705</v>
      </c>
      <c r="M5985">
        <v>6.1840897507429204</v>
      </c>
      <c r="N5985">
        <v>63.385288590359899</v>
      </c>
      <c r="O5985">
        <v>57.4986671166237</v>
      </c>
      <c r="P5985">
        <v>-2.6650227502607801E-2</v>
      </c>
      <c r="Q5985">
        <v>1.1714379942430899E-2</v>
      </c>
      <c r="R5985">
        <v>0.976987280229903</v>
      </c>
      <c r="S5985" t="s">
        <v>12296</v>
      </c>
      <c r="T5985" t="s">
        <v>12620</v>
      </c>
      <c r="U5985" t="s">
        <v>12620</v>
      </c>
      <c r="V5985" t="s">
        <v>12620</v>
      </c>
      <c r="W5985" t="s">
        <v>18545</v>
      </c>
      <c r="X5985">
        <v>8</v>
      </c>
      <c r="Y5985" t="s">
        <v>24631</v>
      </c>
      <c r="Z5985" t="s">
        <v>30932</v>
      </c>
      <c r="AA5985">
        <v>0.69978550468193434</v>
      </c>
      <c r="AB5985" t="str">
        <f>HYPERLINK("Melting_Curves/meltCurve_Q9ULJ7_ANKRD50.pdf", "Melting_Curves/meltCurve_Q9ULJ7_ANKRD50.pdf")</f>
        <v>Melting_Curves/meltCurve_Q9ULJ7_ANKRD50.pdf</v>
      </c>
    </row>
    <row r="5986" spans="1:28" x14ac:dyDescent="0.25">
      <c r="A5986" t="s">
        <v>5990</v>
      </c>
      <c r="B5986">
        <v>0.99987803227770999</v>
      </c>
      <c r="C5986">
        <v>1.05463733634845</v>
      </c>
      <c r="D5986">
        <v>1.08371949617231</v>
      </c>
      <c r="E5986">
        <v>1.07023937551321</v>
      </c>
      <c r="F5986">
        <v>0.99039123958532804</v>
      </c>
      <c r="G5986">
        <v>0.76567792233003795</v>
      </c>
      <c r="H5986">
        <v>0.70653150424773803</v>
      </c>
      <c r="I5986">
        <v>0.66128567962941398</v>
      </c>
      <c r="J5986">
        <v>0.70715618044735595</v>
      </c>
      <c r="K5986">
        <v>0.59024012472599696</v>
      </c>
      <c r="L5986">
        <v>2840.4574659279301</v>
      </c>
      <c r="M5986">
        <v>50.5966927030316</v>
      </c>
      <c r="O5986">
        <v>56.051681470418302</v>
      </c>
      <c r="P5986">
        <v>-7.5880521902755294E-2</v>
      </c>
      <c r="Q5986">
        <v>0.66375438069556003</v>
      </c>
      <c r="R5986">
        <v>0.92947828792043496</v>
      </c>
      <c r="S5986" t="s">
        <v>12297</v>
      </c>
      <c r="T5986" t="s">
        <v>12620</v>
      </c>
      <c r="U5986" t="s">
        <v>12620</v>
      </c>
      <c r="V5986" t="s">
        <v>12620</v>
      </c>
      <c r="W5986" t="s">
        <v>18546</v>
      </c>
      <c r="X5986">
        <v>7</v>
      </c>
      <c r="Y5986" t="s">
        <v>24632</v>
      </c>
      <c r="Z5986" t="s">
        <v>30933</v>
      </c>
      <c r="AA5986">
        <v>0.84545758716655439</v>
      </c>
      <c r="AB5986" t="str">
        <f>HYPERLINK("Melting_Curves/meltCurve_Q9ULJ8_4_PPP1R9A.pdf", "Melting_Curves/meltCurve_Q9ULJ8_4_PPP1R9A.pdf")</f>
        <v>Melting_Curves/meltCurve_Q9ULJ8_4_PPP1R9A.pdf</v>
      </c>
    </row>
    <row r="5987" spans="1:28" x14ac:dyDescent="0.25">
      <c r="A5987" t="s">
        <v>5991</v>
      </c>
      <c r="B5987">
        <v>0.99987803227770999</v>
      </c>
      <c r="C5987">
        <v>1.0354763595876399</v>
      </c>
      <c r="D5987">
        <v>0.735688164362307</v>
      </c>
      <c r="E5987">
        <v>0.79898452917271601</v>
      </c>
      <c r="F5987">
        <v>0.328514364489291</v>
      </c>
      <c r="G5987">
        <v>0.24395272034750901</v>
      </c>
      <c r="H5987">
        <v>0.104386426180819</v>
      </c>
      <c r="I5987">
        <v>0.175123753794169</v>
      </c>
      <c r="J5987">
        <v>0.10197802424204599</v>
      </c>
      <c r="K5987">
        <v>6.4060303752050102E-2</v>
      </c>
      <c r="L5987">
        <v>867.427402033568</v>
      </c>
      <c r="M5987">
        <v>16.8640460451686</v>
      </c>
      <c r="N5987">
        <v>51.968021792629898</v>
      </c>
      <c r="O5987">
        <v>50.729575214839699</v>
      </c>
      <c r="P5987">
        <v>-7.6529187833748097E-2</v>
      </c>
      <c r="Q5987">
        <v>7.9214013122241106E-2</v>
      </c>
      <c r="R5987">
        <v>0.95133367485726705</v>
      </c>
      <c r="S5987" t="s">
        <v>12298</v>
      </c>
      <c r="T5987" t="s">
        <v>12620</v>
      </c>
      <c r="U5987" t="s">
        <v>12620</v>
      </c>
      <c r="V5987" t="s">
        <v>12620</v>
      </c>
      <c r="W5987" t="s">
        <v>18547</v>
      </c>
      <c r="X5987">
        <v>4</v>
      </c>
      <c r="Y5987" t="s">
        <v>24633</v>
      </c>
      <c r="Z5987" t="s">
        <v>30934</v>
      </c>
      <c r="AA5987">
        <v>0.44751540987758459</v>
      </c>
      <c r="AB5987" t="str">
        <f>HYPERLINK("Melting_Curves/meltCurve_Q9ULK4_4_MED23.pdf", "Melting_Curves/meltCurve_Q9ULK4_4_MED23.pdf")</f>
        <v>Melting_Curves/meltCurve_Q9ULK4_4_MED23.pdf</v>
      </c>
    </row>
    <row r="5988" spans="1:28" x14ac:dyDescent="0.25">
      <c r="A5988" t="s">
        <v>5992</v>
      </c>
      <c r="B5988">
        <v>0.99987803227770999</v>
      </c>
      <c r="C5988">
        <v>0.850255681294388</v>
      </c>
      <c r="D5988">
        <v>0.79582638821505303</v>
      </c>
      <c r="E5988">
        <v>0.53494441568318296</v>
      </c>
      <c r="F5988">
        <v>0.48677285121598401</v>
      </c>
      <c r="G5988">
        <v>0.39068873089905698</v>
      </c>
      <c r="H5988">
        <v>0.36952222649994798</v>
      </c>
      <c r="I5988">
        <v>0.37384641332181601</v>
      </c>
      <c r="J5988">
        <v>0.303052878423275</v>
      </c>
      <c r="K5988">
        <v>0.29098751683492702</v>
      </c>
      <c r="L5988">
        <v>642.27003775375397</v>
      </c>
      <c r="M5988">
        <v>13.322395745976999</v>
      </c>
      <c r="N5988">
        <v>52.000397521071498</v>
      </c>
      <c r="O5988">
        <v>47.162443610237403</v>
      </c>
      <c r="P5988">
        <v>-4.8687813549636E-2</v>
      </c>
      <c r="Q5988">
        <v>0.310674598486474</v>
      </c>
      <c r="R5988">
        <v>0.98328694426987795</v>
      </c>
      <c r="S5988" t="s">
        <v>12299</v>
      </c>
      <c r="T5988" t="s">
        <v>12620</v>
      </c>
      <c r="U5988" t="s">
        <v>12620</v>
      </c>
      <c r="V5988" t="s">
        <v>12620</v>
      </c>
      <c r="W5988" t="s">
        <v>18548</v>
      </c>
      <c r="X5988">
        <v>17</v>
      </c>
      <c r="Y5988" t="s">
        <v>24634</v>
      </c>
      <c r="Z5988" t="s">
        <v>30935</v>
      </c>
      <c r="AA5988">
        <v>0.52135079599557133</v>
      </c>
      <c r="AB5988" t="str">
        <f>HYPERLINK("Melting_Curves/meltCurve_Q9ULL5_3_PRR12.pdf", "Melting_Curves/meltCurve_Q9ULL5_3_PRR12.pdf")</f>
        <v>Melting_Curves/meltCurve_Q9ULL5_3_PRR12.pdf</v>
      </c>
    </row>
    <row r="5989" spans="1:28" x14ac:dyDescent="0.25">
      <c r="A5989" t="s">
        <v>5993</v>
      </c>
      <c r="B5989">
        <v>0.99987803227770999</v>
      </c>
      <c r="C5989">
        <v>1.0459552437260899</v>
      </c>
      <c r="D5989">
        <v>0.78351952989148399</v>
      </c>
      <c r="E5989">
        <v>0.675123281221223</v>
      </c>
      <c r="F5989">
        <v>0.36395579648974502</v>
      </c>
      <c r="G5989">
        <v>0.29441945360715499</v>
      </c>
      <c r="H5989">
        <v>0.258448892336893</v>
      </c>
      <c r="I5989">
        <v>0.291861695601005</v>
      </c>
      <c r="J5989">
        <v>0.146543033584318</v>
      </c>
      <c r="K5989">
        <v>0.12930268068242401</v>
      </c>
      <c r="L5989">
        <v>833.49918611735097</v>
      </c>
      <c r="M5989">
        <v>16.5599631870219</v>
      </c>
      <c r="N5989">
        <v>51.731159367709203</v>
      </c>
      <c r="O5989">
        <v>49.6153960625617</v>
      </c>
      <c r="P5989">
        <v>-6.8385412700778206E-2</v>
      </c>
      <c r="Q5989">
        <v>0.180496505818346</v>
      </c>
      <c r="R5989">
        <v>0.96622721091650998</v>
      </c>
      <c r="S5989" t="s">
        <v>12300</v>
      </c>
      <c r="T5989" t="s">
        <v>12620</v>
      </c>
      <c r="U5989" t="s">
        <v>12620</v>
      </c>
      <c r="V5989" t="s">
        <v>12620</v>
      </c>
      <c r="W5989" t="s">
        <v>18549</v>
      </c>
      <c r="X5989">
        <v>1</v>
      </c>
      <c r="Y5989" t="s">
        <v>24635</v>
      </c>
      <c r="Z5989" t="s">
        <v>30936</v>
      </c>
      <c r="AA5989">
        <v>0.47896363996498093</v>
      </c>
      <c r="AB5989" t="str">
        <f>HYPERLINK("Melting_Curves/meltCurve_Q9ULM6_CNOT6.pdf", "Melting_Curves/meltCurve_Q9ULM6_CNOT6.pdf")</f>
        <v>Melting_Curves/meltCurve_Q9ULM6_CNOT6.pdf</v>
      </c>
    </row>
    <row r="5990" spans="1:28" x14ac:dyDescent="0.25">
      <c r="A5990" t="s">
        <v>5994</v>
      </c>
      <c r="B5990">
        <v>0.99987803227770999</v>
      </c>
      <c r="C5990">
        <v>0.93729195635861096</v>
      </c>
      <c r="D5990">
        <v>0.96802531152339699</v>
      </c>
      <c r="E5990">
        <v>0.71904520631255997</v>
      </c>
      <c r="F5990">
        <v>0.22065134227299499</v>
      </c>
      <c r="G5990">
        <v>0.12920226405420801</v>
      </c>
      <c r="H5990">
        <v>9.9617066000923502E-2</v>
      </c>
      <c r="I5990">
        <v>8.9410128581605394E-2</v>
      </c>
      <c r="J5990">
        <v>7.7755557045433202E-2</v>
      </c>
      <c r="K5990">
        <v>5.0551706462443897E-2</v>
      </c>
      <c r="L5990">
        <v>2177.30050418979</v>
      </c>
      <c r="M5990">
        <v>42.7594643146424</v>
      </c>
      <c r="N5990">
        <v>51.145179160524499</v>
      </c>
      <c r="O5990">
        <v>50.808752436834602</v>
      </c>
      <c r="P5990">
        <v>-0.192322976007926</v>
      </c>
      <c r="Q5990">
        <v>8.5893855947717798E-2</v>
      </c>
      <c r="R5990">
        <v>0.99547902155661605</v>
      </c>
      <c r="S5990" t="s">
        <v>12301</v>
      </c>
      <c r="T5990" t="s">
        <v>12620</v>
      </c>
      <c r="U5990" t="s">
        <v>12620</v>
      </c>
      <c r="V5990" t="s">
        <v>12620</v>
      </c>
      <c r="W5990" t="s">
        <v>18550</v>
      </c>
      <c r="X5990">
        <v>8</v>
      </c>
      <c r="Y5990" t="s">
        <v>24636</v>
      </c>
      <c r="Z5990" t="s">
        <v>30937</v>
      </c>
      <c r="AA5990">
        <v>0.42143311537823158</v>
      </c>
      <c r="AB5990" t="str">
        <f>HYPERLINK("Melting_Curves/meltCurve_Q9ULP9_2_TBC1D24.pdf", "Melting_Curves/meltCurve_Q9ULP9_2_TBC1D24.pdf")</f>
        <v>Melting_Curves/meltCurve_Q9ULP9_2_TBC1D24.pdf</v>
      </c>
    </row>
    <row r="5991" spans="1:28" x14ac:dyDescent="0.25">
      <c r="A5991" t="s">
        <v>5995</v>
      </c>
      <c r="B5991">
        <v>0.99987803227770999</v>
      </c>
      <c r="C5991">
        <v>0.87600097177173397</v>
      </c>
      <c r="D5991">
        <v>0.85244676056216195</v>
      </c>
      <c r="E5991">
        <v>0.86976897824320099</v>
      </c>
      <c r="F5991">
        <v>1.0306421456928301</v>
      </c>
      <c r="G5991">
        <v>0.97948397034767598</v>
      </c>
      <c r="H5991">
        <v>0.99453039711608504</v>
      </c>
      <c r="I5991">
        <v>0.88405524134502</v>
      </c>
      <c r="J5991">
        <v>0.848020831018648</v>
      </c>
      <c r="K5991">
        <v>0.71077000142387403</v>
      </c>
      <c r="L5991">
        <v>1089.49314127141</v>
      </c>
      <c r="M5991">
        <v>14.648738500377499</v>
      </c>
      <c r="Q5991">
        <v>0</v>
      </c>
      <c r="R5991">
        <v>0.32239010502485699</v>
      </c>
      <c r="S5991" t="s">
        <v>12302</v>
      </c>
      <c r="T5991" t="s">
        <v>12620</v>
      </c>
      <c r="U5991" t="s">
        <v>12620</v>
      </c>
      <c r="V5991" t="s">
        <v>12620</v>
      </c>
      <c r="W5991" t="s">
        <v>18551</v>
      </c>
      <c r="X5991">
        <v>12</v>
      </c>
      <c r="Y5991" t="s">
        <v>24637</v>
      </c>
      <c r="Z5991" t="s">
        <v>30938</v>
      </c>
      <c r="AA5991">
        <v>0.95543922134494708</v>
      </c>
      <c r="AB5991" t="str">
        <f>HYPERLINK("Melting_Curves/meltCurve_Q9ULR0_ISY1.pdf", "Melting_Curves/meltCurve_Q9ULR0_ISY1.pdf")</f>
        <v>Melting_Curves/meltCurve_Q9ULR0_ISY1.pdf</v>
      </c>
    </row>
    <row r="5992" spans="1:28" x14ac:dyDescent="0.25">
      <c r="A5992" t="s">
        <v>5996</v>
      </c>
      <c r="B5992">
        <v>0.99987803227770999</v>
      </c>
      <c r="C5992">
        <v>1.1879502265253401</v>
      </c>
      <c r="D5992">
        <v>1.0829707952238801</v>
      </c>
      <c r="E5992">
        <v>1.3077019094617099</v>
      </c>
      <c r="F5992">
        <v>1.0166385332997101</v>
      </c>
      <c r="G5992">
        <v>0.54534466703265505</v>
      </c>
      <c r="H5992">
        <v>0.14994499197812</v>
      </c>
      <c r="I5992">
        <v>0.133999964451057</v>
      </c>
      <c r="J5992">
        <v>9.7483284883085997E-2</v>
      </c>
      <c r="K5992">
        <v>7.1598952166016694E-2</v>
      </c>
      <c r="L5992">
        <v>3370.9125649400798</v>
      </c>
      <c r="M5992">
        <v>59.161466397205501</v>
      </c>
      <c r="N5992">
        <v>57.213430108251998</v>
      </c>
      <c r="O5992">
        <v>56.913185444298001</v>
      </c>
      <c r="P5992">
        <v>-0.23181546326477201</v>
      </c>
      <c r="Q5992">
        <v>0.107976762494451</v>
      </c>
      <c r="R5992">
        <v>0.939801489017421</v>
      </c>
      <c r="S5992" t="s">
        <v>12303</v>
      </c>
      <c r="T5992" t="s">
        <v>12620</v>
      </c>
      <c r="U5992" t="s">
        <v>12620</v>
      </c>
      <c r="V5992" t="s">
        <v>12620</v>
      </c>
      <c r="W5992" t="s">
        <v>18552</v>
      </c>
      <c r="X5992">
        <v>5</v>
      </c>
      <c r="Y5992" t="s">
        <v>24638</v>
      </c>
      <c r="Z5992" t="s">
        <v>30939</v>
      </c>
      <c r="AA5992">
        <v>0.61440577792153961</v>
      </c>
      <c r="AB5992" t="str">
        <f>HYPERLINK("Melting_Curves/meltCurve_Q9ULR3_PPM1H.pdf", "Melting_Curves/meltCurve_Q9ULR3_PPM1H.pdf")</f>
        <v>Melting_Curves/meltCurve_Q9ULR3_PPM1H.pdf</v>
      </c>
    </row>
    <row r="5993" spans="1:28" x14ac:dyDescent="0.25">
      <c r="A5993" t="s">
        <v>5997</v>
      </c>
      <c r="B5993">
        <v>0.99987803227770999</v>
      </c>
      <c r="C5993">
        <v>1.09695873783344</v>
      </c>
      <c r="D5993">
        <v>0.81833257558496797</v>
      </c>
      <c r="E5993">
        <v>0.76576190782825104</v>
      </c>
      <c r="F5993">
        <v>0.35251864785210302</v>
      </c>
      <c r="G5993">
        <v>0.21526870577923099</v>
      </c>
      <c r="H5993">
        <v>0.135217645460455</v>
      </c>
      <c r="I5993">
        <v>0.106472848455962</v>
      </c>
      <c r="J5993">
        <v>9.0787442531756496E-2</v>
      </c>
      <c r="K5993">
        <v>6.2858260339625799E-2</v>
      </c>
      <c r="L5993">
        <v>1080.2385529089299</v>
      </c>
      <c r="M5993">
        <v>20.948017090189602</v>
      </c>
      <c r="N5993">
        <v>52.020440862248599</v>
      </c>
      <c r="O5993">
        <v>51.104542058092598</v>
      </c>
      <c r="P5993">
        <v>-9.3937707364185705E-2</v>
      </c>
      <c r="Q5993">
        <v>8.3347444709105004E-2</v>
      </c>
      <c r="R5993">
        <v>0.97571495717661005</v>
      </c>
      <c r="S5993" t="s">
        <v>12304</v>
      </c>
      <c r="T5993" t="s">
        <v>12620</v>
      </c>
      <c r="U5993" t="s">
        <v>12620</v>
      </c>
      <c r="V5993" t="s">
        <v>12620</v>
      </c>
      <c r="W5993" t="s">
        <v>18553</v>
      </c>
      <c r="X5993">
        <v>46</v>
      </c>
      <c r="Y5993" t="s">
        <v>24639</v>
      </c>
      <c r="Z5993" t="s">
        <v>30940</v>
      </c>
      <c r="AA5993">
        <v>0.44846196434568991</v>
      </c>
      <c r="AB5993" t="str">
        <f>HYPERLINK("Melting_Curves/meltCurve_Q9ULT8_HECTD1.pdf", "Melting_Curves/meltCurve_Q9ULT8_HECTD1.pdf")</f>
        <v>Melting_Curves/meltCurve_Q9ULT8_HECTD1.pdf</v>
      </c>
    </row>
    <row r="5994" spans="1:28" x14ac:dyDescent="0.25">
      <c r="A5994" t="s">
        <v>5998</v>
      </c>
      <c r="B5994">
        <v>0.99987803227770999</v>
      </c>
      <c r="C5994">
        <v>1.1144842834742601</v>
      </c>
      <c r="D5994">
        <v>0.98235666946961198</v>
      </c>
      <c r="E5994">
        <v>1.26376881947229</v>
      </c>
      <c r="F5994">
        <v>0.42585611964874298</v>
      </c>
      <c r="G5994">
        <v>0.301173252634652</v>
      </c>
      <c r="H5994">
        <v>0.175788008280127</v>
      </c>
      <c r="I5994">
        <v>0.14517414159376699</v>
      </c>
      <c r="J5994">
        <v>0.16560049271782201</v>
      </c>
      <c r="K5994">
        <v>0.134265118754579</v>
      </c>
      <c r="L5994">
        <v>13204.0921109301</v>
      </c>
      <c r="M5994">
        <v>250</v>
      </c>
      <c r="N5994">
        <v>52.913743519496002</v>
      </c>
      <c r="O5994">
        <v>52.812976639197203</v>
      </c>
      <c r="P5994">
        <v>-0.96519805894508603</v>
      </c>
      <c r="Q5994">
        <v>0.184400095792838</v>
      </c>
      <c r="R5994">
        <v>0.94720024803168201</v>
      </c>
      <c r="S5994" t="s">
        <v>12305</v>
      </c>
      <c r="T5994" t="s">
        <v>12620</v>
      </c>
      <c r="U5994" t="s">
        <v>12620</v>
      </c>
      <c r="V5994" t="s">
        <v>12620</v>
      </c>
      <c r="W5994" t="s">
        <v>18554</v>
      </c>
      <c r="X5994">
        <v>4</v>
      </c>
      <c r="Y5994" t="s">
        <v>24640</v>
      </c>
      <c r="Z5994" t="s">
        <v>30941</v>
      </c>
      <c r="AA5994">
        <v>0.53290999113409732</v>
      </c>
      <c r="AB5994" t="str">
        <f>HYPERLINK("Melting_Curves/meltCurve_Q9ULV0_MYO5B.pdf", "Melting_Curves/meltCurve_Q9ULV0_MYO5B.pdf")</f>
        <v>Melting_Curves/meltCurve_Q9ULV0_MYO5B.pdf</v>
      </c>
    </row>
    <row r="5995" spans="1:28" x14ac:dyDescent="0.25">
      <c r="A5995" t="s">
        <v>5999</v>
      </c>
      <c r="B5995">
        <v>0.99987803227770999</v>
      </c>
      <c r="C5995">
        <v>0.88496803450859096</v>
      </c>
      <c r="D5995">
        <v>0.99304200244738905</v>
      </c>
      <c r="E5995">
        <v>0.89238848115783398</v>
      </c>
      <c r="F5995">
        <v>1.0637203824114001</v>
      </c>
      <c r="G5995">
        <v>0.96722332906276198</v>
      </c>
      <c r="H5995">
        <v>0.94513091108363101</v>
      </c>
      <c r="I5995">
        <v>0.854515920691855</v>
      </c>
      <c r="J5995">
        <v>0.845621504163937</v>
      </c>
      <c r="K5995">
        <v>0.70497136178020103</v>
      </c>
      <c r="L5995">
        <v>837.04431764279195</v>
      </c>
      <c r="M5995">
        <v>11.0280571091065</v>
      </c>
      <c r="Q5995">
        <v>0</v>
      </c>
      <c r="R5995">
        <v>0.65940365211806296</v>
      </c>
      <c r="S5995" t="s">
        <v>12306</v>
      </c>
      <c r="T5995" t="s">
        <v>12620</v>
      </c>
      <c r="U5995" t="s">
        <v>12620</v>
      </c>
      <c r="V5995" t="s">
        <v>12620</v>
      </c>
      <c r="W5995" t="s">
        <v>18555</v>
      </c>
      <c r="X5995">
        <v>14</v>
      </c>
      <c r="Y5995" t="s">
        <v>24641</v>
      </c>
      <c r="Z5995" t="s">
        <v>30942</v>
      </c>
      <c r="AA5995">
        <v>0.94455075370164443</v>
      </c>
      <c r="AB5995" t="str">
        <f>HYPERLINK("Melting_Curves/meltCurve_Q9ULV3_5_CIZ1.pdf", "Melting_Curves/meltCurve_Q9ULV3_5_CIZ1.pdf")</f>
        <v>Melting_Curves/meltCurve_Q9ULV3_5_CIZ1.pdf</v>
      </c>
    </row>
    <row r="5996" spans="1:28" x14ac:dyDescent="0.25">
      <c r="A5996" t="s">
        <v>6000</v>
      </c>
      <c r="B5996">
        <v>0.99987803227770999</v>
      </c>
      <c r="C5996">
        <v>0.97883277149589898</v>
      </c>
      <c r="D5996">
        <v>0.95061831026321797</v>
      </c>
      <c r="E5996">
        <v>1.07775084709541</v>
      </c>
      <c r="F5996">
        <v>0.92419641898307103</v>
      </c>
      <c r="G5996">
        <v>0.35411826025098497</v>
      </c>
      <c r="H5996">
        <v>0.119862031880709</v>
      </c>
      <c r="I5996">
        <v>9.5199230830591799E-2</v>
      </c>
      <c r="J5996">
        <v>8.5864722262536802E-2</v>
      </c>
      <c r="K5996">
        <v>6.5224024876591194E-2</v>
      </c>
      <c r="L5996">
        <v>2535.5057923758</v>
      </c>
      <c r="M5996">
        <v>45.351009748514898</v>
      </c>
      <c r="N5996">
        <v>56.139778863933998</v>
      </c>
      <c r="O5996">
        <v>55.800076885309203</v>
      </c>
      <c r="P5996">
        <v>-0.18587128155413199</v>
      </c>
      <c r="Q5996">
        <v>8.5213604198614498E-2</v>
      </c>
      <c r="R5996">
        <v>0.99441098238389702</v>
      </c>
      <c r="S5996" t="s">
        <v>12307</v>
      </c>
      <c r="T5996" t="s">
        <v>12620</v>
      </c>
      <c r="U5996" t="s">
        <v>12620</v>
      </c>
      <c r="V5996" t="s">
        <v>12620</v>
      </c>
      <c r="W5996" t="s">
        <v>18556</v>
      </c>
      <c r="X5996">
        <v>26</v>
      </c>
      <c r="Y5996" t="s">
        <v>24642</v>
      </c>
      <c r="Z5996" t="s">
        <v>30943</v>
      </c>
      <c r="AA5996">
        <v>0.57304762366623763</v>
      </c>
      <c r="AB5996" t="str">
        <f>HYPERLINK("Melting_Curves/meltCurve_Q9ULV4_CORO1C.pdf", "Melting_Curves/meltCurve_Q9ULV4_CORO1C.pdf")</f>
        <v>Melting_Curves/meltCurve_Q9ULV4_CORO1C.pdf</v>
      </c>
    </row>
    <row r="5997" spans="1:28" x14ac:dyDescent="0.25">
      <c r="A5997" t="s">
        <v>6001</v>
      </c>
      <c r="B5997">
        <v>0.99987803227770999</v>
      </c>
      <c r="C5997">
        <v>0.82207637124298905</v>
      </c>
      <c r="D5997">
        <v>0.99844448133026398</v>
      </c>
      <c r="E5997">
        <v>0.86584891409182496</v>
      </c>
      <c r="F5997">
        <v>1.0103196703710899</v>
      </c>
      <c r="G5997">
        <v>0.80031285889097603</v>
      </c>
      <c r="H5997">
        <v>0.81595329247813797</v>
      </c>
      <c r="I5997">
        <v>0.73882315309026103</v>
      </c>
      <c r="J5997">
        <v>0.73403834589102002</v>
      </c>
      <c r="K5997">
        <v>0.63659796565970095</v>
      </c>
      <c r="L5997">
        <v>307.13147318640603</v>
      </c>
      <c r="M5997">
        <v>3.6945688406515198</v>
      </c>
      <c r="O5997">
        <v>66.461240293704506</v>
      </c>
      <c r="P5997">
        <v>-1.41271656975677E-2</v>
      </c>
      <c r="Q5997">
        <v>0</v>
      </c>
      <c r="R5997">
        <v>0.68592791193185398</v>
      </c>
      <c r="S5997" t="s">
        <v>12308</v>
      </c>
      <c r="T5997" t="s">
        <v>12620</v>
      </c>
      <c r="U5997" t="s">
        <v>12620</v>
      </c>
      <c r="V5997" t="s">
        <v>12620</v>
      </c>
      <c r="W5997" t="s">
        <v>18557</v>
      </c>
      <c r="X5997">
        <v>39</v>
      </c>
      <c r="Y5997" t="s">
        <v>24643</v>
      </c>
      <c r="Z5997" t="s">
        <v>30944</v>
      </c>
      <c r="AA5997">
        <v>0.8531432514793198</v>
      </c>
      <c r="AB5997" t="str">
        <f>HYPERLINK("Melting_Curves/meltCurve_Q9ULW0_TPX2.pdf", "Melting_Curves/meltCurve_Q9ULW0_TPX2.pdf")</f>
        <v>Melting_Curves/meltCurve_Q9ULW0_TPX2.pdf</v>
      </c>
    </row>
    <row r="5998" spans="1:28" x14ac:dyDescent="0.25">
      <c r="A5998" t="s">
        <v>6002</v>
      </c>
      <c r="B5998">
        <v>0.99987803227770999</v>
      </c>
      <c r="C5998">
        <v>0.89697161582829399</v>
      </c>
      <c r="D5998">
        <v>0.91426641467838599</v>
      </c>
      <c r="E5998">
        <v>0.51620649016731202</v>
      </c>
      <c r="F5998">
        <v>0.244125020949821</v>
      </c>
      <c r="G5998">
        <v>0.14217748323752599</v>
      </c>
      <c r="H5998">
        <v>7.8072819324052606E-2</v>
      </c>
      <c r="I5998">
        <v>6.4393655298670902E-2</v>
      </c>
      <c r="J5998">
        <v>5.88026819724944E-2</v>
      </c>
      <c r="K5998">
        <v>4.1094510161819198E-2</v>
      </c>
      <c r="L5998">
        <v>1110.6318886527499</v>
      </c>
      <c r="M5998">
        <v>22.2461185577145</v>
      </c>
      <c r="N5998">
        <v>50.199072283543998</v>
      </c>
      <c r="O5998">
        <v>49.526566327201898</v>
      </c>
      <c r="P5998">
        <v>-0.105868989811712</v>
      </c>
      <c r="Q5998">
        <v>5.7234732680201503E-2</v>
      </c>
      <c r="R5998">
        <v>0.99367074887826901</v>
      </c>
      <c r="S5998" t="s">
        <v>12309</v>
      </c>
      <c r="T5998" t="s">
        <v>12620</v>
      </c>
      <c r="U5998" t="s">
        <v>12620</v>
      </c>
      <c r="V5998" t="s">
        <v>12620</v>
      </c>
      <c r="W5998" t="s">
        <v>18558</v>
      </c>
      <c r="X5998">
        <v>8</v>
      </c>
      <c r="Y5998" t="s">
        <v>24644</v>
      </c>
      <c r="Z5998" t="s">
        <v>30945</v>
      </c>
      <c r="AA5998">
        <v>0.37976385179481481</v>
      </c>
      <c r="AB5998" t="str">
        <f>HYPERLINK("Melting_Curves/meltCurve_Q9ULX3_NOB1.pdf", "Melting_Curves/meltCurve_Q9ULX3_NOB1.pdf")</f>
        <v>Melting_Curves/meltCurve_Q9ULX3_NOB1.pdf</v>
      </c>
    </row>
    <row r="5999" spans="1:28" x14ac:dyDescent="0.25">
      <c r="A5999" t="s">
        <v>6003</v>
      </c>
      <c r="B5999">
        <v>0.99987803227770999</v>
      </c>
      <c r="C5999">
        <v>1.0768586275116201</v>
      </c>
      <c r="D5999">
        <v>0.92944813056215503</v>
      </c>
      <c r="E5999">
        <v>0.95458583250852802</v>
      </c>
      <c r="F5999">
        <v>0.57402813782779105</v>
      </c>
      <c r="G5999">
        <v>0.41727418541493499</v>
      </c>
      <c r="H5999">
        <v>0.27267846659880002</v>
      </c>
      <c r="I5999">
        <v>0.201562369868134</v>
      </c>
      <c r="J5999">
        <v>0.20239751287770699</v>
      </c>
      <c r="K5999">
        <v>0.17365555947097999</v>
      </c>
      <c r="L5999">
        <v>1153.8466081209001</v>
      </c>
      <c r="M5999">
        <v>21.465931565031301</v>
      </c>
      <c r="N5999">
        <v>54.977865632859398</v>
      </c>
      <c r="O5999">
        <v>53.292484380871599</v>
      </c>
      <c r="P5999">
        <v>-8.1554821981362505E-2</v>
      </c>
      <c r="Q5999">
        <v>0.19013025403594799</v>
      </c>
      <c r="R5999">
        <v>0.97872478480885305</v>
      </c>
      <c r="S5999" t="s">
        <v>12310</v>
      </c>
      <c r="T5999" t="s">
        <v>12620</v>
      </c>
      <c r="U5999" t="s">
        <v>12620</v>
      </c>
      <c r="V5999" t="s">
        <v>12620</v>
      </c>
      <c r="W5999" t="s">
        <v>18559</v>
      </c>
      <c r="X5999">
        <v>2</v>
      </c>
      <c r="Y5999" t="s">
        <v>24645</v>
      </c>
      <c r="Z5999" t="s">
        <v>30946</v>
      </c>
      <c r="AA5999">
        <v>0.57120170791761626</v>
      </c>
      <c r="AB5999" t="str">
        <f>HYPERLINK("Melting_Curves/meltCurve_Q9ULX6_AKAP8L.pdf", "Melting_Curves/meltCurve_Q9ULX6_AKAP8L.pdf")</f>
        <v>Melting_Curves/meltCurve_Q9ULX6_AKAP8L.pdf</v>
      </c>
    </row>
    <row r="6000" spans="1:28" x14ac:dyDescent="0.25">
      <c r="A6000" t="s">
        <v>6004</v>
      </c>
      <c r="B6000">
        <v>0.99987803227770999</v>
      </c>
      <c r="C6000">
        <v>0.99620057440246701</v>
      </c>
      <c r="D6000">
        <v>0.84514533190121299</v>
      </c>
      <c r="E6000">
        <v>0.73530744797164305</v>
      </c>
      <c r="F6000">
        <v>0.51847993934149705</v>
      </c>
      <c r="G6000">
        <v>0.34821111733244903</v>
      </c>
      <c r="H6000">
        <v>0.36998899351944498</v>
      </c>
      <c r="I6000">
        <v>0.37650875216486002</v>
      </c>
      <c r="J6000">
        <v>0.32575655210375598</v>
      </c>
      <c r="K6000">
        <v>0.23869022187779801</v>
      </c>
      <c r="L6000">
        <v>835.471970275937</v>
      </c>
      <c r="M6000">
        <v>16.451801319629499</v>
      </c>
      <c r="N6000">
        <v>53.7127774679767</v>
      </c>
      <c r="O6000">
        <v>50.050483903253202</v>
      </c>
      <c r="P6000">
        <v>-5.7841317032350001E-2</v>
      </c>
      <c r="Q6000">
        <v>0.296178617006158</v>
      </c>
      <c r="R6000">
        <v>0.97886238514475798</v>
      </c>
      <c r="S6000" t="s">
        <v>12311</v>
      </c>
      <c r="T6000" t="s">
        <v>12620</v>
      </c>
      <c r="U6000" t="s">
        <v>12620</v>
      </c>
      <c r="V6000" t="s">
        <v>12620</v>
      </c>
      <c r="W6000" t="s">
        <v>18560</v>
      </c>
      <c r="X6000">
        <v>1</v>
      </c>
      <c r="Y6000" t="s">
        <v>24646</v>
      </c>
      <c r="Z6000" t="s">
        <v>30947</v>
      </c>
      <c r="AA6000">
        <v>0.56312376256009289</v>
      </c>
      <c r="AB6000" t="str">
        <f>HYPERLINK("Melting_Curves/meltCurve_Q9ULX9_2_MAFF.pdf", "Melting_Curves/meltCurve_Q9ULX9_2_MAFF.pdf")</f>
        <v>Melting_Curves/meltCurve_Q9ULX9_2_MAFF.pdf</v>
      </c>
    </row>
    <row r="6001" spans="1:28" x14ac:dyDescent="0.25">
      <c r="A6001" t="s">
        <v>6005</v>
      </c>
      <c r="B6001">
        <v>0.99987803227770999</v>
      </c>
      <c r="C6001">
        <v>0.87545626013146804</v>
      </c>
      <c r="D6001">
        <v>0.96474982256785702</v>
      </c>
      <c r="E6001">
        <v>0.884092836740487</v>
      </c>
      <c r="F6001">
        <v>0.82216064956230395</v>
      </c>
      <c r="G6001">
        <v>0.70371995440035195</v>
      </c>
      <c r="H6001">
        <v>0.33503825532054698</v>
      </c>
      <c r="I6001">
        <v>0.18930277029321901</v>
      </c>
      <c r="J6001">
        <v>0.111108507608047</v>
      </c>
      <c r="K6001">
        <v>8.1593825971716799E-2</v>
      </c>
      <c r="L6001">
        <v>945.15019788710697</v>
      </c>
      <c r="M6001">
        <v>16.068457826205599</v>
      </c>
      <c r="N6001">
        <v>58.820218856218297</v>
      </c>
      <c r="O6001">
        <v>57.931817341985401</v>
      </c>
      <c r="P6001">
        <v>-6.9347458364803896E-2</v>
      </c>
      <c r="Q6001">
        <v>0</v>
      </c>
      <c r="R6001">
        <v>0.97793062217957205</v>
      </c>
      <c r="S6001" t="s">
        <v>12312</v>
      </c>
      <c r="T6001" t="s">
        <v>12620</v>
      </c>
      <c r="U6001" t="s">
        <v>12620</v>
      </c>
      <c r="V6001" t="s">
        <v>12620</v>
      </c>
      <c r="W6001" t="s">
        <v>18561</v>
      </c>
      <c r="X6001">
        <v>10</v>
      </c>
      <c r="Y6001" t="s">
        <v>24647</v>
      </c>
      <c r="Z6001" t="s">
        <v>30948</v>
      </c>
      <c r="AA6001">
        <v>0.63852696321457547</v>
      </c>
      <c r="AB6001" t="str">
        <f>HYPERLINK("Melting_Curves/meltCurve_Q9ULZ3_PYCARD.pdf", "Melting_Curves/meltCurve_Q9ULZ3_PYCARD.pdf")</f>
        <v>Melting_Curves/meltCurve_Q9ULZ3_PYCARD.pdf</v>
      </c>
    </row>
    <row r="6002" spans="1:28" x14ac:dyDescent="0.25">
      <c r="A6002" t="s">
        <v>6006</v>
      </c>
      <c r="B6002">
        <v>0.99987803227770999</v>
      </c>
      <c r="C6002">
        <v>0.83075560507125301</v>
      </c>
      <c r="D6002">
        <v>0.90437809208425401</v>
      </c>
      <c r="E6002">
        <v>0.85118214959136995</v>
      </c>
      <c r="F6002">
        <v>1.04418993658388</v>
      </c>
      <c r="G6002">
        <v>0.83347684781443998</v>
      </c>
      <c r="H6002">
        <v>0.82816536197243995</v>
      </c>
      <c r="I6002">
        <v>0.56180583383249205</v>
      </c>
      <c r="J6002">
        <v>0.71318296937633696</v>
      </c>
      <c r="K6002">
        <v>0.59917023844218997</v>
      </c>
      <c r="L6002">
        <v>337.83423431775401</v>
      </c>
      <c r="M6002">
        <v>4.3852324089006602</v>
      </c>
      <c r="O6002">
        <v>65.008995663641798</v>
      </c>
      <c r="P6002">
        <v>-1.7024628516616701E-2</v>
      </c>
      <c r="Q6002">
        <v>0</v>
      </c>
      <c r="R6002">
        <v>0.62042944797998101</v>
      </c>
      <c r="S6002" t="s">
        <v>12313</v>
      </c>
      <c r="T6002" t="s">
        <v>12620</v>
      </c>
      <c r="U6002" t="s">
        <v>12620</v>
      </c>
      <c r="V6002" t="s">
        <v>12620</v>
      </c>
      <c r="W6002" t="s">
        <v>18562</v>
      </c>
      <c r="X6002">
        <v>2</v>
      </c>
      <c r="Y6002" t="s">
        <v>24648</v>
      </c>
      <c r="Z6002" t="s">
        <v>30949</v>
      </c>
      <c r="AA6002">
        <v>0.83258684719271392</v>
      </c>
      <c r="AB6002" t="str">
        <f>HYPERLINK("Melting_Curves/meltCurve_Q9UM11_3_FZR1.pdf", "Melting_Curves/meltCurve_Q9UM11_3_FZR1.pdf")</f>
        <v>Melting_Curves/meltCurve_Q9UM11_3_FZR1.pdf</v>
      </c>
    </row>
    <row r="6003" spans="1:28" x14ac:dyDescent="0.25">
      <c r="A6003" t="s">
        <v>6007</v>
      </c>
      <c r="B6003">
        <v>0.99987803227770999</v>
      </c>
      <c r="C6003">
        <v>1.0017804310849401</v>
      </c>
      <c r="D6003">
        <v>0.897841078302685</v>
      </c>
      <c r="E6003">
        <v>0.91520043099387205</v>
      </c>
      <c r="F6003">
        <v>0.72719062854904204</v>
      </c>
      <c r="G6003">
        <v>0.55205155982988696</v>
      </c>
      <c r="H6003">
        <v>0.17756309764314601</v>
      </c>
      <c r="I6003">
        <v>4.9924749547474702E-2</v>
      </c>
      <c r="J6003">
        <v>3.9639256596007699E-2</v>
      </c>
      <c r="K6003">
        <v>3.5488788898424502E-2</v>
      </c>
      <c r="L6003">
        <v>1043.99615138534</v>
      </c>
      <c r="M6003">
        <v>18.4475283661187</v>
      </c>
      <c r="N6003">
        <v>56.592738571581897</v>
      </c>
      <c r="O6003">
        <v>55.940294534815301</v>
      </c>
      <c r="P6003">
        <v>-8.2446627711071405E-2</v>
      </c>
      <c r="Q6003">
        <v>0</v>
      </c>
      <c r="R6003">
        <v>0.98637678021546504</v>
      </c>
      <c r="S6003" t="s">
        <v>12314</v>
      </c>
      <c r="T6003" t="s">
        <v>12620</v>
      </c>
      <c r="U6003" t="s">
        <v>12620</v>
      </c>
      <c r="V6003" t="s">
        <v>12620</v>
      </c>
      <c r="W6003" t="s">
        <v>18563</v>
      </c>
      <c r="X6003">
        <v>1</v>
      </c>
      <c r="Y6003" t="s">
        <v>24649</v>
      </c>
      <c r="Z6003" t="s">
        <v>30950</v>
      </c>
      <c r="AA6003">
        <v>0.56688615437841372</v>
      </c>
      <c r="AB6003" t="str">
        <f>HYPERLINK("Melting_Curves/meltCurve_Q9UM13_ANAPC10.pdf", "Melting_Curves/meltCurve_Q9UM13_ANAPC10.pdf")</f>
        <v>Melting_Curves/meltCurve_Q9UM13_ANAPC10.pdf</v>
      </c>
    </row>
    <row r="6004" spans="1:28" x14ac:dyDescent="0.25">
      <c r="A6004" t="s">
        <v>6008</v>
      </c>
      <c r="B6004">
        <v>0.99987803227770999</v>
      </c>
      <c r="C6004">
        <v>0.77508013139320397</v>
      </c>
      <c r="D6004">
        <v>0.79782476186801299</v>
      </c>
      <c r="E6004">
        <v>0.84956705921702302</v>
      </c>
      <c r="F6004">
        <v>1.1855606743917699</v>
      </c>
      <c r="G6004">
        <v>1.63650121310782</v>
      </c>
      <c r="H6004">
        <v>1.4285166700243599</v>
      </c>
      <c r="I6004">
        <v>0.61885642838015498</v>
      </c>
      <c r="J6004">
        <v>1.0664549574273301</v>
      </c>
      <c r="K6004">
        <v>0.71707192874495695</v>
      </c>
      <c r="L6004">
        <v>15000</v>
      </c>
      <c r="M6004">
        <v>213.355687456802</v>
      </c>
      <c r="Q6004">
        <v>0</v>
      </c>
      <c r="R6004">
        <v>8.2236169408880802E-2</v>
      </c>
      <c r="S6004" t="s">
        <v>12315</v>
      </c>
      <c r="T6004" t="s">
        <v>12620</v>
      </c>
      <c r="U6004" t="s">
        <v>12620</v>
      </c>
      <c r="V6004" t="s">
        <v>12620</v>
      </c>
      <c r="W6004" t="s">
        <v>18564</v>
      </c>
      <c r="X6004">
        <v>5</v>
      </c>
      <c r="Y6004" t="s">
        <v>24650</v>
      </c>
      <c r="Z6004" t="s">
        <v>30951</v>
      </c>
      <c r="AA6004">
        <v>0.99641490247907094</v>
      </c>
      <c r="AB6004" t="str">
        <f>HYPERLINK("Melting_Curves/meltCurve_Q9UM22_EPDR1.pdf", "Melting_Curves/meltCurve_Q9UM22_EPDR1.pdf")</f>
        <v>Melting_Curves/meltCurve_Q9UM22_EPDR1.pdf</v>
      </c>
    </row>
    <row r="6005" spans="1:28" x14ac:dyDescent="0.25">
      <c r="A6005" t="s">
        <v>6009</v>
      </c>
      <c r="B6005">
        <v>0.99987803227770999</v>
      </c>
      <c r="C6005">
        <v>1.0298369358042501</v>
      </c>
      <c r="D6005">
        <v>0.72675060686190596</v>
      </c>
      <c r="E6005">
        <v>0.852300980426693</v>
      </c>
      <c r="F6005">
        <v>0.2127706496317</v>
      </c>
      <c r="G6005">
        <v>0.14181084117314599</v>
      </c>
      <c r="H6005">
        <v>0.108724902503298</v>
      </c>
      <c r="I6005">
        <v>8.4219648450041706E-2</v>
      </c>
      <c r="J6005">
        <v>7.3968681914368201E-2</v>
      </c>
      <c r="K6005">
        <v>5.03855367193713E-2</v>
      </c>
      <c r="L6005">
        <v>2991.0055584923598</v>
      </c>
      <c r="M6005">
        <v>58.233141712298703</v>
      </c>
      <c r="N6005">
        <v>51.538739475327901</v>
      </c>
      <c r="O6005">
        <v>51.302134222070997</v>
      </c>
      <c r="P6005">
        <v>-0.25816976817978698</v>
      </c>
      <c r="Q6005">
        <v>9.0232578445716694E-2</v>
      </c>
      <c r="R6005">
        <v>0.94939836177329695</v>
      </c>
      <c r="S6005" t="s">
        <v>12316</v>
      </c>
      <c r="T6005" t="s">
        <v>12620</v>
      </c>
      <c r="U6005" t="s">
        <v>12620</v>
      </c>
      <c r="V6005" t="s">
        <v>12620</v>
      </c>
      <c r="W6005" t="s">
        <v>18565</v>
      </c>
      <c r="X6005">
        <v>24</v>
      </c>
      <c r="Y6005" t="s">
        <v>24651</v>
      </c>
      <c r="Z6005" t="s">
        <v>30952</v>
      </c>
      <c r="AA6005">
        <v>0.43632732837885801</v>
      </c>
      <c r="AB6005" t="str">
        <f>HYPERLINK("Melting_Curves/meltCurve_Q9UM54_6_MYO6.pdf", "Melting_Curves/meltCurve_Q9UM54_6_MYO6.pdf")</f>
        <v>Melting_Curves/meltCurve_Q9UM54_6_MYO6.pdf</v>
      </c>
    </row>
    <row r="6006" spans="1:28" x14ac:dyDescent="0.25">
      <c r="A6006" t="s">
        <v>6010</v>
      </c>
      <c r="B6006">
        <v>0.99987803227770999</v>
      </c>
      <c r="C6006">
        <v>1.1421070453034201</v>
      </c>
      <c r="D6006">
        <v>0.88427697450249898</v>
      </c>
      <c r="E6006">
        <v>0.71632898444433402</v>
      </c>
      <c r="F6006">
        <v>0.27697870312046002</v>
      </c>
      <c r="G6006">
        <v>0.16720766345475199</v>
      </c>
      <c r="H6006">
        <v>8.2123250896148206E-2</v>
      </c>
      <c r="I6006">
        <v>8.1420708218646901E-2</v>
      </c>
      <c r="J6006">
        <v>5.3049264949563198E-2</v>
      </c>
      <c r="K6006">
        <v>2.7126310706142499E-2</v>
      </c>
      <c r="L6006">
        <v>1428.72009172971</v>
      </c>
      <c r="M6006">
        <v>27.9257313047592</v>
      </c>
      <c r="N6006">
        <v>51.4135486182468</v>
      </c>
      <c r="O6006">
        <v>50.901224879855398</v>
      </c>
      <c r="P6006">
        <v>-0.12838079762044299</v>
      </c>
      <c r="Q6006">
        <v>6.3991111604772499E-2</v>
      </c>
      <c r="R6006">
        <v>0.97993324255260705</v>
      </c>
      <c r="S6006" t="s">
        <v>12317</v>
      </c>
      <c r="T6006" t="s">
        <v>12620</v>
      </c>
      <c r="U6006" t="s">
        <v>12620</v>
      </c>
      <c r="V6006" t="s">
        <v>12620</v>
      </c>
      <c r="W6006" t="s">
        <v>18566</v>
      </c>
      <c r="X6006">
        <v>2</v>
      </c>
      <c r="Y6006" t="s">
        <v>24652</v>
      </c>
      <c r="Z6006" t="s">
        <v>30953</v>
      </c>
      <c r="AA6006">
        <v>0.41903784224385338</v>
      </c>
      <c r="AB6006" t="str">
        <f>HYPERLINK("Melting_Curves/meltCurve_Q9UM82_SPATA2.pdf", "Melting_Curves/meltCurve_Q9UM82_SPATA2.pdf")</f>
        <v>Melting_Curves/meltCurve_Q9UM82_SPATA2.pdf</v>
      </c>
    </row>
    <row r="6007" spans="1:28" x14ac:dyDescent="0.25">
      <c r="A6007" t="s">
        <v>6011</v>
      </c>
      <c r="B6007">
        <v>0.99987803227770999</v>
      </c>
      <c r="C6007">
        <v>0.85624733367885997</v>
      </c>
      <c r="D6007">
        <v>0.82968849374409703</v>
      </c>
      <c r="E6007">
        <v>0.68857390556826703</v>
      </c>
      <c r="F6007">
        <v>0.74845418040532996</v>
      </c>
      <c r="G6007">
        <v>0.61031713458466896</v>
      </c>
      <c r="H6007">
        <v>0.60186383966447798</v>
      </c>
      <c r="I6007">
        <v>0.55737849542153295</v>
      </c>
      <c r="J6007">
        <v>0.50643982408653498</v>
      </c>
      <c r="K6007">
        <v>0.43838092355975</v>
      </c>
      <c r="L6007">
        <v>300.80784130180803</v>
      </c>
      <c r="M6007">
        <v>5.3554595714200097</v>
      </c>
      <c r="N6007">
        <v>67.048834363135001</v>
      </c>
      <c r="O6007">
        <v>49.775883980597698</v>
      </c>
      <c r="P6007">
        <v>-1.91809564083271E-2</v>
      </c>
      <c r="Q6007">
        <v>0.29032728940675301</v>
      </c>
      <c r="R6007">
        <v>0.939817556851817</v>
      </c>
      <c r="S6007" t="s">
        <v>12318</v>
      </c>
      <c r="T6007" t="s">
        <v>12620</v>
      </c>
      <c r="U6007" t="s">
        <v>12620</v>
      </c>
      <c r="V6007" t="s">
        <v>12620</v>
      </c>
      <c r="W6007" t="s">
        <v>18567</v>
      </c>
      <c r="X6007">
        <v>17</v>
      </c>
      <c r="Y6007" t="s">
        <v>24653</v>
      </c>
      <c r="Z6007" t="s">
        <v>30954</v>
      </c>
      <c r="AA6007">
        <v>0.68000322245317935</v>
      </c>
      <c r="AB6007" t="str">
        <f>HYPERLINK("Melting_Curves/meltCurve_Q9UMN6_WBP7.pdf", "Melting_Curves/meltCurve_Q9UMN6_WBP7.pdf")</f>
        <v>Melting_Curves/meltCurve_Q9UMN6_WBP7.pdf</v>
      </c>
    </row>
    <row r="6008" spans="1:28" x14ac:dyDescent="0.25">
      <c r="A6008" t="s">
        <v>6012</v>
      </c>
      <c r="B6008">
        <v>0.99987803227770999</v>
      </c>
      <c r="C6008">
        <v>0.81601216814232802</v>
      </c>
      <c r="D6008">
        <v>0.73860087905143501</v>
      </c>
      <c r="E6008">
        <v>0.36140936052692102</v>
      </c>
      <c r="F6008">
        <v>0.38219198293755002</v>
      </c>
      <c r="G6008">
        <v>0.31867653208249502</v>
      </c>
      <c r="H6008">
        <v>0.171150622168323</v>
      </c>
      <c r="I6008">
        <v>0.20746840714994499</v>
      </c>
      <c r="J6008">
        <v>7.2210075782764199E-2</v>
      </c>
      <c r="K6008">
        <v>4.5944857221738897E-2</v>
      </c>
      <c r="L6008">
        <v>534.14302316861699</v>
      </c>
      <c r="M6008">
        <v>10.901995112777801</v>
      </c>
      <c r="N6008">
        <v>49.697953973297302</v>
      </c>
      <c r="O6008">
        <v>47.432958131835697</v>
      </c>
      <c r="P6008">
        <v>-5.3372951579459899E-2</v>
      </c>
      <c r="Q6008">
        <v>7.1453185104442901E-2</v>
      </c>
      <c r="R6008">
        <v>0.95791669894789</v>
      </c>
      <c r="S6008" t="s">
        <v>12319</v>
      </c>
      <c r="T6008" t="s">
        <v>12620</v>
      </c>
      <c r="U6008" t="s">
        <v>12620</v>
      </c>
      <c r="V6008" t="s">
        <v>12620</v>
      </c>
      <c r="W6008" t="s">
        <v>18568</v>
      </c>
      <c r="X6008">
        <v>25</v>
      </c>
      <c r="Y6008" t="s">
        <v>24654</v>
      </c>
      <c r="Z6008" t="s">
        <v>30955</v>
      </c>
      <c r="AA6008">
        <v>0.38973426501984371</v>
      </c>
      <c r="AB6008" t="str">
        <f>HYPERLINK("Melting_Curves/meltCurve_Q9UMR2_DDX19B.pdf", "Melting_Curves/meltCurve_Q9UMR2_DDX19B.pdf")</f>
        <v>Melting_Curves/meltCurve_Q9UMR2_DDX19B.pdf</v>
      </c>
    </row>
    <row r="6009" spans="1:28" x14ac:dyDescent="0.25">
      <c r="A6009" t="s">
        <v>6013</v>
      </c>
      <c r="B6009">
        <v>0.99987803227770999</v>
      </c>
      <c r="C6009">
        <v>0.93373030217501096</v>
      </c>
      <c r="D6009">
        <v>1.1441622785124801</v>
      </c>
      <c r="E6009">
        <v>0.85517115184994297</v>
      </c>
      <c r="F6009">
        <v>1.0835207920715599</v>
      </c>
      <c r="G6009">
        <v>0.98138723399205596</v>
      </c>
      <c r="H6009">
        <v>1.07562643862513</v>
      </c>
      <c r="I6009">
        <v>0.99247841473953002</v>
      </c>
      <c r="J6009">
        <v>0.91982428962504104</v>
      </c>
      <c r="K6009">
        <v>0.67917763982633195</v>
      </c>
      <c r="L6009">
        <v>4823.9874257166302</v>
      </c>
      <c r="M6009">
        <v>70.701183945108099</v>
      </c>
      <c r="O6009">
        <v>68.176119275978195</v>
      </c>
      <c r="P6009">
        <v>-9.7101774183056294E-2</v>
      </c>
      <c r="Q6009">
        <v>0.625464788831262</v>
      </c>
      <c r="R6009">
        <v>0.62370254780216805</v>
      </c>
      <c r="S6009" t="s">
        <v>12320</v>
      </c>
      <c r="T6009" t="s">
        <v>12620</v>
      </c>
      <c r="U6009" t="s">
        <v>12620</v>
      </c>
      <c r="V6009" t="s">
        <v>12620</v>
      </c>
      <c r="W6009" t="s">
        <v>18569</v>
      </c>
      <c r="X6009">
        <v>7</v>
      </c>
      <c r="Y6009" t="s">
        <v>24655</v>
      </c>
      <c r="Z6009" t="s">
        <v>30956</v>
      </c>
      <c r="AA6009">
        <v>0.97644733585060794</v>
      </c>
      <c r="AB6009" t="str">
        <f>HYPERLINK("Melting_Curves/meltCurve_Q9UMS0_3_NFU1.pdf", "Melting_Curves/meltCurve_Q9UMS0_3_NFU1.pdf")</f>
        <v>Melting_Curves/meltCurve_Q9UMS0_3_NFU1.pdf</v>
      </c>
    </row>
    <row r="6010" spans="1:28" x14ac:dyDescent="0.25">
      <c r="A6010" t="s">
        <v>6014</v>
      </c>
      <c r="B6010">
        <v>0.99987803227770999</v>
      </c>
      <c r="C6010">
        <v>1.1417022825333101</v>
      </c>
      <c r="D6010">
        <v>0.97087657430911101</v>
      </c>
      <c r="E6010">
        <v>1.3054214396745101</v>
      </c>
      <c r="F6010">
        <v>0.91311800315646097</v>
      </c>
      <c r="G6010">
        <v>0.78330179312014703</v>
      </c>
      <c r="H6010">
        <v>0.26859842934160899</v>
      </c>
      <c r="I6010">
        <v>0.16083344232758501</v>
      </c>
      <c r="J6010">
        <v>9.5334349895548606E-2</v>
      </c>
      <c r="K6010">
        <v>6.4910496454813199E-2</v>
      </c>
      <c r="L6010">
        <v>2064.5071612096299</v>
      </c>
      <c r="M6010">
        <v>35.1051683952657</v>
      </c>
      <c r="N6010">
        <v>59.1070127520683</v>
      </c>
      <c r="O6010">
        <v>58.619353233066498</v>
      </c>
      <c r="P6010">
        <v>-0.13758189352175401</v>
      </c>
      <c r="Q6010">
        <v>8.1054569422679607E-2</v>
      </c>
      <c r="R6010">
        <v>0.93966175420901699</v>
      </c>
      <c r="S6010" t="s">
        <v>12321</v>
      </c>
      <c r="T6010" t="s">
        <v>12620</v>
      </c>
      <c r="U6010" t="s">
        <v>12620</v>
      </c>
      <c r="V6010" t="s">
        <v>12620</v>
      </c>
      <c r="W6010" t="s">
        <v>18570</v>
      </c>
      <c r="X6010">
        <v>12</v>
      </c>
      <c r="Y6010" t="s">
        <v>24656</v>
      </c>
      <c r="Z6010" t="s">
        <v>30957</v>
      </c>
      <c r="AA6010">
        <v>0.66178818327745437</v>
      </c>
      <c r="AB6010" t="str">
        <f>HYPERLINK("Melting_Curves/meltCurve_Q9UMS4_PRPF19.pdf", "Melting_Curves/meltCurve_Q9UMS4_PRPF19.pdf")</f>
        <v>Melting_Curves/meltCurve_Q9UMS4_PRPF19.pdf</v>
      </c>
    </row>
    <row r="6011" spans="1:28" x14ac:dyDescent="0.25">
      <c r="A6011" t="s">
        <v>6015</v>
      </c>
      <c r="B6011">
        <v>0.99987803227770999</v>
      </c>
      <c r="C6011">
        <v>0.80438306426057704</v>
      </c>
      <c r="D6011">
        <v>0.84681225066650201</v>
      </c>
      <c r="E6011">
        <v>0.78444078508255199</v>
      </c>
      <c r="F6011">
        <v>1.0519517346146701</v>
      </c>
      <c r="G6011">
        <v>0.63814966387264904</v>
      </c>
      <c r="H6011">
        <v>0.77794311417048501</v>
      </c>
      <c r="I6011">
        <v>0.82636962211018805</v>
      </c>
      <c r="J6011">
        <v>0.770678328728161</v>
      </c>
      <c r="K6011">
        <v>0.64082756190707701</v>
      </c>
      <c r="L6011">
        <v>144.05249155256999</v>
      </c>
      <c r="M6011">
        <v>1.1487244412142601</v>
      </c>
      <c r="O6011">
        <v>50.1827824076314</v>
      </c>
      <c r="P6011">
        <v>-7.3585866326512598E-3</v>
      </c>
      <c r="Q6011">
        <v>0</v>
      </c>
      <c r="R6011">
        <v>0.30447585821457201</v>
      </c>
      <c r="S6011" t="s">
        <v>12322</v>
      </c>
      <c r="T6011" t="s">
        <v>12620</v>
      </c>
      <c r="U6011" t="s">
        <v>12620</v>
      </c>
      <c r="V6011" t="s">
        <v>12620</v>
      </c>
      <c r="W6011" t="s">
        <v>18571</v>
      </c>
      <c r="X6011">
        <v>2</v>
      </c>
      <c r="Y6011" t="s">
        <v>24657</v>
      </c>
      <c r="Z6011" t="s">
        <v>30958</v>
      </c>
      <c r="AA6011">
        <v>0.81456126116931271</v>
      </c>
      <c r="AB6011" t="str">
        <f>HYPERLINK("Melting_Curves/meltCurve_Q9UMS6_SYNPO2.pdf", "Melting_Curves/meltCurve_Q9UMS6_SYNPO2.pdf")</f>
        <v>Melting_Curves/meltCurve_Q9UMS6_SYNPO2.pdf</v>
      </c>
    </row>
    <row r="6012" spans="1:28" x14ac:dyDescent="0.25">
      <c r="A6012" t="s">
        <v>6016</v>
      </c>
      <c r="B6012">
        <v>0.99987803227770999</v>
      </c>
      <c r="C6012">
        <v>0.97831237183549602</v>
      </c>
      <c r="D6012">
        <v>1.0862573626191401</v>
      </c>
      <c r="E6012">
        <v>0.90498382274981004</v>
      </c>
      <c r="F6012">
        <v>0.87120629034844899</v>
      </c>
      <c r="G6012">
        <v>0.76660704956180603</v>
      </c>
      <c r="H6012">
        <v>0.72982600625452099</v>
      </c>
      <c r="I6012">
        <v>0.72664451928642704</v>
      </c>
      <c r="J6012">
        <v>0.56058779048199603</v>
      </c>
      <c r="K6012">
        <v>0.42416975987545102</v>
      </c>
      <c r="L6012">
        <v>503.27340849272503</v>
      </c>
      <c r="M6012">
        <v>7.2906790216350297</v>
      </c>
      <c r="N6012">
        <v>69.029701019534599</v>
      </c>
      <c r="O6012">
        <v>64.404956354512805</v>
      </c>
      <c r="P6012">
        <v>-2.83453339197808E-2</v>
      </c>
      <c r="Q6012">
        <v>0</v>
      </c>
      <c r="R6012">
        <v>0.92565674926998898</v>
      </c>
      <c r="S6012" t="s">
        <v>12323</v>
      </c>
      <c r="T6012" t="s">
        <v>12620</v>
      </c>
      <c r="U6012" t="s">
        <v>12620</v>
      </c>
      <c r="V6012" t="s">
        <v>12620</v>
      </c>
      <c r="W6012" t="s">
        <v>18572</v>
      </c>
      <c r="X6012">
        <v>12</v>
      </c>
      <c r="Y6012" t="s">
        <v>19487</v>
      </c>
      <c r="Z6012" t="s">
        <v>30959</v>
      </c>
      <c r="AA6012">
        <v>0.8153937715674312</v>
      </c>
      <c r="AB6012" t="str">
        <f>HYPERLINK("Melting_Curves/meltCurve_Q9UMX0_UBQLN1.pdf", "Melting_Curves/meltCurve_Q9UMX0_UBQLN1.pdf")</f>
        <v>Melting_Curves/meltCurve_Q9UMX0_UBQLN1.pdf</v>
      </c>
    </row>
    <row r="6013" spans="1:28" x14ac:dyDescent="0.25">
      <c r="A6013" t="s">
        <v>6017</v>
      </c>
      <c r="B6013">
        <v>0.99987803227770999</v>
      </c>
      <c r="C6013">
        <v>0.87819634704696503</v>
      </c>
      <c r="D6013">
        <v>0.90144832546379505</v>
      </c>
      <c r="E6013">
        <v>0.69002629991845099</v>
      </c>
      <c r="F6013">
        <v>0.42221900914835497</v>
      </c>
      <c r="G6013">
        <v>0.18032162477494901</v>
      </c>
      <c r="H6013">
        <v>9.6773569198054299E-2</v>
      </c>
      <c r="I6013">
        <v>7.9021874689999994E-2</v>
      </c>
      <c r="J6013">
        <v>7.8750537285280905E-2</v>
      </c>
      <c r="K6013">
        <v>5.17680504766517E-2</v>
      </c>
      <c r="L6013">
        <v>897.81153092884904</v>
      </c>
      <c r="M6013">
        <v>17.348274292788901</v>
      </c>
      <c r="N6013">
        <v>52.013839350379001</v>
      </c>
      <c r="O6013">
        <v>51.079244937012703</v>
      </c>
      <c r="P6013">
        <v>-8.1365670016615696E-2</v>
      </c>
      <c r="Q6013">
        <v>4.1781379131657803E-2</v>
      </c>
      <c r="R6013">
        <v>0.99203971389178103</v>
      </c>
      <c r="S6013" t="s">
        <v>12324</v>
      </c>
      <c r="T6013" t="s">
        <v>12620</v>
      </c>
      <c r="U6013" t="s">
        <v>12620</v>
      </c>
      <c r="V6013" t="s">
        <v>12620</v>
      </c>
      <c r="W6013" t="s">
        <v>18573</v>
      </c>
      <c r="X6013">
        <v>9</v>
      </c>
      <c r="Y6013" t="s">
        <v>24658</v>
      </c>
      <c r="Z6013" t="s">
        <v>30960</v>
      </c>
      <c r="AA6013">
        <v>0.43419704007460708</v>
      </c>
      <c r="AB6013" t="str">
        <f>HYPERLINK("Melting_Curves/meltCurve_Q9UMX1_SUFU.pdf", "Melting_Curves/meltCurve_Q9UMX1_SUFU.pdf")</f>
        <v>Melting_Curves/meltCurve_Q9UMX1_SUFU.pdf</v>
      </c>
    </row>
    <row r="6014" spans="1:28" x14ac:dyDescent="0.25">
      <c r="A6014" t="s">
        <v>6018</v>
      </c>
      <c r="B6014">
        <v>0.99987803227770999</v>
      </c>
      <c r="C6014">
        <v>0.845619094041966</v>
      </c>
      <c r="D6014">
        <v>1.0176798997481</v>
      </c>
      <c r="E6014">
        <v>0.87795344433880695</v>
      </c>
      <c r="F6014">
        <v>1.07770227906132</v>
      </c>
      <c r="G6014">
        <v>0.88812525370734896</v>
      </c>
      <c r="H6014">
        <v>0.93713195610528999</v>
      </c>
      <c r="I6014">
        <v>0.94922566043437395</v>
      </c>
      <c r="J6014">
        <v>0.89456089807539996</v>
      </c>
      <c r="K6014">
        <v>0.77923101482357304</v>
      </c>
      <c r="L6014">
        <v>458.867675372203</v>
      </c>
      <c r="M6014">
        <v>4.9966577713143403</v>
      </c>
      <c r="Q6014">
        <v>0</v>
      </c>
      <c r="R6014">
        <v>0.20634034970255799</v>
      </c>
      <c r="S6014" t="s">
        <v>12325</v>
      </c>
      <c r="T6014" t="s">
        <v>12620</v>
      </c>
      <c r="U6014" t="s">
        <v>12620</v>
      </c>
      <c r="V6014" t="s">
        <v>12620</v>
      </c>
      <c r="W6014" t="s">
        <v>18574</v>
      </c>
      <c r="X6014">
        <v>10</v>
      </c>
      <c r="Y6014" t="s">
        <v>24659</v>
      </c>
      <c r="Z6014" t="s">
        <v>30961</v>
      </c>
      <c r="AA6014">
        <v>0.94741690596641048</v>
      </c>
      <c r="AB6014" t="str">
        <f>HYPERLINK("Melting_Curves/meltCurve_Q9UMX5_NENF.pdf", "Melting_Curves/meltCurve_Q9UMX5_NENF.pdf")</f>
        <v>Melting_Curves/meltCurve_Q9UMX5_NENF.pdf</v>
      </c>
    </row>
    <row r="6015" spans="1:28" x14ac:dyDescent="0.25">
      <c r="A6015" t="s">
        <v>6019</v>
      </c>
      <c r="B6015">
        <v>0.99987803227770999</v>
      </c>
      <c r="C6015">
        <v>0.92181573235115399</v>
      </c>
      <c r="D6015">
        <v>1.3557708356843601</v>
      </c>
      <c r="E6015">
        <v>0.934249392914273</v>
      </c>
      <c r="F6015">
        <v>0.90762581779223095</v>
      </c>
      <c r="G6015">
        <v>0.65030533857264805</v>
      </c>
      <c r="H6015">
        <v>0.64742044057860604</v>
      </c>
      <c r="I6015">
        <v>0.64783516045683098</v>
      </c>
      <c r="J6015">
        <v>0.66973883342755702</v>
      </c>
      <c r="K6015">
        <v>0.55276973559237297</v>
      </c>
      <c r="L6015">
        <v>2381.2447011495501</v>
      </c>
      <c r="M6015">
        <v>43.971491894259401</v>
      </c>
      <c r="O6015">
        <v>54.042635668972999</v>
      </c>
      <c r="P6015">
        <v>-7.6057938291661797E-2</v>
      </c>
      <c r="Q6015">
        <v>0.62608813774516103</v>
      </c>
      <c r="R6015">
        <v>0.728643861726197</v>
      </c>
      <c r="S6015" t="s">
        <v>12326</v>
      </c>
      <c r="T6015" t="s">
        <v>12620</v>
      </c>
      <c r="U6015" t="s">
        <v>12620</v>
      </c>
      <c r="V6015" t="s">
        <v>12620</v>
      </c>
      <c r="W6015" t="s">
        <v>18575</v>
      </c>
      <c r="X6015">
        <v>5</v>
      </c>
      <c r="Y6015" t="s">
        <v>24660</v>
      </c>
      <c r="Z6015" t="s">
        <v>30962</v>
      </c>
      <c r="AA6015">
        <v>0.80365881539272144</v>
      </c>
      <c r="AB6015" t="str">
        <f>HYPERLINK("Melting_Curves/meltCurve_Q9UMY1_NOL7.pdf", "Melting_Curves/meltCurve_Q9UMY1_NOL7.pdf")</f>
        <v>Melting_Curves/meltCurve_Q9UMY1_NOL7.pdf</v>
      </c>
    </row>
    <row r="6016" spans="1:28" x14ac:dyDescent="0.25">
      <c r="A6016" t="s">
        <v>6020</v>
      </c>
      <c r="B6016">
        <v>0.99987803227770999</v>
      </c>
      <c r="C6016">
        <v>0.82837454610169603</v>
      </c>
      <c r="D6016">
        <v>0.97355673136601695</v>
      </c>
      <c r="E6016">
        <v>0.75879369573324396</v>
      </c>
      <c r="F6016">
        <v>0.77512082054464704</v>
      </c>
      <c r="G6016">
        <v>0.30282401668500503</v>
      </c>
      <c r="H6016">
        <v>0.182071465085102</v>
      </c>
      <c r="I6016">
        <v>0.159544694528056</v>
      </c>
      <c r="J6016">
        <v>0.114438127703663</v>
      </c>
      <c r="K6016">
        <v>9.3903241708461399E-2</v>
      </c>
      <c r="L6016">
        <v>949.92242717103204</v>
      </c>
      <c r="M6016">
        <v>17.4005296374396</v>
      </c>
      <c r="N6016">
        <v>55.073699601955198</v>
      </c>
      <c r="O6016">
        <v>53.885861584117599</v>
      </c>
      <c r="P6016">
        <v>-7.5029794208228001E-2</v>
      </c>
      <c r="Q6016">
        <v>7.0645054341580402E-2</v>
      </c>
      <c r="R6016">
        <v>0.95791511570176702</v>
      </c>
      <c r="S6016" t="s">
        <v>12327</v>
      </c>
      <c r="T6016" t="s">
        <v>12620</v>
      </c>
      <c r="U6016" t="s">
        <v>12620</v>
      </c>
      <c r="V6016" t="s">
        <v>12620</v>
      </c>
      <c r="W6016" t="s">
        <v>18576</v>
      </c>
      <c r="X6016">
        <v>15</v>
      </c>
      <c r="Y6016" t="s">
        <v>24661</v>
      </c>
      <c r="Z6016" t="s">
        <v>30963</v>
      </c>
      <c r="AA6016">
        <v>0.53796936953397867</v>
      </c>
      <c r="AB6016" t="str">
        <f>HYPERLINK("Melting_Curves/meltCurve_Q9UMY4_2_SNX12.pdf", "Melting_Curves/meltCurve_Q9UMY4_2_SNX12.pdf")</f>
        <v>Melting_Curves/meltCurve_Q9UMY4_2_SNX12.pdf</v>
      </c>
    </row>
    <row r="6017" spans="1:28" x14ac:dyDescent="0.25">
      <c r="A6017" t="s">
        <v>6021</v>
      </c>
      <c r="B6017">
        <v>0.99987803227770999</v>
      </c>
      <c r="C6017">
        <v>0.99195127442769404</v>
      </c>
      <c r="D6017">
        <v>0.95286802088155498</v>
      </c>
      <c r="E6017">
        <v>0.94568790320720197</v>
      </c>
      <c r="F6017">
        <v>0.80341532894465495</v>
      </c>
      <c r="G6017">
        <v>0.69191548779540102</v>
      </c>
      <c r="H6017">
        <v>0.63049713609621105</v>
      </c>
      <c r="I6017">
        <v>0.57824220615988897</v>
      </c>
      <c r="J6017">
        <v>0.53041651144478996</v>
      </c>
      <c r="K6017">
        <v>0.41136802719764498</v>
      </c>
      <c r="L6017">
        <v>525.77738972954796</v>
      </c>
      <c r="M6017">
        <v>8.7351379117541494</v>
      </c>
      <c r="N6017">
        <v>66.753915009802498</v>
      </c>
      <c r="O6017">
        <v>57.286311193577603</v>
      </c>
      <c r="P6017">
        <v>-2.7157709893597899E-2</v>
      </c>
      <c r="Q6017">
        <v>0.28816168296259098</v>
      </c>
      <c r="R6017">
        <v>0.98011353941642299</v>
      </c>
      <c r="S6017" t="s">
        <v>12328</v>
      </c>
      <c r="T6017" t="s">
        <v>12620</v>
      </c>
      <c r="U6017" t="s">
        <v>12620</v>
      </c>
      <c r="V6017" t="s">
        <v>12620</v>
      </c>
      <c r="W6017" t="s">
        <v>18577</v>
      </c>
      <c r="X6017">
        <v>31</v>
      </c>
      <c r="Y6017" t="s">
        <v>24662</v>
      </c>
      <c r="Z6017" t="s">
        <v>30964</v>
      </c>
      <c r="AA6017">
        <v>0.75865978568828374</v>
      </c>
      <c r="AB6017" t="str">
        <f>HYPERLINK("Melting_Curves/meltCurve_Q9UMZ2_SYNRG.pdf", "Melting_Curves/meltCurve_Q9UMZ2_SYNRG.pdf")</f>
        <v>Melting_Curves/meltCurve_Q9UMZ2_SYNRG.pdf</v>
      </c>
    </row>
    <row r="6018" spans="1:28" x14ac:dyDescent="0.25">
      <c r="A6018" t="s">
        <v>6022</v>
      </c>
      <c r="B6018">
        <v>0.99987803227770999</v>
      </c>
      <c r="C6018">
        <v>0.89017427209081301</v>
      </c>
      <c r="D6018">
        <v>0.98918851304049105</v>
      </c>
      <c r="E6018">
        <v>0.83872697180809896</v>
      </c>
      <c r="F6018">
        <v>1.09988485944273</v>
      </c>
      <c r="G6018">
        <v>0.60589787527915895</v>
      </c>
      <c r="H6018">
        <v>0.23125790416158501</v>
      </c>
      <c r="I6018">
        <v>0.181959673863864</v>
      </c>
      <c r="J6018">
        <v>0.14821270435525</v>
      </c>
      <c r="K6018">
        <v>0.106847104051878</v>
      </c>
      <c r="L6018">
        <v>3135.0140053896798</v>
      </c>
      <c r="M6018">
        <v>54.8187092623536</v>
      </c>
      <c r="N6018">
        <v>57.589024886147897</v>
      </c>
      <c r="O6018">
        <v>57.112806637458</v>
      </c>
      <c r="P6018">
        <v>-0.20194532860959699</v>
      </c>
      <c r="Q6018">
        <v>0.15841451058967099</v>
      </c>
      <c r="R6018">
        <v>0.96173572385550399</v>
      </c>
      <c r="S6018" t="s">
        <v>12329</v>
      </c>
      <c r="T6018" t="s">
        <v>12620</v>
      </c>
      <c r="U6018" t="s">
        <v>12620</v>
      </c>
      <c r="V6018" t="s">
        <v>12620</v>
      </c>
      <c r="W6018" t="s">
        <v>18578</v>
      </c>
      <c r="X6018">
        <v>3</v>
      </c>
      <c r="Y6018" t="s">
        <v>24663</v>
      </c>
      <c r="Z6018" t="s">
        <v>30965</v>
      </c>
      <c r="AA6018">
        <v>0.64237069167893945</v>
      </c>
      <c r="AB6018" t="str">
        <f>HYPERLINK("Melting_Curves/meltCurve_Q9UN36_2_NDRG2.pdf", "Melting_Curves/meltCurve_Q9UN36_2_NDRG2.pdf")</f>
        <v>Melting_Curves/meltCurve_Q9UN36_2_NDRG2.pdf</v>
      </c>
    </row>
    <row r="6019" spans="1:28" x14ac:dyDescent="0.25">
      <c r="A6019" t="s">
        <v>6023</v>
      </c>
      <c r="B6019">
        <v>0.99987803227770999</v>
      </c>
      <c r="C6019">
        <v>0.77492860353340598</v>
      </c>
      <c r="D6019">
        <v>0.42162538008431799</v>
      </c>
      <c r="E6019">
        <v>0.21766721528416499</v>
      </c>
      <c r="F6019">
        <v>0.115392713135298</v>
      </c>
      <c r="G6019">
        <v>8.03775519134865E-2</v>
      </c>
      <c r="H6019">
        <v>6.3127436461471106E-2</v>
      </c>
      <c r="I6019">
        <v>5.8834400195777597E-2</v>
      </c>
      <c r="J6019">
        <v>5.58646754137073E-2</v>
      </c>
      <c r="K6019">
        <v>4.3129710132341299E-2</v>
      </c>
      <c r="L6019">
        <v>956.16489198479201</v>
      </c>
      <c r="M6019">
        <v>21.124312875422099</v>
      </c>
      <c r="N6019">
        <v>45.554181925482602</v>
      </c>
      <c r="O6019">
        <v>44.863938964625298</v>
      </c>
      <c r="P6019">
        <v>-0.11029916224786999</v>
      </c>
      <c r="Q6019">
        <v>6.3008579705920401E-2</v>
      </c>
      <c r="R6019">
        <v>0.993823984273845</v>
      </c>
      <c r="S6019" t="s">
        <v>12330</v>
      </c>
      <c r="T6019" t="s">
        <v>12620</v>
      </c>
      <c r="U6019" t="s">
        <v>12620</v>
      </c>
      <c r="V6019" t="s">
        <v>12620</v>
      </c>
      <c r="W6019" t="s">
        <v>18579</v>
      </c>
      <c r="X6019">
        <v>8</v>
      </c>
      <c r="Y6019" t="s">
        <v>24664</v>
      </c>
      <c r="Z6019" t="s">
        <v>30966</v>
      </c>
      <c r="AA6019">
        <v>0.24098081220626691</v>
      </c>
      <c r="AB6019" t="str">
        <f>HYPERLINK("Melting_Curves/meltCurve_Q9UN37_VPS4A.pdf", "Melting_Curves/meltCurve_Q9UN37_VPS4A.pdf")</f>
        <v>Melting_Curves/meltCurve_Q9UN37_VPS4A.pdf</v>
      </c>
    </row>
    <row r="6020" spans="1:28" x14ac:dyDescent="0.25">
      <c r="A6020" t="s">
        <v>6024</v>
      </c>
      <c r="B6020">
        <v>0.99987803227770999</v>
      </c>
      <c r="C6020">
        <v>0.87641718329768403</v>
      </c>
      <c r="D6020">
        <v>0.84893927768743804</v>
      </c>
      <c r="E6020">
        <v>0.70223393678168</v>
      </c>
      <c r="F6020">
        <v>0.82137884474450096</v>
      </c>
      <c r="G6020">
        <v>0.52662023631052801</v>
      </c>
      <c r="H6020">
        <v>0.61824130022438395</v>
      </c>
      <c r="I6020">
        <v>0.696990586085252</v>
      </c>
      <c r="J6020">
        <v>0.569150611437094</v>
      </c>
      <c r="K6020">
        <v>0.46953256249731801</v>
      </c>
      <c r="L6020">
        <v>390.76712334732298</v>
      </c>
      <c r="M6020">
        <v>7.64458376620808</v>
      </c>
      <c r="O6020">
        <v>47.971194927509998</v>
      </c>
      <c r="P6020">
        <v>-2.04042581070089E-2</v>
      </c>
      <c r="Q6020">
        <v>0.488522969119566</v>
      </c>
      <c r="R6020">
        <v>0.79037252931232704</v>
      </c>
      <c r="S6020" t="s">
        <v>12331</v>
      </c>
      <c r="T6020" t="s">
        <v>12620</v>
      </c>
      <c r="U6020" t="s">
        <v>12620</v>
      </c>
      <c r="V6020" t="s">
        <v>12620</v>
      </c>
      <c r="W6020" t="s">
        <v>18580</v>
      </c>
      <c r="X6020">
        <v>3</v>
      </c>
      <c r="Y6020" t="s">
        <v>24665</v>
      </c>
      <c r="Z6020" t="s">
        <v>30967</v>
      </c>
      <c r="AA6020">
        <v>0.70619584656240886</v>
      </c>
      <c r="AB6020" t="str">
        <f>HYPERLINK("Melting_Curves/meltCurve_Q9UN79_SOX13.pdf", "Melting_Curves/meltCurve_Q9UN79_SOX13.pdf")</f>
        <v>Melting_Curves/meltCurve_Q9UN79_SOX13.pdf</v>
      </c>
    </row>
    <row r="6021" spans="1:28" x14ac:dyDescent="0.25">
      <c r="A6021" t="s">
        <v>6025</v>
      </c>
      <c r="B6021">
        <v>0.99987803227770999</v>
      </c>
      <c r="C6021">
        <v>0.99524350130060302</v>
      </c>
      <c r="D6021">
        <v>0.96557840546284401</v>
      </c>
      <c r="E6021">
        <v>0.86953544523566195</v>
      </c>
      <c r="F6021">
        <v>0.72971467976385096</v>
      </c>
      <c r="G6021">
        <v>0.443066533589274</v>
      </c>
      <c r="H6021">
        <v>0.34883917697515299</v>
      </c>
      <c r="I6021">
        <v>0.28977378666839199</v>
      </c>
      <c r="J6021">
        <v>0.295486374099798</v>
      </c>
      <c r="K6021">
        <v>0.24064213738945001</v>
      </c>
      <c r="L6021">
        <v>1038.14547193265</v>
      </c>
      <c r="M6021">
        <v>19.132475836257701</v>
      </c>
      <c r="N6021">
        <v>56.344079926836201</v>
      </c>
      <c r="O6021">
        <v>53.678552099412002</v>
      </c>
      <c r="P6021">
        <v>-6.6517951211878507E-2</v>
      </c>
      <c r="Q6021">
        <v>0.25353126032629397</v>
      </c>
      <c r="R6021">
        <v>0.99747231918478196</v>
      </c>
      <c r="S6021" t="s">
        <v>12332</v>
      </c>
      <c r="T6021" t="s">
        <v>12620</v>
      </c>
      <c r="U6021" t="s">
        <v>12620</v>
      </c>
      <c r="V6021" t="s">
        <v>12620</v>
      </c>
      <c r="W6021" t="s">
        <v>18581</v>
      </c>
      <c r="X6021">
        <v>12</v>
      </c>
      <c r="Y6021" t="s">
        <v>24666</v>
      </c>
      <c r="Z6021" t="s">
        <v>30968</v>
      </c>
      <c r="AA6021">
        <v>0.61919793605969808</v>
      </c>
      <c r="AB6021" t="str">
        <f>HYPERLINK("Melting_Curves/meltCurve_Q9UN86_2_G3BP2.pdf", "Melting_Curves/meltCurve_Q9UN86_2_G3BP2.pdf")</f>
        <v>Melting_Curves/meltCurve_Q9UN86_2_G3BP2.pdf</v>
      </c>
    </row>
    <row r="6022" spans="1:28" x14ac:dyDescent="0.25">
      <c r="A6022" t="s">
        <v>6026</v>
      </c>
      <c r="B6022">
        <v>0.99987803227770999</v>
      </c>
      <c r="C6022">
        <v>1.09654305295218</v>
      </c>
      <c r="D6022">
        <v>0.82651953129282496</v>
      </c>
      <c r="E6022">
        <v>0.39376083103049497</v>
      </c>
      <c r="F6022">
        <v>0.25612040768258298</v>
      </c>
      <c r="G6022">
        <v>0.15340742530146101</v>
      </c>
      <c r="H6022">
        <v>8.5502902299948794E-2</v>
      </c>
      <c r="I6022">
        <v>0.18618477869000399</v>
      </c>
      <c r="J6022">
        <v>4.1875275169537103E-2</v>
      </c>
      <c r="K6022">
        <v>2.3763151859169499E-2</v>
      </c>
      <c r="L6022">
        <v>1212.94096112597</v>
      </c>
      <c r="M6022">
        <v>24.8101474867773</v>
      </c>
      <c r="N6022">
        <v>49.306853681738197</v>
      </c>
      <c r="O6022">
        <v>48.5746065164981</v>
      </c>
      <c r="P6022">
        <v>-0.11558359729416</v>
      </c>
      <c r="Q6022">
        <v>9.4830024808144203E-2</v>
      </c>
      <c r="R6022">
        <v>0.97632428662804505</v>
      </c>
      <c r="S6022" t="s">
        <v>12333</v>
      </c>
      <c r="T6022" t="s">
        <v>12620</v>
      </c>
      <c r="U6022" t="s">
        <v>12620</v>
      </c>
      <c r="V6022" t="s">
        <v>12620</v>
      </c>
      <c r="W6022" t="s">
        <v>18582</v>
      </c>
      <c r="X6022">
        <v>2</v>
      </c>
      <c r="Y6022" t="s">
        <v>24667</v>
      </c>
      <c r="Z6022" t="s">
        <v>30969</v>
      </c>
      <c r="AA6022">
        <v>0.37117201883771828</v>
      </c>
      <c r="AB6022" t="str">
        <f>HYPERLINK("Melting_Curves/meltCurve_Q9UNA1_2_ARHGAP26.pdf", "Melting_Curves/meltCurve_Q9UNA1_2_ARHGAP26.pdf")</f>
        <v>Melting_Curves/meltCurve_Q9UNA1_2_ARHGAP26.pdf</v>
      </c>
    </row>
    <row r="6023" spans="1:28" x14ac:dyDescent="0.25">
      <c r="A6023" t="s">
        <v>6027</v>
      </c>
      <c r="B6023">
        <v>0.99987803227770999</v>
      </c>
      <c r="C6023">
        <v>1.25611190863315</v>
      </c>
      <c r="D6023">
        <v>0.84327905398154501</v>
      </c>
      <c r="E6023">
        <v>0.68070226817508295</v>
      </c>
      <c r="F6023">
        <v>0.39678013450084698</v>
      </c>
      <c r="G6023">
        <v>0.378845813250479</v>
      </c>
      <c r="H6023">
        <v>0.33846635325580998</v>
      </c>
      <c r="I6023">
        <v>0.20627091752135601</v>
      </c>
      <c r="J6023">
        <v>9.3956052181126098E-2</v>
      </c>
      <c r="K6023">
        <v>6.9282052041589395E-2</v>
      </c>
      <c r="L6023">
        <v>803.06496951426595</v>
      </c>
      <c r="M6023">
        <v>15.496949743759901</v>
      </c>
      <c r="N6023">
        <v>52.903715778366802</v>
      </c>
      <c r="O6023">
        <v>50.9809427235759</v>
      </c>
      <c r="P6023">
        <v>-6.5671598788581004E-2</v>
      </c>
      <c r="Q6023">
        <v>0.135906832280076</v>
      </c>
      <c r="R6023">
        <v>0.91127350671938701</v>
      </c>
      <c r="S6023" t="s">
        <v>12334</v>
      </c>
      <c r="T6023" t="s">
        <v>12620</v>
      </c>
      <c r="U6023" t="s">
        <v>12620</v>
      </c>
      <c r="V6023" t="s">
        <v>12620</v>
      </c>
      <c r="W6023" t="s">
        <v>18583</v>
      </c>
      <c r="X6023">
        <v>13</v>
      </c>
      <c r="Y6023" t="s">
        <v>24668</v>
      </c>
      <c r="Z6023" t="s">
        <v>30970</v>
      </c>
      <c r="AA6023">
        <v>0.49485321205697341</v>
      </c>
      <c r="AB6023" t="str">
        <f>HYPERLINK("Melting_Curves/meltCurve_Q9UNE7_STUB1.pdf", "Melting_Curves/meltCurve_Q9UNE7_STUB1.pdf")</f>
        <v>Melting_Curves/meltCurve_Q9UNE7_STUB1.pdf</v>
      </c>
    </row>
    <row r="6024" spans="1:28" x14ac:dyDescent="0.25">
      <c r="A6024" t="s">
        <v>6028</v>
      </c>
      <c r="B6024">
        <v>0.99987803227770999</v>
      </c>
      <c r="C6024">
        <v>1.1782731226344301</v>
      </c>
      <c r="D6024">
        <v>0.66719645352613399</v>
      </c>
      <c r="E6024">
        <v>0.45152099750261898</v>
      </c>
      <c r="F6024">
        <v>0.26950391043232402</v>
      </c>
      <c r="G6024">
        <v>0.20195589577287601</v>
      </c>
      <c r="H6024">
        <v>0.13204916967029401</v>
      </c>
      <c r="I6024">
        <v>0.108872431220329</v>
      </c>
      <c r="J6024">
        <v>9.1677432177211499E-2</v>
      </c>
      <c r="K6024">
        <v>5.8826001846195998E-2</v>
      </c>
      <c r="L6024">
        <v>973.95889584522695</v>
      </c>
      <c r="M6024">
        <v>20.000793609287498</v>
      </c>
      <c r="N6024">
        <v>49.2764813302866</v>
      </c>
      <c r="O6024">
        <v>48.217059377825898</v>
      </c>
      <c r="P6024">
        <v>-9.2820961058240697E-2</v>
      </c>
      <c r="Q6024">
        <v>0.104954005750927</v>
      </c>
      <c r="R6024">
        <v>0.94824708719217699</v>
      </c>
      <c r="S6024" t="s">
        <v>12335</v>
      </c>
      <c r="T6024" t="s">
        <v>12620</v>
      </c>
      <c r="U6024" t="s">
        <v>12620</v>
      </c>
      <c r="V6024" t="s">
        <v>12620</v>
      </c>
      <c r="W6024" t="s">
        <v>18584</v>
      </c>
      <c r="X6024">
        <v>24</v>
      </c>
      <c r="Y6024" t="s">
        <v>24669</v>
      </c>
      <c r="Z6024" t="s">
        <v>30971</v>
      </c>
      <c r="AA6024">
        <v>0.37697558828840488</v>
      </c>
      <c r="AB6024" t="str">
        <f>HYPERLINK("Melting_Curves/meltCurve_Q9UNF0_PACSIN2.pdf", "Melting_Curves/meltCurve_Q9UNF0_PACSIN2.pdf")</f>
        <v>Melting_Curves/meltCurve_Q9UNF0_PACSIN2.pdf</v>
      </c>
    </row>
    <row r="6025" spans="1:28" x14ac:dyDescent="0.25">
      <c r="A6025" t="s">
        <v>6029</v>
      </c>
      <c r="B6025">
        <v>0.99987803227770999</v>
      </c>
      <c r="C6025">
        <v>0.96558899478960902</v>
      </c>
      <c r="D6025">
        <v>0.60322553403891099</v>
      </c>
      <c r="E6025">
        <v>0.47872185064198602</v>
      </c>
      <c r="F6025">
        <v>0.40246586488214497</v>
      </c>
      <c r="G6025">
        <v>0.286754923853552</v>
      </c>
      <c r="H6025">
        <v>0.28157961920531999</v>
      </c>
      <c r="I6025">
        <v>0.24236206633761401</v>
      </c>
      <c r="J6025">
        <v>0.271318820410067</v>
      </c>
      <c r="K6025">
        <v>0.21634329461392099</v>
      </c>
      <c r="L6025">
        <v>798.683773394073</v>
      </c>
      <c r="M6025">
        <v>16.96475197677</v>
      </c>
      <c r="N6025">
        <v>49.128928283604203</v>
      </c>
      <c r="O6025">
        <v>46.439439584118901</v>
      </c>
      <c r="P6025">
        <v>-6.8166282637164399E-2</v>
      </c>
      <c r="Q6025">
        <v>0.25365070877707702</v>
      </c>
      <c r="R6025">
        <v>0.96966943891075097</v>
      </c>
      <c r="S6025" t="s">
        <v>12336</v>
      </c>
      <c r="T6025" t="s">
        <v>12620</v>
      </c>
      <c r="U6025" t="s">
        <v>12620</v>
      </c>
      <c r="V6025" t="s">
        <v>12620</v>
      </c>
      <c r="W6025" t="s">
        <v>18585</v>
      </c>
      <c r="X6025">
        <v>20</v>
      </c>
      <c r="Y6025" t="s">
        <v>24670</v>
      </c>
      <c r="Z6025" t="s">
        <v>30972</v>
      </c>
      <c r="AA6025">
        <v>0.44534999572623479</v>
      </c>
      <c r="AB6025" t="str">
        <f>HYPERLINK("Melting_Curves/meltCurve_Q9UNF1_MAGED2.pdf", "Melting_Curves/meltCurve_Q9UNF1_MAGED2.pdf")</f>
        <v>Melting_Curves/meltCurve_Q9UNF1_MAGED2.pdf</v>
      </c>
    </row>
    <row r="6026" spans="1:28" x14ac:dyDescent="0.25">
      <c r="A6026" t="s">
        <v>6030</v>
      </c>
      <c r="B6026">
        <v>0.99987803227770999</v>
      </c>
      <c r="C6026">
        <v>0.86169175571659995</v>
      </c>
      <c r="D6026">
        <v>0.65196618209350499</v>
      </c>
      <c r="E6026">
        <v>0.57210027139732</v>
      </c>
      <c r="F6026">
        <v>0.42503112031936702</v>
      </c>
      <c r="G6026">
        <v>0.37311235197512699</v>
      </c>
      <c r="H6026">
        <v>0.237389595855584</v>
      </c>
      <c r="I6026">
        <v>0.21618661514208001</v>
      </c>
      <c r="J6026">
        <v>0.13373207964560099</v>
      </c>
      <c r="K6026">
        <v>6.3448434312230406E-2</v>
      </c>
      <c r="L6026">
        <v>413.89834698748302</v>
      </c>
      <c r="M6026">
        <v>7.9957063255117902</v>
      </c>
      <c r="N6026">
        <v>51.765073287550798</v>
      </c>
      <c r="O6026">
        <v>48.828048255329598</v>
      </c>
      <c r="P6026">
        <v>-4.0984474848372199E-2</v>
      </c>
      <c r="Q6026">
        <v>0</v>
      </c>
      <c r="R6026">
        <v>0.97583462655634901</v>
      </c>
      <c r="S6026" t="s">
        <v>12337</v>
      </c>
      <c r="T6026" t="s">
        <v>12620</v>
      </c>
      <c r="U6026" t="s">
        <v>12620</v>
      </c>
      <c r="V6026" t="s">
        <v>12620</v>
      </c>
      <c r="W6026" t="s">
        <v>18586</v>
      </c>
      <c r="X6026">
        <v>1</v>
      </c>
      <c r="Y6026" t="s">
        <v>24671</v>
      </c>
      <c r="Z6026" t="s">
        <v>30973</v>
      </c>
      <c r="AA6026">
        <v>0.44078511038937668</v>
      </c>
      <c r="AB6026" t="str">
        <f>HYPERLINK("Melting_Curves/meltCurve_Q9UNH6_2_SNX7.pdf", "Melting_Curves/meltCurve_Q9UNH6_2_SNX7.pdf")</f>
        <v>Melting_Curves/meltCurve_Q9UNH6_2_SNX7.pdf</v>
      </c>
    </row>
    <row r="6027" spans="1:28" x14ac:dyDescent="0.25">
      <c r="A6027" t="s">
        <v>6031</v>
      </c>
      <c r="B6027">
        <v>0.99987803227770999</v>
      </c>
      <c r="C6027">
        <v>0.95002171656226897</v>
      </c>
      <c r="D6027">
        <v>0.83344371670616002</v>
      </c>
      <c r="E6027">
        <v>0.57566409901686399</v>
      </c>
      <c r="F6027">
        <v>0.187029917641273</v>
      </c>
      <c r="G6027">
        <v>0.119497662489017</v>
      </c>
      <c r="H6027">
        <v>7.5845095785445196E-2</v>
      </c>
      <c r="I6027">
        <v>7.06648567615073E-2</v>
      </c>
      <c r="J6027">
        <v>4.9062299219160402E-2</v>
      </c>
      <c r="K6027">
        <v>3.2489215680084803E-2</v>
      </c>
      <c r="L6027">
        <v>1091.7924731677101</v>
      </c>
      <c r="M6027">
        <v>21.873506254323399</v>
      </c>
      <c r="N6027">
        <v>50.134719500899102</v>
      </c>
      <c r="O6027">
        <v>49.502347663823102</v>
      </c>
      <c r="P6027">
        <v>-0.105396864347824</v>
      </c>
      <c r="Q6027">
        <v>4.5919205233609199E-2</v>
      </c>
      <c r="R6027">
        <v>0.99234551070652099</v>
      </c>
      <c r="S6027" t="s">
        <v>12338</v>
      </c>
      <c r="T6027" t="s">
        <v>12620</v>
      </c>
      <c r="U6027" t="s">
        <v>12620</v>
      </c>
      <c r="V6027" t="s">
        <v>12620</v>
      </c>
      <c r="W6027" t="s">
        <v>18587</v>
      </c>
      <c r="X6027">
        <v>24</v>
      </c>
      <c r="Y6027" t="s">
        <v>24672</v>
      </c>
      <c r="Z6027" t="s">
        <v>30974</v>
      </c>
      <c r="AA6027">
        <v>0.37234281326791391</v>
      </c>
      <c r="AB6027" t="str">
        <f>HYPERLINK("Melting_Curves/meltCurve_Q9UNH7_SNX6.pdf", "Melting_Curves/meltCurve_Q9UNH7_SNX6.pdf")</f>
        <v>Melting_Curves/meltCurve_Q9UNH7_SNX6.pdf</v>
      </c>
    </row>
    <row r="6028" spans="1:28" x14ac:dyDescent="0.25">
      <c r="A6028" t="s">
        <v>6032</v>
      </c>
      <c r="B6028">
        <v>0.99987803227770999</v>
      </c>
      <c r="C6028">
        <v>0.95518969930918296</v>
      </c>
      <c r="D6028">
        <v>1.19646266721064</v>
      </c>
      <c r="E6028">
        <v>0.91063076135912702</v>
      </c>
      <c r="F6028">
        <v>0.87755661972930199</v>
      </c>
      <c r="G6028">
        <v>0.26094742414143601</v>
      </c>
      <c r="H6028">
        <v>0.13400606509065299</v>
      </c>
      <c r="I6028">
        <v>0.125115859345381</v>
      </c>
      <c r="J6028">
        <v>0.113111219597993</v>
      </c>
      <c r="K6028">
        <v>8.8466789296640605E-2</v>
      </c>
      <c r="L6028">
        <v>2458.5564506250598</v>
      </c>
      <c r="M6028">
        <v>44.670804281139198</v>
      </c>
      <c r="N6028">
        <v>55.3471866458747</v>
      </c>
      <c r="O6028">
        <v>54.927253890094399</v>
      </c>
      <c r="P6028">
        <v>-0.18081569113861801</v>
      </c>
      <c r="Q6028">
        <v>0.11067675848599701</v>
      </c>
      <c r="R6028">
        <v>0.97418445881695004</v>
      </c>
      <c r="S6028" t="s">
        <v>12339</v>
      </c>
      <c r="T6028" t="s">
        <v>12620</v>
      </c>
      <c r="U6028" t="s">
        <v>12620</v>
      </c>
      <c r="V6028" t="s">
        <v>12620</v>
      </c>
      <c r="W6028" t="s">
        <v>18588</v>
      </c>
      <c r="X6028">
        <v>7</v>
      </c>
      <c r="Y6028" t="s">
        <v>24673</v>
      </c>
      <c r="Z6028" t="s">
        <v>30975</v>
      </c>
      <c r="AA6028">
        <v>0.55914573255985178</v>
      </c>
      <c r="AB6028" t="str">
        <f>HYPERLINK("Melting_Curves/meltCurve_Q9UNI6_DUSP12.pdf", "Melting_Curves/meltCurve_Q9UNI6_DUSP12.pdf")</f>
        <v>Melting_Curves/meltCurve_Q9UNI6_DUSP12.pdf</v>
      </c>
    </row>
    <row r="6029" spans="1:28" x14ac:dyDescent="0.25">
      <c r="A6029" t="s">
        <v>6033</v>
      </c>
      <c r="B6029">
        <v>0.99987803227770999</v>
      </c>
      <c r="C6029">
        <v>0.81594904726273898</v>
      </c>
      <c r="D6029">
        <v>0.91128805944254299</v>
      </c>
      <c r="E6029">
        <v>0.85872790244202601</v>
      </c>
      <c r="F6029">
        <v>0.86577662378116704</v>
      </c>
      <c r="G6029">
        <v>0.74459532915254301</v>
      </c>
      <c r="H6029">
        <v>0.75527388090359604</v>
      </c>
      <c r="I6029">
        <v>0.87821244448097302</v>
      </c>
      <c r="J6029">
        <v>0.52844939768638199</v>
      </c>
      <c r="K6029">
        <v>0.42682189358357697</v>
      </c>
      <c r="L6029">
        <v>324.19428635454199</v>
      </c>
      <c r="M6029">
        <v>4.4279555659846404</v>
      </c>
      <c r="O6029">
        <v>61.949888003379797</v>
      </c>
      <c r="P6029">
        <v>-1.8033990829466801E-2</v>
      </c>
      <c r="Q6029">
        <v>0</v>
      </c>
      <c r="R6029">
        <v>0.65456360676158198</v>
      </c>
      <c r="S6029" t="s">
        <v>12340</v>
      </c>
      <c r="T6029" t="s">
        <v>12620</v>
      </c>
      <c r="U6029" t="s">
        <v>12620</v>
      </c>
      <c r="V6029" t="s">
        <v>12620</v>
      </c>
      <c r="W6029" t="s">
        <v>18589</v>
      </c>
      <c r="X6029">
        <v>7</v>
      </c>
      <c r="Y6029" t="s">
        <v>24674</v>
      </c>
      <c r="Z6029" t="s">
        <v>30976</v>
      </c>
      <c r="AA6029">
        <v>0.79513261679262859</v>
      </c>
      <c r="AB6029" t="str">
        <f>HYPERLINK("Melting_Curves/meltCurve_Q9UNK0_STX8.pdf", "Melting_Curves/meltCurve_Q9UNK0_STX8.pdf")</f>
        <v>Melting_Curves/meltCurve_Q9UNK0_STX8.pdf</v>
      </c>
    </row>
    <row r="6030" spans="1:28" x14ac:dyDescent="0.25">
      <c r="A6030" t="s">
        <v>6034</v>
      </c>
      <c r="B6030">
        <v>0.99987803227770999</v>
      </c>
      <c r="C6030">
        <v>1.0100223295089199</v>
      </c>
      <c r="D6030">
        <v>0.82703752988469803</v>
      </c>
      <c r="E6030">
        <v>1.4324726005616899</v>
      </c>
      <c r="F6030">
        <v>0.79764530038682102</v>
      </c>
      <c r="G6030">
        <v>0.42325811327454199</v>
      </c>
      <c r="H6030">
        <v>0.13512541208486401</v>
      </c>
      <c r="I6030">
        <v>9.4743981643703207E-2</v>
      </c>
      <c r="J6030">
        <v>7.7221984956157994E-2</v>
      </c>
      <c r="K6030">
        <v>5.0575111690251501E-2</v>
      </c>
      <c r="L6030">
        <v>1993.5726592410599</v>
      </c>
      <c r="M6030">
        <v>35.547109562438898</v>
      </c>
      <c r="N6030">
        <v>56.3369531916764</v>
      </c>
      <c r="O6030">
        <v>55.905952066441998</v>
      </c>
      <c r="P6030">
        <v>-0.147173707903065</v>
      </c>
      <c r="Q6030">
        <v>7.4145950492389603E-2</v>
      </c>
      <c r="R6030">
        <v>0.891071132875903</v>
      </c>
      <c r="S6030" t="s">
        <v>12341</v>
      </c>
      <c r="T6030" t="s">
        <v>12620</v>
      </c>
      <c r="U6030" t="s">
        <v>12620</v>
      </c>
      <c r="V6030" t="s">
        <v>12620</v>
      </c>
      <c r="W6030" t="s">
        <v>18590</v>
      </c>
      <c r="X6030">
        <v>21</v>
      </c>
      <c r="Y6030" t="s">
        <v>24675</v>
      </c>
      <c r="Z6030" t="s">
        <v>30977</v>
      </c>
      <c r="AA6030">
        <v>0.57496964104616466</v>
      </c>
      <c r="AB6030" t="str">
        <f>HYPERLINK("Melting_Curves/meltCurve_Q9UNM6_PSMD13.pdf", "Melting_Curves/meltCurve_Q9UNM6_PSMD13.pdf")</f>
        <v>Melting_Curves/meltCurve_Q9UNM6_PSMD13.pdf</v>
      </c>
    </row>
    <row r="6031" spans="1:28" x14ac:dyDescent="0.25">
      <c r="A6031" t="s">
        <v>6035</v>
      </c>
      <c r="B6031">
        <v>0.99987803227770999</v>
      </c>
      <c r="C6031">
        <v>0.96195545648815495</v>
      </c>
      <c r="D6031">
        <v>1.0557934466738199</v>
      </c>
      <c r="E6031">
        <v>1.0159719443663899</v>
      </c>
      <c r="F6031">
        <v>1.11284890001357</v>
      </c>
      <c r="G6031">
        <v>1.02190169383487</v>
      </c>
      <c r="H6031">
        <v>0.62946192486831898</v>
      </c>
      <c r="I6031">
        <v>0.19267334627360799</v>
      </c>
      <c r="J6031">
        <v>0.12892009043722799</v>
      </c>
      <c r="K6031">
        <v>9.6832719547410906E-2</v>
      </c>
      <c r="L6031">
        <v>3554.9909720742598</v>
      </c>
      <c r="M6031">
        <v>57.925512457613799</v>
      </c>
      <c r="N6031">
        <v>61.639612631972199</v>
      </c>
      <c r="O6031">
        <v>61.2987484790997</v>
      </c>
      <c r="P6031">
        <v>-0.209957436664158</v>
      </c>
      <c r="Q6031">
        <v>0.11126400856577399</v>
      </c>
      <c r="R6031">
        <v>0.98816881448478999</v>
      </c>
      <c r="S6031" t="s">
        <v>12342</v>
      </c>
      <c r="T6031" t="s">
        <v>12620</v>
      </c>
      <c r="U6031" t="s">
        <v>12620</v>
      </c>
      <c r="V6031" t="s">
        <v>12620</v>
      </c>
      <c r="W6031" t="s">
        <v>18591</v>
      </c>
      <c r="X6031">
        <v>26</v>
      </c>
      <c r="Y6031" t="s">
        <v>24676</v>
      </c>
      <c r="Z6031" t="s">
        <v>30978</v>
      </c>
      <c r="AA6031">
        <v>0.74614889882844382</v>
      </c>
      <c r="AB6031" t="str">
        <f>HYPERLINK("Melting_Curves/meltCurve_Q9UNN5_FAF1.pdf", "Melting_Curves/meltCurve_Q9UNN5_FAF1.pdf")</f>
        <v>Melting_Curves/meltCurve_Q9UNN5_FAF1.pdf</v>
      </c>
    </row>
    <row r="6032" spans="1:28" x14ac:dyDescent="0.25">
      <c r="A6032" t="s">
        <v>6036</v>
      </c>
      <c r="B6032">
        <v>0.99987803227770999</v>
      </c>
      <c r="C6032">
        <v>0.87558269043986803</v>
      </c>
      <c r="D6032">
        <v>0.98045749295431806</v>
      </c>
      <c r="E6032">
        <v>0.95574138963170496</v>
      </c>
      <c r="F6032">
        <v>1.15123694735319</v>
      </c>
      <c r="G6032">
        <v>1.1141589711844</v>
      </c>
      <c r="H6032">
        <v>1.0411749954507099</v>
      </c>
      <c r="I6032">
        <v>0.93382055755221505</v>
      </c>
      <c r="J6032">
        <v>0.66359261664768199</v>
      </c>
      <c r="K6032">
        <v>0.402882217011925</v>
      </c>
      <c r="L6032">
        <v>3445.5423164840299</v>
      </c>
      <c r="M6032">
        <v>51.478737299587699</v>
      </c>
      <c r="N6032">
        <v>68.454227738234906</v>
      </c>
      <c r="O6032">
        <v>66.830576014030896</v>
      </c>
      <c r="P6032">
        <v>-0.126919817287202</v>
      </c>
      <c r="Q6032">
        <v>0.34092240962176501</v>
      </c>
      <c r="R6032">
        <v>0.87625851176190905</v>
      </c>
      <c r="S6032" t="s">
        <v>12343</v>
      </c>
      <c r="T6032" t="s">
        <v>12620</v>
      </c>
      <c r="U6032" t="s">
        <v>12620</v>
      </c>
      <c r="V6032" t="s">
        <v>12620</v>
      </c>
      <c r="W6032" t="s">
        <v>18592</v>
      </c>
      <c r="X6032">
        <v>4</v>
      </c>
      <c r="Y6032" t="s">
        <v>24677</v>
      </c>
      <c r="Z6032" t="s">
        <v>30979</v>
      </c>
      <c r="AA6032">
        <v>0.93117036344568083</v>
      </c>
      <c r="AB6032" t="str">
        <f>HYPERLINK("Melting_Curves/meltCurve_Q9UNN8_PROCR.pdf", "Melting_Curves/meltCurve_Q9UNN8_PROCR.pdf")</f>
        <v>Melting_Curves/meltCurve_Q9UNN8_PROCR.pdf</v>
      </c>
    </row>
    <row r="6033" spans="1:28" x14ac:dyDescent="0.25">
      <c r="A6033" t="s">
        <v>6037</v>
      </c>
      <c r="B6033">
        <v>0.99987803227770999</v>
      </c>
      <c r="C6033">
        <v>0.60433334513641401</v>
      </c>
      <c r="D6033">
        <v>0.83807694176380998</v>
      </c>
      <c r="E6033">
        <v>0.81065095204725202</v>
      </c>
      <c r="F6033">
        <v>0.96822123004027105</v>
      </c>
      <c r="G6033">
        <v>0.53769708908011105</v>
      </c>
      <c r="H6033">
        <v>0.33627605499499003</v>
      </c>
      <c r="I6033">
        <v>0.234587169378565</v>
      </c>
      <c r="J6033">
        <v>0.20553165577954</v>
      </c>
      <c r="K6033">
        <v>0.168261417707291</v>
      </c>
      <c r="L6033">
        <v>605.66710716988302</v>
      </c>
      <c r="M6033">
        <v>10.387849565258399</v>
      </c>
      <c r="N6033">
        <v>58.305336857915201</v>
      </c>
      <c r="O6033">
        <v>56.268719679980798</v>
      </c>
      <c r="P6033">
        <v>-4.6172259924896999E-2</v>
      </c>
      <c r="Q6033">
        <v>0</v>
      </c>
      <c r="R6033">
        <v>0.77659819389040696</v>
      </c>
      <c r="S6033" t="s">
        <v>12344</v>
      </c>
      <c r="T6033" t="s">
        <v>12620</v>
      </c>
      <c r="U6033" t="s">
        <v>12620</v>
      </c>
      <c r="V6033" t="s">
        <v>12620</v>
      </c>
      <c r="W6033" t="s">
        <v>18593</v>
      </c>
      <c r="X6033">
        <v>10</v>
      </c>
      <c r="Y6033" t="s">
        <v>24678</v>
      </c>
      <c r="Z6033" t="s">
        <v>30980</v>
      </c>
      <c r="AA6033">
        <v>0.61903860871649186</v>
      </c>
      <c r="AB6033" t="str">
        <f>HYPERLINK("Melting_Curves/meltCurve_Q9UNP9_PPIE.pdf", "Melting_Curves/meltCurve_Q9UNP9_PPIE.pdf")</f>
        <v>Melting_Curves/meltCurve_Q9UNP9_PPIE.pdf</v>
      </c>
    </row>
    <row r="6034" spans="1:28" x14ac:dyDescent="0.25">
      <c r="A6034" t="s">
        <v>6038</v>
      </c>
      <c r="B6034">
        <v>0.99987803227770999</v>
      </c>
      <c r="C6034">
        <v>1.2453452691774101</v>
      </c>
      <c r="D6034">
        <v>1.1169239224074601</v>
      </c>
      <c r="E6034">
        <v>1.23729717921534</v>
      </c>
      <c r="F6034">
        <v>0.81959794414578202</v>
      </c>
      <c r="G6034">
        <v>0.46029692013906898</v>
      </c>
      <c r="H6034">
        <v>0.13674413596766399</v>
      </c>
      <c r="I6034">
        <v>9.5039050074155002E-2</v>
      </c>
      <c r="J6034">
        <v>5.7115823101838298E-2</v>
      </c>
      <c r="K6034">
        <v>3.0764252990925299E-2</v>
      </c>
      <c r="L6034">
        <v>1788.17280747055</v>
      </c>
      <c r="M6034">
        <v>31.692793103301401</v>
      </c>
      <c r="N6034">
        <v>56.620359270070999</v>
      </c>
      <c r="O6034">
        <v>56.198852346442898</v>
      </c>
      <c r="P6034">
        <v>-0.13358004280232999</v>
      </c>
      <c r="Q6034">
        <v>5.2528348430518103E-2</v>
      </c>
      <c r="R6034">
        <v>0.93985802624445403</v>
      </c>
      <c r="S6034" t="s">
        <v>12345</v>
      </c>
      <c r="T6034" t="s">
        <v>12620</v>
      </c>
      <c r="U6034" t="s">
        <v>12620</v>
      </c>
      <c r="V6034" t="s">
        <v>12620</v>
      </c>
      <c r="W6034" t="s">
        <v>18594</v>
      </c>
      <c r="X6034">
        <v>6</v>
      </c>
      <c r="Y6034" t="s">
        <v>24679</v>
      </c>
      <c r="Z6034" t="s">
        <v>30981</v>
      </c>
      <c r="AA6034">
        <v>0.57689441424388221</v>
      </c>
      <c r="AB6034" t="str">
        <f>HYPERLINK("Melting_Curves/meltCurve_Q9UNQ2_DIMT1.pdf", "Melting_Curves/meltCurve_Q9UNQ2_DIMT1.pdf")</f>
        <v>Melting_Curves/meltCurve_Q9UNQ2_DIMT1.pdf</v>
      </c>
    </row>
    <row r="6035" spans="1:28" x14ac:dyDescent="0.25">
      <c r="A6035" t="s">
        <v>6039</v>
      </c>
      <c r="B6035">
        <v>0.99987803227770999</v>
      </c>
      <c r="C6035">
        <v>0.79696469680071502</v>
      </c>
      <c r="D6035">
        <v>0.46851799004323502</v>
      </c>
      <c r="E6035">
        <v>0.37714917489403199</v>
      </c>
      <c r="F6035">
        <v>0.30005656656256502</v>
      </c>
      <c r="G6035">
        <v>0.20977217309683899</v>
      </c>
      <c r="H6035">
        <v>0.19260725935837</v>
      </c>
      <c r="I6035">
        <v>0.18522020839313</v>
      </c>
      <c r="J6035">
        <v>0.161005313137532</v>
      </c>
      <c r="K6035">
        <v>0.11038358046876399</v>
      </c>
      <c r="L6035">
        <v>742.927809808387</v>
      </c>
      <c r="M6035">
        <v>16.2928258825082</v>
      </c>
      <c r="N6035">
        <v>46.792579958669997</v>
      </c>
      <c r="O6035">
        <v>44.928117653569302</v>
      </c>
      <c r="P6035">
        <v>-7.5245563637465193E-2</v>
      </c>
      <c r="Q6035">
        <v>0.17008965911868901</v>
      </c>
      <c r="R6035">
        <v>0.97097162562721495</v>
      </c>
      <c r="S6035" t="s">
        <v>12346</v>
      </c>
      <c r="T6035" t="s">
        <v>12620</v>
      </c>
      <c r="U6035" t="s">
        <v>12620</v>
      </c>
      <c r="V6035" t="s">
        <v>12620</v>
      </c>
      <c r="W6035" t="s">
        <v>18595</v>
      </c>
      <c r="X6035">
        <v>12</v>
      </c>
      <c r="Y6035" t="s">
        <v>24680</v>
      </c>
      <c r="Z6035" t="s">
        <v>30982</v>
      </c>
      <c r="AA6035">
        <v>0.34598667503546032</v>
      </c>
      <c r="AB6035" t="str">
        <f>HYPERLINK("Melting_Curves/meltCurve_Q9UNS1_2_TIMELESS.pdf", "Melting_Curves/meltCurve_Q9UNS1_2_TIMELESS.pdf")</f>
        <v>Melting_Curves/meltCurve_Q9UNS1_2_TIMELESS.pdf</v>
      </c>
    </row>
    <row r="6036" spans="1:28" x14ac:dyDescent="0.25">
      <c r="A6036" t="s">
        <v>6040</v>
      </c>
      <c r="B6036">
        <v>0.99987803227770999</v>
      </c>
      <c r="C6036">
        <v>1.0409310118777699</v>
      </c>
      <c r="D6036">
        <v>0.88607387132243498</v>
      </c>
      <c r="E6036">
        <v>1.1869200678187199</v>
      </c>
      <c r="F6036">
        <v>0.98212427144731596</v>
      </c>
      <c r="G6036">
        <v>0.89688179883780195</v>
      </c>
      <c r="H6036">
        <v>0.91833159630577299</v>
      </c>
      <c r="I6036">
        <v>0.50085282297095202</v>
      </c>
      <c r="J6036">
        <v>0.11210972681668201</v>
      </c>
      <c r="K6036">
        <v>6.2454912795753499E-2</v>
      </c>
      <c r="L6036">
        <v>3249.0984620061899</v>
      </c>
      <c r="M6036">
        <v>50.872028981086999</v>
      </c>
      <c r="N6036">
        <v>63.980223553855197</v>
      </c>
      <c r="O6036">
        <v>63.769611036603401</v>
      </c>
      <c r="P6036">
        <v>-0.19092931688645301</v>
      </c>
      <c r="Q6036">
        <v>4.2658305620419203E-2</v>
      </c>
      <c r="R6036">
        <v>0.95692283106528697</v>
      </c>
      <c r="S6036" t="s">
        <v>12347</v>
      </c>
      <c r="T6036" t="s">
        <v>12620</v>
      </c>
      <c r="U6036" t="s">
        <v>12620</v>
      </c>
      <c r="V6036" t="s">
        <v>12620</v>
      </c>
      <c r="W6036" t="s">
        <v>18596</v>
      </c>
      <c r="X6036">
        <v>18</v>
      </c>
      <c r="Y6036" t="s">
        <v>24681</v>
      </c>
      <c r="Z6036" t="s">
        <v>30983</v>
      </c>
      <c r="AA6036">
        <v>0.80634561266502303</v>
      </c>
      <c r="AB6036" t="str">
        <f>HYPERLINK("Melting_Curves/meltCurve_Q9UNS2_COPS3.pdf", "Melting_Curves/meltCurve_Q9UNS2_COPS3.pdf")</f>
        <v>Melting_Curves/meltCurve_Q9UNS2_COPS3.pdf</v>
      </c>
    </row>
    <row r="6037" spans="1:28" x14ac:dyDescent="0.25">
      <c r="A6037" t="s">
        <v>6041</v>
      </c>
      <c r="B6037">
        <v>0.99987803227770999</v>
      </c>
      <c r="C6037">
        <v>0.74353084614209897</v>
      </c>
      <c r="D6037">
        <v>0.49562476100936098</v>
      </c>
      <c r="E6037">
        <v>0.19774440510084201</v>
      </c>
      <c r="F6037">
        <v>7.82066591299517E-2</v>
      </c>
      <c r="G6037">
        <v>5.4254298363352799E-2</v>
      </c>
      <c r="H6037">
        <v>2.7852683670682998E-2</v>
      </c>
      <c r="I6037">
        <v>2.3876328805746E-2</v>
      </c>
      <c r="J6037">
        <v>1.7890693931904299E-2</v>
      </c>
      <c r="K6037">
        <v>1.37433672317344E-2</v>
      </c>
      <c r="L6037">
        <v>854.57839663745403</v>
      </c>
      <c r="M6037">
        <v>18.6661015418942</v>
      </c>
      <c r="N6037">
        <v>45.874864288775399</v>
      </c>
      <c r="O6037">
        <v>45.2666170775708</v>
      </c>
      <c r="P6037">
        <v>-0.101190279545496</v>
      </c>
      <c r="Q6037">
        <v>1.8467614407906299E-2</v>
      </c>
      <c r="R6037">
        <v>0.99492233325641899</v>
      </c>
      <c r="S6037" t="s">
        <v>12348</v>
      </c>
      <c r="T6037" t="s">
        <v>12620</v>
      </c>
      <c r="U6037" t="s">
        <v>12620</v>
      </c>
      <c r="V6037" t="s">
        <v>12620</v>
      </c>
      <c r="W6037" t="s">
        <v>18597</v>
      </c>
      <c r="X6037">
        <v>1</v>
      </c>
      <c r="Y6037" t="s">
        <v>24682</v>
      </c>
      <c r="Z6037" t="s">
        <v>30984</v>
      </c>
      <c r="AA6037">
        <v>0.22571516712382059</v>
      </c>
      <c r="AB6037" t="str">
        <f>HYPERLINK("Melting_Curves/meltCurve_Q9UNT1_RABL2B.pdf", "Melting_Curves/meltCurve_Q9UNT1_RABL2B.pdf")</f>
        <v>Melting_Curves/meltCurve_Q9UNT1_RABL2B.pdf</v>
      </c>
    </row>
    <row r="6038" spans="1:28" x14ac:dyDescent="0.25">
      <c r="A6038" t="s">
        <v>6042</v>
      </c>
      <c r="B6038">
        <v>0.99987803227770999</v>
      </c>
      <c r="C6038">
        <v>0.96035927552054501</v>
      </c>
      <c r="D6038">
        <v>0.983830786516248</v>
      </c>
      <c r="E6038">
        <v>0.88310065940700599</v>
      </c>
      <c r="F6038">
        <v>1.0365967747731399</v>
      </c>
      <c r="G6038">
        <v>0.88433922333867099</v>
      </c>
      <c r="H6038">
        <v>0.85481449118361297</v>
      </c>
      <c r="I6038">
        <v>0.52533848396905503</v>
      </c>
      <c r="J6038">
        <v>0.243296239977384</v>
      </c>
      <c r="K6038">
        <v>8.6490382443512204E-2</v>
      </c>
      <c r="L6038">
        <v>1815.84764028534</v>
      </c>
      <c r="M6038">
        <v>28.236742864025899</v>
      </c>
      <c r="N6038">
        <v>64.307968255340498</v>
      </c>
      <c r="O6038">
        <v>63.988020390854899</v>
      </c>
      <c r="P6038">
        <v>-0.110321342582841</v>
      </c>
      <c r="Q6038">
        <v>0</v>
      </c>
      <c r="R6038">
        <v>0.97481077079702705</v>
      </c>
      <c r="S6038" t="s">
        <v>12349</v>
      </c>
      <c r="T6038" t="s">
        <v>12620</v>
      </c>
      <c r="U6038" t="s">
        <v>12620</v>
      </c>
      <c r="V6038" t="s">
        <v>12620</v>
      </c>
      <c r="W6038" t="s">
        <v>18598</v>
      </c>
      <c r="X6038">
        <v>9</v>
      </c>
      <c r="Y6038" t="s">
        <v>24683</v>
      </c>
      <c r="Z6038" t="s">
        <v>30985</v>
      </c>
      <c r="AA6038">
        <v>0.80986734008619488</v>
      </c>
      <c r="AB6038" t="str">
        <f>HYPERLINK("Melting_Curves/meltCurve_Q9UNW1_MINPP1.pdf", "Melting_Curves/meltCurve_Q9UNW1_MINPP1.pdf")</f>
        <v>Melting_Curves/meltCurve_Q9UNW1_MINPP1.pdf</v>
      </c>
    </row>
    <row r="6039" spans="1:28" x14ac:dyDescent="0.25">
      <c r="A6039" t="s">
        <v>6043</v>
      </c>
      <c r="B6039">
        <v>0.99987803227770999</v>
      </c>
      <c r="C6039">
        <v>0.82938441417872499</v>
      </c>
      <c r="D6039">
        <v>0.89991441749496803</v>
      </c>
      <c r="E6039">
        <v>0.74488378469763705</v>
      </c>
      <c r="F6039">
        <v>0.83530505310029202</v>
      </c>
      <c r="G6039">
        <v>0.56641651637731605</v>
      </c>
      <c r="H6039">
        <v>0.55681802808838998</v>
      </c>
      <c r="I6039">
        <v>0.47389641280217398</v>
      </c>
      <c r="J6039">
        <v>0.49977151744261</v>
      </c>
      <c r="K6039">
        <v>0.36531014550473601</v>
      </c>
      <c r="L6039">
        <v>309.38861873471501</v>
      </c>
      <c r="M6039">
        <v>4.8547104017397604</v>
      </c>
      <c r="N6039">
        <v>63.729572784245903</v>
      </c>
      <c r="O6039">
        <v>55.231411693145802</v>
      </c>
      <c r="P6039">
        <v>-2.2123318431347801E-2</v>
      </c>
      <c r="Q6039">
        <v>0</v>
      </c>
      <c r="R6039">
        <v>0.913850034678514</v>
      </c>
      <c r="S6039" t="s">
        <v>12350</v>
      </c>
      <c r="T6039" t="s">
        <v>12620</v>
      </c>
      <c r="U6039" t="s">
        <v>12620</v>
      </c>
      <c r="V6039" t="s">
        <v>12620</v>
      </c>
      <c r="W6039" t="s">
        <v>18599</v>
      </c>
      <c r="X6039">
        <v>6</v>
      </c>
      <c r="Y6039" t="s">
        <v>24684</v>
      </c>
      <c r="Z6039" t="s">
        <v>30986</v>
      </c>
      <c r="AA6039">
        <v>0.68020482599151066</v>
      </c>
      <c r="AB6039" t="str">
        <f>HYPERLINK("Melting_Curves/meltCurve_Q9UNY4_TTF2.pdf", "Melting_Curves/meltCurve_Q9UNY4_TTF2.pdf")</f>
        <v>Melting_Curves/meltCurve_Q9UNY4_TTF2.pdf</v>
      </c>
    </row>
    <row r="6040" spans="1:28" x14ac:dyDescent="0.25">
      <c r="A6040" t="s">
        <v>6044</v>
      </c>
      <c r="B6040">
        <v>0.99987803227770999</v>
      </c>
      <c r="C6040">
        <v>0.80690858530142995</v>
      </c>
      <c r="D6040">
        <v>0.96815803505925402</v>
      </c>
      <c r="E6040">
        <v>0.89795160379326999</v>
      </c>
      <c r="F6040">
        <v>1.04792655328691</v>
      </c>
      <c r="G6040">
        <v>0.88544247225885298</v>
      </c>
      <c r="H6040">
        <v>0.58070035668405995</v>
      </c>
      <c r="I6040">
        <v>0.35316909838681398</v>
      </c>
      <c r="J6040">
        <v>0.29872368221027801</v>
      </c>
      <c r="K6040">
        <v>0.20573511471606601</v>
      </c>
      <c r="L6040">
        <v>1699.29054128097</v>
      </c>
      <c r="M6040">
        <v>27.980662370398399</v>
      </c>
      <c r="N6040">
        <v>61.943292094277297</v>
      </c>
      <c r="O6040">
        <v>60.423203003656297</v>
      </c>
      <c r="P6040">
        <v>-9.1360445188930994E-2</v>
      </c>
      <c r="Q6040">
        <v>0.210848493228836</v>
      </c>
      <c r="R6040">
        <v>0.94058636769065496</v>
      </c>
      <c r="S6040" t="s">
        <v>12351</v>
      </c>
      <c r="T6040" t="s">
        <v>12620</v>
      </c>
      <c r="U6040" t="s">
        <v>12620</v>
      </c>
      <c r="V6040" t="s">
        <v>12620</v>
      </c>
      <c r="W6040" t="s">
        <v>18600</v>
      </c>
      <c r="X6040">
        <v>29</v>
      </c>
      <c r="Y6040" t="s">
        <v>24685</v>
      </c>
      <c r="Z6040" t="s">
        <v>30987</v>
      </c>
      <c r="AA6040">
        <v>0.76099315686726077</v>
      </c>
      <c r="AB6040" t="str">
        <f>HYPERLINK("Melting_Curves/meltCurve_Q9UNZ2_NSFL1C.pdf", "Melting_Curves/meltCurve_Q9UNZ2_NSFL1C.pdf")</f>
        <v>Melting_Curves/meltCurve_Q9UNZ2_NSFL1C.pdf</v>
      </c>
    </row>
    <row r="6041" spans="1:28" x14ac:dyDescent="0.25">
      <c r="A6041" t="s">
        <v>6045</v>
      </c>
      <c r="B6041">
        <v>0.99987803227770999</v>
      </c>
      <c r="C6041">
        <v>1.0808871798383599</v>
      </c>
      <c r="D6041">
        <v>1.0785722369342501</v>
      </c>
      <c r="E6041">
        <v>1.00687963138124</v>
      </c>
      <c r="F6041">
        <v>0.95450149081454605</v>
      </c>
      <c r="G6041">
        <v>0.74653372208380098</v>
      </c>
      <c r="H6041">
        <v>0.67800563624617305</v>
      </c>
      <c r="I6041">
        <v>0.56266622964722701</v>
      </c>
      <c r="J6041">
        <v>0.69242273061118298</v>
      </c>
      <c r="K6041">
        <v>0.63711239539377196</v>
      </c>
      <c r="L6041">
        <v>2114.4556785955701</v>
      </c>
      <c r="M6041">
        <v>37.913578306450603</v>
      </c>
      <c r="O6041">
        <v>55.615930479788098</v>
      </c>
      <c r="P6041">
        <v>-6.1731650350707802E-2</v>
      </c>
      <c r="Q6041">
        <v>0.63778103556695398</v>
      </c>
      <c r="R6041">
        <v>0.93664206892647695</v>
      </c>
      <c r="S6041" t="s">
        <v>12352</v>
      </c>
      <c r="T6041" t="s">
        <v>12620</v>
      </c>
      <c r="U6041" t="s">
        <v>12620</v>
      </c>
      <c r="V6041" t="s">
        <v>12620</v>
      </c>
      <c r="W6041" t="s">
        <v>18601</v>
      </c>
      <c r="X6041">
        <v>1</v>
      </c>
      <c r="Y6041" t="s">
        <v>24686</v>
      </c>
      <c r="Z6041" t="s">
        <v>30988</v>
      </c>
      <c r="AA6041">
        <v>0.82973516836423833</v>
      </c>
      <c r="AB6041" t="str">
        <f>HYPERLINK("Melting_Curves/meltCurve_Q9UNZ5_C19orf53.pdf", "Melting_Curves/meltCurve_Q9UNZ5_C19orf53.pdf")</f>
        <v>Melting_Curves/meltCurve_Q9UNZ5_C19orf53.pdf</v>
      </c>
    </row>
    <row r="6042" spans="1:28" x14ac:dyDescent="0.25">
      <c r="A6042" t="s">
        <v>6046</v>
      </c>
      <c r="B6042">
        <v>0.99987803227770999</v>
      </c>
      <c r="C6042">
        <v>1.0116561608819199</v>
      </c>
      <c r="D6042">
        <v>0.66114689426395401</v>
      </c>
      <c r="E6042">
        <v>0.34224018455218003</v>
      </c>
      <c r="F6042">
        <v>0.20091103284455999</v>
      </c>
      <c r="G6042">
        <v>0.129551295542219</v>
      </c>
      <c r="H6042">
        <v>0.104577302960525</v>
      </c>
      <c r="I6042">
        <v>9.0164619642751104E-2</v>
      </c>
      <c r="J6042">
        <v>8.0596756816408002E-2</v>
      </c>
      <c r="K6042">
        <v>5.6946431091049202E-2</v>
      </c>
      <c r="L6042">
        <v>1032.6728909184001</v>
      </c>
      <c r="M6042">
        <v>21.665963225037</v>
      </c>
      <c r="N6042">
        <v>48.092305761344498</v>
      </c>
      <c r="O6042">
        <v>47.262896500206203</v>
      </c>
      <c r="P6042">
        <v>-0.10453701259914799</v>
      </c>
      <c r="Q6042">
        <v>8.7858725976058802E-2</v>
      </c>
      <c r="R6042">
        <v>0.99041601651313604</v>
      </c>
      <c r="S6042" t="s">
        <v>12353</v>
      </c>
      <c r="T6042" t="s">
        <v>12620</v>
      </c>
      <c r="U6042" t="s">
        <v>12620</v>
      </c>
      <c r="V6042" t="s">
        <v>12620</v>
      </c>
      <c r="W6042" t="s">
        <v>18602</v>
      </c>
      <c r="X6042">
        <v>15</v>
      </c>
      <c r="Y6042" t="s">
        <v>24687</v>
      </c>
      <c r="Z6042" t="s">
        <v>30989</v>
      </c>
      <c r="AA6042">
        <v>0.33185611808683441</v>
      </c>
      <c r="AB6042" t="str">
        <f>HYPERLINK("Melting_Curves/meltCurve_Q9UP83_COG5.pdf", "Melting_Curves/meltCurve_Q9UP83_COG5.pdf")</f>
        <v>Melting_Curves/meltCurve_Q9UP83_COG5.pdf</v>
      </c>
    </row>
    <row r="6043" spans="1:28" x14ac:dyDescent="0.25">
      <c r="A6043" t="s">
        <v>6047</v>
      </c>
      <c r="B6043">
        <v>0.99987803227770999</v>
      </c>
      <c r="C6043">
        <v>1.0613076872773699</v>
      </c>
      <c r="D6043">
        <v>0.90886616518712704</v>
      </c>
      <c r="E6043">
        <v>0.86786845605359997</v>
      </c>
      <c r="F6043">
        <v>0.54323542957359305</v>
      </c>
      <c r="G6043">
        <v>0.38171735768718001</v>
      </c>
      <c r="H6043">
        <v>0.19090488333300501</v>
      </c>
      <c r="I6043">
        <v>0.11898719846405301</v>
      </c>
      <c r="J6043">
        <v>7.7914284566904093E-2</v>
      </c>
      <c r="K6043">
        <v>5.8355149141431202E-2</v>
      </c>
      <c r="L6043">
        <v>862.89745514721903</v>
      </c>
      <c r="M6043">
        <v>15.8837457394465</v>
      </c>
      <c r="N6043">
        <v>54.6042358159944</v>
      </c>
      <c r="O6043">
        <v>53.4865930116692</v>
      </c>
      <c r="P6043">
        <v>-7.1359626460401004E-2</v>
      </c>
      <c r="Q6043">
        <v>3.88979180227573E-2</v>
      </c>
      <c r="R6043">
        <v>0.98840198384835298</v>
      </c>
      <c r="S6043" t="s">
        <v>12354</v>
      </c>
      <c r="T6043" t="s">
        <v>12620</v>
      </c>
      <c r="U6043" t="s">
        <v>12620</v>
      </c>
      <c r="V6043" t="s">
        <v>12620</v>
      </c>
      <c r="W6043" t="s">
        <v>18603</v>
      </c>
      <c r="X6043">
        <v>8</v>
      </c>
      <c r="Y6043" t="s">
        <v>24688</v>
      </c>
      <c r="Z6043" t="s">
        <v>30990</v>
      </c>
      <c r="AA6043">
        <v>0.51589763878109829</v>
      </c>
      <c r="AB6043" t="str">
        <f>HYPERLINK("Melting_Curves/meltCurve_Q9UPM8_AP4E1.pdf", "Melting_Curves/meltCurve_Q9UPM8_AP4E1.pdf")</f>
        <v>Melting_Curves/meltCurve_Q9UPM8_AP4E1.pdf</v>
      </c>
    </row>
    <row r="6044" spans="1:28" x14ac:dyDescent="0.25">
      <c r="A6044" t="s">
        <v>6048</v>
      </c>
      <c r="B6044">
        <v>0.99987803227770999</v>
      </c>
      <c r="C6044">
        <v>0.80623117320836701</v>
      </c>
      <c r="D6044">
        <v>1.06870984980316</v>
      </c>
      <c r="E6044">
        <v>0.76409273069146999</v>
      </c>
      <c r="F6044">
        <v>0.98881780150398702</v>
      </c>
      <c r="G6044">
        <v>0.730577942629412</v>
      </c>
      <c r="H6044">
        <v>0.80911367720605698</v>
      </c>
      <c r="I6044">
        <v>0.76232547431719999</v>
      </c>
      <c r="J6044">
        <v>0.89132278342242199</v>
      </c>
      <c r="K6044">
        <v>0.77914302351904496</v>
      </c>
      <c r="L6044">
        <v>387.565158914557</v>
      </c>
      <c r="M6044">
        <v>7.9673344404064697</v>
      </c>
      <c r="O6044">
        <v>45.866435614932797</v>
      </c>
      <c r="P6044">
        <v>-9.6268502254821999E-3</v>
      </c>
      <c r="Q6044">
        <v>0.77857446531006003</v>
      </c>
      <c r="R6044">
        <v>0.25651574089548401</v>
      </c>
      <c r="S6044" t="s">
        <v>12355</v>
      </c>
      <c r="T6044" t="s">
        <v>12620</v>
      </c>
      <c r="U6044" t="s">
        <v>12620</v>
      </c>
      <c r="V6044" t="s">
        <v>12620</v>
      </c>
      <c r="W6044" t="s">
        <v>18604</v>
      </c>
      <c r="X6044">
        <v>13</v>
      </c>
      <c r="Y6044" t="s">
        <v>24689</v>
      </c>
      <c r="Z6044" t="s">
        <v>30991</v>
      </c>
      <c r="AA6044">
        <v>0.85758356668907887</v>
      </c>
      <c r="AB6044" t="str">
        <f>HYPERLINK("Melting_Curves/meltCurve_Q9UPN4_3_AZI1.pdf", "Melting_Curves/meltCurve_Q9UPN4_3_AZI1.pdf")</f>
        <v>Melting_Curves/meltCurve_Q9UPN4_3_AZI1.pdf</v>
      </c>
    </row>
    <row r="6045" spans="1:28" x14ac:dyDescent="0.25">
      <c r="A6045" t="s">
        <v>6049</v>
      </c>
      <c r="B6045">
        <v>0.99987803227770999</v>
      </c>
      <c r="C6045">
        <v>0.95103093000966599</v>
      </c>
      <c r="D6045">
        <v>1.0683991592405999</v>
      </c>
      <c r="E6045">
        <v>0.86203149814383195</v>
      </c>
      <c r="F6045">
        <v>0.78181497384771803</v>
      </c>
      <c r="G6045">
        <v>0.585852999844932</v>
      </c>
      <c r="H6045">
        <v>0.58837459718510998</v>
      </c>
      <c r="I6045">
        <v>0.57544375585926699</v>
      </c>
      <c r="J6045">
        <v>0.58767925246031505</v>
      </c>
      <c r="K6045">
        <v>0.49352238995112202</v>
      </c>
      <c r="L6045">
        <v>1262.26862625017</v>
      </c>
      <c r="M6045">
        <v>23.990183185329201</v>
      </c>
      <c r="O6045">
        <v>52.254546910883903</v>
      </c>
      <c r="P6045">
        <v>-5.1558106666319402E-2</v>
      </c>
      <c r="Q6045">
        <v>0.55079918355862401</v>
      </c>
      <c r="R6045">
        <v>0.95630369943744198</v>
      </c>
      <c r="S6045" t="s">
        <v>12356</v>
      </c>
      <c r="T6045" t="s">
        <v>12620</v>
      </c>
      <c r="U6045" t="s">
        <v>12620</v>
      </c>
      <c r="V6045" t="s">
        <v>12620</v>
      </c>
      <c r="W6045" t="s">
        <v>18605</v>
      </c>
      <c r="X6045">
        <v>14</v>
      </c>
      <c r="Y6045" t="s">
        <v>24690</v>
      </c>
      <c r="Z6045" t="s">
        <v>30992</v>
      </c>
      <c r="AA6045">
        <v>0.74416082363966563</v>
      </c>
      <c r="AB6045" t="str">
        <f>HYPERLINK("Melting_Curves/meltCurve_Q9UPN6_SCAF8.pdf", "Melting_Curves/meltCurve_Q9UPN6_SCAF8.pdf")</f>
        <v>Melting_Curves/meltCurve_Q9UPN6_SCAF8.pdf</v>
      </c>
    </row>
    <row r="6046" spans="1:28" x14ac:dyDescent="0.25">
      <c r="A6046" t="s">
        <v>6050</v>
      </c>
      <c r="B6046">
        <v>0.99987803227770999</v>
      </c>
      <c r="C6046">
        <v>0.96135682959454505</v>
      </c>
      <c r="D6046">
        <v>0.927750182733171</v>
      </c>
      <c r="E6046">
        <v>1.1206002573984299</v>
      </c>
      <c r="F6046">
        <v>1.06804718061973</v>
      </c>
      <c r="G6046">
        <v>0.87497001252653905</v>
      </c>
      <c r="H6046">
        <v>0.57775353822903197</v>
      </c>
      <c r="I6046">
        <v>0.43581721119276701</v>
      </c>
      <c r="J6046">
        <v>0.38892605780130102</v>
      </c>
      <c r="K6046">
        <v>0.29579568964696601</v>
      </c>
      <c r="L6046">
        <v>1793.8116478432801</v>
      </c>
      <c r="M6046">
        <v>29.851865404639401</v>
      </c>
      <c r="N6046">
        <v>62.288465876590401</v>
      </c>
      <c r="O6046">
        <v>59.822724758191697</v>
      </c>
      <c r="P6046">
        <v>-8.4129573328653701E-2</v>
      </c>
      <c r="Q6046">
        <v>0.32562662389736502</v>
      </c>
      <c r="R6046">
        <v>0.96335268366006999</v>
      </c>
      <c r="S6046" t="s">
        <v>12357</v>
      </c>
      <c r="T6046" t="s">
        <v>12620</v>
      </c>
      <c r="U6046" t="s">
        <v>12620</v>
      </c>
      <c r="V6046" t="s">
        <v>12620</v>
      </c>
      <c r="W6046" t="s">
        <v>18606</v>
      </c>
      <c r="X6046">
        <v>13</v>
      </c>
      <c r="Y6046" t="s">
        <v>24691</v>
      </c>
      <c r="Z6046" t="s">
        <v>30993</v>
      </c>
      <c r="AA6046">
        <v>0.78133859223197766</v>
      </c>
      <c r="AB6046" t="str">
        <f>HYPERLINK("Melting_Curves/meltCurve_Q9UPN7_PPP6R1.pdf", "Melting_Curves/meltCurve_Q9UPN7_PPP6R1.pdf")</f>
        <v>Melting_Curves/meltCurve_Q9UPN7_PPP6R1.pdf</v>
      </c>
    </row>
    <row r="6047" spans="1:28" x14ac:dyDescent="0.25">
      <c r="A6047" t="s">
        <v>6051</v>
      </c>
      <c r="B6047">
        <v>0.99987803227770999</v>
      </c>
      <c r="C6047">
        <v>0.86542515421259603</v>
      </c>
      <c r="D6047">
        <v>0.88621389099276604</v>
      </c>
      <c r="E6047">
        <v>0.653553381743046</v>
      </c>
      <c r="F6047">
        <v>0.62373779288755005</v>
      </c>
      <c r="G6047">
        <v>0.39881733759023902</v>
      </c>
      <c r="H6047">
        <v>0.25153917157586497</v>
      </c>
      <c r="I6047">
        <v>0.20810415565609999</v>
      </c>
      <c r="J6047">
        <v>0.171977090630688</v>
      </c>
      <c r="K6047">
        <v>0.139495449755135</v>
      </c>
      <c r="L6047">
        <v>512.30823322233005</v>
      </c>
      <c r="M6047">
        <v>9.4388054220520896</v>
      </c>
      <c r="N6047">
        <v>54.576076275047697</v>
      </c>
      <c r="O6047">
        <v>52.007850782622903</v>
      </c>
      <c r="P6047">
        <v>-4.4254525855904801E-2</v>
      </c>
      <c r="Q6047">
        <v>2.5220556366851599E-2</v>
      </c>
      <c r="R6047">
        <v>0.987171256405173</v>
      </c>
      <c r="S6047" t="s">
        <v>12358</v>
      </c>
      <c r="T6047" t="s">
        <v>12620</v>
      </c>
      <c r="U6047" t="s">
        <v>12620</v>
      </c>
      <c r="V6047" t="s">
        <v>12620</v>
      </c>
      <c r="W6047" t="s">
        <v>18607</v>
      </c>
      <c r="X6047">
        <v>14</v>
      </c>
      <c r="Y6047" t="s">
        <v>24692</v>
      </c>
      <c r="Z6047" t="s">
        <v>30994</v>
      </c>
      <c r="AA6047">
        <v>0.51837059076076775</v>
      </c>
      <c r="AB6047" t="str">
        <f>HYPERLINK("Melting_Curves/meltCurve_Q9UPN9_TRIM33.pdf", "Melting_Curves/meltCurve_Q9UPN9_TRIM33.pdf")</f>
        <v>Melting_Curves/meltCurve_Q9UPN9_TRIM33.pdf</v>
      </c>
    </row>
    <row r="6048" spans="1:28" x14ac:dyDescent="0.25">
      <c r="A6048" t="s">
        <v>6052</v>
      </c>
      <c r="B6048">
        <v>0.99987803227770999</v>
      </c>
      <c r="C6048">
        <v>0.86426262279102395</v>
      </c>
      <c r="D6048">
        <v>1.1932784740672699</v>
      </c>
      <c r="E6048">
        <v>0.83798919264431904</v>
      </c>
      <c r="F6048">
        <v>1.0795526233480399</v>
      </c>
      <c r="G6048">
        <v>0.85336988922413703</v>
      </c>
      <c r="H6048">
        <v>0.88433770191920003</v>
      </c>
      <c r="I6048">
        <v>0.94497847750997299</v>
      </c>
      <c r="J6048">
        <v>0.74584374803184394</v>
      </c>
      <c r="K6048">
        <v>0.58580078888686304</v>
      </c>
      <c r="L6048">
        <v>1010.45811079212</v>
      </c>
      <c r="M6048">
        <v>13.999208347856801</v>
      </c>
      <c r="Q6048">
        <v>0</v>
      </c>
      <c r="R6048">
        <v>0.56112467562614199</v>
      </c>
      <c r="S6048" t="s">
        <v>12359</v>
      </c>
      <c r="T6048" t="s">
        <v>12620</v>
      </c>
      <c r="U6048" t="s">
        <v>12620</v>
      </c>
      <c r="V6048" t="s">
        <v>12620</v>
      </c>
      <c r="W6048" t="s">
        <v>18608</v>
      </c>
      <c r="X6048">
        <v>3</v>
      </c>
      <c r="Y6048" t="s">
        <v>24693</v>
      </c>
      <c r="Z6048" t="s">
        <v>30995</v>
      </c>
      <c r="AA6048">
        <v>0.92981757540204724</v>
      </c>
      <c r="AB6048" t="str">
        <f>HYPERLINK("Melting_Curves/meltCurve_Q9UPP1_4_PHF8.pdf", "Melting_Curves/meltCurve_Q9UPP1_4_PHF8.pdf")</f>
        <v>Melting_Curves/meltCurve_Q9UPP1_4_PHF8.pdf</v>
      </c>
    </row>
    <row r="6049" spans="1:28" x14ac:dyDescent="0.25">
      <c r="A6049" t="s">
        <v>6053</v>
      </c>
      <c r="B6049">
        <v>0.99987803227770999</v>
      </c>
      <c r="C6049">
        <v>0.88001995683018497</v>
      </c>
      <c r="D6049">
        <v>1.00226131258518</v>
      </c>
      <c r="E6049">
        <v>0.842766993230192</v>
      </c>
      <c r="F6049">
        <v>1.0470224750066599</v>
      </c>
      <c r="G6049">
        <v>0.87330397853304997</v>
      </c>
      <c r="H6049">
        <v>0.96179674578938101</v>
      </c>
      <c r="I6049">
        <v>0.89403710246490997</v>
      </c>
      <c r="J6049">
        <v>0.96115877392302096</v>
      </c>
      <c r="K6049">
        <v>0.78695865538545495</v>
      </c>
      <c r="L6049">
        <v>151.70912724383101</v>
      </c>
      <c r="M6049">
        <v>0.20755829659805</v>
      </c>
      <c r="O6049">
        <v>61.5064871296983</v>
      </c>
      <c r="P6049">
        <v>-3.4340282333350102E-3</v>
      </c>
      <c r="Q6049">
        <v>0</v>
      </c>
      <c r="R6049">
        <v>0.14347446437445899</v>
      </c>
      <c r="S6049" t="s">
        <v>12360</v>
      </c>
      <c r="T6049" t="s">
        <v>12620</v>
      </c>
      <c r="U6049" t="s">
        <v>12620</v>
      </c>
      <c r="V6049" t="s">
        <v>12620</v>
      </c>
      <c r="W6049" t="s">
        <v>18609</v>
      </c>
      <c r="X6049">
        <v>7</v>
      </c>
      <c r="Y6049" t="s">
        <v>24694</v>
      </c>
      <c r="Z6049" t="s">
        <v>30996</v>
      </c>
      <c r="AA6049">
        <v>0.92672169222655765</v>
      </c>
      <c r="AB6049" t="str">
        <f>HYPERLINK("Melting_Curves/meltCurve_Q9UPP5_2_KIAA1107.pdf", "Melting_Curves/meltCurve_Q9UPP5_2_KIAA1107.pdf")</f>
        <v>Melting_Curves/meltCurve_Q9UPP5_2_KIAA1107.pdf</v>
      </c>
    </row>
    <row r="6050" spans="1:28" x14ac:dyDescent="0.25">
      <c r="A6050" t="s">
        <v>6054</v>
      </c>
      <c r="B6050">
        <v>0.99987803227770999</v>
      </c>
      <c r="C6050">
        <v>0.91561790306704305</v>
      </c>
      <c r="D6050">
        <v>1.0054597189627701</v>
      </c>
      <c r="E6050">
        <v>0.82404870750680503</v>
      </c>
      <c r="F6050">
        <v>0.91565319641281595</v>
      </c>
      <c r="G6050">
        <v>0.78253256308883801</v>
      </c>
      <c r="H6050">
        <v>0.75571813526213505</v>
      </c>
      <c r="I6050">
        <v>0.71871823675706803</v>
      </c>
      <c r="J6050">
        <v>0.66420754393577996</v>
      </c>
      <c r="K6050">
        <v>0.52626455519803705</v>
      </c>
      <c r="L6050">
        <v>346.10386185307499</v>
      </c>
      <c r="M6050">
        <v>4.6252013716564697</v>
      </c>
      <c r="O6050">
        <v>64.063561837504196</v>
      </c>
      <c r="P6050">
        <v>-1.8193301288821601E-2</v>
      </c>
      <c r="Q6050">
        <v>0</v>
      </c>
      <c r="R6050">
        <v>0.89779674907914397</v>
      </c>
      <c r="S6050" t="s">
        <v>12361</v>
      </c>
      <c r="T6050" t="s">
        <v>12620</v>
      </c>
      <c r="U6050" t="s">
        <v>12620</v>
      </c>
      <c r="V6050" t="s">
        <v>12620</v>
      </c>
      <c r="W6050" t="s">
        <v>18610</v>
      </c>
      <c r="X6050">
        <v>48</v>
      </c>
      <c r="Y6050" t="s">
        <v>24695</v>
      </c>
      <c r="Z6050" t="s">
        <v>30997</v>
      </c>
      <c r="AA6050">
        <v>0.81968659674912381</v>
      </c>
      <c r="AB6050" t="str">
        <f>HYPERLINK("Melting_Curves/meltCurve_Q9UPQ0_10_LIMCH1.pdf", "Melting_Curves/meltCurve_Q9UPQ0_10_LIMCH1.pdf")</f>
        <v>Melting_Curves/meltCurve_Q9UPQ0_10_LIMCH1.pdf</v>
      </c>
    </row>
    <row r="6051" spans="1:28" x14ac:dyDescent="0.25">
      <c r="A6051" t="s">
        <v>6055</v>
      </c>
      <c r="B6051">
        <v>0.99987803227770999</v>
      </c>
      <c r="C6051">
        <v>0.94226802766238005</v>
      </c>
      <c r="D6051">
        <v>0.63905096223732305</v>
      </c>
      <c r="E6051">
        <v>0.48677253473194299</v>
      </c>
      <c r="F6051">
        <v>0.245268049901189</v>
      </c>
      <c r="G6051">
        <v>0.16292178892408701</v>
      </c>
      <c r="H6051">
        <v>5.9365865737833402E-2</v>
      </c>
      <c r="I6051">
        <v>3.4966377905462503E-2</v>
      </c>
      <c r="J6051">
        <v>4.0576648557775902E-2</v>
      </c>
      <c r="K6051">
        <v>2.46504866252551E-2</v>
      </c>
      <c r="L6051">
        <v>689.68039953030905</v>
      </c>
      <c r="M6051">
        <v>14.061213922855</v>
      </c>
      <c r="N6051">
        <v>49.134755072285998</v>
      </c>
      <c r="O6051">
        <v>48.088342460159097</v>
      </c>
      <c r="P6051">
        <v>-7.2218403739373702E-2</v>
      </c>
      <c r="Q6051">
        <v>1.22014517862555E-2</v>
      </c>
      <c r="R6051">
        <v>0.98809337636542705</v>
      </c>
      <c r="S6051" t="s">
        <v>12362</v>
      </c>
      <c r="T6051" t="s">
        <v>12620</v>
      </c>
      <c r="U6051" t="s">
        <v>12620</v>
      </c>
      <c r="V6051" t="s">
        <v>12620</v>
      </c>
      <c r="W6051" t="s">
        <v>18611</v>
      </c>
      <c r="X6051">
        <v>43</v>
      </c>
      <c r="Y6051" t="s">
        <v>24695</v>
      </c>
      <c r="Z6051" t="s">
        <v>30998</v>
      </c>
      <c r="AA6051">
        <v>0.33756138993341162</v>
      </c>
      <c r="AB6051" t="str">
        <f>HYPERLINK("Melting_Curves/meltCurve_Q9UPQ0_6_LIMCH1.pdf", "Melting_Curves/meltCurve_Q9UPQ0_6_LIMCH1.pdf")</f>
        <v>Melting_Curves/meltCurve_Q9UPQ0_6_LIMCH1.pdf</v>
      </c>
    </row>
    <row r="6052" spans="1:28" x14ac:dyDescent="0.25">
      <c r="A6052" t="s">
        <v>6056</v>
      </c>
      <c r="B6052">
        <v>0.99987803227770999</v>
      </c>
      <c r="C6052">
        <v>0.97063400539625</v>
      </c>
      <c r="D6052">
        <v>0.97592280947419896</v>
      </c>
      <c r="E6052">
        <v>0.901233082632932</v>
      </c>
      <c r="F6052">
        <v>0.81473848592429199</v>
      </c>
      <c r="G6052">
        <v>0.47059615364691898</v>
      </c>
      <c r="H6052">
        <v>0.27460271651252899</v>
      </c>
      <c r="I6052">
        <v>0.25071387908329701</v>
      </c>
      <c r="J6052">
        <v>0.183810906854943</v>
      </c>
      <c r="K6052">
        <v>0.14613703995163899</v>
      </c>
      <c r="L6052">
        <v>1116.7950030280499</v>
      </c>
      <c r="M6052">
        <v>20.0055064343716</v>
      </c>
      <c r="N6052">
        <v>56.863908703815298</v>
      </c>
      <c r="O6052">
        <v>55.275562814423402</v>
      </c>
      <c r="P6052">
        <v>-7.6626113344274493E-2</v>
      </c>
      <c r="Q6052">
        <v>0.15315038821755</v>
      </c>
      <c r="R6052">
        <v>0.99603727258026598</v>
      </c>
      <c r="S6052" t="s">
        <v>12363</v>
      </c>
      <c r="T6052" t="s">
        <v>12620</v>
      </c>
      <c r="U6052" t="s">
        <v>12620</v>
      </c>
      <c r="V6052" t="s">
        <v>12620</v>
      </c>
      <c r="W6052" t="s">
        <v>18612</v>
      </c>
      <c r="X6052">
        <v>5</v>
      </c>
      <c r="Y6052" t="s">
        <v>24696</v>
      </c>
      <c r="Z6052" t="s">
        <v>30999</v>
      </c>
      <c r="AA6052">
        <v>0.61082635413412822</v>
      </c>
      <c r="AB6052" t="str">
        <f>HYPERLINK("Melting_Curves/meltCurve_Q9UPQ3_AGAP1.pdf", "Melting_Curves/meltCurve_Q9UPQ3_AGAP1.pdf")</f>
        <v>Melting_Curves/meltCurve_Q9UPQ3_AGAP1.pdf</v>
      </c>
    </row>
    <row r="6053" spans="1:28" x14ac:dyDescent="0.25">
      <c r="A6053" t="s">
        <v>6057</v>
      </c>
      <c r="B6053">
        <v>0.99987803227770999</v>
      </c>
      <c r="C6053">
        <v>0.92295090707202698</v>
      </c>
      <c r="D6053">
        <v>1.0151577437364301</v>
      </c>
      <c r="E6053">
        <v>0.97912732168113503</v>
      </c>
      <c r="F6053">
        <v>1.0892496586087601</v>
      </c>
      <c r="G6053">
        <v>0.94303191763106398</v>
      </c>
      <c r="H6053">
        <v>1.08265915622866</v>
      </c>
      <c r="I6053">
        <v>1.0369400418094199</v>
      </c>
      <c r="J6053">
        <v>1.11327748615878</v>
      </c>
      <c r="K6053">
        <v>0.87370020072670496</v>
      </c>
      <c r="L6053">
        <v>15000</v>
      </c>
      <c r="M6053">
        <v>212.35154387245601</v>
      </c>
      <c r="Q6053">
        <v>0</v>
      </c>
      <c r="R6053">
        <v>0.28700601078161198</v>
      </c>
      <c r="S6053" t="s">
        <v>12364</v>
      </c>
      <c r="T6053" t="s">
        <v>12620</v>
      </c>
      <c r="U6053" t="s">
        <v>12620</v>
      </c>
      <c r="V6053" t="s">
        <v>12620</v>
      </c>
      <c r="W6053" t="s">
        <v>18613</v>
      </c>
      <c r="X6053">
        <v>15</v>
      </c>
      <c r="Y6053" t="s">
        <v>24697</v>
      </c>
      <c r="Z6053" t="s">
        <v>31000</v>
      </c>
      <c r="AA6053">
        <v>0.99854392242247014</v>
      </c>
      <c r="AB6053" t="str">
        <f>HYPERLINK("Melting_Curves/meltCurve_Q9UPQ9_1_TNRC6B.pdf", "Melting_Curves/meltCurve_Q9UPQ9_1_TNRC6B.pdf")</f>
        <v>Melting_Curves/meltCurve_Q9UPQ9_1_TNRC6B.pdf</v>
      </c>
    </row>
    <row r="6054" spans="1:28" x14ac:dyDescent="0.25">
      <c r="A6054" t="s">
        <v>6058</v>
      </c>
      <c r="B6054">
        <v>0.99987803227770999</v>
      </c>
      <c r="C6054">
        <v>1.00447212507165</v>
      </c>
      <c r="D6054">
        <v>0.85520693931930802</v>
      </c>
      <c r="E6054">
        <v>0.49483240790786698</v>
      </c>
      <c r="F6054">
        <v>0.34162196998755701</v>
      </c>
      <c r="G6054">
        <v>0.26782640543340303</v>
      </c>
      <c r="H6054">
        <v>0.26432968909038101</v>
      </c>
      <c r="I6054">
        <v>0.23036919339594999</v>
      </c>
      <c r="J6054">
        <v>0.20454323746571501</v>
      </c>
      <c r="K6054">
        <v>0.14529285577260501</v>
      </c>
      <c r="L6054">
        <v>1116.3414110164299</v>
      </c>
      <c r="M6054">
        <v>22.805497879406701</v>
      </c>
      <c r="N6054">
        <v>50.172745839861001</v>
      </c>
      <c r="O6054">
        <v>48.578822031184998</v>
      </c>
      <c r="P6054">
        <v>-9.2352749528880396E-2</v>
      </c>
      <c r="Q6054">
        <v>0.21311947714013799</v>
      </c>
      <c r="R6054">
        <v>0.99125216651204695</v>
      </c>
      <c r="S6054" t="s">
        <v>12365</v>
      </c>
      <c r="T6054" t="s">
        <v>12620</v>
      </c>
      <c r="U6054" t="s">
        <v>12620</v>
      </c>
      <c r="V6054" t="s">
        <v>12620</v>
      </c>
      <c r="W6054" t="s">
        <v>18614</v>
      </c>
      <c r="X6054">
        <v>4</v>
      </c>
      <c r="Y6054" t="s">
        <v>24698</v>
      </c>
      <c r="Z6054" t="s">
        <v>31001</v>
      </c>
      <c r="AA6054">
        <v>0.45631133172384059</v>
      </c>
      <c r="AB6054" t="str">
        <f>HYPERLINK("Melting_Curves/meltCurve_Q9UPR0_PLCL2.pdf", "Melting_Curves/meltCurve_Q9UPR0_PLCL2.pdf")</f>
        <v>Melting_Curves/meltCurve_Q9UPR0_PLCL2.pdf</v>
      </c>
    </row>
    <row r="6055" spans="1:28" x14ac:dyDescent="0.25">
      <c r="A6055" t="s">
        <v>6059</v>
      </c>
      <c r="B6055">
        <v>0.99987803227770999</v>
      </c>
      <c r="C6055">
        <v>1.15403611800398</v>
      </c>
      <c r="D6055">
        <v>1.0290270264775401</v>
      </c>
      <c r="E6055">
        <v>0.96440303132209504</v>
      </c>
      <c r="F6055">
        <v>0.590366201919586</v>
      </c>
      <c r="G6055">
        <v>0.29307660944594599</v>
      </c>
      <c r="H6055">
        <v>0.22014723777947701</v>
      </c>
      <c r="I6055">
        <v>0.314582104286106</v>
      </c>
      <c r="J6055">
        <v>0.146761727929133</v>
      </c>
      <c r="K6055">
        <v>7.7337759366976802E-2</v>
      </c>
      <c r="L6055">
        <v>1890.6148216582101</v>
      </c>
      <c r="M6055">
        <v>35.566503481324098</v>
      </c>
      <c r="N6055">
        <v>53.893126672326098</v>
      </c>
      <c r="O6055">
        <v>52.9899657331054</v>
      </c>
      <c r="P6055">
        <v>-0.13552053333309499</v>
      </c>
      <c r="Q6055">
        <v>0.19236315668038001</v>
      </c>
      <c r="R6055">
        <v>0.96283466881895696</v>
      </c>
      <c r="S6055" t="s">
        <v>12366</v>
      </c>
      <c r="T6055" t="s">
        <v>12620</v>
      </c>
      <c r="U6055" t="s">
        <v>12620</v>
      </c>
      <c r="V6055" t="s">
        <v>12620</v>
      </c>
      <c r="W6055" t="s">
        <v>18615</v>
      </c>
      <c r="X6055">
        <v>5</v>
      </c>
      <c r="Y6055" t="s">
        <v>24699</v>
      </c>
      <c r="Z6055" t="s">
        <v>31002</v>
      </c>
      <c r="AA6055">
        <v>0.55031960898877208</v>
      </c>
      <c r="AB6055" t="str">
        <f>HYPERLINK("Melting_Curves/meltCurve_Q9UPR3_SMG5.pdf", "Melting_Curves/meltCurve_Q9UPR3_SMG5.pdf")</f>
        <v>Melting_Curves/meltCurve_Q9UPR3_SMG5.pdf</v>
      </c>
    </row>
    <row r="6056" spans="1:28" x14ac:dyDescent="0.25">
      <c r="A6056" t="s">
        <v>6060</v>
      </c>
      <c r="B6056">
        <v>0.99987803227770999</v>
      </c>
      <c r="C6056">
        <v>0.88607314573534202</v>
      </c>
      <c r="D6056">
        <v>0.79522946306142395</v>
      </c>
      <c r="E6056">
        <v>0.56383680148292803</v>
      </c>
      <c r="F6056">
        <v>0.39125190721966402</v>
      </c>
      <c r="G6056">
        <v>0.23298118119778299</v>
      </c>
      <c r="H6056">
        <v>0.213434849696788</v>
      </c>
      <c r="I6056">
        <v>0.12619043062990801</v>
      </c>
      <c r="J6056">
        <v>0.153557968924245</v>
      </c>
      <c r="K6056">
        <v>0.12928461426706001</v>
      </c>
      <c r="L6056">
        <v>679.88083705138297</v>
      </c>
      <c r="M6056">
        <v>13.6042714083455</v>
      </c>
      <c r="N6056">
        <v>50.930180344070898</v>
      </c>
      <c r="O6056">
        <v>48.9327952962757</v>
      </c>
      <c r="P6056">
        <v>-6.1691830202953601E-2</v>
      </c>
      <c r="Q6056">
        <v>0.1125413796704</v>
      </c>
      <c r="R6056">
        <v>0.99596703323626801</v>
      </c>
      <c r="S6056" t="s">
        <v>12367</v>
      </c>
      <c r="T6056" t="s">
        <v>12620</v>
      </c>
      <c r="U6056" t="s">
        <v>12620</v>
      </c>
      <c r="V6056" t="s">
        <v>12620</v>
      </c>
      <c r="W6056" t="s">
        <v>18616</v>
      </c>
      <c r="X6056">
        <v>2</v>
      </c>
      <c r="Y6056" t="s">
        <v>24700</v>
      </c>
      <c r="Z6056" t="s">
        <v>31003</v>
      </c>
      <c r="AA6056">
        <v>0.43272025700060401</v>
      </c>
      <c r="AB6056" t="str">
        <f>HYPERLINK("Melting_Curves/meltCurve_Q9UPS8_ANKRD26.pdf", "Melting_Curves/meltCurve_Q9UPS8_ANKRD26.pdf")</f>
        <v>Melting_Curves/meltCurve_Q9UPS8_ANKRD26.pdf</v>
      </c>
    </row>
    <row r="6057" spans="1:28" x14ac:dyDescent="0.25">
      <c r="A6057" t="s">
        <v>6061</v>
      </c>
      <c r="B6057">
        <v>0.99987803227770999</v>
      </c>
      <c r="C6057">
        <v>0.89579715162387796</v>
      </c>
      <c r="D6057">
        <v>0.75749073702634495</v>
      </c>
      <c r="E6057">
        <v>0.636239058673706</v>
      </c>
      <c r="F6057">
        <v>0.208250882561414</v>
      </c>
      <c r="G6057">
        <v>0.124392192110598</v>
      </c>
      <c r="H6057">
        <v>8.6233718371501497E-2</v>
      </c>
      <c r="I6057">
        <v>7.4446994568519997E-2</v>
      </c>
      <c r="J6057">
        <v>6.4951750457596394E-2</v>
      </c>
      <c r="K6057">
        <v>5.1724962325408901E-2</v>
      </c>
      <c r="L6057">
        <v>835.21323299908499</v>
      </c>
      <c r="M6057">
        <v>16.7320643378374</v>
      </c>
      <c r="N6057">
        <v>50.152891301653703</v>
      </c>
      <c r="O6057">
        <v>49.220261653385101</v>
      </c>
      <c r="P6057">
        <v>-8.1774164374975394E-2</v>
      </c>
      <c r="Q6057">
        <v>3.7851894225099297E-2</v>
      </c>
      <c r="R6057">
        <v>0.97731801410207098</v>
      </c>
      <c r="S6057" t="s">
        <v>12368</v>
      </c>
      <c r="T6057" t="s">
        <v>12620</v>
      </c>
      <c r="U6057" t="s">
        <v>12620</v>
      </c>
      <c r="V6057" t="s">
        <v>12620</v>
      </c>
      <c r="W6057" t="s">
        <v>18617</v>
      </c>
      <c r="X6057">
        <v>18</v>
      </c>
      <c r="Y6057" t="s">
        <v>24701</v>
      </c>
      <c r="Z6057" t="s">
        <v>31004</v>
      </c>
      <c r="AA6057">
        <v>0.37475447905244857</v>
      </c>
      <c r="AB6057" t="str">
        <f>HYPERLINK("Melting_Curves/meltCurve_Q9UPT5_6_EXOC7.pdf", "Melting_Curves/meltCurve_Q9UPT5_6_EXOC7.pdf")</f>
        <v>Melting_Curves/meltCurve_Q9UPT5_6_EXOC7.pdf</v>
      </c>
    </row>
    <row r="6058" spans="1:28" x14ac:dyDescent="0.25">
      <c r="A6058" t="s">
        <v>6062</v>
      </c>
      <c r="B6058">
        <v>0.99987803227770999</v>
      </c>
      <c r="C6058">
        <v>0.88385170299353599</v>
      </c>
      <c r="D6058">
        <v>1.0010680990788601</v>
      </c>
      <c r="E6058">
        <v>0.87704400273287997</v>
      </c>
      <c r="F6058">
        <v>1.04832836894447</v>
      </c>
      <c r="G6058">
        <v>0.91311785628031605</v>
      </c>
      <c r="H6058">
        <v>1.0205514740986801</v>
      </c>
      <c r="I6058">
        <v>0.98309529571940701</v>
      </c>
      <c r="J6058">
        <v>1.0652269166308499</v>
      </c>
      <c r="K6058">
        <v>0.85299156452390501</v>
      </c>
      <c r="L6058">
        <v>10209.877988503</v>
      </c>
      <c r="M6058">
        <v>250</v>
      </c>
      <c r="O6058">
        <v>40.836898506558299</v>
      </c>
      <c r="P6058">
        <v>-6.0321952663486798E-2</v>
      </c>
      <c r="Q6058">
        <v>0.96058621671808397</v>
      </c>
      <c r="R6058">
        <v>2.64770865370243E-2</v>
      </c>
      <c r="S6058" t="s">
        <v>12369</v>
      </c>
      <c r="T6058" t="s">
        <v>12620</v>
      </c>
      <c r="U6058" t="s">
        <v>12620</v>
      </c>
      <c r="V6058" t="s">
        <v>12620</v>
      </c>
      <c r="W6058" t="s">
        <v>18618</v>
      </c>
      <c r="X6058">
        <v>22</v>
      </c>
      <c r="Y6058" t="s">
        <v>24702</v>
      </c>
      <c r="Z6058" t="s">
        <v>31005</v>
      </c>
      <c r="AA6058">
        <v>0.9616930588170638</v>
      </c>
      <c r="AB6058" t="str">
        <f>HYPERLINK("Melting_Curves/meltCurve_Q9UPT8_ZC3H4.pdf", "Melting_Curves/meltCurve_Q9UPT8_ZC3H4.pdf")</f>
        <v>Melting_Curves/meltCurve_Q9UPT8_ZC3H4.pdf</v>
      </c>
    </row>
    <row r="6059" spans="1:28" x14ac:dyDescent="0.25">
      <c r="A6059" t="s">
        <v>6063</v>
      </c>
      <c r="B6059">
        <v>0.99987803227770999</v>
      </c>
      <c r="C6059">
        <v>1.14764984108174</v>
      </c>
      <c r="D6059">
        <v>0.87426369554011696</v>
      </c>
      <c r="E6059">
        <v>0.78463023234893903</v>
      </c>
      <c r="F6059">
        <v>0.45909725570516202</v>
      </c>
      <c r="G6059">
        <v>0.297061259750111</v>
      </c>
      <c r="H6059">
        <v>0.30559339892641202</v>
      </c>
      <c r="I6059">
        <v>0.13937275627413501</v>
      </c>
      <c r="J6059">
        <v>6.1571509604460999E-2</v>
      </c>
      <c r="K6059">
        <v>3.60282319260695E-2</v>
      </c>
      <c r="L6059">
        <v>800.37916890875397</v>
      </c>
      <c r="M6059">
        <v>15.0651236821181</v>
      </c>
      <c r="N6059">
        <v>53.594499731386001</v>
      </c>
      <c r="O6059">
        <v>52.218190882264402</v>
      </c>
      <c r="P6059">
        <v>-6.7700099538104699E-2</v>
      </c>
      <c r="Q6059">
        <v>6.1454274131659298E-2</v>
      </c>
      <c r="R6059">
        <v>0.959673294279353</v>
      </c>
      <c r="S6059" t="s">
        <v>12370</v>
      </c>
      <c r="T6059" t="s">
        <v>12620</v>
      </c>
      <c r="U6059" t="s">
        <v>12620</v>
      </c>
      <c r="V6059" t="s">
        <v>12620</v>
      </c>
      <c r="W6059" t="s">
        <v>18619</v>
      </c>
      <c r="X6059">
        <v>6</v>
      </c>
      <c r="Y6059" t="s">
        <v>24703</v>
      </c>
      <c r="Z6059" t="s">
        <v>31006</v>
      </c>
      <c r="AA6059">
        <v>0.49212702569268579</v>
      </c>
      <c r="AB6059" t="str">
        <f>HYPERLINK("Melting_Curves/meltCurve_Q9UPT9_2_USP22.pdf", "Melting_Curves/meltCurve_Q9UPT9_2_USP22.pdf")</f>
        <v>Melting_Curves/meltCurve_Q9UPT9_2_USP22.pdf</v>
      </c>
    </row>
    <row r="6060" spans="1:28" x14ac:dyDescent="0.25">
      <c r="A6060" t="s">
        <v>6064</v>
      </c>
      <c r="B6060">
        <v>0.99987803227770999</v>
      </c>
      <c r="C6060">
        <v>1.0531510402947</v>
      </c>
      <c r="D6060">
        <v>0.840194212168073</v>
      </c>
      <c r="E6060">
        <v>0.91044310560639796</v>
      </c>
      <c r="F6060">
        <v>0.32384117465022599</v>
      </c>
      <c r="G6060">
        <v>0.206622892257635</v>
      </c>
      <c r="H6060">
        <v>0.122474397731504</v>
      </c>
      <c r="I6060">
        <v>0.10171135695332099</v>
      </c>
      <c r="J6060">
        <v>8.2583451229086405E-2</v>
      </c>
      <c r="K6060">
        <v>5.7798393215809901E-2</v>
      </c>
      <c r="L6060">
        <v>2771.9211626475599</v>
      </c>
      <c r="M6060">
        <v>53.397444810514301</v>
      </c>
      <c r="N6060">
        <v>52.157044281341101</v>
      </c>
      <c r="O6060">
        <v>51.838465015150099</v>
      </c>
      <c r="P6060">
        <v>-0.22885842023198</v>
      </c>
      <c r="Q6060">
        <v>0.111293697305116</v>
      </c>
      <c r="R6060">
        <v>0.97533241508147706</v>
      </c>
      <c r="S6060" t="s">
        <v>12371</v>
      </c>
      <c r="T6060" t="s">
        <v>12620</v>
      </c>
      <c r="U6060" t="s">
        <v>12620</v>
      </c>
      <c r="V6060" t="s">
        <v>12620</v>
      </c>
      <c r="W6060" t="s">
        <v>18620</v>
      </c>
      <c r="X6060">
        <v>22</v>
      </c>
      <c r="Y6060" t="s">
        <v>24704</v>
      </c>
      <c r="Z6060" t="s">
        <v>31007</v>
      </c>
      <c r="AA6060">
        <v>0.46592624908831082</v>
      </c>
      <c r="AB6060" t="str">
        <f>HYPERLINK("Melting_Curves/meltCurve_Q9UPU5_USP24.pdf", "Melting_Curves/meltCurve_Q9UPU5_USP24.pdf")</f>
        <v>Melting_Curves/meltCurve_Q9UPU5_USP24.pdf</v>
      </c>
    </row>
    <row r="6061" spans="1:28" x14ac:dyDescent="0.25">
      <c r="A6061" t="s">
        <v>6065</v>
      </c>
      <c r="B6061">
        <v>0.99987803227770999</v>
      </c>
      <c r="C6061">
        <v>1.0200370571381301</v>
      </c>
      <c r="D6061">
        <v>0.75992936641053599</v>
      </c>
      <c r="E6061">
        <v>0.673094781912567</v>
      </c>
      <c r="F6061">
        <v>0.43322557326315703</v>
      </c>
      <c r="G6061">
        <v>0.256684449963129</v>
      </c>
      <c r="H6061">
        <v>0.192198690412479</v>
      </c>
      <c r="I6061">
        <v>0.17902030795426199</v>
      </c>
      <c r="J6061">
        <v>0.13221406126289401</v>
      </c>
      <c r="K6061">
        <v>9.7853446067751093E-2</v>
      </c>
      <c r="L6061">
        <v>712.29714045755998</v>
      </c>
      <c r="M6061">
        <v>13.904555516789401</v>
      </c>
      <c r="N6061">
        <v>52.044716747903102</v>
      </c>
      <c r="O6061">
        <v>50.202919477100203</v>
      </c>
      <c r="P6061">
        <v>-6.2460525239787901E-2</v>
      </c>
      <c r="Q6061">
        <v>9.8058657829731694E-2</v>
      </c>
      <c r="R6061">
        <v>0.98485868384382003</v>
      </c>
      <c r="S6061" t="s">
        <v>12372</v>
      </c>
      <c r="T6061" t="s">
        <v>12620</v>
      </c>
      <c r="U6061" t="s">
        <v>12620</v>
      </c>
      <c r="V6061" t="s">
        <v>12620</v>
      </c>
      <c r="W6061" t="s">
        <v>18621</v>
      </c>
      <c r="X6061">
        <v>3</v>
      </c>
      <c r="Y6061" t="s">
        <v>24705</v>
      </c>
      <c r="Z6061" t="s">
        <v>31008</v>
      </c>
      <c r="AA6061">
        <v>0.45895234777512112</v>
      </c>
      <c r="AB6061" t="str">
        <f>HYPERLINK("Melting_Curves/meltCurve_Q9UPU7_TBC1D2B.pdf", "Melting_Curves/meltCurve_Q9UPU7_TBC1D2B.pdf")</f>
        <v>Melting_Curves/meltCurve_Q9UPU7_TBC1D2B.pdf</v>
      </c>
    </row>
    <row r="6062" spans="1:28" x14ac:dyDescent="0.25">
      <c r="A6062" t="s">
        <v>6066</v>
      </c>
      <c r="B6062">
        <v>0.99987803227770999</v>
      </c>
      <c r="C6062">
        <v>1.04606022986902</v>
      </c>
      <c r="D6062">
        <v>0.89106304243940604</v>
      </c>
      <c r="E6062">
        <v>0.89520733601064795</v>
      </c>
      <c r="F6062">
        <v>0.46622319302748699</v>
      </c>
      <c r="G6062">
        <v>0.22587728356259601</v>
      </c>
      <c r="H6062">
        <v>0.15636222978773501</v>
      </c>
      <c r="I6062">
        <v>0.16087410873961899</v>
      </c>
      <c r="J6062">
        <v>0.14630624712596399</v>
      </c>
      <c r="K6062">
        <v>0.10296576266773801</v>
      </c>
      <c r="L6062">
        <v>1833.1659865295701</v>
      </c>
      <c r="M6062">
        <v>34.992067276933099</v>
      </c>
      <c r="N6062">
        <v>52.906853321289901</v>
      </c>
      <c r="O6062">
        <v>52.217836578567997</v>
      </c>
      <c r="P6062">
        <v>-0.143199609683375</v>
      </c>
      <c r="Q6062">
        <v>0.145229523290341</v>
      </c>
      <c r="R6062">
        <v>0.98817406647831696</v>
      </c>
      <c r="S6062" t="s">
        <v>12373</v>
      </c>
      <c r="T6062" t="s">
        <v>12620</v>
      </c>
      <c r="U6062" t="s">
        <v>12620</v>
      </c>
      <c r="V6062" t="s">
        <v>12620</v>
      </c>
      <c r="W6062" t="s">
        <v>18622</v>
      </c>
      <c r="X6062">
        <v>3</v>
      </c>
      <c r="Y6062" t="s">
        <v>24706</v>
      </c>
      <c r="Z6062" t="s">
        <v>31009</v>
      </c>
      <c r="AA6062">
        <v>0.50223904403313413</v>
      </c>
      <c r="AB6062" t="str">
        <f>HYPERLINK("Melting_Curves/meltCurve_Q9UPW5_AGTPBP1.pdf", "Melting_Curves/meltCurve_Q9UPW5_AGTPBP1.pdf")</f>
        <v>Melting_Curves/meltCurve_Q9UPW5_AGTPBP1.pdf</v>
      </c>
    </row>
    <row r="6063" spans="1:28" x14ac:dyDescent="0.25">
      <c r="A6063" t="s">
        <v>6067</v>
      </c>
      <c r="B6063">
        <v>0.99987803227770999</v>
      </c>
      <c r="C6063">
        <v>0.99751143562846301</v>
      </c>
      <c r="D6063">
        <v>0.99814375934104704</v>
      </c>
      <c r="E6063">
        <v>0.87325844692425603</v>
      </c>
      <c r="F6063">
        <v>0.84918079593368301</v>
      </c>
      <c r="G6063">
        <v>0.64930638816227004</v>
      </c>
      <c r="H6063">
        <v>0.62869180270454295</v>
      </c>
      <c r="I6063">
        <v>0.60488586855403803</v>
      </c>
      <c r="J6063">
        <v>0.56825102592507104</v>
      </c>
      <c r="K6063">
        <v>0.46567697212845899</v>
      </c>
      <c r="L6063">
        <v>693.41229814477902</v>
      </c>
      <c r="M6063">
        <v>12.458954228928</v>
      </c>
      <c r="O6063">
        <v>54.280249456596103</v>
      </c>
      <c r="P6063">
        <v>-2.9763357872703702E-2</v>
      </c>
      <c r="Q6063">
        <v>0.48142489985202103</v>
      </c>
      <c r="R6063">
        <v>0.969737598126578</v>
      </c>
      <c r="S6063" t="s">
        <v>12374</v>
      </c>
      <c r="T6063" t="s">
        <v>12620</v>
      </c>
      <c r="U6063" t="s">
        <v>12620</v>
      </c>
      <c r="V6063" t="s">
        <v>12620</v>
      </c>
      <c r="W6063" t="s">
        <v>18623</v>
      </c>
      <c r="X6063">
        <v>19</v>
      </c>
      <c r="Y6063" t="s">
        <v>24707</v>
      </c>
      <c r="Z6063" t="s">
        <v>31010</v>
      </c>
      <c r="AA6063">
        <v>0.76296868559582165</v>
      </c>
      <c r="AB6063" t="str">
        <f>HYPERLINK("Melting_Curves/meltCurve_Q9UPX8_3_SHANK2.pdf", "Melting_Curves/meltCurve_Q9UPX8_3_SHANK2.pdf")</f>
        <v>Melting_Curves/meltCurve_Q9UPX8_3_SHANK2.pdf</v>
      </c>
    </row>
    <row r="6064" spans="1:28" x14ac:dyDescent="0.25">
      <c r="A6064" t="s">
        <v>6068</v>
      </c>
      <c r="B6064">
        <v>0.99987803227770999</v>
      </c>
      <c r="C6064">
        <v>0.98573549332523303</v>
      </c>
      <c r="D6064">
        <v>0.75195540597806898</v>
      </c>
      <c r="E6064">
        <v>0.93835498056252997</v>
      </c>
      <c r="F6064">
        <v>0.30217768195165601</v>
      </c>
      <c r="G6064">
        <v>0.21854631896499499</v>
      </c>
      <c r="H6064">
        <v>5.17986774025192E-2</v>
      </c>
      <c r="I6064">
        <v>6.6454943523672802E-2</v>
      </c>
      <c r="J6064">
        <v>5.7194575485606101E-2</v>
      </c>
      <c r="K6064">
        <v>1.7068682302475099E-2</v>
      </c>
      <c r="L6064">
        <v>3081.2856080527299</v>
      </c>
      <c r="M6064">
        <v>59.225900848280197</v>
      </c>
      <c r="N6064">
        <v>52.179175352178703</v>
      </c>
      <c r="O6064">
        <v>51.966781270859201</v>
      </c>
      <c r="P6064">
        <v>-0.26218472892210598</v>
      </c>
      <c r="Q6064">
        <v>7.9802153164522799E-2</v>
      </c>
      <c r="R6064">
        <v>0.94813287170155702</v>
      </c>
      <c r="S6064" t="s">
        <v>12375</v>
      </c>
      <c r="T6064" t="s">
        <v>12620</v>
      </c>
      <c r="U6064" t="s">
        <v>12620</v>
      </c>
      <c r="V6064" t="s">
        <v>12620</v>
      </c>
      <c r="W6064" t="s">
        <v>18624</v>
      </c>
      <c r="X6064">
        <v>3</v>
      </c>
      <c r="Y6064" t="s">
        <v>24708</v>
      </c>
      <c r="Z6064" t="s">
        <v>31011</v>
      </c>
      <c r="AA6064">
        <v>0.45018086090704068</v>
      </c>
      <c r="AB6064" t="str">
        <f>HYPERLINK("Melting_Curves/meltCurve_Q9UPY3_2_DICER1.pdf", "Melting_Curves/meltCurve_Q9UPY3_2_DICER1.pdf")</f>
        <v>Melting_Curves/meltCurve_Q9UPY3_2_DICER1.pdf</v>
      </c>
    </row>
    <row r="6065" spans="1:28" x14ac:dyDescent="0.25">
      <c r="A6065" t="s">
        <v>6069</v>
      </c>
      <c r="B6065">
        <v>0.99987803227770999</v>
      </c>
      <c r="C6065">
        <v>0.90964436454929098</v>
      </c>
      <c r="D6065">
        <v>1.0431779359457301</v>
      </c>
      <c r="E6065">
        <v>0.90285792789650599</v>
      </c>
      <c r="F6065">
        <v>0.88184774314963998</v>
      </c>
      <c r="G6065">
        <v>0.42100864945129102</v>
      </c>
      <c r="H6065">
        <v>0.37173825241432201</v>
      </c>
      <c r="I6065">
        <v>0.36091948792963302</v>
      </c>
      <c r="J6065">
        <v>0.33359808488116699</v>
      </c>
      <c r="K6065">
        <v>0.27400897130281299</v>
      </c>
      <c r="L6065">
        <v>2237.86567913505</v>
      </c>
      <c r="M6065">
        <v>40.888504310707802</v>
      </c>
      <c r="N6065">
        <v>56.204416845208598</v>
      </c>
      <c r="O6065">
        <v>54.600500304579498</v>
      </c>
      <c r="P6065">
        <v>-0.12565420539407601</v>
      </c>
      <c r="Q6065">
        <v>0.32883146416509801</v>
      </c>
      <c r="R6065">
        <v>0.97508975844479795</v>
      </c>
      <c r="S6065" t="s">
        <v>12376</v>
      </c>
      <c r="T6065" t="s">
        <v>12620</v>
      </c>
      <c r="U6065" t="s">
        <v>12620</v>
      </c>
      <c r="V6065" t="s">
        <v>12620</v>
      </c>
      <c r="W6065" t="s">
        <v>18625</v>
      </c>
      <c r="X6065">
        <v>14</v>
      </c>
      <c r="Y6065" t="s">
        <v>24709</v>
      </c>
      <c r="Z6065" t="s">
        <v>31012</v>
      </c>
      <c r="AA6065">
        <v>0.66081866916488152</v>
      </c>
      <c r="AB6065" t="str">
        <f>HYPERLINK("Melting_Curves/meltCurve_Q9UPY8_MAPRE3.pdf", "Melting_Curves/meltCurve_Q9UPY8_MAPRE3.pdf")</f>
        <v>Melting_Curves/meltCurve_Q9UPY8_MAPRE3.pdf</v>
      </c>
    </row>
    <row r="6066" spans="1:28" x14ac:dyDescent="0.25">
      <c r="A6066" t="s">
        <v>6070</v>
      </c>
      <c r="B6066">
        <v>0.99987803227770999</v>
      </c>
      <c r="C6066">
        <v>2.0431218943790102</v>
      </c>
      <c r="D6066">
        <v>1.46401094027288</v>
      </c>
      <c r="E6066">
        <v>2.1881351056871998</v>
      </c>
      <c r="F6066">
        <v>0.63178520641975899</v>
      </c>
      <c r="G6066">
        <v>0.36619100161961199</v>
      </c>
      <c r="H6066">
        <v>0.218625098136768</v>
      </c>
      <c r="I6066">
        <v>0.166716720455761</v>
      </c>
      <c r="J6066">
        <v>9.4771347742974202E-2</v>
      </c>
      <c r="K6066">
        <v>7.3382999122332607E-2</v>
      </c>
      <c r="L6066">
        <v>13260.377051875999</v>
      </c>
      <c r="M6066">
        <v>250</v>
      </c>
      <c r="N6066">
        <v>53.139004536618998</v>
      </c>
      <c r="O6066">
        <v>53.0381151847577</v>
      </c>
      <c r="P6066">
        <v>-0.96164645930225601</v>
      </c>
      <c r="Q6066">
        <v>0.183937369866123</v>
      </c>
      <c r="R6066">
        <v>0.53272435629734005</v>
      </c>
      <c r="S6066" t="s">
        <v>12377</v>
      </c>
      <c r="T6066" t="s">
        <v>12620</v>
      </c>
      <c r="U6066" t="s">
        <v>12620</v>
      </c>
      <c r="V6066" t="s">
        <v>12620</v>
      </c>
      <c r="W6066" t="s">
        <v>18626</v>
      </c>
      <c r="X6066">
        <v>3</v>
      </c>
      <c r="Y6066" t="s">
        <v>24710</v>
      </c>
      <c r="Z6066" t="s">
        <v>31013</v>
      </c>
      <c r="AA6066">
        <v>0.53876958432990951</v>
      </c>
      <c r="AB6066" t="str">
        <f>HYPERLINK("Melting_Curves/meltCurve_Q9UPZ3_2_HPS5.pdf", "Melting_Curves/meltCurve_Q9UPZ3_2_HPS5.pdf")</f>
        <v>Melting_Curves/meltCurve_Q9UPZ3_2_HPS5.pdf</v>
      </c>
    </row>
    <row r="6067" spans="1:28" x14ac:dyDescent="0.25">
      <c r="A6067" t="s">
        <v>6071</v>
      </c>
      <c r="B6067">
        <v>0.99987803227770999</v>
      </c>
      <c r="C6067">
        <v>1.2764421438899101</v>
      </c>
      <c r="D6067">
        <v>0.92652095760096598</v>
      </c>
      <c r="E6067">
        <v>1.39803399093494</v>
      </c>
      <c r="F6067">
        <v>1.0901485454511699</v>
      </c>
      <c r="G6067">
        <v>1.7149921884531401</v>
      </c>
      <c r="H6067">
        <v>2.1866269064841202</v>
      </c>
      <c r="I6067">
        <v>2.2161364829074301</v>
      </c>
      <c r="J6067">
        <v>1.7981453225748201</v>
      </c>
      <c r="K6067">
        <v>0.74849653176043496</v>
      </c>
      <c r="L6067">
        <v>1349.20529317103</v>
      </c>
      <c r="M6067">
        <v>26.9483863283861</v>
      </c>
      <c r="O6067">
        <v>49.793012536249002</v>
      </c>
      <c r="P6067">
        <v>6.7651697774647898E-2</v>
      </c>
      <c r="Q6067">
        <v>1.5</v>
      </c>
      <c r="R6067">
        <v>0.220001558228794</v>
      </c>
      <c r="S6067" t="s">
        <v>12378</v>
      </c>
      <c r="T6067" t="s">
        <v>12620</v>
      </c>
      <c r="U6067" t="s">
        <v>12620</v>
      </c>
      <c r="V6067" t="s">
        <v>12620</v>
      </c>
      <c r="W6067" t="s">
        <v>18627</v>
      </c>
      <c r="X6067">
        <v>1</v>
      </c>
      <c r="Y6067" t="s">
        <v>24711</v>
      </c>
      <c r="Z6067" t="s">
        <v>31014</v>
      </c>
      <c r="AA6067">
        <v>1.328383786346784</v>
      </c>
      <c r="AB6067" t="str">
        <f>HYPERLINK("Melting_Curves/meltCurve_Q9UPZ6_THSD7A.pdf", "Melting_Curves/meltCurve_Q9UPZ6_THSD7A.pdf")</f>
        <v>Melting_Curves/meltCurve_Q9UPZ6_THSD7A.pdf</v>
      </c>
    </row>
    <row r="6068" spans="1:28" x14ac:dyDescent="0.25">
      <c r="A6068" t="s">
        <v>6072</v>
      </c>
      <c r="B6068">
        <v>0.99987803227770999</v>
      </c>
      <c r="C6068">
        <v>1.00532868910247</v>
      </c>
      <c r="D6068">
        <v>0.99354991162269402</v>
      </c>
      <c r="E6068">
        <v>0.91230727535749601</v>
      </c>
      <c r="F6068">
        <v>0.57180156363804302</v>
      </c>
      <c r="G6068">
        <v>0.18008659620822801</v>
      </c>
      <c r="H6068">
        <v>0.102244751464033</v>
      </c>
      <c r="I6068">
        <v>8.8663886824021695E-2</v>
      </c>
      <c r="J6068">
        <v>7.4118245738052493E-2</v>
      </c>
      <c r="K6068">
        <v>6.0014412989503503E-2</v>
      </c>
      <c r="L6068">
        <v>1732.8635513081999</v>
      </c>
      <c r="M6068">
        <v>32.522737707050702</v>
      </c>
      <c r="N6068">
        <v>53.555767676662299</v>
      </c>
      <c r="O6068">
        <v>53.081367894898101</v>
      </c>
      <c r="P6068">
        <v>-0.14142838526068599</v>
      </c>
      <c r="Q6068">
        <v>7.6685762969122606E-2</v>
      </c>
      <c r="R6068">
        <v>0.99960730009879395</v>
      </c>
      <c r="S6068" t="s">
        <v>12379</v>
      </c>
      <c r="T6068" t="s">
        <v>12620</v>
      </c>
      <c r="U6068" t="s">
        <v>12620</v>
      </c>
      <c r="V6068" t="s">
        <v>12620</v>
      </c>
      <c r="W6068" t="s">
        <v>18628</v>
      </c>
      <c r="X6068">
        <v>7</v>
      </c>
      <c r="Y6068" t="s">
        <v>24712</v>
      </c>
      <c r="Z6068" t="s">
        <v>31015</v>
      </c>
      <c r="AA6068">
        <v>0.49058498422466262</v>
      </c>
      <c r="AB6068" t="str">
        <f>HYPERLINK("Melting_Curves/meltCurve_Q9UQ13_2_SHOC2.pdf", "Melting_Curves/meltCurve_Q9UQ13_2_SHOC2.pdf")</f>
        <v>Melting_Curves/meltCurve_Q9UQ13_2_SHOC2.pdf</v>
      </c>
    </row>
    <row r="6069" spans="1:28" x14ac:dyDescent="0.25">
      <c r="A6069" t="s">
        <v>6073</v>
      </c>
      <c r="B6069">
        <v>0.99987803227770999</v>
      </c>
      <c r="C6069">
        <v>0.97572667304918803</v>
      </c>
      <c r="D6069">
        <v>1.0042288351486599</v>
      </c>
      <c r="E6069">
        <v>0.98726190295401695</v>
      </c>
      <c r="F6069">
        <v>1.01572941781003</v>
      </c>
      <c r="G6069">
        <v>0.89175959267227001</v>
      </c>
      <c r="H6069">
        <v>1.0008988218117001</v>
      </c>
      <c r="I6069">
        <v>0.97027358418648202</v>
      </c>
      <c r="J6069">
        <v>1.0451516708301301</v>
      </c>
      <c r="K6069">
        <v>0.82433065837419695</v>
      </c>
      <c r="L6069">
        <v>15000</v>
      </c>
      <c r="M6069">
        <v>212.739714793584</v>
      </c>
      <c r="Q6069">
        <v>0</v>
      </c>
      <c r="R6069">
        <v>0.59233187497816797</v>
      </c>
      <c r="S6069" t="s">
        <v>12380</v>
      </c>
      <c r="T6069" t="s">
        <v>12620</v>
      </c>
      <c r="U6069" t="s">
        <v>12620</v>
      </c>
      <c r="V6069" t="s">
        <v>12620</v>
      </c>
      <c r="W6069" t="s">
        <v>18629</v>
      </c>
      <c r="X6069">
        <v>62</v>
      </c>
      <c r="Y6069" t="s">
        <v>24713</v>
      </c>
      <c r="Z6069" t="s">
        <v>31016</v>
      </c>
      <c r="AA6069">
        <v>0.99791681658195519</v>
      </c>
      <c r="AB6069" t="str">
        <f>HYPERLINK("Melting_Curves/meltCurve_Q9UQ35_SRRM2.pdf", "Melting_Curves/meltCurve_Q9UQ35_SRRM2.pdf")</f>
        <v>Melting_Curves/meltCurve_Q9UQ35_SRRM2.pdf</v>
      </c>
    </row>
    <row r="6070" spans="1:28" x14ac:dyDescent="0.25">
      <c r="A6070" t="s">
        <v>6074</v>
      </c>
      <c r="B6070">
        <v>0.99987803227770999</v>
      </c>
      <c r="C6070">
        <v>0.819457769753836</v>
      </c>
      <c r="D6070">
        <v>0.78264561376568897</v>
      </c>
      <c r="E6070">
        <v>0.39315527458579702</v>
      </c>
      <c r="F6070">
        <v>0.21982864562757401</v>
      </c>
      <c r="G6070">
        <v>0.160325127733012</v>
      </c>
      <c r="H6070">
        <v>0.110062679207295</v>
      </c>
      <c r="I6070">
        <v>9.14520037472248E-2</v>
      </c>
      <c r="J6070">
        <v>7.5788819644718994E-2</v>
      </c>
      <c r="K6070">
        <v>5.2490440541437103E-2</v>
      </c>
      <c r="L6070">
        <v>802.08385174771797</v>
      </c>
      <c r="M6070">
        <v>16.582483599076401</v>
      </c>
      <c r="N6070">
        <v>48.795820772530597</v>
      </c>
      <c r="O6070">
        <v>47.682331332632998</v>
      </c>
      <c r="P6070">
        <v>-8.1082952624097399E-2</v>
      </c>
      <c r="Q6070">
        <v>6.7459172445173396E-2</v>
      </c>
      <c r="R6070">
        <v>0.988837597212888</v>
      </c>
      <c r="S6070" t="s">
        <v>12381</v>
      </c>
      <c r="T6070" t="s">
        <v>12620</v>
      </c>
      <c r="U6070" t="s">
        <v>12620</v>
      </c>
      <c r="V6070" t="s">
        <v>12620</v>
      </c>
      <c r="W6070" t="s">
        <v>18630</v>
      </c>
      <c r="X6070">
        <v>28</v>
      </c>
      <c r="Y6070" t="s">
        <v>24714</v>
      </c>
      <c r="Z6070" t="s">
        <v>31017</v>
      </c>
      <c r="AA6070">
        <v>0.34696852213861429</v>
      </c>
      <c r="AB6070" t="str">
        <f>HYPERLINK("Melting_Curves/meltCurve_Q9UQ80_PA2G4.pdf", "Melting_Curves/meltCurve_Q9UQ80_PA2G4.pdf")</f>
        <v>Melting_Curves/meltCurve_Q9UQ80_PA2G4.pdf</v>
      </c>
    </row>
    <row r="6071" spans="1:28" x14ac:dyDescent="0.25">
      <c r="A6071" t="s">
        <v>6075</v>
      </c>
      <c r="B6071">
        <v>0.99987803227770999</v>
      </c>
      <c r="C6071">
        <v>0.97514082621171505</v>
      </c>
      <c r="D6071">
        <v>1.0071331541095601</v>
      </c>
      <c r="E6071">
        <v>0.86357186670722996</v>
      </c>
      <c r="F6071">
        <v>0.73389426848025197</v>
      </c>
      <c r="G6071">
        <v>0.422152267208731</v>
      </c>
      <c r="H6071">
        <v>0.23960781437150899</v>
      </c>
      <c r="I6071">
        <v>0.22814721720167599</v>
      </c>
      <c r="J6071">
        <v>0.17767872783668301</v>
      </c>
      <c r="K6071">
        <v>0.12788303338052601</v>
      </c>
      <c r="L6071">
        <v>1034.6539791617899</v>
      </c>
      <c r="M6071">
        <v>18.8129689569177</v>
      </c>
      <c r="N6071">
        <v>55.959652755390202</v>
      </c>
      <c r="O6071">
        <v>54.386747312745698</v>
      </c>
      <c r="P6071">
        <v>-7.4524362385743698E-2</v>
      </c>
      <c r="Q6071">
        <v>0.138260498672091</v>
      </c>
      <c r="R6071">
        <v>0.99661517063571103</v>
      </c>
      <c r="S6071" t="s">
        <v>12382</v>
      </c>
      <c r="T6071" t="s">
        <v>12620</v>
      </c>
      <c r="U6071" t="s">
        <v>12620</v>
      </c>
      <c r="V6071" t="s">
        <v>12620</v>
      </c>
      <c r="W6071" t="s">
        <v>18631</v>
      </c>
      <c r="X6071">
        <v>11</v>
      </c>
      <c r="Y6071" t="s">
        <v>24715</v>
      </c>
      <c r="Z6071" t="s">
        <v>31018</v>
      </c>
      <c r="AA6071">
        <v>0.58158329242064866</v>
      </c>
      <c r="AB6071" t="str">
        <f>HYPERLINK("Melting_Curves/meltCurve_Q9UQB8_3_BAIAP2.pdf", "Melting_Curves/meltCurve_Q9UQB8_3_BAIAP2.pdf")</f>
        <v>Melting_Curves/meltCurve_Q9UQB8_3_BAIAP2.pdf</v>
      </c>
    </row>
    <row r="6072" spans="1:28" x14ac:dyDescent="0.25">
      <c r="A6072" t="s">
        <v>6076</v>
      </c>
      <c r="B6072">
        <v>0.99987803227770999</v>
      </c>
      <c r="C6072">
        <v>0.86455074386026698</v>
      </c>
      <c r="D6072">
        <v>0.90275954062317898</v>
      </c>
      <c r="E6072">
        <v>0.80722702070561703</v>
      </c>
      <c r="F6072">
        <v>0.77595203321904904</v>
      </c>
      <c r="G6072">
        <v>0.66538661756792306</v>
      </c>
      <c r="H6072">
        <v>0.53323980377662095</v>
      </c>
      <c r="I6072">
        <v>0.53126075885733004</v>
      </c>
      <c r="J6072">
        <v>0.47719885209016399</v>
      </c>
      <c r="K6072">
        <v>0.43353520158009001</v>
      </c>
      <c r="L6072">
        <v>355.78580710821802</v>
      </c>
      <c r="M6072">
        <v>5.9100780808412203</v>
      </c>
      <c r="N6072">
        <v>65.186536331188705</v>
      </c>
      <c r="O6072">
        <v>54.387101383348103</v>
      </c>
      <c r="P6072">
        <v>-2.2302175671710799E-2</v>
      </c>
      <c r="Q6072">
        <v>0.18185890651587999</v>
      </c>
      <c r="R6072">
        <v>0.97440901514339695</v>
      </c>
      <c r="S6072" t="s">
        <v>12383</v>
      </c>
      <c r="T6072" t="s">
        <v>12620</v>
      </c>
      <c r="U6072" t="s">
        <v>12620</v>
      </c>
      <c r="V6072" t="s">
        <v>12620</v>
      </c>
      <c r="W6072" t="s">
        <v>18632</v>
      </c>
      <c r="X6072">
        <v>3</v>
      </c>
      <c r="Y6072" t="s">
        <v>24716</v>
      </c>
      <c r="Z6072" t="s">
        <v>31019</v>
      </c>
      <c r="AA6072">
        <v>0.70189739175014176</v>
      </c>
      <c r="AB6072" t="str">
        <f>HYPERLINK("Melting_Curves/meltCurve_Q9UQC2_2_GAB2.pdf", "Melting_Curves/meltCurve_Q9UQC2_2_GAB2.pdf")</f>
        <v>Melting_Curves/meltCurve_Q9UQC2_2_GAB2.pdf</v>
      </c>
    </row>
    <row r="6073" spans="1:28" x14ac:dyDescent="0.25">
      <c r="A6073" t="s">
        <v>6077</v>
      </c>
      <c r="B6073">
        <v>0.99987803227770999</v>
      </c>
      <c r="C6073">
        <v>0.96075001045410102</v>
      </c>
      <c r="D6073">
        <v>0.73258969776931204</v>
      </c>
      <c r="E6073">
        <v>0.945872840010757</v>
      </c>
      <c r="F6073">
        <v>0.515086578228797</v>
      </c>
      <c r="G6073">
        <v>0.32378946171291201</v>
      </c>
      <c r="H6073">
        <v>0.18243312069508499</v>
      </c>
      <c r="I6073">
        <v>0.14792705001003101</v>
      </c>
      <c r="J6073">
        <v>0.144396991175963</v>
      </c>
      <c r="K6073">
        <v>9.07995380801737E-2</v>
      </c>
      <c r="L6073">
        <v>830.91717984798095</v>
      </c>
      <c r="M6073">
        <v>15.5059508548898</v>
      </c>
      <c r="N6073">
        <v>54.159439805654401</v>
      </c>
      <c r="O6073">
        <v>52.719448790206002</v>
      </c>
      <c r="P6073">
        <v>-6.79788025843613E-2</v>
      </c>
      <c r="Q6073">
        <v>7.5584196224758399E-2</v>
      </c>
      <c r="R6073">
        <v>0.93950985848522295</v>
      </c>
      <c r="S6073" t="s">
        <v>12384</v>
      </c>
      <c r="T6073" t="s">
        <v>12620</v>
      </c>
      <c r="U6073" t="s">
        <v>12620</v>
      </c>
      <c r="V6073" t="s">
        <v>12620</v>
      </c>
      <c r="W6073" t="s">
        <v>18633</v>
      </c>
      <c r="X6073">
        <v>39</v>
      </c>
      <c r="Y6073" t="s">
        <v>24717</v>
      </c>
      <c r="Z6073" t="s">
        <v>31020</v>
      </c>
      <c r="AA6073">
        <v>0.51278913553862793</v>
      </c>
      <c r="AB6073" t="str">
        <f>HYPERLINK("Melting_Curves/meltCurve_Q9UQE7_SMC3.pdf", "Melting_Curves/meltCurve_Q9UQE7_SMC3.pdf")</f>
        <v>Melting_Curves/meltCurve_Q9UQE7_SMC3.pdf</v>
      </c>
    </row>
    <row r="6074" spans="1:28" x14ac:dyDescent="0.25">
      <c r="A6074" t="s">
        <v>6078</v>
      </c>
      <c r="B6074">
        <v>0.99987803227770999</v>
      </c>
      <c r="C6074">
        <v>0.87562309994214005</v>
      </c>
      <c r="D6074">
        <v>1.0220503892663499</v>
      </c>
      <c r="E6074">
        <v>0.86394435112674905</v>
      </c>
      <c r="F6074">
        <v>1.0179224965001299</v>
      </c>
      <c r="G6074">
        <v>0.76168223023553205</v>
      </c>
      <c r="H6074">
        <v>0.837117105565646</v>
      </c>
      <c r="I6074">
        <v>0.82276679779137496</v>
      </c>
      <c r="J6074">
        <v>0.80511142613169495</v>
      </c>
      <c r="K6074">
        <v>0.63956054600737999</v>
      </c>
      <c r="L6074">
        <v>302.59232850005901</v>
      </c>
      <c r="M6074">
        <v>3.4428079421258402</v>
      </c>
      <c r="O6074">
        <v>68.478793546191994</v>
      </c>
      <c r="P6074">
        <v>-1.28271308768195E-2</v>
      </c>
      <c r="Q6074">
        <v>0</v>
      </c>
      <c r="R6074">
        <v>0.61330403475333695</v>
      </c>
      <c r="S6074" t="s">
        <v>12385</v>
      </c>
      <c r="T6074" t="s">
        <v>12620</v>
      </c>
      <c r="U6074" t="s">
        <v>12620</v>
      </c>
      <c r="V6074" t="s">
        <v>12620</v>
      </c>
      <c r="W6074" t="s">
        <v>18634</v>
      </c>
      <c r="X6074">
        <v>8</v>
      </c>
      <c r="Y6074" t="s">
        <v>24718</v>
      </c>
      <c r="Z6074" t="s">
        <v>31021</v>
      </c>
      <c r="AA6074">
        <v>0.87240149964314506</v>
      </c>
      <c r="AB6074" t="str">
        <f>HYPERLINK("Melting_Curves/meltCurve_Q9UQN3_CHMP2B.pdf", "Melting_Curves/meltCurve_Q9UQN3_CHMP2B.pdf")</f>
        <v>Melting_Curves/meltCurve_Q9UQN3_CHMP2B.pdf</v>
      </c>
    </row>
    <row r="6075" spans="1:28" x14ac:dyDescent="0.25">
      <c r="A6075" t="s">
        <v>6079</v>
      </c>
      <c r="B6075">
        <v>0.99987803227770999</v>
      </c>
      <c r="C6075">
        <v>0.71821531059384702</v>
      </c>
      <c r="D6075">
        <v>0.68143955862488104</v>
      </c>
      <c r="E6075">
        <v>0.55303214030187098</v>
      </c>
      <c r="F6075">
        <v>0.65712198527798804</v>
      </c>
      <c r="G6075">
        <v>0.45706674849805601</v>
      </c>
      <c r="H6075">
        <v>0.35204865824229598</v>
      </c>
      <c r="I6075">
        <v>0.29101248660061502</v>
      </c>
      <c r="J6075">
        <v>0.25231185633179098</v>
      </c>
      <c r="K6075">
        <v>0.201763550224627</v>
      </c>
      <c r="L6075">
        <v>299.24938834157001</v>
      </c>
      <c r="M6075">
        <v>5.5060168912516003</v>
      </c>
      <c r="N6075">
        <v>54.349522368757803</v>
      </c>
      <c r="O6075">
        <v>48.440491012035402</v>
      </c>
      <c r="P6075">
        <v>-2.8541087574563001E-2</v>
      </c>
      <c r="Q6075">
        <v>0</v>
      </c>
      <c r="R6075">
        <v>0.91870641317305302</v>
      </c>
      <c r="S6075" t="s">
        <v>12386</v>
      </c>
      <c r="T6075" t="s">
        <v>12620</v>
      </c>
      <c r="U6075" t="s">
        <v>12620</v>
      </c>
      <c r="V6075" t="s">
        <v>12620</v>
      </c>
      <c r="W6075" t="s">
        <v>18635</v>
      </c>
      <c r="X6075">
        <v>5</v>
      </c>
      <c r="Y6075" t="s">
        <v>24719</v>
      </c>
      <c r="Z6075" t="s">
        <v>31022</v>
      </c>
      <c r="AA6075">
        <v>0.51160219693735831</v>
      </c>
      <c r="AB6075" t="str">
        <f>HYPERLINK("Melting_Curves/meltCurve_Q9UQR0_SCML2.pdf", "Melting_Curves/meltCurve_Q9UQR0_SCML2.pdf")</f>
        <v>Melting_Curves/meltCurve_Q9UQR0_SCML2.pdf</v>
      </c>
    </row>
    <row r="6076" spans="1:28" x14ac:dyDescent="0.25">
      <c r="A6076" t="s">
        <v>6080</v>
      </c>
      <c r="B6076">
        <v>0.99987803227770999</v>
      </c>
      <c r="C6076">
        <v>0.85296626865320302</v>
      </c>
      <c r="D6076">
        <v>0.908374664303775</v>
      </c>
      <c r="E6076">
        <v>0.93746129856669902</v>
      </c>
      <c r="F6076">
        <v>0.97038019074966797</v>
      </c>
      <c r="G6076">
        <v>0.94495968288681298</v>
      </c>
      <c r="H6076">
        <v>0.77407317894273597</v>
      </c>
      <c r="I6076">
        <v>0.81611953648691404</v>
      </c>
      <c r="J6076">
        <v>0.55028872022989905</v>
      </c>
      <c r="K6076">
        <v>0.41732145700189399</v>
      </c>
      <c r="L6076">
        <v>912.92923325643005</v>
      </c>
      <c r="M6076">
        <v>13.315643226911099</v>
      </c>
      <c r="N6076">
        <v>68.560656103228993</v>
      </c>
      <c r="O6076">
        <v>67.069688013910095</v>
      </c>
      <c r="P6076">
        <v>-4.96415975650343E-2</v>
      </c>
      <c r="Q6076">
        <v>0</v>
      </c>
      <c r="R6076">
        <v>0.85740967369176702</v>
      </c>
      <c r="S6076" t="s">
        <v>12387</v>
      </c>
      <c r="T6076" t="s">
        <v>12620</v>
      </c>
      <c r="U6076" t="s">
        <v>12620</v>
      </c>
      <c r="V6076" t="s">
        <v>12620</v>
      </c>
      <c r="W6076" t="s">
        <v>18636</v>
      </c>
      <c r="X6076">
        <v>6</v>
      </c>
      <c r="Y6076" t="s">
        <v>24720</v>
      </c>
      <c r="Z6076" t="s">
        <v>31023</v>
      </c>
      <c r="AA6076">
        <v>0.87257693347614373</v>
      </c>
      <c r="AB6076" t="str">
        <f>HYPERLINK("Melting_Curves/meltCurve_Q9UQR1_ZNF148.pdf", "Melting_Curves/meltCurve_Q9UQR1_ZNF148.pdf")</f>
        <v>Melting_Curves/meltCurve_Q9UQR1_ZNF148.pdf</v>
      </c>
    </row>
    <row r="6077" spans="1:28" x14ac:dyDescent="0.25">
      <c r="A6077" t="s">
        <v>6081</v>
      </c>
      <c r="B6077">
        <v>0.99987803227770999</v>
      </c>
      <c r="C6077">
        <v>1.06174609693151</v>
      </c>
      <c r="D6077">
        <v>0.98785696176427995</v>
      </c>
      <c r="E6077">
        <v>0.85999827618964098</v>
      </c>
      <c r="F6077">
        <v>0.237654006909328</v>
      </c>
      <c r="G6077">
        <v>0.15547498662817899</v>
      </c>
      <c r="H6077">
        <v>0.100283761153537</v>
      </c>
      <c r="I6077">
        <v>0.100919854133251</v>
      </c>
      <c r="J6077">
        <v>7.3595759179753806E-2</v>
      </c>
      <c r="K6077">
        <v>5.7245456335398799E-2</v>
      </c>
      <c r="L6077">
        <v>2944.5562681409001</v>
      </c>
      <c r="M6077">
        <v>57.212269961901598</v>
      </c>
      <c r="N6077">
        <v>51.660162460864399</v>
      </c>
      <c r="O6077">
        <v>51.404449569887497</v>
      </c>
      <c r="P6077">
        <v>-0.25147922696459901</v>
      </c>
      <c r="Q6077">
        <v>9.6197733035864E-2</v>
      </c>
      <c r="R6077">
        <v>0.99493719959341198</v>
      </c>
      <c r="S6077" t="s">
        <v>12388</v>
      </c>
      <c r="T6077" t="s">
        <v>12620</v>
      </c>
      <c r="U6077" t="s">
        <v>12620</v>
      </c>
      <c r="V6077" t="s">
        <v>12620</v>
      </c>
      <c r="W6077" t="s">
        <v>18637</v>
      </c>
      <c r="X6077">
        <v>10</v>
      </c>
      <c r="Y6077" t="s">
        <v>24721</v>
      </c>
      <c r="Z6077" t="s">
        <v>31024</v>
      </c>
      <c r="AA6077">
        <v>0.44323264423003572</v>
      </c>
      <c r="AB6077" t="str">
        <f>HYPERLINK("Melting_Curves/meltCurve_Q9Y217_MTMR6.pdf", "Melting_Curves/meltCurve_Q9Y217_MTMR6.pdf")</f>
        <v>Melting_Curves/meltCurve_Q9Y217_MTMR6.pdf</v>
      </c>
    </row>
    <row r="6078" spans="1:28" x14ac:dyDescent="0.25">
      <c r="A6078" t="s">
        <v>6082</v>
      </c>
      <c r="B6078">
        <v>0.99987803227770999</v>
      </c>
      <c r="C6078">
        <v>1.20502251961795</v>
      </c>
      <c r="D6078">
        <v>0.84960431067794395</v>
      </c>
      <c r="E6078">
        <v>1.2692594438643601</v>
      </c>
      <c r="F6078">
        <v>0.34120581865312799</v>
      </c>
      <c r="G6078">
        <v>0.16291247207579099</v>
      </c>
      <c r="H6078">
        <v>9.3242314746568106E-2</v>
      </c>
      <c r="I6078">
        <v>7.9743846051117506E-2</v>
      </c>
      <c r="J6078">
        <v>5.8130872062019098E-2</v>
      </c>
      <c r="K6078">
        <v>4.3887797638204398E-2</v>
      </c>
      <c r="L6078">
        <v>13199.4084407438</v>
      </c>
      <c r="M6078">
        <v>250</v>
      </c>
      <c r="N6078">
        <v>52.838346463525497</v>
      </c>
      <c r="O6078">
        <v>52.794255078583902</v>
      </c>
      <c r="P6078">
        <v>-1.0801561987153101</v>
      </c>
      <c r="Q6078">
        <v>8.7583331235887199E-2</v>
      </c>
      <c r="R6078">
        <v>0.937843280751127</v>
      </c>
      <c r="S6078" t="s">
        <v>12389</v>
      </c>
      <c r="T6078" t="s">
        <v>12620</v>
      </c>
      <c r="U6078" t="s">
        <v>12620</v>
      </c>
      <c r="V6078" t="s">
        <v>12620</v>
      </c>
      <c r="W6078" t="s">
        <v>18638</v>
      </c>
      <c r="X6078">
        <v>19</v>
      </c>
      <c r="Y6078" t="s">
        <v>24722</v>
      </c>
      <c r="Z6078" t="s">
        <v>31025</v>
      </c>
      <c r="AA6078">
        <v>0.47689368707786828</v>
      </c>
      <c r="AB6078" t="str">
        <f>HYPERLINK("Melting_Curves/meltCurve_Q9Y223_GNE.pdf", "Melting_Curves/meltCurve_Q9Y223_GNE.pdf")</f>
        <v>Melting_Curves/meltCurve_Q9Y223_GNE.pdf</v>
      </c>
    </row>
    <row r="6079" spans="1:28" x14ac:dyDescent="0.25">
      <c r="A6079" t="s">
        <v>6083</v>
      </c>
      <c r="B6079">
        <v>0.99987803227770999</v>
      </c>
      <c r="C6079">
        <v>1.08296885935445</v>
      </c>
      <c r="D6079">
        <v>0.94489650455451901</v>
      </c>
      <c r="E6079">
        <v>0.91934385592989998</v>
      </c>
      <c r="F6079">
        <v>0.54519210578084798</v>
      </c>
      <c r="G6079">
        <v>0.52823704378978598</v>
      </c>
      <c r="H6079">
        <v>0.379975579057799</v>
      </c>
      <c r="I6079">
        <v>0.186137004996384</v>
      </c>
      <c r="J6079">
        <v>0.105327411874702</v>
      </c>
      <c r="K6079">
        <v>6.8058481273450003E-2</v>
      </c>
      <c r="L6079">
        <v>683.67502085081696</v>
      </c>
      <c r="M6079">
        <v>12.050747748927501</v>
      </c>
      <c r="N6079">
        <v>56.732995462506203</v>
      </c>
      <c r="O6079">
        <v>55.238469529762803</v>
      </c>
      <c r="P6079">
        <v>-5.4552585924603797E-2</v>
      </c>
      <c r="Q6079">
        <v>0</v>
      </c>
      <c r="R6079">
        <v>0.962097164439083</v>
      </c>
      <c r="S6079" t="s">
        <v>12390</v>
      </c>
      <c r="T6079" t="s">
        <v>12620</v>
      </c>
      <c r="U6079" t="s">
        <v>12620</v>
      </c>
      <c r="V6079" t="s">
        <v>12620</v>
      </c>
      <c r="W6079" t="s">
        <v>18639</v>
      </c>
      <c r="X6079">
        <v>14</v>
      </c>
      <c r="Y6079" t="s">
        <v>24723</v>
      </c>
      <c r="Z6079" t="s">
        <v>31026</v>
      </c>
      <c r="AA6079">
        <v>0.57559119309271456</v>
      </c>
      <c r="AB6079" t="str">
        <f>HYPERLINK("Melting_Curves/meltCurve_Q9Y224_C14orf166.pdf", "Melting_Curves/meltCurve_Q9Y224_C14orf166.pdf")</f>
        <v>Melting_Curves/meltCurve_Q9Y224_C14orf166.pdf</v>
      </c>
    </row>
    <row r="6080" spans="1:28" x14ac:dyDescent="0.25">
      <c r="A6080" t="s">
        <v>6084</v>
      </c>
      <c r="B6080">
        <v>0.99987803227770999</v>
      </c>
      <c r="C6080">
        <v>0.91933443435031503</v>
      </c>
      <c r="D6080">
        <v>0.80075206609994898</v>
      </c>
      <c r="E6080">
        <v>1.1956385291541001</v>
      </c>
      <c r="F6080">
        <v>1.0283124542198401</v>
      </c>
      <c r="G6080">
        <v>0.84812556514791704</v>
      </c>
      <c r="H6080">
        <v>0.384723413400541</v>
      </c>
      <c r="I6080">
        <v>0.14719478526111199</v>
      </c>
      <c r="J6080">
        <v>0.10746903879082</v>
      </c>
      <c r="K6080">
        <v>7.5654936784864901E-2</v>
      </c>
      <c r="L6080">
        <v>2135.5956625184999</v>
      </c>
      <c r="M6080">
        <v>35.738131775040202</v>
      </c>
      <c r="N6080">
        <v>60.038414376118801</v>
      </c>
      <c r="O6080">
        <v>59.570606413226002</v>
      </c>
      <c r="P6080">
        <v>-0.138408185556848</v>
      </c>
      <c r="Q6080">
        <v>7.7172537849600806E-2</v>
      </c>
      <c r="R6080">
        <v>0.94729455463847401</v>
      </c>
      <c r="S6080" t="s">
        <v>12391</v>
      </c>
      <c r="T6080" t="s">
        <v>12620</v>
      </c>
      <c r="U6080" t="s">
        <v>12620</v>
      </c>
      <c r="V6080" t="s">
        <v>12620</v>
      </c>
      <c r="W6080" t="s">
        <v>18640</v>
      </c>
      <c r="X6080">
        <v>27</v>
      </c>
      <c r="Y6080" t="s">
        <v>24724</v>
      </c>
      <c r="Z6080" t="s">
        <v>31027</v>
      </c>
      <c r="AA6080">
        <v>0.68929194603346589</v>
      </c>
      <c r="AB6080" t="str">
        <f>HYPERLINK("Melting_Curves/meltCurve_Q9Y230_RUVBL2.pdf", "Melting_Curves/meltCurve_Q9Y230_RUVBL2.pdf")</f>
        <v>Melting_Curves/meltCurve_Q9Y230_RUVBL2.pdf</v>
      </c>
    </row>
    <row r="6081" spans="1:28" x14ac:dyDescent="0.25">
      <c r="A6081" t="s">
        <v>6085</v>
      </c>
      <c r="B6081">
        <v>0.99987803227770999</v>
      </c>
      <c r="C6081">
        <v>0.95290902116551102</v>
      </c>
      <c r="D6081">
        <v>0.88079080075343597</v>
      </c>
      <c r="E6081">
        <v>0.97335858333397296</v>
      </c>
      <c r="F6081">
        <v>0.916590497274687</v>
      </c>
      <c r="G6081">
        <v>0.65073675547765097</v>
      </c>
      <c r="H6081">
        <v>0.58205520889407802</v>
      </c>
      <c r="I6081">
        <v>0.571018141364245</v>
      </c>
      <c r="J6081">
        <v>0.64544333990536196</v>
      </c>
      <c r="K6081">
        <v>0.52642201102947395</v>
      </c>
      <c r="L6081">
        <v>2156.74234344762</v>
      </c>
      <c r="M6081">
        <v>39.371401552953401</v>
      </c>
      <c r="O6081">
        <v>54.638663463086402</v>
      </c>
      <c r="P6081">
        <v>-7.5921458576848302E-2</v>
      </c>
      <c r="Q6081">
        <v>0.57855319238412595</v>
      </c>
      <c r="R6081">
        <v>0.92638738518363895</v>
      </c>
      <c r="S6081" t="s">
        <v>12392</v>
      </c>
      <c r="T6081" t="s">
        <v>12620</v>
      </c>
      <c r="U6081" t="s">
        <v>12620</v>
      </c>
      <c r="V6081" t="s">
        <v>12620</v>
      </c>
      <c r="W6081" t="s">
        <v>18641</v>
      </c>
      <c r="X6081">
        <v>4</v>
      </c>
      <c r="Y6081" t="s">
        <v>24725</v>
      </c>
      <c r="Z6081" t="s">
        <v>31028</v>
      </c>
      <c r="AA6081">
        <v>0.78781934514737917</v>
      </c>
      <c r="AB6081" t="str">
        <f>HYPERLINK("Melting_Curves/meltCurve_Q9Y232_2_CDYL.pdf", "Melting_Curves/meltCurve_Q9Y232_2_CDYL.pdf")</f>
        <v>Melting_Curves/meltCurve_Q9Y232_2_CDYL.pdf</v>
      </c>
    </row>
    <row r="6082" spans="1:28" x14ac:dyDescent="0.25">
      <c r="A6082" t="s">
        <v>6086</v>
      </c>
      <c r="B6082">
        <v>0.99987803227770999</v>
      </c>
      <c r="C6082">
        <v>0.78415684860447399</v>
      </c>
      <c r="D6082">
        <v>0.93436043716112605</v>
      </c>
      <c r="E6082">
        <v>0.79327845710071498</v>
      </c>
      <c r="F6082">
        <v>1.0427681647621001</v>
      </c>
      <c r="G6082">
        <v>0.79196163391969399</v>
      </c>
      <c r="H6082">
        <v>0.70167966772370804</v>
      </c>
      <c r="I6082">
        <v>0.55110531689325704</v>
      </c>
      <c r="J6082">
        <v>0.56899812713212805</v>
      </c>
      <c r="K6082">
        <v>0.46944797093116097</v>
      </c>
      <c r="L6082">
        <v>403.32925431791898</v>
      </c>
      <c r="M6082">
        <v>5.8277826293589099</v>
      </c>
      <c r="N6082">
        <v>69.208018896990296</v>
      </c>
      <c r="O6082">
        <v>62.365179234557097</v>
      </c>
      <c r="P6082">
        <v>-2.34454341352477E-2</v>
      </c>
      <c r="Q6082">
        <v>0</v>
      </c>
      <c r="R6082">
        <v>0.73870095016930604</v>
      </c>
      <c r="S6082" t="s">
        <v>12393</v>
      </c>
      <c r="T6082" t="s">
        <v>12620</v>
      </c>
      <c r="U6082" t="s">
        <v>12620</v>
      </c>
      <c r="V6082" t="s">
        <v>12620</v>
      </c>
      <c r="W6082" t="s">
        <v>18642</v>
      </c>
      <c r="X6082">
        <v>6</v>
      </c>
      <c r="Y6082" t="s">
        <v>24726</v>
      </c>
      <c r="Z6082" t="s">
        <v>31029</v>
      </c>
      <c r="AA6082">
        <v>0.78755026883306567</v>
      </c>
      <c r="AB6082" t="str">
        <f>HYPERLINK("Melting_Curves/meltCurve_Q9Y237_PIN4.pdf", "Melting_Curves/meltCurve_Q9Y237_PIN4.pdf")</f>
        <v>Melting_Curves/meltCurve_Q9Y237_PIN4.pdf</v>
      </c>
    </row>
    <row r="6083" spans="1:28" x14ac:dyDescent="0.25">
      <c r="A6083" t="s">
        <v>6087</v>
      </c>
      <c r="B6083">
        <v>0.99987803227770999</v>
      </c>
      <c r="C6083">
        <v>0.90484585887937596</v>
      </c>
      <c r="D6083">
        <v>1.05100641781228</v>
      </c>
      <c r="E6083">
        <v>0.88007074581184097</v>
      </c>
      <c r="F6083">
        <v>0.97945076071914705</v>
      </c>
      <c r="G6083">
        <v>0.52620920921794001</v>
      </c>
      <c r="H6083">
        <v>0.19402723823915499</v>
      </c>
      <c r="I6083">
        <v>0.15005732680825901</v>
      </c>
      <c r="J6083">
        <v>8.2922284592323703E-2</v>
      </c>
      <c r="K6083">
        <v>6.2196743655560403E-2</v>
      </c>
      <c r="L6083">
        <v>1828.43537447525</v>
      </c>
      <c r="M6083">
        <v>32.073257610626399</v>
      </c>
      <c r="N6083">
        <v>57.346858168995297</v>
      </c>
      <c r="O6083">
        <v>56.787851337324398</v>
      </c>
      <c r="P6083">
        <v>-0.12901290173006999</v>
      </c>
      <c r="Q6083">
        <v>8.6300625421649096E-2</v>
      </c>
      <c r="R6083">
        <v>0.98179237107102102</v>
      </c>
      <c r="S6083" t="s">
        <v>12394</v>
      </c>
      <c r="T6083" t="s">
        <v>12620</v>
      </c>
      <c r="U6083" t="s">
        <v>12620</v>
      </c>
      <c r="V6083" t="s">
        <v>12620</v>
      </c>
      <c r="W6083" t="s">
        <v>18643</v>
      </c>
      <c r="X6083">
        <v>10</v>
      </c>
      <c r="Y6083" t="s">
        <v>24727</v>
      </c>
      <c r="Z6083" t="s">
        <v>31030</v>
      </c>
      <c r="AA6083">
        <v>0.60970972610551455</v>
      </c>
      <c r="AB6083" t="str">
        <f>HYPERLINK("Melting_Curves/meltCurve_Q9Y243_2_AKT3.pdf", "Melting_Curves/meltCurve_Q9Y243_2_AKT3.pdf")</f>
        <v>Melting_Curves/meltCurve_Q9Y243_2_AKT3.pdf</v>
      </c>
    </row>
    <row r="6084" spans="1:28" x14ac:dyDescent="0.25">
      <c r="A6084" t="s">
        <v>6088</v>
      </c>
      <c r="B6084">
        <v>0.99987803227770999</v>
      </c>
      <c r="C6084">
        <v>0.85893150991225697</v>
      </c>
      <c r="D6084">
        <v>0.930938618793685</v>
      </c>
      <c r="E6084">
        <v>0.98421827991226596</v>
      </c>
      <c r="F6084">
        <v>0.98700222492705603</v>
      </c>
      <c r="G6084">
        <v>0.873232420059461</v>
      </c>
      <c r="H6084">
        <v>0.73712027730337704</v>
      </c>
      <c r="I6084">
        <v>0.65312030564766099</v>
      </c>
      <c r="J6084">
        <v>0.37273831761072301</v>
      </c>
      <c r="K6084">
        <v>0.28723542274032998</v>
      </c>
      <c r="L6084">
        <v>967.57449549260298</v>
      </c>
      <c r="M6084">
        <v>14.758970896206099</v>
      </c>
      <c r="N6084">
        <v>65.558398532787905</v>
      </c>
      <c r="O6084">
        <v>64.390106016348696</v>
      </c>
      <c r="P6084">
        <v>-5.7309091896697799E-2</v>
      </c>
      <c r="Q6084">
        <v>0</v>
      </c>
      <c r="R6084">
        <v>0.94611601513770005</v>
      </c>
      <c r="S6084" t="s">
        <v>12395</v>
      </c>
      <c r="T6084" t="s">
        <v>12620</v>
      </c>
      <c r="U6084" t="s">
        <v>12620</v>
      </c>
      <c r="V6084" t="s">
        <v>12620</v>
      </c>
      <c r="W6084" t="s">
        <v>18644</v>
      </c>
      <c r="X6084">
        <v>5</v>
      </c>
      <c r="Y6084" t="s">
        <v>24728</v>
      </c>
      <c r="Z6084" t="s">
        <v>31031</v>
      </c>
      <c r="AA6084">
        <v>0.81987037366493121</v>
      </c>
      <c r="AB6084" t="str">
        <f>HYPERLINK("Melting_Curves/meltCurve_Q9Y244_POMP.pdf", "Melting_Curves/meltCurve_Q9Y244_POMP.pdf")</f>
        <v>Melting_Curves/meltCurve_Q9Y244_POMP.pdf</v>
      </c>
    </row>
    <row r="6085" spans="1:28" x14ac:dyDescent="0.25">
      <c r="A6085" t="s">
        <v>6089</v>
      </c>
      <c r="B6085">
        <v>0.99987803227770999</v>
      </c>
      <c r="C6085">
        <v>1.04233844611948</v>
      </c>
      <c r="D6085">
        <v>0.99974138863015105</v>
      </c>
      <c r="E6085">
        <v>0.83798207725470497</v>
      </c>
      <c r="F6085">
        <v>0.34415409257256802</v>
      </c>
      <c r="G6085">
        <v>0.18828971403770101</v>
      </c>
      <c r="H6085">
        <v>0.109670917724505</v>
      </c>
      <c r="I6085">
        <v>0.102167777558998</v>
      </c>
      <c r="J6085">
        <v>6.8187781117655902E-2</v>
      </c>
      <c r="K6085">
        <v>4.5812947598489903E-2</v>
      </c>
      <c r="L6085">
        <v>2018.9244944718901</v>
      </c>
      <c r="M6085">
        <v>38.952990015068103</v>
      </c>
      <c r="N6085">
        <v>52.109755293115597</v>
      </c>
      <c r="O6085">
        <v>51.693733299078801</v>
      </c>
      <c r="P6085">
        <v>-0.17059637964973001</v>
      </c>
      <c r="Q6085">
        <v>9.4421924965781195E-2</v>
      </c>
      <c r="R6085">
        <v>0.99401060400665897</v>
      </c>
      <c r="S6085" t="s">
        <v>12396</v>
      </c>
      <c r="T6085" t="s">
        <v>12620</v>
      </c>
      <c r="U6085" t="s">
        <v>12620</v>
      </c>
      <c r="V6085" t="s">
        <v>12620</v>
      </c>
      <c r="W6085" t="s">
        <v>18645</v>
      </c>
      <c r="X6085">
        <v>7</v>
      </c>
      <c r="Y6085" t="s">
        <v>24729</v>
      </c>
      <c r="Z6085" t="s">
        <v>31032</v>
      </c>
      <c r="AA6085">
        <v>0.45493535624847059</v>
      </c>
      <c r="AB6085" t="str">
        <f>HYPERLINK("Melting_Curves/meltCurve_Q9Y248_GINS2.pdf", "Melting_Curves/meltCurve_Q9Y248_GINS2.pdf")</f>
        <v>Melting_Curves/meltCurve_Q9Y248_GINS2.pdf</v>
      </c>
    </row>
    <row r="6086" spans="1:28" x14ac:dyDescent="0.25">
      <c r="A6086" t="s">
        <v>6090</v>
      </c>
      <c r="B6086">
        <v>0.99987803227770999</v>
      </c>
      <c r="C6086">
        <v>1.0370962393291101</v>
      </c>
      <c r="D6086">
        <v>0.87430498350590602</v>
      </c>
      <c r="E6086">
        <v>1.0929647686116499</v>
      </c>
      <c r="F6086">
        <v>0.889949836963847</v>
      </c>
      <c r="G6086">
        <v>0.78032913145490101</v>
      </c>
      <c r="H6086">
        <v>0.571878665358169</v>
      </c>
      <c r="I6086">
        <v>0.22709846453969301</v>
      </c>
      <c r="J6086">
        <v>9.3065703990247897E-2</v>
      </c>
      <c r="K6086">
        <v>0.117178008811381</v>
      </c>
      <c r="L6086">
        <v>1264.83387587113</v>
      </c>
      <c r="M6086">
        <v>20.749747561034699</v>
      </c>
      <c r="N6086">
        <v>60.9881859489779</v>
      </c>
      <c r="O6086">
        <v>60.3988929338229</v>
      </c>
      <c r="P6086">
        <v>-8.54296744653356E-2</v>
      </c>
      <c r="Q6086">
        <v>5.3444768775294596E-3</v>
      </c>
      <c r="R6086">
        <v>0.96712182565780003</v>
      </c>
      <c r="S6086" t="s">
        <v>12397</v>
      </c>
      <c r="T6086" t="s">
        <v>12620</v>
      </c>
      <c r="U6086" t="s">
        <v>12620</v>
      </c>
      <c r="V6086" t="s">
        <v>12620</v>
      </c>
      <c r="W6086" t="s">
        <v>18646</v>
      </c>
      <c r="X6086">
        <v>4</v>
      </c>
      <c r="Y6086" t="s">
        <v>24730</v>
      </c>
      <c r="Z6086" t="s">
        <v>31033</v>
      </c>
      <c r="AA6086">
        <v>0.70646372144778902</v>
      </c>
      <c r="AB6086" t="str">
        <f>HYPERLINK("Melting_Curves/meltCurve_Q9Y259_CHKB.pdf", "Melting_Curves/meltCurve_Q9Y259_CHKB.pdf")</f>
        <v>Melting_Curves/meltCurve_Q9Y259_CHKB.pdf</v>
      </c>
    </row>
    <row r="6087" spans="1:28" x14ac:dyDescent="0.25">
      <c r="A6087" t="s">
        <v>6091</v>
      </c>
      <c r="B6087">
        <v>0.99987803227770999</v>
      </c>
      <c r="C6087">
        <v>0.88911672200591696</v>
      </c>
      <c r="D6087">
        <v>1.10790474945704</v>
      </c>
      <c r="E6087">
        <v>2.0581373033898802</v>
      </c>
      <c r="F6087">
        <v>0.90857200625458201</v>
      </c>
      <c r="G6087">
        <v>0.24535215728617399</v>
      </c>
      <c r="H6087">
        <v>0.146732382987739</v>
      </c>
      <c r="I6087">
        <v>0.13419597656211299</v>
      </c>
      <c r="J6087">
        <v>8.6021018673096805E-2</v>
      </c>
      <c r="K6087">
        <v>6.0652555451150003E-2</v>
      </c>
      <c r="L6087">
        <v>3462.0355594535199</v>
      </c>
      <c r="M6087">
        <v>62.493269137419901</v>
      </c>
      <c r="N6087">
        <v>55.613356147654201</v>
      </c>
      <c r="O6087">
        <v>55.341891387860301</v>
      </c>
      <c r="P6087">
        <v>-0.25203252995126502</v>
      </c>
      <c r="Q6087">
        <v>0.10723492476362299</v>
      </c>
      <c r="R6087">
        <v>0.69561865066085704</v>
      </c>
      <c r="S6087" t="s">
        <v>12398</v>
      </c>
      <c r="T6087" t="s">
        <v>12620</v>
      </c>
      <c r="U6087" t="s">
        <v>12620</v>
      </c>
      <c r="V6087" t="s">
        <v>12620</v>
      </c>
      <c r="W6087" t="s">
        <v>18647</v>
      </c>
      <c r="X6087">
        <v>22</v>
      </c>
      <c r="Y6087" t="s">
        <v>24731</v>
      </c>
      <c r="Z6087" t="s">
        <v>31034</v>
      </c>
      <c r="AA6087">
        <v>0.56687101528021744</v>
      </c>
      <c r="AB6087" t="str">
        <f>HYPERLINK("Melting_Curves/meltCurve_Q9Y262_EIF3L.pdf", "Melting_Curves/meltCurve_Q9Y262_EIF3L.pdf")</f>
        <v>Melting_Curves/meltCurve_Q9Y262_EIF3L.pdf</v>
      </c>
    </row>
    <row r="6088" spans="1:28" x14ac:dyDescent="0.25">
      <c r="A6088" t="s">
        <v>6092</v>
      </c>
      <c r="B6088">
        <v>0.99987803227770999</v>
      </c>
      <c r="C6088">
        <v>0.79156346526611998</v>
      </c>
      <c r="D6088">
        <v>0.97761549471936104</v>
      </c>
      <c r="E6088">
        <v>0.91497890095866097</v>
      </c>
      <c r="F6088">
        <v>0.495244392772139</v>
      </c>
      <c r="G6088">
        <v>0.212438757110925</v>
      </c>
      <c r="H6088">
        <v>0.10049824230917601</v>
      </c>
      <c r="I6088">
        <v>8.0416125907457503E-2</v>
      </c>
      <c r="J6088">
        <v>5.97927203741953E-2</v>
      </c>
      <c r="K6088">
        <v>4.2780934607839098E-2</v>
      </c>
      <c r="L6088">
        <v>1571.0995359389699</v>
      </c>
      <c r="M6088">
        <v>29.6431487933942</v>
      </c>
      <c r="N6088">
        <v>53.2698190919754</v>
      </c>
      <c r="O6088">
        <v>52.760966830506199</v>
      </c>
      <c r="P6088">
        <v>-0.13068354689924799</v>
      </c>
      <c r="Q6088">
        <v>6.9606980793432499E-2</v>
      </c>
      <c r="R6088">
        <v>0.96773717800686698</v>
      </c>
      <c r="S6088" t="s">
        <v>12399</v>
      </c>
      <c r="T6088" t="s">
        <v>12620</v>
      </c>
      <c r="U6088" t="s">
        <v>12620</v>
      </c>
      <c r="V6088" t="s">
        <v>12620</v>
      </c>
      <c r="W6088" t="s">
        <v>18648</v>
      </c>
      <c r="X6088">
        <v>30</v>
      </c>
      <c r="Y6088" t="s">
        <v>24732</v>
      </c>
      <c r="Z6088" t="s">
        <v>31035</v>
      </c>
      <c r="AA6088">
        <v>0.47896713215637488</v>
      </c>
      <c r="AB6088" t="str">
        <f>HYPERLINK("Melting_Curves/meltCurve_Q9Y263_PLAA.pdf", "Melting_Curves/meltCurve_Q9Y263_PLAA.pdf")</f>
        <v>Melting_Curves/meltCurve_Q9Y263_PLAA.pdf</v>
      </c>
    </row>
    <row r="6089" spans="1:28" x14ac:dyDescent="0.25">
      <c r="A6089" t="s">
        <v>6093</v>
      </c>
      <c r="B6089">
        <v>0.99987803227770999</v>
      </c>
      <c r="C6089">
        <v>0.96658417547103903</v>
      </c>
      <c r="D6089">
        <v>0.85066653033755202</v>
      </c>
      <c r="E6089">
        <v>1.3654374847964199</v>
      </c>
      <c r="F6089">
        <v>1.1587032115987901</v>
      </c>
      <c r="G6089">
        <v>1.0737603116693399</v>
      </c>
      <c r="H6089">
        <v>0.42847157745915998</v>
      </c>
      <c r="I6089">
        <v>0.16322843783726801</v>
      </c>
      <c r="J6089">
        <v>0.10008515455019899</v>
      </c>
      <c r="K6089">
        <v>6.3405968816361805E-2</v>
      </c>
      <c r="L6089">
        <v>5210.6375513451503</v>
      </c>
      <c r="M6089">
        <v>85.971765925703195</v>
      </c>
      <c r="N6089">
        <v>60.7751620801698</v>
      </c>
      <c r="O6089">
        <v>60.575921942080697</v>
      </c>
      <c r="P6089">
        <v>-0.31759083176173197</v>
      </c>
      <c r="Q6089">
        <v>0.104898698153868</v>
      </c>
      <c r="R6089">
        <v>0.90844144773107105</v>
      </c>
      <c r="S6089" t="s">
        <v>12400</v>
      </c>
      <c r="T6089" t="s">
        <v>12620</v>
      </c>
      <c r="U6089" t="s">
        <v>12620</v>
      </c>
      <c r="V6089" t="s">
        <v>12620</v>
      </c>
      <c r="W6089" t="s">
        <v>18649</v>
      </c>
      <c r="X6089">
        <v>28</v>
      </c>
      <c r="Y6089" t="s">
        <v>24733</v>
      </c>
      <c r="Z6089" t="s">
        <v>31036</v>
      </c>
      <c r="AA6089">
        <v>0.72060085556832976</v>
      </c>
      <c r="AB6089" t="str">
        <f>HYPERLINK("Melting_Curves/meltCurve_Q9Y265_RUVBL1.pdf", "Melting_Curves/meltCurve_Q9Y265_RUVBL1.pdf")</f>
        <v>Melting_Curves/meltCurve_Q9Y265_RUVBL1.pdf</v>
      </c>
    </row>
    <row r="6090" spans="1:28" x14ac:dyDescent="0.25">
      <c r="A6090" t="s">
        <v>6094</v>
      </c>
      <c r="B6090">
        <v>0.99987803227770999</v>
      </c>
      <c r="C6090">
        <v>0.78089682994593002</v>
      </c>
      <c r="D6090">
        <v>1.07017603300872</v>
      </c>
      <c r="E6090">
        <v>0.89248187937547796</v>
      </c>
      <c r="F6090">
        <v>0.78050862760142203</v>
      </c>
      <c r="G6090">
        <v>0.30107016096521899</v>
      </c>
      <c r="H6090">
        <v>0.18736440232811599</v>
      </c>
      <c r="I6090">
        <v>0.154073316439757</v>
      </c>
      <c r="J6090">
        <v>0.130737772248776</v>
      </c>
      <c r="K6090">
        <v>9.2322247241195005E-2</v>
      </c>
      <c r="L6090">
        <v>1589.13818467186</v>
      </c>
      <c r="M6090">
        <v>29.065781819132901</v>
      </c>
      <c r="N6090">
        <v>55.206764118488799</v>
      </c>
      <c r="O6090">
        <v>54.417008231533899</v>
      </c>
      <c r="P6090">
        <v>-0.117199084788723</v>
      </c>
      <c r="Q6090">
        <v>0.122325157173848</v>
      </c>
      <c r="R6090">
        <v>0.95823321283191398</v>
      </c>
      <c r="S6090" t="s">
        <v>12401</v>
      </c>
      <c r="T6090" t="s">
        <v>12620</v>
      </c>
      <c r="U6090" t="s">
        <v>12620</v>
      </c>
      <c r="V6090" t="s">
        <v>12620</v>
      </c>
      <c r="W6090" t="s">
        <v>18650</v>
      </c>
      <c r="X6090">
        <v>28</v>
      </c>
      <c r="Y6090" t="s">
        <v>24734</v>
      </c>
      <c r="Z6090" t="s">
        <v>31037</v>
      </c>
      <c r="AA6090">
        <v>0.55778500446873147</v>
      </c>
      <c r="AB6090" t="str">
        <f>HYPERLINK("Melting_Curves/meltCurve_Q9Y266_NUDC.pdf", "Melting_Curves/meltCurve_Q9Y266_NUDC.pdf")</f>
        <v>Melting_Curves/meltCurve_Q9Y266_NUDC.pdf</v>
      </c>
    </row>
    <row r="6091" spans="1:28" x14ac:dyDescent="0.25">
      <c r="A6091" t="s">
        <v>6095</v>
      </c>
      <c r="B6091">
        <v>0.99987803227770999</v>
      </c>
      <c r="C6091">
        <v>0.86880257974194497</v>
      </c>
      <c r="D6091">
        <v>1.00576529297478</v>
      </c>
      <c r="E6091">
        <v>0.93172510689049204</v>
      </c>
      <c r="F6091">
        <v>1.12069269675553</v>
      </c>
      <c r="G6091">
        <v>0.73239773312985701</v>
      </c>
      <c r="H6091">
        <v>0.321010584026515</v>
      </c>
      <c r="I6091">
        <v>0.182629958754017</v>
      </c>
      <c r="J6091">
        <v>0.118928950856871</v>
      </c>
      <c r="K6091">
        <v>8.5891347200315202E-2</v>
      </c>
      <c r="L6091">
        <v>1958.37832930126</v>
      </c>
      <c r="M6091">
        <v>33.317787636728802</v>
      </c>
      <c r="N6091">
        <v>59.1974276616655</v>
      </c>
      <c r="O6091">
        <v>58.568224321843999</v>
      </c>
      <c r="P6091">
        <v>-0.12729072296380201</v>
      </c>
      <c r="Q6091">
        <v>0.104963418669311</v>
      </c>
      <c r="R6091">
        <v>0.97088941781065397</v>
      </c>
      <c r="S6091" t="s">
        <v>12402</v>
      </c>
      <c r="T6091" t="s">
        <v>12620</v>
      </c>
      <c r="U6091" t="s">
        <v>12620</v>
      </c>
      <c r="V6091" t="s">
        <v>12620</v>
      </c>
      <c r="W6091" t="s">
        <v>18651</v>
      </c>
      <c r="X6091">
        <v>13</v>
      </c>
      <c r="Y6091" t="s">
        <v>24735</v>
      </c>
      <c r="Z6091" t="s">
        <v>31038</v>
      </c>
      <c r="AA6091">
        <v>0.67009760926251083</v>
      </c>
      <c r="AB6091" t="str">
        <f>HYPERLINK("Melting_Curves/meltCurve_Q9Y281_CFL2.pdf", "Melting_Curves/meltCurve_Q9Y281_CFL2.pdf")</f>
        <v>Melting_Curves/meltCurve_Q9Y281_CFL2.pdf</v>
      </c>
    </row>
    <row r="6092" spans="1:28" x14ac:dyDescent="0.25">
      <c r="A6092" t="s">
        <v>6096</v>
      </c>
      <c r="B6092">
        <v>0.99987803227770999</v>
      </c>
      <c r="C6092">
        <v>1.1402836272190799</v>
      </c>
      <c r="D6092">
        <v>0.88623489242220399</v>
      </c>
      <c r="E6092">
        <v>0.69700983907580805</v>
      </c>
      <c r="F6092">
        <v>0.33104550391610499</v>
      </c>
      <c r="G6092">
        <v>0.19716764549642499</v>
      </c>
      <c r="H6092">
        <v>0.12171799576021</v>
      </c>
      <c r="I6092">
        <v>0.10154012499417001</v>
      </c>
      <c r="J6092">
        <v>8.3084400761656699E-2</v>
      </c>
      <c r="K6092">
        <v>5.1503203934943599E-2</v>
      </c>
      <c r="L6092">
        <v>1215.6849700575201</v>
      </c>
      <c r="M6092">
        <v>23.746222372010099</v>
      </c>
      <c r="N6092">
        <v>51.602318169949697</v>
      </c>
      <c r="O6092">
        <v>50.835954932308702</v>
      </c>
      <c r="P6092">
        <v>-0.106797827188057</v>
      </c>
      <c r="Q6092">
        <v>8.5483171920271994E-2</v>
      </c>
      <c r="R6092">
        <v>0.98129943388549901</v>
      </c>
      <c r="S6092" t="s">
        <v>12403</v>
      </c>
      <c r="T6092" t="s">
        <v>12620</v>
      </c>
      <c r="U6092" t="s">
        <v>12620</v>
      </c>
      <c r="V6092" t="s">
        <v>12620</v>
      </c>
      <c r="W6092" t="s">
        <v>18652</v>
      </c>
      <c r="X6092">
        <v>10</v>
      </c>
      <c r="Y6092" t="s">
        <v>24736</v>
      </c>
      <c r="Z6092" t="s">
        <v>31039</v>
      </c>
      <c r="AA6092">
        <v>0.43589995399193371</v>
      </c>
      <c r="AB6092" t="str">
        <f>HYPERLINK("Melting_Curves/meltCurve_Q9Y285_FARSA.pdf", "Melting_Curves/meltCurve_Q9Y285_FARSA.pdf")</f>
        <v>Melting_Curves/meltCurve_Q9Y285_FARSA.pdf</v>
      </c>
    </row>
    <row r="6093" spans="1:28" x14ac:dyDescent="0.25">
      <c r="A6093" t="s">
        <v>6097</v>
      </c>
      <c r="B6093">
        <v>0.99987803227770999</v>
      </c>
      <c r="C6093">
        <v>0.98246373443942303</v>
      </c>
      <c r="D6093">
        <v>1.02796342522142</v>
      </c>
      <c r="E6093">
        <v>0.98058158984148802</v>
      </c>
      <c r="F6093">
        <v>1.11521037420215</v>
      </c>
      <c r="G6093">
        <v>0.94576754239814498</v>
      </c>
      <c r="H6093">
        <v>0.43862400623464098</v>
      </c>
      <c r="I6093">
        <v>0.22095778100048</v>
      </c>
      <c r="J6093">
        <v>0.17431961123600001</v>
      </c>
      <c r="K6093">
        <v>0.122951136367315</v>
      </c>
      <c r="L6093">
        <v>2790.9049329316599</v>
      </c>
      <c r="M6093">
        <v>46.3817966546343</v>
      </c>
      <c r="N6093">
        <v>60.643686455338297</v>
      </c>
      <c r="O6093">
        <v>60.060883688298802</v>
      </c>
      <c r="P6093">
        <v>-0.163848835000347</v>
      </c>
      <c r="Q6093">
        <v>0.15131408761235099</v>
      </c>
      <c r="R6093">
        <v>0.98883116325866105</v>
      </c>
      <c r="S6093" t="s">
        <v>12404</v>
      </c>
      <c r="T6093" t="s">
        <v>12620</v>
      </c>
      <c r="U6093" t="s">
        <v>12620</v>
      </c>
      <c r="V6093" t="s">
        <v>12620</v>
      </c>
      <c r="W6093" t="s">
        <v>18653</v>
      </c>
      <c r="X6093">
        <v>3</v>
      </c>
      <c r="Y6093" t="s">
        <v>24737</v>
      </c>
      <c r="Z6093" t="s">
        <v>31040</v>
      </c>
      <c r="AA6093">
        <v>0.72452477184015507</v>
      </c>
      <c r="AB6093" t="str">
        <f>HYPERLINK("Melting_Curves/meltCurve_Q9Y294_ASF1A.pdf", "Melting_Curves/meltCurve_Q9Y294_ASF1A.pdf")</f>
        <v>Melting_Curves/meltCurve_Q9Y294_ASF1A.pdf</v>
      </c>
    </row>
    <row r="6094" spans="1:28" x14ac:dyDescent="0.25">
      <c r="A6094" t="s">
        <v>6098</v>
      </c>
      <c r="B6094">
        <v>0.99987803227770999</v>
      </c>
      <c r="C6094">
        <v>0.94105034859606496</v>
      </c>
      <c r="D6094">
        <v>0.97663524176197702</v>
      </c>
      <c r="E6094">
        <v>0.91605314420221395</v>
      </c>
      <c r="F6094">
        <v>0.64255715541117697</v>
      </c>
      <c r="G6094">
        <v>0.20727488849978401</v>
      </c>
      <c r="H6094">
        <v>9.5090455549370498E-2</v>
      </c>
      <c r="I6094">
        <v>7.4569437656282794E-2</v>
      </c>
      <c r="J6094">
        <v>5.6385594173583103E-2</v>
      </c>
      <c r="K6094">
        <v>4.1339113801574699E-2</v>
      </c>
      <c r="L6094">
        <v>1581.1270147912501</v>
      </c>
      <c r="M6094">
        <v>29.340968758569701</v>
      </c>
      <c r="N6094">
        <v>54.102338919309901</v>
      </c>
      <c r="O6094">
        <v>53.6395818739812</v>
      </c>
      <c r="P6094">
        <v>-0.12924901580231701</v>
      </c>
      <c r="Q6094">
        <v>5.4862524128228701E-2</v>
      </c>
      <c r="R6094">
        <v>0.99753363948828599</v>
      </c>
      <c r="S6094" t="s">
        <v>12405</v>
      </c>
      <c r="T6094" t="s">
        <v>12620</v>
      </c>
      <c r="U6094" t="s">
        <v>12620</v>
      </c>
      <c r="V6094" t="s">
        <v>12620</v>
      </c>
      <c r="W6094" t="s">
        <v>18654</v>
      </c>
      <c r="X6094">
        <v>15</v>
      </c>
      <c r="Y6094" t="s">
        <v>24738</v>
      </c>
      <c r="Z6094" t="s">
        <v>31041</v>
      </c>
      <c r="AA6094">
        <v>0.49887063019256828</v>
      </c>
      <c r="AB6094" t="str">
        <f>HYPERLINK("Melting_Curves/meltCurve_Q9Y295_DRG1.pdf", "Melting_Curves/meltCurve_Q9Y295_DRG1.pdf")</f>
        <v>Melting_Curves/meltCurve_Q9Y295_DRG1.pdf</v>
      </c>
    </row>
    <row r="6095" spans="1:28" x14ac:dyDescent="0.25">
      <c r="A6095" t="s">
        <v>6099</v>
      </c>
      <c r="B6095">
        <v>0.99987803227770999</v>
      </c>
      <c r="C6095">
        <v>0.862693880969718</v>
      </c>
      <c r="D6095">
        <v>0.83341162373982502</v>
      </c>
      <c r="E6095">
        <v>0.70223363892544099</v>
      </c>
      <c r="F6095">
        <v>0.55118391616669604</v>
      </c>
      <c r="G6095">
        <v>0.36618077652859299</v>
      </c>
      <c r="H6095">
        <v>0.107112395666908</v>
      </c>
      <c r="I6095">
        <v>0.120437177815246</v>
      </c>
      <c r="J6095">
        <v>6.0361923361072399E-2</v>
      </c>
      <c r="K6095">
        <v>5.0875461132414201E-2</v>
      </c>
      <c r="L6095">
        <v>629.28516403656704</v>
      </c>
      <c r="M6095">
        <v>11.7997834032711</v>
      </c>
      <c r="N6095">
        <v>53.330228787152798</v>
      </c>
      <c r="O6095">
        <v>51.867672581990298</v>
      </c>
      <c r="P6095">
        <v>-5.6889093343515301E-2</v>
      </c>
      <c r="Q6095">
        <v>0</v>
      </c>
      <c r="R6095">
        <v>0.98488836047914097</v>
      </c>
      <c r="S6095" t="s">
        <v>12406</v>
      </c>
      <c r="T6095" t="s">
        <v>12620</v>
      </c>
      <c r="U6095" t="s">
        <v>12620</v>
      </c>
      <c r="V6095" t="s">
        <v>12620</v>
      </c>
      <c r="W6095" t="s">
        <v>18655</v>
      </c>
      <c r="X6095">
        <v>4</v>
      </c>
      <c r="Y6095" t="s">
        <v>24739</v>
      </c>
      <c r="Z6095" t="s">
        <v>31042</v>
      </c>
      <c r="AA6095">
        <v>0.47255587381115549</v>
      </c>
      <c r="AB6095" t="str">
        <f>HYPERLINK("Melting_Curves/meltCurve_Q9Y296_TRAPPC4.pdf", "Melting_Curves/meltCurve_Q9Y296_TRAPPC4.pdf")</f>
        <v>Melting_Curves/meltCurve_Q9Y296_TRAPPC4.pdf</v>
      </c>
    </row>
    <row r="6096" spans="1:28" x14ac:dyDescent="0.25">
      <c r="A6096" t="s">
        <v>6100</v>
      </c>
      <c r="B6096">
        <v>0.99987803227770999</v>
      </c>
      <c r="C6096">
        <v>1.0251543136464201</v>
      </c>
      <c r="D6096">
        <v>0.82861205562423801</v>
      </c>
      <c r="E6096">
        <v>1.24817082147308</v>
      </c>
      <c r="F6096">
        <v>0.68175349246608596</v>
      </c>
      <c r="G6096">
        <v>0.23481540185629099</v>
      </c>
      <c r="H6096">
        <v>0.122152337298242</v>
      </c>
      <c r="I6096">
        <v>0.106512153655503</v>
      </c>
      <c r="J6096">
        <v>7.4414091365242796E-2</v>
      </c>
      <c r="K6096">
        <v>5.6324306410522197E-2</v>
      </c>
      <c r="L6096">
        <v>2785.2525800568501</v>
      </c>
      <c r="M6096">
        <v>51.748509499652997</v>
      </c>
      <c r="N6096">
        <v>54.073035466381803</v>
      </c>
      <c r="O6096">
        <v>53.742660342756899</v>
      </c>
      <c r="P6096">
        <v>-0.21509643604232101</v>
      </c>
      <c r="Q6096">
        <v>0.106459587794746</v>
      </c>
      <c r="R6096">
        <v>0.94269337495865801</v>
      </c>
      <c r="S6096" t="s">
        <v>12407</v>
      </c>
      <c r="T6096" t="s">
        <v>12620</v>
      </c>
      <c r="U6096" t="s">
        <v>12620</v>
      </c>
      <c r="V6096" t="s">
        <v>12620</v>
      </c>
      <c r="W6096" t="s">
        <v>18656</v>
      </c>
      <c r="X6096">
        <v>34</v>
      </c>
      <c r="Y6096" t="s">
        <v>24740</v>
      </c>
      <c r="Z6096" t="s">
        <v>31043</v>
      </c>
      <c r="AA6096">
        <v>0.52014830734569539</v>
      </c>
      <c r="AB6096" t="str">
        <f>HYPERLINK("Melting_Curves/meltCurve_Q9Y2A7_NCKAP1.pdf", "Melting_Curves/meltCurve_Q9Y2A7_NCKAP1.pdf")</f>
        <v>Melting_Curves/meltCurve_Q9Y2A7_NCKAP1.pdf</v>
      </c>
    </row>
    <row r="6097" spans="1:28" x14ac:dyDescent="0.25">
      <c r="A6097" t="s">
        <v>6101</v>
      </c>
      <c r="B6097">
        <v>0.99987803227770999</v>
      </c>
      <c r="C6097">
        <v>0.81148416819678504</v>
      </c>
      <c r="D6097">
        <v>0.97040266950508602</v>
      </c>
      <c r="E6097">
        <v>0.80666738583536002</v>
      </c>
      <c r="F6097">
        <v>1.02139757029195</v>
      </c>
      <c r="G6097">
        <v>0.73268306810668904</v>
      </c>
      <c r="H6097">
        <v>0.83433313130116504</v>
      </c>
      <c r="I6097">
        <v>0.76100690161399298</v>
      </c>
      <c r="J6097">
        <v>0.81952159227669097</v>
      </c>
      <c r="K6097">
        <v>0.65415403385843496</v>
      </c>
      <c r="L6097">
        <v>192.80567581691099</v>
      </c>
      <c r="M6097">
        <v>1.7963586141738299</v>
      </c>
      <c r="O6097">
        <v>59.535572015362298</v>
      </c>
      <c r="P6097">
        <v>-8.4124255453051199E-3</v>
      </c>
      <c r="Q6097">
        <v>0</v>
      </c>
      <c r="R6097">
        <v>0.43673137305293203</v>
      </c>
      <c r="S6097" t="s">
        <v>12408</v>
      </c>
      <c r="T6097" t="s">
        <v>12620</v>
      </c>
      <c r="U6097" t="s">
        <v>12620</v>
      </c>
      <c r="V6097" t="s">
        <v>12620</v>
      </c>
      <c r="W6097" t="s">
        <v>18657</v>
      </c>
      <c r="X6097">
        <v>17</v>
      </c>
      <c r="Y6097" t="s">
        <v>24741</v>
      </c>
      <c r="Z6097" t="s">
        <v>31044</v>
      </c>
      <c r="AA6097">
        <v>0.84403667543861816</v>
      </c>
      <c r="AB6097" t="str">
        <f>HYPERLINK("Melting_Curves/meltCurve_Q9Y2B0_CNPY2.pdf", "Melting_Curves/meltCurve_Q9Y2B0_CNPY2.pdf")</f>
        <v>Melting_Curves/meltCurve_Q9Y2B0_CNPY2.pdf</v>
      </c>
    </row>
    <row r="6098" spans="1:28" x14ac:dyDescent="0.25">
      <c r="A6098" t="s">
        <v>6102</v>
      </c>
      <c r="B6098">
        <v>0.99987803227770999</v>
      </c>
      <c r="C6098">
        <v>0.93146332774297602</v>
      </c>
      <c r="D6098">
        <v>0.75863467967623299</v>
      </c>
      <c r="E6098">
        <v>0.61736151155873797</v>
      </c>
      <c r="F6098">
        <v>0.30244976756863101</v>
      </c>
      <c r="G6098">
        <v>0.18883994544218399</v>
      </c>
      <c r="H6098">
        <v>0.14791914823376301</v>
      </c>
      <c r="I6098">
        <v>0.13107433537410501</v>
      </c>
      <c r="J6098">
        <v>9.3051659285391206E-2</v>
      </c>
      <c r="K6098">
        <v>6.9772265320141497E-2</v>
      </c>
      <c r="L6098">
        <v>749.69139776362397</v>
      </c>
      <c r="M6098">
        <v>14.967529759896401</v>
      </c>
      <c r="N6098">
        <v>50.619735108245898</v>
      </c>
      <c r="O6098">
        <v>49.219263808117503</v>
      </c>
      <c r="P6098">
        <v>-7.0500103459609997E-2</v>
      </c>
      <c r="Q6098">
        <v>7.2763544418907505E-2</v>
      </c>
      <c r="R6098">
        <v>0.98972651107881504</v>
      </c>
      <c r="S6098" t="s">
        <v>12409</v>
      </c>
      <c r="T6098" t="s">
        <v>12620</v>
      </c>
      <c r="U6098" t="s">
        <v>12620</v>
      </c>
      <c r="V6098" t="s">
        <v>12620</v>
      </c>
      <c r="W6098" t="s">
        <v>18658</v>
      </c>
      <c r="X6098">
        <v>9</v>
      </c>
      <c r="Y6098" t="s">
        <v>24742</v>
      </c>
      <c r="Z6098" t="s">
        <v>31045</v>
      </c>
      <c r="AA6098">
        <v>0.40669069374838718</v>
      </c>
      <c r="AB6098" t="str">
        <f>HYPERLINK("Melting_Curves/meltCurve_Q9Y2D4_EXOC6B.pdf", "Melting_Curves/meltCurve_Q9Y2D4_EXOC6B.pdf")</f>
        <v>Melting_Curves/meltCurve_Q9Y2D4_EXOC6B.pdf</v>
      </c>
    </row>
    <row r="6099" spans="1:28" x14ac:dyDescent="0.25">
      <c r="A6099" t="s">
        <v>6103</v>
      </c>
      <c r="B6099">
        <v>0.99987803227770999</v>
      </c>
      <c r="C6099">
        <v>0.90892563971819595</v>
      </c>
      <c r="D6099">
        <v>0.99734668875744803</v>
      </c>
      <c r="E6099">
        <v>0.92923284686795304</v>
      </c>
      <c r="F6099">
        <v>1.05239944715581</v>
      </c>
      <c r="G6099">
        <v>0.84304652521125101</v>
      </c>
      <c r="H6099">
        <v>0.84512623246293905</v>
      </c>
      <c r="I6099">
        <v>0.99415278991620104</v>
      </c>
      <c r="J6099">
        <v>0.92922998287603398</v>
      </c>
      <c r="K6099">
        <v>0.74551965473408899</v>
      </c>
      <c r="L6099">
        <v>303.409517773245</v>
      </c>
      <c r="M6099">
        <v>2.7263738375939401</v>
      </c>
      <c r="Q6099">
        <v>0</v>
      </c>
      <c r="R6099">
        <v>0.30001225127210801</v>
      </c>
      <c r="S6099" t="s">
        <v>12410</v>
      </c>
      <c r="T6099" t="s">
        <v>12620</v>
      </c>
      <c r="U6099" t="s">
        <v>12620</v>
      </c>
      <c r="V6099" t="s">
        <v>12620</v>
      </c>
      <c r="W6099" t="s">
        <v>18659</v>
      </c>
      <c r="X6099">
        <v>21</v>
      </c>
      <c r="Y6099" t="s">
        <v>24743</v>
      </c>
      <c r="Z6099" t="s">
        <v>31046</v>
      </c>
      <c r="AA6099">
        <v>0.93197703160347956</v>
      </c>
      <c r="AB6099" t="str">
        <f>HYPERLINK("Melting_Curves/meltCurve_Q9Y2D5_6_AKAP2.pdf", "Melting_Curves/meltCurve_Q9Y2D5_6_AKAP2.pdf")</f>
        <v>Melting_Curves/meltCurve_Q9Y2D5_6_AKAP2.pdf</v>
      </c>
    </row>
    <row r="6100" spans="1:28" x14ac:dyDescent="0.25">
      <c r="A6100" t="s">
        <v>6104</v>
      </c>
      <c r="B6100">
        <v>0.99987803227770999</v>
      </c>
      <c r="C6100">
        <v>1.0150058816429399</v>
      </c>
      <c r="D6100">
        <v>0.95916992992291705</v>
      </c>
      <c r="E6100">
        <v>1.0473754157930799</v>
      </c>
      <c r="F6100">
        <v>0.84125111806872299</v>
      </c>
      <c r="G6100">
        <v>0.58440513940095196</v>
      </c>
      <c r="H6100">
        <v>0.54705063373091101</v>
      </c>
      <c r="I6100">
        <v>0.50597418850453602</v>
      </c>
      <c r="J6100">
        <v>0.42243952194822998</v>
      </c>
      <c r="K6100">
        <v>0.31315294033813901</v>
      </c>
      <c r="L6100">
        <v>1052.6160965921399</v>
      </c>
      <c r="M6100">
        <v>18.6898691228537</v>
      </c>
      <c r="N6100">
        <v>60.9436317725743</v>
      </c>
      <c r="O6100">
        <v>55.687258789612102</v>
      </c>
      <c r="P6100">
        <v>-5.2116829499871002E-2</v>
      </c>
      <c r="Q6100">
        <v>0.37888919235899299</v>
      </c>
      <c r="R6100">
        <v>0.95625244025604905</v>
      </c>
      <c r="S6100" t="s">
        <v>12411</v>
      </c>
      <c r="T6100" t="s">
        <v>12620</v>
      </c>
      <c r="U6100" t="s">
        <v>12620</v>
      </c>
      <c r="V6100" t="s">
        <v>12620</v>
      </c>
      <c r="W6100" t="s">
        <v>18660</v>
      </c>
      <c r="X6100">
        <v>3</v>
      </c>
      <c r="Y6100" t="s">
        <v>24744</v>
      </c>
      <c r="Z6100" t="s">
        <v>31047</v>
      </c>
      <c r="AA6100">
        <v>0.72536330779279767</v>
      </c>
      <c r="AB6100" t="str">
        <f>HYPERLINK("Melting_Curves/meltCurve_Q9Y2E4_DIP2C.pdf", "Melting_Curves/meltCurve_Q9Y2E4_DIP2C.pdf")</f>
        <v>Melting_Curves/meltCurve_Q9Y2E4_DIP2C.pdf</v>
      </c>
    </row>
    <row r="6101" spans="1:28" x14ac:dyDescent="0.25">
      <c r="A6101" t="s">
        <v>6105</v>
      </c>
      <c r="B6101">
        <v>0.99987803227770999</v>
      </c>
      <c r="C6101">
        <v>0.97113179548237805</v>
      </c>
      <c r="D6101">
        <v>1.0449598086272101</v>
      </c>
      <c r="E6101">
        <v>0.98551040169033199</v>
      </c>
      <c r="F6101">
        <v>1.00347943301266</v>
      </c>
      <c r="G6101">
        <v>0.84259147763354403</v>
      </c>
      <c r="H6101">
        <v>0.90003460769257504</v>
      </c>
      <c r="I6101">
        <v>0.81258512632810698</v>
      </c>
      <c r="J6101">
        <v>0.91583366361954599</v>
      </c>
      <c r="K6101">
        <v>0.73485368768746895</v>
      </c>
      <c r="L6101">
        <v>758.56552599002305</v>
      </c>
      <c r="M6101">
        <v>12.7817012798457</v>
      </c>
      <c r="O6101">
        <v>57.951343492806103</v>
      </c>
      <c r="P6101">
        <v>-1.2370108595376199E-2</v>
      </c>
      <c r="Q6101">
        <v>0.77570148089745705</v>
      </c>
      <c r="R6101">
        <v>0.69705142387887897</v>
      </c>
      <c r="S6101" t="s">
        <v>12412</v>
      </c>
      <c r="T6101" t="s">
        <v>12620</v>
      </c>
      <c r="U6101" t="s">
        <v>12620</v>
      </c>
      <c r="V6101" t="s">
        <v>12620</v>
      </c>
      <c r="W6101" t="s">
        <v>18661</v>
      </c>
      <c r="X6101">
        <v>4</v>
      </c>
      <c r="Y6101" t="s">
        <v>24745</v>
      </c>
      <c r="Z6101" t="s">
        <v>31048</v>
      </c>
      <c r="AA6101">
        <v>0.92199951342396369</v>
      </c>
      <c r="AB6101" t="str">
        <f>HYPERLINK("Melting_Curves/meltCurve_Q9Y2F5_KIAA0947.pdf", "Melting_Curves/meltCurve_Q9Y2F5_KIAA0947.pdf")</f>
        <v>Melting_Curves/meltCurve_Q9Y2F5_KIAA0947.pdf</v>
      </c>
    </row>
    <row r="6102" spans="1:28" x14ac:dyDescent="0.25">
      <c r="A6102" t="s">
        <v>6106</v>
      </c>
      <c r="B6102">
        <v>0.99987803227770999</v>
      </c>
      <c r="C6102">
        <v>0.95621444595219895</v>
      </c>
      <c r="D6102">
        <v>0.95739415054162802</v>
      </c>
      <c r="E6102">
        <v>0.84295677278337799</v>
      </c>
      <c r="F6102">
        <v>0.90058149658877396</v>
      </c>
      <c r="G6102">
        <v>0.78597666882832296</v>
      </c>
      <c r="H6102">
        <v>0.58174046003965696</v>
      </c>
      <c r="I6102">
        <v>0.35413905276903801</v>
      </c>
      <c r="J6102">
        <v>0.22588620139474999</v>
      </c>
      <c r="K6102">
        <v>0.190096448141503</v>
      </c>
      <c r="L6102">
        <v>814.26069127526898</v>
      </c>
      <c r="M6102">
        <v>13.188043283605399</v>
      </c>
      <c r="N6102">
        <v>61.7423429928959</v>
      </c>
      <c r="O6102">
        <v>60.374495714250799</v>
      </c>
      <c r="P6102">
        <v>-5.4618453569109097E-2</v>
      </c>
      <c r="Q6102">
        <v>0</v>
      </c>
      <c r="R6102">
        <v>0.97649856065777696</v>
      </c>
      <c r="S6102" t="s">
        <v>12413</v>
      </c>
      <c r="T6102" t="s">
        <v>12620</v>
      </c>
      <c r="U6102" t="s">
        <v>12620</v>
      </c>
      <c r="V6102" t="s">
        <v>12620</v>
      </c>
      <c r="W6102" t="s">
        <v>18662</v>
      </c>
      <c r="X6102">
        <v>11</v>
      </c>
      <c r="Y6102" t="s">
        <v>24746</v>
      </c>
      <c r="Z6102" t="s">
        <v>31049</v>
      </c>
      <c r="AA6102">
        <v>0.71922997325586135</v>
      </c>
      <c r="AB6102" t="str">
        <f>HYPERLINK("Melting_Curves/meltCurve_Q9Y2G2_5_CARD8.pdf", "Melting_Curves/meltCurve_Q9Y2G2_5_CARD8.pdf")</f>
        <v>Melting_Curves/meltCurve_Q9Y2G2_5_CARD8.pdf</v>
      </c>
    </row>
    <row r="6103" spans="1:28" x14ac:dyDescent="0.25">
      <c r="A6103" t="s">
        <v>6107</v>
      </c>
      <c r="B6103">
        <v>0.99987803227770999</v>
      </c>
      <c r="C6103">
        <v>0.95920373654881197</v>
      </c>
      <c r="D6103">
        <v>0.94287674607889904</v>
      </c>
      <c r="E6103">
        <v>0.58928793912708599</v>
      </c>
      <c r="F6103">
        <v>0.20987265189013801</v>
      </c>
      <c r="G6103">
        <v>0.127354067819341</v>
      </c>
      <c r="H6103">
        <v>9.5901560947372094E-2</v>
      </c>
      <c r="I6103">
        <v>8.5236836413703193E-2</v>
      </c>
      <c r="J6103">
        <v>7.5916316890031602E-2</v>
      </c>
      <c r="K6103">
        <v>5.06767622901853E-2</v>
      </c>
      <c r="L6103">
        <v>1590.0758402000399</v>
      </c>
      <c r="M6103">
        <v>31.633004268429701</v>
      </c>
      <c r="N6103">
        <v>50.5416281444978</v>
      </c>
      <c r="O6103">
        <v>50.066726376925303</v>
      </c>
      <c r="P6103">
        <v>-0.14545587832040999</v>
      </c>
      <c r="Q6103">
        <v>7.9130844751992294E-2</v>
      </c>
      <c r="R6103">
        <v>0.99756068760371697</v>
      </c>
      <c r="S6103" t="s">
        <v>12414</v>
      </c>
      <c r="T6103" t="s">
        <v>12620</v>
      </c>
      <c r="U6103" t="s">
        <v>12620</v>
      </c>
      <c r="V6103" t="s">
        <v>12620</v>
      </c>
      <c r="W6103" t="s">
        <v>18663</v>
      </c>
      <c r="X6103">
        <v>5</v>
      </c>
      <c r="Y6103" t="s">
        <v>24747</v>
      </c>
      <c r="Z6103" t="s">
        <v>31050</v>
      </c>
      <c r="AA6103">
        <v>0.39940319598372559</v>
      </c>
      <c r="AB6103" t="str">
        <f>HYPERLINK("Melting_Curves/meltCurve_Q9Y2G5_POFUT2.pdf", "Melting_Curves/meltCurve_Q9Y2G5_POFUT2.pdf")</f>
        <v>Melting_Curves/meltCurve_Q9Y2G5_POFUT2.pdf</v>
      </c>
    </row>
    <row r="6104" spans="1:28" x14ac:dyDescent="0.25">
      <c r="A6104" t="s">
        <v>6108</v>
      </c>
      <c r="B6104">
        <v>0.99987803227770999</v>
      </c>
      <c r="C6104">
        <v>0.89459610382783195</v>
      </c>
      <c r="D6104">
        <v>0.99345277691493195</v>
      </c>
      <c r="E6104">
        <v>0.92143485001668002</v>
      </c>
      <c r="F6104">
        <v>0.96442726166933801</v>
      </c>
      <c r="G6104">
        <v>0.91098232203878005</v>
      </c>
      <c r="H6104">
        <v>0.62203287649927397</v>
      </c>
      <c r="I6104">
        <v>0.452766336867097</v>
      </c>
      <c r="J6104">
        <v>0.31990489617996698</v>
      </c>
      <c r="K6104">
        <v>0.210982138977414</v>
      </c>
      <c r="L6104">
        <v>1214.5319307418599</v>
      </c>
      <c r="M6104">
        <v>19.5337381747498</v>
      </c>
      <c r="N6104">
        <v>63.180561637426003</v>
      </c>
      <c r="O6104">
        <v>61.535479994291201</v>
      </c>
      <c r="P6104">
        <v>-6.8769485263900004E-2</v>
      </c>
      <c r="Q6104">
        <v>0.13347623671164199</v>
      </c>
      <c r="R6104">
        <v>0.97732300109741599</v>
      </c>
      <c r="S6104" t="s">
        <v>12415</v>
      </c>
      <c r="T6104" t="s">
        <v>12620</v>
      </c>
      <c r="U6104" t="s">
        <v>12620</v>
      </c>
      <c r="V6104" t="s">
        <v>12620</v>
      </c>
      <c r="W6104" t="s">
        <v>18664</v>
      </c>
      <c r="X6104">
        <v>10</v>
      </c>
      <c r="Y6104" t="s">
        <v>24748</v>
      </c>
      <c r="Z6104" t="s">
        <v>31051</v>
      </c>
      <c r="AA6104">
        <v>0.77585419651347654</v>
      </c>
      <c r="AB6104" t="str">
        <f>HYPERLINK("Melting_Curves/meltCurve_Q9Y2H0_3_DLGAP4.pdf", "Melting_Curves/meltCurve_Q9Y2H0_3_DLGAP4.pdf")</f>
        <v>Melting_Curves/meltCurve_Q9Y2H0_3_DLGAP4.pdf</v>
      </c>
    </row>
    <row r="6105" spans="1:28" x14ac:dyDescent="0.25">
      <c r="A6105" t="s">
        <v>6109</v>
      </c>
      <c r="B6105">
        <v>0.99987803227770999</v>
      </c>
      <c r="C6105">
        <v>0.95692810740715695</v>
      </c>
      <c r="D6105">
        <v>0.82900017613933896</v>
      </c>
      <c r="E6105">
        <v>0.48561434587794899</v>
      </c>
      <c r="F6105">
        <v>0.33729564042412102</v>
      </c>
      <c r="G6105">
        <v>0.21685811122311499</v>
      </c>
      <c r="H6105">
        <v>0.18685086401135501</v>
      </c>
      <c r="I6105">
        <v>0.173759001854393</v>
      </c>
      <c r="J6105">
        <v>0.12857204150006801</v>
      </c>
      <c r="K6105">
        <v>9.2740092037355906E-2</v>
      </c>
      <c r="L6105">
        <v>892.21060655546501</v>
      </c>
      <c r="M6105">
        <v>18.093674654945001</v>
      </c>
      <c r="N6105">
        <v>50.1813321647736</v>
      </c>
      <c r="O6105">
        <v>48.720120482231799</v>
      </c>
      <c r="P6105">
        <v>-8.0340817979870693E-2</v>
      </c>
      <c r="Q6105">
        <v>0.13471937459106501</v>
      </c>
      <c r="R6105">
        <v>0.99547409265723796</v>
      </c>
      <c r="S6105" t="s">
        <v>12416</v>
      </c>
      <c r="T6105" t="s">
        <v>12620</v>
      </c>
      <c r="U6105" t="s">
        <v>12620</v>
      </c>
      <c r="V6105" t="s">
        <v>12620</v>
      </c>
      <c r="W6105" t="s">
        <v>18665</v>
      </c>
      <c r="X6105">
        <v>13</v>
      </c>
      <c r="Y6105" t="s">
        <v>24749</v>
      </c>
      <c r="Z6105" t="s">
        <v>31052</v>
      </c>
      <c r="AA6105">
        <v>0.41801727815275602</v>
      </c>
      <c r="AB6105" t="str">
        <f>HYPERLINK("Melting_Curves/meltCurve_Q9Y2H1_STK38L.pdf", "Melting_Curves/meltCurve_Q9Y2H1_STK38L.pdf")</f>
        <v>Melting_Curves/meltCurve_Q9Y2H1_STK38L.pdf</v>
      </c>
    </row>
    <row r="6106" spans="1:28" x14ac:dyDescent="0.25">
      <c r="A6106" t="s">
        <v>6110</v>
      </c>
      <c r="B6106">
        <v>0.99987803227770999</v>
      </c>
      <c r="C6106">
        <v>1.1427706548182299</v>
      </c>
      <c r="D6106">
        <v>0.82710681164896405</v>
      </c>
      <c r="E6106">
        <v>0.50364699785848899</v>
      </c>
      <c r="F6106">
        <v>0.26172235991433601</v>
      </c>
      <c r="G6106">
        <v>0.19903674962439699</v>
      </c>
      <c r="H6106">
        <v>0.13666375690792201</v>
      </c>
      <c r="I6106">
        <v>0.10234558086746599</v>
      </c>
      <c r="J6106">
        <v>6.7063759280254501E-2</v>
      </c>
      <c r="K6106">
        <v>5.0701960902672497E-2</v>
      </c>
      <c r="L6106">
        <v>1118.0816324953901</v>
      </c>
      <c r="M6106">
        <v>22.5287917231671</v>
      </c>
      <c r="N6106">
        <v>50.094957925269298</v>
      </c>
      <c r="O6106">
        <v>49.242942340142903</v>
      </c>
      <c r="P6106">
        <v>-0.103566660536415</v>
      </c>
      <c r="Q6106">
        <v>9.4523393662739499E-2</v>
      </c>
      <c r="R6106">
        <v>0.97584387755303803</v>
      </c>
      <c r="S6106" t="s">
        <v>12417</v>
      </c>
      <c r="T6106" t="s">
        <v>12620</v>
      </c>
      <c r="U6106" t="s">
        <v>12620</v>
      </c>
      <c r="V6106" t="s">
        <v>12620</v>
      </c>
      <c r="W6106" t="s">
        <v>18666</v>
      </c>
      <c r="X6106">
        <v>2</v>
      </c>
      <c r="Y6106" t="s">
        <v>24750</v>
      </c>
      <c r="Z6106" t="s">
        <v>31053</v>
      </c>
      <c r="AA6106">
        <v>0.39510412203224449</v>
      </c>
      <c r="AB6106" t="str">
        <f>HYPERLINK("Melting_Curves/meltCurve_Q9Y2H2_INPP5F.pdf", "Melting_Curves/meltCurve_Q9Y2H2_INPP5F.pdf")</f>
        <v>Melting_Curves/meltCurve_Q9Y2H2_INPP5F.pdf</v>
      </c>
    </row>
    <row r="6107" spans="1:28" x14ac:dyDescent="0.25">
      <c r="A6107" t="s">
        <v>6111</v>
      </c>
      <c r="B6107">
        <v>0.99987803227770999</v>
      </c>
      <c r="C6107">
        <v>0.92751207543534198</v>
      </c>
      <c r="D6107">
        <v>0.96450069544970896</v>
      </c>
      <c r="E6107">
        <v>0.80520157046376895</v>
      </c>
      <c r="F6107">
        <v>0.77653576772697697</v>
      </c>
      <c r="G6107">
        <v>0.62582774804596997</v>
      </c>
      <c r="H6107">
        <v>0.629565657928012</v>
      </c>
      <c r="I6107">
        <v>0.62103234955730302</v>
      </c>
      <c r="J6107">
        <v>0.55046179622491598</v>
      </c>
      <c r="K6107">
        <v>0.46367291847111303</v>
      </c>
      <c r="L6107">
        <v>470.59508018459701</v>
      </c>
      <c r="M6107">
        <v>8.5225577313023706</v>
      </c>
      <c r="O6107">
        <v>52.429322141479197</v>
      </c>
      <c r="P6107">
        <v>-2.31075076192877E-2</v>
      </c>
      <c r="Q6107">
        <v>0.431893277362498</v>
      </c>
      <c r="R6107">
        <v>0.95592621383965704</v>
      </c>
      <c r="S6107" t="s">
        <v>12418</v>
      </c>
      <c r="T6107" t="s">
        <v>12620</v>
      </c>
      <c r="U6107" t="s">
        <v>12620</v>
      </c>
      <c r="V6107" t="s">
        <v>12620</v>
      </c>
      <c r="W6107" t="s">
        <v>18667</v>
      </c>
      <c r="X6107">
        <v>12</v>
      </c>
      <c r="Y6107" t="s">
        <v>24751</v>
      </c>
      <c r="Z6107" t="s">
        <v>31054</v>
      </c>
      <c r="AA6107">
        <v>0.73461172457540491</v>
      </c>
      <c r="AB6107" t="str">
        <f>HYPERLINK("Melting_Curves/meltCurve_Q9Y2H5_PLEKHA6.pdf", "Melting_Curves/meltCurve_Q9Y2H5_PLEKHA6.pdf")</f>
        <v>Melting_Curves/meltCurve_Q9Y2H5_PLEKHA6.pdf</v>
      </c>
    </row>
    <row r="6108" spans="1:28" x14ac:dyDescent="0.25">
      <c r="A6108" t="s">
        <v>6112</v>
      </c>
      <c r="B6108">
        <v>0.99987803227770999</v>
      </c>
      <c r="C6108">
        <v>0.90334809852767695</v>
      </c>
      <c r="D6108">
        <v>1.01065217600507</v>
      </c>
      <c r="E6108">
        <v>0.75415342432184895</v>
      </c>
      <c r="F6108">
        <v>0.29840727279284701</v>
      </c>
      <c r="G6108">
        <v>0.18595849877489701</v>
      </c>
      <c r="H6108">
        <v>0.15659306070234</v>
      </c>
      <c r="I6108">
        <v>0.14234103972877801</v>
      </c>
      <c r="J6108">
        <v>7.7317171333299003E-2</v>
      </c>
      <c r="K6108">
        <v>5.6908921080485599E-2</v>
      </c>
      <c r="L6108">
        <v>1937.9391323484999</v>
      </c>
      <c r="M6108">
        <v>37.831915171834297</v>
      </c>
      <c r="N6108">
        <v>51.590537975654598</v>
      </c>
      <c r="O6108">
        <v>51.082496722090298</v>
      </c>
      <c r="P6108">
        <v>-0.16338239592714901</v>
      </c>
      <c r="Q6108">
        <v>0.117575005364252</v>
      </c>
      <c r="R6108">
        <v>0.98671758627694495</v>
      </c>
      <c r="S6108" t="s">
        <v>12419</v>
      </c>
      <c r="T6108" t="s">
        <v>12620</v>
      </c>
      <c r="U6108" t="s">
        <v>12620</v>
      </c>
      <c r="V6108" t="s">
        <v>12620</v>
      </c>
      <c r="W6108" t="s">
        <v>18668</v>
      </c>
      <c r="X6108">
        <v>6</v>
      </c>
      <c r="Y6108" t="s">
        <v>24752</v>
      </c>
      <c r="Z6108" t="s">
        <v>31055</v>
      </c>
      <c r="AA6108">
        <v>0.45124345876553851</v>
      </c>
      <c r="AB6108" t="str">
        <f>HYPERLINK("Melting_Curves/meltCurve_Q9Y2I1_NISCH.pdf", "Melting_Curves/meltCurve_Q9Y2I1_NISCH.pdf")</f>
        <v>Melting_Curves/meltCurve_Q9Y2I1_NISCH.pdf</v>
      </c>
    </row>
    <row r="6109" spans="1:28" x14ac:dyDescent="0.25">
      <c r="A6109" t="s">
        <v>6113</v>
      </c>
      <c r="B6109">
        <v>0.99987803227770999</v>
      </c>
      <c r="C6109">
        <v>1.2304672338837599</v>
      </c>
      <c r="D6109">
        <v>1.2256953578687699</v>
      </c>
      <c r="E6109">
        <v>1.2371612124190601</v>
      </c>
      <c r="F6109">
        <v>1.0671800961939699</v>
      </c>
      <c r="G6109">
        <v>1.11450527521132</v>
      </c>
      <c r="H6109">
        <v>1.1735896351058499</v>
      </c>
      <c r="I6109">
        <v>1.0839080951420299</v>
      </c>
      <c r="J6109">
        <v>1.0078703622194001</v>
      </c>
      <c r="K6109">
        <v>0.80615485459484904</v>
      </c>
      <c r="L6109">
        <v>15000</v>
      </c>
      <c r="M6109">
        <v>212.86049276695999</v>
      </c>
      <c r="Q6109">
        <v>0</v>
      </c>
      <c r="R6109">
        <v>-0.318653809724467</v>
      </c>
      <c r="S6109" t="s">
        <v>12420</v>
      </c>
      <c r="T6109" t="s">
        <v>12620</v>
      </c>
      <c r="U6109" t="s">
        <v>12620</v>
      </c>
      <c r="V6109" t="s">
        <v>12620</v>
      </c>
      <c r="W6109" t="s">
        <v>18669</v>
      </c>
      <c r="X6109">
        <v>1</v>
      </c>
      <c r="Y6109" t="s">
        <v>24753</v>
      </c>
      <c r="Z6109" t="s">
        <v>31056</v>
      </c>
      <c r="AA6109">
        <v>0.99767646017204858</v>
      </c>
      <c r="AB6109" t="str">
        <f>HYPERLINK("Melting_Curves/meltCurve_Q9Y2I6_NINL.pdf", "Melting_Curves/meltCurve_Q9Y2I6_NINL.pdf")</f>
        <v>Melting_Curves/meltCurve_Q9Y2I6_NINL.pdf</v>
      </c>
    </row>
    <row r="6110" spans="1:28" x14ac:dyDescent="0.25">
      <c r="A6110" t="s">
        <v>6114</v>
      </c>
      <c r="B6110">
        <v>0.99987803227770999</v>
      </c>
      <c r="C6110">
        <v>1.03966910672791</v>
      </c>
      <c r="D6110">
        <v>0.88524118951295006</v>
      </c>
      <c r="E6110">
        <v>0.91236240274233504</v>
      </c>
      <c r="F6110">
        <v>0.388496184260674</v>
      </c>
      <c r="G6110">
        <v>0.26651082825730199</v>
      </c>
      <c r="H6110">
        <v>0.26869469464294199</v>
      </c>
      <c r="I6110">
        <v>0.26541636346433001</v>
      </c>
      <c r="J6110">
        <v>0.176999992996377</v>
      </c>
      <c r="K6110">
        <v>0.13771607136288899</v>
      </c>
      <c r="L6110">
        <v>2881.47725842092</v>
      </c>
      <c r="M6110">
        <v>55.633071250029197</v>
      </c>
      <c r="N6110">
        <v>52.344790791753503</v>
      </c>
      <c r="O6110">
        <v>51.727544431624402</v>
      </c>
      <c r="P6110">
        <v>-0.20933037469525601</v>
      </c>
      <c r="Q6110">
        <v>0.22146042860162601</v>
      </c>
      <c r="R6110">
        <v>0.976660071305269</v>
      </c>
      <c r="S6110" t="s">
        <v>12421</v>
      </c>
      <c r="T6110" t="s">
        <v>12620</v>
      </c>
      <c r="U6110" t="s">
        <v>12620</v>
      </c>
      <c r="V6110" t="s">
        <v>12620</v>
      </c>
      <c r="W6110" t="s">
        <v>18670</v>
      </c>
      <c r="X6110">
        <v>4</v>
      </c>
      <c r="Y6110" t="s">
        <v>24754</v>
      </c>
      <c r="Z6110" t="s">
        <v>31057</v>
      </c>
      <c r="AA6110">
        <v>0.52897382971059947</v>
      </c>
      <c r="AB6110" t="str">
        <f>HYPERLINK("Melting_Curves/meltCurve_Q9Y2I7_PIKFYVE.pdf", "Melting_Curves/meltCurve_Q9Y2I7_PIKFYVE.pdf")</f>
        <v>Melting_Curves/meltCurve_Q9Y2I7_PIKFYVE.pdf</v>
      </c>
    </row>
    <row r="6111" spans="1:28" x14ac:dyDescent="0.25">
      <c r="A6111" t="s">
        <v>6115</v>
      </c>
      <c r="B6111">
        <v>0.99987803227770999</v>
      </c>
      <c r="C6111">
        <v>1.0980675673876701</v>
      </c>
      <c r="D6111">
        <v>0.83818701614021596</v>
      </c>
      <c r="E6111">
        <v>1.0429019657830001</v>
      </c>
      <c r="F6111">
        <v>0.61761081916832605</v>
      </c>
      <c r="G6111">
        <v>0.28539303124374299</v>
      </c>
      <c r="H6111">
        <v>0.15085449720791</v>
      </c>
      <c r="I6111">
        <v>0.11523228053743501</v>
      </c>
      <c r="J6111">
        <v>0.10529185239547199</v>
      </c>
      <c r="K6111">
        <v>6.7172711272524305E-2</v>
      </c>
      <c r="L6111">
        <v>1659.0680711018599</v>
      </c>
      <c r="M6111">
        <v>30.745587615239199</v>
      </c>
      <c r="N6111">
        <v>54.378006279608201</v>
      </c>
      <c r="O6111">
        <v>53.734436939033202</v>
      </c>
      <c r="P6111">
        <v>-0.128027746818728</v>
      </c>
      <c r="Q6111">
        <v>0.104982696751368</v>
      </c>
      <c r="R6111">
        <v>0.96782599551710702</v>
      </c>
      <c r="S6111" t="s">
        <v>12422</v>
      </c>
      <c r="T6111" t="s">
        <v>12620</v>
      </c>
      <c r="U6111" t="s">
        <v>12620</v>
      </c>
      <c r="V6111" t="s">
        <v>12620</v>
      </c>
      <c r="W6111" t="s">
        <v>18671</v>
      </c>
      <c r="X6111">
        <v>4</v>
      </c>
      <c r="Y6111" t="s">
        <v>24755</v>
      </c>
      <c r="Z6111" t="s">
        <v>31058</v>
      </c>
      <c r="AA6111">
        <v>0.52710305507376043</v>
      </c>
      <c r="AB6111" t="str">
        <f>HYPERLINK("Melting_Curves/meltCurve_Q9Y2I8_WDR37.pdf", "Melting_Curves/meltCurve_Q9Y2I8_WDR37.pdf")</f>
        <v>Melting_Curves/meltCurve_Q9Y2I8_WDR37.pdf</v>
      </c>
    </row>
    <row r="6112" spans="1:28" x14ac:dyDescent="0.25">
      <c r="A6112" t="s">
        <v>6116</v>
      </c>
      <c r="B6112">
        <v>0.99987803227770999</v>
      </c>
      <c r="C6112">
        <v>0.937590979635059</v>
      </c>
      <c r="D6112">
        <v>0.99113470435584605</v>
      </c>
      <c r="E6112">
        <v>0.87993100045491901</v>
      </c>
      <c r="F6112">
        <v>0.80470962885571895</v>
      </c>
      <c r="G6112">
        <v>0.65202831767154301</v>
      </c>
      <c r="H6112">
        <v>0.54547799122097795</v>
      </c>
      <c r="I6112">
        <v>0.46800005031647102</v>
      </c>
      <c r="J6112">
        <v>0.43672166152856401</v>
      </c>
      <c r="K6112">
        <v>0.38327735843278599</v>
      </c>
      <c r="L6112">
        <v>646.418642441874</v>
      </c>
      <c r="M6112">
        <v>11.318470245521899</v>
      </c>
      <c r="N6112">
        <v>62.6490466952202</v>
      </c>
      <c r="O6112">
        <v>55.416163712289503</v>
      </c>
      <c r="P6112">
        <v>-3.4929827432265498E-2</v>
      </c>
      <c r="Q6112">
        <v>0.31612940703255299</v>
      </c>
      <c r="R6112">
        <v>0.99288096486353805</v>
      </c>
      <c r="S6112" t="s">
        <v>12423</v>
      </c>
      <c r="T6112" t="s">
        <v>12620</v>
      </c>
      <c r="U6112" t="s">
        <v>12620</v>
      </c>
      <c r="V6112" t="s">
        <v>12620</v>
      </c>
      <c r="W6112" t="s">
        <v>18672</v>
      </c>
      <c r="X6112">
        <v>9</v>
      </c>
      <c r="Y6112" t="s">
        <v>24756</v>
      </c>
      <c r="Z6112" t="s">
        <v>31059</v>
      </c>
      <c r="AA6112">
        <v>0.71729267920983186</v>
      </c>
      <c r="AB6112" t="str">
        <f>HYPERLINK("Melting_Curves/meltCurve_Q9Y2J4_2_AMOTL2.pdf", "Melting_Curves/meltCurve_Q9Y2J4_2_AMOTL2.pdf")</f>
        <v>Melting_Curves/meltCurve_Q9Y2J4_2_AMOTL2.pdf</v>
      </c>
    </row>
    <row r="6113" spans="1:28" x14ac:dyDescent="0.25">
      <c r="A6113" t="s">
        <v>6117</v>
      </c>
      <c r="B6113">
        <v>0.99987803227770999</v>
      </c>
      <c r="C6113">
        <v>0.98846167170811305</v>
      </c>
      <c r="D6113">
        <v>1.02915121132235</v>
      </c>
      <c r="E6113">
        <v>1.0098132376807301</v>
      </c>
      <c r="F6113">
        <v>1.0335147079615401</v>
      </c>
      <c r="G6113">
        <v>0.86513634498987402</v>
      </c>
      <c r="H6113">
        <v>0.72997821604655799</v>
      </c>
      <c r="I6113">
        <v>0.641377328811776</v>
      </c>
      <c r="J6113">
        <v>0.56281351946694802</v>
      </c>
      <c r="K6113">
        <v>0.413327866065829</v>
      </c>
      <c r="L6113">
        <v>943.76721463103502</v>
      </c>
      <c r="M6113">
        <v>14.8206457305065</v>
      </c>
      <c r="N6113">
        <v>67.714642237584897</v>
      </c>
      <c r="O6113">
        <v>62.553593414406301</v>
      </c>
      <c r="P6113">
        <v>-4.18648873179608E-2</v>
      </c>
      <c r="Q6113">
        <v>0.29327726818626099</v>
      </c>
      <c r="R6113">
        <v>0.97784161762595001</v>
      </c>
      <c r="S6113" t="s">
        <v>12424</v>
      </c>
      <c r="T6113" t="s">
        <v>12620</v>
      </c>
      <c r="U6113" t="s">
        <v>12620</v>
      </c>
      <c r="V6113" t="s">
        <v>12620</v>
      </c>
      <c r="W6113" t="s">
        <v>18673</v>
      </c>
      <c r="X6113">
        <v>6</v>
      </c>
      <c r="Y6113" t="s">
        <v>24757</v>
      </c>
      <c r="Z6113" t="s">
        <v>31060</v>
      </c>
      <c r="AA6113">
        <v>0.84073142282745406</v>
      </c>
      <c r="AB6113" t="str">
        <f>HYPERLINK("Melting_Curves/meltCurve_Q9Y2K1_2_ZBTB1.pdf", "Melting_Curves/meltCurve_Q9Y2K1_2_ZBTB1.pdf")</f>
        <v>Melting_Curves/meltCurve_Q9Y2K1_2_ZBTB1.pdf</v>
      </c>
    </row>
    <row r="6114" spans="1:28" x14ac:dyDescent="0.25">
      <c r="A6114" t="s">
        <v>6118</v>
      </c>
      <c r="B6114">
        <v>0.99987803227770999</v>
      </c>
      <c r="C6114">
        <v>0.95182497604125504</v>
      </c>
      <c r="D6114">
        <v>0.91596871911051503</v>
      </c>
      <c r="E6114">
        <v>0.743723791443341</v>
      </c>
      <c r="F6114">
        <v>0.533845455901237</v>
      </c>
      <c r="G6114">
        <v>0.34637256934572602</v>
      </c>
      <c r="H6114">
        <v>0.31945847717069997</v>
      </c>
      <c r="I6114">
        <v>0.32788554662783298</v>
      </c>
      <c r="J6114">
        <v>0.29338588995214698</v>
      </c>
      <c r="K6114">
        <v>0.24990458383700401</v>
      </c>
      <c r="L6114">
        <v>958.09134641508194</v>
      </c>
      <c r="M6114">
        <v>18.660243233935599</v>
      </c>
      <c r="N6114">
        <v>53.646070998250899</v>
      </c>
      <c r="O6114">
        <v>50.765225160420599</v>
      </c>
      <c r="P6114">
        <v>-6.6580131815078603E-2</v>
      </c>
      <c r="Q6114">
        <v>0.275505536206124</v>
      </c>
      <c r="R6114">
        <v>0.99477969145922396</v>
      </c>
      <c r="S6114" t="s">
        <v>12425</v>
      </c>
      <c r="T6114" t="s">
        <v>12620</v>
      </c>
      <c r="U6114" t="s">
        <v>12620</v>
      </c>
      <c r="V6114" t="s">
        <v>12620</v>
      </c>
      <c r="W6114" t="s">
        <v>18674</v>
      </c>
      <c r="X6114">
        <v>7</v>
      </c>
      <c r="Y6114" t="s">
        <v>24758</v>
      </c>
      <c r="Z6114" t="s">
        <v>31061</v>
      </c>
      <c r="AA6114">
        <v>0.5608618072248398</v>
      </c>
      <c r="AB6114" t="str">
        <f>HYPERLINK("Melting_Curves/meltCurve_Q9Y2K7_KDM2A.pdf", "Melting_Curves/meltCurve_Q9Y2K7_KDM2A.pdf")</f>
        <v>Melting_Curves/meltCurve_Q9Y2K7_KDM2A.pdf</v>
      </c>
    </row>
    <row r="6115" spans="1:28" x14ac:dyDescent="0.25">
      <c r="A6115" t="s">
        <v>6119</v>
      </c>
      <c r="B6115">
        <v>0.99987803227770999</v>
      </c>
      <c r="C6115">
        <v>1.0221962825445401</v>
      </c>
      <c r="D6115">
        <v>0.90935171212520505</v>
      </c>
      <c r="E6115">
        <v>0.65765286860669403</v>
      </c>
      <c r="F6115">
        <v>0.24681413350148201</v>
      </c>
      <c r="G6115">
        <v>0.14574394889667699</v>
      </c>
      <c r="H6115">
        <v>0.104506012844405</v>
      </c>
      <c r="I6115">
        <v>9.3623699951558406E-2</v>
      </c>
      <c r="J6115">
        <v>7.4392844096001595E-2</v>
      </c>
      <c r="K6115">
        <v>5.6094477923427102E-2</v>
      </c>
      <c r="L6115">
        <v>1497.6154844942801</v>
      </c>
      <c r="M6115">
        <v>29.5554072771656</v>
      </c>
      <c r="N6115">
        <v>50.983630061063998</v>
      </c>
      <c r="O6115">
        <v>50.441177937313697</v>
      </c>
      <c r="P6115">
        <v>-0.13436101568912301</v>
      </c>
      <c r="Q6115">
        <v>8.2769401826182101E-2</v>
      </c>
      <c r="R6115">
        <v>0.99568893458081098</v>
      </c>
      <c r="S6115" t="s">
        <v>12426</v>
      </c>
      <c r="T6115" t="s">
        <v>12620</v>
      </c>
      <c r="U6115" t="s">
        <v>12620</v>
      </c>
      <c r="V6115" t="s">
        <v>12620</v>
      </c>
      <c r="W6115" t="s">
        <v>18675</v>
      </c>
      <c r="X6115">
        <v>29</v>
      </c>
      <c r="Y6115" t="s">
        <v>24759</v>
      </c>
      <c r="Z6115" t="s">
        <v>31062</v>
      </c>
      <c r="AA6115">
        <v>0.4149528326796415</v>
      </c>
      <c r="AB6115" t="str">
        <f>HYPERLINK("Melting_Curves/meltCurve_Q9Y2L1_DIS3.pdf", "Melting_Curves/meltCurve_Q9Y2L1_DIS3.pdf")</f>
        <v>Melting_Curves/meltCurve_Q9Y2L1_DIS3.pdf</v>
      </c>
    </row>
    <row r="6116" spans="1:28" x14ac:dyDescent="0.25">
      <c r="A6116" t="s">
        <v>6120</v>
      </c>
      <c r="B6116">
        <v>0.99987803227770999</v>
      </c>
      <c r="C6116">
        <v>0.94710316711791398</v>
      </c>
      <c r="D6116">
        <v>0.96220068873836795</v>
      </c>
      <c r="E6116">
        <v>0.65592270367252004</v>
      </c>
      <c r="F6116">
        <v>0.50442058562922198</v>
      </c>
      <c r="G6116">
        <v>0.24999472981679799</v>
      </c>
      <c r="H6116">
        <v>0.113609715748927</v>
      </c>
      <c r="I6116">
        <v>0.102482286824003</v>
      </c>
      <c r="J6116">
        <v>6.7749734456168095E-2</v>
      </c>
      <c r="K6116">
        <v>5.0472109927866597E-2</v>
      </c>
      <c r="L6116">
        <v>846.33057289163196</v>
      </c>
      <c r="M6116">
        <v>16.133268341752299</v>
      </c>
      <c r="N6116">
        <v>52.723600586290999</v>
      </c>
      <c r="O6116">
        <v>51.672594372935201</v>
      </c>
      <c r="P6116">
        <v>-7.5022417643051398E-2</v>
      </c>
      <c r="Q6116">
        <v>3.8927861524292402E-2</v>
      </c>
      <c r="R6116">
        <v>0.99537612137745202</v>
      </c>
      <c r="S6116" t="s">
        <v>12427</v>
      </c>
      <c r="T6116" t="s">
        <v>12620</v>
      </c>
      <c r="U6116" t="s">
        <v>12620</v>
      </c>
      <c r="V6116" t="s">
        <v>12620</v>
      </c>
      <c r="W6116" t="s">
        <v>18676</v>
      </c>
      <c r="X6116">
        <v>3</v>
      </c>
      <c r="Y6116" t="s">
        <v>24760</v>
      </c>
      <c r="Z6116" t="s">
        <v>31063</v>
      </c>
      <c r="AA6116">
        <v>0.45698684077284057</v>
      </c>
      <c r="AB6116" t="str">
        <f>HYPERLINK("Melting_Curves/meltCurve_Q9Y2L9_2_LRCH1.pdf", "Melting_Curves/meltCurve_Q9Y2L9_2_LRCH1.pdf")</f>
        <v>Melting_Curves/meltCurve_Q9Y2L9_2_LRCH1.pdf</v>
      </c>
    </row>
    <row r="6117" spans="1:28" x14ac:dyDescent="0.25">
      <c r="A6117" t="s">
        <v>6121</v>
      </c>
      <c r="B6117">
        <v>0.99987803227770999</v>
      </c>
      <c r="C6117">
        <v>0.69933106000087497</v>
      </c>
      <c r="D6117">
        <v>0.85979522946317299</v>
      </c>
      <c r="E6117">
        <v>0.56316957362987297</v>
      </c>
      <c r="F6117">
        <v>0.24834420403424401</v>
      </c>
      <c r="G6117">
        <v>8.8093258169281194E-2</v>
      </c>
      <c r="H6117">
        <v>5.9218636753518697E-2</v>
      </c>
      <c r="I6117">
        <v>5.08370275229722E-2</v>
      </c>
      <c r="J6117">
        <v>3.5950201769747503E-2</v>
      </c>
      <c r="K6117">
        <v>2.7074837669860699E-2</v>
      </c>
      <c r="L6117">
        <v>720.76697765325798</v>
      </c>
      <c r="M6117">
        <v>14.4472985359084</v>
      </c>
      <c r="N6117">
        <v>49.889393502039397</v>
      </c>
      <c r="O6117">
        <v>48.962769175086102</v>
      </c>
      <c r="P6117">
        <v>-7.3775388133882305E-2</v>
      </c>
      <c r="Q6117">
        <v>0</v>
      </c>
      <c r="R6117">
        <v>0.950011859113576</v>
      </c>
      <c r="S6117" t="s">
        <v>12428</v>
      </c>
      <c r="T6117" t="s">
        <v>12620</v>
      </c>
      <c r="U6117" t="s">
        <v>12620</v>
      </c>
      <c r="V6117" t="s">
        <v>12620</v>
      </c>
      <c r="W6117" t="s">
        <v>18677</v>
      </c>
      <c r="X6117">
        <v>6</v>
      </c>
      <c r="Y6117" t="s">
        <v>19098</v>
      </c>
      <c r="Z6117" t="s">
        <v>31064</v>
      </c>
      <c r="AA6117">
        <v>0.35522102930293969</v>
      </c>
      <c r="AB6117" t="str">
        <f>HYPERLINK("Melting_Curves/meltCurve_Q9Y2Q3_GSTK1.pdf", "Melting_Curves/meltCurve_Q9Y2Q3_GSTK1.pdf")</f>
        <v>Melting_Curves/meltCurve_Q9Y2Q3_GSTK1.pdf</v>
      </c>
    </row>
    <row r="6118" spans="1:28" x14ac:dyDescent="0.25">
      <c r="A6118" t="s">
        <v>6122</v>
      </c>
      <c r="B6118">
        <v>0.99987803227770999</v>
      </c>
      <c r="C6118">
        <v>0.93310289656188605</v>
      </c>
      <c r="D6118">
        <v>1.03702459705146</v>
      </c>
      <c r="E6118">
        <v>0.79797117242785998</v>
      </c>
      <c r="F6118">
        <v>0.67151506375159598</v>
      </c>
      <c r="G6118">
        <v>0.406595157902503</v>
      </c>
      <c r="H6118">
        <v>0.36786692586171499</v>
      </c>
      <c r="I6118">
        <v>0.28308442808864098</v>
      </c>
      <c r="J6118">
        <v>0.13186577196948099</v>
      </c>
      <c r="K6118">
        <v>5.79708440407289E-2</v>
      </c>
      <c r="L6118">
        <v>632.31694794020405</v>
      </c>
      <c r="M6118">
        <v>11.169688167388101</v>
      </c>
      <c r="N6118">
        <v>56.6100842922718</v>
      </c>
      <c r="O6118">
        <v>54.886487168260203</v>
      </c>
      <c r="P6118">
        <v>-5.0892497553214497E-2</v>
      </c>
      <c r="Q6118">
        <v>0</v>
      </c>
      <c r="R6118">
        <v>0.97527556293137796</v>
      </c>
      <c r="S6118" t="s">
        <v>12429</v>
      </c>
      <c r="T6118" t="s">
        <v>12620</v>
      </c>
      <c r="U6118" t="s">
        <v>12620</v>
      </c>
      <c r="V6118" t="s">
        <v>12620</v>
      </c>
      <c r="W6118" t="s">
        <v>18678</v>
      </c>
      <c r="X6118">
        <v>3</v>
      </c>
      <c r="Y6118" t="s">
        <v>24761</v>
      </c>
      <c r="Z6118" t="s">
        <v>31065</v>
      </c>
      <c r="AA6118">
        <v>0.57201977618078648</v>
      </c>
      <c r="AB6118" t="str">
        <f>HYPERLINK("Melting_Curves/meltCurve_Q9Y2Q5_LAMTOR2.pdf", "Melting_Curves/meltCurve_Q9Y2Q5_LAMTOR2.pdf")</f>
        <v>Melting_Curves/meltCurve_Q9Y2Q5_LAMTOR2.pdf</v>
      </c>
    </row>
    <row r="6119" spans="1:28" x14ac:dyDescent="0.25">
      <c r="A6119" t="s">
        <v>6123</v>
      </c>
      <c r="B6119">
        <v>0.99987803227770999</v>
      </c>
      <c r="C6119">
        <v>1.2230560989149299</v>
      </c>
      <c r="D6119">
        <v>1.5750552648996099</v>
      </c>
      <c r="E6119">
        <v>1.47890420156092</v>
      </c>
      <c r="F6119">
        <v>1.1847034708331201</v>
      </c>
      <c r="G6119">
        <v>0.65854079934505605</v>
      </c>
      <c r="H6119">
        <v>0.38889217989841801</v>
      </c>
      <c r="I6119">
        <v>0.229538796916958</v>
      </c>
      <c r="J6119">
        <v>0.14037319039305199</v>
      </c>
      <c r="K6119">
        <v>0.100138159241304</v>
      </c>
      <c r="L6119">
        <v>1872.86260804063</v>
      </c>
      <c r="M6119">
        <v>31.9266705521405</v>
      </c>
      <c r="N6119">
        <v>59.262251386836198</v>
      </c>
      <c r="O6119">
        <v>58.432670422340699</v>
      </c>
      <c r="P6119">
        <v>-0.117709456952622</v>
      </c>
      <c r="Q6119">
        <v>0.138269855356142</v>
      </c>
      <c r="R6119">
        <v>0.76494692845394396</v>
      </c>
      <c r="S6119" t="s">
        <v>12430</v>
      </c>
      <c r="T6119" t="s">
        <v>12620</v>
      </c>
      <c r="U6119" t="s">
        <v>12620</v>
      </c>
      <c r="V6119" t="s">
        <v>12620</v>
      </c>
      <c r="W6119" t="s">
        <v>18679</v>
      </c>
      <c r="X6119">
        <v>6</v>
      </c>
      <c r="Y6119" t="s">
        <v>24762</v>
      </c>
      <c r="Z6119" t="s">
        <v>31066</v>
      </c>
      <c r="AA6119">
        <v>0.67935880596297304</v>
      </c>
      <c r="AB6119" t="str">
        <f>HYPERLINK("Melting_Curves/meltCurve_Q9Y2Q9_MRPS28.pdf", "Melting_Curves/meltCurve_Q9Y2Q9_MRPS28.pdf")</f>
        <v>Melting_Curves/meltCurve_Q9Y2Q9_MRPS28.pdf</v>
      </c>
    </row>
    <row r="6120" spans="1:28" x14ac:dyDescent="0.25">
      <c r="A6120" t="s">
        <v>6124</v>
      </c>
      <c r="B6120">
        <v>0.99987803227770999</v>
      </c>
      <c r="C6120">
        <v>1.0669776793379999</v>
      </c>
      <c r="D6120">
        <v>0.73385851949604797</v>
      </c>
      <c r="E6120">
        <v>1.31845634737472</v>
      </c>
      <c r="F6120">
        <v>1.06889141013661</v>
      </c>
      <c r="G6120">
        <v>1.11034618326464</v>
      </c>
      <c r="H6120">
        <v>1.0646416124489599</v>
      </c>
      <c r="I6120">
        <v>0.18220053273144299</v>
      </c>
      <c r="J6120">
        <v>7.4178382934305107E-2</v>
      </c>
      <c r="K6120">
        <v>4.4350163599004101E-2</v>
      </c>
      <c r="L6120">
        <v>15000</v>
      </c>
      <c r="M6120">
        <v>236.269463918621</v>
      </c>
      <c r="N6120">
        <v>63.520726161851201</v>
      </c>
      <c r="O6120">
        <v>63.4822844196541</v>
      </c>
      <c r="P6120">
        <v>-0.87532682419297703</v>
      </c>
      <c r="Q6120">
        <v>5.9247938440889499E-2</v>
      </c>
      <c r="R6120">
        <v>0.90518325184238702</v>
      </c>
      <c r="S6120" t="s">
        <v>12431</v>
      </c>
      <c r="T6120" t="s">
        <v>12620</v>
      </c>
      <c r="U6120" t="s">
        <v>12620</v>
      </c>
      <c r="V6120" t="s">
        <v>12620</v>
      </c>
      <c r="W6120" t="s">
        <v>18680</v>
      </c>
      <c r="X6120">
        <v>1</v>
      </c>
      <c r="Y6120" t="s">
        <v>24763</v>
      </c>
      <c r="Z6120" t="s">
        <v>31067</v>
      </c>
      <c r="AA6120">
        <v>0.79587484758478866</v>
      </c>
      <c r="AB6120" t="str">
        <f>HYPERLINK("Melting_Curves/meltCurve_Q9Y2R4_DDX52.pdf", "Melting_Curves/meltCurve_Q9Y2R4_DDX52.pdf")</f>
        <v>Melting_Curves/meltCurve_Q9Y2R4_DDX52.pdf</v>
      </c>
    </row>
    <row r="6121" spans="1:28" x14ac:dyDescent="0.25">
      <c r="A6121" t="s">
        <v>6125</v>
      </c>
      <c r="B6121">
        <v>0.99987803227770999</v>
      </c>
      <c r="C6121">
        <v>1.14723509617103</v>
      </c>
      <c r="D6121">
        <v>1.0397042148345601</v>
      </c>
      <c r="E6121">
        <v>0.89732444879560103</v>
      </c>
      <c r="F6121">
        <v>0.40675526938664203</v>
      </c>
      <c r="G6121">
        <v>0.18138876893210101</v>
      </c>
      <c r="H6121">
        <v>3.4588907867301497E-2</v>
      </c>
      <c r="I6121">
        <v>5.7247521641577703E-2</v>
      </c>
      <c r="J6121">
        <v>0</v>
      </c>
      <c r="K6121">
        <v>2.3945599554978301E-2</v>
      </c>
      <c r="L6121">
        <v>1876.65001358873</v>
      </c>
      <c r="M6121">
        <v>35.738113247462898</v>
      </c>
      <c r="N6121">
        <v>52.642736586666999</v>
      </c>
      <c r="O6121">
        <v>52.347564277018499</v>
      </c>
      <c r="P6121">
        <v>-0.163385575376679</v>
      </c>
      <c r="Q6121">
        <v>4.2724042181814803E-2</v>
      </c>
      <c r="R6121">
        <v>0.98292525442613898</v>
      </c>
      <c r="S6121" t="s">
        <v>12432</v>
      </c>
      <c r="T6121" t="s">
        <v>12620</v>
      </c>
      <c r="U6121" t="s">
        <v>12620</v>
      </c>
      <c r="V6121" t="s">
        <v>12620</v>
      </c>
      <c r="W6121" t="s">
        <v>18681</v>
      </c>
      <c r="X6121">
        <v>1</v>
      </c>
      <c r="Y6121" t="s">
        <v>24764</v>
      </c>
      <c r="Z6121" t="s">
        <v>31068</v>
      </c>
      <c r="AA6121">
        <v>0.44629763178084048</v>
      </c>
      <c r="AB6121" t="str">
        <f>HYPERLINK("Melting_Curves/meltCurve_Q9Y2R9_MRPS7.pdf", "Melting_Curves/meltCurve_Q9Y2R9_MRPS7.pdf")</f>
        <v>Melting_Curves/meltCurve_Q9Y2R9_MRPS7.pdf</v>
      </c>
    </row>
    <row r="6122" spans="1:28" x14ac:dyDescent="0.25">
      <c r="A6122" t="s">
        <v>6126</v>
      </c>
      <c r="B6122">
        <v>0.99987803227770999</v>
      </c>
      <c r="C6122">
        <v>0.879402821838841</v>
      </c>
      <c r="D6122">
        <v>0.79072637826163905</v>
      </c>
      <c r="E6122">
        <v>0.64041431302497198</v>
      </c>
      <c r="F6122">
        <v>0.53655097300920296</v>
      </c>
      <c r="G6122">
        <v>0.37235604103843201</v>
      </c>
      <c r="H6122">
        <v>0.34780598676636898</v>
      </c>
      <c r="I6122">
        <v>0.451595136904828</v>
      </c>
      <c r="J6122">
        <v>0.30158776387626002</v>
      </c>
      <c r="K6122">
        <v>0.27499097715744603</v>
      </c>
      <c r="L6122">
        <v>580.42465808821396</v>
      </c>
      <c r="M6122">
        <v>11.7002398041839</v>
      </c>
      <c r="N6122">
        <v>53.656292695459904</v>
      </c>
      <c r="O6122">
        <v>48.225272721188503</v>
      </c>
      <c r="P6122">
        <v>-4.2882632177584798E-2</v>
      </c>
      <c r="Q6122">
        <v>0.29318479584017498</v>
      </c>
      <c r="R6122">
        <v>0.96696627923857303</v>
      </c>
      <c r="S6122" t="s">
        <v>12433</v>
      </c>
      <c r="T6122" t="s">
        <v>12620</v>
      </c>
      <c r="U6122" t="s">
        <v>12620</v>
      </c>
      <c r="V6122" t="s">
        <v>12620</v>
      </c>
      <c r="W6122" t="s">
        <v>18682</v>
      </c>
      <c r="X6122">
        <v>4</v>
      </c>
      <c r="Y6122" t="s">
        <v>24765</v>
      </c>
      <c r="Z6122" t="s">
        <v>31069</v>
      </c>
      <c r="AA6122">
        <v>0.54562267137667142</v>
      </c>
      <c r="AB6122" t="str">
        <f>HYPERLINK("Melting_Curves/meltCurve_Q9Y2S0_POLR1D.pdf", "Melting_Curves/meltCurve_Q9Y2S0_POLR1D.pdf")</f>
        <v>Melting_Curves/meltCurve_Q9Y2S0_POLR1D.pdf</v>
      </c>
    </row>
    <row r="6123" spans="1:28" x14ac:dyDescent="0.25">
      <c r="A6123" t="s">
        <v>6127</v>
      </c>
      <c r="B6123">
        <v>0.99987803227770999</v>
      </c>
      <c r="C6123">
        <v>1.0229062360511201</v>
      </c>
      <c r="D6123">
        <v>1.0496358994097701</v>
      </c>
      <c r="E6123">
        <v>0.87772816500031003</v>
      </c>
      <c r="F6123">
        <v>0.40021516001428697</v>
      </c>
      <c r="G6123">
        <v>0.21935115699521199</v>
      </c>
      <c r="H6123">
        <v>0.19743179359443899</v>
      </c>
      <c r="I6123">
        <v>0.17248662433767201</v>
      </c>
      <c r="J6123">
        <v>0.13481928955332001</v>
      </c>
      <c r="K6123">
        <v>9.6536323033718993E-2</v>
      </c>
      <c r="L6123">
        <v>2284.5879368820101</v>
      </c>
      <c r="M6123">
        <v>43.969332541573401</v>
      </c>
      <c r="N6123">
        <v>52.415899483766403</v>
      </c>
      <c r="O6123">
        <v>51.851549040513198</v>
      </c>
      <c r="P6123">
        <v>-0.17822948917854001</v>
      </c>
      <c r="Q6123">
        <v>0.159281358381414</v>
      </c>
      <c r="R6123">
        <v>0.99269616066619104</v>
      </c>
      <c r="S6123" t="s">
        <v>12434</v>
      </c>
      <c r="T6123" t="s">
        <v>12620</v>
      </c>
      <c r="U6123" t="s">
        <v>12620</v>
      </c>
      <c r="V6123" t="s">
        <v>12620</v>
      </c>
      <c r="W6123" t="s">
        <v>18683</v>
      </c>
      <c r="X6123">
        <v>7</v>
      </c>
      <c r="Y6123" t="s">
        <v>24766</v>
      </c>
      <c r="Z6123" t="s">
        <v>31070</v>
      </c>
      <c r="AA6123">
        <v>0.4969055911440487</v>
      </c>
      <c r="AB6123" t="str">
        <f>HYPERLINK("Melting_Curves/meltCurve_Q9Y2S2_2_CRYL1.pdf", "Melting_Curves/meltCurve_Q9Y2S2_2_CRYL1.pdf")</f>
        <v>Melting_Curves/meltCurve_Q9Y2S2_2_CRYL1.pdf</v>
      </c>
    </row>
    <row r="6124" spans="1:28" x14ac:dyDescent="0.25">
      <c r="A6124" t="s">
        <v>6128</v>
      </c>
      <c r="B6124">
        <v>0.99987803227770999</v>
      </c>
      <c r="C6124">
        <v>0.74202748636617499</v>
      </c>
      <c r="D6124">
        <v>0.99081416538330103</v>
      </c>
      <c r="E6124">
        <v>0.75650788756210496</v>
      </c>
      <c r="F6124">
        <v>1.0718659537268</v>
      </c>
      <c r="G6124">
        <v>0.733811347710151</v>
      </c>
      <c r="H6124">
        <v>1.0204126092031001</v>
      </c>
      <c r="I6124">
        <v>0.82078100191916203</v>
      </c>
      <c r="J6124">
        <v>1.3383764918824399</v>
      </c>
      <c r="K6124">
        <v>1.19927399029139</v>
      </c>
      <c r="L6124">
        <v>15000</v>
      </c>
      <c r="M6124">
        <v>228.65922717090999</v>
      </c>
      <c r="O6124">
        <v>65.594764026548006</v>
      </c>
      <c r="P6124">
        <v>0.234736968678291</v>
      </c>
      <c r="Q6124">
        <v>1.26935314896678</v>
      </c>
      <c r="R6124">
        <v>0.352489392423389</v>
      </c>
      <c r="S6124" t="s">
        <v>12435</v>
      </c>
      <c r="T6124" t="s">
        <v>12620</v>
      </c>
      <c r="U6124" t="s">
        <v>12620</v>
      </c>
      <c r="V6124" t="s">
        <v>12620</v>
      </c>
      <c r="W6124" t="s">
        <v>18684</v>
      </c>
      <c r="X6124">
        <v>6</v>
      </c>
      <c r="Y6124" t="s">
        <v>24767</v>
      </c>
      <c r="Z6124" t="s">
        <v>31071</v>
      </c>
      <c r="AA6124">
        <v>1.039469839325837</v>
      </c>
      <c r="AB6124" t="str">
        <f>HYPERLINK("Melting_Curves/meltCurve_Q9Y2S6_TMA7.pdf", "Melting_Curves/meltCurve_Q9Y2S6_TMA7.pdf")</f>
        <v>Melting_Curves/meltCurve_Q9Y2S6_TMA7.pdf</v>
      </c>
    </row>
    <row r="6125" spans="1:28" x14ac:dyDescent="0.25">
      <c r="A6125" t="s">
        <v>6129</v>
      </c>
      <c r="B6125">
        <v>0.99987803227770999</v>
      </c>
      <c r="C6125">
        <v>0.87875532736282402</v>
      </c>
      <c r="D6125">
        <v>0.947826667695429</v>
      </c>
      <c r="E6125">
        <v>0.79350515086832696</v>
      </c>
      <c r="F6125">
        <v>0.54295708698749701</v>
      </c>
      <c r="G6125">
        <v>0.2056135538262</v>
      </c>
      <c r="H6125">
        <v>0.142031240262117</v>
      </c>
      <c r="I6125">
        <v>0.11433566303535</v>
      </c>
      <c r="J6125">
        <v>6.97109536306382E-2</v>
      </c>
      <c r="K6125">
        <v>4.9799236775149101E-2</v>
      </c>
      <c r="L6125">
        <v>1063.43828630346</v>
      </c>
      <c r="M6125">
        <v>20.070253946110501</v>
      </c>
      <c r="N6125">
        <v>53.3239885564901</v>
      </c>
      <c r="O6125">
        <v>52.468179956454001</v>
      </c>
      <c r="P6125">
        <v>-8.9918459064733405E-2</v>
      </c>
      <c r="Q6125">
        <v>5.9761456861119902E-2</v>
      </c>
      <c r="R6125">
        <v>0.98879616505522305</v>
      </c>
      <c r="S6125" t="s">
        <v>12436</v>
      </c>
      <c r="T6125" t="s">
        <v>12620</v>
      </c>
      <c r="U6125" t="s">
        <v>12620</v>
      </c>
      <c r="V6125" t="s">
        <v>12620</v>
      </c>
      <c r="W6125" t="s">
        <v>18685</v>
      </c>
      <c r="X6125">
        <v>11</v>
      </c>
      <c r="Y6125" t="s">
        <v>24768</v>
      </c>
      <c r="Z6125" t="s">
        <v>31072</v>
      </c>
      <c r="AA6125">
        <v>0.47960898820291148</v>
      </c>
      <c r="AB6125" t="str">
        <f>HYPERLINK("Melting_Curves/meltCurve_Q9Y2S7_POLDIP2.pdf", "Melting_Curves/meltCurve_Q9Y2S7_POLDIP2.pdf")</f>
        <v>Melting_Curves/meltCurve_Q9Y2S7_POLDIP2.pdf</v>
      </c>
    </row>
    <row r="6126" spans="1:28" x14ac:dyDescent="0.25">
      <c r="A6126" t="s">
        <v>6130</v>
      </c>
      <c r="B6126">
        <v>0.99987803227770999</v>
      </c>
      <c r="C6126">
        <v>1.06402906648261</v>
      </c>
      <c r="D6126">
        <v>0.87872666435357005</v>
      </c>
      <c r="E6126">
        <v>0.97913022139754702</v>
      </c>
      <c r="F6126">
        <v>0.44539652483381498</v>
      </c>
      <c r="G6126">
        <v>0.226454287558675</v>
      </c>
      <c r="H6126">
        <v>0.127225838704526</v>
      </c>
      <c r="I6126">
        <v>0.10757877211398</v>
      </c>
      <c r="J6126">
        <v>6.8840182552253895E-2</v>
      </c>
      <c r="K6126">
        <v>4.91537920152572E-2</v>
      </c>
      <c r="L6126">
        <v>2763.7511551881898</v>
      </c>
      <c r="M6126">
        <v>52.579255107476101</v>
      </c>
      <c r="N6126">
        <v>52.815754866136203</v>
      </c>
      <c r="O6126">
        <v>52.487670786455404</v>
      </c>
      <c r="P6126">
        <v>-0.22263136145138401</v>
      </c>
      <c r="Q6126">
        <v>0.111026533646377</v>
      </c>
      <c r="R6126">
        <v>0.97871174222273505</v>
      </c>
      <c r="S6126" t="s">
        <v>12437</v>
      </c>
      <c r="T6126" t="s">
        <v>12620</v>
      </c>
      <c r="U6126" t="s">
        <v>12620</v>
      </c>
      <c r="V6126" t="s">
        <v>12620</v>
      </c>
      <c r="W6126" t="s">
        <v>18686</v>
      </c>
      <c r="X6126">
        <v>10</v>
      </c>
      <c r="Y6126" t="s">
        <v>24769</v>
      </c>
      <c r="Z6126" t="s">
        <v>31073</v>
      </c>
      <c r="AA6126">
        <v>0.48517743598283469</v>
      </c>
      <c r="AB6126" t="str">
        <f>HYPERLINK("Melting_Curves/meltCurve_Q9Y2T2_AP3M1.pdf", "Melting_Curves/meltCurve_Q9Y2T2_AP3M1.pdf")</f>
        <v>Melting_Curves/meltCurve_Q9Y2T2_AP3M1.pdf</v>
      </c>
    </row>
    <row r="6127" spans="1:28" x14ac:dyDescent="0.25">
      <c r="A6127" t="s">
        <v>6131</v>
      </c>
      <c r="B6127">
        <v>0.99987803227770999</v>
      </c>
      <c r="C6127">
        <v>0.95227222750965701</v>
      </c>
      <c r="D6127">
        <v>1.3041444870401599</v>
      </c>
      <c r="E6127">
        <v>0.89927026544213995</v>
      </c>
      <c r="F6127">
        <v>1.12169208958111</v>
      </c>
      <c r="G6127">
        <v>1.2043623898639599</v>
      </c>
      <c r="H6127">
        <v>1.7637569178120001</v>
      </c>
      <c r="I6127">
        <v>1.7316818404861101</v>
      </c>
      <c r="J6127">
        <v>1.6931321014278</v>
      </c>
      <c r="K6127">
        <v>1.3131717554720901</v>
      </c>
      <c r="L6127">
        <v>14271.046603163701</v>
      </c>
      <c r="M6127">
        <v>250</v>
      </c>
      <c r="O6127">
        <v>57.0805334054089</v>
      </c>
      <c r="P6127">
        <v>0.54747210955096604</v>
      </c>
      <c r="Q6127">
        <v>1.5</v>
      </c>
      <c r="R6127">
        <v>0.67461212636417001</v>
      </c>
      <c r="S6127" t="s">
        <v>12438</v>
      </c>
      <c r="T6127" t="s">
        <v>12620</v>
      </c>
      <c r="U6127" t="s">
        <v>12620</v>
      </c>
      <c r="V6127" t="s">
        <v>12620</v>
      </c>
      <c r="W6127" t="s">
        <v>18687</v>
      </c>
      <c r="X6127">
        <v>5</v>
      </c>
      <c r="Y6127" t="s">
        <v>24770</v>
      </c>
      <c r="Z6127" t="s">
        <v>31074</v>
      </c>
      <c r="AA6127">
        <v>1.2152134688597229</v>
      </c>
      <c r="AB6127" t="str">
        <f>HYPERLINK("Melting_Curves/meltCurve_Q9Y2T7_YBX2.pdf", "Melting_Curves/meltCurve_Q9Y2T7_YBX2.pdf")</f>
        <v>Melting_Curves/meltCurve_Q9Y2T7_YBX2.pdf</v>
      </c>
    </row>
    <row r="6128" spans="1:28" x14ac:dyDescent="0.25">
      <c r="A6128" t="s">
        <v>6132</v>
      </c>
      <c r="B6128">
        <v>0.99987803227770999</v>
      </c>
      <c r="C6128">
        <v>1.0389685029703899</v>
      </c>
      <c r="D6128">
        <v>0.93125474088051197</v>
      </c>
      <c r="E6128">
        <v>0.78390795318004702</v>
      </c>
      <c r="F6128">
        <v>0.60280558884923496</v>
      </c>
      <c r="G6128">
        <v>0.29906952552591698</v>
      </c>
      <c r="H6128">
        <v>0.24515020774188401</v>
      </c>
      <c r="I6128">
        <v>0.22379126298701199</v>
      </c>
      <c r="J6128">
        <v>0.13792370628692399</v>
      </c>
      <c r="K6128">
        <v>9.5317771050509995E-2</v>
      </c>
      <c r="L6128">
        <v>906.44409154796301</v>
      </c>
      <c r="M6128">
        <v>16.989713515588502</v>
      </c>
      <c r="N6128">
        <v>54.243526575642903</v>
      </c>
      <c r="O6128">
        <v>52.629819176881597</v>
      </c>
      <c r="P6128">
        <v>-7.0881933813014594E-2</v>
      </c>
      <c r="Q6128">
        <v>0.12175744977165</v>
      </c>
      <c r="R6128">
        <v>0.99157268784055896</v>
      </c>
      <c r="S6128" t="s">
        <v>12439</v>
      </c>
      <c r="T6128" t="s">
        <v>12620</v>
      </c>
      <c r="U6128" t="s">
        <v>12620</v>
      </c>
      <c r="V6128" t="s">
        <v>12620</v>
      </c>
      <c r="W6128" t="s">
        <v>18688</v>
      </c>
      <c r="X6128">
        <v>4</v>
      </c>
      <c r="Y6128" t="s">
        <v>24771</v>
      </c>
      <c r="Z6128" t="s">
        <v>31075</v>
      </c>
      <c r="AA6128">
        <v>0.52824430807947231</v>
      </c>
      <c r="AB6128" t="str">
        <f>HYPERLINK("Melting_Curves/meltCurve_Q9Y2U5_MAP3K2.pdf", "Melting_Curves/meltCurve_Q9Y2U5_MAP3K2.pdf")</f>
        <v>Melting_Curves/meltCurve_Q9Y2U5_MAP3K2.pdf</v>
      </c>
    </row>
    <row r="6129" spans="1:28" x14ac:dyDescent="0.25">
      <c r="A6129" t="s">
        <v>6133</v>
      </c>
      <c r="B6129">
        <v>0.99987803227770999</v>
      </c>
      <c r="C6129">
        <v>0.84431347655482003</v>
      </c>
      <c r="D6129">
        <v>1.06404838564482</v>
      </c>
      <c r="E6129">
        <v>0.837648163470601</v>
      </c>
      <c r="F6129">
        <v>1.1082378164381701</v>
      </c>
      <c r="G6129">
        <v>0.87129892057524605</v>
      </c>
      <c r="H6129">
        <v>0.98859418467024696</v>
      </c>
      <c r="I6129">
        <v>0.80562701699154604</v>
      </c>
      <c r="J6129">
        <v>0.98499712640584502</v>
      </c>
      <c r="K6129">
        <v>0.82707552745072599</v>
      </c>
      <c r="L6129">
        <v>194.75656531617699</v>
      </c>
      <c r="M6129">
        <v>0.79817161699819195</v>
      </c>
      <c r="Q6129">
        <v>0</v>
      </c>
      <c r="R6129">
        <v>8.5828519890103594E-2</v>
      </c>
      <c r="S6129" t="s">
        <v>12440</v>
      </c>
      <c r="T6129" t="s">
        <v>12620</v>
      </c>
      <c r="U6129" t="s">
        <v>12620</v>
      </c>
      <c r="V6129" t="s">
        <v>12620</v>
      </c>
      <c r="W6129" t="s">
        <v>18689</v>
      </c>
      <c r="X6129">
        <v>6</v>
      </c>
      <c r="Y6129" t="s">
        <v>24772</v>
      </c>
      <c r="Z6129" t="s">
        <v>31076</v>
      </c>
      <c r="AA6129">
        <v>0.9367275534479903</v>
      </c>
      <c r="AB6129" t="str">
        <f>HYPERLINK("Melting_Curves/meltCurve_Q9Y2U8_LEMD3.pdf", "Melting_Curves/meltCurve_Q9Y2U8_LEMD3.pdf")</f>
        <v>Melting_Curves/meltCurve_Q9Y2U8_LEMD3.pdf</v>
      </c>
    </row>
    <row r="6130" spans="1:28" x14ac:dyDescent="0.25">
      <c r="A6130" t="s">
        <v>6134</v>
      </c>
      <c r="B6130">
        <v>0.99987803227770999</v>
      </c>
      <c r="C6130">
        <v>1.0114512594432199</v>
      </c>
      <c r="D6130">
        <v>0.73385664455107702</v>
      </c>
      <c r="E6130">
        <v>0.49769887323975398</v>
      </c>
      <c r="F6130">
        <v>0.32919653368220603</v>
      </c>
      <c r="G6130">
        <v>0.29394141570959997</v>
      </c>
      <c r="H6130">
        <v>0.20762035403836199</v>
      </c>
      <c r="I6130">
        <v>0.22268543124038401</v>
      </c>
      <c r="J6130">
        <v>0.13091776027424601</v>
      </c>
      <c r="K6130">
        <v>8.9475953114598397E-2</v>
      </c>
      <c r="L6130">
        <v>792.68212901355196</v>
      </c>
      <c r="M6130">
        <v>16.185437440415701</v>
      </c>
      <c r="N6130">
        <v>50.112846933218201</v>
      </c>
      <c r="O6130">
        <v>48.245708363117998</v>
      </c>
      <c r="P6130">
        <v>-7.0978782838362203E-2</v>
      </c>
      <c r="Q6130">
        <v>0.15376645127614899</v>
      </c>
      <c r="R6130">
        <v>0.97800336292025902</v>
      </c>
      <c r="S6130" t="s">
        <v>12441</v>
      </c>
      <c r="T6130" t="s">
        <v>12620</v>
      </c>
      <c r="U6130" t="s">
        <v>12620</v>
      </c>
      <c r="V6130" t="s">
        <v>12620</v>
      </c>
      <c r="W6130" t="s">
        <v>18690</v>
      </c>
      <c r="X6130">
        <v>2</v>
      </c>
      <c r="Y6130" t="s">
        <v>24773</v>
      </c>
      <c r="Z6130" t="s">
        <v>31077</v>
      </c>
      <c r="AA6130">
        <v>0.42500826004358472</v>
      </c>
      <c r="AB6130" t="str">
        <f>HYPERLINK("Melting_Curves/meltCurve_Q9Y2U9_KLHDC2.pdf", "Melting_Curves/meltCurve_Q9Y2U9_KLHDC2.pdf")</f>
        <v>Melting_Curves/meltCurve_Q9Y2U9_KLHDC2.pdf</v>
      </c>
    </row>
    <row r="6131" spans="1:28" x14ac:dyDescent="0.25">
      <c r="A6131" t="s">
        <v>6135</v>
      </c>
      <c r="B6131">
        <v>0.99987803227770999</v>
      </c>
      <c r="C6131">
        <v>0.91712036875576497</v>
      </c>
      <c r="D6131">
        <v>0.97266728008144998</v>
      </c>
      <c r="E6131">
        <v>0.92033359217224298</v>
      </c>
      <c r="F6131">
        <v>0.86560260071683903</v>
      </c>
      <c r="G6131">
        <v>0.71878273505796697</v>
      </c>
      <c r="H6131">
        <v>0.71953585536611797</v>
      </c>
      <c r="I6131">
        <v>0.71544317417306003</v>
      </c>
      <c r="J6131">
        <v>0.88352537001632103</v>
      </c>
      <c r="K6131">
        <v>0.69977487933578697</v>
      </c>
      <c r="L6131">
        <v>1405.76671539326</v>
      </c>
      <c r="M6131">
        <v>27.129448099337601</v>
      </c>
      <c r="O6131">
        <v>51.537916349198703</v>
      </c>
      <c r="P6131">
        <v>-3.3414916216766503E-2</v>
      </c>
      <c r="Q6131">
        <v>0.74608868873666301</v>
      </c>
      <c r="R6131">
        <v>0.72887072193255897</v>
      </c>
      <c r="S6131" t="s">
        <v>12442</v>
      </c>
      <c r="T6131" t="s">
        <v>12620</v>
      </c>
      <c r="U6131" t="s">
        <v>12620</v>
      </c>
      <c r="V6131" t="s">
        <v>12620</v>
      </c>
      <c r="W6131" t="s">
        <v>18691</v>
      </c>
      <c r="X6131">
        <v>8</v>
      </c>
      <c r="Y6131" t="s">
        <v>19523</v>
      </c>
      <c r="Z6131" t="s">
        <v>31078</v>
      </c>
      <c r="AA6131">
        <v>0.84807754180608819</v>
      </c>
      <c r="AB6131" t="str">
        <f>HYPERLINK("Melting_Curves/meltCurve_Q9Y2V2_CARHSP1.pdf", "Melting_Curves/meltCurve_Q9Y2V2_CARHSP1.pdf")</f>
        <v>Melting_Curves/meltCurve_Q9Y2V2_CARHSP1.pdf</v>
      </c>
    </row>
    <row r="6132" spans="1:28" x14ac:dyDescent="0.25">
      <c r="A6132" t="s">
        <v>6136</v>
      </c>
      <c r="B6132">
        <v>0.99987803227770999</v>
      </c>
      <c r="C6132">
        <v>1.10233983184883</v>
      </c>
      <c r="D6132">
        <v>0.63088143219256498</v>
      </c>
      <c r="E6132">
        <v>0.48022456410693898</v>
      </c>
      <c r="F6132">
        <v>0.1873878746989</v>
      </c>
      <c r="G6132">
        <v>0.106326139513438</v>
      </c>
      <c r="H6132">
        <v>6.5280908121054498E-2</v>
      </c>
      <c r="I6132">
        <v>6.4534495381762799E-2</v>
      </c>
      <c r="J6132">
        <v>3.8899986215215503E-2</v>
      </c>
      <c r="K6132">
        <v>2.6137511903194199E-2</v>
      </c>
      <c r="L6132">
        <v>910.60881991604595</v>
      </c>
      <c r="M6132">
        <v>18.675627146485599</v>
      </c>
      <c r="N6132">
        <v>48.9750892917112</v>
      </c>
      <c r="O6132">
        <v>48.2104674359665</v>
      </c>
      <c r="P6132">
        <v>-9.3021715485636799E-2</v>
      </c>
      <c r="Q6132">
        <v>3.9511933996264001E-2</v>
      </c>
      <c r="R6132">
        <v>0.96492646328627196</v>
      </c>
      <c r="S6132" t="s">
        <v>12443</v>
      </c>
      <c r="T6132" t="s">
        <v>12620</v>
      </c>
      <c r="U6132" t="s">
        <v>12620</v>
      </c>
      <c r="V6132" t="s">
        <v>12620</v>
      </c>
      <c r="W6132" t="s">
        <v>18692</v>
      </c>
      <c r="X6132">
        <v>8</v>
      </c>
      <c r="Y6132" t="s">
        <v>24774</v>
      </c>
      <c r="Z6132" t="s">
        <v>31079</v>
      </c>
      <c r="AA6132">
        <v>0.33546386944658202</v>
      </c>
      <c r="AB6132" t="str">
        <f>HYPERLINK("Melting_Curves/meltCurve_Q9Y2V7_COG6.pdf", "Melting_Curves/meltCurve_Q9Y2V7_COG6.pdf")</f>
        <v>Melting_Curves/meltCurve_Q9Y2V7_COG6.pdf</v>
      </c>
    </row>
    <row r="6133" spans="1:28" x14ac:dyDescent="0.25">
      <c r="A6133" t="s">
        <v>6137</v>
      </c>
      <c r="B6133">
        <v>0.99987803227770999</v>
      </c>
      <c r="C6133">
        <v>0.92039274850469399</v>
      </c>
      <c r="D6133">
        <v>0.93017210093087899</v>
      </c>
      <c r="E6133">
        <v>0.89801379131015102</v>
      </c>
      <c r="F6133">
        <v>0.84749031101017602</v>
      </c>
      <c r="G6133">
        <v>0.73264934180232599</v>
      </c>
      <c r="H6133">
        <v>0.76880877910640499</v>
      </c>
      <c r="I6133">
        <v>0.68792312949461198</v>
      </c>
      <c r="J6133">
        <v>0.80203751768112497</v>
      </c>
      <c r="K6133">
        <v>0.63924691344395002</v>
      </c>
      <c r="L6133">
        <v>421.316927252602</v>
      </c>
      <c r="M6133">
        <v>7.8188772122895998</v>
      </c>
      <c r="O6133">
        <v>50.700819938495201</v>
      </c>
      <c r="P6133">
        <v>-1.37446195448899E-2</v>
      </c>
      <c r="Q6133">
        <v>0.64393550777738795</v>
      </c>
      <c r="R6133">
        <v>0.84282464854402295</v>
      </c>
      <c r="S6133" t="s">
        <v>12444</v>
      </c>
      <c r="T6133" t="s">
        <v>12620</v>
      </c>
      <c r="U6133" t="s">
        <v>12620</v>
      </c>
      <c r="V6133" t="s">
        <v>12620</v>
      </c>
      <c r="W6133" t="s">
        <v>18693</v>
      </c>
      <c r="X6133">
        <v>23</v>
      </c>
      <c r="Y6133" t="s">
        <v>24775</v>
      </c>
      <c r="Z6133" t="s">
        <v>31080</v>
      </c>
      <c r="AA6133">
        <v>0.8212745280934971</v>
      </c>
      <c r="AB6133" t="str">
        <f>HYPERLINK("Melting_Curves/meltCurve_Q9Y2W1_THRAP3.pdf", "Melting_Curves/meltCurve_Q9Y2W1_THRAP3.pdf")</f>
        <v>Melting_Curves/meltCurve_Q9Y2W1_THRAP3.pdf</v>
      </c>
    </row>
    <row r="6134" spans="1:28" x14ac:dyDescent="0.25">
      <c r="A6134" t="s">
        <v>6138</v>
      </c>
      <c r="B6134">
        <v>0.99987803227770999</v>
      </c>
      <c r="C6134">
        <v>0.94000124444192501</v>
      </c>
      <c r="D6134">
        <v>0.85940621644710302</v>
      </c>
      <c r="E6134">
        <v>0.98823474711384796</v>
      </c>
      <c r="F6134">
        <v>0.55163212649757198</v>
      </c>
      <c r="G6134">
        <v>0.41038834478053199</v>
      </c>
      <c r="H6134">
        <v>0.15771274027368601</v>
      </c>
      <c r="I6134">
        <v>0.165020986070607</v>
      </c>
      <c r="J6134">
        <v>0.20459645557112799</v>
      </c>
      <c r="K6134">
        <v>5.3338488992630301E-2</v>
      </c>
      <c r="L6134">
        <v>1053.86790667232</v>
      </c>
      <c r="M6134">
        <v>19.451166379009301</v>
      </c>
      <c r="N6134">
        <v>54.876255607333299</v>
      </c>
      <c r="O6134">
        <v>53.617275387770299</v>
      </c>
      <c r="P6134">
        <v>-8.0782551246818005E-2</v>
      </c>
      <c r="Q6134">
        <v>0.109321707127537</v>
      </c>
      <c r="R6134">
        <v>0.95588439985906704</v>
      </c>
      <c r="S6134" t="s">
        <v>12445</v>
      </c>
      <c r="T6134" t="s">
        <v>12620</v>
      </c>
      <c r="U6134" t="s">
        <v>12620</v>
      </c>
      <c r="V6134" t="s">
        <v>12620</v>
      </c>
      <c r="W6134" t="s">
        <v>18694</v>
      </c>
      <c r="X6134">
        <v>2</v>
      </c>
      <c r="Y6134" t="s">
        <v>24776</v>
      </c>
      <c r="Z6134" t="s">
        <v>31081</v>
      </c>
      <c r="AA6134">
        <v>0.54293166960987549</v>
      </c>
      <c r="AB6134" t="str">
        <f>HYPERLINK("Melting_Curves/meltCurve_Q9Y2X0_2_MED16.pdf", "Melting_Curves/meltCurve_Q9Y2X0_2_MED16.pdf")</f>
        <v>Melting_Curves/meltCurve_Q9Y2X0_2_MED16.pdf</v>
      </c>
    </row>
    <row r="6135" spans="1:28" x14ac:dyDescent="0.25">
      <c r="A6135" t="s">
        <v>6139</v>
      </c>
      <c r="B6135">
        <v>0.99987803227770999</v>
      </c>
      <c r="C6135">
        <v>1.02595881809351</v>
      </c>
      <c r="D6135">
        <v>0.95039692213767701</v>
      </c>
      <c r="E6135">
        <v>0.85877546226116297</v>
      </c>
      <c r="F6135">
        <v>0.61711844537407701</v>
      </c>
      <c r="G6135">
        <v>0.43283030588863203</v>
      </c>
      <c r="H6135">
        <v>0.38148307318758101</v>
      </c>
      <c r="I6135">
        <v>0.35029670822033399</v>
      </c>
      <c r="J6135">
        <v>0.35780677059312499</v>
      </c>
      <c r="K6135">
        <v>0.28707941502585599</v>
      </c>
      <c r="L6135">
        <v>1165.1166671523099</v>
      </c>
      <c r="M6135">
        <v>22.1632688709802</v>
      </c>
      <c r="N6135">
        <v>55.261441931910497</v>
      </c>
      <c r="O6135">
        <v>52.147349770940302</v>
      </c>
      <c r="P6135">
        <v>-7.1177572837068798E-2</v>
      </c>
      <c r="Q6135">
        <v>0.33012745612695199</v>
      </c>
      <c r="R6135">
        <v>0.99352946634148998</v>
      </c>
      <c r="S6135" t="s">
        <v>12446</v>
      </c>
      <c r="T6135" t="s">
        <v>12620</v>
      </c>
      <c r="U6135" t="s">
        <v>12620</v>
      </c>
      <c r="V6135" t="s">
        <v>12620</v>
      </c>
      <c r="W6135" t="s">
        <v>18695</v>
      </c>
      <c r="X6135">
        <v>5</v>
      </c>
      <c r="Y6135" t="s">
        <v>24777</v>
      </c>
      <c r="Z6135" t="s">
        <v>31082</v>
      </c>
      <c r="AA6135">
        <v>0.61849152636278215</v>
      </c>
      <c r="AB6135" t="str">
        <f>HYPERLINK("Melting_Curves/meltCurve_Q9Y2X3_NOP58.pdf", "Melting_Curves/meltCurve_Q9Y2X3_NOP58.pdf")</f>
        <v>Melting_Curves/meltCurve_Q9Y2X3_NOP58.pdf</v>
      </c>
    </row>
    <row r="6136" spans="1:28" x14ac:dyDescent="0.25">
      <c r="A6136" t="s">
        <v>6140</v>
      </c>
      <c r="B6136">
        <v>0.99987803227770999</v>
      </c>
      <c r="C6136">
        <v>0.93844179704294695</v>
      </c>
      <c r="D6136">
        <v>0.87722842344426399</v>
      </c>
      <c r="E6136">
        <v>0.73468919532580801</v>
      </c>
      <c r="F6136">
        <v>0.63006445621810703</v>
      </c>
      <c r="G6136">
        <v>0.47641577491951098</v>
      </c>
      <c r="H6136">
        <v>0.44794159456727101</v>
      </c>
      <c r="I6136">
        <v>0.354014638305999</v>
      </c>
      <c r="J6136">
        <v>0.28375257211626997</v>
      </c>
      <c r="K6136">
        <v>0.192260387370605</v>
      </c>
      <c r="L6136">
        <v>441.734983507268</v>
      </c>
      <c r="M6136">
        <v>7.8258734545839896</v>
      </c>
      <c r="N6136">
        <v>57.423038753502198</v>
      </c>
      <c r="O6136">
        <v>53.115784109341199</v>
      </c>
      <c r="P6136">
        <v>-3.4579172684340298E-2</v>
      </c>
      <c r="Q6136">
        <v>6.2367966488029503E-2</v>
      </c>
      <c r="R6136">
        <v>0.98878810920363303</v>
      </c>
      <c r="S6136" t="s">
        <v>12447</v>
      </c>
      <c r="T6136" t="s">
        <v>12620</v>
      </c>
      <c r="U6136" t="s">
        <v>12620</v>
      </c>
      <c r="V6136" t="s">
        <v>12620</v>
      </c>
      <c r="W6136" t="s">
        <v>18696</v>
      </c>
      <c r="X6136">
        <v>17</v>
      </c>
      <c r="Y6136" t="s">
        <v>24778</v>
      </c>
      <c r="Z6136" t="s">
        <v>31083</v>
      </c>
      <c r="AA6136">
        <v>0.59137569064575901</v>
      </c>
      <c r="AB6136" t="str">
        <f>HYPERLINK("Melting_Curves/meltCurve_Q9Y2X7_GIT1.pdf", "Melting_Curves/meltCurve_Q9Y2X7_GIT1.pdf")</f>
        <v>Melting_Curves/meltCurve_Q9Y2X7_GIT1.pdf</v>
      </c>
    </row>
    <row r="6137" spans="1:28" x14ac:dyDescent="0.25">
      <c r="A6137" t="s">
        <v>6141</v>
      </c>
      <c r="B6137">
        <v>0.99987803227770999</v>
      </c>
      <c r="C6137">
        <v>0.740122428344406</v>
      </c>
      <c r="D6137">
        <v>0.91676789674368298</v>
      </c>
      <c r="E6137">
        <v>0.857399229771587</v>
      </c>
      <c r="F6137">
        <v>1.2927734741713399</v>
      </c>
      <c r="G6137">
        <v>1.2512158948251599</v>
      </c>
      <c r="H6137">
        <v>1.1238505487764701</v>
      </c>
      <c r="I6137">
        <v>1.0832215666666201</v>
      </c>
      <c r="J6137">
        <v>0.89431688698872203</v>
      </c>
      <c r="K6137">
        <v>0.73839027813768798</v>
      </c>
      <c r="L6137">
        <v>15000</v>
      </c>
      <c r="M6137">
        <v>223.491378392093</v>
      </c>
      <c r="O6137">
        <v>67.111307056299395</v>
      </c>
      <c r="P6137">
        <v>-0.21782330381874199</v>
      </c>
      <c r="Q6137">
        <v>0.73836293656931096</v>
      </c>
      <c r="R6137">
        <v>0.22808711855104299</v>
      </c>
      <c r="S6137" t="s">
        <v>12448</v>
      </c>
      <c r="T6137" t="s">
        <v>12620</v>
      </c>
      <c r="U6137" t="s">
        <v>12620</v>
      </c>
      <c r="V6137" t="s">
        <v>12620</v>
      </c>
      <c r="W6137" t="s">
        <v>18697</v>
      </c>
      <c r="X6137">
        <v>1</v>
      </c>
      <c r="Y6137" t="s">
        <v>24779</v>
      </c>
      <c r="Z6137" t="s">
        <v>31084</v>
      </c>
      <c r="AA6137">
        <v>0.97489218909080344</v>
      </c>
      <c r="AB6137" t="str">
        <f>HYPERLINK("Melting_Curves/meltCurve_Q9Y2Y1_POLR3K.pdf", "Melting_Curves/meltCurve_Q9Y2Y1_POLR3K.pdf")</f>
        <v>Melting_Curves/meltCurve_Q9Y2Y1_POLR3K.pdf</v>
      </c>
    </row>
    <row r="6138" spans="1:28" x14ac:dyDescent="0.25">
      <c r="A6138" t="s">
        <v>6142</v>
      </c>
      <c r="B6138">
        <v>0.99987803227770999</v>
      </c>
      <c r="C6138">
        <v>1.12519310780402</v>
      </c>
      <c r="D6138">
        <v>1.0910716355957699</v>
      </c>
      <c r="E6138">
        <v>1.0313321738807499</v>
      </c>
      <c r="F6138">
        <v>0.94595058414511601</v>
      </c>
      <c r="G6138">
        <v>0.76359484844356995</v>
      </c>
      <c r="H6138">
        <v>0.68345230799845602</v>
      </c>
      <c r="I6138">
        <v>0.61491413757270597</v>
      </c>
      <c r="J6138">
        <v>0.55298749104786604</v>
      </c>
      <c r="K6138">
        <v>0.42686604496582697</v>
      </c>
      <c r="L6138">
        <v>891.79487883903005</v>
      </c>
      <c r="M6138">
        <v>14.7444604537174</v>
      </c>
      <c r="N6138">
        <v>67.897007765912605</v>
      </c>
      <c r="O6138">
        <v>59.403495021275504</v>
      </c>
      <c r="P6138">
        <v>-3.7232247652861802E-2</v>
      </c>
      <c r="Q6138">
        <v>0.40004948199907098</v>
      </c>
      <c r="R6138">
        <v>0.93238746124564498</v>
      </c>
      <c r="S6138" t="s">
        <v>12449</v>
      </c>
      <c r="T6138" t="s">
        <v>12620</v>
      </c>
      <c r="U6138" t="s">
        <v>12620</v>
      </c>
      <c r="V6138" t="s">
        <v>12620</v>
      </c>
      <c r="W6138" t="s">
        <v>18698</v>
      </c>
      <c r="X6138">
        <v>5</v>
      </c>
      <c r="Y6138" t="s">
        <v>24780</v>
      </c>
      <c r="Z6138" t="s">
        <v>31085</v>
      </c>
      <c r="AA6138">
        <v>0.81241721077788798</v>
      </c>
      <c r="AB6138" t="str">
        <f>HYPERLINK("Melting_Curves/meltCurve_Q9Y2Y9_KLF13.pdf", "Melting_Curves/meltCurve_Q9Y2Y9_KLF13.pdf")</f>
        <v>Melting_Curves/meltCurve_Q9Y2Y9_KLF13.pdf</v>
      </c>
    </row>
    <row r="6139" spans="1:28" x14ac:dyDescent="0.25">
      <c r="A6139" t="s">
        <v>6143</v>
      </c>
      <c r="B6139">
        <v>0.99987803227770999</v>
      </c>
      <c r="C6139">
        <v>0.89949754118343805</v>
      </c>
      <c r="D6139">
        <v>1.02685905483146</v>
      </c>
      <c r="E6139">
        <v>0.945107447609007</v>
      </c>
      <c r="F6139">
        <v>1.0645725926719201</v>
      </c>
      <c r="G6139">
        <v>0.91927422512178303</v>
      </c>
      <c r="H6139">
        <v>0.66368468853683305</v>
      </c>
      <c r="I6139">
        <v>0.42500205748197101</v>
      </c>
      <c r="J6139">
        <v>0.24660063649038</v>
      </c>
      <c r="K6139">
        <v>0.14253073193657501</v>
      </c>
      <c r="L6139">
        <v>1516.9990461299601</v>
      </c>
      <c r="M6139">
        <v>24.268697227775402</v>
      </c>
      <c r="N6139">
        <v>63.009854969177802</v>
      </c>
      <c r="O6139">
        <v>62.088682347914499</v>
      </c>
      <c r="P6139">
        <v>-8.91390330697793E-2</v>
      </c>
      <c r="Q6139">
        <v>8.7805771568171903E-2</v>
      </c>
      <c r="R6139">
        <v>0.98133233938137499</v>
      </c>
      <c r="S6139" t="s">
        <v>12450</v>
      </c>
      <c r="T6139" t="s">
        <v>12620</v>
      </c>
      <c r="U6139" t="s">
        <v>12620</v>
      </c>
      <c r="V6139" t="s">
        <v>12620</v>
      </c>
      <c r="W6139" t="s">
        <v>18699</v>
      </c>
      <c r="X6139">
        <v>26</v>
      </c>
      <c r="Y6139" t="s">
        <v>24781</v>
      </c>
      <c r="Z6139" t="s">
        <v>31086</v>
      </c>
      <c r="AA6139">
        <v>0.77525608337887675</v>
      </c>
      <c r="AB6139" t="str">
        <f>HYPERLINK("Melting_Curves/meltCurve_Q9Y2Z0_SUGT1.pdf", "Melting_Curves/meltCurve_Q9Y2Z0_SUGT1.pdf")</f>
        <v>Melting_Curves/meltCurve_Q9Y2Z0_SUGT1.pdf</v>
      </c>
    </row>
    <row r="6140" spans="1:28" x14ac:dyDescent="0.25">
      <c r="A6140" t="s">
        <v>6144</v>
      </c>
      <c r="B6140">
        <v>0.99987803227770999</v>
      </c>
      <c r="C6140">
        <v>0.97155639737246502</v>
      </c>
      <c r="D6140">
        <v>0.79388022655770096</v>
      </c>
      <c r="E6140">
        <v>0.426372255701151</v>
      </c>
      <c r="F6140">
        <v>0.240041040612919</v>
      </c>
      <c r="G6140">
        <v>0.17489772748452201</v>
      </c>
      <c r="H6140">
        <v>0.10822981503139301</v>
      </c>
      <c r="I6140">
        <v>0.100428032127497</v>
      </c>
      <c r="J6140">
        <v>7.1806666177225406E-2</v>
      </c>
      <c r="K6140">
        <v>6.5005569582566106E-2</v>
      </c>
      <c r="L6140">
        <v>983.93174292590902</v>
      </c>
      <c r="M6140">
        <v>20.145532398338698</v>
      </c>
      <c r="N6140">
        <v>49.305338507203601</v>
      </c>
      <c r="O6140">
        <v>48.367570718862297</v>
      </c>
      <c r="P6140">
        <v>-9.5136406659732706E-2</v>
      </c>
      <c r="Q6140">
        <v>8.6373886671175903E-2</v>
      </c>
      <c r="R6140">
        <v>0.99738734978802301</v>
      </c>
      <c r="S6140" t="s">
        <v>12451</v>
      </c>
      <c r="T6140" t="s">
        <v>12620</v>
      </c>
      <c r="U6140" t="s">
        <v>12620</v>
      </c>
      <c r="V6140" t="s">
        <v>12620</v>
      </c>
      <c r="W6140" t="s">
        <v>18700</v>
      </c>
      <c r="X6140">
        <v>7</v>
      </c>
      <c r="Y6140" t="s">
        <v>24782</v>
      </c>
      <c r="Z6140" t="s">
        <v>31087</v>
      </c>
      <c r="AA6140">
        <v>0.36825453940901159</v>
      </c>
      <c r="AB6140" t="str">
        <f>HYPERLINK("Melting_Curves/meltCurve_Q9Y2Z4_YARS2.pdf", "Melting_Curves/meltCurve_Q9Y2Z4_YARS2.pdf")</f>
        <v>Melting_Curves/meltCurve_Q9Y2Z4_YARS2.pdf</v>
      </c>
    </row>
    <row r="6141" spans="1:28" x14ac:dyDescent="0.25">
      <c r="A6141" t="s">
        <v>6145</v>
      </c>
      <c r="B6141">
        <v>0.99987803227770999</v>
      </c>
      <c r="C6141">
        <v>1.0267173782592001</v>
      </c>
      <c r="D6141">
        <v>0.84833360657660295</v>
      </c>
      <c r="E6141">
        <v>0.85470875783923905</v>
      </c>
      <c r="F6141">
        <v>0.51399524664756402</v>
      </c>
      <c r="G6141">
        <v>0.34052280580566402</v>
      </c>
      <c r="H6141">
        <v>0.12971163241886799</v>
      </c>
      <c r="I6141">
        <v>9.2829704026814397E-2</v>
      </c>
      <c r="J6141">
        <v>5.5998861121615097E-2</v>
      </c>
      <c r="K6141">
        <v>4.30839894997328E-2</v>
      </c>
      <c r="L6141">
        <v>843.92700164676103</v>
      </c>
      <c r="M6141">
        <v>15.656742451713701</v>
      </c>
      <c r="N6141">
        <v>53.9895463742657</v>
      </c>
      <c r="O6141">
        <v>53.045490820804503</v>
      </c>
      <c r="P6141">
        <v>-7.2868775562544494E-2</v>
      </c>
      <c r="Q6141">
        <v>1.25587327172564E-2</v>
      </c>
      <c r="R6141">
        <v>0.98606862198537204</v>
      </c>
      <c r="S6141" t="s">
        <v>12452</v>
      </c>
      <c r="T6141" t="s">
        <v>12620</v>
      </c>
      <c r="U6141" t="s">
        <v>12620</v>
      </c>
      <c r="V6141" t="s">
        <v>12620</v>
      </c>
      <c r="W6141" t="s">
        <v>18701</v>
      </c>
      <c r="X6141">
        <v>8</v>
      </c>
      <c r="Y6141" t="s">
        <v>24783</v>
      </c>
      <c r="Z6141" t="s">
        <v>31088</v>
      </c>
      <c r="AA6141">
        <v>0.48940825707770369</v>
      </c>
      <c r="AB6141" t="str">
        <f>HYPERLINK("Melting_Curves/meltCurve_Q9Y303_AMDHD2.pdf", "Melting_Curves/meltCurve_Q9Y303_AMDHD2.pdf")</f>
        <v>Melting_Curves/meltCurve_Q9Y303_AMDHD2.pdf</v>
      </c>
    </row>
    <row r="6142" spans="1:28" x14ac:dyDescent="0.25">
      <c r="A6142" t="s">
        <v>6146</v>
      </c>
      <c r="B6142">
        <v>0.99987803227770999</v>
      </c>
      <c r="C6142">
        <v>0.79782425454239103</v>
      </c>
      <c r="D6142">
        <v>0.76933857319865095</v>
      </c>
      <c r="E6142">
        <v>0.57722349870267098</v>
      </c>
      <c r="F6142">
        <v>0.28801878305581402</v>
      </c>
      <c r="G6142">
        <v>0.14624281920926499</v>
      </c>
      <c r="H6142">
        <v>0.103915918913251</v>
      </c>
      <c r="I6142">
        <v>9.2645327698871793E-2</v>
      </c>
      <c r="J6142">
        <v>7.5154796548802194E-2</v>
      </c>
      <c r="K6142">
        <v>4.7203548185924198E-2</v>
      </c>
      <c r="L6142">
        <v>645.52064331797703</v>
      </c>
      <c r="M6142">
        <v>12.9480846318122</v>
      </c>
      <c r="N6142">
        <v>50.041364995417297</v>
      </c>
      <c r="O6142">
        <v>48.710291630585097</v>
      </c>
      <c r="P6142">
        <v>-6.4898087209477803E-2</v>
      </c>
      <c r="Q6142">
        <v>2.3596881592136802E-2</v>
      </c>
      <c r="R6142">
        <v>0.98254591314014905</v>
      </c>
      <c r="S6142" t="s">
        <v>12453</v>
      </c>
      <c r="T6142" t="s">
        <v>12620</v>
      </c>
      <c r="U6142" t="s">
        <v>12620</v>
      </c>
      <c r="V6142" t="s">
        <v>12620</v>
      </c>
      <c r="W6142" t="s">
        <v>18702</v>
      </c>
      <c r="X6142">
        <v>10</v>
      </c>
      <c r="Y6142" t="s">
        <v>24784</v>
      </c>
      <c r="Z6142" t="s">
        <v>31089</v>
      </c>
      <c r="AA6142">
        <v>0.37447488639238352</v>
      </c>
      <c r="AB6142" t="str">
        <f>HYPERLINK("Melting_Curves/meltCurve_Q9Y305_ACOT9.pdf", "Melting_Curves/meltCurve_Q9Y305_ACOT9.pdf")</f>
        <v>Melting_Curves/meltCurve_Q9Y305_ACOT9.pdf</v>
      </c>
    </row>
    <row r="6143" spans="1:28" x14ac:dyDescent="0.25">
      <c r="A6143" t="s">
        <v>6147</v>
      </c>
      <c r="B6143">
        <v>0.99987803227770999</v>
      </c>
      <c r="C6143">
        <v>0.88223675613782404</v>
      </c>
      <c r="D6143">
        <v>0.87341114099824901</v>
      </c>
      <c r="E6143">
        <v>0.86708481020810801</v>
      </c>
      <c r="F6143">
        <v>0.96829463157629003</v>
      </c>
      <c r="G6143">
        <v>0.306971137328646</v>
      </c>
      <c r="H6143">
        <v>0.15392860645685499</v>
      </c>
      <c r="I6143">
        <v>0.110565574686738</v>
      </c>
      <c r="J6143">
        <v>0.128491349779918</v>
      </c>
      <c r="K6143">
        <v>8.9682358966148998E-2</v>
      </c>
      <c r="L6143">
        <v>3223.4712031836398</v>
      </c>
      <c r="M6143">
        <v>57.8341472170383</v>
      </c>
      <c r="N6143">
        <v>55.9983517099244</v>
      </c>
      <c r="O6143">
        <v>55.669947844649997</v>
      </c>
      <c r="P6143">
        <v>-0.228945295218901</v>
      </c>
      <c r="Q6143">
        <v>0.11848849390945899</v>
      </c>
      <c r="R6143">
        <v>0.96695128249027495</v>
      </c>
      <c r="S6143" t="s">
        <v>12454</v>
      </c>
      <c r="T6143" t="s">
        <v>12620</v>
      </c>
      <c r="U6143" t="s">
        <v>12620</v>
      </c>
      <c r="V6143" t="s">
        <v>12620</v>
      </c>
      <c r="W6143" t="s">
        <v>18703</v>
      </c>
      <c r="X6143">
        <v>6</v>
      </c>
      <c r="Y6143" t="s">
        <v>24785</v>
      </c>
      <c r="Z6143" t="s">
        <v>31090</v>
      </c>
      <c r="AA6143">
        <v>0.58250168356981336</v>
      </c>
      <c r="AB6143" t="str">
        <f>HYPERLINK("Melting_Curves/meltCurve_Q9Y312_AAR2.pdf", "Melting_Curves/meltCurve_Q9Y312_AAR2.pdf")</f>
        <v>Melting_Curves/meltCurve_Q9Y312_AAR2.pdf</v>
      </c>
    </row>
    <row r="6144" spans="1:28" x14ac:dyDescent="0.25">
      <c r="A6144" t="s">
        <v>6148</v>
      </c>
      <c r="B6144">
        <v>0.99987803227770999</v>
      </c>
      <c r="C6144">
        <v>0.75475513881705503</v>
      </c>
      <c r="D6144">
        <v>0.58868364135314399</v>
      </c>
      <c r="E6144">
        <v>0.36658388643912099</v>
      </c>
      <c r="F6144">
        <v>0.20421056613760799</v>
      </c>
      <c r="G6144">
        <v>0.115605709640374</v>
      </c>
      <c r="H6144">
        <v>8.7835328781445704E-2</v>
      </c>
      <c r="I6144">
        <v>7.8267679382654998E-2</v>
      </c>
      <c r="J6144">
        <v>7.6284647665300298E-2</v>
      </c>
      <c r="K6144">
        <v>5.9337862548521303E-2</v>
      </c>
      <c r="L6144">
        <v>664.08594259328197</v>
      </c>
      <c r="M6144">
        <v>14.1421686321245</v>
      </c>
      <c r="N6144">
        <v>47.347170312853798</v>
      </c>
      <c r="O6144">
        <v>46.0488564846641</v>
      </c>
      <c r="P6144">
        <v>-7.2573037668772503E-2</v>
      </c>
      <c r="Q6144">
        <v>5.4888873726005802E-2</v>
      </c>
      <c r="R6144">
        <v>0.99098252574561496</v>
      </c>
      <c r="S6144" t="s">
        <v>12455</v>
      </c>
      <c r="T6144" t="s">
        <v>12620</v>
      </c>
      <c r="U6144" t="s">
        <v>12620</v>
      </c>
      <c r="V6144" t="s">
        <v>12620</v>
      </c>
      <c r="W6144" t="s">
        <v>18704</v>
      </c>
      <c r="X6144">
        <v>9</v>
      </c>
      <c r="Y6144" t="s">
        <v>24786</v>
      </c>
      <c r="Z6144" t="s">
        <v>31091</v>
      </c>
      <c r="AA6144">
        <v>0.30311048704611993</v>
      </c>
      <c r="AB6144" t="str">
        <f>HYPERLINK("Melting_Curves/meltCurve_Q9Y314_NOSIP.pdf", "Melting_Curves/meltCurve_Q9Y314_NOSIP.pdf")</f>
        <v>Melting_Curves/meltCurve_Q9Y314_NOSIP.pdf</v>
      </c>
    </row>
    <row r="6145" spans="1:28" x14ac:dyDescent="0.25">
      <c r="A6145" t="s">
        <v>6149</v>
      </c>
      <c r="B6145">
        <v>0.99987803227770999</v>
      </c>
      <c r="C6145">
        <v>0.86065835759827003</v>
      </c>
      <c r="D6145">
        <v>0.79773259338664604</v>
      </c>
      <c r="E6145">
        <v>1.6639886016152301</v>
      </c>
      <c r="F6145">
        <v>1.7211299531623101</v>
      </c>
      <c r="G6145">
        <v>1.7317882617238201</v>
      </c>
      <c r="H6145">
        <v>1.0046213789281</v>
      </c>
      <c r="I6145">
        <v>0.71644367862420799</v>
      </c>
      <c r="J6145">
        <v>0.13376656506458101</v>
      </c>
      <c r="K6145">
        <v>6.5379848425963005E-2</v>
      </c>
      <c r="L6145">
        <v>4914.7483615686997</v>
      </c>
      <c r="M6145">
        <v>75.952531962040595</v>
      </c>
      <c r="N6145">
        <v>64.827799898955305</v>
      </c>
      <c r="O6145">
        <v>64.663342299910894</v>
      </c>
      <c r="P6145">
        <v>-0.27444265046921201</v>
      </c>
      <c r="Q6145">
        <v>6.5396484204895994E-2</v>
      </c>
      <c r="R6145">
        <v>0.52118002327519097</v>
      </c>
      <c r="S6145" t="s">
        <v>12456</v>
      </c>
      <c r="T6145" t="s">
        <v>12620</v>
      </c>
      <c r="U6145" t="s">
        <v>12620</v>
      </c>
      <c r="V6145" t="s">
        <v>12620</v>
      </c>
      <c r="W6145" t="s">
        <v>18705</v>
      </c>
      <c r="X6145">
        <v>10</v>
      </c>
      <c r="Y6145" t="s">
        <v>24787</v>
      </c>
      <c r="Z6145" t="s">
        <v>31092</v>
      </c>
      <c r="AA6145">
        <v>0.836190759059108</v>
      </c>
      <c r="AB6145" t="str">
        <f>HYPERLINK("Melting_Curves/meltCurve_Q9Y315_DERA.pdf", "Melting_Curves/meltCurve_Q9Y315_DERA.pdf")</f>
        <v>Melting_Curves/meltCurve_Q9Y315_DERA.pdf</v>
      </c>
    </row>
    <row r="6146" spans="1:28" x14ac:dyDescent="0.25">
      <c r="A6146" t="s">
        <v>6150</v>
      </c>
      <c r="B6146">
        <v>0.99987803227770999</v>
      </c>
      <c r="C6146">
        <v>0.83066965805376602</v>
      </c>
      <c r="D6146">
        <v>0.93179099642493002</v>
      </c>
      <c r="E6146">
        <v>0.83895810183668396</v>
      </c>
      <c r="F6146">
        <v>0.75127712859991702</v>
      </c>
      <c r="G6146">
        <v>0.30218902158595601</v>
      </c>
      <c r="H6146">
        <v>0.167242183878164</v>
      </c>
      <c r="I6146">
        <v>0.13258479452576499</v>
      </c>
      <c r="J6146">
        <v>0.105494879418673</v>
      </c>
      <c r="K6146">
        <v>6.2555929007811095E-2</v>
      </c>
      <c r="L6146">
        <v>1115.4385080613799</v>
      </c>
      <c r="M6146">
        <v>20.392533235258401</v>
      </c>
      <c r="N6146">
        <v>55.090637684428202</v>
      </c>
      <c r="O6146">
        <v>54.180534069989697</v>
      </c>
      <c r="P6146">
        <v>-8.77394614902334E-2</v>
      </c>
      <c r="Q6146">
        <v>6.7574914126271299E-2</v>
      </c>
      <c r="R6146">
        <v>0.97049105872555197</v>
      </c>
      <c r="S6146" t="s">
        <v>12457</v>
      </c>
      <c r="T6146" t="s">
        <v>12620</v>
      </c>
      <c r="U6146" t="s">
        <v>12620</v>
      </c>
      <c r="V6146" t="s">
        <v>12620</v>
      </c>
      <c r="W6146" t="s">
        <v>18706</v>
      </c>
      <c r="X6146">
        <v>8</v>
      </c>
      <c r="Y6146" t="s">
        <v>24788</v>
      </c>
      <c r="Z6146" t="s">
        <v>31093</v>
      </c>
      <c r="AA6146">
        <v>0.5365488779667128</v>
      </c>
      <c r="AB6146" t="str">
        <f>HYPERLINK("Melting_Curves/meltCurve_Q9Y316_MEMO1.pdf", "Melting_Curves/meltCurve_Q9Y316_MEMO1.pdf")</f>
        <v>Melting_Curves/meltCurve_Q9Y316_MEMO1.pdf</v>
      </c>
    </row>
    <row r="6147" spans="1:28" x14ac:dyDescent="0.25">
      <c r="A6147" t="s">
        <v>6151</v>
      </c>
      <c r="B6147">
        <v>0.99987803227770999</v>
      </c>
      <c r="C6147">
        <v>1.0543826451032901</v>
      </c>
      <c r="D6147">
        <v>1.07022780491195</v>
      </c>
      <c r="E6147">
        <v>1.2709946507880101</v>
      </c>
      <c r="F6147">
        <v>1.32932736973542</v>
      </c>
      <c r="G6147">
        <v>1.4047450159474399</v>
      </c>
      <c r="H6147">
        <v>1.22442383935971</v>
      </c>
      <c r="I6147">
        <v>0.98885554846305102</v>
      </c>
      <c r="J6147">
        <v>0.54388888987970796</v>
      </c>
      <c r="K6147">
        <v>0.30898532970197801</v>
      </c>
      <c r="L6147">
        <v>7107.3271285763403</v>
      </c>
      <c r="M6147">
        <v>106.727394173858</v>
      </c>
      <c r="N6147">
        <v>67.186612182887004</v>
      </c>
      <c r="O6147">
        <v>66.5699102865008</v>
      </c>
      <c r="P6147">
        <v>-0.27849118014971502</v>
      </c>
      <c r="Q6147">
        <v>0.30517815062383802</v>
      </c>
      <c r="R6147">
        <v>0.62793333149835495</v>
      </c>
      <c r="S6147" t="s">
        <v>12458</v>
      </c>
      <c r="T6147" t="s">
        <v>12620</v>
      </c>
      <c r="U6147" t="s">
        <v>12620</v>
      </c>
      <c r="V6147" t="s">
        <v>12620</v>
      </c>
      <c r="W6147" t="s">
        <v>18707</v>
      </c>
      <c r="X6147">
        <v>5</v>
      </c>
      <c r="Y6147" t="s">
        <v>24789</v>
      </c>
      <c r="Z6147" t="s">
        <v>31094</v>
      </c>
      <c r="AA6147">
        <v>0.92145370578369545</v>
      </c>
      <c r="AB6147" t="str">
        <f>HYPERLINK("Melting_Curves/meltCurve_Q9Y333_LSM2.pdf", "Melting_Curves/meltCurve_Q9Y333_LSM2.pdf")</f>
        <v>Melting_Curves/meltCurve_Q9Y333_LSM2.pdf</v>
      </c>
    </row>
    <row r="6148" spans="1:28" x14ac:dyDescent="0.25">
      <c r="A6148" t="s">
        <v>6152</v>
      </c>
      <c r="B6148">
        <v>0.99987803227770999</v>
      </c>
      <c r="C6148">
        <v>0.91847703971149997</v>
      </c>
      <c r="D6148">
        <v>0.76330266304780803</v>
      </c>
      <c r="E6148">
        <v>0.55605312109707095</v>
      </c>
      <c r="F6148">
        <v>0.22555090066682101</v>
      </c>
      <c r="G6148">
        <v>0.14705260338354001</v>
      </c>
      <c r="H6148">
        <v>0.10389487208069501</v>
      </c>
      <c r="I6148">
        <v>9.8519912819560601E-2</v>
      </c>
      <c r="J6148">
        <v>7.2692175643102597E-2</v>
      </c>
      <c r="K6148">
        <v>5.55150843807376E-2</v>
      </c>
      <c r="L6148">
        <v>837.27990899126098</v>
      </c>
      <c r="M6148">
        <v>16.928440567867099</v>
      </c>
      <c r="N6148">
        <v>49.829861778539602</v>
      </c>
      <c r="O6148">
        <v>48.785230383068303</v>
      </c>
      <c r="P6148">
        <v>-8.1632764892310097E-2</v>
      </c>
      <c r="Q6148">
        <v>5.9045516064873099E-2</v>
      </c>
      <c r="R6148">
        <v>0.99153903048136804</v>
      </c>
      <c r="S6148" t="s">
        <v>12459</v>
      </c>
      <c r="T6148" t="s">
        <v>12620</v>
      </c>
      <c r="U6148" t="s">
        <v>12620</v>
      </c>
      <c r="V6148" t="s">
        <v>12620</v>
      </c>
      <c r="W6148" t="s">
        <v>18708</v>
      </c>
      <c r="X6148">
        <v>9</v>
      </c>
      <c r="Y6148" t="s">
        <v>24790</v>
      </c>
      <c r="Z6148" t="s">
        <v>31095</v>
      </c>
      <c r="AA6148">
        <v>0.37396625018692742</v>
      </c>
      <c r="AB6148" t="str">
        <f>HYPERLINK("Melting_Curves/meltCurve_Q9Y371_SH3GLB1.pdf", "Melting_Curves/meltCurve_Q9Y371_SH3GLB1.pdf")</f>
        <v>Melting_Curves/meltCurve_Q9Y371_SH3GLB1.pdf</v>
      </c>
    </row>
    <row r="6149" spans="1:28" x14ac:dyDescent="0.25">
      <c r="A6149" t="s">
        <v>6153</v>
      </c>
      <c r="B6149">
        <v>0.99987803227770999</v>
      </c>
      <c r="C6149">
        <v>0.84917586543525303</v>
      </c>
      <c r="D6149">
        <v>1.0225499547489501</v>
      </c>
      <c r="E6149">
        <v>0.90304638324417197</v>
      </c>
      <c r="F6149">
        <v>1.16227803090232</v>
      </c>
      <c r="G6149">
        <v>0.96864655403487698</v>
      </c>
      <c r="H6149">
        <v>0.659928945794788</v>
      </c>
      <c r="I6149">
        <v>0.14064409989317</v>
      </c>
      <c r="J6149">
        <v>6.8571072591461502E-2</v>
      </c>
      <c r="K6149">
        <v>4.9339136958026601E-2</v>
      </c>
      <c r="L6149">
        <v>3644.0459375064402</v>
      </c>
      <c r="M6149">
        <v>59.169002002696303</v>
      </c>
      <c r="N6149">
        <v>61.703895677187099</v>
      </c>
      <c r="O6149">
        <v>61.516846071953502</v>
      </c>
      <c r="P6149">
        <v>-0.227717757931203</v>
      </c>
      <c r="Q6149">
        <v>5.2985740896204697E-2</v>
      </c>
      <c r="R6149">
        <v>0.96442162092813799</v>
      </c>
      <c r="S6149" t="s">
        <v>12460</v>
      </c>
      <c r="T6149" t="s">
        <v>12620</v>
      </c>
      <c r="U6149" t="s">
        <v>12620</v>
      </c>
      <c r="V6149" t="s">
        <v>12620</v>
      </c>
      <c r="W6149" t="s">
        <v>18709</v>
      </c>
      <c r="X6149">
        <v>19</v>
      </c>
      <c r="Y6149" t="s">
        <v>24791</v>
      </c>
      <c r="Z6149" t="s">
        <v>31096</v>
      </c>
      <c r="AA6149">
        <v>0.73622623828375011</v>
      </c>
      <c r="AB6149" t="str">
        <f>HYPERLINK("Melting_Curves/meltCurve_Q9Y376_CAB39.pdf", "Melting_Curves/meltCurve_Q9Y376_CAB39.pdf")</f>
        <v>Melting_Curves/meltCurve_Q9Y376_CAB39.pdf</v>
      </c>
    </row>
    <row r="6150" spans="1:28" x14ac:dyDescent="0.25">
      <c r="A6150" t="s">
        <v>6154</v>
      </c>
      <c r="B6150">
        <v>0.99987803227770999</v>
      </c>
      <c r="C6150">
        <v>1.12412135775692</v>
      </c>
      <c r="D6150">
        <v>1.00263485683209</v>
      </c>
      <c r="E6150">
        <v>0.97116317087856996</v>
      </c>
      <c r="F6150">
        <v>0.60792260503694995</v>
      </c>
      <c r="G6150">
        <v>0.35488385897374503</v>
      </c>
      <c r="H6150">
        <v>0.30494226356523602</v>
      </c>
      <c r="I6150">
        <v>0.30098298955651298</v>
      </c>
      <c r="J6150">
        <v>0.25933698797138399</v>
      </c>
      <c r="K6150">
        <v>0.225261366804096</v>
      </c>
      <c r="L6150">
        <v>2198.05379346473</v>
      </c>
      <c r="M6150">
        <v>41.554804423384702</v>
      </c>
      <c r="N6150">
        <v>53.9602074864504</v>
      </c>
      <c r="O6150">
        <v>52.773245984155999</v>
      </c>
      <c r="P6150">
        <v>-0.14177481726594501</v>
      </c>
      <c r="Q6150">
        <v>0.27980376552929898</v>
      </c>
      <c r="R6150">
        <v>0.98151307174848201</v>
      </c>
      <c r="S6150" t="s">
        <v>12461</v>
      </c>
      <c r="T6150" t="s">
        <v>12620</v>
      </c>
      <c r="U6150" t="s">
        <v>12620</v>
      </c>
      <c r="V6150" t="s">
        <v>12620</v>
      </c>
      <c r="W6150" t="s">
        <v>18710</v>
      </c>
      <c r="X6150">
        <v>23</v>
      </c>
      <c r="Y6150" t="s">
        <v>24792</v>
      </c>
      <c r="Z6150" t="s">
        <v>31097</v>
      </c>
      <c r="AA6150">
        <v>0.59181206180719881</v>
      </c>
      <c r="AB6150" t="str">
        <f>HYPERLINK("Melting_Curves/meltCurve_Q9Y383_LUC7L2.pdf", "Melting_Curves/meltCurve_Q9Y383_LUC7L2.pdf")</f>
        <v>Melting_Curves/meltCurve_Q9Y383_LUC7L2.pdf</v>
      </c>
    </row>
    <row r="6151" spans="1:28" x14ac:dyDescent="0.25">
      <c r="A6151" t="s">
        <v>6155</v>
      </c>
      <c r="B6151">
        <v>0.99987803227770999</v>
      </c>
      <c r="C6151">
        <v>1.0485632606078199</v>
      </c>
      <c r="D6151">
        <v>0.67056556760576702</v>
      </c>
      <c r="E6151">
        <v>0.715942033326609</v>
      </c>
      <c r="F6151">
        <v>0.37938437389065999</v>
      </c>
      <c r="G6151">
        <v>0.21628604342357699</v>
      </c>
      <c r="H6151">
        <v>0.14589930126304099</v>
      </c>
      <c r="I6151">
        <v>0.11846846126272401</v>
      </c>
      <c r="J6151">
        <v>0.114433561247361</v>
      </c>
      <c r="K6151">
        <v>9.2480570079008895E-2</v>
      </c>
      <c r="L6151">
        <v>715.57460931342803</v>
      </c>
      <c r="M6151">
        <v>14.027365900501</v>
      </c>
      <c r="N6151">
        <v>51.544548555064999</v>
      </c>
      <c r="O6151">
        <v>50.009557259756598</v>
      </c>
      <c r="P6151">
        <v>-6.5407896295039E-2</v>
      </c>
      <c r="Q6151">
        <v>6.7368615040160507E-2</v>
      </c>
      <c r="R6151">
        <v>0.95728926044267904</v>
      </c>
      <c r="S6151" t="s">
        <v>12462</v>
      </c>
      <c r="T6151" t="s">
        <v>12620</v>
      </c>
      <c r="U6151" t="s">
        <v>12620</v>
      </c>
      <c r="V6151" t="s">
        <v>12620</v>
      </c>
      <c r="W6151" t="s">
        <v>18711</v>
      </c>
      <c r="X6151">
        <v>2</v>
      </c>
      <c r="Y6151" t="s">
        <v>24793</v>
      </c>
      <c r="Z6151" t="s">
        <v>31098</v>
      </c>
      <c r="AA6151">
        <v>0.43374170630234149</v>
      </c>
      <c r="AB6151" t="str">
        <f>HYPERLINK("Melting_Curves/meltCurve_Q9Y399_MRPS2.pdf", "Melting_Curves/meltCurve_Q9Y399_MRPS2.pdf")</f>
        <v>Melting_Curves/meltCurve_Q9Y399_MRPS2.pdf</v>
      </c>
    </row>
    <row r="6152" spans="1:28" x14ac:dyDescent="0.25">
      <c r="A6152" t="s">
        <v>6156</v>
      </c>
      <c r="B6152">
        <v>0.99987803227770999</v>
      </c>
      <c r="C6152">
        <v>0.98904680400677103</v>
      </c>
      <c r="D6152">
        <v>0.967560407949276</v>
      </c>
      <c r="E6152">
        <v>1.01436588617221</v>
      </c>
      <c r="F6152">
        <v>1.0374331442322799</v>
      </c>
      <c r="G6152">
        <v>0.98433177192396404</v>
      </c>
      <c r="H6152">
        <v>0.70326745103980703</v>
      </c>
      <c r="I6152">
        <v>0.41695145471769002</v>
      </c>
      <c r="J6152">
        <v>0.25916012770156299</v>
      </c>
      <c r="K6152">
        <v>0.18900367759482101</v>
      </c>
      <c r="L6152">
        <v>2047.3900596569399</v>
      </c>
      <c r="M6152">
        <v>32.924298370446998</v>
      </c>
      <c r="N6152">
        <v>63.033470511600697</v>
      </c>
      <c r="O6152">
        <v>61.956715005862101</v>
      </c>
      <c r="P6152">
        <v>-0.109066333235257</v>
      </c>
      <c r="Q6152">
        <v>0.179042655026001</v>
      </c>
      <c r="R6152">
        <v>0.99619945143613298</v>
      </c>
      <c r="S6152" t="s">
        <v>12463</v>
      </c>
      <c r="T6152" t="s">
        <v>12620</v>
      </c>
      <c r="U6152" t="s">
        <v>12620</v>
      </c>
      <c r="V6152" t="s">
        <v>12620</v>
      </c>
      <c r="W6152" t="s">
        <v>18712</v>
      </c>
      <c r="X6152">
        <v>10</v>
      </c>
      <c r="Y6152" t="s">
        <v>24794</v>
      </c>
      <c r="Z6152" t="s">
        <v>31099</v>
      </c>
      <c r="AA6152">
        <v>0.78960241702390321</v>
      </c>
      <c r="AB6152" t="str">
        <f>HYPERLINK("Melting_Curves/meltCurve_Q9Y3A3_3_MOB4.pdf", "Melting_Curves/meltCurve_Q9Y3A3_3_MOB4.pdf")</f>
        <v>Melting_Curves/meltCurve_Q9Y3A3_3_MOB4.pdf</v>
      </c>
    </row>
    <row r="6153" spans="1:28" x14ac:dyDescent="0.25">
      <c r="A6153" t="s">
        <v>6157</v>
      </c>
      <c r="B6153">
        <v>0.99987803227770999</v>
      </c>
      <c r="C6153">
        <v>0.83796899792308699</v>
      </c>
      <c r="D6153">
        <v>1.0506940829951501</v>
      </c>
      <c r="E6153">
        <v>0.83111366995513503</v>
      </c>
      <c r="F6153">
        <v>0.60453977668683501</v>
      </c>
      <c r="G6153">
        <v>0.18890973192127899</v>
      </c>
      <c r="H6153">
        <v>9.8999006574912798E-2</v>
      </c>
      <c r="I6153">
        <v>7.6809816740580794E-2</v>
      </c>
      <c r="J6153">
        <v>5.6303141990397598E-2</v>
      </c>
      <c r="K6153">
        <v>3.9425702844425099E-2</v>
      </c>
      <c r="L6153">
        <v>1365.53488923399</v>
      </c>
      <c r="M6153">
        <v>25.529836911955002</v>
      </c>
      <c r="N6153">
        <v>53.705924667723302</v>
      </c>
      <c r="O6153">
        <v>53.162844726354201</v>
      </c>
      <c r="P6153">
        <v>-0.114143998776133</v>
      </c>
      <c r="Q6153">
        <v>4.9246339526163398E-2</v>
      </c>
      <c r="R6153">
        <v>0.98000783741298902</v>
      </c>
      <c r="S6153" t="s">
        <v>12464</v>
      </c>
      <c r="T6153" t="s">
        <v>12620</v>
      </c>
      <c r="U6153" t="s">
        <v>12620</v>
      </c>
      <c r="V6153" t="s">
        <v>12620</v>
      </c>
      <c r="W6153" t="s">
        <v>18713</v>
      </c>
      <c r="X6153">
        <v>15</v>
      </c>
      <c r="Y6153" t="s">
        <v>24795</v>
      </c>
      <c r="Z6153" t="s">
        <v>31100</v>
      </c>
      <c r="AA6153">
        <v>0.4851433902968188</v>
      </c>
      <c r="AB6153" t="str">
        <f>HYPERLINK("Melting_Curves/meltCurve_Q9Y3A5_SBDS.pdf", "Melting_Curves/meltCurve_Q9Y3A5_SBDS.pdf")</f>
        <v>Melting_Curves/meltCurve_Q9Y3A5_SBDS.pdf</v>
      </c>
    </row>
    <row r="6154" spans="1:28" x14ac:dyDescent="0.25">
      <c r="A6154" t="s">
        <v>6158</v>
      </c>
      <c r="B6154">
        <v>0.99987803227770999</v>
      </c>
      <c r="C6154">
        <v>0.93647135094093603</v>
      </c>
      <c r="D6154">
        <v>0.85802095642437104</v>
      </c>
      <c r="E6154">
        <v>1.03709184848448</v>
      </c>
      <c r="F6154">
        <v>0.49402719218279501</v>
      </c>
      <c r="G6154">
        <v>0.33214396730978601</v>
      </c>
      <c r="H6154">
        <v>0.18985578341052201</v>
      </c>
      <c r="I6154">
        <v>0.15436638750255499</v>
      </c>
      <c r="J6154">
        <v>9.6362792335185701E-2</v>
      </c>
      <c r="K6154">
        <v>6.7506181620323694E-2</v>
      </c>
      <c r="L6154">
        <v>1497.22606999356</v>
      </c>
      <c r="M6154">
        <v>28.068677589413198</v>
      </c>
      <c r="N6154">
        <v>53.9055644453328</v>
      </c>
      <c r="O6154">
        <v>53.072974317046103</v>
      </c>
      <c r="P6154">
        <v>-0.115393942319029</v>
      </c>
      <c r="Q6154">
        <v>0.12724812785664699</v>
      </c>
      <c r="R6154">
        <v>0.95172461675617503</v>
      </c>
      <c r="S6154" t="s">
        <v>12465</v>
      </c>
      <c r="T6154" t="s">
        <v>12620</v>
      </c>
      <c r="U6154" t="s">
        <v>12620</v>
      </c>
      <c r="V6154" t="s">
        <v>12620</v>
      </c>
      <c r="W6154" t="s">
        <v>18714</v>
      </c>
      <c r="X6154">
        <v>3</v>
      </c>
      <c r="Y6154" t="s">
        <v>24796</v>
      </c>
      <c r="Z6154" t="s">
        <v>31101</v>
      </c>
      <c r="AA6154">
        <v>0.52184447967576253</v>
      </c>
      <c r="AB6154" t="str">
        <f>HYPERLINK("Melting_Curves/meltCurve_Q9Y3B4_SF3B14.pdf", "Melting_Curves/meltCurve_Q9Y3B4_SF3B14.pdf")</f>
        <v>Melting_Curves/meltCurve_Q9Y3B4_SF3B14.pdf</v>
      </c>
    </row>
    <row r="6155" spans="1:28" x14ac:dyDescent="0.25">
      <c r="A6155" t="s">
        <v>6159</v>
      </c>
      <c r="B6155">
        <v>0.99987803227770999</v>
      </c>
      <c r="C6155">
        <v>0.96324858832607496</v>
      </c>
      <c r="D6155">
        <v>1.0937516553595601</v>
      </c>
      <c r="E6155">
        <v>1.1255757008417799</v>
      </c>
      <c r="F6155">
        <v>1.33415529830446</v>
      </c>
      <c r="G6155">
        <v>1.0775244901311001</v>
      </c>
      <c r="H6155">
        <v>1.1839919642929999</v>
      </c>
      <c r="I6155">
        <v>1.2042049889887601</v>
      </c>
      <c r="J6155">
        <v>1.1259413151716</v>
      </c>
      <c r="K6155">
        <v>0.95932541943876204</v>
      </c>
      <c r="L6155">
        <v>11471.665351879399</v>
      </c>
      <c r="M6155">
        <v>250</v>
      </c>
      <c r="O6155">
        <v>45.883749551906298</v>
      </c>
      <c r="P6155">
        <v>0.19667710861997301</v>
      </c>
      <c r="Q6155">
        <v>1.14438845422115</v>
      </c>
      <c r="R6155">
        <v>0.332182053397582</v>
      </c>
      <c r="S6155" t="s">
        <v>12466</v>
      </c>
      <c r="T6155" t="s">
        <v>12620</v>
      </c>
      <c r="U6155" t="s">
        <v>12620</v>
      </c>
      <c r="V6155" t="s">
        <v>12620</v>
      </c>
      <c r="W6155" t="s">
        <v>18715</v>
      </c>
      <c r="X6155">
        <v>8</v>
      </c>
      <c r="Y6155" t="s">
        <v>24797</v>
      </c>
      <c r="Z6155" t="s">
        <v>31102</v>
      </c>
      <c r="AA6155">
        <v>1.116044628526065</v>
      </c>
      <c r="AB6155" t="str">
        <f>HYPERLINK("Melting_Curves/meltCurve_Q9Y3B9_RRP15.pdf", "Melting_Curves/meltCurve_Q9Y3B9_RRP15.pdf")</f>
        <v>Melting_Curves/meltCurve_Q9Y3B9_RRP15.pdf</v>
      </c>
    </row>
    <row r="6156" spans="1:28" x14ac:dyDescent="0.25">
      <c r="A6156" t="s">
        <v>6160</v>
      </c>
      <c r="B6156">
        <v>0.99987803227770999</v>
      </c>
      <c r="C6156">
        <v>0.82771301851189705</v>
      </c>
      <c r="D6156">
        <v>0.89493338216386298</v>
      </c>
      <c r="E6156">
        <v>0.80916153510080702</v>
      </c>
      <c r="F6156">
        <v>0.91819894126271295</v>
      </c>
      <c r="G6156">
        <v>0.76273525422251598</v>
      </c>
      <c r="H6156">
        <v>0.74677060264745199</v>
      </c>
      <c r="I6156">
        <v>0.66931092787623203</v>
      </c>
      <c r="J6156">
        <v>0.74598654219066596</v>
      </c>
      <c r="K6156">
        <v>0.59060217170109996</v>
      </c>
      <c r="L6156">
        <v>205.302788163651</v>
      </c>
      <c r="M6156">
        <v>2.3380815743762802</v>
      </c>
      <c r="O6156">
        <v>57.128928299472499</v>
      </c>
      <c r="P6156">
        <v>-1.08553104264058E-2</v>
      </c>
      <c r="Q6156">
        <v>0</v>
      </c>
      <c r="R6156">
        <v>0.75132678179101398</v>
      </c>
      <c r="S6156" t="s">
        <v>12467</v>
      </c>
      <c r="T6156" t="s">
        <v>12620</v>
      </c>
      <c r="U6156" t="s">
        <v>12620</v>
      </c>
      <c r="V6156" t="s">
        <v>12620</v>
      </c>
      <c r="W6156" t="s">
        <v>18716</v>
      </c>
      <c r="X6156">
        <v>2</v>
      </c>
      <c r="Y6156" t="s">
        <v>24798</v>
      </c>
      <c r="Z6156" t="s">
        <v>31103</v>
      </c>
      <c r="AA6156">
        <v>0.79899555613900264</v>
      </c>
      <c r="AB6156" t="str">
        <f>HYPERLINK("Melting_Curves/meltCurve_Q9Y3C1_NOP16.pdf", "Melting_Curves/meltCurve_Q9Y3C1_NOP16.pdf")</f>
        <v>Melting_Curves/meltCurve_Q9Y3C1_NOP16.pdf</v>
      </c>
    </row>
    <row r="6157" spans="1:28" x14ac:dyDescent="0.25">
      <c r="A6157" t="s">
        <v>6161</v>
      </c>
      <c r="B6157">
        <v>0.99987803227770999</v>
      </c>
      <c r="C6157">
        <v>0.99448855005414905</v>
      </c>
      <c r="D6157">
        <v>0.982944865945797</v>
      </c>
      <c r="E6157">
        <v>0.91116553930078703</v>
      </c>
      <c r="F6157">
        <v>0.67037296569639204</v>
      </c>
      <c r="G6157">
        <v>0.439965400136618</v>
      </c>
      <c r="H6157">
        <v>0.277369139169582</v>
      </c>
      <c r="I6157">
        <v>0.239285208423133</v>
      </c>
      <c r="J6157">
        <v>0.173891873891934</v>
      </c>
      <c r="K6157">
        <v>0.135350514795438</v>
      </c>
      <c r="L6157">
        <v>969.75201164327495</v>
      </c>
      <c r="M6157">
        <v>17.6531173628189</v>
      </c>
      <c r="N6157">
        <v>56.006313545706497</v>
      </c>
      <c r="O6157">
        <v>54.243382587047797</v>
      </c>
      <c r="P6157">
        <v>-6.9695103114483306E-2</v>
      </c>
      <c r="Q6157">
        <v>0.143427059223805</v>
      </c>
      <c r="R6157">
        <v>0.99625493734650805</v>
      </c>
      <c r="S6157" t="s">
        <v>12468</v>
      </c>
      <c r="T6157" t="s">
        <v>12620</v>
      </c>
      <c r="U6157" t="s">
        <v>12620</v>
      </c>
      <c r="V6157" t="s">
        <v>12620</v>
      </c>
      <c r="W6157" t="s">
        <v>18717</v>
      </c>
      <c r="X6157">
        <v>5</v>
      </c>
      <c r="Y6157" t="s">
        <v>24799</v>
      </c>
      <c r="Z6157" t="s">
        <v>31104</v>
      </c>
      <c r="AA6157">
        <v>0.58346047779007715</v>
      </c>
      <c r="AB6157" t="str">
        <f>HYPERLINK("Melting_Curves/meltCurve_Q9Y3C4_TPRKB.pdf", "Melting_Curves/meltCurve_Q9Y3C4_TPRKB.pdf")</f>
        <v>Melting_Curves/meltCurve_Q9Y3C4_TPRKB.pdf</v>
      </c>
    </row>
    <row r="6158" spans="1:28" x14ac:dyDescent="0.25">
      <c r="A6158" t="s">
        <v>6162</v>
      </c>
      <c r="B6158">
        <v>0.99987803227770999</v>
      </c>
      <c r="C6158">
        <v>0.55035721786818903</v>
      </c>
      <c r="D6158">
        <v>0.95878728874798302</v>
      </c>
      <c r="E6158">
        <v>0.57859210141233097</v>
      </c>
      <c r="F6158">
        <v>0.40333907912943301</v>
      </c>
      <c r="G6158">
        <v>0.20884477881400701</v>
      </c>
      <c r="H6158">
        <v>0.117321374747927</v>
      </c>
      <c r="I6158">
        <v>9.8777070161862907E-2</v>
      </c>
      <c r="J6158">
        <v>6.9055745909552504E-2</v>
      </c>
      <c r="K6158">
        <v>4.80822693119543E-2</v>
      </c>
      <c r="L6158">
        <v>536.11889228375298</v>
      </c>
      <c r="M6158">
        <v>10.5203523590313</v>
      </c>
      <c r="N6158">
        <v>50.960188393211403</v>
      </c>
      <c r="O6158">
        <v>49.222198163213797</v>
      </c>
      <c r="P6158">
        <v>-5.3454378315564398E-2</v>
      </c>
      <c r="Q6158">
        <v>0</v>
      </c>
      <c r="R6158">
        <v>0.86746408784532603</v>
      </c>
      <c r="S6158" t="s">
        <v>12469</v>
      </c>
      <c r="T6158" t="s">
        <v>12620</v>
      </c>
      <c r="U6158" t="s">
        <v>12620</v>
      </c>
      <c r="V6158" t="s">
        <v>12620</v>
      </c>
      <c r="W6158" t="s">
        <v>18718</v>
      </c>
      <c r="X6158">
        <v>5</v>
      </c>
      <c r="Y6158" t="s">
        <v>24800</v>
      </c>
      <c r="Z6158" t="s">
        <v>31105</v>
      </c>
      <c r="AA6158">
        <v>0.40447253735178451</v>
      </c>
      <c r="AB6158" t="str">
        <f>HYPERLINK("Melting_Curves/meltCurve_Q9Y3C6_PPIL1.pdf", "Melting_Curves/meltCurve_Q9Y3C6_PPIL1.pdf")</f>
        <v>Melting_Curves/meltCurve_Q9Y3C6_PPIL1.pdf</v>
      </c>
    </row>
    <row r="6159" spans="1:28" x14ac:dyDescent="0.25">
      <c r="A6159" t="s">
        <v>6163</v>
      </c>
      <c r="B6159">
        <v>0.99987803227770999</v>
      </c>
      <c r="C6159">
        <v>0.77156847789930505</v>
      </c>
      <c r="D6159">
        <v>0.93148340632149895</v>
      </c>
      <c r="E6159">
        <v>0.78101318930719599</v>
      </c>
      <c r="F6159">
        <v>1.0169946865106401</v>
      </c>
      <c r="G6159">
        <v>0.821372710787168</v>
      </c>
      <c r="H6159">
        <v>0.46359900805092802</v>
      </c>
      <c r="I6159">
        <v>0.13603892481230201</v>
      </c>
      <c r="J6159">
        <v>7.2173629388885704E-2</v>
      </c>
      <c r="K6159">
        <v>4.9762017779681998E-2</v>
      </c>
      <c r="L6159">
        <v>1692.6527767335299</v>
      </c>
      <c r="M6159">
        <v>28.052256694634899</v>
      </c>
      <c r="N6159">
        <v>60.393324843603601</v>
      </c>
      <c r="O6159">
        <v>60.035139062119903</v>
      </c>
      <c r="P6159">
        <v>-0.115368797358015</v>
      </c>
      <c r="Q6159">
        <v>1.2397055491519499E-2</v>
      </c>
      <c r="R6159">
        <v>0.92096808489137805</v>
      </c>
      <c r="S6159" t="s">
        <v>12470</v>
      </c>
      <c r="T6159" t="s">
        <v>12620</v>
      </c>
      <c r="U6159" t="s">
        <v>12620</v>
      </c>
      <c r="V6159" t="s">
        <v>12620</v>
      </c>
      <c r="W6159" t="s">
        <v>18719</v>
      </c>
      <c r="X6159">
        <v>7</v>
      </c>
      <c r="Y6159" t="s">
        <v>24801</v>
      </c>
      <c r="Z6159" t="s">
        <v>31106</v>
      </c>
      <c r="AA6159">
        <v>0.68827197472032053</v>
      </c>
      <c r="AB6159" t="str">
        <f>HYPERLINK("Melting_Curves/meltCurve_Q9Y3C8_UFC1.pdf", "Melting_Curves/meltCurve_Q9Y3C8_UFC1.pdf")</f>
        <v>Melting_Curves/meltCurve_Q9Y3C8_UFC1.pdf</v>
      </c>
    </row>
    <row r="6160" spans="1:28" x14ac:dyDescent="0.25">
      <c r="A6160" t="s">
        <v>6164</v>
      </c>
      <c r="B6160">
        <v>0.99987803227770999</v>
      </c>
      <c r="C6160">
        <v>1.05452909038248</v>
      </c>
      <c r="D6160">
        <v>1.0486094974968301</v>
      </c>
      <c r="E6160">
        <v>0.94543347752604601</v>
      </c>
      <c r="F6160">
        <v>0.72552810585419003</v>
      </c>
      <c r="G6160">
        <v>0.409032988954595</v>
      </c>
      <c r="H6160">
        <v>0.26529006832678398</v>
      </c>
      <c r="I6160">
        <v>0.21157170518961901</v>
      </c>
      <c r="J6160">
        <v>0.16819274938915499</v>
      </c>
      <c r="K6160">
        <v>0.124161177675312</v>
      </c>
      <c r="L6160">
        <v>1237.94857212532</v>
      </c>
      <c r="M6160">
        <v>22.513748564083802</v>
      </c>
      <c r="N6160">
        <v>55.9058860142068</v>
      </c>
      <c r="O6160">
        <v>54.558030012880003</v>
      </c>
      <c r="P6160">
        <v>-8.7202398043166096E-2</v>
      </c>
      <c r="Q6160">
        <v>0.15473976024415401</v>
      </c>
      <c r="R6160">
        <v>0.99260483844034497</v>
      </c>
      <c r="S6160" t="s">
        <v>12471</v>
      </c>
      <c r="T6160" t="s">
        <v>12620</v>
      </c>
      <c r="U6160" t="s">
        <v>12620</v>
      </c>
      <c r="V6160" t="s">
        <v>12620</v>
      </c>
      <c r="W6160" t="s">
        <v>18720</v>
      </c>
      <c r="X6160">
        <v>5</v>
      </c>
      <c r="Y6160" t="s">
        <v>24802</v>
      </c>
      <c r="Z6160" t="s">
        <v>31107</v>
      </c>
      <c r="AA6160">
        <v>0.58632971069326356</v>
      </c>
      <c r="AB6160" t="str">
        <f>HYPERLINK("Melting_Curves/meltCurve_Q9Y3D0_FAM96B.pdf", "Melting_Curves/meltCurve_Q9Y3D0_FAM96B.pdf")</f>
        <v>Melting_Curves/meltCurve_Q9Y3D0_FAM96B.pdf</v>
      </c>
    </row>
    <row r="6161" spans="1:28" x14ac:dyDescent="0.25">
      <c r="A6161" t="s">
        <v>6165</v>
      </c>
      <c r="B6161">
        <v>0.99987803227770999</v>
      </c>
      <c r="C6161">
        <v>0.92740448373877205</v>
      </c>
      <c r="D6161">
        <v>1.06538923481036</v>
      </c>
      <c r="E6161">
        <v>0.85579742414055304</v>
      </c>
      <c r="F6161">
        <v>0.95505223639885894</v>
      </c>
      <c r="G6161">
        <v>0.498902980119595</v>
      </c>
      <c r="H6161">
        <v>0.55019878221152996</v>
      </c>
      <c r="I6161">
        <v>0.63195519087350405</v>
      </c>
      <c r="J6161">
        <v>0.61419414576492704</v>
      </c>
      <c r="K6161">
        <v>0.51034867786997495</v>
      </c>
      <c r="L6161">
        <v>13365.0457195977</v>
      </c>
      <c r="M6161">
        <v>250</v>
      </c>
      <c r="O6161">
        <v>53.456761846672002</v>
      </c>
      <c r="P6161">
        <v>-0.51312504895833</v>
      </c>
      <c r="Q6161">
        <v>0.56111994441565005</v>
      </c>
      <c r="R6161">
        <v>0.89789695275822601</v>
      </c>
      <c r="S6161" t="s">
        <v>12472</v>
      </c>
      <c r="T6161" t="s">
        <v>12620</v>
      </c>
      <c r="U6161" t="s">
        <v>12620</v>
      </c>
      <c r="V6161" t="s">
        <v>12620</v>
      </c>
      <c r="W6161" t="s">
        <v>18721</v>
      </c>
      <c r="X6161">
        <v>4</v>
      </c>
      <c r="Y6161" t="s">
        <v>24803</v>
      </c>
      <c r="Z6161" t="s">
        <v>31108</v>
      </c>
      <c r="AA6161">
        <v>0.75807464792237833</v>
      </c>
      <c r="AB6161" t="str">
        <f>HYPERLINK("Melting_Curves/meltCurve_Q9Y3D2_MSRB2.pdf", "Melting_Curves/meltCurve_Q9Y3D2_MSRB2.pdf")</f>
        <v>Melting_Curves/meltCurve_Q9Y3D2_MSRB2.pdf</v>
      </c>
    </row>
    <row r="6162" spans="1:28" x14ac:dyDescent="0.25">
      <c r="A6162" t="s">
        <v>6166</v>
      </c>
      <c r="B6162">
        <v>0.99987803227770999</v>
      </c>
      <c r="C6162">
        <v>0.77205793024282299</v>
      </c>
      <c r="D6162">
        <v>1.1400056808085599</v>
      </c>
      <c r="E6162">
        <v>1.04299081456745</v>
      </c>
      <c r="F6162">
        <v>1.24842459235493</v>
      </c>
      <c r="G6162">
        <v>1.0248188573361401</v>
      </c>
      <c r="H6162">
        <v>0.97821895904307299</v>
      </c>
      <c r="I6162">
        <v>0.76881350551905903</v>
      </c>
      <c r="J6162">
        <v>0.34188910870816702</v>
      </c>
      <c r="K6162">
        <v>0.15362155813978601</v>
      </c>
      <c r="L6162">
        <v>3047.41109925504</v>
      </c>
      <c r="M6162">
        <v>46.555171192019998</v>
      </c>
      <c r="N6162">
        <v>65.822163839102501</v>
      </c>
      <c r="O6162">
        <v>65.337624819487104</v>
      </c>
      <c r="P6162">
        <v>-0.15791167360942801</v>
      </c>
      <c r="Q6162">
        <v>0.113519600733577</v>
      </c>
      <c r="R6162">
        <v>0.87708461002446303</v>
      </c>
      <c r="S6162" t="s">
        <v>12473</v>
      </c>
      <c r="T6162" t="s">
        <v>12620</v>
      </c>
      <c r="U6162" t="s">
        <v>12620</v>
      </c>
      <c r="V6162" t="s">
        <v>12620</v>
      </c>
      <c r="W6162" t="s">
        <v>18722</v>
      </c>
      <c r="X6162">
        <v>1</v>
      </c>
      <c r="Y6162" t="s">
        <v>24804</v>
      </c>
      <c r="Z6162" t="s">
        <v>31109</v>
      </c>
      <c r="AA6162">
        <v>0.86636804720351601</v>
      </c>
      <c r="AB6162" t="str">
        <f>HYPERLINK("Melting_Curves/meltCurve_Q9Y3D6_FIS1.pdf", "Melting_Curves/meltCurve_Q9Y3D6_FIS1.pdf")</f>
        <v>Melting_Curves/meltCurve_Q9Y3D6_FIS1.pdf</v>
      </c>
    </row>
    <row r="6163" spans="1:28" x14ac:dyDescent="0.25">
      <c r="A6163" t="s">
        <v>6167</v>
      </c>
      <c r="B6163">
        <v>0.99987803227770999</v>
      </c>
      <c r="C6163">
        <v>0.84706827861114997</v>
      </c>
      <c r="D6163">
        <v>0.73559626505657405</v>
      </c>
      <c r="E6163">
        <v>0.36225249926608699</v>
      </c>
      <c r="F6163">
        <v>0.19343322868173601</v>
      </c>
      <c r="G6163">
        <v>0.12627493178596499</v>
      </c>
      <c r="H6163">
        <v>7.4835132178228403E-2</v>
      </c>
      <c r="I6163">
        <v>6.6552425100999499E-2</v>
      </c>
      <c r="J6163">
        <v>5.1098678292685398E-2</v>
      </c>
      <c r="K6163">
        <v>4.0446001723550097E-2</v>
      </c>
      <c r="L6163">
        <v>830.53562485451198</v>
      </c>
      <c r="M6163">
        <v>17.2659592189111</v>
      </c>
      <c r="N6163">
        <v>48.380299696024103</v>
      </c>
      <c r="O6163">
        <v>47.471127990529901</v>
      </c>
      <c r="P6163">
        <v>-8.6642147973062494E-2</v>
      </c>
      <c r="Q6163">
        <v>4.71975467285582E-2</v>
      </c>
      <c r="R6163">
        <v>0.99587969045801294</v>
      </c>
      <c r="S6163" t="s">
        <v>12474</v>
      </c>
      <c r="T6163" t="s">
        <v>12620</v>
      </c>
      <c r="U6163" t="s">
        <v>12620</v>
      </c>
      <c r="V6163" t="s">
        <v>12620</v>
      </c>
      <c r="W6163" t="s">
        <v>18723</v>
      </c>
      <c r="X6163">
        <v>4</v>
      </c>
      <c r="Y6163" t="s">
        <v>24805</v>
      </c>
      <c r="Z6163" t="s">
        <v>31110</v>
      </c>
      <c r="AA6163">
        <v>0.32290396815651029</v>
      </c>
      <c r="AB6163" t="str">
        <f>HYPERLINK("Melting_Curves/meltCurve_Q9Y3D8_TAF9.pdf", "Melting_Curves/meltCurve_Q9Y3D8_TAF9.pdf")</f>
        <v>Melting_Curves/meltCurve_Q9Y3D8_TAF9.pdf</v>
      </c>
    </row>
    <row r="6164" spans="1:28" x14ac:dyDescent="0.25">
      <c r="A6164" t="s">
        <v>6168</v>
      </c>
      <c r="B6164">
        <v>0.99987803227770999</v>
      </c>
      <c r="C6164">
        <v>1.09742552935349</v>
      </c>
      <c r="D6164">
        <v>0.98336986812905802</v>
      </c>
      <c r="E6164">
        <v>0.87440848301492802</v>
      </c>
      <c r="F6164">
        <v>0.567244096185469</v>
      </c>
      <c r="G6164">
        <v>0.48380320370157198</v>
      </c>
      <c r="H6164">
        <v>0.35881807258641002</v>
      </c>
      <c r="I6164">
        <v>0.25025388428635398</v>
      </c>
      <c r="J6164">
        <v>0.21287985790053501</v>
      </c>
      <c r="K6164">
        <v>0.19425850560242999</v>
      </c>
      <c r="L6164">
        <v>868.19794339707596</v>
      </c>
      <c r="M6164">
        <v>16.0456513875193</v>
      </c>
      <c r="N6164">
        <v>55.830820777221099</v>
      </c>
      <c r="O6164">
        <v>53.288493264391903</v>
      </c>
      <c r="P6164">
        <v>-6.0583666432688102E-2</v>
      </c>
      <c r="Q6164">
        <v>0.195255609667807</v>
      </c>
      <c r="R6164">
        <v>0.97427481708850505</v>
      </c>
      <c r="S6164" t="s">
        <v>12475</v>
      </c>
      <c r="T6164" t="s">
        <v>12620</v>
      </c>
      <c r="U6164" t="s">
        <v>12620</v>
      </c>
      <c r="V6164" t="s">
        <v>12620</v>
      </c>
      <c r="W6164" t="s">
        <v>18724</v>
      </c>
      <c r="X6164">
        <v>3</v>
      </c>
      <c r="Y6164" t="s">
        <v>24806</v>
      </c>
      <c r="Z6164" t="s">
        <v>31111</v>
      </c>
      <c r="AA6164">
        <v>0.58876809709326949</v>
      </c>
      <c r="AB6164" t="str">
        <f>HYPERLINK("Melting_Curves/meltCurve_Q9Y3D9_MRPS23.pdf", "Melting_Curves/meltCurve_Q9Y3D9_MRPS23.pdf")</f>
        <v>Melting_Curves/meltCurve_Q9Y3D9_MRPS23.pdf</v>
      </c>
    </row>
    <row r="6165" spans="1:28" x14ac:dyDescent="0.25">
      <c r="A6165" t="s">
        <v>6169</v>
      </c>
      <c r="B6165">
        <v>0.99987803227770999</v>
      </c>
      <c r="C6165">
        <v>0.848769668774218</v>
      </c>
      <c r="D6165">
        <v>0.92941592106343696</v>
      </c>
      <c r="E6165">
        <v>0.82393867718310898</v>
      </c>
      <c r="F6165">
        <v>1.03869250735804</v>
      </c>
      <c r="G6165">
        <v>1.01830375867901</v>
      </c>
      <c r="H6165">
        <v>0.91183683120856696</v>
      </c>
      <c r="I6165">
        <v>0.84257580615677397</v>
      </c>
      <c r="J6165">
        <v>0.70576541419713101</v>
      </c>
      <c r="K6165">
        <v>0.548776214402521</v>
      </c>
      <c r="L6165">
        <v>1247.46808382677</v>
      </c>
      <c r="M6165">
        <v>18.132034343190501</v>
      </c>
      <c r="O6165">
        <v>67.978662558947704</v>
      </c>
      <c r="P6165">
        <v>-5.2018285397333303E-2</v>
      </c>
      <c r="Q6165">
        <v>0.219952058172037</v>
      </c>
      <c r="R6165">
        <v>0.69916710438489604</v>
      </c>
      <c r="S6165" t="s">
        <v>12476</v>
      </c>
      <c r="T6165" t="s">
        <v>12620</v>
      </c>
      <c r="U6165" t="s">
        <v>12620</v>
      </c>
      <c r="V6165" t="s">
        <v>12620</v>
      </c>
      <c r="W6165" t="s">
        <v>18725</v>
      </c>
      <c r="X6165">
        <v>6</v>
      </c>
      <c r="Y6165" t="s">
        <v>24807</v>
      </c>
      <c r="Z6165" t="s">
        <v>31112</v>
      </c>
      <c r="AA6165">
        <v>0.92240912664227925</v>
      </c>
      <c r="AB6165" t="str">
        <f>HYPERLINK("Melting_Curves/meltCurve_Q9Y3E1_HDGFRP3.pdf", "Melting_Curves/meltCurve_Q9Y3E1_HDGFRP3.pdf")</f>
        <v>Melting_Curves/meltCurve_Q9Y3E1_HDGFRP3.pdf</v>
      </c>
    </row>
    <row r="6166" spans="1:28" x14ac:dyDescent="0.25">
      <c r="A6166" t="s">
        <v>6170</v>
      </c>
      <c r="B6166">
        <v>0.99987803227770999</v>
      </c>
      <c r="C6166">
        <v>0.79398118091733005</v>
      </c>
      <c r="D6166">
        <v>0.94980035515306205</v>
      </c>
      <c r="E6166">
        <v>0.80142267956420199</v>
      </c>
      <c r="F6166">
        <v>1.03051828499009</v>
      </c>
      <c r="G6166">
        <v>0.85450102065973499</v>
      </c>
      <c r="H6166">
        <v>0.88334261842086903</v>
      </c>
      <c r="I6166">
        <v>0.86963882504238099</v>
      </c>
      <c r="J6166">
        <v>0.86788030673928096</v>
      </c>
      <c r="K6166">
        <v>0.71187100346362997</v>
      </c>
      <c r="L6166">
        <v>126.436688908668</v>
      </c>
      <c r="M6166">
        <v>0.33438485511995403</v>
      </c>
      <c r="O6166">
        <v>50.343658767806602</v>
      </c>
      <c r="P6166">
        <v>-4.5625391249220198E-3</v>
      </c>
      <c r="Q6166">
        <v>0</v>
      </c>
      <c r="R6166">
        <v>0.19524816348751101</v>
      </c>
      <c r="S6166" t="s">
        <v>12477</v>
      </c>
      <c r="T6166" t="s">
        <v>12620</v>
      </c>
      <c r="U6166" t="s">
        <v>12620</v>
      </c>
      <c r="V6166" t="s">
        <v>12620</v>
      </c>
      <c r="W6166" t="s">
        <v>18726</v>
      </c>
      <c r="X6166">
        <v>8</v>
      </c>
      <c r="Y6166" t="s">
        <v>24808</v>
      </c>
      <c r="Z6166" t="s">
        <v>31113</v>
      </c>
      <c r="AA6166">
        <v>0.87768281759748445</v>
      </c>
      <c r="AB6166" t="str">
        <f>HYPERLINK("Melting_Curves/meltCurve_Q9Y3E2_BOLA1.pdf", "Melting_Curves/meltCurve_Q9Y3E2_BOLA1.pdf")</f>
        <v>Melting_Curves/meltCurve_Q9Y3E2_BOLA1.pdf</v>
      </c>
    </row>
    <row r="6167" spans="1:28" x14ac:dyDescent="0.25">
      <c r="A6167" t="s">
        <v>6171</v>
      </c>
      <c r="B6167">
        <v>0.99987803227770999</v>
      </c>
      <c r="C6167">
        <v>0.96669147315689297</v>
      </c>
      <c r="D6167">
        <v>1.0689760311385701</v>
      </c>
      <c r="E6167">
        <v>1.0011238758462799</v>
      </c>
      <c r="F6167">
        <v>1.0559749473357001</v>
      </c>
      <c r="G6167">
        <v>0.45977321415549599</v>
      </c>
      <c r="H6167">
        <v>0.35491494610751201</v>
      </c>
      <c r="I6167">
        <v>0.13050304523464901</v>
      </c>
      <c r="J6167">
        <v>9.7503128632442093E-2</v>
      </c>
      <c r="K6167">
        <v>6.4242544324829301E-2</v>
      </c>
      <c r="L6167">
        <v>1776.86564975446</v>
      </c>
      <c r="M6167">
        <v>31.174221994523201</v>
      </c>
      <c r="N6167">
        <v>57.473000581474601</v>
      </c>
      <c r="O6167">
        <v>56.764912370514097</v>
      </c>
      <c r="P6167">
        <v>-0.121701411186574</v>
      </c>
      <c r="Q6167">
        <v>0.11358413612677</v>
      </c>
      <c r="R6167">
        <v>0.96734193181907702</v>
      </c>
      <c r="S6167" t="s">
        <v>12478</v>
      </c>
      <c r="T6167" t="s">
        <v>12620</v>
      </c>
      <c r="U6167" t="s">
        <v>12620</v>
      </c>
      <c r="V6167" t="s">
        <v>12620</v>
      </c>
      <c r="W6167" t="s">
        <v>18727</v>
      </c>
      <c r="X6167">
        <v>9</v>
      </c>
      <c r="Y6167" t="s">
        <v>24809</v>
      </c>
      <c r="Z6167" t="s">
        <v>31114</v>
      </c>
      <c r="AA6167">
        <v>0.62133880300671107</v>
      </c>
      <c r="AB6167" t="str">
        <f>HYPERLINK("Melting_Curves/meltCurve_Q9Y3E7_CHMP3.pdf", "Melting_Curves/meltCurve_Q9Y3E7_CHMP3.pdf")</f>
        <v>Melting_Curves/meltCurve_Q9Y3E7_CHMP3.pdf</v>
      </c>
    </row>
    <row r="6168" spans="1:28" x14ac:dyDescent="0.25">
      <c r="A6168" t="s">
        <v>6172</v>
      </c>
      <c r="B6168">
        <v>0.99987803227770999</v>
      </c>
      <c r="C6168">
        <v>0.87209445085494997</v>
      </c>
      <c r="D6168">
        <v>0.94241572098149995</v>
      </c>
      <c r="E6168">
        <v>0.833649114017468</v>
      </c>
      <c r="F6168">
        <v>0.89427161914905895</v>
      </c>
      <c r="G6168">
        <v>0.69028572261735499</v>
      </c>
      <c r="H6168">
        <v>0.27790020955356398</v>
      </c>
      <c r="I6168">
        <v>0.102029270196263</v>
      </c>
      <c r="J6168">
        <v>5.9093294838935002E-2</v>
      </c>
      <c r="K6168">
        <v>4.0127988673475598E-2</v>
      </c>
      <c r="L6168">
        <v>1266.4384861885601</v>
      </c>
      <c r="M6168">
        <v>21.6400907130847</v>
      </c>
      <c r="N6168">
        <v>58.522791969521101</v>
      </c>
      <c r="O6168">
        <v>58.029894066354302</v>
      </c>
      <c r="P6168">
        <v>-9.3230397212690899E-2</v>
      </c>
      <c r="Q6168">
        <v>0</v>
      </c>
      <c r="R6168">
        <v>0.96998298892441503</v>
      </c>
      <c r="S6168" t="s">
        <v>12479</v>
      </c>
      <c r="T6168" t="s">
        <v>12620</v>
      </c>
      <c r="U6168" t="s">
        <v>12620</v>
      </c>
      <c r="V6168" t="s">
        <v>12620</v>
      </c>
      <c r="W6168" t="s">
        <v>18728</v>
      </c>
      <c r="X6168">
        <v>22</v>
      </c>
      <c r="Y6168" t="s">
        <v>24810</v>
      </c>
      <c r="Z6168" t="s">
        <v>31115</v>
      </c>
      <c r="AA6168">
        <v>0.62741211780575956</v>
      </c>
      <c r="AB6168" t="str">
        <f>HYPERLINK("Melting_Curves/meltCurve_Q9Y3F4_STRAP.pdf", "Melting_Curves/meltCurve_Q9Y3F4_STRAP.pdf")</f>
        <v>Melting_Curves/meltCurve_Q9Y3F4_STRAP.pdf</v>
      </c>
    </row>
    <row r="6169" spans="1:28" x14ac:dyDescent="0.25">
      <c r="A6169" t="s">
        <v>6173</v>
      </c>
      <c r="B6169">
        <v>0.99987803227770999</v>
      </c>
      <c r="C6169">
        <v>1.0387053376850299</v>
      </c>
      <c r="D6169">
        <v>0.88500195970817697</v>
      </c>
      <c r="E6169">
        <v>0.81254858541931296</v>
      </c>
      <c r="F6169">
        <v>0.35314118745273398</v>
      </c>
      <c r="G6169">
        <v>0.232708308542248</v>
      </c>
      <c r="H6169">
        <v>0.16016112064819199</v>
      </c>
      <c r="I6169">
        <v>0.13880877747912199</v>
      </c>
      <c r="J6169">
        <v>0.105558491819513</v>
      </c>
      <c r="K6169">
        <v>8.21316274018217E-2</v>
      </c>
      <c r="L6169">
        <v>1590.8186052999199</v>
      </c>
      <c r="M6169">
        <v>30.805574856621899</v>
      </c>
      <c r="N6169">
        <v>52.138710745633702</v>
      </c>
      <c r="O6169">
        <v>51.424457649996697</v>
      </c>
      <c r="P6169">
        <v>-0.13067147295345699</v>
      </c>
      <c r="Q6169">
        <v>0.12747348635977901</v>
      </c>
      <c r="R6169">
        <v>0.98495833254119702</v>
      </c>
      <c r="S6169" t="s">
        <v>12480</v>
      </c>
      <c r="T6169" t="s">
        <v>12620</v>
      </c>
      <c r="U6169" t="s">
        <v>12620</v>
      </c>
      <c r="V6169" t="s">
        <v>12620</v>
      </c>
      <c r="W6169" t="s">
        <v>18729</v>
      </c>
      <c r="X6169">
        <v>23</v>
      </c>
      <c r="Y6169" t="s">
        <v>24811</v>
      </c>
      <c r="Z6169" t="s">
        <v>31116</v>
      </c>
      <c r="AA6169">
        <v>0.47128966721021709</v>
      </c>
      <c r="AB6169" t="str">
        <f>HYPERLINK("Melting_Curves/meltCurve_Q9Y3I0_C22orf28.pdf", "Melting_Curves/meltCurve_Q9Y3I0_C22orf28.pdf")</f>
        <v>Melting_Curves/meltCurve_Q9Y3I0_C22orf28.pdf</v>
      </c>
    </row>
    <row r="6170" spans="1:28" x14ac:dyDescent="0.25">
      <c r="A6170" t="s">
        <v>6174</v>
      </c>
      <c r="B6170">
        <v>0.99987803227770999</v>
      </c>
      <c r="C6170">
        <v>0.94351614238117798</v>
      </c>
      <c r="D6170">
        <v>0.82407096650527001</v>
      </c>
      <c r="E6170">
        <v>0.63242477492172899</v>
      </c>
      <c r="F6170">
        <v>0.490292417152903</v>
      </c>
      <c r="G6170">
        <v>0.30805212479910599</v>
      </c>
      <c r="H6170">
        <v>0.19162317543368201</v>
      </c>
      <c r="I6170">
        <v>0.19853064403178</v>
      </c>
      <c r="J6170">
        <v>0.10076087363535</v>
      </c>
      <c r="K6170">
        <v>7.1328979354142993E-2</v>
      </c>
      <c r="L6170">
        <v>593.97974197330996</v>
      </c>
      <c r="M6170">
        <v>11.353064009845101</v>
      </c>
      <c r="N6170">
        <v>52.718161789328903</v>
      </c>
      <c r="O6170">
        <v>50.774518144550001</v>
      </c>
      <c r="P6170">
        <v>-5.3612617273568697E-2</v>
      </c>
      <c r="Q6170">
        <v>4.1195584545387E-2</v>
      </c>
      <c r="R6170">
        <v>0.995957630091863</v>
      </c>
      <c r="S6170" t="s">
        <v>12481</v>
      </c>
      <c r="T6170" t="s">
        <v>12620</v>
      </c>
      <c r="U6170" t="s">
        <v>12620</v>
      </c>
      <c r="V6170" t="s">
        <v>12620</v>
      </c>
      <c r="W6170" t="s">
        <v>18730</v>
      </c>
      <c r="X6170">
        <v>7</v>
      </c>
      <c r="Y6170" t="s">
        <v>24812</v>
      </c>
      <c r="Z6170" t="s">
        <v>31117</v>
      </c>
      <c r="AA6170">
        <v>0.46559316557239949</v>
      </c>
      <c r="AB6170" t="str">
        <f>HYPERLINK("Melting_Curves/meltCurve_Q9Y3I1_FBXO7.pdf", "Melting_Curves/meltCurve_Q9Y3I1_FBXO7.pdf")</f>
        <v>Melting_Curves/meltCurve_Q9Y3I1_FBXO7.pdf</v>
      </c>
    </row>
    <row r="6171" spans="1:28" x14ac:dyDescent="0.25">
      <c r="A6171" t="s">
        <v>6175</v>
      </c>
      <c r="B6171">
        <v>0.99987803227770999</v>
      </c>
      <c r="C6171">
        <v>0.95849220502590704</v>
      </c>
      <c r="D6171">
        <v>0.81550143871592196</v>
      </c>
      <c r="E6171">
        <v>0.83550693872410198</v>
      </c>
      <c r="F6171">
        <v>0.723916597044166</v>
      </c>
      <c r="G6171">
        <v>0.57115808850156902</v>
      </c>
      <c r="H6171">
        <v>0.54905333382936905</v>
      </c>
      <c r="I6171">
        <v>0.60618560497044405</v>
      </c>
      <c r="J6171">
        <v>0.39063504336416</v>
      </c>
      <c r="K6171">
        <v>0.33902097652114199</v>
      </c>
      <c r="L6171">
        <v>333.99996229684501</v>
      </c>
      <c r="M6171">
        <v>5.2866572841349297</v>
      </c>
      <c r="N6171">
        <v>63.177910907072999</v>
      </c>
      <c r="O6171">
        <v>55.833649004675401</v>
      </c>
      <c r="P6171">
        <v>-2.3791158195311E-2</v>
      </c>
      <c r="Q6171">
        <v>0</v>
      </c>
      <c r="R6171">
        <v>0.93326706648993896</v>
      </c>
      <c r="S6171" t="s">
        <v>12482</v>
      </c>
      <c r="T6171" t="s">
        <v>12620</v>
      </c>
      <c r="U6171" t="s">
        <v>12620</v>
      </c>
      <c r="V6171" t="s">
        <v>12620</v>
      </c>
      <c r="W6171" t="s">
        <v>16333</v>
      </c>
      <c r="X6171">
        <v>6</v>
      </c>
      <c r="Y6171" t="s">
        <v>22460</v>
      </c>
      <c r="Z6171" t="s">
        <v>31118</v>
      </c>
      <c r="AA6171">
        <v>0.68043365859824645</v>
      </c>
      <c r="AB6171" t="str">
        <f>HYPERLINK("Melting_Curves/meltCurve_Q9Y3L3_SH3BP1.pdf", "Melting_Curves/meltCurve_Q9Y3L3_SH3BP1.pdf")</f>
        <v>Melting_Curves/meltCurve_Q9Y3L3_SH3BP1.pdf</v>
      </c>
    </row>
    <row r="6172" spans="1:28" x14ac:dyDescent="0.25">
      <c r="A6172" t="s">
        <v>6176</v>
      </c>
      <c r="B6172">
        <v>0.99987803227770999</v>
      </c>
      <c r="C6172">
        <v>1.0277198058098</v>
      </c>
      <c r="D6172">
        <v>1.0114749384778501</v>
      </c>
      <c r="E6172">
        <v>0.87578228875169395</v>
      </c>
      <c r="F6172">
        <v>0.94132114154339097</v>
      </c>
      <c r="G6172">
        <v>0.67288786960154201</v>
      </c>
      <c r="H6172">
        <v>0.549135730311197</v>
      </c>
      <c r="I6172">
        <v>0.53742249534833297</v>
      </c>
      <c r="J6172">
        <v>0.33277168679196001</v>
      </c>
      <c r="K6172">
        <v>0.17564974404091299</v>
      </c>
      <c r="L6172">
        <v>675.16065158403103</v>
      </c>
      <c r="M6172">
        <v>10.7933699286232</v>
      </c>
      <c r="N6172">
        <v>62.553276334514599</v>
      </c>
      <c r="O6172">
        <v>60.5208061188304</v>
      </c>
      <c r="P6172">
        <v>-4.46015504579493E-2</v>
      </c>
      <c r="Q6172">
        <v>0</v>
      </c>
      <c r="R6172">
        <v>0.96512638980253695</v>
      </c>
      <c r="S6172" t="s">
        <v>12483</v>
      </c>
      <c r="T6172" t="s">
        <v>12620</v>
      </c>
      <c r="U6172" t="s">
        <v>12620</v>
      </c>
      <c r="V6172" t="s">
        <v>12620</v>
      </c>
      <c r="W6172" t="s">
        <v>18731</v>
      </c>
      <c r="X6172">
        <v>2</v>
      </c>
      <c r="Y6172" t="s">
        <v>24813</v>
      </c>
      <c r="Z6172" t="s">
        <v>31119</v>
      </c>
      <c r="AA6172">
        <v>0.72998535342701643</v>
      </c>
      <c r="AB6172" t="str">
        <f>HYPERLINK("Melting_Curves/meltCurve_Q9Y3L5_RAP2C.pdf", "Melting_Curves/meltCurve_Q9Y3L5_RAP2C.pdf")</f>
        <v>Melting_Curves/meltCurve_Q9Y3L5_RAP2C.pdf</v>
      </c>
    </row>
    <row r="6173" spans="1:28" x14ac:dyDescent="0.25">
      <c r="A6173" t="s">
        <v>6177</v>
      </c>
      <c r="B6173">
        <v>0.99987803227770999</v>
      </c>
      <c r="C6173">
        <v>1.16795575438118</v>
      </c>
      <c r="D6173">
        <v>0.85522052912865099</v>
      </c>
      <c r="E6173">
        <v>0.72787460007951099</v>
      </c>
      <c r="F6173">
        <v>0.37041863453526003</v>
      </c>
      <c r="G6173">
        <v>0.153579424205978</v>
      </c>
      <c r="H6173">
        <v>0.110339729109528</v>
      </c>
      <c r="I6173">
        <v>0.102572816150709</v>
      </c>
      <c r="J6173">
        <v>8.4609186890457502E-2</v>
      </c>
      <c r="K6173">
        <v>6.9026409470114194E-2</v>
      </c>
      <c r="L6173">
        <v>1247.53892175994</v>
      </c>
      <c r="M6173">
        <v>24.2434280682936</v>
      </c>
      <c r="N6173">
        <v>51.836612292137303</v>
      </c>
      <c r="O6173">
        <v>51.112563883999698</v>
      </c>
      <c r="P6173">
        <v>-0.108978307727507</v>
      </c>
      <c r="Q6173">
        <v>8.0975601310283293E-2</v>
      </c>
      <c r="R6173">
        <v>0.97505734909393704</v>
      </c>
      <c r="S6173" t="s">
        <v>12484</v>
      </c>
      <c r="T6173" t="s">
        <v>12620</v>
      </c>
      <c r="U6173" t="s">
        <v>12620</v>
      </c>
      <c r="V6173" t="s">
        <v>12620</v>
      </c>
      <c r="W6173" t="s">
        <v>18732</v>
      </c>
      <c r="X6173">
        <v>2</v>
      </c>
      <c r="Y6173" t="s">
        <v>24814</v>
      </c>
      <c r="Z6173" t="s">
        <v>31120</v>
      </c>
      <c r="AA6173">
        <v>0.44086448007758922</v>
      </c>
      <c r="AB6173" t="str">
        <f>HYPERLINK("Melting_Curves/meltCurve_Q9Y3M8_3_STARD13.pdf", "Melting_Curves/meltCurve_Q9Y3M8_3_STARD13.pdf")</f>
        <v>Melting_Curves/meltCurve_Q9Y3M8_3_STARD13.pdf</v>
      </c>
    </row>
    <row r="6174" spans="1:28" x14ac:dyDescent="0.25">
      <c r="A6174" t="s">
        <v>6178</v>
      </c>
      <c r="B6174">
        <v>0.99987803227770999</v>
      </c>
      <c r="C6174">
        <v>1.1516832334606</v>
      </c>
      <c r="D6174">
        <v>0.92819035764350799</v>
      </c>
      <c r="E6174">
        <v>1.0567891799057401</v>
      </c>
      <c r="F6174">
        <v>0.71683598069174603</v>
      </c>
      <c r="G6174">
        <v>0.47656572995441698</v>
      </c>
      <c r="H6174">
        <v>0.27670576126017199</v>
      </c>
      <c r="I6174">
        <v>0.19857954463300501</v>
      </c>
      <c r="J6174">
        <v>0.18258394258146299</v>
      </c>
      <c r="K6174">
        <v>0.122354659440653</v>
      </c>
      <c r="L6174">
        <v>1219.7174159917299</v>
      </c>
      <c r="M6174">
        <v>21.913338723184701</v>
      </c>
      <c r="N6174">
        <v>56.563019370408298</v>
      </c>
      <c r="O6174">
        <v>55.203642761735402</v>
      </c>
      <c r="P6174">
        <v>-8.4606149629271293E-2</v>
      </c>
      <c r="Q6174">
        <v>0.147466926184501</v>
      </c>
      <c r="R6174">
        <v>0.966596062040046</v>
      </c>
      <c r="S6174" t="s">
        <v>12485</v>
      </c>
      <c r="T6174" t="s">
        <v>12620</v>
      </c>
      <c r="U6174" t="s">
        <v>12620</v>
      </c>
      <c r="V6174" t="s">
        <v>12620</v>
      </c>
      <c r="W6174" t="s">
        <v>18733</v>
      </c>
      <c r="X6174">
        <v>27</v>
      </c>
      <c r="Y6174" t="s">
        <v>24815</v>
      </c>
      <c r="Z6174" t="s">
        <v>31121</v>
      </c>
      <c r="AA6174">
        <v>0.60223894799624089</v>
      </c>
      <c r="AB6174" t="str">
        <f>HYPERLINK("Melting_Curves/meltCurve_Q9Y3P9_RABGAP1.pdf", "Melting_Curves/meltCurve_Q9Y3P9_RABGAP1.pdf")</f>
        <v>Melting_Curves/meltCurve_Q9Y3P9_RABGAP1.pdf</v>
      </c>
    </row>
    <row r="6175" spans="1:28" x14ac:dyDescent="0.25">
      <c r="A6175" t="s">
        <v>6179</v>
      </c>
      <c r="B6175">
        <v>0.99987803227770999</v>
      </c>
      <c r="C6175">
        <v>1.03570928347577</v>
      </c>
      <c r="D6175">
        <v>1.00778730083559</v>
      </c>
      <c r="E6175">
        <v>0.94677111360087796</v>
      </c>
      <c r="F6175">
        <v>0.86514436397671901</v>
      </c>
      <c r="G6175">
        <v>0.72612452002361305</v>
      </c>
      <c r="H6175">
        <v>0.67182896693669503</v>
      </c>
      <c r="I6175">
        <v>0.65786303490803499</v>
      </c>
      <c r="J6175">
        <v>0.53819791014177698</v>
      </c>
      <c r="K6175">
        <v>0.47231442114363398</v>
      </c>
      <c r="L6175">
        <v>610.22282884996605</v>
      </c>
      <c r="M6175">
        <v>10.1233975120615</v>
      </c>
      <c r="N6175">
        <v>69.880485262242402</v>
      </c>
      <c r="O6175">
        <v>58.068172733701502</v>
      </c>
      <c r="P6175">
        <v>-2.7227016037452E-2</v>
      </c>
      <c r="Q6175">
        <v>0.37558921678555501</v>
      </c>
      <c r="R6175">
        <v>0.97288163438312703</v>
      </c>
      <c r="S6175" t="s">
        <v>12486</v>
      </c>
      <c r="T6175" t="s">
        <v>12620</v>
      </c>
      <c r="U6175" t="s">
        <v>12620</v>
      </c>
      <c r="V6175" t="s">
        <v>12620</v>
      </c>
      <c r="W6175" t="s">
        <v>18734</v>
      </c>
      <c r="X6175">
        <v>9</v>
      </c>
      <c r="Y6175" t="s">
        <v>24816</v>
      </c>
      <c r="Z6175" t="s">
        <v>31122</v>
      </c>
      <c r="AA6175">
        <v>0.79413941023990475</v>
      </c>
      <c r="AB6175" t="str">
        <f>HYPERLINK("Melting_Curves/meltCurve_Q9Y3Q8_TSC22D4.pdf", "Melting_Curves/meltCurve_Q9Y3Q8_TSC22D4.pdf")</f>
        <v>Melting_Curves/meltCurve_Q9Y3Q8_TSC22D4.pdf</v>
      </c>
    </row>
    <row r="6176" spans="1:28" x14ac:dyDescent="0.25">
      <c r="A6176" t="s">
        <v>6180</v>
      </c>
      <c r="B6176">
        <v>0.99987803227770999</v>
      </c>
      <c r="C6176">
        <v>1.0826259505131599</v>
      </c>
      <c r="D6176">
        <v>0.78659899732122396</v>
      </c>
      <c r="E6176">
        <v>0.97957540104081797</v>
      </c>
      <c r="F6176">
        <v>0.519146512552351</v>
      </c>
      <c r="G6176">
        <v>0.36154592404587998</v>
      </c>
      <c r="H6176">
        <v>0.149631531788154</v>
      </c>
      <c r="I6176">
        <v>0.119554996152176</v>
      </c>
      <c r="J6176">
        <v>7.1031774125597205E-2</v>
      </c>
      <c r="K6176">
        <v>5.1748962480622197E-2</v>
      </c>
      <c r="L6176">
        <v>985.72250760992597</v>
      </c>
      <c r="M6176">
        <v>18.1932470905343</v>
      </c>
      <c r="N6176">
        <v>54.482365625209901</v>
      </c>
      <c r="O6176">
        <v>53.538806689234903</v>
      </c>
      <c r="P6176">
        <v>-8.0886738890648804E-2</v>
      </c>
      <c r="Q6176">
        <v>4.79160502829949E-2</v>
      </c>
      <c r="R6176">
        <v>0.95278931815845103</v>
      </c>
      <c r="S6176" t="s">
        <v>12487</v>
      </c>
      <c r="T6176" t="s">
        <v>12620</v>
      </c>
      <c r="U6176" t="s">
        <v>12620</v>
      </c>
      <c r="V6176" t="s">
        <v>12620</v>
      </c>
      <c r="W6176" t="s">
        <v>18735</v>
      </c>
      <c r="X6176">
        <v>5</v>
      </c>
      <c r="Y6176" t="s">
        <v>24817</v>
      </c>
      <c r="Z6176" t="s">
        <v>31123</v>
      </c>
      <c r="AA6176">
        <v>0.51287471397757289</v>
      </c>
      <c r="AB6176" t="str">
        <f>HYPERLINK("Melting_Curves/meltCurve_Q9Y3R5_2_DOPEY2.pdf", "Melting_Curves/meltCurve_Q9Y3R5_2_DOPEY2.pdf")</f>
        <v>Melting_Curves/meltCurve_Q9Y3R5_2_DOPEY2.pdf</v>
      </c>
    </row>
    <row r="6177" spans="1:28" x14ac:dyDescent="0.25">
      <c r="A6177" t="s">
        <v>6181</v>
      </c>
      <c r="B6177">
        <v>0.99987803227770999</v>
      </c>
      <c r="C6177">
        <v>0.96822472609747501</v>
      </c>
      <c r="D6177">
        <v>1.0072826249301601</v>
      </c>
      <c r="E6177">
        <v>0.87550726943462798</v>
      </c>
      <c r="F6177">
        <v>0.79764200348771896</v>
      </c>
      <c r="G6177">
        <v>0.74029987160408595</v>
      </c>
      <c r="H6177">
        <v>0.76396075954077103</v>
      </c>
      <c r="I6177">
        <v>0.67185251873052598</v>
      </c>
      <c r="J6177">
        <v>0.66569668518726999</v>
      </c>
      <c r="K6177">
        <v>0.480788095504325</v>
      </c>
      <c r="L6177">
        <v>344.72983790887599</v>
      </c>
      <c r="M6177">
        <v>4.7361084086780503</v>
      </c>
      <c r="O6177">
        <v>62.695481453330501</v>
      </c>
      <c r="P6177">
        <v>-1.9024523620309999E-2</v>
      </c>
      <c r="Q6177">
        <v>0</v>
      </c>
      <c r="R6177">
        <v>0.91439887769208705</v>
      </c>
      <c r="S6177" t="s">
        <v>12488</v>
      </c>
      <c r="T6177" t="s">
        <v>12620</v>
      </c>
      <c r="U6177" t="s">
        <v>12620</v>
      </c>
      <c r="V6177" t="s">
        <v>12620</v>
      </c>
      <c r="W6177" t="s">
        <v>18736</v>
      </c>
      <c r="X6177">
        <v>9</v>
      </c>
      <c r="Y6177" t="s">
        <v>24818</v>
      </c>
      <c r="Z6177" t="s">
        <v>31124</v>
      </c>
      <c r="AA6177">
        <v>0.80129096889838358</v>
      </c>
      <c r="AB6177" t="str">
        <f>HYPERLINK("Melting_Curves/meltCurve_Q9Y3S2_ZNF330.pdf", "Melting_Curves/meltCurve_Q9Y3S2_ZNF330.pdf")</f>
        <v>Melting_Curves/meltCurve_Q9Y3S2_ZNF330.pdf</v>
      </c>
    </row>
    <row r="6178" spans="1:28" x14ac:dyDescent="0.25">
      <c r="A6178" t="s">
        <v>6182</v>
      </c>
      <c r="B6178">
        <v>0.99987803227770999</v>
      </c>
      <c r="C6178">
        <v>0.96018157237794199</v>
      </c>
      <c r="D6178">
        <v>0.94770314014342505</v>
      </c>
      <c r="E6178">
        <v>0.81571270526167905</v>
      </c>
      <c r="F6178">
        <v>0.52490248864106404</v>
      </c>
      <c r="G6178">
        <v>0.202393277157975</v>
      </c>
      <c r="H6178">
        <v>0.10799316024353001</v>
      </c>
      <c r="I6178">
        <v>7.10468723195707E-2</v>
      </c>
      <c r="J6178">
        <v>4.8205812746067098E-2</v>
      </c>
      <c r="K6178">
        <v>2.4191676637452E-2</v>
      </c>
      <c r="L6178">
        <v>1149.85027870555</v>
      </c>
      <c r="M6178">
        <v>21.6543246515857</v>
      </c>
      <c r="N6178">
        <v>53.287317658345899</v>
      </c>
      <c r="O6178">
        <v>52.653628585902602</v>
      </c>
      <c r="P6178">
        <v>-9.9054446354938902E-2</v>
      </c>
      <c r="Q6178">
        <v>3.6598520711604597E-2</v>
      </c>
      <c r="R6178">
        <v>0.99835517641973903</v>
      </c>
      <c r="S6178" t="s">
        <v>12489</v>
      </c>
      <c r="T6178" t="s">
        <v>12620</v>
      </c>
      <c r="U6178" t="s">
        <v>12620</v>
      </c>
      <c r="V6178" t="s">
        <v>12620</v>
      </c>
      <c r="W6178" t="s">
        <v>18737</v>
      </c>
      <c r="X6178">
        <v>4</v>
      </c>
      <c r="Y6178" t="s">
        <v>24819</v>
      </c>
      <c r="Z6178" t="s">
        <v>31125</v>
      </c>
      <c r="AA6178">
        <v>0.46882670558280848</v>
      </c>
      <c r="AB6178" t="str">
        <f>HYPERLINK("Melting_Curves/meltCurve_Q9Y3T6_R3HCC1.pdf", "Melting_Curves/meltCurve_Q9Y3T6_R3HCC1.pdf")</f>
        <v>Melting_Curves/meltCurve_Q9Y3T6_R3HCC1.pdf</v>
      </c>
    </row>
    <row r="6179" spans="1:28" x14ac:dyDescent="0.25">
      <c r="A6179" t="s">
        <v>6183</v>
      </c>
      <c r="B6179">
        <v>0.99987803227770999</v>
      </c>
      <c r="C6179">
        <v>0.93281895653811098</v>
      </c>
      <c r="D6179">
        <v>0.94414178123262205</v>
      </c>
      <c r="E6179">
        <v>0.83634701677507695</v>
      </c>
      <c r="F6179">
        <v>0.97805404953248798</v>
      </c>
      <c r="G6179">
        <v>0.50583193827360295</v>
      </c>
      <c r="H6179">
        <v>0.746870551609363</v>
      </c>
      <c r="I6179">
        <v>0.83587302471906999</v>
      </c>
      <c r="J6179">
        <v>0.87840746095062805</v>
      </c>
      <c r="K6179">
        <v>0.79965615399566803</v>
      </c>
      <c r="L6179">
        <v>877.16220093748598</v>
      </c>
      <c r="M6179">
        <v>18.0861252643762</v>
      </c>
      <c r="O6179">
        <v>47.917921885867798</v>
      </c>
      <c r="P6179">
        <v>-2.11951849325877E-2</v>
      </c>
      <c r="Q6179">
        <v>0.77539024722683403</v>
      </c>
      <c r="R6179">
        <v>0.331436299387592</v>
      </c>
      <c r="S6179" t="s">
        <v>12490</v>
      </c>
      <c r="T6179" t="s">
        <v>12620</v>
      </c>
      <c r="U6179" t="s">
        <v>12620</v>
      </c>
      <c r="V6179" t="s">
        <v>12620</v>
      </c>
      <c r="W6179" t="s">
        <v>18738</v>
      </c>
      <c r="X6179">
        <v>2</v>
      </c>
      <c r="Y6179" t="s">
        <v>24820</v>
      </c>
      <c r="Z6179" t="s">
        <v>31126</v>
      </c>
      <c r="AA6179">
        <v>0.84291731485633337</v>
      </c>
      <c r="AB6179" t="str">
        <f>HYPERLINK("Melting_Curves/meltCurve_Q9Y3T9_NOC2L.pdf", "Melting_Curves/meltCurve_Q9Y3T9_NOC2L.pdf")</f>
        <v>Melting_Curves/meltCurve_Q9Y3T9_NOC2L.pdf</v>
      </c>
    </row>
    <row r="6180" spans="1:28" x14ac:dyDescent="0.25">
      <c r="A6180" t="s">
        <v>6184</v>
      </c>
      <c r="B6180">
        <v>0.99987803227770999</v>
      </c>
      <c r="C6180">
        <v>1.3611762267871701</v>
      </c>
      <c r="D6180">
        <v>1.2806680550259899</v>
      </c>
      <c r="E6180">
        <v>1.42964051790807</v>
      </c>
      <c r="F6180">
        <v>1.0760229173603599</v>
      </c>
      <c r="G6180">
        <v>0.64504305045557597</v>
      </c>
      <c r="H6180">
        <v>0.47775232411149798</v>
      </c>
      <c r="I6180">
        <v>0.49287176544978001</v>
      </c>
      <c r="J6180">
        <v>0.37492599417779798</v>
      </c>
      <c r="K6180">
        <v>0.26220052094878699</v>
      </c>
      <c r="L6180">
        <v>5157.3061314906399</v>
      </c>
      <c r="M6180">
        <v>90.848218319228295</v>
      </c>
      <c r="N6180">
        <v>57.801955249204298</v>
      </c>
      <c r="O6180">
        <v>56.740887944710799</v>
      </c>
      <c r="P6180">
        <v>-0.239568160251559</v>
      </c>
      <c r="Q6180">
        <v>0.401493631320749</v>
      </c>
      <c r="R6180">
        <v>0.74989271966748705</v>
      </c>
      <c r="S6180" t="s">
        <v>12491</v>
      </c>
      <c r="T6180" t="s">
        <v>12620</v>
      </c>
      <c r="U6180" t="s">
        <v>12620</v>
      </c>
      <c r="V6180" t="s">
        <v>12620</v>
      </c>
      <c r="W6180" t="s">
        <v>18739</v>
      </c>
      <c r="X6180">
        <v>4</v>
      </c>
      <c r="Y6180" t="s">
        <v>24821</v>
      </c>
      <c r="Z6180" t="s">
        <v>31127</v>
      </c>
      <c r="AA6180">
        <v>0.736478559051441</v>
      </c>
      <c r="AB6180" t="str">
        <f>HYPERLINK("Melting_Curves/meltCurve_Q9Y3U8_RPL36.pdf", "Melting_Curves/meltCurve_Q9Y3U8_RPL36.pdf")</f>
        <v>Melting_Curves/meltCurve_Q9Y3U8_RPL36.pdf</v>
      </c>
    </row>
    <row r="6181" spans="1:28" x14ac:dyDescent="0.25">
      <c r="A6181" t="s">
        <v>6185</v>
      </c>
      <c r="B6181">
        <v>0.99987803227770999</v>
      </c>
      <c r="C6181">
        <v>0.73792592788300204</v>
      </c>
      <c r="D6181">
        <v>0.851185805694197</v>
      </c>
      <c r="E6181">
        <v>0.64227981865317996</v>
      </c>
      <c r="F6181">
        <v>0.50524666954781405</v>
      </c>
      <c r="G6181">
        <v>0.17813652420093801</v>
      </c>
      <c r="H6181">
        <v>0.13759487167109399</v>
      </c>
      <c r="I6181">
        <v>8.6754360327850902E-2</v>
      </c>
      <c r="J6181">
        <v>8.33361103412565E-2</v>
      </c>
      <c r="K6181">
        <v>5.3919467562033099E-2</v>
      </c>
      <c r="L6181">
        <v>593.17832542660699</v>
      </c>
      <c r="M6181">
        <v>11.4377614831696</v>
      </c>
      <c r="N6181">
        <v>51.861387313547901</v>
      </c>
      <c r="O6181">
        <v>50.352049945986998</v>
      </c>
      <c r="P6181">
        <v>-5.6805451435796697E-2</v>
      </c>
      <c r="Q6181">
        <v>0</v>
      </c>
      <c r="R6181">
        <v>0.95916262604468105</v>
      </c>
      <c r="S6181" t="s">
        <v>12492</v>
      </c>
      <c r="T6181" t="s">
        <v>12620</v>
      </c>
      <c r="U6181" t="s">
        <v>12620</v>
      </c>
      <c r="V6181" t="s">
        <v>12620</v>
      </c>
      <c r="W6181" t="s">
        <v>18740</v>
      </c>
      <c r="X6181">
        <v>1</v>
      </c>
      <c r="Y6181" t="s">
        <v>24822</v>
      </c>
      <c r="Z6181" t="s">
        <v>31128</v>
      </c>
      <c r="AA6181">
        <v>0.42822139353130662</v>
      </c>
      <c r="AB6181" t="str">
        <f>HYPERLINK("Melting_Curves/meltCurve_Q9Y3V2_RWDD3.pdf", "Melting_Curves/meltCurve_Q9Y3V2_RWDD3.pdf")</f>
        <v>Melting_Curves/meltCurve_Q9Y3V2_RWDD3.pdf</v>
      </c>
    </row>
    <row r="6182" spans="1:28" x14ac:dyDescent="0.25">
      <c r="A6182" t="s">
        <v>6186</v>
      </c>
      <c r="B6182">
        <v>0.99987803227770999</v>
      </c>
      <c r="C6182">
        <v>0.88850432282166103</v>
      </c>
      <c r="D6182">
        <v>0.96777615573869502</v>
      </c>
      <c r="E6182">
        <v>0.94341276588149103</v>
      </c>
      <c r="F6182">
        <v>1.12649990033946</v>
      </c>
      <c r="G6182">
        <v>0.954354655679723</v>
      </c>
      <c r="H6182">
        <v>1.0237765353452899</v>
      </c>
      <c r="I6182">
        <v>0.97812016377619304</v>
      </c>
      <c r="J6182">
        <v>1.05186345731422</v>
      </c>
      <c r="K6182">
        <v>0.88697390738621196</v>
      </c>
      <c r="L6182">
        <v>15000</v>
      </c>
      <c r="M6182">
        <v>212.22547264842501</v>
      </c>
      <c r="Q6182">
        <v>0</v>
      </c>
      <c r="R6182">
        <v>0.199210261813207</v>
      </c>
      <c r="S6182" t="s">
        <v>12493</v>
      </c>
      <c r="T6182" t="s">
        <v>12620</v>
      </c>
      <c r="U6182" t="s">
        <v>12620</v>
      </c>
      <c r="V6182" t="s">
        <v>12620</v>
      </c>
      <c r="W6182" t="s">
        <v>18741</v>
      </c>
      <c r="X6182">
        <v>16</v>
      </c>
      <c r="Y6182" t="s">
        <v>24823</v>
      </c>
      <c r="Z6182" t="s">
        <v>31129</v>
      </c>
      <c r="AA6182">
        <v>0.99870642890273287</v>
      </c>
      <c r="AB6182" t="str">
        <f>HYPERLINK("Melting_Curves/meltCurve_Q9Y3X0_CCDC9.pdf", "Melting_Curves/meltCurve_Q9Y3X0_CCDC9.pdf")</f>
        <v>Melting_Curves/meltCurve_Q9Y3X0_CCDC9.pdf</v>
      </c>
    </row>
    <row r="6183" spans="1:28" x14ac:dyDescent="0.25">
      <c r="A6183" t="s">
        <v>6187</v>
      </c>
      <c r="B6183">
        <v>0.99987803227770999</v>
      </c>
      <c r="C6183">
        <v>1.0383327474728099</v>
      </c>
      <c r="D6183">
        <v>1.0302699705291201</v>
      </c>
      <c r="E6183">
        <v>1.0090193758369901</v>
      </c>
      <c r="F6183">
        <v>1.0422941038828799</v>
      </c>
      <c r="G6183">
        <v>0.69901165981581403</v>
      </c>
      <c r="H6183">
        <v>0.893638702740716</v>
      </c>
      <c r="I6183">
        <v>0.850697326373407</v>
      </c>
      <c r="J6183">
        <v>1.07682655759921</v>
      </c>
      <c r="K6183">
        <v>0.94066431241669601</v>
      </c>
      <c r="L6183">
        <v>4374.3926880693598</v>
      </c>
      <c r="M6183">
        <v>80.368013566214202</v>
      </c>
      <c r="O6183">
        <v>54.395858682062503</v>
      </c>
      <c r="P6183">
        <v>-3.9263896357769203E-2</v>
      </c>
      <c r="Q6183">
        <v>0.89369936238814895</v>
      </c>
      <c r="R6183">
        <v>0.31934084251981698</v>
      </c>
      <c r="S6183" t="s">
        <v>12494</v>
      </c>
      <c r="T6183" t="s">
        <v>12620</v>
      </c>
      <c r="U6183" t="s">
        <v>12620</v>
      </c>
      <c r="V6183" t="s">
        <v>12620</v>
      </c>
      <c r="W6183" t="s">
        <v>18742</v>
      </c>
      <c r="X6183">
        <v>1</v>
      </c>
      <c r="Y6183" t="s">
        <v>24824</v>
      </c>
      <c r="Z6183" t="s">
        <v>31130</v>
      </c>
      <c r="AA6183">
        <v>0.9449267258440891</v>
      </c>
      <c r="AB6183" t="str">
        <f>HYPERLINK("Melting_Curves/meltCurve_Q9Y3Y2_4_CHTOP.pdf", "Melting_Curves/meltCurve_Q9Y3Y2_4_CHTOP.pdf")</f>
        <v>Melting_Curves/meltCurve_Q9Y3Y2_4_CHTOP.pdf</v>
      </c>
    </row>
    <row r="6184" spans="1:28" x14ac:dyDescent="0.25">
      <c r="A6184" t="s">
        <v>6188</v>
      </c>
      <c r="B6184">
        <v>0.99987803227770999</v>
      </c>
      <c r="C6184">
        <v>1.0240818320926199</v>
      </c>
      <c r="D6184">
        <v>0.79487412617806497</v>
      </c>
      <c r="E6184">
        <v>0.95072491052331498</v>
      </c>
      <c r="F6184">
        <v>0.64876636978096403</v>
      </c>
      <c r="G6184">
        <v>0.63906183388943605</v>
      </c>
      <c r="H6184">
        <v>0.47818152065076103</v>
      </c>
      <c r="I6184">
        <v>0.24313646059070801</v>
      </c>
      <c r="J6184">
        <v>0.102013663507623</v>
      </c>
      <c r="K6184">
        <v>7.2082917201677907E-2</v>
      </c>
      <c r="L6184">
        <v>679.71260441528</v>
      </c>
      <c r="M6184">
        <v>11.6443730130948</v>
      </c>
      <c r="N6184">
        <v>58.372639735940503</v>
      </c>
      <c r="O6184">
        <v>56.730753039699799</v>
      </c>
      <c r="P6184">
        <v>-5.1328098648223401E-2</v>
      </c>
      <c r="Q6184">
        <v>0</v>
      </c>
      <c r="R6184">
        <v>0.93840132701942203</v>
      </c>
      <c r="S6184" t="s">
        <v>12495</v>
      </c>
      <c r="T6184" t="s">
        <v>12620</v>
      </c>
      <c r="U6184" t="s">
        <v>12620</v>
      </c>
      <c r="V6184" t="s">
        <v>12620</v>
      </c>
      <c r="W6184" t="s">
        <v>18743</v>
      </c>
      <c r="X6184">
        <v>17</v>
      </c>
      <c r="Y6184" t="s">
        <v>24825</v>
      </c>
      <c r="Z6184" t="s">
        <v>31131</v>
      </c>
      <c r="AA6184">
        <v>0.62300378849648153</v>
      </c>
      <c r="AB6184" t="str">
        <f>HYPERLINK("Melting_Curves/meltCurve_Q9Y3Z3_SAMHD1.pdf", "Melting_Curves/meltCurve_Q9Y3Z3_SAMHD1.pdf")</f>
        <v>Melting_Curves/meltCurve_Q9Y3Z3_SAMHD1.pdf</v>
      </c>
    </row>
    <row r="6185" spans="1:28" x14ac:dyDescent="0.25">
      <c r="A6185" t="s">
        <v>6189</v>
      </c>
      <c r="B6185">
        <v>0.99987803227770999</v>
      </c>
      <c r="C6185">
        <v>0.88461750506523695</v>
      </c>
      <c r="D6185">
        <v>0.97001422175539698</v>
      </c>
      <c r="E6185">
        <v>0.74576736243059905</v>
      </c>
      <c r="F6185">
        <v>0.80601104377157795</v>
      </c>
      <c r="G6185">
        <v>0.61539718389859899</v>
      </c>
      <c r="H6185">
        <v>0.64654933915547097</v>
      </c>
      <c r="I6185">
        <v>0.67857563321362602</v>
      </c>
      <c r="J6185">
        <v>0.614487227149071</v>
      </c>
      <c r="K6185">
        <v>0.53126335818083203</v>
      </c>
      <c r="L6185">
        <v>498.343650563474</v>
      </c>
      <c r="M6185">
        <v>9.6521025544502592</v>
      </c>
      <c r="O6185">
        <v>49.560407856353699</v>
      </c>
      <c r="P6185">
        <v>-2.1777237739307599E-2</v>
      </c>
      <c r="Q6185">
        <v>0.55297276360398995</v>
      </c>
      <c r="R6185">
        <v>0.87272242135262901</v>
      </c>
      <c r="S6185" t="s">
        <v>12496</v>
      </c>
      <c r="T6185" t="s">
        <v>12620</v>
      </c>
      <c r="U6185" t="s">
        <v>12620</v>
      </c>
      <c r="V6185" t="s">
        <v>12620</v>
      </c>
      <c r="W6185" t="s">
        <v>18744</v>
      </c>
      <c r="X6185">
        <v>11</v>
      </c>
      <c r="Y6185" t="s">
        <v>24826</v>
      </c>
      <c r="Z6185" t="s">
        <v>31132</v>
      </c>
      <c r="AA6185">
        <v>0.74456703254603029</v>
      </c>
      <c r="AB6185" t="str">
        <f>HYPERLINK("Melting_Curves/meltCurve_Q9Y446_PKP3.pdf", "Melting_Curves/meltCurve_Q9Y446_PKP3.pdf")</f>
        <v>Melting_Curves/meltCurve_Q9Y446_PKP3.pdf</v>
      </c>
    </row>
    <row r="6186" spans="1:28" x14ac:dyDescent="0.25">
      <c r="A6186" t="s">
        <v>6190</v>
      </c>
      <c r="B6186">
        <v>0.99987803227770999</v>
      </c>
      <c r="C6186">
        <v>1.1021785599831999</v>
      </c>
      <c r="D6186">
        <v>0.92728846285869304</v>
      </c>
      <c r="E6186">
        <v>1.0166976095081399</v>
      </c>
      <c r="F6186">
        <v>1.00298353445364</v>
      </c>
      <c r="G6186">
        <v>0.90816699554189595</v>
      </c>
      <c r="H6186">
        <v>0.65238504979846801</v>
      </c>
      <c r="I6186">
        <v>0.65115897992939897</v>
      </c>
      <c r="J6186">
        <v>0.56588957809237905</v>
      </c>
      <c r="K6186">
        <v>0.48454295588792401</v>
      </c>
      <c r="L6186">
        <v>1475.4445443811801</v>
      </c>
      <c r="M6186">
        <v>24.631539081302599</v>
      </c>
      <c r="O6186">
        <v>59.509989011089303</v>
      </c>
      <c r="P6186">
        <v>-5.0522493431988898E-2</v>
      </c>
      <c r="Q6186">
        <v>0.51175602051938496</v>
      </c>
      <c r="R6186">
        <v>0.94357419704975698</v>
      </c>
      <c r="S6186" t="s">
        <v>12497</v>
      </c>
      <c r="T6186" t="s">
        <v>12620</v>
      </c>
      <c r="U6186" t="s">
        <v>12620</v>
      </c>
      <c r="V6186" t="s">
        <v>12620</v>
      </c>
      <c r="W6186" t="s">
        <v>18745</v>
      </c>
      <c r="X6186">
        <v>10</v>
      </c>
      <c r="Y6186" t="s">
        <v>24827</v>
      </c>
      <c r="Z6186" t="s">
        <v>31133</v>
      </c>
      <c r="AA6186">
        <v>0.83935135706329567</v>
      </c>
      <c r="AB6186" t="str">
        <f>HYPERLINK("Melting_Curves/meltCurve_Q9Y448_KNSTRN.pdf", "Melting_Curves/meltCurve_Q9Y448_KNSTRN.pdf")</f>
        <v>Melting_Curves/meltCurve_Q9Y448_KNSTRN.pdf</v>
      </c>
    </row>
    <row r="6187" spans="1:28" x14ac:dyDescent="0.25">
      <c r="A6187" t="s">
        <v>6191</v>
      </c>
      <c r="B6187">
        <v>0.99987803227770999</v>
      </c>
      <c r="C6187">
        <v>0.92060583259942497</v>
      </c>
      <c r="D6187">
        <v>1.20890330295141</v>
      </c>
      <c r="E6187">
        <v>1.11159462724356</v>
      </c>
      <c r="F6187">
        <v>1.11893149185573</v>
      </c>
      <c r="G6187">
        <v>1.00819056261875</v>
      </c>
      <c r="H6187">
        <v>0.87630263688646304</v>
      </c>
      <c r="I6187">
        <v>0.805696306416116</v>
      </c>
      <c r="J6187">
        <v>0.59280520247102697</v>
      </c>
      <c r="K6187">
        <v>0.50435691302579899</v>
      </c>
      <c r="L6187">
        <v>1700.06448491367</v>
      </c>
      <c r="M6187">
        <v>26.088708469188301</v>
      </c>
      <c r="N6187">
        <v>69.979338226038806</v>
      </c>
      <c r="O6187">
        <v>64.785499018762707</v>
      </c>
      <c r="P6187">
        <v>-5.8700434529578502E-2</v>
      </c>
      <c r="Q6187">
        <v>0.41692877913711301</v>
      </c>
      <c r="R6187">
        <v>0.82896217865613797</v>
      </c>
      <c r="S6187" t="s">
        <v>12498</v>
      </c>
      <c r="T6187" t="s">
        <v>12620</v>
      </c>
      <c r="U6187" t="s">
        <v>12620</v>
      </c>
      <c r="V6187" t="s">
        <v>12620</v>
      </c>
      <c r="W6187" t="s">
        <v>18746</v>
      </c>
      <c r="X6187">
        <v>6</v>
      </c>
      <c r="Y6187" t="s">
        <v>24828</v>
      </c>
      <c r="Z6187" t="s">
        <v>31134</v>
      </c>
      <c r="AA6187">
        <v>0.90287959516882588</v>
      </c>
      <c r="AB6187" t="str">
        <f>HYPERLINK("Melting_Curves/meltCurve_Q9Y450_2_HBS1L.pdf", "Melting_Curves/meltCurve_Q9Y450_2_HBS1L.pdf")</f>
        <v>Melting_Curves/meltCurve_Q9Y450_2_HBS1L.pdf</v>
      </c>
    </row>
    <row r="6188" spans="1:28" x14ac:dyDescent="0.25">
      <c r="A6188" t="s">
        <v>6192</v>
      </c>
      <c r="B6188">
        <v>0.99987803227770999</v>
      </c>
      <c r="C6188">
        <v>0.97328816924433104</v>
      </c>
      <c r="D6188">
        <v>0.921523828089164</v>
      </c>
      <c r="E6188">
        <v>0.57095720277088302</v>
      </c>
      <c r="F6188">
        <v>0.31995849664109999</v>
      </c>
      <c r="G6188">
        <v>0.25679364855748499</v>
      </c>
      <c r="H6188">
        <v>0.229952811882494</v>
      </c>
      <c r="I6188">
        <v>0.23976112800471</v>
      </c>
      <c r="J6188">
        <v>0.18238753378947201</v>
      </c>
      <c r="K6188">
        <v>0.14504379235960699</v>
      </c>
      <c r="L6188">
        <v>1286.1107627336301</v>
      </c>
      <c r="M6188">
        <v>25.870859623730599</v>
      </c>
      <c r="N6188">
        <v>50.718031496411903</v>
      </c>
      <c r="O6188">
        <v>49.418521753897799</v>
      </c>
      <c r="P6188">
        <v>-0.10462473152160599</v>
      </c>
      <c r="Q6188">
        <v>0.20059231169290601</v>
      </c>
      <c r="R6188">
        <v>0.99403138093465304</v>
      </c>
      <c r="S6188" t="s">
        <v>12499</v>
      </c>
      <c r="T6188" t="s">
        <v>12620</v>
      </c>
      <c r="U6188" t="s">
        <v>12620</v>
      </c>
      <c r="V6188" t="s">
        <v>12620</v>
      </c>
      <c r="W6188" t="s">
        <v>18747</v>
      </c>
      <c r="X6188">
        <v>19</v>
      </c>
      <c r="Y6188" t="s">
        <v>24828</v>
      </c>
      <c r="Z6188" t="s">
        <v>31135</v>
      </c>
      <c r="AA6188">
        <v>0.46605374845025899</v>
      </c>
      <c r="AB6188" t="str">
        <f>HYPERLINK("Melting_Curves/meltCurve_Q9Y450_4_HBS1L.pdf", "Melting_Curves/meltCurve_Q9Y450_4_HBS1L.pdf")</f>
        <v>Melting_Curves/meltCurve_Q9Y450_4_HBS1L.pdf</v>
      </c>
    </row>
    <row r="6189" spans="1:28" x14ac:dyDescent="0.25">
      <c r="A6189" t="s">
        <v>6193</v>
      </c>
      <c r="B6189">
        <v>0.99987803227770999</v>
      </c>
      <c r="C6189">
        <v>1.2532492978738401</v>
      </c>
      <c r="D6189">
        <v>0.80669963061236905</v>
      </c>
      <c r="E6189">
        <v>1.1822891076337301</v>
      </c>
      <c r="F6189">
        <v>0.32097597339346401</v>
      </c>
      <c r="G6189">
        <v>0.26876223458818599</v>
      </c>
      <c r="H6189">
        <v>0.110151498725058</v>
      </c>
      <c r="I6189">
        <v>9.0297876231941895E-2</v>
      </c>
      <c r="J6189">
        <v>7.3178095169600804E-2</v>
      </c>
      <c r="K6189">
        <v>5.0493660314389899E-2</v>
      </c>
      <c r="L6189">
        <v>13185.848506664899</v>
      </c>
      <c r="M6189">
        <v>250</v>
      </c>
      <c r="N6189">
        <v>52.800579914520398</v>
      </c>
      <c r="O6189">
        <v>52.7400188197727</v>
      </c>
      <c r="P6189">
        <v>-1.0445382547472899</v>
      </c>
      <c r="Q6189">
        <v>0.118576525962104</v>
      </c>
      <c r="R6189">
        <v>0.92382054803338098</v>
      </c>
      <c r="S6189" t="s">
        <v>12500</v>
      </c>
      <c r="T6189" t="s">
        <v>12620</v>
      </c>
      <c r="U6189" t="s">
        <v>12620</v>
      </c>
      <c r="V6189" t="s">
        <v>12620</v>
      </c>
      <c r="W6189" t="s">
        <v>18748</v>
      </c>
      <c r="X6189">
        <v>153</v>
      </c>
      <c r="Y6189" t="s">
        <v>24829</v>
      </c>
      <c r="Z6189" t="s">
        <v>31136</v>
      </c>
      <c r="AA6189">
        <v>0.49306900170009382</v>
      </c>
      <c r="AB6189" t="str">
        <f>HYPERLINK("Melting_Curves/meltCurve_Q9Y490_TLN1.pdf", "Melting_Curves/meltCurve_Q9Y490_TLN1.pdf")</f>
        <v>Melting_Curves/meltCurve_Q9Y490_TLN1.pdf</v>
      </c>
    </row>
    <row r="6190" spans="1:28" x14ac:dyDescent="0.25">
      <c r="A6190" t="s">
        <v>6194</v>
      </c>
      <c r="B6190">
        <v>0.99987803227770999</v>
      </c>
      <c r="C6190">
        <v>1.0362242399822701</v>
      </c>
      <c r="D6190">
        <v>0.72898298105100501</v>
      </c>
      <c r="E6190">
        <v>0.50725686900443101</v>
      </c>
      <c r="F6190">
        <v>0.26189900730942201</v>
      </c>
      <c r="G6190">
        <v>0.175823471223365</v>
      </c>
      <c r="H6190">
        <v>0.116559211444869</v>
      </c>
      <c r="I6190">
        <v>9.7325975005914001E-2</v>
      </c>
      <c r="J6190">
        <v>8.9605521089007101E-2</v>
      </c>
      <c r="K6190">
        <v>7.0041863411145697E-2</v>
      </c>
      <c r="L6190">
        <v>888.06992472779802</v>
      </c>
      <c r="M6190">
        <v>18.044683880404801</v>
      </c>
      <c r="N6190">
        <v>49.716594817619203</v>
      </c>
      <c r="O6190">
        <v>48.622551095404397</v>
      </c>
      <c r="P6190">
        <v>-8.5062905677610795E-2</v>
      </c>
      <c r="Q6190">
        <v>8.3215111714769502E-2</v>
      </c>
      <c r="R6190">
        <v>0.98778191818727001</v>
      </c>
      <c r="S6190" t="s">
        <v>12501</v>
      </c>
      <c r="T6190" t="s">
        <v>12620</v>
      </c>
      <c r="U6190" t="s">
        <v>12620</v>
      </c>
      <c r="V6190" t="s">
        <v>12620</v>
      </c>
      <c r="W6190" t="s">
        <v>18749</v>
      </c>
      <c r="X6190">
        <v>12</v>
      </c>
      <c r="Y6190" t="s">
        <v>24830</v>
      </c>
      <c r="Z6190" t="s">
        <v>31137</v>
      </c>
      <c r="AA6190">
        <v>0.38056311859940722</v>
      </c>
      <c r="AB6190" t="str">
        <f>HYPERLINK("Melting_Curves/meltCurve_Q9Y496_KIF3A.pdf", "Melting_Curves/meltCurve_Q9Y496_KIF3A.pdf")</f>
        <v>Melting_Curves/meltCurve_Q9Y496_KIF3A.pdf</v>
      </c>
    </row>
    <row r="6191" spans="1:28" x14ac:dyDescent="0.25">
      <c r="A6191" t="s">
        <v>6195</v>
      </c>
      <c r="B6191">
        <v>0.99987803227770999</v>
      </c>
      <c r="C6191">
        <v>0.71819099773858897</v>
      </c>
      <c r="D6191">
        <v>0.86708755788847702</v>
      </c>
      <c r="E6191">
        <v>0.57641636527979201</v>
      </c>
      <c r="F6191">
        <v>0.59059142771433804</v>
      </c>
      <c r="G6191">
        <v>0.464711504135016</v>
      </c>
      <c r="H6191">
        <v>0.50678133358341904</v>
      </c>
      <c r="I6191">
        <v>0.43057081324885299</v>
      </c>
      <c r="J6191">
        <v>0.47328226800499201</v>
      </c>
      <c r="K6191">
        <v>0.38969265467686498</v>
      </c>
      <c r="L6191">
        <v>478.95535640713598</v>
      </c>
      <c r="M6191">
        <v>10.041159428285701</v>
      </c>
      <c r="N6191">
        <v>57.0563868007821</v>
      </c>
      <c r="O6191">
        <v>45.9231647536363</v>
      </c>
      <c r="P6191">
        <v>-3.2613163044247502E-2</v>
      </c>
      <c r="Q6191">
        <v>0.40366140266231698</v>
      </c>
      <c r="R6191">
        <v>0.87126366838001001</v>
      </c>
      <c r="S6191" t="s">
        <v>12502</v>
      </c>
      <c r="T6191" t="s">
        <v>12620</v>
      </c>
      <c r="U6191" t="s">
        <v>12620</v>
      </c>
      <c r="V6191" t="s">
        <v>12620</v>
      </c>
      <c r="W6191" t="s">
        <v>18750</v>
      </c>
      <c r="X6191">
        <v>1</v>
      </c>
      <c r="Y6191" t="s">
        <v>24831</v>
      </c>
      <c r="Z6191" t="s">
        <v>31138</v>
      </c>
      <c r="AA6191">
        <v>0.58885413827130262</v>
      </c>
      <c r="AB6191" t="str">
        <f>HYPERLINK("Melting_Curves/meltCurve_Q9Y4B4_RAD54L2.pdf", "Melting_Curves/meltCurve_Q9Y4B4_RAD54L2.pdf")</f>
        <v>Melting_Curves/meltCurve_Q9Y4B4_RAD54L2.pdf</v>
      </c>
    </row>
    <row r="6192" spans="1:28" x14ac:dyDescent="0.25">
      <c r="A6192" t="s">
        <v>6196</v>
      </c>
      <c r="B6192">
        <v>0.99987803227770999</v>
      </c>
      <c r="C6192">
        <v>0.94001048481088301</v>
      </c>
      <c r="D6192">
        <v>0.94347736559307405</v>
      </c>
      <c r="E6192">
        <v>0.88451649526491805</v>
      </c>
      <c r="F6192">
        <v>0.88039101041005197</v>
      </c>
      <c r="G6192">
        <v>0.70215896249236998</v>
      </c>
      <c r="H6192">
        <v>0.696825496352528</v>
      </c>
      <c r="I6192">
        <v>0.64237607769103799</v>
      </c>
      <c r="J6192">
        <v>0.641859271893921</v>
      </c>
      <c r="K6192">
        <v>0.53367051387570896</v>
      </c>
      <c r="L6192">
        <v>417.89460549983897</v>
      </c>
      <c r="M6192">
        <v>6.8891952486305801</v>
      </c>
      <c r="O6192">
        <v>56.166010248362099</v>
      </c>
      <c r="P6192">
        <v>-1.8747889883523699E-2</v>
      </c>
      <c r="Q6192">
        <v>0.38981039020681202</v>
      </c>
      <c r="R6192">
        <v>0.95980517827953404</v>
      </c>
      <c r="S6192" t="s">
        <v>12503</v>
      </c>
      <c r="T6192" t="s">
        <v>12620</v>
      </c>
      <c r="U6192" t="s">
        <v>12620</v>
      </c>
      <c r="V6192" t="s">
        <v>12620</v>
      </c>
      <c r="W6192" t="s">
        <v>18751</v>
      </c>
      <c r="X6192">
        <v>46</v>
      </c>
      <c r="Y6192" t="s">
        <v>24832</v>
      </c>
      <c r="Z6192" t="s">
        <v>31139</v>
      </c>
      <c r="AA6192">
        <v>0.79035608426096204</v>
      </c>
      <c r="AB6192" t="str">
        <f>HYPERLINK("Melting_Curves/meltCurve_Q9Y4B5_SOGA2.pdf", "Melting_Curves/meltCurve_Q9Y4B5_SOGA2.pdf")</f>
        <v>Melting_Curves/meltCurve_Q9Y4B5_SOGA2.pdf</v>
      </c>
    </row>
    <row r="6193" spans="1:28" x14ac:dyDescent="0.25">
      <c r="A6193" t="s">
        <v>6197</v>
      </c>
      <c r="B6193">
        <v>0.99987803227770999</v>
      </c>
      <c r="C6193">
        <v>1.00767308418492</v>
      </c>
      <c r="D6193">
        <v>0.88677292846340705</v>
      </c>
      <c r="E6193">
        <v>0.99660460592066802</v>
      </c>
      <c r="F6193">
        <v>0.63505859463144199</v>
      </c>
      <c r="G6193">
        <v>0.42719591580518101</v>
      </c>
      <c r="H6193">
        <v>0.30267978737534101</v>
      </c>
      <c r="I6193">
        <v>0.246557539234844</v>
      </c>
      <c r="J6193">
        <v>0.20250944317505801</v>
      </c>
      <c r="K6193">
        <v>0.136193438632361</v>
      </c>
      <c r="L6193">
        <v>1049.0604503034899</v>
      </c>
      <c r="M6193">
        <v>19.206112169885401</v>
      </c>
      <c r="N6193">
        <v>55.8557469416006</v>
      </c>
      <c r="O6193">
        <v>54.0393630397799</v>
      </c>
      <c r="P6193">
        <v>-7.3487785543024903E-2</v>
      </c>
      <c r="Q6193">
        <v>0.17295465404733501</v>
      </c>
      <c r="R6193">
        <v>0.97373016543424495</v>
      </c>
      <c r="S6193" t="s">
        <v>12504</v>
      </c>
      <c r="T6193" t="s">
        <v>12620</v>
      </c>
      <c r="U6193" t="s">
        <v>12620</v>
      </c>
      <c r="V6193" t="s">
        <v>12620</v>
      </c>
      <c r="W6193" t="s">
        <v>18752</v>
      </c>
      <c r="X6193">
        <v>13</v>
      </c>
      <c r="Y6193" t="s">
        <v>24833</v>
      </c>
      <c r="Z6193" t="s">
        <v>31140</v>
      </c>
      <c r="AA6193">
        <v>0.58784953369046866</v>
      </c>
      <c r="AB6193" t="str">
        <f>HYPERLINK("Melting_Curves/meltCurve_Q9Y4B6_2_VPRBP.pdf", "Melting_Curves/meltCurve_Q9Y4B6_2_VPRBP.pdf")</f>
        <v>Melting_Curves/meltCurve_Q9Y4B6_2_VPRBP.pdf</v>
      </c>
    </row>
    <row r="6194" spans="1:28" x14ac:dyDescent="0.25">
      <c r="A6194" t="s">
        <v>6198</v>
      </c>
      <c r="B6194">
        <v>0.99987803227770999</v>
      </c>
      <c r="C6194">
        <v>0.96304016795051794</v>
      </c>
      <c r="D6194">
        <v>0.923501057777255</v>
      </c>
      <c r="E6194">
        <v>0.67324226497696904</v>
      </c>
      <c r="F6194">
        <v>0.339993413380001</v>
      </c>
      <c r="G6194">
        <v>0.220290196990374</v>
      </c>
      <c r="H6194">
        <v>0.168920001495073</v>
      </c>
      <c r="I6194">
        <v>0.14143263130635</v>
      </c>
      <c r="J6194">
        <v>0.12892248427748901</v>
      </c>
      <c r="K6194">
        <v>9.6047108216708005E-2</v>
      </c>
      <c r="L6194">
        <v>1174.9367247652399</v>
      </c>
      <c r="M6194">
        <v>23.098621246703399</v>
      </c>
      <c r="N6194">
        <v>51.5244738747841</v>
      </c>
      <c r="O6194">
        <v>50.489451054309697</v>
      </c>
      <c r="P6194">
        <v>-9.9759705210676605E-2</v>
      </c>
      <c r="Q6194">
        <v>0.127788614236335</v>
      </c>
      <c r="R6194">
        <v>0.996371924958664</v>
      </c>
      <c r="S6194" t="s">
        <v>12505</v>
      </c>
      <c r="T6194" t="s">
        <v>12620</v>
      </c>
      <c r="U6194" t="s">
        <v>12620</v>
      </c>
      <c r="V6194" t="s">
        <v>12620</v>
      </c>
      <c r="W6194" t="s">
        <v>18753</v>
      </c>
      <c r="X6194">
        <v>16</v>
      </c>
      <c r="Y6194" t="s">
        <v>24834</v>
      </c>
      <c r="Z6194" t="s">
        <v>31141</v>
      </c>
      <c r="AA6194">
        <v>0.45289492234448492</v>
      </c>
      <c r="AB6194" t="str">
        <f>HYPERLINK("Melting_Curves/meltCurve_Q9Y4C1_KDM3A.pdf", "Melting_Curves/meltCurve_Q9Y4C1_KDM3A.pdf")</f>
        <v>Melting_Curves/meltCurve_Q9Y4C1_KDM3A.pdf</v>
      </c>
    </row>
    <row r="6195" spans="1:28" x14ac:dyDescent="0.25">
      <c r="A6195" t="s">
        <v>6199</v>
      </c>
      <c r="B6195">
        <v>0.99987803227770999</v>
      </c>
      <c r="C6195">
        <v>0.91932718673803804</v>
      </c>
      <c r="D6195">
        <v>0.53321460448110802</v>
      </c>
      <c r="E6195">
        <v>0.35459564078337102</v>
      </c>
      <c r="F6195">
        <v>0.25804703923869798</v>
      </c>
      <c r="G6195">
        <v>0.167552866686527</v>
      </c>
      <c r="H6195">
        <v>0.135480345247633</v>
      </c>
      <c r="I6195">
        <v>0.117547886160821</v>
      </c>
      <c r="J6195">
        <v>0.110772757642426</v>
      </c>
      <c r="K6195">
        <v>8.6329472857668205E-2</v>
      </c>
      <c r="L6195">
        <v>830.021639141165</v>
      </c>
      <c r="M6195">
        <v>17.766028922441201</v>
      </c>
      <c r="N6195">
        <v>47.440812188716201</v>
      </c>
      <c r="O6195">
        <v>46.139740295072301</v>
      </c>
      <c r="P6195">
        <v>-8.4874483192273906E-2</v>
      </c>
      <c r="Q6195">
        <v>0.118343918372146</v>
      </c>
      <c r="R6195">
        <v>0.98235167434867698</v>
      </c>
      <c r="S6195" t="s">
        <v>12506</v>
      </c>
      <c r="T6195" t="s">
        <v>12620</v>
      </c>
      <c r="U6195" t="s">
        <v>12620</v>
      </c>
      <c r="V6195" t="s">
        <v>12620</v>
      </c>
      <c r="W6195" t="s">
        <v>18754</v>
      </c>
      <c r="X6195">
        <v>10</v>
      </c>
      <c r="Y6195" t="s">
        <v>24835</v>
      </c>
      <c r="Z6195" t="s">
        <v>31142</v>
      </c>
      <c r="AA6195">
        <v>0.33281109687116622</v>
      </c>
      <c r="AB6195" t="str">
        <f>HYPERLINK("Melting_Curves/meltCurve_Q9Y4C2_2_FAM115A.pdf", "Melting_Curves/meltCurve_Q9Y4C2_2_FAM115A.pdf")</f>
        <v>Melting_Curves/meltCurve_Q9Y4C2_2_FAM115A.pdf</v>
      </c>
    </row>
    <row r="6196" spans="1:28" x14ac:dyDescent="0.25">
      <c r="A6196" t="s">
        <v>6200</v>
      </c>
      <c r="B6196">
        <v>0.99987803227770999</v>
      </c>
      <c r="C6196">
        <v>1.11748470082163</v>
      </c>
      <c r="D6196">
        <v>0.98381685214253001</v>
      </c>
      <c r="E6196">
        <v>0.97343704838140399</v>
      </c>
      <c r="F6196">
        <v>0.69153095059341996</v>
      </c>
      <c r="G6196">
        <v>0.47267143279226997</v>
      </c>
      <c r="H6196">
        <v>0.241601710326487</v>
      </c>
      <c r="I6196">
        <v>0.229583234546343</v>
      </c>
      <c r="J6196">
        <v>0.14263164874710699</v>
      </c>
      <c r="K6196">
        <v>0.118271592379249</v>
      </c>
      <c r="L6196">
        <v>1084.08676323443</v>
      </c>
      <c r="M6196">
        <v>19.5388123380101</v>
      </c>
      <c r="N6196">
        <v>56.318419574093497</v>
      </c>
      <c r="O6196">
        <v>54.912372307401</v>
      </c>
      <c r="P6196">
        <v>-7.7775028044028402E-2</v>
      </c>
      <c r="Q6196">
        <v>0.12570758752165201</v>
      </c>
      <c r="R6196">
        <v>0.98251796003769798</v>
      </c>
      <c r="S6196" t="s">
        <v>12507</v>
      </c>
      <c r="T6196" t="s">
        <v>12620</v>
      </c>
      <c r="U6196" t="s">
        <v>12620</v>
      </c>
      <c r="V6196" t="s">
        <v>12620</v>
      </c>
      <c r="W6196" t="s">
        <v>18755</v>
      </c>
      <c r="X6196">
        <v>5</v>
      </c>
      <c r="Y6196" t="s">
        <v>24836</v>
      </c>
      <c r="Z6196" t="s">
        <v>31143</v>
      </c>
      <c r="AA6196">
        <v>0.58881505710131121</v>
      </c>
      <c r="AB6196" t="str">
        <f>HYPERLINK("Melting_Curves/meltCurve_Q9Y4C4_MFHAS1.pdf", "Melting_Curves/meltCurve_Q9Y4C4_MFHAS1.pdf")</f>
        <v>Melting_Curves/meltCurve_Q9Y4C4_MFHAS1.pdf</v>
      </c>
    </row>
    <row r="6197" spans="1:28" x14ac:dyDescent="0.25">
      <c r="A6197" t="s">
        <v>6201</v>
      </c>
      <c r="B6197">
        <v>0.99987803227770999</v>
      </c>
      <c r="C6197">
        <v>0.99168145240370997</v>
      </c>
      <c r="D6197">
        <v>0.94823085014880804</v>
      </c>
      <c r="E6197">
        <v>0.81469785007663498</v>
      </c>
      <c r="F6197">
        <v>0.56740197049123897</v>
      </c>
      <c r="G6197">
        <v>0.49548949708135498</v>
      </c>
      <c r="H6197">
        <v>0.32854547959365099</v>
      </c>
      <c r="I6197">
        <v>0.204750797337482</v>
      </c>
      <c r="J6197">
        <v>0.12478429234185801</v>
      </c>
      <c r="K6197">
        <v>7.5169795618934401E-2</v>
      </c>
      <c r="L6197">
        <v>620.10306591745405</v>
      </c>
      <c r="M6197">
        <v>11.055265958381099</v>
      </c>
      <c r="N6197">
        <v>56.091202904886899</v>
      </c>
      <c r="O6197">
        <v>54.349670757743397</v>
      </c>
      <c r="P6197">
        <v>-5.08693265917892E-2</v>
      </c>
      <c r="Q6197">
        <v>0</v>
      </c>
      <c r="R6197">
        <v>0.98861223649184105</v>
      </c>
      <c r="S6197" t="s">
        <v>12508</v>
      </c>
      <c r="T6197" t="s">
        <v>12620</v>
      </c>
      <c r="U6197" t="s">
        <v>12620</v>
      </c>
      <c r="V6197" t="s">
        <v>12620</v>
      </c>
      <c r="W6197" t="s">
        <v>18756</v>
      </c>
      <c r="X6197">
        <v>1</v>
      </c>
      <c r="Y6197" t="s">
        <v>24837</v>
      </c>
      <c r="Z6197" t="s">
        <v>31144</v>
      </c>
      <c r="AA6197">
        <v>0.55689643903156738</v>
      </c>
      <c r="AB6197" t="str">
        <f>HYPERLINK("Melting_Curves/meltCurve_Q9Y4C8_RBM19.pdf", "Melting_Curves/meltCurve_Q9Y4C8_RBM19.pdf")</f>
        <v>Melting_Curves/meltCurve_Q9Y4C8_RBM19.pdf</v>
      </c>
    </row>
    <row r="6198" spans="1:28" x14ac:dyDescent="0.25">
      <c r="A6198" t="s">
        <v>6202</v>
      </c>
      <c r="B6198">
        <v>0.99987803227770999</v>
      </c>
      <c r="C6198">
        <v>0.91666888229057997</v>
      </c>
      <c r="D6198">
        <v>0.91767870123228101</v>
      </c>
      <c r="E6198">
        <v>1.10603632052599</v>
      </c>
      <c r="F6198">
        <v>1.02140103406577</v>
      </c>
      <c r="G6198">
        <v>1.05462860709628</v>
      </c>
      <c r="H6198">
        <v>1.06489458965023</v>
      </c>
      <c r="I6198">
        <v>1.0243504715423599</v>
      </c>
      <c r="J6198">
        <v>0.83092958864712796</v>
      </c>
      <c r="K6198">
        <v>0.65308373478634996</v>
      </c>
      <c r="L6198">
        <v>15000</v>
      </c>
      <c r="M6198">
        <v>223.82982235851</v>
      </c>
      <c r="O6198">
        <v>67.009843813658904</v>
      </c>
      <c r="P6198">
        <v>-0.28971824844711302</v>
      </c>
      <c r="Q6198">
        <v>0.653058278403996</v>
      </c>
      <c r="R6198">
        <v>0.79908291858543501</v>
      </c>
      <c r="S6198" t="s">
        <v>12509</v>
      </c>
      <c r="T6198" t="s">
        <v>12620</v>
      </c>
      <c r="U6198" t="s">
        <v>12620</v>
      </c>
      <c r="V6198" t="s">
        <v>12620</v>
      </c>
      <c r="W6198" t="s">
        <v>18757</v>
      </c>
      <c r="X6198">
        <v>32</v>
      </c>
      <c r="Y6198" t="s">
        <v>24838</v>
      </c>
      <c r="Z6198" t="s">
        <v>31145</v>
      </c>
      <c r="AA6198">
        <v>0.96553222867363497</v>
      </c>
      <c r="AB6198" t="str">
        <f>HYPERLINK("Melting_Curves/meltCurve_Q9Y4E1_2_FAM21C.pdf", "Melting_Curves/meltCurve_Q9Y4E1_2_FAM21C.pdf")</f>
        <v>Melting_Curves/meltCurve_Q9Y4E1_2_FAM21C.pdf</v>
      </c>
    </row>
    <row r="6199" spans="1:28" x14ac:dyDescent="0.25">
      <c r="A6199" t="s">
        <v>6203</v>
      </c>
      <c r="B6199">
        <v>0.99987803227770999</v>
      </c>
      <c r="C6199">
        <v>0.91750956778870996</v>
      </c>
      <c r="D6199">
        <v>0.44051533966525502</v>
      </c>
      <c r="E6199">
        <v>0.85216595074813495</v>
      </c>
      <c r="F6199">
        <v>0.47978439563153702</v>
      </c>
      <c r="G6199">
        <v>0.333176542058783</v>
      </c>
      <c r="H6199">
        <v>0.27103833946690697</v>
      </c>
      <c r="I6199">
        <v>0.24652091947007199</v>
      </c>
      <c r="J6199">
        <v>0.18543264799075099</v>
      </c>
      <c r="K6199">
        <v>0.15664801158116101</v>
      </c>
      <c r="L6199">
        <v>375.86339256421002</v>
      </c>
      <c r="M6199">
        <v>7.0780359493094398</v>
      </c>
      <c r="N6199">
        <v>53.1027806405937</v>
      </c>
      <c r="O6199">
        <v>49.352748299987702</v>
      </c>
      <c r="P6199">
        <v>-3.5918138166083101E-2</v>
      </c>
      <c r="Q6199">
        <v>0</v>
      </c>
      <c r="R6199">
        <v>0.81190659512540597</v>
      </c>
      <c r="S6199" t="s">
        <v>12510</v>
      </c>
      <c r="T6199" t="s">
        <v>12620</v>
      </c>
      <c r="U6199" t="s">
        <v>12620</v>
      </c>
      <c r="V6199" t="s">
        <v>12620</v>
      </c>
      <c r="W6199" t="s">
        <v>18758</v>
      </c>
      <c r="X6199">
        <v>4</v>
      </c>
      <c r="Y6199" t="s">
        <v>24839</v>
      </c>
      <c r="Z6199" t="s">
        <v>31146</v>
      </c>
      <c r="AA6199">
        <v>0.47982037053506832</v>
      </c>
      <c r="AB6199" t="str">
        <f>HYPERLINK("Melting_Curves/meltCurve_Q9Y4E6_2_WDR7.pdf", "Melting_Curves/meltCurve_Q9Y4E6_2_WDR7.pdf")</f>
        <v>Melting_Curves/meltCurve_Q9Y4E6_2_WDR7.pdf</v>
      </c>
    </row>
    <row r="6200" spans="1:28" x14ac:dyDescent="0.25">
      <c r="A6200" t="s">
        <v>6204</v>
      </c>
      <c r="B6200">
        <v>0.99987803227770999</v>
      </c>
      <c r="C6200">
        <v>1.0154015502437701</v>
      </c>
      <c r="D6200">
        <v>0.91383458761619696</v>
      </c>
      <c r="E6200">
        <v>0.98685449394980695</v>
      </c>
      <c r="F6200">
        <v>0.42946991386501998</v>
      </c>
      <c r="G6200">
        <v>0.26208594580592798</v>
      </c>
      <c r="H6200">
        <v>0.15937435555941701</v>
      </c>
      <c r="I6200">
        <v>0.10703612705940101</v>
      </c>
      <c r="J6200">
        <v>9.33581138017196E-2</v>
      </c>
      <c r="K6200">
        <v>6.6138326498344002E-2</v>
      </c>
      <c r="L6200">
        <v>3281.8026459283801</v>
      </c>
      <c r="M6200">
        <v>62.542226294863603</v>
      </c>
      <c r="N6200">
        <v>52.739620121352999</v>
      </c>
      <c r="O6200">
        <v>52.419821364927799</v>
      </c>
      <c r="P6200">
        <v>-0.25789942244719699</v>
      </c>
      <c r="Q6200">
        <v>0.135365801078041</v>
      </c>
      <c r="R6200">
        <v>0.98085825169913599</v>
      </c>
      <c r="S6200" t="s">
        <v>12511</v>
      </c>
      <c r="T6200" t="s">
        <v>12620</v>
      </c>
      <c r="U6200" t="s">
        <v>12620</v>
      </c>
      <c r="V6200" t="s">
        <v>12620</v>
      </c>
      <c r="W6200" t="s">
        <v>18759</v>
      </c>
      <c r="X6200">
        <v>26</v>
      </c>
      <c r="Y6200" t="s">
        <v>24840</v>
      </c>
      <c r="Z6200" t="s">
        <v>31147</v>
      </c>
      <c r="AA6200">
        <v>0.49613963449795218</v>
      </c>
      <c r="AB6200" t="str">
        <f>HYPERLINK("Melting_Curves/meltCurve_Q9Y4E8_USP15.pdf", "Melting_Curves/meltCurve_Q9Y4E8_USP15.pdf")</f>
        <v>Melting_Curves/meltCurve_Q9Y4E8_USP15.pdf</v>
      </c>
    </row>
    <row r="6201" spans="1:28" x14ac:dyDescent="0.25">
      <c r="A6201" t="s">
        <v>6205</v>
      </c>
      <c r="B6201">
        <v>0.99987803227770999</v>
      </c>
      <c r="C6201">
        <v>1.03034644018281</v>
      </c>
      <c r="D6201">
        <v>0.84513129447853996</v>
      </c>
      <c r="E6201">
        <v>0.68571413920377799</v>
      </c>
      <c r="F6201">
        <v>0.61405139613233595</v>
      </c>
      <c r="G6201">
        <v>0.25240122029705703</v>
      </c>
      <c r="H6201">
        <v>0.13651552394690999</v>
      </c>
      <c r="I6201">
        <v>0.110395874803539</v>
      </c>
      <c r="J6201">
        <v>8.1698728326001002E-2</v>
      </c>
      <c r="K6201">
        <v>4.21076544011392E-2</v>
      </c>
      <c r="L6201">
        <v>738.314607084969</v>
      </c>
      <c r="M6201">
        <v>13.826089347262601</v>
      </c>
      <c r="N6201">
        <v>53.459884659332303</v>
      </c>
      <c r="O6201">
        <v>52.320185900744598</v>
      </c>
      <c r="P6201">
        <v>-6.55671577329206E-2</v>
      </c>
      <c r="Q6201">
        <v>7.6704651757074603E-3</v>
      </c>
      <c r="R6201">
        <v>0.98668063065145095</v>
      </c>
      <c r="S6201" t="s">
        <v>12512</v>
      </c>
      <c r="T6201" t="s">
        <v>12620</v>
      </c>
      <c r="U6201" t="s">
        <v>12620</v>
      </c>
      <c r="V6201" t="s">
        <v>12620</v>
      </c>
      <c r="W6201" t="s">
        <v>18760</v>
      </c>
      <c r="X6201">
        <v>7</v>
      </c>
      <c r="Y6201" t="s">
        <v>24841</v>
      </c>
      <c r="Z6201" t="s">
        <v>31148</v>
      </c>
      <c r="AA6201">
        <v>0.4742016877952141</v>
      </c>
      <c r="AB6201" t="str">
        <f>HYPERLINK("Melting_Curves/meltCurve_Q9Y4F1_FARP1.pdf", "Melting_Curves/meltCurve_Q9Y4F1_FARP1.pdf")</f>
        <v>Melting_Curves/meltCurve_Q9Y4F1_FARP1.pdf</v>
      </c>
    </row>
    <row r="6202" spans="1:28" x14ac:dyDescent="0.25">
      <c r="A6202" t="s">
        <v>6206</v>
      </c>
      <c r="B6202">
        <v>0.99987803227770999</v>
      </c>
      <c r="C6202">
        <v>0.92773150239518998</v>
      </c>
      <c r="D6202">
        <v>1.0187477757785299</v>
      </c>
      <c r="E6202">
        <v>0.85448142627469503</v>
      </c>
      <c r="F6202">
        <v>0.86015684114395796</v>
      </c>
      <c r="G6202">
        <v>0.68751145305518402</v>
      </c>
      <c r="H6202">
        <v>0.664775052690598</v>
      </c>
      <c r="I6202">
        <v>0.65220089504976297</v>
      </c>
      <c r="J6202">
        <v>0.61273579298025005</v>
      </c>
      <c r="K6202">
        <v>0.51723131328298899</v>
      </c>
      <c r="L6202">
        <v>542.68109016392998</v>
      </c>
      <c r="M6202">
        <v>9.5605532306074696</v>
      </c>
      <c r="O6202">
        <v>54.445699701454998</v>
      </c>
      <c r="P6202">
        <v>-2.2560758992831002E-2</v>
      </c>
      <c r="Q6202">
        <v>0.48637803586191602</v>
      </c>
      <c r="R6202">
        <v>0.94169127615670301</v>
      </c>
      <c r="S6202" t="s">
        <v>12513</v>
      </c>
      <c r="T6202" t="s">
        <v>12620</v>
      </c>
      <c r="U6202" t="s">
        <v>12620</v>
      </c>
      <c r="V6202" t="s">
        <v>12620</v>
      </c>
      <c r="W6202" t="s">
        <v>18761</v>
      </c>
      <c r="X6202">
        <v>33</v>
      </c>
      <c r="Y6202" t="s">
        <v>24842</v>
      </c>
      <c r="Z6202" t="s">
        <v>31149</v>
      </c>
      <c r="AA6202">
        <v>0.78193486277698798</v>
      </c>
      <c r="AB6202" t="str">
        <f>HYPERLINK("Melting_Curves/meltCurve_Q9Y4F5_CEP170B.pdf", "Melting_Curves/meltCurve_Q9Y4F5_CEP170B.pdf")</f>
        <v>Melting_Curves/meltCurve_Q9Y4F5_CEP170B.pdf</v>
      </c>
    </row>
    <row r="6203" spans="1:28" x14ac:dyDescent="0.25">
      <c r="A6203" t="s">
        <v>6207</v>
      </c>
      <c r="B6203">
        <v>0.99987803227770999</v>
      </c>
      <c r="C6203">
        <v>1.0773665890627899</v>
      </c>
      <c r="D6203">
        <v>0.90570034708616598</v>
      </c>
      <c r="E6203">
        <v>0.91529270636987703</v>
      </c>
      <c r="F6203">
        <v>0.44240011574128502</v>
      </c>
      <c r="G6203">
        <v>0.29887547960627697</v>
      </c>
      <c r="H6203">
        <v>0.20692231022368399</v>
      </c>
      <c r="I6203">
        <v>0.16872208639988001</v>
      </c>
      <c r="J6203">
        <v>0.14093689437154</v>
      </c>
      <c r="K6203">
        <v>9.6807506174391197E-2</v>
      </c>
      <c r="L6203">
        <v>1858.2013338762799</v>
      </c>
      <c r="M6203">
        <v>35.528712411390003</v>
      </c>
      <c r="N6203">
        <v>52.9093734383884</v>
      </c>
      <c r="O6203">
        <v>52.136542173431998</v>
      </c>
      <c r="P6203">
        <v>-0.14181203391923899</v>
      </c>
      <c r="Q6203">
        <v>0.167595700163988</v>
      </c>
      <c r="R6203">
        <v>0.97694306814822196</v>
      </c>
      <c r="S6203" t="s">
        <v>12514</v>
      </c>
      <c r="T6203" t="s">
        <v>12620</v>
      </c>
      <c r="U6203" t="s">
        <v>12620</v>
      </c>
      <c r="V6203" t="s">
        <v>12620</v>
      </c>
      <c r="W6203" t="s">
        <v>18762</v>
      </c>
      <c r="X6203">
        <v>48</v>
      </c>
      <c r="Y6203" t="s">
        <v>24843</v>
      </c>
      <c r="Z6203" t="s">
        <v>31150</v>
      </c>
      <c r="AA6203">
        <v>0.51273538817862929</v>
      </c>
      <c r="AB6203" t="str">
        <f>HYPERLINK("Melting_Curves/meltCurve_Q9Y4G6_TLN2.pdf", "Melting_Curves/meltCurve_Q9Y4G6_TLN2.pdf")</f>
        <v>Melting_Curves/meltCurve_Q9Y4G6_TLN2.pdf</v>
      </c>
    </row>
    <row r="6204" spans="1:28" x14ac:dyDescent="0.25">
      <c r="A6204" t="s">
        <v>6208</v>
      </c>
      <c r="B6204">
        <v>0.99987803227770999</v>
      </c>
      <c r="C6204">
        <v>1.1777229830423199</v>
      </c>
      <c r="D6204">
        <v>1.05636378851545</v>
      </c>
      <c r="E6204">
        <v>1.03119785855021</v>
      </c>
      <c r="F6204">
        <v>0.53622535328279997</v>
      </c>
      <c r="G6204">
        <v>0.16340404918022</v>
      </c>
      <c r="H6204">
        <v>0.144777715863315</v>
      </c>
      <c r="I6204">
        <v>0.15237044590364801</v>
      </c>
      <c r="J6204">
        <v>0.12391709610021601</v>
      </c>
      <c r="K6204">
        <v>8.5837791687627604E-2</v>
      </c>
      <c r="L6204">
        <v>13242.4454482659</v>
      </c>
      <c r="M6204">
        <v>250</v>
      </c>
      <c r="N6204">
        <v>53.036000911263798</v>
      </c>
      <c r="O6204">
        <v>52.9664129663065</v>
      </c>
      <c r="P6204">
        <v>-1.0218019292513201</v>
      </c>
      <c r="Q6204">
        <v>0.13406141313398401</v>
      </c>
      <c r="R6204">
        <v>0.97979007539622798</v>
      </c>
      <c r="S6204" t="s">
        <v>12515</v>
      </c>
      <c r="T6204" t="s">
        <v>12620</v>
      </c>
      <c r="U6204" t="s">
        <v>12620</v>
      </c>
      <c r="V6204" t="s">
        <v>12620</v>
      </c>
      <c r="W6204" t="s">
        <v>18763</v>
      </c>
      <c r="X6204">
        <v>7</v>
      </c>
      <c r="Y6204" t="s">
        <v>24844</v>
      </c>
      <c r="Z6204" t="s">
        <v>31151</v>
      </c>
      <c r="AA6204">
        <v>0.50850972903602476</v>
      </c>
      <c r="AB6204" t="str">
        <f>HYPERLINK("Melting_Curves/meltCurve_Q9Y4G8_RAPGEF2.pdf", "Melting_Curves/meltCurve_Q9Y4G8_RAPGEF2.pdf")</f>
        <v>Melting_Curves/meltCurve_Q9Y4G8_RAPGEF2.pdf</v>
      </c>
    </row>
    <row r="6205" spans="1:28" x14ac:dyDescent="0.25">
      <c r="A6205" t="s">
        <v>6209</v>
      </c>
      <c r="B6205">
        <v>0.99987803227770999</v>
      </c>
      <c r="C6205">
        <v>0.92949601243517499</v>
      </c>
      <c r="D6205">
        <v>0.90849947199882297</v>
      </c>
      <c r="E6205">
        <v>0.81158032096191401</v>
      </c>
      <c r="F6205">
        <v>0.810066415586572</v>
      </c>
      <c r="G6205">
        <v>0.70399429711139505</v>
      </c>
      <c r="H6205">
        <v>0.70864706058157101</v>
      </c>
      <c r="I6205">
        <v>0.67269723053441399</v>
      </c>
      <c r="J6205">
        <v>0.684956173159882</v>
      </c>
      <c r="K6205">
        <v>0.53970076538446399</v>
      </c>
      <c r="L6205">
        <v>332.599529142704</v>
      </c>
      <c r="M6205">
        <v>5.7317159238109001</v>
      </c>
      <c r="O6205">
        <v>52.127795288744501</v>
      </c>
      <c r="P6205">
        <v>-1.5119557122646199E-2</v>
      </c>
      <c r="Q6205">
        <v>0.45206071831615902</v>
      </c>
      <c r="R6205">
        <v>0.931780984881865</v>
      </c>
      <c r="S6205" t="s">
        <v>12516</v>
      </c>
      <c r="T6205" t="s">
        <v>12620</v>
      </c>
      <c r="U6205" t="s">
        <v>12620</v>
      </c>
      <c r="V6205" t="s">
        <v>12620</v>
      </c>
      <c r="W6205" t="s">
        <v>18764</v>
      </c>
      <c r="X6205">
        <v>19</v>
      </c>
      <c r="Y6205" t="s">
        <v>24845</v>
      </c>
      <c r="Z6205" t="s">
        <v>31152</v>
      </c>
      <c r="AA6205">
        <v>0.77523173094291864</v>
      </c>
      <c r="AB6205" t="str">
        <f>HYPERLINK("Melting_Curves/meltCurve_Q9Y4H2_IRS2.pdf", "Melting_Curves/meltCurve_Q9Y4H2_IRS2.pdf")</f>
        <v>Melting_Curves/meltCurve_Q9Y4H2_IRS2.pdf</v>
      </c>
    </row>
    <row r="6206" spans="1:28" x14ac:dyDescent="0.25">
      <c r="A6206" t="s">
        <v>6210</v>
      </c>
      <c r="B6206">
        <v>0.99987803227770999</v>
      </c>
      <c r="C6206">
        <v>1.42559367658104</v>
      </c>
      <c r="D6206">
        <v>1.3300236570362101</v>
      </c>
      <c r="E6206">
        <v>1.49709430599606</v>
      </c>
      <c r="F6206">
        <v>1.4965629614362601</v>
      </c>
      <c r="G6206">
        <v>1.0445392286822399</v>
      </c>
      <c r="H6206">
        <v>0.24649915723861099</v>
      </c>
      <c r="I6206">
        <v>0.119451317380869</v>
      </c>
      <c r="J6206">
        <v>6.4083807204502893E-2</v>
      </c>
      <c r="K6206">
        <v>6.6282402896155307E-2</v>
      </c>
      <c r="L6206">
        <v>9629.1718135530391</v>
      </c>
      <c r="M6206">
        <v>159.38411312684499</v>
      </c>
      <c r="N6206">
        <v>60.4839388580709</v>
      </c>
      <c r="O6206">
        <v>60.405367993820597</v>
      </c>
      <c r="P6206">
        <v>-0.604750672353635</v>
      </c>
      <c r="Q6206">
        <v>8.3216366320391102E-2</v>
      </c>
      <c r="R6206">
        <v>0.78023816563765902</v>
      </c>
      <c r="S6206" t="s">
        <v>12517</v>
      </c>
      <c r="T6206" t="s">
        <v>12620</v>
      </c>
      <c r="U6206" t="s">
        <v>12620</v>
      </c>
      <c r="V6206" t="s">
        <v>12620</v>
      </c>
      <c r="W6206" t="s">
        <v>18765</v>
      </c>
      <c r="X6206">
        <v>3</v>
      </c>
      <c r="Y6206" t="s">
        <v>24846</v>
      </c>
      <c r="Z6206" t="s">
        <v>31153</v>
      </c>
      <c r="AA6206">
        <v>0.70732314233131754</v>
      </c>
      <c r="AB6206" t="str">
        <f>HYPERLINK("Melting_Curves/meltCurve_Q9Y4I1_2_MYO5A.pdf", "Melting_Curves/meltCurve_Q9Y4I1_2_MYO5A.pdf")</f>
        <v>Melting_Curves/meltCurve_Q9Y4I1_2_MYO5A.pdf</v>
      </c>
    </row>
    <row r="6207" spans="1:28" x14ac:dyDescent="0.25">
      <c r="A6207" t="s">
        <v>6211</v>
      </c>
      <c r="B6207">
        <v>0.99987803227770999</v>
      </c>
      <c r="C6207">
        <v>0.81566658293307803</v>
      </c>
      <c r="D6207">
        <v>1.06727138886761</v>
      </c>
      <c r="E6207">
        <v>0.95156962816184998</v>
      </c>
      <c r="F6207">
        <v>0.88140905521125901</v>
      </c>
      <c r="G6207">
        <v>0.67490242559910496</v>
      </c>
      <c r="H6207">
        <v>0.77856128266258295</v>
      </c>
      <c r="I6207">
        <v>0.71902878485266297</v>
      </c>
      <c r="J6207">
        <v>0.83320742294962802</v>
      </c>
      <c r="K6207">
        <v>0.74953955010437301</v>
      </c>
      <c r="L6207">
        <v>3985.3445618477099</v>
      </c>
      <c r="M6207">
        <v>75.1576938897405</v>
      </c>
      <c r="O6207">
        <v>52.988944581493001</v>
      </c>
      <c r="P6207">
        <v>-8.8253011944141493E-2</v>
      </c>
      <c r="Q6207">
        <v>0.75111360612105005</v>
      </c>
      <c r="R6207">
        <v>0.62058643066255104</v>
      </c>
      <c r="S6207" t="s">
        <v>12518</v>
      </c>
      <c r="T6207" t="s">
        <v>12620</v>
      </c>
      <c r="U6207" t="s">
        <v>12620</v>
      </c>
      <c r="V6207" t="s">
        <v>12620</v>
      </c>
      <c r="W6207" t="s">
        <v>18766</v>
      </c>
      <c r="X6207">
        <v>2</v>
      </c>
      <c r="Y6207" t="s">
        <v>24847</v>
      </c>
      <c r="Z6207" t="s">
        <v>31154</v>
      </c>
      <c r="AA6207">
        <v>0.85944053105810325</v>
      </c>
      <c r="AB6207" t="str">
        <f>HYPERLINK("Melting_Curves/meltCurve_Q9Y4K1_AIM1.pdf", "Melting_Curves/meltCurve_Q9Y4K1_AIM1.pdf")</f>
        <v>Melting_Curves/meltCurve_Q9Y4K1_AIM1.pdf</v>
      </c>
    </row>
    <row r="6208" spans="1:28" x14ac:dyDescent="0.25">
      <c r="A6208" t="s">
        <v>6212</v>
      </c>
      <c r="B6208">
        <v>0.99987803227770999</v>
      </c>
      <c r="C6208">
        <v>1.0699813472820201</v>
      </c>
      <c r="D6208">
        <v>0.80849023801950703</v>
      </c>
      <c r="E6208">
        <v>0.99335985954112305</v>
      </c>
      <c r="F6208">
        <v>0.44484970796974099</v>
      </c>
      <c r="G6208">
        <v>0.27923043170033501</v>
      </c>
      <c r="H6208">
        <v>0.17231321387586801</v>
      </c>
      <c r="I6208">
        <v>0.13555881698965799</v>
      </c>
      <c r="J6208">
        <v>0.101705161191132</v>
      </c>
      <c r="K6208">
        <v>6.5654737794961504E-2</v>
      </c>
      <c r="L6208">
        <v>3329.5937301638</v>
      </c>
      <c r="M6208">
        <v>63.409413431604598</v>
      </c>
      <c r="N6208">
        <v>52.803448435228198</v>
      </c>
      <c r="O6208">
        <v>52.457302864673998</v>
      </c>
      <c r="P6208">
        <v>-0.25725102249836701</v>
      </c>
      <c r="Q6208">
        <v>0.14872637195464899</v>
      </c>
      <c r="R6208">
        <v>0.95635103050582404</v>
      </c>
      <c r="S6208" t="s">
        <v>12519</v>
      </c>
      <c r="T6208" t="s">
        <v>12620</v>
      </c>
      <c r="U6208" t="s">
        <v>12620</v>
      </c>
      <c r="V6208" t="s">
        <v>12620</v>
      </c>
      <c r="W6208" t="s">
        <v>18767</v>
      </c>
      <c r="X6208">
        <v>5</v>
      </c>
      <c r="Y6208" t="s">
        <v>24848</v>
      </c>
      <c r="Z6208" t="s">
        <v>31155</v>
      </c>
      <c r="AA6208">
        <v>0.5049153701188217</v>
      </c>
      <c r="AB6208" t="str">
        <f>HYPERLINK("Melting_Curves/meltCurve_Q9Y4K3_TRAF6.pdf", "Melting_Curves/meltCurve_Q9Y4K3_TRAF6.pdf")</f>
        <v>Melting_Curves/meltCurve_Q9Y4K3_TRAF6.pdf</v>
      </c>
    </row>
    <row r="6209" spans="1:28" x14ac:dyDescent="0.25">
      <c r="A6209" t="s">
        <v>6213</v>
      </c>
      <c r="B6209">
        <v>0.99987803227770999</v>
      </c>
      <c r="C6209">
        <v>0.96947358022441699</v>
      </c>
      <c r="D6209">
        <v>0.94764204775333705</v>
      </c>
      <c r="E6209">
        <v>0.73762048280602399</v>
      </c>
      <c r="F6209">
        <v>0.38246582636100301</v>
      </c>
      <c r="G6209">
        <v>0.228779694421231</v>
      </c>
      <c r="H6209">
        <v>0.15930531937220799</v>
      </c>
      <c r="I6209">
        <v>0.15641397094118101</v>
      </c>
      <c r="J6209">
        <v>0.115465565746666</v>
      </c>
      <c r="K6209">
        <v>9.1653561994403901E-2</v>
      </c>
      <c r="L6209">
        <v>1263.59902224044</v>
      </c>
      <c r="M6209">
        <v>24.548249809264298</v>
      </c>
      <c r="N6209">
        <v>52.090461270858903</v>
      </c>
      <c r="O6209">
        <v>51.136160452440002</v>
      </c>
      <c r="P6209">
        <v>-0.104888664349349</v>
      </c>
      <c r="Q6209">
        <v>0.126043441619557</v>
      </c>
      <c r="R6209">
        <v>0.99613478164217395</v>
      </c>
      <c r="S6209" t="s">
        <v>12520</v>
      </c>
      <c r="T6209" t="s">
        <v>12620</v>
      </c>
      <c r="U6209" t="s">
        <v>12620</v>
      </c>
      <c r="V6209" t="s">
        <v>12620</v>
      </c>
      <c r="W6209" t="s">
        <v>18768</v>
      </c>
      <c r="X6209">
        <v>14</v>
      </c>
      <c r="Y6209" t="s">
        <v>24849</v>
      </c>
      <c r="Z6209" t="s">
        <v>31156</v>
      </c>
      <c r="AA6209">
        <v>0.46852763802170061</v>
      </c>
      <c r="AB6209" t="str">
        <f>HYPERLINK("Melting_Curves/meltCurve_Q9Y4K4_MAP4K5.pdf", "Melting_Curves/meltCurve_Q9Y4K4_MAP4K5.pdf")</f>
        <v>Melting_Curves/meltCurve_Q9Y4K4_MAP4K5.pdf</v>
      </c>
    </row>
    <row r="6210" spans="1:28" x14ac:dyDescent="0.25">
      <c r="A6210" t="s">
        <v>6214</v>
      </c>
      <c r="B6210">
        <v>0.99987803227770999</v>
      </c>
      <c r="C6210">
        <v>1.2657269586639801</v>
      </c>
      <c r="D6210">
        <v>0.47778721772885002</v>
      </c>
      <c r="E6210">
        <v>0.59630443817145795</v>
      </c>
      <c r="F6210">
        <v>0.17829506807724699</v>
      </c>
      <c r="G6210">
        <v>0.10950179190194401</v>
      </c>
      <c r="H6210">
        <v>7.06139360066977E-2</v>
      </c>
      <c r="I6210">
        <v>7.3612262502796302E-2</v>
      </c>
      <c r="J6210">
        <v>4.5756974244479803E-2</v>
      </c>
      <c r="K6210">
        <v>3.73649576180521E-2</v>
      </c>
      <c r="L6210">
        <v>864.44422131486499</v>
      </c>
      <c r="M6210">
        <v>17.6580300765606</v>
      </c>
      <c r="N6210">
        <v>49.200453507430097</v>
      </c>
      <c r="O6210">
        <v>48.339826657499501</v>
      </c>
      <c r="P6210">
        <v>-8.7472725553899303E-2</v>
      </c>
      <c r="Q6210">
        <v>4.2205408542502397E-2</v>
      </c>
      <c r="R6210">
        <v>0.86946516149355701</v>
      </c>
      <c r="S6210" t="s">
        <v>12521</v>
      </c>
      <c r="T6210" t="s">
        <v>12620</v>
      </c>
      <c r="U6210" t="s">
        <v>12620</v>
      </c>
      <c r="V6210" t="s">
        <v>12620</v>
      </c>
      <c r="W6210" t="s">
        <v>18769</v>
      </c>
      <c r="X6210">
        <v>6</v>
      </c>
      <c r="Y6210" t="s">
        <v>24850</v>
      </c>
      <c r="Z6210" t="s">
        <v>31157</v>
      </c>
      <c r="AA6210">
        <v>0.34535005812735681</v>
      </c>
      <c r="AB6210" t="str">
        <f>HYPERLINK("Melting_Curves/meltCurve_Q9Y4P1_6_ATG4B.pdf", "Melting_Curves/meltCurve_Q9Y4P1_6_ATG4B.pdf")</f>
        <v>Melting_Curves/meltCurve_Q9Y4P1_6_ATG4B.pdf</v>
      </c>
    </row>
    <row r="6211" spans="1:28" x14ac:dyDescent="0.25">
      <c r="A6211" t="s">
        <v>6215</v>
      </c>
      <c r="B6211">
        <v>0.99987803227770999</v>
      </c>
      <c r="C6211">
        <v>0.78078823690369403</v>
      </c>
      <c r="D6211">
        <v>0.90228928807497799</v>
      </c>
      <c r="E6211">
        <v>0.64187346025090397</v>
      </c>
      <c r="F6211">
        <v>0.36547568297635802</v>
      </c>
      <c r="G6211">
        <v>0.24947617996753599</v>
      </c>
      <c r="H6211">
        <v>0.17114057005129099</v>
      </c>
      <c r="I6211">
        <v>0.159105259796816</v>
      </c>
      <c r="J6211">
        <v>0.12485717866059701</v>
      </c>
      <c r="K6211">
        <v>0.104220316281468</v>
      </c>
      <c r="L6211">
        <v>707.682301726334</v>
      </c>
      <c r="M6211">
        <v>13.921011508479401</v>
      </c>
      <c r="N6211">
        <v>51.5730914895545</v>
      </c>
      <c r="O6211">
        <v>49.821008080828101</v>
      </c>
      <c r="P6211">
        <v>-6.3558685040792803E-2</v>
      </c>
      <c r="Q6211">
        <v>9.0258802274132202E-2</v>
      </c>
      <c r="R6211">
        <v>0.96777935141892801</v>
      </c>
      <c r="S6211" t="s">
        <v>12522</v>
      </c>
      <c r="T6211" t="s">
        <v>12620</v>
      </c>
      <c r="U6211" t="s">
        <v>12620</v>
      </c>
      <c r="V6211" t="s">
        <v>12620</v>
      </c>
      <c r="W6211" t="s">
        <v>18770</v>
      </c>
      <c r="X6211">
        <v>5</v>
      </c>
      <c r="Y6211" t="s">
        <v>24851</v>
      </c>
      <c r="Z6211" t="s">
        <v>31158</v>
      </c>
      <c r="AA6211">
        <v>0.44272233721397908</v>
      </c>
      <c r="AB6211" t="str">
        <f>HYPERLINK("Melting_Curves/meltCurve_Q9Y4P8_4_WIPI2.pdf", "Melting_Curves/meltCurve_Q9Y4P8_4_WIPI2.pdf")</f>
        <v>Melting_Curves/meltCurve_Q9Y4P8_4_WIPI2.pdf</v>
      </c>
    </row>
    <row r="6212" spans="1:28" x14ac:dyDescent="0.25">
      <c r="A6212" t="s">
        <v>6216</v>
      </c>
      <c r="B6212">
        <v>0.99987803227770999</v>
      </c>
      <c r="C6212">
        <v>0.728576909029926</v>
      </c>
      <c r="D6212">
        <v>0.57617771742203805</v>
      </c>
      <c r="E6212">
        <v>0.43203794452586403</v>
      </c>
      <c r="F6212">
        <v>0.26901501245045301</v>
      </c>
      <c r="G6212">
        <v>0.15590042778050101</v>
      </c>
      <c r="H6212">
        <v>0.128725006983711</v>
      </c>
      <c r="I6212">
        <v>8.2610608928230397E-2</v>
      </c>
      <c r="J6212">
        <v>6.7375201534680698E-2</v>
      </c>
      <c r="K6212">
        <v>4.70107884140719E-2</v>
      </c>
      <c r="L6212">
        <v>537.50164643340702</v>
      </c>
      <c r="M6212">
        <v>11.282840020680499</v>
      </c>
      <c r="N6212">
        <v>47.943303299667498</v>
      </c>
      <c r="O6212">
        <v>46.2159367488184</v>
      </c>
      <c r="P6212">
        <v>-5.89414210471415E-2</v>
      </c>
      <c r="Q6212">
        <v>3.4569379818977702E-2</v>
      </c>
      <c r="R6212">
        <v>0.98251952856953795</v>
      </c>
      <c r="S6212" t="s">
        <v>12523</v>
      </c>
      <c r="T6212" t="s">
        <v>12620</v>
      </c>
      <c r="U6212" t="s">
        <v>12620</v>
      </c>
      <c r="V6212" t="s">
        <v>12620</v>
      </c>
      <c r="W6212" t="s">
        <v>18771</v>
      </c>
      <c r="X6212">
        <v>7</v>
      </c>
      <c r="Y6212" t="s">
        <v>24852</v>
      </c>
      <c r="Z6212" t="s">
        <v>31159</v>
      </c>
      <c r="AA6212">
        <v>0.32353547025450741</v>
      </c>
      <c r="AB6212" t="str">
        <f>HYPERLINK("Melting_Curves/meltCurve_Q9Y4R8_TELO2.pdf", "Melting_Curves/meltCurve_Q9Y4R8_TELO2.pdf")</f>
        <v>Melting_Curves/meltCurve_Q9Y4R8_TELO2.pdf</v>
      </c>
    </row>
    <row r="6213" spans="1:28" x14ac:dyDescent="0.25">
      <c r="A6213" t="s">
        <v>6217</v>
      </c>
      <c r="B6213">
        <v>0.99987803227770999</v>
      </c>
      <c r="C6213">
        <v>0.84483253117993795</v>
      </c>
      <c r="D6213">
        <v>0.84737359468945295</v>
      </c>
      <c r="E6213">
        <v>0.47355569597289499</v>
      </c>
      <c r="F6213">
        <v>0.38715517704226499</v>
      </c>
      <c r="G6213">
        <v>0.285154033606415</v>
      </c>
      <c r="H6213">
        <v>0.28131833626958502</v>
      </c>
      <c r="I6213">
        <v>0.218225402601158</v>
      </c>
      <c r="J6213">
        <v>0.1993141626886</v>
      </c>
      <c r="K6213">
        <v>0.15886539700178701</v>
      </c>
      <c r="L6213">
        <v>739.54024178409804</v>
      </c>
      <c r="M6213">
        <v>15.136667355836799</v>
      </c>
      <c r="N6213">
        <v>50.478931266258101</v>
      </c>
      <c r="O6213">
        <v>48.028577075935502</v>
      </c>
      <c r="P6213">
        <v>-6.3627576696355007E-2</v>
      </c>
      <c r="Q6213">
        <v>0.19251854340553401</v>
      </c>
      <c r="R6213">
        <v>0.97922415805268703</v>
      </c>
      <c r="S6213" t="s">
        <v>12524</v>
      </c>
      <c r="T6213" t="s">
        <v>12620</v>
      </c>
      <c r="U6213" t="s">
        <v>12620</v>
      </c>
      <c r="V6213" t="s">
        <v>12620</v>
      </c>
      <c r="W6213" t="s">
        <v>18772</v>
      </c>
      <c r="X6213">
        <v>1</v>
      </c>
      <c r="Y6213" t="s">
        <v>24853</v>
      </c>
      <c r="Z6213" t="s">
        <v>31160</v>
      </c>
      <c r="AA6213">
        <v>0.45062283620463778</v>
      </c>
      <c r="AB6213" t="str">
        <f>HYPERLINK("Melting_Curves/meltCurve_Q9Y4U1_MMACHC.pdf", "Melting_Curves/meltCurve_Q9Y4U1_MMACHC.pdf")</f>
        <v>Melting_Curves/meltCurve_Q9Y4U1_MMACHC.pdf</v>
      </c>
    </row>
    <row r="6214" spans="1:28" x14ac:dyDescent="0.25">
      <c r="A6214" t="s">
        <v>6218</v>
      </c>
      <c r="B6214">
        <v>0.99987803227770999</v>
      </c>
      <c r="C6214">
        <v>0.93964105697761902</v>
      </c>
      <c r="D6214">
        <v>1.0028754183555</v>
      </c>
      <c r="E6214">
        <v>0.95213642607317595</v>
      </c>
      <c r="F6214">
        <v>1.0067341301019299</v>
      </c>
      <c r="G6214">
        <v>0.83308805800422203</v>
      </c>
      <c r="H6214">
        <v>0.64839331686008606</v>
      </c>
      <c r="I6214">
        <v>0.29314588764121402</v>
      </c>
      <c r="J6214">
        <v>0.166228289258917</v>
      </c>
      <c r="K6214">
        <v>0.129487777952011</v>
      </c>
      <c r="L6214">
        <v>1500.2245917942901</v>
      </c>
      <c r="M6214">
        <v>24.328512464264499</v>
      </c>
      <c r="N6214">
        <v>61.985746038823201</v>
      </c>
      <c r="O6214">
        <v>61.2531771441205</v>
      </c>
      <c r="P6214">
        <v>-9.34285267811443E-2</v>
      </c>
      <c r="Q6214">
        <v>5.9094482629659099E-2</v>
      </c>
      <c r="R6214">
        <v>0.98779868347160105</v>
      </c>
      <c r="S6214" t="s">
        <v>12525</v>
      </c>
      <c r="T6214" t="s">
        <v>12620</v>
      </c>
      <c r="U6214" t="s">
        <v>12620</v>
      </c>
      <c r="V6214" t="s">
        <v>12620</v>
      </c>
      <c r="W6214" t="s">
        <v>18773</v>
      </c>
      <c r="X6214">
        <v>16</v>
      </c>
      <c r="Y6214" t="s">
        <v>24854</v>
      </c>
      <c r="Z6214" t="s">
        <v>31161</v>
      </c>
      <c r="AA6214">
        <v>0.74349312006632051</v>
      </c>
      <c r="AB6214" t="str">
        <f>HYPERLINK("Melting_Curves/meltCurve_Q9Y4X5_ARIH1.pdf", "Melting_Curves/meltCurve_Q9Y4X5_ARIH1.pdf")</f>
        <v>Melting_Curves/meltCurve_Q9Y4X5_ARIH1.pdf</v>
      </c>
    </row>
    <row r="6215" spans="1:28" x14ac:dyDescent="0.25">
      <c r="A6215" t="s">
        <v>6219</v>
      </c>
      <c r="B6215">
        <v>0.99987803227770999</v>
      </c>
      <c r="C6215">
        <v>1.05765637299491</v>
      </c>
      <c r="D6215">
        <v>1.0284843783775901</v>
      </c>
      <c r="E6215">
        <v>1.1679516878626599</v>
      </c>
      <c r="F6215">
        <v>1.2340030378996301</v>
      </c>
      <c r="G6215">
        <v>1.0951537342617399</v>
      </c>
      <c r="H6215">
        <v>1.1519146813111001</v>
      </c>
      <c r="I6215">
        <v>0.88844094012647701</v>
      </c>
      <c r="J6215">
        <v>0.58921561208122497</v>
      </c>
      <c r="K6215">
        <v>0.29832593820848902</v>
      </c>
      <c r="L6215">
        <v>3364.9557335559098</v>
      </c>
      <c r="M6215">
        <v>50.404966622608001</v>
      </c>
      <c r="N6215">
        <v>67.599075879984994</v>
      </c>
      <c r="O6215">
        <v>66.653596480653306</v>
      </c>
      <c r="P6215">
        <v>-0.14503235900745701</v>
      </c>
      <c r="Q6215">
        <v>0.23285980333279299</v>
      </c>
      <c r="R6215">
        <v>0.84074503652493504</v>
      </c>
      <c r="S6215" t="s">
        <v>12526</v>
      </c>
      <c r="T6215" t="s">
        <v>12620</v>
      </c>
      <c r="U6215" t="s">
        <v>12620</v>
      </c>
      <c r="V6215" t="s">
        <v>12620</v>
      </c>
      <c r="W6215" t="s">
        <v>18774</v>
      </c>
      <c r="X6215">
        <v>6</v>
      </c>
      <c r="Y6215" t="s">
        <v>24855</v>
      </c>
      <c r="Z6215" t="s">
        <v>31162</v>
      </c>
      <c r="AA6215">
        <v>0.91573065822788258</v>
      </c>
      <c r="AB6215" t="str">
        <f>HYPERLINK("Melting_Curves/meltCurve_Q9Y4Z0_LSM4.pdf", "Melting_Curves/meltCurve_Q9Y4Z0_LSM4.pdf")</f>
        <v>Melting_Curves/meltCurve_Q9Y4Z0_LSM4.pdf</v>
      </c>
    </row>
    <row r="6216" spans="1:28" x14ac:dyDescent="0.25">
      <c r="A6216" t="s">
        <v>6220</v>
      </c>
      <c r="B6216">
        <v>0.99987803227770999</v>
      </c>
      <c r="C6216">
        <v>0.83039445149453694</v>
      </c>
      <c r="D6216">
        <v>1.0191360286523601</v>
      </c>
      <c r="E6216">
        <v>0.85299028154368195</v>
      </c>
      <c r="F6216">
        <v>1.0214151607217801</v>
      </c>
      <c r="G6216">
        <v>0.79625957735186403</v>
      </c>
      <c r="H6216">
        <v>0.85674408691709802</v>
      </c>
      <c r="I6216">
        <v>0.83089131879146305</v>
      </c>
      <c r="J6216">
        <v>0.65835898158107697</v>
      </c>
      <c r="K6216">
        <v>0.52243218312672601</v>
      </c>
      <c r="L6216">
        <v>549.99513377941003</v>
      </c>
      <c r="M6216">
        <v>7.53916442143524</v>
      </c>
      <c r="O6216">
        <v>68.348837430558504</v>
      </c>
      <c r="P6216">
        <v>-2.76149443264774E-2</v>
      </c>
      <c r="Q6216">
        <v>0</v>
      </c>
      <c r="R6216">
        <v>0.69319464379012496</v>
      </c>
      <c r="S6216" t="s">
        <v>12527</v>
      </c>
      <c r="T6216" t="s">
        <v>12620</v>
      </c>
      <c r="U6216" t="s">
        <v>12620</v>
      </c>
      <c r="V6216" t="s">
        <v>12620</v>
      </c>
      <c r="W6216" t="s">
        <v>18775</v>
      </c>
      <c r="X6216">
        <v>6</v>
      </c>
      <c r="Y6216" t="s">
        <v>24856</v>
      </c>
      <c r="Z6216" t="s">
        <v>31163</v>
      </c>
      <c r="AA6216">
        <v>0.87210186655295707</v>
      </c>
      <c r="AB6216" t="str">
        <f>HYPERLINK("Melting_Curves/meltCurve_Q9Y508_RNF114.pdf", "Melting_Curves/meltCurve_Q9Y508_RNF114.pdf")</f>
        <v>Melting_Curves/meltCurve_Q9Y508_RNF114.pdf</v>
      </c>
    </row>
    <row r="6217" spans="1:28" x14ac:dyDescent="0.25">
      <c r="A6217" t="s">
        <v>6221</v>
      </c>
      <c r="B6217">
        <v>0.99987803227770999</v>
      </c>
      <c r="C6217">
        <v>0.91159970003439295</v>
      </c>
      <c r="D6217">
        <v>1.0249656426737299</v>
      </c>
      <c r="E6217">
        <v>0.97829673567666597</v>
      </c>
      <c r="F6217">
        <v>1.08609249746071</v>
      </c>
      <c r="G6217">
        <v>0.97587999027044303</v>
      </c>
      <c r="H6217">
        <v>1.0465160047414701</v>
      </c>
      <c r="I6217">
        <v>0.97287391974482396</v>
      </c>
      <c r="J6217">
        <v>0.99814018344989597</v>
      </c>
      <c r="K6217">
        <v>0.82059298652918899</v>
      </c>
      <c r="L6217">
        <v>7160.7748419609898</v>
      </c>
      <c r="M6217">
        <v>100.776393123169</v>
      </c>
      <c r="Q6217">
        <v>0</v>
      </c>
      <c r="R6217">
        <v>0.592258574422315</v>
      </c>
      <c r="S6217" t="s">
        <v>12528</v>
      </c>
      <c r="T6217" t="s">
        <v>12620</v>
      </c>
      <c r="U6217" t="s">
        <v>12620</v>
      </c>
      <c r="V6217" t="s">
        <v>12620</v>
      </c>
      <c r="W6217" t="s">
        <v>18776</v>
      </c>
      <c r="X6217">
        <v>89</v>
      </c>
      <c r="Y6217" t="s">
        <v>24857</v>
      </c>
      <c r="Z6217" t="s">
        <v>31164</v>
      </c>
      <c r="AA6217">
        <v>0.99557996283311212</v>
      </c>
      <c r="AB6217" t="str">
        <f>HYPERLINK("Melting_Curves/meltCurve_Q9Y520_4_PRRC2C.pdf", "Melting_Curves/meltCurve_Q9Y520_4_PRRC2C.pdf")</f>
        <v>Melting_Curves/meltCurve_Q9Y520_4_PRRC2C.pdf</v>
      </c>
    </row>
    <row r="6218" spans="1:28" x14ac:dyDescent="0.25">
      <c r="A6218" t="s">
        <v>6222</v>
      </c>
      <c r="B6218">
        <v>0.99987803227770999</v>
      </c>
      <c r="C6218">
        <v>0.90053715026536996</v>
      </c>
      <c r="D6218">
        <v>0.91300958393803899</v>
      </c>
      <c r="E6218">
        <v>0.58726264975568698</v>
      </c>
      <c r="F6218">
        <v>0.47710924885084599</v>
      </c>
      <c r="G6218">
        <v>0.32939984915604098</v>
      </c>
      <c r="H6218">
        <v>0.31660615657407298</v>
      </c>
      <c r="I6218">
        <v>0.27023976365420999</v>
      </c>
      <c r="J6218">
        <v>0.27888372034574999</v>
      </c>
      <c r="K6218">
        <v>0.20718590704944101</v>
      </c>
      <c r="L6218">
        <v>816.89217769308198</v>
      </c>
      <c r="M6218">
        <v>16.321944930329298</v>
      </c>
      <c r="N6218">
        <v>52.2201208707097</v>
      </c>
      <c r="O6218">
        <v>49.315516916390301</v>
      </c>
      <c r="P6218">
        <v>-6.2362386382164799E-2</v>
      </c>
      <c r="Q6218">
        <v>0.246361804719094</v>
      </c>
      <c r="R6218">
        <v>0.98597468971987301</v>
      </c>
      <c r="S6218" t="s">
        <v>12529</v>
      </c>
      <c r="T6218" t="s">
        <v>12620</v>
      </c>
      <c r="U6218" t="s">
        <v>12620</v>
      </c>
      <c r="V6218" t="s">
        <v>12620</v>
      </c>
      <c r="W6218" t="s">
        <v>18777</v>
      </c>
      <c r="X6218">
        <v>6</v>
      </c>
      <c r="Y6218" t="s">
        <v>24858</v>
      </c>
      <c r="Z6218" t="s">
        <v>31165</v>
      </c>
      <c r="AA6218">
        <v>0.51421188077893276</v>
      </c>
      <c r="AB6218" t="str">
        <f>HYPERLINK("Melting_Curves/meltCurve_Q9Y546_LRRC42.pdf", "Melting_Curves/meltCurve_Q9Y546_LRRC42.pdf")</f>
        <v>Melting_Curves/meltCurve_Q9Y546_LRRC42.pdf</v>
      </c>
    </row>
    <row r="6219" spans="1:28" x14ac:dyDescent="0.25">
      <c r="A6219" t="s">
        <v>6223</v>
      </c>
      <c r="B6219">
        <v>0.99987803227770999</v>
      </c>
      <c r="C6219">
        <v>0.87036629520851505</v>
      </c>
      <c r="D6219">
        <v>1.0027163398807499</v>
      </c>
      <c r="E6219">
        <v>0.94984436790679705</v>
      </c>
      <c r="F6219">
        <v>0.97596979774058101</v>
      </c>
      <c r="G6219">
        <v>0.76655453598775103</v>
      </c>
      <c r="H6219">
        <v>0.44842419309994802</v>
      </c>
      <c r="I6219">
        <v>0.388169256574809</v>
      </c>
      <c r="J6219">
        <v>0.27085820900923602</v>
      </c>
      <c r="K6219">
        <v>0.214672960497552</v>
      </c>
      <c r="L6219">
        <v>1282.9758953430601</v>
      </c>
      <c r="M6219">
        <v>21.656353897068801</v>
      </c>
      <c r="N6219">
        <v>60.7594647025429</v>
      </c>
      <c r="O6219">
        <v>58.744261333634498</v>
      </c>
      <c r="P6219">
        <v>-7.2919007184090001E-2</v>
      </c>
      <c r="Q6219">
        <v>0.20882860822563001</v>
      </c>
      <c r="R6219">
        <v>0.97508676775865799</v>
      </c>
      <c r="S6219" t="s">
        <v>12530</v>
      </c>
      <c r="T6219" t="s">
        <v>12620</v>
      </c>
      <c r="U6219" t="s">
        <v>12620</v>
      </c>
      <c r="V6219" t="s">
        <v>12620</v>
      </c>
      <c r="W6219" t="s">
        <v>18778</v>
      </c>
      <c r="X6219">
        <v>3</v>
      </c>
      <c r="Y6219" t="s">
        <v>24859</v>
      </c>
      <c r="Z6219" t="s">
        <v>31166</v>
      </c>
      <c r="AA6219">
        <v>0.72358280797786101</v>
      </c>
      <c r="AB6219" t="str">
        <f>HYPERLINK("Melting_Curves/meltCurve_Q9Y547_HSPB11.pdf", "Melting_Curves/meltCurve_Q9Y547_HSPB11.pdf")</f>
        <v>Melting_Curves/meltCurve_Q9Y547_HSPB11.pdf</v>
      </c>
    </row>
    <row r="6220" spans="1:28" x14ac:dyDescent="0.25">
      <c r="A6220" t="s">
        <v>6224</v>
      </c>
      <c r="B6220">
        <v>0.99987803227770999</v>
      </c>
      <c r="C6220">
        <v>0.83781219567698495</v>
      </c>
      <c r="D6220">
        <v>1.0310311558199301</v>
      </c>
      <c r="E6220">
        <v>0.93677707630143203</v>
      </c>
      <c r="F6220">
        <v>0.97467872916753295</v>
      </c>
      <c r="G6220">
        <v>0.38609772134211701</v>
      </c>
      <c r="H6220">
        <v>0.155571909544926</v>
      </c>
      <c r="I6220">
        <v>0.14304757643802901</v>
      </c>
      <c r="J6220">
        <v>9.9519763294438401E-2</v>
      </c>
      <c r="K6220">
        <v>7.4226795490632505E-2</v>
      </c>
      <c r="L6220">
        <v>2892.0316399450699</v>
      </c>
      <c r="M6220">
        <v>51.523117355231697</v>
      </c>
      <c r="N6220">
        <v>56.4120027226014</v>
      </c>
      <c r="O6220">
        <v>56.046370221059298</v>
      </c>
      <c r="P6220">
        <v>-0.20379250165298701</v>
      </c>
      <c r="Q6220">
        <v>0.11326593346722599</v>
      </c>
      <c r="R6220">
        <v>0.97865710646443704</v>
      </c>
      <c r="S6220" t="s">
        <v>12531</v>
      </c>
      <c r="T6220" t="s">
        <v>12620</v>
      </c>
      <c r="U6220" t="s">
        <v>12620</v>
      </c>
      <c r="V6220" t="s">
        <v>12620</v>
      </c>
      <c r="W6220" t="s">
        <v>18779</v>
      </c>
      <c r="X6220">
        <v>17</v>
      </c>
      <c r="Y6220" t="s">
        <v>24860</v>
      </c>
      <c r="Z6220" t="s">
        <v>31167</v>
      </c>
      <c r="AA6220">
        <v>0.59212069550930191</v>
      </c>
      <c r="AB6220" t="str">
        <f>HYPERLINK("Melting_Curves/meltCurve_Q9Y570_PPME1.pdf", "Melting_Curves/meltCurve_Q9Y570_PPME1.pdf")</f>
        <v>Melting_Curves/meltCurve_Q9Y570_PPME1.pdf</v>
      </c>
    </row>
    <row r="6221" spans="1:28" x14ac:dyDescent="0.25">
      <c r="A6221" t="s">
        <v>6225</v>
      </c>
      <c r="B6221">
        <v>0.99987803227770999</v>
      </c>
      <c r="C6221">
        <v>1.1776836190239299</v>
      </c>
      <c r="D6221">
        <v>1.0527832972137401</v>
      </c>
      <c r="E6221">
        <v>0.967132737068917</v>
      </c>
      <c r="F6221">
        <v>0.55160691211539203</v>
      </c>
      <c r="G6221">
        <v>0.45337495823805102</v>
      </c>
      <c r="H6221">
        <v>0.32577287698900398</v>
      </c>
      <c r="I6221">
        <v>0.27504436544136801</v>
      </c>
      <c r="J6221">
        <v>0.27982519379655901</v>
      </c>
      <c r="K6221">
        <v>0.22974749398543301</v>
      </c>
      <c r="L6221">
        <v>1833.9993770741901</v>
      </c>
      <c r="M6221">
        <v>34.8145278839037</v>
      </c>
      <c r="N6221">
        <v>54.067132082432401</v>
      </c>
      <c r="O6221">
        <v>52.506258799998498</v>
      </c>
      <c r="P6221">
        <v>-0.11679104154722</v>
      </c>
      <c r="Q6221">
        <v>0.29543939357907301</v>
      </c>
      <c r="R6221">
        <v>0.95251953643981202</v>
      </c>
      <c r="S6221" t="s">
        <v>12532</v>
      </c>
      <c r="T6221" t="s">
        <v>12620</v>
      </c>
      <c r="U6221" t="s">
        <v>12620</v>
      </c>
      <c r="V6221" t="s">
        <v>12620</v>
      </c>
      <c r="W6221" t="s">
        <v>18780</v>
      </c>
      <c r="X6221">
        <v>2</v>
      </c>
      <c r="Y6221" t="s">
        <v>24861</v>
      </c>
      <c r="Z6221" t="s">
        <v>31168</v>
      </c>
      <c r="AA6221">
        <v>0.59659883182090168</v>
      </c>
      <c r="AB6221" t="str">
        <f>HYPERLINK("Melting_Curves/meltCurve_Q9Y580_RBM7.pdf", "Melting_Curves/meltCurve_Q9Y580_RBM7.pdf")</f>
        <v>Melting_Curves/meltCurve_Q9Y580_RBM7.pdf</v>
      </c>
    </row>
    <row r="6222" spans="1:28" x14ac:dyDescent="0.25">
      <c r="A6222" t="s">
        <v>6226</v>
      </c>
      <c r="B6222">
        <v>0.99987803227770999</v>
      </c>
      <c r="C6222">
        <v>0.85237296030347498</v>
      </c>
      <c r="D6222">
        <v>1.0065617223808201</v>
      </c>
      <c r="E6222">
        <v>0.87713300280584106</v>
      </c>
      <c r="F6222">
        <v>1.18383733553806</v>
      </c>
      <c r="G6222">
        <v>0.88319001313132794</v>
      </c>
      <c r="H6222">
        <v>0.96490877965653099</v>
      </c>
      <c r="I6222">
        <v>0.89818697189854402</v>
      </c>
      <c r="J6222">
        <v>1.08388802847459</v>
      </c>
      <c r="K6222">
        <v>0.88632607404518304</v>
      </c>
      <c r="L6222">
        <v>1.0000000000000001E-5</v>
      </c>
      <c r="M6222">
        <v>1.0000000000000001E-5</v>
      </c>
      <c r="Q6222">
        <v>0.92725694083736598</v>
      </c>
      <c r="R6222">
        <v>-1.8035550830575199E-10</v>
      </c>
      <c r="S6222" t="s">
        <v>12533</v>
      </c>
      <c r="T6222" t="s">
        <v>12620</v>
      </c>
      <c r="U6222" t="s">
        <v>12620</v>
      </c>
      <c r="V6222" t="s">
        <v>12620</v>
      </c>
      <c r="W6222" t="s">
        <v>18781</v>
      </c>
      <c r="X6222">
        <v>6</v>
      </c>
      <c r="Y6222" t="s">
        <v>24862</v>
      </c>
      <c r="Z6222" t="s">
        <v>31169</v>
      </c>
      <c r="AA6222">
        <v>0.96362829195338207</v>
      </c>
      <c r="AB6222" t="str">
        <f>HYPERLINK("Melting_Curves/meltCurve_Q9Y597_2_KCTD3.pdf", "Melting_Curves/meltCurve_Q9Y597_2_KCTD3.pdf")</f>
        <v>Melting_Curves/meltCurve_Q9Y597_2_KCTD3.pdf</v>
      </c>
    </row>
    <row r="6223" spans="1:28" x14ac:dyDescent="0.25">
      <c r="A6223" t="s">
        <v>6227</v>
      </c>
      <c r="B6223">
        <v>0.99987803227770999</v>
      </c>
      <c r="C6223">
        <v>0.85097978568167698</v>
      </c>
      <c r="D6223">
        <v>0.77099892442790796</v>
      </c>
      <c r="E6223">
        <v>0.661730200505112</v>
      </c>
      <c r="F6223">
        <v>0.298326091909144</v>
      </c>
      <c r="G6223">
        <v>0.17147394384956499</v>
      </c>
      <c r="H6223">
        <v>0.102298163718073</v>
      </c>
      <c r="I6223">
        <v>0.101949211957914</v>
      </c>
      <c r="J6223">
        <v>6.43352080513728E-2</v>
      </c>
      <c r="K6223">
        <v>4.1323438128918401E-2</v>
      </c>
      <c r="L6223">
        <v>683.39754453520004</v>
      </c>
      <c r="M6223">
        <v>13.4997625618533</v>
      </c>
      <c r="N6223">
        <v>50.778814654569999</v>
      </c>
      <c r="O6223">
        <v>49.5508292286341</v>
      </c>
      <c r="P6223">
        <v>-6.6738410248441196E-2</v>
      </c>
      <c r="Q6223">
        <v>2.02970027323621E-2</v>
      </c>
      <c r="R6223">
        <v>0.98023378987640697</v>
      </c>
      <c r="S6223" t="s">
        <v>12534</v>
      </c>
      <c r="T6223" t="s">
        <v>12620</v>
      </c>
      <c r="U6223" t="s">
        <v>12620</v>
      </c>
      <c r="V6223" t="s">
        <v>12620</v>
      </c>
      <c r="W6223" t="s">
        <v>18782</v>
      </c>
      <c r="X6223">
        <v>21</v>
      </c>
      <c r="Y6223" t="s">
        <v>24863</v>
      </c>
      <c r="Z6223" t="s">
        <v>31170</v>
      </c>
      <c r="AA6223">
        <v>0.39446557872680399</v>
      </c>
      <c r="AB6223" t="str">
        <f>HYPERLINK("Melting_Curves/meltCurve_Q9Y5A7_2_NUB1.pdf", "Melting_Curves/meltCurve_Q9Y5A7_2_NUB1.pdf")</f>
        <v>Melting_Curves/meltCurve_Q9Y5A7_2_NUB1.pdf</v>
      </c>
    </row>
    <row r="6224" spans="1:28" x14ac:dyDescent="0.25">
      <c r="A6224" t="s">
        <v>6228</v>
      </c>
      <c r="B6224">
        <v>0.99987803227770999</v>
      </c>
      <c r="C6224">
        <v>0.91356479862918305</v>
      </c>
      <c r="D6224">
        <v>1.07109764038038</v>
      </c>
      <c r="E6224">
        <v>0.90297608033995402</v>
      </c>
      <c r="F6224">
        <v>0.87202406356748896</v>
      </c>
      <c r="G6224">
        <v>0.61774066434417196</v>
      </c>
      <c r="H6224">
        <v>0.55017696753053502</v>
      </c>
      <c r="I6224">
        <v>0.545195785759505</v>
      </c>
      <c r="J6224">
        <v>0.45652758995114001</v>
      </c>
      <c r="K6224">
        <v>0.36448226453565402</v>
      </c>
      <c r="L6224">
        <v>828.92529049065604</v>
      </c>
      <c r="M6224">
        <v>14.624617311136101</v>
      </c>
      <c r="N6224">
        <v>62.9071753038643</v>
      </c>
      <c r="O6224">
        <v>55.651998217195398</v>
      </c>
      <c r="P6224">
        <v>-4.05762130093529E-2</v>
      </c>
      <c r="Q6224">
        <v>0.38243982405999499</v>
      </c>
      <c r="R6224">
        <v>0.95058728358413402</v>
      </c>
      <c r="S6224" t="s">
        <v>12535</v>
      </c>
      <c r="T6224" t="s">
        <v>12620</v>
      </c>
      <c r="U6224" t="s">
        <v>12620</v>
      </c>
      <c r="V6224" t="s">
        <v>12620</v>
      </c>
      <c r="W6224" t="s">
        <v>18783</v>
      </c>
      <c r="X6224">
        <v>10</v>
      </c>
      <c r="Y6224" t="s">
        <v>24864</v>
      </c>
      <c r="Z6224" t="s">
        <v>31171</v>
      </c>
      <c r="AA6224">
        <v>0.73615044473545155</v>
      </c>
      <c r="AB6224" t="str">
        <f>HYPERLINK("Melting_Curves/meltCurve_Q9Y5A9_YTHDF2.pdf", "Melting_Curves/meltCurve_Q9Y5A9_YTHDF2.pdf")</f>
        <v>Melting_Curves/meltCurve_Q9Y5A9_YTHDF2.pdf</v>
      </c>
    </row>
    <row r="6225" spans="1:28" x14ac:dyDescent="0.25">
      <c r="A6225" t="s">
        <v>6229</v>
      </c>
      <c r="B6225">
        <v>0.99987803227770999</v>
      </c>
      <c r="C6225">
        <v>0.98865635587368805</v>
      </c>
      <c r="D6225">
        <v>0.86095886404804101</v>
      </c>
      <c r="E6225">
        <v>0.55257048289681598</v>
      </c>
      <c r="F6225">
        <v>0.36587698565962601</v>
      </c>
      <c r="G6225">
        <v>0.26967049079102101</v>
      </c>
      <c r="H6225">
        <v>0.18433494697757599</v>
      </c>
      <c r="I6225">
        <v>0.16026064826714401</v>
      </c>
      <c r="J6225">
        <v>0.14693288900117199</v>
      </c>
      <c r="K6225">
        <v>0.10728863608849599</v>
      </c>
      <c r="L6225">
        <v>883.87736270460402</v>
      </c>
      <c r="M6225">
        <v>17.6521605633632</v>
      </c>
      <c r="N6225">
        <v>51.007630202093097</v>
      </c>
      <c r="O6225">
        <v>49.442553044988401</v>
      </c>
      <c r="P6225">
        <v>-7.6914981923317693E-2</v>
      </c>
      <c r="Q6225">
        <v>0.13831042779378599</v>
      </c>
      <c r="R6225">
        <v>0.99580695752642101</v>
      </c>
      <c r="S6225" t="s">
        <v>12536</v>
      </c>
      <c r="T6225" t="s">
        <v>12620</v>
      </c>
      <c r="U6225" t="s">
        <v>12620</v>
      </c>
      <c r="V6225" t="s">
        <v>12620</v>
      </c>
      <c r="W6225" t="s">
        <v>18784</v>
      </c>
      <c r="X6225">
        <v>18</v>
      </c>
      <c r="Y6225" t="s">
        <v>24865</v>
      </c>
      <c r="Z6225" t="s">
        <v>31172</v>
      </c>
      <c r="AA6225">
        <v>0.44283733634701572</v>
      </c>
      <c r="AB6225" t="str">
        <f>HYPERLINK("Melting_Curves/meltCurve_Q9Y5B0_CTDP1.pdf", "Melting_Curves/meltCurve_Q9Y5B0_CTDP1.pdf")</f>
        <v>Melting_Curves/meltCurve_Q9Y5B0_CTDP1.pdf</v>
      </c>
    </row>
    <row r="6226" spans="1:28" x14ac:dyDescent="0.25">
      <c r="A6226" t="s">
        <v>6230</v>
      </c>
      <c r="B6226">
        <v>0.99987803227770999</v>
      </c>
      <c r="C6226">
        <v>1.0776745944950801</v>
      </c>
      <c r="D6226">
        <v>0.93496251395962104</v>
      </c>
      <c r="E6226">
        <v>0.77927658568749503</v>
      </c>
      <c r="F6226">
        <v>0.38192656020121801</v>
      </c>
      <c r="G6226">
        <v>0.76861330468267797</v>
      </c>
      <c r="H6226">
        <v>0.119874832687816</v>
      </c>
      <c r="I6226">
        <v>0.35758364377992102</v>
      </c>
      <c r="J6226">
        <v>6.1486262019592897E-2</v>
      </c>
      <c r="K6226">
        <v>3.5926502993315498E-2</v>
      </c>
      <c r="L6226">
        <v>593.80904635400805</v>
      </c>
      <c r="M6226">
        <v>10.6289339759439</v>
      </c>
      <c r="N6226">
        <v>55.8672118830805</v>
      </c>
      <c r="O6226">
        <v>53.998500183651799</v>
      </c>
      <c r="P6226">
        <v>-4.9228339690494803E-2</v>
      </c>
      <c r="Q6226">
        <v>0</v>
      </c>
      <c r="R6226">
        <v>0.83257735338864103</v>
      </c>
      <c r="S6226" t="s">
        <v>12537</v>
      </c>
      <c r="T6226" t="s">
        <v>12620</v>
      </c>
      <c r="U6226" t="s">
        <v>12620</v>
      </c>
      <c r="V6226" t="s">
        <v>12620</v>
      </c>
      <c r="W6226" t="s">
        <v>18785</v>
      </c>
      <c r="X6226">
        <v>2</v>
      </c>
      <c r="Y6226" t="s">
        <v>24866</v>
      </c>
      <c r="Z6226" t="s">
        <v>31173</v>
      </c>
      <c r="AA6226">
        <v>0.55051716752897883</v>
      </c>
      <c r="AB6226" t="str">
        <f>HYPERLINK("Melting_Curves/meltCurve_Q9Y5B6_PAXBP1.pdf", "Melting_Curves/meltCurve_Q9Y5B6_PAXBP1.pdf")</f>
        <v>Melting_Curves/meltCurve_Q9Y5B6_PAXBP1.pdf</v>
      </c>
    </row>
    <row r="6227" spans="1:28" x14ac:dyDescent="0.25">
      <c r="A6227" t="s">
        <v>6231</v>
      </c>
      <c r="B6227">
        <v>0.99987803227770999</v>
      </c>
      <c r="C6227">
        <v>0.90226356621796899</v>
      </c>
      <c r="D6227">
        <v>0.90412950067939901</v>
      </c>
      <c r="E6227">
        <v>0.71623505175674096</v>
      </c>
      <c r="F6227">
        <v>0.28428732713828903</v>
      </c>
      <c r="G6227">
        <v>0.13149226573565001</v>
      </c>
      <c r="H6227">
        <v>9.22998124511102E-2</v>
      </c>
      <c r="I6227">
        <v>8.0146139647661194E-2</v>
      </c>
      <c r="J6227">
        <v>6.1582160476954299E-2</v>
      </c>
      <c r="K6227">
        <v>4.5250720706904002E-2</v>
      </c>
      <c r="L6227">
        <v>1433.8285531143199</v>
      </c>
      <c r="M6227">
        <v>28.0374594771089</v>
      </c>
      <c r="N6227">
        <v>51.399090058921502</v>
      </c>
      <c r="O6227">
        <v>50.8817114734575</v>
      </c>
      <c r="P6227">
        <v>-0.128672792330534</v>
      </c>
      <c r="Q6227">
        <v>6.5958736604056406E-2</v>
      </c>
      <c r="R6227">
        <v>0.98929647247217301</v>
      </c>
      <c r="S6227" t="s">
        <v>12538</v>
      </c>
      <c r="T6227" t="s">
        <v>12620</v>
      </c>
      <c r="U6227" t="s">
        <v>12620</v>
      </c>
      <c r="V6227" t="s">
        <v>12620</v>
      </c>
      <c r="W6227" t="s">
        <v>18786</v>
      </c>
      <c r="X6227">
        <v>7</v>
      </c>
      <c r="Y6227" t="s">
        <v>24867</v>
      </c>
      <c r="Z6227" t="s">
        <v>31174</v>
      </c>
      <c r="AA6227">
        <v>0.41952838114592977</v>
      </c>
      <c r="AB6227" t="str">
        <f>HYPERLINK("Melting_Curves/meltCurve_Q9Y5B8_2_NME7.pdf", "Melting_Curves/meltCurve_Q9Y5B8_2_NME7.pdf")</f>
        <v>Melting_Curves/meltCurve_Q9Y5B8_2_NME7.pdf</v>
      </c>
    </row>
    <row r="6228" spans="1:28" x14ac:dyDescent="0.25">
      <c r="A6228" t="s">
        <v>6232</v>
      </c>
      <c r="B6228">
        <v>0.99987803227770999</v>
      </c>
      <c r="C6228">
        <v>1.02348239347353</v>
      </c>
      <c r="D6228">
        <v>0.90149146238165601</v>
      </c>
      <c r="E6228">
        <v>0.79329415828303995</v>
      </c>
      <c r="F6228">
        <v>0.29354873255378999</v>
      </c>
      <c r="G6228">
        <v>0.21788172357083199</v>
      </c>
      <c r="H6228">
        <v>0.13984416385947099</v>
      </c>
      <c r="I6228">
        <v>0.101878874083613</v>
      </c>
      <c r="J6228">
        <v>8.5621446297648701E-2</v>
      </c>
      <c r="K6228">
        <v>6.0437211844236997E-2</v>
      </c>
      <c r="L6228">
        <v>1917.4920861236301</v>
      </c>
      <c r="M6228">
        <v>37.317997283744397</v>
      </c>
      <c r="N6228">
        <v>51.7332375281648</v>
      </c>
      <c r="O6228">
        <v>51.235621797201702</v>
      </c>
      <c r="P6228">
        <v>-0.16173835177298301</v>
      </c>
      <c r="Q6228">
        <v>0.111769879359676</v>
      </c>
      <c r="R6228">
        <v>0.98613310731191794</v>
      </c>
      <c r="S6228" t="s">
        <v>12539</v>
      </c>
      <c r="T6228" t="s">
        <v>12620</v>
      </c>
      <c r="U6228" t="s">
        <v>12620</v>
      </c>
      <c r="V6228" t="s">
        <v>12620</v>
      </c>
      <c r="W6228" t="s">
        <v>18787</v>
      </c>
      <c r="X6228">
        <v>16</v>
      </c>
      <c r="Y6228" t="s">
        <v>24868</v>
      </c>
      <c r="Z6228" t="s">
        <v>31175</v>
      </c>
      <c r="AA6228">
        <v>0.45240618955572842</v>
      </c>
      <c r="AB6228" t="str">
        <f>HYPERLINK("Melting_Curves/meltCurve_Q9Y5B9_SUPT16H.pdf", "Melting_Curves/meltCurve_Q9Y5B9_SUPT16H.pdf")</f>
        <v>Melting_Curves/meltCurve_Q9Y5B9_SUPT16H.pdf</v>
      </c>
    </row>
    <row r="6229" spans="1:28" x14ac:dyDescent="0.25">
      <c r="A6229" t="s">
        <v>6233</v>
      </c>
      <c r="B6229">
        <v>0.99987803227770999</v>
      </c>
      <c r="C6229">
        <v>0.81083778524133998</v>
      </c>
      <c r="D6229">
        <v>0.96834571310911499</v>
      </c>
      <c r="E6229">
        <v>0.82911484492880005</v>
      </c>
      <c r="F6229">
        <v>1.15007150518574</v>
      </c>
      <c r="G6229">
        <v>0.800862239970344</v>
      </c>
      <c r="H6229">
        <v>0.95534397012963201</v>
      </c>
      <c r="I6229">
        <v>0.81707296804004403</v>
      </c>
      <c r="J6229">
        <v>0.96447704320003902</v>
      </c>
      <c r="K6229">
        <v>0.862808523354337</v>
      </c>
      <c r="L6229">
        <v>71.704146473665801</v>
      </c>
      <c r="M6229">
        <v>1.0000000000000001E-5</v>
      </c>
      <c r="Q6229">
        <v>0.59903386530077796</v>
      </c>
      <c r="R6229">
        <v>2.11452282244824E-2</v>
      </c>
      <c r="S6229" t="s">
        <v>12540</v>
      </c>
      <c r="T6229" t="s">
        <v>12620</v>
      </c>
      <c r="U6229" t="s">
        <v>12620</v>
      </c>
      <c r="V6229" t="s">
        <v>12620</v>
      </c>
      <c r="W6229" t="s">
        <v>18788</v>
      </c>
      <c r="X6229">
        <v>2</v>
      </c>
      <c r="Y6229" t="s">
        <v>24869</v>
      </c>
      <c r="Z6229" t="s">
        <v>31176</v>
      </c>
      <c r="AA6229">
        <v>0.91573091011994168</v>
      </c>
      <c r="AB6229" t="str">
        <f>HYPERLINK("Melting_Curves/meltCurve_Q9Y5J1_UTP18.pdf", "Melting_Curves/meltCurve_Q9Y5J1_UTP18.pdf")</f>
        <v>Melting_Curves/meltCurve_Q9Y5J1_UTP18.pdf</v>
      </c>
    </row>
    <row r="6230" spans="1:28" x14ac:dyDescent="0.25">
      <c r="A6230" t="s">
        <v>6234</v>
      </c>
      <c r="B6230">
        <v>0.99987803227770999</v>
      </c>
      <c r="C6230">
        <v>0.71046791737390502</v>
      </c>
      <c r="D6230">
        <v>0.49380904644256002</v>
      </c>
      <c r="E6230">
        <v>0.27089326673340303</v>
      </c>
      <c r="F6230">
        <v>0.15246454771432499</v>
      </c>
      <c r="G6230">
        <v>8.9265783166406806E-2</v>
      </c>
      <c r="H6230">
        <v>5.4953436603728797E-2</v>
      </c>
      <c r="I6230">
        <v>3.8304064898755298E-2</v>
      </c>
      <c r="J6230">
        <v>3.9490348380061803E-2</v>
      </c>
      <c r="K6230">
        <v>2.3462891452689899E-2</v>
      </c>
      <c r="L6230">
        <v>710.44104323132603</v>
      </c>
      <c r="M6230">
        <v>15.4728519767792</v>
      </c>
      <c r="N6230">
        <v>46.1263535512849</v>
      </c>
      <c r="O6230">
        <v>45.168856969441599</v>
      </c>
      <c r="P6230">
        <v>-8.2719979230054197E-2</v>
      </c>
      <c r="Q6230">
        <v>3.4170366838438798E-2</v>
      </c>
      <c r="R6230">
        <v>0.98902174626575101</v>
      </c>
      <c r="S6230" t="s">
        <v>12541</v>
      </c>
      <c r="T6230" t="s">
        <v>12620</v>
      </c>
      <c r="U6230" t="s">
        <v>12620</v>
      </c>
      <c r="V6230" t="s">
        <v>12620</v>
      </c>
      <c r="W6230" t="s">
        <v>18789</v>
      </c>
      <c r="X6230">
        <v>2</v>
      </c>
      <c r="Y6230" t="s">
        <v>24870</v>
      </c>
      <c r="Z6230" t="s">
        <v>31177</v>
      </c>
      <c r="AA6230">
        <v>0.25121009103079861</v>
      </c>
      <c r="AB6230" t="str">
        <f>HYPERLINK("Melting_Curves/meltCurve_Q9Y5J5_PHLDA3.pdf", "Melting_Curves/meltCurve_Q9Y5J5_PHLDA3.pdf")</f>
        <v>Melting_Curves/meltCurve_Q9Y5J5_PHLDA3.pdf</v>
      </c>
    </row>
    <row r="6231" spans="1:28" x14ac:dyDescent="0.25">
      <c r="A6231" t="s">
        <v>6235</v>
      </c>
      <c r="B6231">
        <v>0.99987803227770999</v>
      </c>
      <c r="C6231">
        <v>0.94650821312172395</v>
      </c>
      <c r="D6231">
        <v>0.99731119226692699</v>
      </c>
      <c r="E6231">
        <v>0.91157340812690302</v>
      </c>
      <c r="F6231">
        <v>1.00396183729652</v>
      </c>
      <c r="G6231">
        <v>0.90141121026232296</v>
      </c>
      <c r="H6231">
        <v>0.92253505655347501</v>
      </c>
      <c r="I6231">
        <v>0.83313633403851906</v>
      </c>
      <c r="J6231">
        <v>0.67819035055578802</v>
      </c>
      <c r="K6231">
        <v>0.50147422327610103</v>
      </c>
      <c r="L6231">
        <v>1058.7704045408</v>
      </c>
      <c r="M6231">
        <v>15.0723778442149</v>
      </c>
      <c r="O6231">
        <v>69.044008152254193</v>
      </c>
      <c r="P6231">
        <v>-5.4580667237825398E-2</v>
      </c>
      <c r="Q6231">
        <v>0</v>
      </c>
      <c r="R6231">
        <v>0.93230452971509004</v>
      </c>
      <c r="S6231" t="s">
        <v>12542</v>
      </c>
      <c r="T6231" t="s">
        <v>12620</v>
      </c>
      <c r="U6231" t="s">
        <v>12620</v>
      </c>
      <c r="V6231" t="s">
        <v>12620</v>
      </c>
      <c r="W6231" t="s">
        <v>18790</v>
      </c>
      <c r="X6231">
        <v>5</v>
      </c>
      <c r="Y6231" t="s">
        <v>24871</v>
      </c>
      <c r="Z6231" t="s">
        <v>31178</v>
      </c>
      <c r="AA6231">
        <v>0.91039363270335127</v>
      </c>
      <c r="AB6231" t="str">
        <f>HYPERLINK("Melting_Curves/meltCurve_Q9Y5J7_TIMM9.pdf", "Melting_Curves/meltCurve_Q9Y5J7_TIMM9.pdf")</f>
        <v>Melting_Curves/meltCurve_Q9Y5J7_TIMM9.pdf</v>
      </c>
    </row>
    <row r="6232" spans="1:28" x14ac:dyDescent="0.25">
      <c r="A6232" t="s">
        <v>6236</v>
      </c>
      <c r="B6232">
        <v>0.99987803227770999</v>
      </c>
      <c r="C6232">
        <v>1.0434903976052501</v>
      </c>
      <c r="D6232">
        <v>0.99608236259234795</v>
      </c>
      <c r="E6232">
        <v>0.61277985106750599</v>
      </c>
      <c r="F6232">
        <v>1.05342608199424</v>
      </c>
      <c r="G6232">
        <v>0.85076167777021205</v>
      </c>
      <c r="H6232">
        <v>0.87668398651096902</v>
      </c>
      <c r="I6232">
        <v>0.80623231858252098</v>
      </c>
      <c r="J6232">
        <v>0.88694914409632497</v>
      </c>
      <c r="K6232">
        <v>0.74121793309886896</v>
      </c>
      <c r="L6232">
        <v>11671.6351550771</v>
      </c>
      <c r="M6232">
        <v>250</v>
      </c>
      <c r="O6232">
        <v>46.683553360776401</v>
      </c>
      <c r="P6232">
        <v>-0.224143828283175</v>
      </c>
      <c r="Q6232">
        <v>0.83257871563053198</v>
      </c>
      <c r="R6232">
        <v>0.37506771659315902</v>
      </c>
      <c r="S6232" t="s">
        <v>12543</v>
      </c>
      <c r="T6232" t="s">
        <v>12620</v>
      </c>
      <c r="U6232" t="s">
        <v>12620</v>
      </c>
      <c r="V6232" t="s">
        <v>12620</v>
      </c>
      <c r="W6232" t="s">
        <v>18791</v>
      </c>
      <c r="X6232">
        <v>3</v>
      </c>
      <c r="Y6232" t="s">
        <v>24872</v>
      </c>
      <c r="Z6232" t="s">
        <v>31179</v>
      </c>
      <c r="AA6232">
        <v>0.86990807377287971</v>
      </c>
      <c r="AB6232" t="str">
        <f>HYPERLINK("Melting_Curves/meltCurve_Q9Y5J9_TIMM8B.pdf", "Melting_Curves/meltCurve_Q9Y5J9_TIMM8B.pdf")</f>
        <v>Melting_Curves/meltCurve_Q9Y5J9_TIMM8B.pdf</v>
      </c>
    </row>
    <row r="6233" spans="1:28" x14ac:dyDescent="0.25">
      <c r="A6233" t="s">
        <v>6237</v>
      </c>
      <c r="B6233">
        <v>0.99987803227770999</v>
      </c>
      <c r="C6233">
        <v>0.95509630941245705</v>
      </c>
      <c r="D6233">
        <v>1.18519681909441</v>
      </c>
      <c r="E6233">
        <v>0.99939495440576398</v>
      </c>
      <c r="F6233">
        <v>0.504064163237949</v>
      </c>
      <c r="G6233">
        <v>0.25450520439712399</v>
      </c>
      <c r="H6233">
        <v>0.13369401194014999</v>
      </c>
      <c r="I6233">
        <v>0.107458109751049</v>
      </c>
      <c r="J6233">
        <v>7.2918046977633502E-2</v>
      </c>
      <c r="K6233">
        <v>5.1121975636988302E-2</v>
      </c>
      <c r="L6233">
        <v>2309.0411834709198</v>
      </c>
      <c r="M6233">
        <v>43.641167030142199</v>
      </c>
      <c r="N6233">
        <v>53.219832286751704</v>
      </c>
      <c r="O6233">
        <v>52.798973998552</v>
      </c>
      <c r="P6233">
        <v>-0.18343897270089399</v>
      </c>
      <c r="Q6233">
        <v>0.112271748554686</v>
      </c>
      <c r="R6233">
        <v>0.96902004553933596</v>
      </c>
      <c r="S6233" t="s">
        <v>12544</v>
      </c>
      <c r="T6233" t="s">
        <v>12620</v>
      </c>
      <c r="U6233" t="s">
        <v>12620</v>
      </c>
      <c r="V6233" t="s">
        <v>12620</v>
      </c>
      <c r="W6233" t="s">
        <v>18792</v>
      </c>
      <c r="X6233">
        <v>14</v>
      </c>
      <c r="Y6233" t="s">
        <v>24873</v>
      </c>
      <c r="Z6233" t="s">
        <v>31180</v>
      </c>
      <c r="AA6233">
        <v>0.4970048589371821</v>
      </c>
      <c r="AB6233" t="str">
        <f>HYPERLINK("Melting_Curves/meltCurve_Q9Y5K5_2_UCHL5.pdf", "Melting_Curves/meltCurve_Q9Y5K5_2_UCHL5.pdf")</f>
        <v>Melting_Curves/meltCurve_Q9Y5K5_2_UCHL5.pdf</v>
      </c>
    </row>
    <row r="6234" spans="1:28" x14ac:dyDescent="0.25">
      <c r="A6234" t="s">
        <v>6238</v>
      </c>
      <c r="B6234">
        <v>0.99987803227770999</v>
      </c>
      <c r="C6234">
        <v>1.08634263143465</v>
      </c>
      <c r="D6234">
        <v>1.01240140829933</v>
      </c>
      <c r="E6234">
        <v>1.14308704630473</v>
      </c>
      <c r="F6234">
        <v>0.92428525715570298</v>
      </c>
      <c r="G6234">
        <v>1.01374229514051</v>
      </c>
      <c r="H6234">
        <v>0.89051611295506605</v>
      </c>
      <c r="I6234">
        <v>0.72747161544972605</v>
      </c>
      <c r="J6234">
        <v>0.67552280641155504</v>
      </c>
      <c r="K6234">
        <v>0.54014339673936895</v>
      </c>
      <c r="L6234">
        <v>1502.49516035136</v>
      </c>
      <c r="M6234">
        <v>23.374965427136299</v>
      </c>
      <c r="O6234">
        <v>63.813059353249599</v>
      </c>
      <c r="P6234">
        <v>-4.6382745529124601E-2</v>
      </c>
      <c r="Q6234">
        <v>0.49351404336122001</v>
      </c>
      <c r="R6234">
        <v>0.88817232729329598</v>
      </c>
      <c r="S6234" t="s">
        <v>12545</v>
      </c>
      <c r="T6234" t="s">
        <v>12620</v>
      </c>
      <c r="U6234" t="s">
        <v>12620</v>
      </c>
      <c r="V6234" t="s">
        <v>12620</v>
      </c>
      <c r="W6234" t="s">
        <v>18793</v>
      </c>
      <c r="X6234">
        <v>26</v>
      </c>
      <c r="Y6234" t="s">
        <v>24874</v>
      </c>
      <c r="Z6234" t="s">
        <v>31181</v>
      </c>
      <c r="AA6234">
        <v>0.90164457781968921</v>
      </c>
      <c r="AB6234" t="str">
        <f>HYPERLINK("Melting_Curves/meltCurve_Q9Y5K6_CD2AP.pdf", "Melting_Curves/meltCurve_Q9Y5K6_CD2AP.pdf")</f>
        <v>Melting_Curves/meltCurve_Q9Y5K6_CD2AP.pdf</v>
      </c>
    </row>
    <row r="6235" spans="1:28" x14ac:dyDescent="0.25">
      <c r="A6235" t="s">
        <v>6239</v>
      </c>
      <c r="B6235">
        <v>0.99987803227770999</v>
      </c>
      <c r="C6235">
        <v>1.0064988593675099</v>
      </c>
      <c r="D6235">
        <v>1.0043167167933</v>
      </c>
      <c r="E6235">
        <v>1.14513619517293</v>
      </c>
      <c r="F6235">
        <v>0.99316549130773202</v>
      </c>
      <c r="G6235">
        <v>0.91844758996723497</v>
      </c>
      <c r="H6235">
        <v>0.70723339556103204</v>
      </c>
      <c r="I6235">
        <v>0.48297371133669198</v>
      </c>
      <c r="J6235">
        <v>0.26805493379785</v>
      </c>
      <c r="K6235">
        <v>0.195995577168944</v>
      </c>
      <c r="L6235">
        <v>1493.1738763815599</v>
      </c>
      <c r="M6235">
        <v>23.748075495832399</v>
      </c>
      <c r="N6235">
        <v>63.591922357734099</v>
      </c>
      <c r="O6235">
        <v>62.434804933338903</v>
      </c>
      <c r="P6235">
        <v>-8.3932796808892499E-2</v>
      </c>
      <c r="Q6235">
        <v>0.11736121094829</v>
      </c>
      <c r="R6235">
        <v>0.97856859356449499</v>
      </c>
      <c r="S6235" t="s">
        <v>12546</v>
      </c>
      <c r="T6235" t="s">
        <v>12620</v>
      </c>
      <c r="U6235" t="s">
        <v>12620</v>
      </c>
      <c r="V6235" t="s">
        <v>12620</v>
      </c>
      <c r="W6235" t="s">
        <v>18794</v>
      </c>
      <c r="X6235">
        <v>12</v>
      </c>
      <c r="Y6235" t="s">
        <v>24875</v>
      </c>
      <c r="Z6235" t="s">
        <v>31182</v>
      </c>
      <c r="AA6235">
        <v>0.7922830999847712</v>
      </c>
      <c r="AB6235" t="str">
        <f>HYPERLINK("Melting_Curves/meltCurve_Q9Y5K8_ATP6V1D.pdf", "Melting_Curves/meltCurve_Q9Y5K8_ATP6V1D.pdf")</f>
        <v>Melting_Curves/meltCurve_Q9Y5K8_ATP6V1D.pdf</v>
      </c>
    </row>
    <row r="6236" spans="1:28" x14ac:dyDescent="0.25">
      <c r="A6236" t="s">
        <v>6240</v>
      </c>
      <c r="B6236">
        <v>0.99987803227770999</v>
      </c>
      <c r="C6236">
        <v>1.1418849586642801</v>
      </c>
      <c r="D6236">
        <v>0.982415219694183</v>
      </c>
      <c r="E6236">
        <v>1.13220724861539</v>
      </c>
      <c r="F6236">
        <v>0.81536235596636497</v>
      </c>
      <c r="G6236">
        <v>0.40315650378439499</v>
      </c>
      <c r="H6236">
        <v>0.175169750110132</v>
      </c>
      <c r="I6236">
        <v>0.116404816549567</v>
      </c>
      <c r="J6236">
        <v>8.46555294714883E-2</v>
      </c>
      <c r="K6236">
        <v>5.42488050593996E-2</v>
      </c>
      <c r="L6236">
        <v>1735.6241050450799</v>
      </c>
      <c r="M6236">
        <v>31.068066733171499</v>
      </c>
      <c r="N6236">
        <v>56.200115449379098</v>
      </c>
      <c r="O6236">
        <v>55.635286881883502</v>
      </c>
      <c r="P6236">
        <v>-0.12780863497838801</v>
      </c>
      <c r="Q6236">
        <v>8.4509546901262195E-2</v>
      </c>
      <c r="R6236">
        <v>0.97514910374431396</v>
      </c>
      <c r="S6236" t="s">
        <v>12547</v>
      </c>
      <c r="T6236" t="s">
        <v>12620</v>
      </c>
      <c r="U6236" t="s">
        <v>12620</v>
      </c>
      <c r="V6236" t="s">
        <v>12620</v>
      </c>
      <c r="W6236" t="s">
        <v>18795</v>
      </c>
      <c r="X6236">
        <v>30</v>
      </c>
      <c r="Y6236" t="s">
        <v>24876</v>
      </c>
      <c r="Z6236" t="s">
        <v>31183</v>
      </c>
      <c r="AA6236">
        <v>0.57437734377399008</v>
      </c>
      <c r="AB6236" t="str">
        <f>HYPERLINK("Melting_Curves/meltCurve_Q9Y5L0_TNPO3.pdf", "Melting_Curves/meltCurve_Q9Y5L0_TNPO3.pdf")</f>
        <v>Melting_Curves/meltCurve_Q9Y5L0_TNPO3.pdf</v>
      </c>
    </row>
    <row r="6237" spans="1:28" x14ac:dyDescent="0.25">
      <c r="A6237" t="s">
        <v>6241</v>
      </c>
      <c r="B6237">
        <v>0.99987803227770999</v>
      </c>
      <c r="C6237">
        <v>1.0756801437488099</v>
      </c>
      <c r="D6237">
        <v>1.0277931087207099</v>
      </c>
      <c r="E6237">
        <v>1.0419834360979601</v>
      </c>
      <c r="F6237">
        <v>0.94908149076245296</v>
      </c>
      <c r="G6237">
        <v>0.73023896621204298</v>
      </c>
      <c r="H6237">
        <v>0.55826337305495599</v>
      </c>
      <c r="I6237">
        <v>0.51645205362333202</v>
      </c>
      <c r="J6237">
        <v>0.42395241474617001</v>
      </c>
      <c r="K6237">
        <v>0.31748235851596901</v>
      </c>
      <c r="L6237">
        <v>1060.16301085587</v>
      </c>
      <c r="M6237">
        <v>17.917845213646601</v>
      </c>
      <c r="N6237">
        <v>62.856012343268397</v>
      </c>
      <c r="O6237">
        <v>58.445764559567202</v>
      </c>
      <c r="P6237">
        <v>-5.17166807928095E-2</v>
      </c>
      <c r="Q6237">
        <v>0.32526058227362897</v>
      </c>
      <c r="R6237">
        <v>0.97406640270218003</v>
      </c>
      <c r="S6237" t="s">
        <v>12548</v>
      </c>
      <c r="T6237" t="s">
        <v>12620</v>
      </c>
      <c r="U6237" t="s">
        <v>12620</v>
      </c>
      <c r="V6237" t="s">
        <v>12620</v>
      </c>
      <c r="W6237" t="s">
        <v>18796</v>
      </c>
      <c r="X6237">
        <v>5</v>
      </c>
      <c r="Y6237" t="s">
        <v>24877</v>
      </c>
      <c r="Z6237" t="s">
        <v>31184</v>
      </c>
      <c r="AA6237">
        <v>0.76328846533927475</v>
      </c>
      <c r="AB6237" t="str">
        <f>HYPERLINK("Melting_Curves/meltCurve_Q9Y5L4_TIMM13.pdf", "Melting_Curves/meltCurve_Q9Y5L4_TIMM13.pdf")</f>
        <v>Melting_Curves/meltCurve_Q9Y5L4_TIMM13.pdf</v>
      </c>
    </row>
    <row r="6238" spans="1:28" x14ac:dyDescent="0.25">
      <c r="A6238" t="s">
        <v>6242</v>
      </c>
      <c r="B6238">
        <v>0.99987803227770999</v>
      </c>
      <c r="C6238">
        <v>0.79671275209745696</v>
      </c>
      <c r="D6238">
        <v>0.92733869379341805</v>
      </c>
      <c r="E6238">
        <v>0.60098534366439904</v>
      </c>
      <c r="F6238">
        <v>0.39354210653196797</v>
      </c>
      <c r="G6238">
        <v>0.135500580533128</v>
      </c>
      <c r="H6238">
        <v>7.1424700741637204E-2</v>
      </c>
      <c r="I6238">
        <v>5.6358891367749797E-2</v>
      </c>
      <c r="J6238">
        <v>4.34891467668879E-2</v>
      </c>
      <c r="K6238">
        <v>3.1259492207151802E-2</v>
      </c>
      <c r="L6238">
        <v>816.80634532599504</v>
      </c>
      <c r="M6238">
        <v>15.939492319275701</v>
      </c>
      <c r="N6238">
        <v>51.301566260527103</v>
      </c>
      <c r="O6238">
        <v>50.457957716337397</v>
      </c>
      <c r="P6238">
        <v>-7.8282643278075201E-2</v>
      </c>
      <c r="Q6238">
        <v>8.8347225410623596E-3</v>
      </c>
      <c r="R6238">
        <v>0.97677995116750604</v>
      </c>
      <c r="S6238" t="s">
        <v>12549</v>
      </c>
      <c r="T6238" t="s">
        <v>12620</v>
      </c>
      <c r="U6238" t="s">
        <v>12620</v>
      </c>
      <c r="V6238" t="s">
        <v>12620</v>
      </c>
      <c r="W6238" t="s">
        <v>18797</v>
      </c>
      <c r="X6238">
        <v>3</v>
      </c>
      <c r="Y6238" t="s">
        <v>24878</v>
      </c>
      <c r="Z6238" t="s">
        <v>31185</v>
      </c>
      <c r="AA6238">
        <v>0.40088344647832019</v>
      </c>
      <c r="AB6238" t="str">
        <f>HYPERLINK("Melting_Curves/meltCurve_Q9Y5N5_2_N6AMT1.pdf", "Melting_Curves/meltCurve_Q9Y5N5_2_N6AMT1.pdf")</f>
        <v>Melting_Curves/meltCurve_Q9Y5N5_2_N6AMT1.pdf</v>
      </c>
    </row>
    <row r="6239" spans="1:28" x14ac:dyDescent="0.25">
      <c r="A6239" t="s">
        <v>6243</v>
      </c>
      <c r="B6239">
        <v>0.99987803227770999</v>
      </c>
      <c r="C6239">
        <v>0.95701672574405605</v>
      </c>
      <c r="D6239">
        <v>0.84923655337312898</v>
      </c>
      <c r="E6239">
        <v>1.01279303721257</v>
      </c>
      <c r="F6239">
        <v>0.66015685528360701</v>
      </c>
      <c r="G6239">
        <v>0.30877056139449</v>
      </c>
      <c r="H6239">
        <v>0.191218171033433</v>
      </c>
      <c r="I6239">
        <v>0.15785654721242801</v>
      </c>
      <c r="J6239">
        <v>0.11852726167180699</v>
      </c>
      <c r="K6239">
        <v>9.1240749914059602E-2</v>
      </c>
      <c r="L6239">
        <v>1531.1226600791299</v>
      </c>
      <c r="M6239">
        <v>28.252254882443999</v>
      </c>
      <c r="N6239">
        <v>54.758857053520799</v>
      </c>
      <c r="O6239">
        <v>53.925372674115302</v>
      </c>
      <c r="P6239">
        <v>-0.114441128817796</v>
      </c>
      <c r="Q6239">
        <v>0.126267458153729</v>
      </c>
      <c r="R6239">
        <v>0.97553227851964897</v>
      </c>
      <c r="S6239" t="s">
        <v>12550</v>
      </c>
      <c r="T6239" t="s">
        <v>12620</v>
      </c>
      <c r="U6239" t="s">
        <v>12620</v>
      </c>
      <c r="V6239" t="s">
        <v>12620</v>
      </c>
      <c r="W6239" t="s">
        <v>18798</v>
      </c>
      <c r="X6239">
        <v>15</v>
      </c>
      <c r="Y6239" t="s">
        <v>24879</v>
      </c>
      <c r="Z6239" t="s">
        <v>31186</v>
      </c>
      <c r="AA6239">
        <v>0.54612934352793352</v>
      </c>
      <c r="AB6239" t="str">
        <f>HYPERLINK("Melting_Curves/meltCurve_Q9Y5P4_2_COL4A3BP.pdf", "Melting_Curves/meltCurve_Q9Y5P4_2_COL4A3BP.pdf")</f>
        <v>Melting_Curves/meltCurve_Q9Y5P4_2_COL4A3BP.pdf</v>
      </c>
    </row>
    <row r="6240" spans="1:28" x14ac:dyDescent="0.25">
      <c r="A6240" t="s">
        <v>6244</v>
      </c>
      <c r="B6240">
        <v>0.99987803227770999</v>
      </c>
      <c r="C6240">
        <v>0.99240056279841804</v>
      </c>
      <c r="D6240">
        <v>0.97111194133740597</v>
      </c>
      <c r="E6240">
        <v>0.96094535266345404</v>
      </c>
      <c r="F6240">
        <v>0.55320965844578496</v>
      </c>
      <c r="G6240">
        <v>0.39451050316874398</v>
      </c>
      <c r="H6240">
        <v>0.19382797982109901</v>
      </c>
      <c r="I6240">
        <v>8.3821069086521593E-2</v>
      </c>
      <c r="J6240">
        <v>6.5946250370839302E-2</v>
      </c>
      <c r="K6240">
        <v>4.77048080919606E-2</v>
      </c>
      <c r="L6240">
        <v>1001.66358879867</v>
      </c>
      <c r="M6240">
        <v>18.297378524783898</v>
      </c>
      <c r="N6240">
        <v>54.9844629610323</v>
      </c>
      <c r="O6240">
        <v>54.102233423155603</v>
      </c>
      <c r="P6240">
        <v>-8.1297001302806204E-2</v>
      </c>
      <c r="Q6240">
        <v>3.8518903348511303E-2</v>
      </c>
      <c r="R6240">
        <v>0.98409368942476805</v>
      </c>
      <c r="S6240" t="s">
        <v>12551</v>
      </c>
      <c r="T6240" t="s">
        <v>12620</v>
      </c>
      <c r="U6240" t="s">
        <v>12620</v>
      </c>
      <c r="V6240" t="s">
        <v>12620</v>
      </c>
      <c r="W6240" t="s">
        <v>18799</v>
      </c>
      <c r="X6240">
        <v>10</v>
      </c>
      <c r="Y6240" t="s">
        <v>24880</v>
      </c>
      <c r="Z6240" t="s">
        <v>31187</v>
      </c>
      <c r="AA6240">
        <v>0.52572242135729963</v>
      </c>
      <c r="AB6240" t="str">
        <f>HYPERLINK("Melting_Curves/meltCurve_Q9Y5P6_GMPPB.pdf", "Melting_Curves/meltCurve_Q9Y5P6_GMPPB.pdf")</f>
        <v>Melting_Curves/meltCurve_Q9Y5P6_GMPPB.pdf</v>
      </c>
    </row>
    <row r="6241" spans="1:28" x14ac:dyDescent="0.25">
      <c r="A6241" t="s">
        <v>6245</v>
      </c>
      <c r="B6241">
        <v>0.99987803227770999</v>
      </c>
      <c r="C6241">
        <v>1.0492235144469499</v>
      </c>
      <c r="D6241">
        <v>0.79162010131098903</v>
      </c>
      <c r="E6241">
        <v>0.58577722918655795</v>
      </c>
      <c r="F6241">
        <v>0.31155198909833598</v>
      </c>
      <c r="G6241">
        <v>0.20375746789010499</v>
      </c>
      <c r="H6241">
        <v>0.14130227900247799</v>
      </c>
      <c r="I6241">
        <v>0.13897800848049499</v>
      </c>
      <c r="J6241">
        <v>0.124800308794095</v>
      </c>
      <c r="K6241">
        <v>9.9014880043685097E-2</v>
      </c>
      <c r="L6241">
        <v>942.88111796630699</v>
      </c>
      <c r="M6241">
        <v>18.879553464326499</v>
      </c>
      <c r="N6241">
        <v>50.632605547932698</v>
      </c>
      <c r="O6241">
        <v>49.391726831470898</v>
      </c>
      <c r="P6241">
        <v>-8.4715416835198204E-2</v>
      </c>
      <c r="Q6241">
        <v>0.11352364351835099</v>
      </c>
      <c r="R6241">
        <v>0.98925387313483604</v>
      </c>
      <c r="S6241" t="s">
        <v>12552</v>
      </c>
      <c r="T6241" t="s">
        <v>12620</v>
      </c>
      <c r="U6241" t="s">
        <v>12620</v>
      </c>
      <c r="V6241" t="s">
        <v>12620</v>
      </c>
      <c r="W6241" t="s">
        <v>18800</v>
      </c>
      <c r="X6241">
        <v>8</v>
      </c>
      <c r="Y6241" t="s">
        <v>24881</v>
      </c>
      <c r="Z6241" t="s">
        <v>31188</v>
      </c>
      <c r="AA6241">
        <v>0.42110624751990777</v>
      </c>
      <c r="AB6241" t="str">
        <f>HYPERLINK("Melting_Curves/meltCurve_Q9Y5Q8_GTF3C5.pdf", "Melting_Curves/meltCurve_Q9Y5Q8_GTF3C5.pdf")</f>
        <v>Melting_Curves/meltCurve_Q9Y5Q8_GTF3C5.pdf</v>
      </c>
    </row>
    <row r="6242" spans="1:28" x14ac:dyDescent="0.25">
      <c r="A6242" t="s">
        <v>6246</v>
      </c>
      <c r="B6242">
        <v>0.99987803227770999</v>
      </c>
      <c r="C6242">
        <v>1.03405321534356</v>
      </c>
      <c r="D6242">
        <v>0.69627109526906295</v>
      </c>
      <c r="E6242">
        <v>0.57302659817038604</v>
      </c>
      <c r="F6242">
        <v>0.45264894361423402</v>
      </c>
      <c r="G6242">
        <v>0.28356861000838901</v>
      </c>
      <c r="H6242">
        <v>0.257697194894977</v>
      </c>
      <c r="I6242">
        <v>0.25506936506016298</v>
      </c>
      <c r="J6242">
        <v>0.19843527745727399</v>
      </c>
      <c r="K6242">
        <v>0.16329992507972901</v>
      </c>
      <c r="L6242">
        <v>695.19688035092099</v>
      </c>
      <c r="M6242">
        <v>14.0265113157387</v>
      </c>
      <c r="N6242">
        <v>51.282028839504797</v>
      </c>
      <c r="O6242">
        <v>48.588257580492801</v>
      </c>
      <c r="P6242">
        <v>-5.8642423771423299E-2</v>
      </c>
      <c r="Q6242">
        <v>0.187550216760482</v>
      </c>
      <c r="R6242">
        <v>0.97016581884271902</v>
      </c>
      <c r="S6242" t="s">
        <v>12553</v>
      </c>
      <c r="T6242" t="s">
        <v>12620</v>
      </c>
      <c r="U6242" t="s">
        <v>12620</v>
      </c>
      <c r="V6242" t="s">
        <v>12620</v>
      </c>
      <c r="W6242" t="s">
        <v>18801</v>
      </c>
      <c r="X6242">
        <v>9</v>
      </c>
      <c r="Y6242" t="s">
        <v>24882</v>
      </c>
      <c r="Z6242" t="s">
        <v>31189</v>
      </c>
      <c r="AA6242">
        <v>0.46870143858173408</v>
      </c>
      <c r="AB6242" t="str">
        <f>HYPERLINK("Melting_Curves/meltCurve_Q9Y5Q9_GTF3C3.pdf", "Melting_Curves/meltCurve_Q9Y5Q9_GTF3C3.pdf")</f>
        <v>Melting_Curves/meltCurve_Q9Y5Q9_GTF3C3.pdf</v>
      </c>
    </row>
    <row r="6243" spans="1:28" x14ac:dyDescent="0.25">
      <c r="A6243" t="s">
        <v>6247</v>
      </c>
      <c r="B6243">
        <v>0.99987803227770999</v>
      </c>
      <c r="C6243">
        <v>0.881822352811931</v>
      </c>
      <c r="D6243">
        <v>0.84005218374272494</v>
      </c>
      <c r="E6243">
        <v>0.77530826543608899</v>
      </c>
      <c r="F6243">
        <v>0.77099891690785005</v>
      </c>
      <c r="G6243">
        <v>0.27090423416525899</v>
      </c>
      <c r="H6243">
        <v>8.9806489873709094E-2</v>
      </c>
      <c r="I6243">
        <v>8.5859340567221304E-2</v>
      </c>
      <c r="J6243">
        <v>5.42779288380974E-2</v>
      </c>
      <c r="K6243">
        <v>4.1691881781382903E-2</v>
      </c>
      <c r="L6243">
        <v>956.43348066699696</v>
      </c>
      <c r="M6243">
        <v>17.485898046633899</v>
      </c>
      <c r="N6243">
        <v>54.697428703228603</v>
      </c>
      <c r="O6243">
        <v>53.997069735064898</v>
      </c>
      <c r="P6243">
        <v>-8.0962100930413505E-2</v>
      </c>
      <c r="Q6243">
        <v>0</v>
      </c>
      <c r="R6243">
        <v>0.96114561538346299</v>
      </c>
      <c r="S6243" t="s">
        <v>12554</v>
      </c>
      <c r="T6243" t="s">
        <v>12620</v>
      </c>
      <c r="U6243" t="s">
        <v>12620</v>
      </c>
      <c r="V6243" t="s">
        <v>12620</v>
      </c>
      <c r="W6243" t="s">
        <v>18802</v>
      </c>
      <c r="X6243">
        <v>6</v>
      </c>
      <c r="Y6243" t="s">
        <v>24883</v>
      </c>
      <c r="Z6243" t="s">
        <v>31190</v>
      </c>
      <c r="AA6243">
        <v>0.5061983617286453</v>
      </c>
      <c r="AB6243" t="str">
        <f>HYPERLINK("Melting_Curves/meltCurve_Q9Y5R8_TRAPPC1.pdf", "Melting_Curves/meltCurve_Q9Y5R8_TRAPPC1.pdf")</f>
        <v>Melting_Curves/meltCurve_Q9Y5R8_TRAPPC1.pdf</v>
      </c>
    </row>
    <row r="6244" spans="1:28" x14ac:dyDescent="0.25">
      <c r="A6244" t="s">
        <v>6248</v>
      </c>
      <c r="B6244">
        <v>0.99987803227770999</v>
      </c>
      <c r="C6244">
        <v>1.0408440053064201</v>
      </c>
      <c r="D6244">
        <v>0.81946391408039299</v>
      </c>
      <c r="E6244">
        <v>0.78912210975892405</v>
      </c>
      <c r="F6244">
        <v>0.36643136692746903</v>
      </c>
      <c r="G6244">
        <v>0.206230315032118</v>
      </c>
      <c r="H6244">
        <v>0.14318581135814101</v>
      </c>
      <c r="I6244">
        <v>0.136234058583065</v>
      </c>
      <c r="J6244">
        <v>0.11507334884480699</v>
      </c>
      <c r="K6244">
        <v>7.6253213834632405E-2</v>
      </c>
      <c r="L6244">
        <v>1153.8673367064</v>
      </c>
      <c r="M6244">
        <v>22.361764749751</v>
      </c>
      <c r="N6244">
        <v>52.139334930713602</v>
      </c>
      <c r="O6244">
        <v>51.192674584880201</v>
      </c>
      <c r="P6244">
        <v>-9.7930439258816407E-2</v>
      </c>
      <c r="Q6244">
        <v>0.103252179485173</v>
      </c>
      <c r="R6244">
        <v>0.97875040465712904</v>
      </c>
      <c r="S6244" t="s">
        <v>12555</v>
      </c>
      <c r="T6244" t="s">
        <v>12620</v>
      </c>
      <c r="U6244" t="s">
        <v>12620</v>
      </c>
      <c r="V6244" t="s">
        <v>12620</v>
      </c>
      <c r="W6244" t="s">
        <v>18803</v>
      </c>
      <c r="X6244">
        <v>39</v>
      </c>
      <c r="Y6244" t="s">
        <v>24884</v>
      </c>
      <c r="Z6244" t="s">
        <v>31191</v>
      </c>
      <c r="AA6244">
        <v>0.46009348831428648</v>
      </c>
      <c r="AB6244" t="str">
        <f>HYPERLINK("Melting_Curves/meltCurve_Q9Y5S2_CDC42BPB.pdf", "Melting_Curves/meltCurve_Q9Y5S2_CDC42BPB.pdf")</f>
        <v>Melting_Curves/meltCurve_Q9Y5S2_CDC42BPB.pdf</v>
      </c>
    </row>
    <row r="6245" spans="1:28" x14ac:dyDescent="0.25">
      <c r="A6245" t="s">
        <v>6249</v>
      </c>
      <c r="B6245">
        <v>0.99987803227770999</v>
      </c>
      <c r="C6245">
        <v>0.91423671086841996</v>
      </c>
      <c r="D6245">
        <v>1.0802395989956399</v>
      </c>
      <c r="E6245">
        <v>1.0242082944701001</v>
      </c>
      <c r="F6245">
        <v>0.96835075189973197</v>
      </c>
      <c r="G6245">
        <v>0.80619573403970102</v>
      </c>
      <c r="H6245">
        <v>0.55319876753395303</v>
      </c>
      <c r="I6245">
        <v>0.68218842568067195</v>
      </c>
      <c r="J6245">
        <v>0.50222140862481102</v>
      </c>
      <c r="K6245">
        <v>0.42846573272171601</v>
      </c>
      <c r="L6245">
        <v>1207.16339866263</v>
      </c>
      <c r="M6245">
        <v>20.5866054887858</v>
      </c>
      <c r="N6245">
        <v>67.719582430534203</v>
      </c>
      <c r="O6245">
        <v>58.093413597928901</v>
      </c>
      <c r="P6245">
        <v>-4.7099371947846497E-2</v>
      </c>
      <c r="Q6245">
        <v>0.46837601447253102</v>
      </c>
      <c r="R6245">
        <v>0.91457294396600897</v>
      </c>
      <c r="S6245" t="s">
        <v>12556</v>
      </c>
      <c r="T6245" t="s">
        <v>12620</v>
      </c>
      <c r="U6245" t="s">
        <v>12620</v>
      </c>
      <c r="V6245" t="s">
        <v>12620</v>
      </c>
      <c r="W6245" t="s">
        <v>18804</v>
      </c>
      <c r="X6245">
        <v>5</v>
      </c>
      <c r="Y6245" t="s">
        <v>24885</v>
      </c>
      <c r="Z6245" t="s">
        <v>31192</v>
      </c>
      <c r="AA6245">
        <v>0.80415234432206784</v>
      </c>
      <c r="AB6245" t="str">
        <f>HYPERLINK("Melting_Curves/meltCurve_Q9Y5S9_RBM8A.pdf", "Melting_Curves/meltCurve_Q9Y5S9_RBM8A.pdf")</f>
        <v>Melting_Curves/meltCurve_Q9Y5S9_RBM8A.pdf</v>
      </c>
    </row>
    <row r="6246" spans="1:28" x14ac:dyDescent="0.25">
      <c r="A6246" t="s">
        <v>6250</v>
      </c>
      <c r="B6246">
        <v>0.99987803227770999</v>
      </c>
      <c r="C6246">
        <v>0.93335602067026502</v>
      </c>
      <c r="D6246">
        <v>0.42252909324438997</v>
      </c>
      <c r="E6246">
        <v>0.33000941876097301</v>
      </c>
      <c r="F6246">
        <v>0.163219908641759</v>
      </c>
      <c r="G6246">
        <v>9.0420002225841095E-2</v>
      </c>
      <c r="H6246">
        <v>5.38756641441136E-2</v>
      </c>
      <c r="I6246">
        <v>5.7160091511803603E-2</v>
      </c>
      <c r="J6246">
        <v>4.2106110267396399E-2</v>
      </c>
      <c r="K6246">
        <v>4.3373544609667802E-2</v>
      </c>
      <c r="L6246">
        <v>902.52382375432205</v>
      </c>
      <c r="M6246">
        <v>19.518724628539701</v>
      </c>
      <c r="N6246">
        <v>46.552959490580903</v>
      </c>
      <c r="O6246">
        <v>45.7617283208562</v>
      </c>
      <c r="P6246">
        <v>-0.100057385982622</v>
      </c>
      <c r="Q6246">
        <v>6.1693861136356803E-2</v>
      </c>
      <c r="R6246">
        <v>0.96693876570961201</v>
      </c>
      <c r="S6246" t="s">
        <v>12557</v>
      </c>
      <c r="T6246" t="s">
        <v>12620</v>
      </c>
      <c r="U6246" t="s">
        <v>12620</v>
      </c>
      <c r="V6246" t="s">
        <v>12620</v>
      </c>
      <c r="W6246" t="s">
        <v>18805</v>
      </c>
      <c r="X6246">
        <v>1</v>
      </c>
      <c r="Y6246" t="s">
        <v>24886</v>
      </c>
      <c r="Z6246" t="s">
        <v>31193</v>
      </c>
      <c r="AA6246">
        <v>0.27191457613490688</v>
      </c>
      <c r="AB6246" t="str">
        <f>HYPERLINK("Melting_Curves/meltCurve_Q9Y5T5_2_USP16.pdf", "Melting_Curves/meltCurve_Q9Y5T5_2_USP16.pdf")</f>
        <v>Melting_Curves/meltCurve_Q9Y5T5_2_USP16.pdf</v>
      </c>
    </row>
    <row r="6247" spans="1:28" x14ac:dyDescent="0.25">
      <c r="A6247" t="s">
        <v>6251</v>
      </c>
      <c r="B6247">
        <v>0.99987803227770999</v>
      </c>
      <c r="C6247">
        <v>0.94183785205064996</v>
      </c>
      <c r="D6247">
        <v>0.88702843903953599</v>
      </c>
      <c r="E6247">
        <v>1.0343197793438701</v>
      </c>
      <c r="F6247">
        <v>1.69864032889284</v>
      </c>
      <c r="G6247">
        <v>1.5023565342566201</v>
      </c>
      <c r="H6247">
        <v>2.0039447428567101</v>
      </c>
      <c r="I6247">
        <v>2.23977360168678</v>
      </c>
      <c r="J6247">
        <v>2.5514956261523301</v>
      </c>
      <c r="K6247">
        <v>2.1935239512588698</v>
      </c>
      <c r="L6247">
        <v>12630.3505492205</v>
      </c>
      <c r="M6247">
        <v>250</v>
      </c>
      <c r="O6247">
        <v>50.518169176610698</v>
      </c>
      <c r="P6247">
        <v>0.61858932251221799</v>
      </c>
      <c r="Q6247">
        <v>1.5</v>
      </c>
      <c r="R6247">
        <v>0.29598215251738103</v>
      </c>
      <c r="S6247" t="s">
        <v>12558</v>
      </c>
      <c r="T6247" t="s">
        <v>12620</v>
      </c>
      <c r="U6247" t="s">
        <v>12620</v>
      </c>
      <c r="V6247" t="s">
        <v>12620</v>
      </c>
      <c r="W6247" t="s">
        <v>18806</v>
      </c>
      <c r="X6247">
        <v>5</v>
      </c>
      <c r="Y6247" t="s">
        <v>24887</v>
      </c>
      <c r="Z6247" t="s">
        <v>31194</v>
      </c>
      <c r="AA6247">
        <v>1.324598964581349</v>
      </c>
      <c r="AB6247" t="str">
        <f>HYPERLINK("Melting_Curves/meltCurve_Q9Y5U2_2_TSSC4.pdf", "Melting_Curves/meltCurve_Q9Y5U2_2_TSSC4.pdf")</f>
        <v>Melting_Curves/meltCurve_Q9Y5U2_2_TSSC4.pdf</v>
      </c>
    </row>
    <row r="6248" spans="1:28" x14ac:dyDescent="0.25">
      <c r="A6248" t="s">
        <v>6252</v>
      </c>
      <c r="B6248">
        <v>0.99987803227770999</v>
      </c>
      <c r="C6248">
        <v>0.77630071773431597</v>
      </c>
      <c r="D6248">
        <v>0.998383011060758</v>
      </c>
      <c r="E6248">
        <v>0.83019546586836501</v>
      </c>
      <c r="F6248">
        <v>1.0734874532571199</v>
      </c>
      <c r="G6248">
        <v>0.72729832225828195</v>
      </c>
      <c r="H6248">
        <v>0.91657944740717501</v>
      </c>
      <c r="I6248">
        <v>0.84760018531324599</v>
      </c>
      <c r="J6248">
        <v>1.06058674482514</v>
      </c>
      <c r="K6248">
        <v>0.817829639304131</v>
      </c>
      <c r="L6248">
        <v>10224.6198625459</v>
      </c>
      <c r="M6248">
        <v>250</v>
      </c>
      <c r="O6248">
        <v>40.895857189495899</v>
      </c>
      <c r="P6248">
        <v>-0.16161271651880901</v>
      </c>
      <c r="Q6248">
        <v>0.89425133789800604</v>
      </c>
      <c r="R6248">
        <v>7.4333050587043606E-2</v>
      </c>
      <c r="S6248" t="s">
        <v>12559</v>
      </c>
      <c r="T6248" t="s">
        <v>12620</v>
      </c>
      <c r="U6248" t="s">
        <v>12620</v>
      </c>
      <c r="V6248" t="s">
        <v>12620</v>
      </c>
      <c r="W6248" t="s">
        <v>18807</v>
      </c>
      <c r="X6248">
        <v>3</v>
      </c>
      <c r="Y6248" t="s">
        <v>24888</v>
      </c>
      <c r="Z6248" t="s">
        <v>31195</v>
      </c>
      <c r="AA6248">
        <v>0.89742801734799571</v>
      </c>
      <c r="AB6248" t="str">
        <f>HYPERLINK("Melting_Curves/meltCurve_Q9Y5V0_ZNF706.pdf", "Melting_Curves/meltCurve_Q9Y5V0_ZNF706.pdf")</f>
        <v>Melting_Curves/meltCurve_Q9Y5V0_ZNF706.pdf</v>
      </c>
    </row>
    <row r="6249" spans="1:28" x14ac:dyDescent="0.25">
      <c r="A6249" t="s">
        <v>6253</v>
      </c>
      <c r="B6249">
        <v>0.99987803227770999</v>
      </c>
      <c r="C6249">
        <v>0.71351127305177198</v>
      </c>
      <c r="D6249">
        <v>0.949298262191136</v>
      </c>
      <c r="E6249">
        <v>0.764929602757079</v>
      </c>
      <c r="F6249">
        <v>1.03859271593207</v>
      </c>
      <c r="G6249">
        <v>0.86392866210951502</v>
      </c>
      <c r="H6249">
        <v>0.92818245774824804</v>
      </c>
      <c r="I6249">
        <v>0.87359730986420503</v>
      </c>
      <c r="J6249">
        <v>0.95699860379183499</v>
      </c>
      <c r="K6249">
        <v>0.78670940610223705</v>
      </c>
      <c r="L6249">
        <v>10223.632076195399</v>
      </c>
      <c r="M6249">
        <v>250</v>
      </c>
      <c r="O6249">
        <v>40.891911337111601</v>
      </c>
      <c r="P6249">
        <v>-0.19092510696068299</v>
      </c>
      <c r="Q6249">
        <v>0.87508331944586204</v>
      </c>
      <c r="R6249">
        <v>0.13745805424582799</v>
      </c>
      <c r="S6249" t="s">
        <v>12560</v>
      </c>
      <c r="T6249" t="s">
        <v>12620</v>
      </c>
      <c r="U6249" t="s">
        <v>12620</v>
      </c>
      <c r="V6249" t="s">
        <v>12620</v>
      </c>
      <c r="W6249" t="s">
        <v>18808</v>
      </c>
      <c r="X6249">
        <v>6</v>
      </c>
      <c r="Y6249" t="s">
        <v>24889</v>
      </c>
      <c r="Z6249" t="s">
        <v>31196</v>
      </c>
      <c r="AA6249">
        <v>0.87881941016471032</v>
      </c>
      <c r="AB6249" t="str">
        <f>HYPERLINK("Melting_Curves/meltCurve_Q9Y5V3_MAGED1.pdf", "Melting_Curves/meltCurve_Q9Y5V3_MAGED1.pdf")</f>
        <v>Melting_Curves/meltCurve_Q9Y5V3_MAGED1.pdf</v>
      </c>
    </row>
    <row r="6250" spans="1:28" x14ac:dyDescent="0.25">
      <c r="A6250" t="s">
        <v>6254</v>
      </c>
      <c r="B6250">
        <v>0.99987803227770999</v>
      </c>
      <c r="C6250">
        <v>1.0017935793142301</v>
      </c>
      <c r="D6250">
        <v>0.95844798948281795</v>
      </c>
      <c r="E6250">
        <v>0.76702543228841802</v>
      </c>
      <c r="F6250">
        <v>0.50872555593082203</v>
      </c>
      <c r="G6250">
        <v>0.36642576622466599</v>
      </c>
      <c r="H6250">
        <v>0.42097266135843298</v>
      </c>
      <c r="I6250">
        <v>0.32999058196249598</v>
      </c>
      <c r="J6250">
        <v>0.38326531811548198</v>
      </c>
      <c r="K6250">
        <v>0.31573835007214401</v>
      </c>
      <c r="L6250">
        <v>1476.58729545182</v>
      </c>
      <c r="M6250">
        <v>29.004028649844098</v>
      </c>
      <c r="N6250">
        <v>53.194042649554397</v>
      </c>
      <c r="O6250">
        <v>50.669562107348902</v>
      </c>
      <c r="P6250">
        <v>-9.2144620593096097E-2</v>
      </c>
      <c r="Q6250">
        <v>0.35610426114214899</v>
      </c>
      <c r="R6250">
        <v>0.99063823729988698</v>
      </c>
      <c r="S6250" t="s">
        <v>12561</v>
      </c>
      <c r="T6250" t="s">
        <v>12620</v>
      </c>
      <c r="U6250" t="s">
        <v>12620</v>
      </c>
      <c r="V6250" t="s">
        <v>12620</v>
      </c>
      <c r="W6250" t="s">
        <v>18809</v>
      </c>
      <c r="X6250">
        <v>6</v>
      </c>
      <c r="Y6250" t="s">
        <v>24890</v>
      </c>
      <c r="Z6250" t="s">
        <v>31197</v>
      </c>
      <c r="AA6250">
        <v>0.59458717180111975</v>
      </c>
      <c r="AB6250" t="str">
        <f>HYPERLINK("Melting_Curves/meltCurve_Q9Y5X1_SNX9.pdf", "Melting_Curves/meltCurve_Q9Y5X1_SNX9.pdf")</f>
        <v>Melting_Curves/meltCurve_Q9Y5X1_SNX9.pdf</v>
      </c>
    </row>
    <row r="6251" spans="1:28" x14ac:dyDescent="0.25">
      <c r="A6251" t="s">
        <v>6255</v>
      </c>
      <c r="B6251">
        <v>0.99987803227770999</v>
      </c>
      <c r="C6251">
        <v>1.0512386645804599</v>
      </c>
      <c r="D6251">
        <v>0.96511799911569796</v>
      </c>
      <c r="E6251">
        <v>1.11191495672138</v>
      </c>
      <c r="F6251">
        <v>1.0326697233326201</v>
      </c>
      <c r="G6251">
        <v>0.88464778459938298</v>
      </c>
      <c r="H6251">
        <v>0.52144029577185202</v>
      </c>
      <c r="I6251">
        <v>0.155319373316647</v>
      </c>
      <c r="J6251">
        <v>8.2908786630191703E-2</v>
      </c>
      <c r="K6251">
        <v>5.7126595062300903E-2</v>
      </c>
      <c r="L6251">
        <v>2134.9768116314499</v>
      </c>
      <c r="M6251">
        <v>35.086154374141202</v>
      </c>
      <c r="N6251">
        <v>60.990685555788602</v>
      </c>
      <c r="O6251">
        <v>60.652899410995801</v>
      </c>
      <c r="P6251">
        <v>-0.13898066127450701</v>
      </c>
      <c r="Q6251">
        <v>3.89883681173104E-2</v>
      </c>
      <c r="R6251">
        <v>0.98808652039344802</v>
      </c>
      <c r="S6251" t="s">
        <v>12562</v>
      </c>
      <c r="T6251" t="s">
        <v>12620</v>
      </c>
      <c r="U6251" t="s">
        <v>12620</v>
      </c>
      <c r="V6251" t="s">
        <v>12620</v>
      </c>
      <c r="W6251" t="s">
        <v>18810</v>
      </c>
      <c r="X6251">
        <v>12</v>
      </c>
      <c r="Y6251" t="s">
        <v>24891</v>
      </c>
      <c r="Z6251" t="s">
        <v>31198</v>
      </c>
      <c r="AA6251">
        <v>0.71134650014393641</v>
      </c>
      <c r="AB6251" t="str">
        <f>HYPERLINK("Melting_Curves/meltCurve_Q9Y5X2_SNX8.pdf", "Melting_Curves/meltCurve_Q9Y5X2_SNX8.pdf")</f>
        <v>Melting_Curves/meltCurve_Q9Y5X2_SNX8.pdf</v>
      </c>
    </row>
    <row r="6252" spans="1:28" x14ac:dyDescent="0.25">
      <c r="A6252" t="s">
        <v>6256</v>
      </c>
      <c r="B6252">
        <v>0.99987803227770999</v>
      </c>
      <c r="C6252">
        <v>0.68800593305720503</v>
      </c>
      <c r="D6252">
        <v>0.97919741773623803</v>
      </c>
      <c r="E6252">
        <v>0.87659070021740004</v>
      </c>
      <c r="F6252">
        <v>0.38119934337807398</v>
      </c>
      <c r="G6252">
        <v>0.19520038101967299</v>
      </c>
      <c r="H6252">
        <v>0.13279048717852199</v>
      </c>
      <c r="I6252">
        <v>0.112508130680833</v>
      </c>
      <c r="J6252">
        <v>9.9721655273936893E-2</v>
      </c>
      <c r="K6252">
        <v>8.0217975970965E-2</v>
      </c>
      <c r="L6252">
        <v>2163.30289785079</v>
      </c>
      <c r="M6252">
        <v>41.586750254580501</v>
      </c>
      <c r="N6252">
        <v>52.355077625934697</v>
      </c>
      <c r="O6252">
        <v>51.8991966478752</v>
      </c>
      <c r="P6252">
        <v>-0.176860978459562</v>
      </c>
      <c r="Q6252">
        <v>0.117129827536481</v>
      </c>
      <c r="R6252">
        <v>0.92453374975007196</v>
      </c>
      <c r="S6252" t="s">
        <v>12563</v>
      </c>
      <c r="T6252" t="s">
        <v>12620</v>
      </c>
      <c r="U6252" t="s">
        <v>12620</v>
      </c>
      <c r="V6252" t="s">
        <v>12620</v>
      </c>
      <c r="W6252" t="s">
        <v>18811</v>
      </c>
      <c r="X6252">
        <v>14</v>
      </c>
      <c r="Y6252" t="s">
        <v>24892</v>
      </c>
      <c r="Z6252" t="s">
        <v>31199</v>
      </c>
      <c r="AA6252">
        <v>0.47377251728441838</v>
      </c>
      <c r="AB6252" t="str">
        <f>HYPERLINK("Melting_Curves/meltCurve_Q9Y5X3_SNX5.pdf", "Melting_Curves/meltCurve_Q9Y5X3_SNX5.pdf")</f>
        <v>Melting_Curves/meltCurve_Q9Y5X3_SNX5.pdf</v>
      </c>
    </row>
    <row r="6253" spans="1:28" x14ac:dyDescent="0.25">
      <c r="A6253" t="s">
        <v>6257</v>
      </c>
      <c r="B6253">
        <v>0.99987803227770999</v>
      </c>
      <c r="C6253">
        <v>0.79553249392187297</v>
      </c>
      <c r="D6253">
        <v>0.95551207922938597</v>
      </c>
      <c r="E6253">
        <v>0.75550895145164798</v>
      </c>
      <c r="F6253">
        <v>0.97464943454671504</v>
      </c>
      <c r="G6253">
        <v>0.79608344835542599</v>
      </c>
      <c r="H6253">
        <v>0.78426087296826696</v>
      </c>
      <c r="I6253">
        <v>0.68360587194432298</v>
      </c>
      <c r="J6253">
        <v>0.71379059797837197</v>
      </c>
      <c r="K6253">
        <v>0.66799657924954603</v>
      </c>
      <c r="L6253">
        <v>193.581928482617</v>
      </c>
      <c r="M6253">
        <v>2.0224885894539999</v>
      </c>
      <c r="O6253">
        <v>57.238713309481099</v>
      </c>
      <c r="P6253">
        <v>-9.6057499607554893E-3</v>
      </c>
      <c r="Q6253">
        <v>0</v>
      </c>
      <c r="R6253">
        <v>0.57542122783278604</v>
      </c>
      <c r="S6253" t="s">
        <v>12564</v>
      </c>
      <c r="T6253" t="s">
        <v>12620</v>
      </c>
      <c r="U6253" t="s">
        <v>12620</v>
      </c>
      <c r="V6253" t="s">
        <v>12620</v>
      </c>
      <c r="W6253" t="s">
        <v>18812</v>
      </c>
      <c r="X6253">
        <v>3</v>
      </c>
      <c r="Y6253" t="s">
        <v>24893</v>
      </c>
      <c r="Z6253" t="s">
        <v>31200</v>
      </c>
      <c r="AA6253">
        <v>0.81522214291622064</v>
      </c>
      <c r="AB6253" t="str">
        <f>HYPERLINK("Melting_Curves/meltCurve_Q9Y5Y0_FLVCR1.pdf", "Melting_Curves/meltCurve_Q9Y5Y0_FLVCR1.pdf")</f>
        <v>Melting_Curves/meltCurve_Q9Y5Y0_FLVCR1.pdf</v>
      </c>
    </row>
    <row r="6254" spans="1:28" x14ac:dyDescent="0.25">
      <c r="A6254" t="s">
        <v>6258</v>
      </c>
      <c r="B6254">
        <v>0.99987803227770999</v>
      </c>
      <c r="C6254">
        <v>0.95528636267189304</v>
      </c>
      <c r="D6254">
        <v>0.97954157279977505</v>
      </c>
      <c r="E6254">
        <v>0.63206129787130905</v>
      </c>
      <c r="F6254">
        <v>0.28482418177458302</v>
      </c>
      <c r="G6254">
        <v>0.185492455438582</v>
      </c>
      <c r="H6254">
        <v>0.118793088992874</v>
      </c>
      <c r="I6254">
        <v>0.100137772360345</v>
      </c>
      <c r="J6254">
        <v>6.1633978597751903E-2</v>
      </c>
      <c r="K6254">
        <v>4.6813438936316801E-2</v>
      </c>
      <c r="L6254">
        <v>1365.65806899011</v>
      </c>
      <c r="M6254">
        <v>26.914942085299799</v>
      </c>
      <c r="N6254">
        <v>51.102077869417997</v>
      </c>
      <c r="O6254">
        <v>50.4621590993453</v>
      </c>
      <c r="P6254">
        <v>-0.121761312179837</v>
      </c>
      <c r="Q6254">
        <v>8.6860144970122205E-2</v>
      </c>
      <c r="R6254">
        <v>0.99415326669533299</v>
      </c>
      <c r="S6254" t="s">
        <v>12565</v>
      </c>
      <c r="T6254" t="s">
        <v>12620</v>
      </c>
      <c r="U6254" t="s">
        <v>12620</v>
      </c>
      <c r="V6254" t="s">
        <v>12620</v>
      </c>
      <c r="W6254" t="s">
        <v>18813</v>
      </c>
      <c r="X6254">
        <v>8</v>
      </c>
      <c r="Y6254" t="s">
        <v>24894</v>
      </c>
      <c r="Z6254" t="s">
        <v>31201</v>
      </c>
      <c r="AA6254">
        <v>0.42086124007297332</v>
      </c>
      <c r="AB6254" t="str">
        <f>HYPERLINK("Melting_Curves/meltCurve_Q9Y5Y2_NUBP2.pdf", "Melting_Curves/meltCurve_Q9Y5Y2_NUBP2.pdf")</f>
        <v>Melting_Curves/meltCurve_Q9Y5Y2_NUBP2.pdf</v>
      </c>
    </row>
    <row r="6255" spans="1:28" x14ac:dyDescent="0.25">
      <c r="A6255" t="s">
        <v>6259</v>
      </c>
      <c r="B6255">
        <v>0.99987803227770999</v>
      </c>
      <c r="C6255">
        <v>0.85631576804096199</v>
      </c>
      <c r="D6255">
        <v>0.98727668837952898</v>
      </c>
      <c r="E6255">
        <v>0.87751731942189704</v>
      </c>
      <c r="F6255">
        <v>0.95248804849602398</v>
      </c>
      <c r="G6255">
        <v>0.68445330923456504</v>
      </c>
      <c r="H6255">
        <v>0.73069605587337605</v>
      </c>
      <c r="I6255">
        <v>0.73756492664686901</v>
      </c>
      <c r="J6255">
        <v>0.80147170467851503</v>
      </c>
      <c r="K6255">
        <v>0.70015310790511498</v>
      </c>
      <c r="L6255">
        <v>521.02230788681197</v>
      </c>
      <c r="M6255">
        <v>9.8972199281977407</v>
      </c>
      <c r="O6255">
        <v>50.629335561966997</v>
      </c>
      <c r="P6255">
        <v>-1.48675726038118E-2</v>
      </c>
      <c r="Q6255">
        <v>0.69593300594757102</v>
      </c>
      <c r="R6255">
        <v>0.64425504844793102</v>
      </c>
      <c r="S6255" t="s">
        <v>12566</v>
      </c>
      <c r="T6255" t="s">
        <v>12620</v>
      </c>
      <c r="U6255" t="s">
        <v>12620</v>
      </c>
      <c r="V6255" t="s">
        <v>12620</v>
      </c>
      <c r="W6255" t="s">
        <v>18814</v>
      </c>
      <c r="X6255">
        <v>11</v>
      </c>
      <c r="Y6255" t="s">
        <v>24895</v>
      </c>
      <c r="Z6255" t="s">
        <v>31202</v>
      </c>
      <c r="AA6255">
        <v>0.83500446447394705</v>
      </c>
      <c r="AB6255" t="str">
        <f>HYPERLINK("Melting_Curves/meltCurve_Q9Y5Z4_HEBP2.pdf", "Melting_Curves/meltCurve_Q9Y5Z4_HEBP2.pdf")</f>
        <v>Melting_Curves/meltCurve_Q9Y5Z4_HEBP2.pdf</v>
      </c>
    </row>
    <row r="6256" spans="1:28" x14ac:dyDescent="0.25">
      <c r="A6256" t="s">
        <v>6260</v>
      </c>
      <c r="B6256">
        <v>0.99987803227770999</v>
      </c>
      <c r="C6256">
        <v>0.88632173000112302</v>
      </c>
      <c r="D6256">
        <v>0.84955001501165495</v>
      </c>
      <c r="E6256">
        <v>0.57077047755422095</v>
      </c>
      <c r="F6256">
        <v>0.35728106789504699</v>
      </c>
      <c r="G6256">
        <v>0.22163459890558199</v>
      </c>
      <c r="H6256">
        <v>0.20520932647635201</v>
      </c>
      <c r="I6256">
        <v>0.145838312128202</v>
      </c>
      <c r="J6256">
        <v>0.14443651635026</v>
      </c>
      <c r="K6256">
        <v>0.12336416514366</v>
      </c>
      <c r="L6256">
        <v>797.53576751493199</v>
      </c>
      <c r="M6256">
        <v>15.9641405411775</v>
      </c>
      <c r="N6256">
        <v>50.887178036205299</v>
      </c>
      <c r="O6256">
        <v>49.193767748406202</v>
      </c>
      <c r="P6256">
        <v>-7.0877073633453094E-2</v>
      </c>
      <c r="Q6256">
        <v>0.126433667522661</v>
      </c>
      <c r="R6256">
        <v>0.99463845829019504</v>
      </c>
      <c r="S6256" t="s">
        <v>12567</v>
      </c>
      <c r="T6256" t="s">
        <v>12620</v>
      </c>
      <c r="U6256" t="s">
        <v>12620</v>
      </c>
      <c r="V6256" t="s">
        <v>12620</v>
      </c>
      <c r="W6256" t="s">
        <v>18815</v>
      </c>
      <c r="X6256">
        <v>3</v>
      </c>
      <c r="Y6256" t="s">
        <v>24896</v>
      </c>
      <c r="Z6256" t="s">
        <v>31203</v>
      </c>
      <c r="AA6256">
        <v>0.4350442306603815</v>
      </c>
      <c r="AB6256" t="str">
        <f>HYPERLINK("Melting_Curves/meltCurve_Q9Y5Z7_HCFC2.pdf", "Melting_Curves/meltCurve_Q9Y5Z7_HCFC2.pdf")</f>
        <v>Melting_Curves/meltCurve_Q9Y5Z7_HCFC2.pdf</v>
      </c>
    </row>
    <row r="6257" spans="1:28" x14ac:dyDescent="0.25">
      <c r="A6257" t="s">
        <v>6261</v>
      </c>
      <c r="B6257">
        <v>0.99987803227770999</v>
      </c>
      <c r="C6257">
        <v>0.90320121265799602</v>
      </c>
      <c r="D6257">
        <v>0.87905403577542196</v>
      </c>
      <c r="E6257">
        <v>0.77160607907882395</v>
      </c>
      <c r="F6257">
        <v>0.60564061362047605</v>
      </c>
      <c r="G6257">
        <v>0.46749465088091902</v>
      </c>
      <c r="H6257">
        <v>0.39146042782221802</v>
      </c>
      <c r="I6257">
        <v>0.436956006795642</v>
      </c>
      <c r="J6257">
        <v>0.35157036034772399</v>
      </c>
      <c r="K6257">
        <v>0.30595513331690299</v>
      </c>
      <c r="L6257">
        <v>596.76901081951405</v>
      </c>
      <c r="M6257">
        <v>11.4277931202903</v>
      </c>
      <c r="N6257">
        <v>56.709056665439</v>
      </c>
      <c r="O6257">
        <v>50.698496512168603</v>
      </c>
      <c r="P6257">
        <v>-3.9592013933470602E-2</v>
      </c>
      <c r="Q6257">
        <v>0.29761724522646699</v>
      </c>
      <c r="R6257">
        <v>0.98404295712359702</v>
      </c>
      <c r="S6257" t="s">
        <v>12568</v>
      </c>
      <c r="T6257" t="s">
        <v>12620</v>
      </c>
      <c r="U6257" t="s">
        <v>12620</v>
      </c>
      <c r="V6257" t="s">
        <v>12620</v>
      </c>
      <c r="W6257" t="s">
        <v>18816</v>
      </c>
      <c r="X6257">
        <v>3</v>
      </c>
      <c r="Y6257" t="s">
        <v>24897</v>
      </c>
      <c r="Z6257" t="s">
        <v>31204</v>
      </c>
      <c r="AA6257">
        <v>0.60621684060164038</v>
      </c>
      <c r="AB6257" t="str">
        <f>HYPERLINK("Melting_Curves/meltCurve_Q9Y605_MRFAP1.pdf", "Melting_Curves/meltCurve_Q9Y605_MRFAP1.pdf")</f>
        <v>Melting_Curves/meltCurve_Q9Y605_MRFAP1.pdf</v>
      </c>
    </row>
    <row r="6258" spans="1:28" x14ac:dyDescent="0.25">
      <c r="A6258" t="s">
        <v>6262</v>
      </c>
      <c r="B6258">
        <v>0.99987803227770999</v>
      </c>
      <c r="C6258">
        <v>0.946648742777358</v>
      </c>
      <c r="D6258">
        <v>0.92763448719489405</v>
      </c>
      <c r="E6258">
        <v>1.1091714581168799</v>
      </c>
      <c r="F6258">
        <v>1.55019304505457</v>
      </c>
      <c r="G6258">
        <v>1.2903612216843601</v>
      </c>
      <c r="H6258">
        <v>1.4392372081908</v>
      </c>
      <c r="I6258">
        <v>1.3992101916014901</v>
      </c>
      <c r="J6258">
        <v>1.4529105219926499</v>
      </c>
      <c r="K6258">
        <v>1.19606648783398</v>
      </c>
      <c r="L6258">
        <v>12546.882397819199</v>
      </c>
      <c r="M6258">
        <v>250</v>
      </c>
      <c r="O6258">
        <v>50.184317940118703</v>
      </c>
      <c r="P6258">
        <v>0.48321426193083</v>
      </c>
      <c r="Q6258">
        <v>1.3879964498702</v>
      </c>
      <c r="R6258">
        <v>0.81282142256450896</v>
      </c>
      <c r="S6258" t="s">
        <v>12569</v>
      </c>
      <c r="T6258" t="s">
        <v>12620</v>
      </c>
      <c r="U6258" t="s">
        <v>12620</v>
      </c>
      <c r="V6258" t="s">
        <v>12620</v>
      </c>
      <c r="W6258" t="s">
        <v>18817</v>
      </c>
      <c r="X6258">
        <v>17</v>
      </c>
      <c r="Y6258" t="s">
        <v>24898</v>
      </c>
      <c r="Z6258" t="s">
        <v>31205</v>
      </c>
      <c r="AA6258">
        <v>1.256204765310786</v>
      </c>
      <c r="AB6258" t="str">
        <f>HYPERLINK("Melting_Curves/meltCurve_Q9Y608_4_LRRFIP2.pdf", "Melting_Curves/meltCurve_Q9Y608_4_LRRFIP2.pdf")</f>
        <v>Melting_Curves/meltCurve_Q9Y608_4_LRRFIP2.pdf</v>
      </c>
    </row>
    <row r="6259" spans="1:28" x14ac:dyDescent="0.25">
      <c r="A6259" t="s">
        <v>6263</v>
      </c>
      <c r="B6259">
        <v>0.99987803227770999</v>
      </c>
      <c r="C6259">
        <v>0.99788789512284004</v>
      </c>
      <c r="D6259">
        <v>0.66640609782471805</v>
      </c>
      <c r="E6259">
        <v>0.42380292250031998</v>
      </c>
      <c r="F6259">
        <v>0.28760862466000497</v>
      </c>
      <c r="G6259">
        <v>0.20414259899324999</v>
      </c>
      <c r="H6259">
        <v>0.17151145350713201</v>
      </c>
      <c r="I6259">
        <v>0.16836615878170899</v>
      </c>
      <c r="J6259">
        <v>0.136329126492441</v>
      </c>
      <c r="K6259">
        <v>0.106160244692053</v>
      </c>
      <c r="L6259">
        <v>888.24259240346703</v>
      </c>
      <c r="M6259">
        <v>18.5382108294319</v>
      </c>
      <c r="N6259">
        <v>48.815286075100303</v>
      </c>
      <c r="O6259">
        <v>47.367047050199901</v>
      </c>
      <c r="P6259">
        <v>-8.36694349047689E-2</v>
      </c>
      <c r="Q6259">
        <v>0.144901303878474</v>
      </c>
      <c r="R6259">
        <v>0.98657096487455997</v>
      </c>
      <c r="S6259" t="s">
        <v>12570</v>
      </c>
      <c r="T6259" t="s">
        <v>12620</v>
      </c>
      <c r="U6259" t="s">
        <v>12620</v>
      </c>
      <c r="V6259" t="s">
        <v>12620</v>
      </c>
      <c r="W6259" t="s">
        <v>18818</v>
      </c>
      <c r="X6259">
        <v>17</v>
      </c>
      <c r="Y6259" t="s">
        <v>24899</v>
      </c>
      <c r="Z6259" t="s">
        <v>31206</v>
      </c>
      <c r="AA6259">
        <v>0.3847790716940151</v>
      </c>
      <c r="AB6259" t="str">
        <f>HYPERLINK("Melting_Curves/meltCurve_Q9Y613_FHOD1.pdf", "Melting_Curves/meltCurve_Q9Y613_FHOD1.pdf")</f>
        <v>Melting_Curves/meltCurve_Q9Y613_FHOD1.pdf</v>
      </c>
    </row>
    <row r="6260" spans="1:28" x14ac:dyDescent="0.25">
      <c r="A6260" t="s">
        <v>6264</v>
      </c>
      <c r="B6260">
        <v>0.99987803227770999</v>
      </c>
      <c r="C6260">
        <v>1.0897571280848299</v>
      </c>
      <c r="D6260">
        <v>1.09277782284192</v>
      </c>
      <c r="E6260">
        <v>1.11004206371325</v>
      </c>
      <c r="F6260">
        <v>1.07661340464886</v>
      </c>
      <c r="G6260">
        <v>0.96701123346175299</v>
      </c>
      <c r="H6260">
        <v>0.62750052171540605</v>
      </c>
      <c r="I6260">
        <v>0.216261750979929</v>
      </c>
      <c r="J6260">
        <v>7.1775385744062295E-2</v>
      </c>
      <c r="K6260">
        <v>5.27115363328889E-2</v>
      </c>
      <c r="L6260">
        <v>2585.5162709952701</v>
      </c>
      <c r="M6260">
        <v>41.931225454858001</v>
      </c>
      <c r="N6260">
        <v>61.795537613380802</v>
      </c>
      <c r="O6260">
        <v>61.5211272364294</v>
      </c>
      <c r="P6260">
        <v>-0.16295439180690899</v>
      </c>
      <c r="Q6260">
        <v>4.36605614135612E-2</v>
      </c>
      <c r="R6260">
        <v>0.98085917086423702</v>
      </c>
      <c r="S6260" t="s">
        <v>12571</v>
      </c>
      <c r="T6260" t="s">
        <v>12620</v>
      </c>
      <c r="U6260" t="s">
        <v>12620</v>
      </c>
      <c r="V6260" t="s">
        <v>12620</v>
      </c>
      <c r="W6260" t="s">
        <v>18819</v>
      </c>
      <c r="X6260">
        <v>24</v>
      </c>
      <c r="Y6260" t="s">
        <v>24900</v>
      </c>
      <c r="Z6260" t="s">
        <v>31207</v>
      </c>
      <c r="AA6260">
        <v>0.73744131582029593</v>
      </c>
      <c r="AB6260" t="str">
        <f>HYPERLINK("Melting_Curves/meltCurve_Q9Y617_PSAT1.pdf", "Melting_Curves/meltCurve_Q9Y617_PSAT1.pdf")</f>
        <v>Melting_Curves/meltCurve_Q9Y617_PSAT1.pdf</v>
      </c>
    </row>
    <row r="6261" spans="1:28" x14ac:dyDescent="0.25">
      <c r="A6261" t="s">
        <v>6265</v>
      </c>
      <c r="B6261">
        <v>0.99987803227770999</v>
      </c>
      <c r="C6261">
        <v>0.79492858421844803</v>
      </c>
      <c r="D6261">
        <v>0.75546458334468203</v>
      </c>
      <c r="E6261">
        <v>0.57448752586666296</v>
      </c>
      <c r="F6261">
        <v>0.62595468995982395</v>
      </c>
      <c r="G6261">
        <v>0.490257018227366</v>
      </c>
      <c r="H6261">
        <v>0.45024179690712501</v>
      </c>
      <c r="I6261">
        <v>0.39370600201813799</v>
      </c>
      <c r="J6261">
        <v>0.38092087780003703</v>
      </c>
      <c r="K6261">
        <v>0.32537647301748801</v>
      </c>
      <c r="L6261">
        <v>389.00792974319899</v>
      </c>
      <c r="M6261">
        <v>7.7818346034871704</v>
      </c>
      <c r="N6261">
        <v>56.133789273720602</v>
      </c>
      <c r="O6261">
        <v>47.010173668945903</v>
      </c>
      <c r="P6261">
        <v>-2.9556830196928601E-2</v>
      </c>
      <c r="Q6261">
        <v>0.28668167946925399</v>
      </c>
      <c r="R6261">
        <v>0.951272724296095</v>
      </c>
      <c r="S6261" t="s">
        <v>12572</v>
      </c>
      <c r="T6261" t="s">
        <v>12620</v>
      </c>
      <c r="U6261" t="s">
        <v>12620</v>
      </c>
      <c r="V6261" t="s">
        <v>12620</v>
      </c>
      <c r="W6261" t="s">
        <v>18820</v>
      </c>
      <c r="X6261">
        <v>3</v>
      </c>
      <c r="Y6261" t="s">
        <v>24901</v>
      </c>
      <c r="Z6261" t="s">
        <v>31208</v>
      </c>
      <c r="AA6261">
        <v>0.5681124165401078</v>
      </c>
      <c r="AB6261" t="str">
        <f>HYPERLINK("Melting_Curves/meltCurve_Q9Y620_RAD54B.pdf", "Melting_Curves/meltCurve_Q9Y620_RAD54B.pdf")</f>
        <v>Melting_Curves/meltCurve_Q9Y620_RAD54B.pdf</v>
      </c>
    </row>
    <row r="6262" spans="1:28" x14ac:dyDescent="0.25">
      <c r="A6262" t="s">
        <v>6266</v>
      </c>
      <c r="B6262">
        <v>0.99987803227770999</v>
      </c>
      <c r="C6262">
        <v>0.87409917935750503</v>
      </c>
      <c r="D6262">
        <v>0.895896011580673</v>
      </c>
      <c r="E6262">
        <v>0.641689058431687</v>
      </c>
      <c r="F6262">
        <v>0.40721676852637001</v>
      </c>
      <c r="G6262">
        <v>0.26040715674895398</v>
      </c>
      <c r="H6262">
        <v>0.21146487178880799</v>
      </c>
      <c r="I6262">
        <v>0.19782506325163299</v>
      </c>
      <c r="J6262">
        <v>0.15439157671214901</v>
      </c>
      <c r="K6262">
        <v>9.8120278089383506E-2</v>
      </c>
      <c r="L6262">
        <v>770.65420112401603</v>
      </c>
      <c r="M6262">
        <v>15.1295477493166</v>
      </c>
      <c r="N6262">
        <v>51.924081924674603</v>
      </c>
      <c r="O6262">
        <v>50.071983358599503</v>
      </c>
      <c r="P6262">
        <v>-6.6105215976667006E-2</v>
      </c>
      <c r="Q6262">
        <v>0.12497120009638001</v>
      </c>
      <c r="R6262">
        <v>0.988534074592477</v>
      </c>
      <c r="S6262" t="s">
        <v>12573</v>
      </c>
      <c r="T6262" t="s">
        <v>12620</v>
      </c>
      <c r="U6262" t="s">
        <v>12620</v>
      </c>
      <c r="V6262" t="s">
        <v>12620</v>
      </c>
      <c r="W6262" t="s">
        <v>18821</v>
      </c>
      <c r="X6262">
        <v>5</v>
      </c>
      <c r="Y6262" t="s">
        <v>24902</v>
      </c>
      <c r="Z6262" t="s">
        <v>31209</v>
      </c>
      <c r="AA6262">
        <v>0.46394794494352981</v>
      </c>
      <c r="AB6262" t="str">
        <f>HYPERLINK("Melting_Curves/meltCurve_Q9Y657_SPIN1.pdf", "Melting_Curves/meltCurve_Q9Y657_SPIN1.pdf")</f>
        <v>Melting_Curves/meltCurve_Q9Y657_SPIN1.pdf</v>
      </c>
    </row>
    <row r="6263" spans="1:28" x14ac:dyDescent="0.25">
      <c r="A6263" t="s">
        <v>6267</v>
      </c>
      <c r="B6263">
        <v>0.99987803227770999</v>
      </c>
      <c r="C6263">
        <v>1.08301771380235</v>
      </c>
      <c r="D6263">
        <v>1.0235157113548199</v>
      </c>
      <c r="E6263">
        <v>1.2602399198359899</v>
      </c>
      <c r="F6263">
        <v>0.68981952944680403</v>
      </c>
      <c r="G6263">
        <v>0.42715484570305501</v>
      </c>
      <c r="H6263">
        <v>0.19159062379678399</v>
      </c>
      <c r="I6263">
        <v>0.14074277100943899</v>
      </c>
      <c r="J6263">
        <v>0.115035104522379</v>
      </c>
      <c r="K6263">
        <v>7.6227411575109094E-2</v>
      </c>
      <c r="L6263">
        <v>1599.1421890352401</v>
      </c>
      <c r="M6263">
        <v>28.8282977536104</v>
      </c>
      <c r="N6263">
        <v>55.959251816379002</v>
      </c>
      <c r="O6263">
        <v>55.206413113142801</v>
      </c>
      <c r="P6263">
        <v>-0.11603940097653501</v>
      </c>
      <c r="Q6263">
        <v>0.111141568508972</v>
      </c>
      <c r="R6263">
        <v>0.94069753058785999</v>
      </c>
      <c r="S6263" t="s">
        <v>12574</v>
      </c>
      <c r="T6263" t="s">
        <v>12620</v>
      </c>
      <c r="U6263" t="s">
        <v>12620</v>
      </c>
      <c r="V6263" t="s">
        <v>12620</v>
      </c>
      <c r="W6263" t="s">
        <v>18822</v>
      </c>
      <c r="X6263">
        <v>35</v>
      </c>
      <c r="Y6263" t="s">
        <v>24903</v>
      </c>
      <c r="Z6263" t="s">
        <v>31210</v>
      </c>
      <c r="AA6263">
        <v>0.5759010383296338</v>
      </c>
      <c r="AB6263" t="str">
        <f>HYPERLINK("Melting_Curves/meltCurve_Q9Y678_COPG1.pdf", "Melting_Curves/meltCurve_Q9Y678_COPG1.pdf")</f>
        <v>Melting_Curves/meltCurve_Q9Y678_COPG1.pdf</v>
      </c>
    </row>
    <row r="6264" spans="1:28" x14ac:dyDescent="0.25">
      <c r="A6264" t="s">
        <v>6268</v>
      </c>
      <c r="B6264">
        <v>0.99987803227770999</v>
      </c>
      <c r="C6264">
        <v>0.893745494803454</v>
      </c>
      <c r="D6264">
        <v>0.954445829758922</v>
      </c>
      <c r="E6264">
        <v>0.86973723252024304</v>
      </c>
      <c r="F6264">
        <v>0.93276383732781099</v>
      </c>
      <c r="G6264">
        <v>0.72489744284205904</v>
      </c>
      <c r="H6264">
        <v>0.71531635828469897</v>
      </c>
      <c r="I6264">
        <v>0.67785400220574099</v>
      </c>
      <c r="J6264">
        <v>0.61622253447456798</v>
      </c>
      <c r="K6264">
        <v>0.45529012943727898</v>
      </c>
      <c r="L6264">
        <v>378.795121041708</v>
      </c>
      <c r="M6264">
        <v>5.34545059042948</v>
      </c>
      <c r="O6264">
        <v>62.7733153050022</v>
      </c>
      <c r="P6264">
        <v>-2.1392290509739498E-2</v>
      </c>
      <c r="Q6264">
        <v>0</v>
      </c>
      <c r="R6264">
        <v>0.914090081259464</v>
      </c>
      <c r="S6264" t="s">
        <v>12575</v>
      </c>
      <c r="T6264" t="s">
        <v>12620</v>
      </c>
      <c r="U6264" t="s">
        <v>12620</v>
      </c>
      <c r="V6264" t="s">
        <v>12620</v>
      </c>
      <c r="W6264" t="s">
        <v>18823</v>
      </c>
      <c r="X6264">
        <v>10</v>
      </c>
      <c r="Y6264" t="s">
        <v>24904</v>
      </c>
      <c r="Z6264" t="s">
        <v>31211</v>
      </c>
      <c r="AA6264">
        <v>0.79702276421996332</v>
      </c>
      <c r="AB6264" t="str">
        <f>HYPERLINK("Melting_Curves/meltCurve_Q9Y680_3_FKBP7.pdf", "Melting_Curves/meltCurve_Q9Y680_3_FKBP7.pdf")</f>
        <v>Melting_Curves/meltCurve_Q9Y680_3_FKBP7.pdf</v>
      </c>
    </row>
    <row r="6265" spans="1:28" x14ac:dyDescent="0.25">
      <c r="A6265" t="s">
        <v>6269</v>
      </c>
      <c r="B6265">
        <v>0.99987803227770999</v>
      </c>
      <c r="C6265">
        <v>0.97053945579906298</v>
      </c>
      <c r="D6265">
        <v>1.11794081564792</v>
      </c>
      <c r="E6265">
        <v>0.93861070152139403</v>
      </c>
      <c r="F6265">
        <v>0.87902532969118496</v>
      </c>
      <c r="G6265">
        <v>0.83805247167062702</v>
      </c>
      <c r="H6265">
        <v>0.56843213612786503</v>
      </c>
      <c r="I6265">
        <v>0.43062445001604799</v>
      </c>
      <c r="J6265">
        <v>0.346253351328697</v>
      </c>
      <c r="K6265">
        <v>0.25852955284625201</v>
      </c>
      <c r="L6265">
        <v>930.35212137035501</v>
      </c>
      <c r="M6265">
        <v>15.2066614606271</v>
      </c>
      <c r="N6265">
        <v>62.695082192572698</v>
      </c>
      <c r="O6265">
        <v>60.151803155766402</v>
      </c>
      <c r="P6265">
        <v>-5.3491354266679197E-2</v>
      </c>
      <c r="Q6265">
        <v>0.15371474680802599</v>
      </c>
      <c r="R6265">
        <v>0.97361002956017295</v>
      </c>
      <c r="S6265" t="s">
        <v>12576</v>
      </c>
      <c r="T6265" t="s">
        <v>12620</v>
      </c>
      <c r="U6265" t="s">
        <v>12620</v>
      </c>
      <c r="V6265" t="s">
        <v>12620</v>
      </c>
      <c r="W6265" t="s">
        <v>18824</v>
      </c>
      <c r="X6265">
        <v>5</v>
      </c>
      <c r="Y6265" t="s">
        <v>24905</v>
      </c>
      <c r="Z6265" t="s">
        <v>31212</v>
      </c>
      <c r="AA6265">
        <v>0.75281565874566814</v>
      </c>
      <c r="AB6265" t="str">
        <f>HYPERLINK("Melting_Curves/meltCurve_Q9Y692_2_GMEB1.pdf", "Melting_Curves/meltCurve_Q9Y692_2_GMEB1.pdf")</f>
        <v>Melting_Curves/meltCurve_Q9Y692_2_GMEB1.pdf</v>
      </c>
    </row>
    <row r="6266" spans="1:28" x14ac:dyDescent="0.25">
      <c r="A6266" t="s">
        <v>6270</v>
      </c>
      <c r="B6266">
        <v>0.99987803227770999</v>
      </c>
      <c r="C6266">
        <v>0.762059069442245</v>
      </c>
      <c r="D6266">
        <v>1.0156502296235299</v>
      </c>
      <c r="E6266">
        <v>0.78192683875843205</v>
      </c>
      <c r="F6266">
        <v>0.80282782528383101</v>
      </c>
      <c r="G6266">
        <v>0.25717964558734202</v>
      </c>
      <c r="H6266">
        <v>0.116280102401409</v>
      </c>
      <c r="I6266">
        <v>9.7409067540333294E-2</v>
      </c>
      <c r="J6266">
        <v>7.3991312485867294E-2</v>
      </c>
      <c r="K6266">
        <v>4.9975845957867998E-2</v>
      </c>
      <c r="L6266">
        <v>1333.72815460691</v>
      </c>
      <c r="M6266">
        <v>24.375772369904801</v>
      </c>
      <c r="N6266">
        <v>54.958123225982703</v>
      </c>
      <c r="O6266">
        <v>54.3510623966189</v>
      </c>
      <c r="P6266">
        <v>-0.106399888114676</v>
      </c>
      <c r="Q6266">
        <v>5.1047863754255698E-2</v>
      </c>
      <c r="R6266">
        <v>0.94210553740895997</v>
      </c>
      <c r="S6266" t="s">
        <v>12577</v>
      </c>
      <c r="T6266" t="s">
        <v>12620</v>
      </c>
      <c r="U6266" t="s">
        <v>12620</v>
      </c>
      <c r="V6266" t="s">
        <v>12620</v>
      </c>
      <c r="W6266" t="s">
        <v>18825</v>
      </c>
      <c r="X6266">
        <v>13</v>
      </c>
      <c r="Y6266" t="s">
        <v>24906</v>
      </c>
      <c r="Z6266" t="s">
        <v>31213</v>
      </c>
      <c r="AA6266">
        <v>0.52570488437233487</v>
      </c>
      <c r="AB6266" t="str">
        <f>HYPERLINK("Melting_Curves/meltCurve_Q9Y696_CLIC4.pdf", "Melting_Curves/meltCurve_Q9Y696_CLIC4.pdf")</f>
        <v>Melting_Curves/meltCurve_Q9Y696_CLIC4.pdf</v>
      </c>
    </row>
    <row r="6267" spans="1:28" x14ac:dyDescent="0.25">
      <c r="A6267" t="s">
        <v>6271</v>
      </c>
      <c r="B6267">
        <v>0.99987803227770999</v>
      </c>
      <c r="C6267">
        <v>0.95915035335308796</v>
      </c>
      <c r="D6267">
        <v>0.74697252318097596</v>
      </c>
      <c r="E6267">
        <v>0.68964384726722605</v>
      </c>
      <c r="F6267">
        <v>0.40701627801189799</v>
      </c>
      <c r="G6267">
        <v>0.339835363167519</v>
      </c>
      <c r="H6267">
        <v>0.20867639134177801</v>
      </c>
      <c r="I6267">
        <v>0.154953914680415</v>
      </c>
      <c r="J6267">
        <v>8.8651770552598805E-2</v>
      </c>
      <c r="K6267">
        <v>5.2319008883197501E-2</v>
      </c>
      <c r="L6267">
        <v>544.11244151626795</v>
      </c>
      <c r="M6267">
        <v>10.354487605210201</v>
      </c>
      <c r="N6267">
        <v>52.564751066037402</v>
      </c>
      <c r="O6267">
        <v>50.701797255435899</v>
      </c>
      <c r="P6267">
        <v>-5.09957618007255E-2</v>
      </c>
      <c r="Q6267">
        <v>1.60176620545009E-3</v>
      </c>
      <c r="R6267">
        <v>0.98363135054846595</v>
      </c>
      <c r="S6267" t="s">
        <v>12578</v>
      </c>
      <c r="T6267" t="s">
        <v>12620</v>
      </c>
      <c r="U6267" t="s">
        <v>12620</v>
      </c>
      <c r="V6267" t="s">
        <v>12620</v>
      </c>
      <c r="W6267" t="s">
        <v>18826</v>
      </c>
      <c r="X6267">
        <v>6</v>
      </c>
      <c r="Y6267" t="s">
        <v>24907</v>
      </c>
      <c r="Z6267" t="s">
        <v>31214</v>
      </c>
      <c r="AA6267">
        <v>0.45385052555415167</v>
      </c>
      <c r="AB6267" t="str">
        <f>HYPERLINK("Melting_Curves/meltCurve_Q9Y697_2_NFS1.pdf", "Melting_Curves/meltCurve_Q9Y697_2_NFS1.pdf")</f>
        <v>Melting_Curves/meltCurve_Q9Y697_2_NFS1.pdf</v>
      </c>
    </row>
    <row r="6268" spans="1:28" x14ac:dyDescent="0.25">
      <c r="A6268" t="s">
        <v>6272</v>
      </c>
      <c r="B6268">
        <v>0.99987803227770999</v>
      </c>
      <c r="C6268">
        <v>0.88844221000169399</v>
      </c>
      <c r="D6268">
        <v>1.06096793523015</v>
      </c>
      <c r="E6268">
        <v>0.96465499918592701</v>
      </c>
      <c r="F6268">
        <v>1.1047472337505799</v>
      </c>
      <c r="G6268">
        <v>0.79710117026634297</v>
      </c>
      <c r="H6268">
        <v>0.31687824697377898</v>
      </c>
      <c r="I6268">
        <v>0.15031127357409799</v>
      </c>
      <c r="J6268">
        <v>7.9786224607641607E-2</v>
      </c>
      <c r="K6268">
        <v>5.7245779522293101E-2</v>
      </c>
      <c r="L6268">
        <v>2098.0274808484301</v>
      </c>
      <c r="M6268">
        <v>35.404581205310798</v>
      </c>
      <c r="N6268">
        <v>59.501845016591403</v>
      </c>
      <c r="O6268">
        <v>59.070552414545503</v>
      </c>
      <c r="P6268">
        <v>-0.139747158772101</v>
      </c>
      <c r="Q6268">
        <v>6.7362188624909697E-2</v>
      </c>
      <c r="R6268">
        <v>0.98108064463922695</v>
      </c>
      <c r="S6268" t="s">
        <v>12579</v>
      </c>
      <c r="T6268" t="s">
        <v>12620</v>
      </c>
      <c r="U6268" t="s">
        <v>12620</v>
      </c>
      <c r="V6268" t="s">
        <v>12620</v>
      </c>
      <c r="W6268" t="s">
        <v>18827</v>
      </c>
      <c r="X6268">
        <v>8</v>
      </c>
      <c r="Y6268" t="s">
        <v>24908</v>
      </c>
      <c r="Z6268" t="s">
        <v>31215</v>
      </c>
      <c r="AA6268">
        <v>0.67062299010484561</v>
      </c>
      <c r="AB6268" t="str">
        <f>HYPERLINK("Melting_Curves/meltCurve_Q9Y6A4_C16orf80.pdf", "Melting_Curves/meltCurve_Q9Y6A4_C16orf80.pdf")</f>
        <v>Melting_Curves/meltCurve_Q9Y6A4_C16orf80.pdf</v>
      </c>
    </row>
    <row r="6269" spans="1:28" x14ac:dyDescent="0.25">
      <c r="A6269" t="s">
        <v>6273</v>
      </c>
      <c r="B6269">
        <v>0.99987803227770999</v>
      </c>
      <c r="C6269">
        <v>0.93391752396239103</v>
      </c>
      <c r="D6269">
        <v>1.10081964187756</v>
      </c>
      <c r="E6269">
        <v>0.97000788751617295</v>
      </c>
      <c r="F6269">
        <v>1.09547861268248</v>
      </c>
      <c r="G6269">
        <v>0.95493561652890502</v>
      </c>
      <c r="H6269">
        <v>1.0306948375513101</v>
      </c>
      <c r="I6269">
        <v>1.0346953561121801</v>
      </c>
      <c r="J6269">
        <v>1.0037350984167801</v>
      </c>
      <c r="K6269">
        <v>0.78737996657648601</v>
      </c>
      <c r="L6269">
        <v>15000</v>
      </c>
      <c r="M6269">
        <v>212.97650757966301</v>
      </c>
      <c r="Q6269">
        <v>0</v>
      </c>
      <c r="R6269">
        <v>0.60720381108943799</v>
      </c>
      <c r="S6269" t="s">
        <v>12580</v>
      </c>
      <c r="T6269" t="s">
        <v>12620</v>
      </c>
      <c r="U6269" t="s">
        <v>12620</v>
      </c>
      <c r="V6269" t="s">
        <v>12620</v>
      </c>
      <c r="W6269" t="s">
        <v>18828</v>
      </c>
      <c r="X6269">
        <v>26</v>
      </c>
      <c r="Y6269" t="s">
        <v>24909</v>
      </c>
      <c r="Z6269" t="s">
        <v>31216</v>
      </c>
      <c r="AA6269">
        <v>0.99742249743193245</v>
      </c>
      <c r="AB6269" t="str">
        <f>HYPERLINK("Melting_Curves/meltCurve_Q9Y6A5_TACC3.pdf", "Melting_Curves/meltCurve_Q9Y6A5_TACC3.pdf")</f>
        <v>Melting_Curves/meltCurve_Q9Y6A5_TACC3.pdf</v>
      </c>
    </row>
    <row r="6270" spans="1:28" x14ac:dyDescent="0.25">
      <c r="A6270" t="s">
        <v>6274</v>
      </c>
      <c r="B6270">
        <v>0.99987803227770999</v>
      </c>
      <c r="C6270">
        <v>0.85122878341071795</v>
      </c>
      <c r="D6270">
        <v>1.16138862351633</v>
      </c>
      <c r="E6270">
        <v>0.94728063602775603</v>
      </c>
      <c r="F6270">
        <v>0.93871176104974696</v>
      </c>
      <c r="G6270">
        <v>0.54968564586101198</v>
      </c>
      <c r="H6270">
        <v>0.24178397186908701</v>
      </c>
      <c r="I6270">
        <v>0.11612142926669899</v>
      </c>
      <c r="J6270">
        <v>6.5553454652151705E-2</v>
      </c>
      <c r="K6270">
        <v>5.5606081036635301E-2</v>
      </c>
      <c r="L6270">
        <v>1505.2252101379199</v>
      </c>
      <c r="M6270">
        <v>26.209672751871899</v>
      </c>
      <c r="N6270">
        <v>57.6730674852531</v>
      </c>
      <c r="O6270">
        <v>57.0989427200238</v>
      </c>
      <c r="P6270">
        <v>-0.10875936222975199</v>
      </c>
      <c r="Q6270">
        <v>5.2262049081689903E-2</v>
      </c>
      <c r="R6270">
        <v>0.96976436274938405</v>
      </c>
      <c r="S6270" t="s">
        <v>12581</v>
      </c>
      <c r="T6270" t="s">
        <v>12620</v>
      </c>
      <c r="U6270" t="s">
        <v>12620</v>
      </c>
      <c r="V6270" t="s">
        <v>12620</v>
      </c>
      <c r="W6270" t="s">
        <v>18829</v>
      </c>
      <c r="X6270">
        <v>5</v>
      </c>
      <c r="Y6270" t="s">
        <v>24910</v>
      </c>
      <c r="Z6270" t="s">
        <v>31217</v>
      </c>
      <c r="AA6270">
        <v>0.61074849600330905</v>
      </c>
      <c r="AB6270" t="str">
        <f>HYPERLINK("Melting_Curves/meltCurve_Q9Y6B6_SAR1B.pdf", "Melting_Curves/meltCurve_Q9Y6B6_SAR1B.pdf")</f>
        <v>Melting_Curves/meltCurve_Q9Y6B6_SAR1B.pdf</v>
      </c>
    </row>
    <row r="6271" spans="1:28" x14ac:dyDescent="0.25">
      <c r="A6271" t="s">
        <v>6275</v>
      </c>
      <c r="B6271">
        <v>0.99987803227770999</v>
      </c>
      <c r="C6271">
        <v>1.0804755241289301</v>
      </c>
      <c r="D6271">
        <v>0.83536602897995005</v>
      </c>
      <c r="E6271">
        <v>0.84191745768609405</v>
      </c>
      <c r="F6271">
        <v>0.38625846290648902</v>
      </c>
      <c r="G6271">
        <v>0.26147577942686001</v>
      </c>
      <c r="H6271">
        <v>0.158448167764106</v>
      </c>
      <c r="I6271">
        <v>0.13479578096130501</v>
      </c>
      <c r="J6271">
        <v>0.104330035881084</v>
      </c>
      <c r="K6271">
        <v>8.6855292357504901E-2</v>
      </c>
      <c r="L6271">
        <v>1226.9626282192201</v>
      </c>
      <c r="M6271">
        <v>23.582657550476199</v>
      </c>
      <c r="N6271">
        <v>52.6039697470381</v>
      </c>
      <c r="O6271">
        <v>51.658375760357004</v>
      </c>
      <c r="P6271">
        <v>-0.10114718534400199</v>
      </c>
      <c r="Q6271">
        <v>0.113753432414053</v>
      </c>
      <c r="R6271">
        <v>0.97224011699542601</v>
      </c>
      <c r="S6271" t="s">
        <v>12582</v>
      </c>
      <c r="T6271" t="s">
        <v>12620</v>
      </c>
      <c r="U6271" t="s">
        <v>12620</v>
      </c>
      <c r="V6271" t="s">
        <v>12620</v>
      </c>
      <c r="W6271" t="s">
        <v>18830</v>
      </c>
      <c r="X6271">
        <v>8</v>
      </c>
      <c r="Y6271" t="s">
        <v>24911</v>
      </c>
      <c r="Z6271" t="s">
        <v>31218</v>
      </c>
      <c r="AA6271">
        <v>0.47813143992926482</v>
      </c>
      <c r="AB6271" t="str">
        <f>HYPERLINK("Melting_Curves/meltCurve_Q9Y6B7_AP4B1.pdf", "Melting_Curves/meltCurve_Q9Y6B7_AP4B1.pdf")</f>
        <v>Melting_Curves/meltCurve_Q9Y6B7_AP4B1.pdf</v>
      </c>
    </row>
    <row r="6272" spans="1:28" x14ac:dyDescent="0.25">
      <c r="A6272" t="s">
        <v>6276</v>
      </c>
      <c r="B6272">
        <v>0.99987803227770999</v>
      </c>
      <c r="C6272">
        <v>1.20021750743208</v>
      </c>
      <c r="D6272">
        <v>0.81287357327264298</v>
      </c>
      <c r="E6272">
        <v>0.78530956187270795</v>
      </c>
      <c r="F6272">
        <v>0.28072272245260899</v>
      </c>
      <c r="G6272">
        <v>0.17967710669277101</v>
      </c>
      <c r="H6272">
        <v>9.4877485978151599E-2</v>
      </c>
      <c r="I6272">
        <v>7.2169615206973695E-2</v>
      </c>
      <c r="J6272">
        <v>5.8230790140605102E-2</v>
      </c>
      <c r="K6272">
        <v>4.07110928623238E-2</v>
      </c>
      <c r="L6272">
        <v>1581.88709395606</v>
      </c>
      <c r="M6272">
        <v>30.765420358859998</v>
      </c>
      <c r="N6272">
        <v>51.680402423759297</v>
      </c>
      <c r="O6272">
        <v>51.201922574274597</v>
      </c>
      <c r="P6272">
        <v>-0.13934334082591901</v>
      </c>
      <c r="Q6272">
        <v>7.2386487811614803E-2</v>
      </c>
      <c r="R6272">
        <v>0.95576556996338902</v>
      </c>
      <c r="S6272" t="s">
        <v>12583</v>
      </c>
      <c r="T6272" t="s">
        <v>12620</v>
      </c>
      <c r="U6272" t="s">
        <v>12620</v>
      </c>
      <c r="V6272" t="s">
        <v>12620</v>
      </c>
      <c r="W6272" t="s">
        <v>18831</v>
      </c>
      <c r="X6272">
        <v>25</v>
      </c>
      <c r="Y6272" t="s">
        <v>24912</v>
      </c>
      <c r="Z6272" t="s">
        <v>31219</v>
      </c>
      <c r="AA6272">
        <v>0.43101095760410252</v>
      </c>
      <c r="AB6272" t="str">
        <f>HYPERLINK("Melting_Curves/meltCurve_Q9Y6D5_ARFGEF2.pdf", "Melting_Curves/meltCurve_Q9Y6D5_ARFGEF2.pdf")</f>
        <v>Melting_Curves/meltCurve_Q9Y6D5_ARFGEF2.pdf</v>
      </c>
    </row>
    <row r="6273" spans="1:28" x14ac:dyDescent="0.25">
      <c r="A6273" t="s">
        <v>6277</v>
      </c>
      <c r="B6273">
        <v>0.99987803227770999</v>
      </c>
      <c r="C6273">
        <v>1.1087390905494401</v>
      </c>
      <c r="D6273">
        <v>0.81576848463592699</v>
      </c>
      <c r="E6273">
        <v>0.80888585181602102</v>
      </c>
      <c r="F6273">
        <v>0.34977484817995003</v>
      </c>
      <c r="G6273">
        <v>0.23973434226227999</v>
      </c>
      <c r="H6273">
        <v>0.13810501976636499</v>
      </c>
      <c r="I6273">
        <v>0.11535653715165201</v>
      </c>
      <c r="J6273">
        <v>7.9637261521409097E-2</v>
      </c>
      <c r="K6273">
        <v>5.7819611361624799E-2</v>
      </c>
      <c r="L6273">
        <v>1127.7716197201901</v>
      </c>
      <c r="M6273">
        <v>21.7677765717964</v>
      </c>
      <c r="N6273">
        <v>52.260353081481298</v>
      </c>
      <c r="O6273">
        <v>51.377919897215897</v>
      </c>
      <c r="P6273">
        <v>-9.6849926081074206E-2</v>
      </c>
      <c r="Q6273">
        <v>8.5651788311080806E-2</v>
      </c>
      <c r="R6273">
        <v>0.96750917845120699</v>
      </c>
      <c r="S6273" t="s">
        <v>12584</v>
      </c>
      <c r="T6273" t="s">
        <v>12620</v>
      </c>
      <c r="U6273" t="s">
        <v>12620</v>
      </c>
      <c r="V6273" t="s">
        <v>12620</v>
      </c>
      <c r="W6273" t="s">
        <v>18832</v>
      </c>
      <c r="X6273">
        <v>24</v>
      </c>
      <c r="Y6273" t="s">
        <v>24913</v>
      </c>
      <c r="Z6273" t="s">
        <v>31220</v>
      </c>
      <c r="AA6273">
        <v>0.45641541053485762</v>
      </c>
      <c r="AB6273" t="str">
        <f>HYPERLINK("Melting_Curves/meltCurve_Q9Y6D6_ARFGEF1.pdf", "Melting_Curves/meltCurve_Q9Y6D6_ARFGEF1.pdf")</f>
        <v>Melting_Curves/meltCurve_Q9Y6D6_ARFGEF1.pdf</v>
      </c>
    </row>
    <row r="6274" spans="1:28" x14ac:dyDescent="0.25">
      <c r="A6274" t="s">
        <v>6278</v>
      </c>
      <c r="B6274">
        <v>0.99987803227770999</v>
      </c>
      <c r="C6274">
        <v>1.0933488865496199</v>
      </c>
      <c r="D6274">
        <v>0.89542184888616405</v>
      </c>
      <c r="E6274">
        <v>0.66206124915435005</v>
      </c>
      <c r="F6274">
        <v>0.40046180756146199</v>
      </c>
      <c r="G6274">
        <v>0.29401526548342699</v>
      </c>
      <c r="H6274">
        <v>0.23323169015047299</v>
      </c>
      <c r="I6274">
        <v>0.23064523403029899</v>
      </c>
      <c r="J6274">
        <v>0.18640358226529299</v>
      </c>
      <c r="K6274">
        <v>0.130072927484013</v>
      </c>
      <c r="L6274">
        <v>1073.1802661684001</v>
      </c>
      <c r="M6274">
        <v>21.149136823477299</v>
      </c>
      <c r="N6274">
        <v>51.907463378131197</v>
      </c>
      <c r="O6274">
        <v>50.2963393769951</v>
      </c>
      <c r="P6274">
        <v>-8.5274798339435895E-2</v>
      </c>
      <c r="Q6274">
        <v>0.188828143659132</v>
      </c>
      <c r="R6274">
        <v>0.98395245963612099</v>
      </c>
      <c r="S6274" t="s">
        <v>12585</v>
      </c>
      <c r="T6274" t="s">
        <v>12620</v>
      </c>
      <c r="U6274" t="s">
        <v>12620</v>
      </c>
      <c r="V6274" t="s">
        <v>12620</v>
      </c>
      <c r="W6274" t="s">
        <v>18833</v>
      </c>
      <c r="X6274">
        <v>20</v>
      </c>
      <c r="Y6274" t="s">
        <v>24914</v>
      </c>
      <c r="Z6274" t="s">
        <v>31221</v>
      </c>
      <c r="AA6274">
        <v>0.48945030534663381</v>
      </c>
      <c r="AB6274" t="str">
        <f>HYPERLINK("Melting_Curves/meltCurve_Q9Y6D9_MAD1L1.pdf", "Melting_Curves/meltCurve_Q9Y6D9_MAD1L1.pdf")</f>
        <v>Melting_Curves/meltCurve_Q9Y6D9_MAD1L1.pdf</v>
      </c>
    </row>
    <row r="6275" spans="1:28" x14ac:dyDescent="0.25">
      <c r="A6275" t="s">
        <v>6279</v>
      </c>
      <c r="B6275">
        <v>0.99987803227770999</v>
      </c>
      <c r="C6275">
        <v>1.04409673646835</v>
      </c>
      <c r="D6275">
        <v>0.80373623709151898</v>
      </c>
      <c r="E6275">
        <v>0.74534072766167403</v>
      </c>
      <c r="F6275">
        <v>0.32557589127819397</v>
      </c>
      <c r="G6275">
        <v>0.22036233366869101</v>
      </c>
      <c r="H6275">
        <v>0.111832505242491</v>
      </c>
      <c r="I6275">
        <v>8.7659315712475205E-2</v>
      </c>
      <c r="J6275">
        <v>6.2814251175039401E-2</v>
      </c>
      <c r="K6275">
        <v>4.2461623586186097E-2</v>
      </c>
      <c r="L6275">
        <v>938.93629928533403</v>
      </c>
      <c r="M6275">
        <v>18.235247820048698</v>
      </c>
      <c r="N6275">
        <v>51.799250420088299</v>
      </c>
      <c r="O6275">
        <v>50.882937960247801</v>
      </c>
      <c r="P6275">
        <v>-8.4979896685939804E-2</v>
      </c>
      <c r="Q6275">
        <v>5.1545845652539599E-2</v>
      </c>
      <c r="R6275">
        <v>0.97924164039954098</v>
      </c>
      <c r="S6275" t="s">
        <v>12586</v>
      </c>
      <c r="T6275" t="s">
        <v>12620</v>
      </c>
      <c r="U6275" t="s">
        <v>12620</v>
      </c>
      <c r="V6275" t="s">
        <v>12620</v>
      </c>
      <c r="W6275" t="s">
        <v>18834</v>
      </c>
      <c r="X6275">
        <v>21</v>
      </c>
      <c r="Y6275" t="s">
        <v>24915</v>
      </c>
      <c r="Z6275" t="s">
        <v>31222</v>
      </c>
      <c r="AA6275">
        <v>0.43033823930306347</v>
      </c>
      <c r="AB6275" t="str">
        <f>HYPERLINK("Melting_Curves/meltCurve_Q9Y6E0_2_STK24.pdf", "Melting_Curves/meltCurve_Q9Y6E0_2_STK24.pdf")</f>
        <v>Melting_Curves/meltCurve_Q9Y6E0_2_STK24.pdf</v>
      </c>
    </row>
    <row r="6276" spans="1:28" x14ac:dyDescent="0.25">
      <c r="A6276" t="s">
        <v>6280</v>
      </c>
      <c r="B6276">
        <v>0.99987803227770999</v>
      </c>
      <c r="C6276">
        <v>0.82555066374721198</v>
      </c>
      <c r="D6276">
        <v>0.87210863629729096</v>
      </c>
      <c r="E6276">
        <v>1.12452650051835</v>
      </c>
      <c r="F6276">
        <v>0.97697113873929997</v>
      </c>
      <c r="G6276">
        <v>0.894857046214382</v>
      </c>
      <c r="H6276">
        <v>0.427682559827607</v>
      </c>
      <c r="I6276">
        <v>0.33954143645132401</v>
      </c>
      <c r="J6276">
        <v>0.29158023488377999</v>
      </c>
      <c r="K6276">
        <v>0.232304785746449</v>
      </c>
      <c r="L6276">
        <v>2490.7029450633399</v>
      </c>
      <c r="M6276">
        <v>42.010404307918201</v>
      </c>
      <c r="N6276">
        <v>60.411082972586001</v>
      </c>
      <c r="O6276">
        <v>59.153920705582401</v>
      </c>
      <c r="P6276">
        <v>-0.12942067096881399</v>
      </c>
      <c r="Q6276">
        <v>0.27106400391066998</v>
      </c>
      <c r="R6276">
        <v>0.93512328251199195</v>
      </c>
      <c r="S6276" t="s">
        <v>12587</v>
      </c>
      <c r="T6276" t="s">
        <v>12620</v>
      </c>
      <c r="U6276" t="s">
        <v>12620</v>
      </c>
      <c r="V6276" t="s">
        <v>12620</v>
      </c>
      <c r="W6276" t="s">
        <v>18835</v>
      </c>
      <c r="X6276">
        <v>17</v>
      </c>
      <c r="Y6276" t="s">
        <v>24916</v>
      </c>
      <c r="Z6276" t="s">
        <v>31223</v>
      </c>
      <c r="AA6276">
        <v>0.7423404180847254</v>
      </c>
      <c r="AB6276" t="str">
        <f>HYPERLINK("Melting_Curves/meltCurve_Q9Y6G9_DYNC1LI1.pdf", "Melting_Curves/meltCurve_Q9Y6G9_DYNC1LI1.pdf")</f>
        <v>Melting_Curves/meltCurve_Q9Y6G9_DYNC1LI1.pdf</v>
      </c>
    </row>
    <row r="6277" spans="1:28" x14ac:dyDescent="0.25">
      <c r="A6277" t="s">
        <v>6281</v>
      </c>
      <c r="B6277">
        <v>0.99987803227770999</v>
      </c>
      <c r="C6277">
        <v>1.04581991404775</v>
      </c>
      <c r="D6277">
        <v>1.0738208022568601</v>
      </c>
      <c r="E6277">
        <v>1.15116010175966</v>
      </c>
      <c r="F6277">
        <v>1.1323198404160499</v>
      </c>
      <c r="G6277">
        <v>1.2164119949564001</v>
      </c>
      <c r="H6277">
        <v>1.36260257918064</v>
      </c>
      <c r="I6277">
        <v>1.40237489502152</v>
      </c>
      <c r="J6277">
        <v>1.19294638160846</v>
      </c>
      <c r="K6277">
        <v>0.83854975586671199</v>
      </c>
      <c r="L6277">
        <v>942.13737611875297</v>
      </c>
      <c r="M6277">
        <v>20.078966030409902</v>
      </c>
      <c r="O6277">
        <v>46.463629663014203</v>
      </c>
      <c r="P6277">
        <v>2.1132054173433501E-2</v>
      </c>
      <c r="Q6277">
        <v>1.1955958235371</v>
      </c>
      <c r="R6277">
        <v>0.19434492112680199</v>
      </c>
      <c r="S6277" t="s">
        <v>12588</v>
      </c>
      <c r="T6277" t="s">
        <v>12620</v>
      </c>
      <c r="U6277" t="s">
        <v>12620</v>
      </c>
      <c r="V6277" t="s">
        <v>12620</v>
      </c>
      <c r="W6277" t="s">
        <v>18836</v>
      </c>
      <c r="X6277">
        <v>5</v>
      </c>
      <c r="Y6277" t="s">
        <v>24917</v>
      </c>
      <c r="Z6277" t="s">
        <v>31224</v>
      </c>
      <c r="AA6277">
        <v>1.1476202170068279</v>
      </c>
      <c r="AB6277" t="str">
        <f>HYPERLINK("Melting_Curves/meltCurve_Q9Y6H1_CHCHD2.pdf", "Melting_Curves/meltCurve_Q9Y6H1_CHCHD2.pdf")</f>
        <v>Melting_Curves/meltCurve_Q9Y6H1_CHCHD2.pdf</v>
      </c>
    </row>
    <row r="6278" spans="1:28" x14ac:dyDescent="0.25">
      <c r="A6278" t="s">
        <v>6282</v>
      </c>
      <c r="B6278">
        <v>0.99987803227770999</v>
      </c>
      <c r="C6278">
        <v>0.92413386224117899</v>
      </c>
      <c r="D6278">
        <v>1.0461223144149601</v>
      </c>
      <c r="E6278">
        <v>0.92273462897927805</v>
      </c>
      <c r="F6278">
        <v>0.93343000779385099</v>
      </c>
      <c r="G6278">
        <v>0.598316893935118</v>
      </c>
      <c r="H6278">
        <v>0.34768600261071803</v>
      </c>
      <c r="I6278">
        <v>0.26479557803460801</v>
      </c>
      <c r="J6278">
        <v>0.21360645313972501</v>
      </c>
      <c r="K6278">
        <v>0.151832510284094</v>
      </c>
      <c r="L6278">
        <v>1271.69080168447</v>
      </c>
      <c r="M6278">
        <v>22.122059718620701</v>
      </c>
      <c r="N6278">
        <v>58.539475294887197</v>
      </c>
      <c r="O6278">
        <v>57.021612997009598</v>
      </c>
      <c r="P6278">
        <v>-8.1055328960731296E-2</v>
      </c>
      <c r="Q6278">
        <v>0.16430810728928399</v>
      </c>
      <c r="R6278">
        <v>0.98787996086042895</v>
      </c>
      <c r="S6278" t="s">
        <v>12589</v>
      </c>
      <c r="T6278" t="s">
        <v>12620</v>
      </c>
      <c r="U6278" t="s">
        <v>12620</v>
      </c>
      <c r="V6278" t="s">
        <v>12620</v>
      </c>
      <c r="W6278" t="s">
        <v>18837</v>
      </c>
      <c r="X6278">
        <v>15</v>
      </c>
      <c r="Y6278" t="s">
        <v>24918</v>
      </c>
      <c r="Z6278" t="s">
        <v>31225</v>
      </c>
      <c r="AA6278">
        <v>0.66016436263229994</v>
      </c>
      <c r="AB6278" t="str">
        <f>HYPERLINK("Melting_Curves/meltCurve_Q9Y6I3_EPN1.pdf", "Melting_Curves/meltCurve_Q9Y6I3_EPN1.pdf")</f>
        <v>Melting_Curves/meltCurve_Q9Y6I3_EPN1.pdf</v>
      </c>
    </row>
    <row r="6279" spans="1:28" x14ac:dyDescent="0.25">
      <c r="A6279" t="s">
        <v>6283</v>
      </c>
      <c r="B6279">
        <v>0.99987803227770999</v>
      </c>
      <c r="C6279">
        <v>0.73588210510999896</v>
      </c>
      <c r="D6279">
        <v>0.97432936406577497</v>
      </c>
      <c r="E6279">
        <v>0.73960483080737105</v>
      </c>
      <c r="F6279">
        <v>1.1170788046740801</v>
      </c>
      <c r="G6279">
        <v>0.90166067751420198</v>
      </c>
      <c r="H6279">
        <v>1.10812714051103</v>
      </c>
      <c r="I6279">
        <v>1.07858784972851</v>
      </c>
      <c r="J6279">
        <v>1.13374240403047</v>
      </c>
      <c r="K6279">
        <v>0.96309468832693201</v>
      </c>
      <c r="L6279">
        <v>2016.0353162875699</v>
      </c>
      <c r="M6279">
        <v>33.885706799169199</v>
      </c>
      <c r="O6279">
        <v>59.289094345231902</v>
      </c>
      <c r="P6279">
        <v>9.70954772589217E-3</v>
      </c>
      <c r="Q6279">
        <v>1.06795407409443</v>
      </c>
      <c r="R6279">
        <v>4.7435834771008101E-2</v>
      </c>
      <c r="S6279" t="s">
        <v>12590</v>
      </c>
      <c r="T6279" t="s">
        <v>12620</v>
      </c>
      <c r="U6279" t="s">
        <v>12620</v>
      </c>
      <c r="V6279" t="s">
        <v>12620</v>
      </c>
      <c r="W6279" t="s">
        <v>18838</v>
      </c>
      <c r="X6279">
        <v>2</v>
      </c>
      <c r="Y6279" t="s">
        <v>24919</v>
      </c>
      <c r="Z6279" t="s">
        <v>31226</v>
      </c>
      <c r="AA6279">
        <v>1.0234406167143499</v>
      </c>
      <c r="AB6279" t="str">
        <f>HYPERLINK("Melting_Curves/meltCurve_Q9Y6I9_TEX264.pdf", "Melting_Curves/meltCurve_Q9Y6I9_TEX264.pdf")</f>
        <v>Melting_Curves/meltCurve_Q9Y6I9_TEX264.pdf</v>
      </c>
    </row>
    <row r="6280" spans="1:28" x14ac:dyDescent="0.25">
      <c r="A6280" t="s">
        <v>6284</v>
      </c>
      <c r="B6280">
        <v>0.99987803227770999</v>
      </c>
      <c r="C6280">
        <v>1.0990196795539999</v>
      </c>
      <c r="D6280">
        <v>0.89377807653914298</v>
      </c>
      <c r="E6280">
        <v>1.0404732915571999</v>
      </c>
      <c r="F6280">
        <v>0.55346853467037305</v>
      </c>
      <c r="G6280">
        <v>0.27862009564545998</v>
      </c>
      <c r="H6280">
        <v>0.176233717616821</v>
      </c>
      <c r="I6280">
        <v>0.138495831174585</v>
      </c>
      <c r="J6280">
        <v>0.10731788665182999</v>
      </c>
      <c r="K6280">
        <v>7.4176902924976307E-2</v>
      </c>
      <c r="L6280">
        <v>2118.9027934481301</v>
      </c>
      <c r="M6280">
        <v>39.826629292801798</v>
      </c>
      <c r="N6280">
        <v>53.638644856994702</v>
      </c>
      <c r="O6280">
        <v>53.069540179059302</v>
      </c>
      <c r="P6280">
        <v>-0.16169898362443899</v>
      </c>
      <c r="Q6280">
        <v>0.13813688168535099</v>
      </c>
      <c r="R6280">
        <v>0.97189277245481998</v>
      </c>
      <c r="S6280" t="s">
        <v>12591</v>
      </c>
      <c r="T6280" t="s">
        <v>12620</v>
      </c>
      <c r="U6280" t="s">
        <v>12620</v>
      </c>
      <c r="V6280" t="s">
        <v>12620</v>
      </c>
      <c r="W6280" t="s">
        <v>18839</v>
      </c>
      <c r="X6280">
        <v>4</v>
      </c>
      <c r="Y6280" t="s">
        <v>24920</v>
      </c>
      <c r="Z6280" t="s">
        <v>31227</v>
      </c>
      <c r="AA6280">
        <v>0.52064099699620703</v>
      </c>
      <c r="AB6280" t="str">
        <f>HYPERLINK("Melting_Curves/meltCurve_Q9Y6J9_TAF6L.pdf", "Melting_Curves/meltCurve_Q9Y6J9_TAF6L.pdf")</f>
        <v>Melting_Curves/meltCurve_Q9Y6J9_TAF6L.pdf</v>
      </c>
    </row>
    <row r="6281" spans="1:28" x14ac:dyDescent="0.25">
      <c r="A6281" t="s">
        <v>6285</v>
      </c>
      <c r="B6281">
        <v>0.99987803227770999</v>
      </c>
      <c r="C6281">
        <v>0.59398634006389395</v>
      </c>
      <c r="D6281">
        <v>0.81209646278399805</v>
      </c>
      <c r="E6281">
        <v>0.53622100208338697</v>
      </c>
      <c r="F6281">
        <v>1.10119350291054</v>
      </c>
      <c r="G6281">
        <v>0.546910219246314</v>
      </c>
      <c r="H6281">
        <v>0.75672226301578804</v>
      </c>
      <c r="I6281">
        <v>0.81734936650692802</v>
      </c>
      <c r="J6281">
        <v>1.11159835421369</v>
      </c>
      <c r="K6281">
        <v>0.94429349623074799</v>
      </c>
      <c r="L6281">
        <v>10227.8508199635</v>
      </c>
      <c r="M6281">
        <v>250</v>
      </c>
      <c r="O6281">
        <v>40.908794893581501</v>
      </c>
      <c r="P6281">
        <v>-0.302099448194319</v>
      </c>
      <c r="Q6281">
        <v>0.80226365699234803</v>
      </c>
      <c r="R6281">
        <v>8.3257558127509804E-2</v>
      </c>
      <c r="S6281" t="s">
        <v>12592</v>
      </c>
      <c r="T6281" t="s">
        <v>12620</v>
      </c>
      <c r="U6281" t="s">
        <v>12620</v>
      </c>
      <c r="V6281" t="s">
        <v>12620</v>
      </c>
      <c r="W6281" t="s">
        <v>18840</v>
      </c>
      <c r="X6281">
        <v>2</v>
      </c>
      <c r="Y6281" t="s">
        <v>24921</v>
      </c>
      <c r="Z6281" t="s">
        <v>31228</v>
      </c>
      <c r="AA6281">
        <v>0.80828853632188358</v>
      </c>
      <c r="AB6281" t="str">
        <f>HYPERLINK("Melting_Curves/meltCurve_Q9Y6K1_3_DNMT3A.pdf", "Melting_Curves/meltCurve_Q9Y6K1_3_DNMT3A.pdf")</f>
        <v>Melting_Curves/meltCurve_Q9Y6K1_3_DNMT3A.pdf</v>
      </c>
    </row>
    <row r="6282" spans="1:28" x14ac:dyDescent="0.25">
      <c r="A6282" t="s">
        <v>6286</v>
      </c>
      <c r="B6282">
        <v>0.99987803227770999</v>
      </c>
      <c r="C6282">
        <v>1.0477759784540099</v>
      </c>
      <c r="D6282">
        <v>0.90456797420881196</v>
      </c>
      <c r="E6282">
        <v>0.59013736016089302</v>
      </c>
      <c r="F6282">
        <v>0.218920825338522</v>
      </c>
      <c r="G6282">
        <v>0.14223176959931999</v>
      </c>
      <c r="H6282">
        <v>8.3825855922483997E-2</v>
      </c>
      <c r="I6282">
        <v>7.8811785264350495E-2</v>
      </c>
      <c r="J6282">
        <v>4.8082895495472601E-2</v>
      </c>
      <c r="K6282">
        <v>3.6590352499036402E-2</v>
      </c>
      <c r="L6282">
        <v>1374.4627972304399</v>
      </c>
      <c r="M6282">
        <v>27.323916116862399</v>
      </c>
      <c r="N6282">
        <v>50.557297033644502</v>
      </c>
      <c r="O6282">
        <v>50.035441584881497</v>
      </c>
      <c r="P6282">
        <v>-0.127744178075579</v>
      </c>
      <c r="Q6282">
        <v>6.4310553139712207E-2</v>
      </c>
      <c r="R6282">
        <v>0.994818044563205</v>
      </c>
      <c r="S6282" t="s">
        <v>12593</v>
      </c>
      <c r="T6282" t="s">
        <v>12620</v>
      </c>
      <c r="U6282" t="s">
        <v>12620</v>
      </c>
      <c r="V6282" t="s">
        <v>12620</v>
      </c>
      <c r="W6282" t="s">
        <v>18841</v>
      </c>
      <c r="X6282">
        <v>19</v>
      </c>
      <c r="Y6282" t="s">
        <v>24922</v>
      </c>
      <c r="Z6282" t="s">
        <v>31229</v>
      </c>
      <c r="AA6282">
        <v>0.3926638617869746</v>
      </c>
      <c r="AB6282" t="str">
        <f>HYPERLINK("Melting_Curves/meltCurve_Q9Y6K5_OAS3.pdf", "Melting_Curves/meltCurve_Q9Y6K5_OAS3.pdf")</f>
        <v>Melting_Curves/meltCurve_Q9Y6K5_OAS3.pdf</v>
      </c>
    </row>
    <row r="6283" spans="1:28" x14ac:dyDescent="0.25">
      <c r="A6283" t="s">
        <v>6287</v>
      </c>
      <c r="B6283">
        <v>0.99987803227770999</v>
      </c>
      <c r="C6283">
        <v>0.85418573635677997</v>
      </c>
      <c r="D6283">
        <v>0.77775430437703896</v>
      </c>
      <c r="E6283">
        <v>0.74585302192281999</v>
      </c>
      <c r="F6283">
        <v>0.94255162452585095</v>
      </c>
      <c r="G6283">
        <v>0.90215790080458502</v>
      </c>
      <c r="H6283">
        <v>1.0935686420255299</v>
      </c>
      <c r="I6283">
        <v>1.0491381502105701</v>
      </c>
      <c r="J6283">
        <v>1.1008833364750801</v>
      </c>
      <c r="K6283">
        <v>0.90423195014880198</v>
      </c>
      <c r="L6283">
        <v>15000</v>
      </c>
      <c r="M6283">
        <v>212.04046049148801</v>
      </c>
      <c r="Q6283">
        <v>0</v>
      </c>
      <c r="R6283">
        <v>-0.219426484703625</v>
      </c>
      <c r="S6283" t="s">
        <v>12594</v>
      </c>
      <c r="T6283" t="s">
        <v>12620</v>
      </c>
      <c r="U6283" t="s">
        <v>12620</v>
      </c>
      <c r="V6283" t="s">
        <v>12620</v>
      </c>
      <c r="W6283" t="s">
        <v>18842</v>
      </c>
      <c r="X6283">
        <v>26</v>
      </c>
      <c r="Y6283" t="s">
        <v>24923</v>
      </c>
      <c r="Z6283" t="s">
        <v>31230</v>
      </c>
      <c r="AA6283">
        <v>0.99891426792796756</v>
      </c>
      <c r="AB6283" t="str">
        <f>HYPERLINK("Melting_Curves/meltCurve_Q9Y6K9_IKBKG.pdf", "Melting_Curves/meltCurve_Q9Y6K9_IKBKG.pdf")</f>
        <v>Melting_Curves/meltCurve_Q9Y6K9_IKBKG.pdf</v>
      </c>
    </row>
    <row r="6284" spans="1:28" x14ac:dyDescent="0.25">
      <c r="A6284" t="s">
        <v>6288</v>
      </c>
      <c r="B6284">
        <v>0.99987803227770999</v>
      </c>
      <c r="C6284">
        <v>0.78548262040024996</v>
      </c>
      <c r="D6284">
        <v>1.04703032381207</v>
      </c>
      <c r="E6284">
        <v>0.81722245339216903</v>
      </c>
      <c r="F6284">
        <v>1.1762866701765</v>
      </c>
      <c r="G6284">
        <v>1.0262543142946801</v>
      </c>
      <c r="H6284">
        <v>1.0655951723816199</v>
      </c>
      <c r="I6284">
        <v>1.01997022822872</v>
      </c>
      <c r="J6284">
        <v>1.07294207684247</v>
      </c>
      <c r="K6284">
        <v>0.92931082790080499</v>
      </c>
      <c r="S6284" t="s">
        <v>12595</v>
      </c>
      <c r="T6284" t="s">
        <v>12620</v>
      </c>
      <c r="U6284" t="s">
        <v>12621</v>
      </c>
      <c r="V6284" t="s">
        <v>12620</v>
      </c>
      <c r="W6284" t="s">
        <v>18843</v>
      </c>
      <c r="X6284">
        <v>5</v>
      </c>
      <c r="Y6284" t="s">
        <v>24924</v>
      </c>
      <c r="Z6284" t="s">
        <v>31231</v>
      </c>
      <c r="AB6284" t="str">
        <f>HYPERLINK("Melting_Curves/meltCurve_Q9Y6M5_SLC30A1.pdf", "Melting_Curves/meltCurve_Q9Y6M5_SLC30A1.pdf")</f>
        <v>Melting_Curves/meltCurve_Q9Y6M5_SLC30A1.pdf</v>
      </c>
    </row>
    <row r="6285" spans="1:28" x14ac:dyDescent="0.25">
      <c r="A6285" t="s">
        <v>6289</v>
      </c>
      <c r="B6285">
        <v>0.99987803227770999</v>
      </c>
      <c r="C6285">
        <v>0.91543391810227503</v>
      </c>
      <c r="D6285">
        <v>0.81855115600289097</v>
      </c>
      <c r="E6285">
        <v>0.66309990654143902</v>
      </c>
      <c r="F6285">
        <v>0.46284864710685802</v>
      </c>
      <c r="G6285">
        <v>0.25489376552730603</v>
      </c>
      <c r="H6285">
        <v>0.20648332297309799</v>
      </c>
      <c r="I6285">
        <v>0.16481745754275201</v>
      </c>
      <c r="J6285">
        <v>0.18986135736224699</v>
      </c>
      <c r="K6285">
        <v>0.13806335125407701</v>
      </c>
      <c r="L6285">
        <v>705.74041093774497</v>
      </c>
      <c r="M6285">
        <v>13.8123338337275</v>
      </c>
      <c r="N6285">
        <v>52.168379325480203</v>
      </c>
      <c r="O6285">
        <v>50.059652932138903</v>
      </c>
      <c r="P6285">
        <v>-6.0455422413828203E-2</v>
      </c>
      <c r="Q6285">
        <v>0.123694719316843</v>
      </c>
      <c r="R6285">
        <v>0.99444990954454604</v>
      </c>
      <c r="S6285" t="s">
        <v>12596</v>
      </c>
      <c r="T6285" t="s">
        <v>12620</v>
      </c>
      <c r="U6285" t="s">
        <v>12620</v>
      </c>
      <c r="V6285" t="s">
        <v>12620</v>
      </c>
      <c r="W6285" t="s">
        <v>18844</v>
      </c>
      <c r="X6285">
        <v>2</v>
      </c>
      <c r="Y6285" t="s">
        <v>24925</v>
      </c>
      <c r="Z6285" t="s">
        <v>31232</v>
      </c>
      <c r="AA6285">
        <v>0.47081942719126141</v>
      </c>
      <c r="AB6285" t="str">
        <f>HYPERLINK("Melting_Curves/meltCurve_Q9Y6N5_SQRDL.pdf", "Melting_Curves/meltCurve_Q9Y6N5_SQRDL.pdf")</f>
        <v>Melting_Curves/meltCurve_Q9Y6N5_SQRDL.pdf</v>
      </c>
    </row>
    <row r="6286" spans="1:28" x14ac:dyDescent="0.25">
      <c r="A6286" t="s">
        <v>6290</v>
      </c>
      <c r="B6286">
        <v>0.99987803227770999</v>
      </c>
      <c r="C6286">
        <v>0.98423699584591895</v>
      </c>
      <c r="D6286">
        <v>1.0146786870562099</v>
      </c>
      <c r="E6286">
        <v>0.94882086170382796</v>
      </c>
      <c r="F6286">
        <v>0.96649480612594896</v>
      </c>
      <c r="G6286">
        <v>0.77675616674572501</v>
      </c>
      <c r="H6286">
        <v>0.73156459171265897</v>
      </c>
      <c r="I6286">
        <v>0.65206164930618404</v>
      </c>
      <c r="J6286">
        <v>0.62782433185296005</v>
      </c>
      <c r="K6286">
        <v>0.472466100991218</v>
      </c>
      <c r="L6286">
        <v>585.69192184979102</v>
      </c>
      <c r="M6286">
        <v>8.9683441961098698</v>
      </c>
      <c r="O6286">
        <v>62.304628491517398</v>
      </c>
      <c r="P6286">
        <v>-2.7544865506600399E-2</v>
      </c>
      <c r="Q6286">
        <v>0.235127257551972</v>
      </c>
      <c r="R6286">
        <v>0.965592308908932</v>
      </c>
      <c r="S6286" t="s">
        <v>12597</v>
      </c>
      <c r="T6286" t="s">
        <v>12620</v>
      </c>
      <c r="U6286" t="s">
        <v>12620</v>
      </c>
      <c r="V6286" t="s">
        <v>12620</v>
      </c>
      <c r="W6286" t="s">
        <v>18845</v>
      </c>
      <c r="X6286">
        <v>16</v>
      </c>
      <c r="Y6286" t="s">
        <v>24926</v>
      </c>
      <c r="Z6286" t="s">
        <v>31233</v>
      </c>
      <c r="AA6286">
        <v>0.82800034972580749</v>
      </c>
      <c r="AB6286" t="str">
        <f>HYPERLINK("Melting_Curves/meltCurve_Q9Y6N7_5_ROBO1.pdf", "Melting_Curves/meltCurve_Q9Y6N7_5_ROBO1.pdf")</f>
        <v>Melting_Curves/meltCurve_Q9Y6N7_5_ROBO1.pdf</v>
      </c>
    </row>
    <row r="6287" spans="1:28" x14ac:dyDescent="0.25">
      <c r="A6287" t="s">
        <v>6291</v>
      </c>
      <c r="B6287">
        <v>0.99987803227770999</v>
      </c>
      <c r="C6287">
        <v>1.1132132376183901</v>
      </c>
      <c r="D6287">
        <v>0.78268094723317505</v>
      </c>
      <c r="E6287">
        <v>0.97201655608300996</v>
      </c>
      <c r="F6287">
        <v>0.29405907597817599</v>
      </c>
      <c r="G6287">
        <v>0.256044123694882</v>
      </c>
      <c r="H6287">
        <v>4.5111152640711402E-2</v>
      </c>
      <c r="I6287">
        <v>1.4607288675746699E-2</v>
      </c>
      <c r="J6287">
        <v>4.16170714152568E-2</v>
      </c>
      <c r="K6287">
        <v>1.3516218280988399E-2</v>
      </c>
      <c r="L6287">
        <v>3723.4615254139799</v>
      </c>
      <c r="M6287">
        <v>71.385351472612001</v>
      </c>
      <c r="N6287">
        <v>52.275613710905397</v>
      </c>
      <c r="O6287">
        <v>52.119132936041701</v>
      </c>
      <c r="P6287">
        <v>-0.317417531251528</v>
      </c>
      <c r="Q6287">
        <v>7.3001800360578101E-2</v>
      </c>
      <c r="R6287">
        <v>0.94645276854464899</v>
      </c>
      <c r="S6287" t="s">
        <v>12598</v>
      </c>
      <c r="T6287" t="s">
        <v>12620</v>
      </c>
      <c r="U6287" t="s">
        <v>12620</v>
      </c>
      <c r="V6287" t="s">
        <v>12620</v>
      </c>
      <c r="W6287" t="s">
        <v>18846</v>
      </c>
      <c r="X6287">
        <v>1</v>
      </c>
      <c r="Y6287" t="s">
        <v>24927</v>
      </c>
      <c r="Z6287" t="s">
        <v>31234</v>
      </c>
      <c r="AA6287">
        <v>0.44978913094790951</v>
      </c>
      <c r="AB6287" t="str">
        <f>HYPERLINK("Melting_Curves/meltCurve_Q9Y6N9_5_USH1C.pdf", "Melting_Curves/meltCurve_Q9Y6N9_5_USH1C.pdf")</f>
        <v>Melting_Curves/meltCurve_Q9Y6N9_5_USH1C.pdf</v>
      </c>
    </row>
    <row r="6288" spans="1:28" x14ac:dyDescent="0.25">
      <c r="A6288" t="s">
        <v>6292</v>
      </c>
      <c r="B6288">
        <v>0.99987803227770999</v>
      </c>
      <c r="C6288">
        <v>0.74211360451306196</v>
      </c>
      <c r="D6288">
        <v>0.77524910882443199</v>
      </c>
      <c r="E6288">
        <v>0.703502340011395</v>
      </c>
      <c r="F6288">
        <v>0.76276943955215604</v>
      </c>
      <c r="G6288">
        <v>0.50176474120685599</v>
      </c>
      <c r="H6288">
        <v>0.51073720370652098</v>
      </c>
      <c r="I6288">
        <v>0.47126800915372702</v>
      </c>
      <c r="J6288">
        <v>0.43296704227149402</v>
      </c>
      <c r="K6288">
        <v>0.38096805259769101</v>
      </c>
      <c r="L6288">
        <v>256.71801920813999</v>
      </c>
      <c r="M6288">
        <v>4.32797686401139</v>
      </c>
      <c r="N6288">
        <v>61.539422724847803</v>
      </c>
      <c r="O6288">
        <v>49.867178586030803</v>
      </c>
      <c r="P6288">
        <v>-2.0327297993498399E-2</v>
      </c>
      <c r="Q6288">
        <v>7.2381027986521698E-2</v>
      </c>
      <c r="R6288">
        <v>0.88396165647261404</v>
      </c>
      <c r="S6288" t="s">
        <v>12599</v>
      </c>
      <c r="T6288" t="s">
        <v>12620</v>
      </c>
      <c r="U6288" t="s">
        <v>12620</v>
      </c>
      <c r="V6288" t="s">
        <v>12620</v>
      </c>
      <c r="W6288" t="s">
        <v>18847</v>
      </c>
      <c r="X6288">
        <v>1</v>
      </c>
      <c r="Y6288" t="s">
        <v>24928</v>
      </c>
      <c r="Z6288" t="s">
        <v>31235</v>
      </c>
      <c r="AA6288">
        <v>0.62612216961554101</v>
      </c>
      <c r="AB6288" t="str">
        <f>HYPERLINK("Melting_Curves/meltCurve_Q9Y6Q6_TNFRSF11A.pdf", "Melting_Curves/meltCurve_Q9Y6Q6_TNFRSF11A.pdf")</f>
        <v>Melting_Curves/meltCurve_Q9Y6Q6_TNFRSF11A.pdf</v>
      </c>
    </row>
    <row r="6289" spans="1:28" x14ac:dyDescent="0.25">
      <c r="A6289" t="s">
        <v>6293</v>
      </c>
      <c r="B6289">
        <v>0.99987803227770999</v>
      </c>
      <c r="C6289">
        <v>0.93938073908374797</v>
      </c>
      <c r="D6289">
        <v>1.0391612170093401</v>
      </c>
      <c r="E6289">
        <v>0.88955559759706804</v>
      </c>
      <c r="F6289">
        <v>0.77940246385478695</v>
      </c>
      <c r="G6289">
        <v>0.54369733602098003</v>
      </c>
      <c r="H6289">
        <v>0.483244025585232</v>
      </c>
      <c r="I6289">
        <v>0.47114572457530901</v>
      </c>
      <c r="J6289">
        <v>0.406689585035448</v>
      </c>
      <c r="K6289">
        <v>0.33700256259276901</v>
      </c>
      <c r="L6289">
        <v>962.22374556156694</v>
      </c>
      <c r="M6289">
        <v>17.617856675199601</v>
      </c>
      <c r="N6289">
        <v>59.339526397484697</v>
      </c>
      <c r="O6289">
        <v>53.927298852922597</v>
      </c>
      <c r="P6289">
        <v>-5.0887040952220797E-2</v>
      </c>
      <c r="Q6289">
        <v>0.37698361608875702</v>
      </c>
      <c r="R6289">
        <v>0.97824097292747603</v>
      </c>
      <c r="S6289" t="s">
        <v>12600</v>
      </c>
      <c r="T6289" t="s">
        <v>12620</v>
      </c>
      <c r="U6289" t="s">
        <v>12620</v>
      </c>
      <c r="V6289" t="s">
        <v>12620</v>
      </c>
      <c r="W6289" t="s">
        <v>18848</v>
      </c>
      <c r="X6289">
        <v>24</v>
      </c>
      <c r="Y6289" t="s">
        <v>24929</v>
      </c>
      <c r="Z6289" t="s">
        <v>31236</v>
      </c>
      <c r="AA6289">
        <v>0.69059926402858773</v>
      </c>
      <c r="AB6289" t="str">
        <f>HYPERLINK("Melting_Curves/meltCurve_Q9Y6Q9_5_NCOA3.pdf", "Melting_Curves/meltCurve_Q9Y6Q9_5_NCOA3.pdf")</f>
        <v>Melting_Curves/meltCurve_Q9Y6Q9_5_NCOA3.pdf</v>
      </c>
    </row>
    <row r="6290" spans="1:28" x14ac:dyDescent="0.25">
      <c r="A6290" t="s">
        <v>6294</v>
      </c>
      <c r="B6290">
        <v>0.99987803227770999</v>
      </c>
      <c r="C6290">
        <v>0.95838651281977005</v>
      </c>
      <c r="D6290">
        <v>0.99959824436772804</v>
      </c>
      <c r="E6290">
        <v>0.83492971807035099</v>
      </c>
      <c r="F6290">
        <v>0.590439495033522</v>
      </c>
      <c r="G6290">
        <v>0.286665722896216</v>
      </c>
      <c r="H6290">
        <v>0.30943749754502697</v>
      </c>
      <c r="I6290">
        <v>0.34356713641373399</v>
      </c>
      <c r="J6290">
        <v>0.28222833447553902</v>
      </c>
      <c r="K6290">
        <v>0.22970185979381</v>
      </c>
      <c r="L6290">
        <v>1569.11184829222</v>
      </c>
      <c r="M6290">
        <v>30.017594189128399</v>
      </c>
      <c r="N6290">
        <v>53.736863670563302</v>
      </c>
      <c r="O6290">
        <v>52.042727340668797</v>
      </c>
      <c r="P6290">
        <v>-0.10392731109063</v>
      </c>
      <c r="Q6290">
        <v>0.27927269434035701</v>
      </c>
      <c r="R6290">
        <v>0.98818783359565099</v>
      </c>
      <c r="S6290" t="s">
        <v>12601</v>
      </c>
      <c r="T6290" t="s">
        <v>12620</v>
      </c>
      <c r="U6290" t="s">
        <v>12620</v>
      </c>
      <c r="V6290" t="s">
        <v>12620</v>
      </c>
      <c r="W6290" t="s">
        <v>18849</v>
      </c>
      <c r="X6290">
        <v>19</v>
      </c>
      <c r="Y6290" t="s">
        <v>24930</v>
      </c>
      <c r="Z6290" t="s">
        <v>31237</v>
      </c>
      <c r="AA6290">
        <v>0.57874299891642911</v>
      </c>
      <c r="AB6290" t="str">
        <f>HYPERLINK("Melting_Curves/meltCurve_Q9Y6R0_NUMBL.pdf", "Melting_Curves/meltCurve_Q9Y6R0_NUMBL.pdf")</f>
        <v>Melting_Curves/meltCurve_Q9Y6R0_NUMBL.pdf</v>
      </c>
    </row>
    <row r="6291" spans="1:28" x14ac:dyDescent="0.25">
      <c r="A6291" t="s">
        <v>6295</v>
      </c>
      <c r="B6291">
        <v>0.99987803227770999</v>
      </c>
      <c r="C6291">
        <v>1.1470781151012399</v>
      </c>
      <c r="D6291">
        <v>0.974146051339567</v>
      </c>
      <c r="E6291">
        <v>0.77513771698769296</v>
      </c>
      <c r="F6291">
        <v>0.39360644828181302</v>
      </c>
      <c r="G6291">
        <v>0.245867523948441</v>
      </c>
      <c r="H6291">
        <v>0.177405139769473</v>
      </c>
      <c r="I6291">
        <v>0.15745664616727401</v>
      </c>
      <c r="J6291">
        <v>0.102249191264183</v>
      </c>
      <c r="K6291">
        <v>7.06464867381425E-2</v>
      </c>
      <c r="L6291">
        <v>1422.49120770897</v>
      </c>
      <c r="M6291">
        <v>27.487835799312698</v>
      </c>
      <c r="N6291">
        <v>52.320006577291501</v>
      </c>
      <c r="O6291">
        <v>51.478276557003902</v>
      </c>
      <c r="P6291">
        <v>-0.116216246643363</v>
      </c>
      <c r="Q6291">
        <v>0.12942482674531899</v>
      </c>
      <c r="R6291">
        <v>0.97958578115460604</v>
      </c>
      <c r="S6291" t="s">
        <v>12602</v>
      </c>
      <c r="T6291" t="s">
        <v>12620</v>
      </c>
      <c r="U6291" t="s">
        <v>12620</v>
      </c>
      <c r="V6291" t="s">
        <v>12620</v>
      </c>
      <c r="W6291" t="s">
        <v>18850</v>
      </c>
      <c r="X6291">
        <v>8</v>
      </c>
      <c r="Y6291" t="s">
        <v>24931</v>
      </c>
      <c r="Z6291" t="s">
        <v>31238</v>
      </c>
      <c r="AA6291">
        <v>0.4769826888355771</v>
      </c>
      <c r="AB6291" t="str">
        <f>HYPERLINK("Melting_Curves/meltCurve_Q9Y6V7_DDX49.pdf", "Melting_Curves/meltCurve_Q9Y6V7_DDX49.pdf")</f>
        <v>Melting_Curves/meltCurve_Q9Y6V7_DDX49.pdf</v>
      </c>
    </row>
    <row r="6292" spans="1:28" x14ac:dyDescent="0.25">
      <c r="A6292" t="s">
        <v>6296</v>
      </c>
      <c r="B6292">
        <v>0.99987803227770999</v>
      </c>
      <c r="C6292">
        <v>0.99765100110684801</v>
      </c>
      <c r="D6292">
        <v>0.96735478838809197</v>
      </c>
      <c r="E6292">
        <v>0.73390599470704398</v>
      </c>
      <c r="F6292">
        <v>0.245211657483625</v>
      </c>
      <c r="G6292">
        <v>0.13686423842650899</v>
      </c>
      <c r="H6292">
        <v>8.8833397068623907E-2</v>
      </c>
      <c r="I6292">
        <v>7.3249233760139004E-2</v>
      </c>
      <c r="J6292">
        <v>5.6803899066993201E-2</v>
      </c>
      <c r="K6292">
        <v>4.6709960082843602E-2</v>
      </c>
      <c r="L6292">
        <v>1996.7174191863201</v>
      </c>
      <c r="M6292">
        <v>39.068251396780397</v>
      </c>
      <c r="N6292">
        <v>51.321744187776098</v>
      </c>
      <c r="O6292">
        <v>50.9750974345842</v>
      </c>
      <c r="P6292">
        <v>-0.17724634550146101</v>
      </c>
      <c r="Q6292">
        <v>7.4939204340685003E-2</v>
      </c>
      <c r="R6292">
        <v>0.99757508634163305</v>
      </c>
      <c r="S6292" t="s">
        <v>12603</v>
      </c>
      <c r="T6292" t="s">
        <v>12620</v>
      </c>
      <c r="U6292" t="s">
        <v>12620</v>
      </c>
      <c r="V6292" t="s">
        <v>12620</v>
      </c>
      <c r="W6292" t="s">
        <v>18851</v>
      </c>
      <c r="X6292">
        <v>11</v>
      </c>
      <c r="Y6292" t="s">
        <v>24932</v>
      </c>
      <c r="Z6292" t="s">
        <v>31239</v>
      </c>
      <c r="AA6292">
        <v>0.4208985097111691</v>
      </c>
      <c r="AB6292" t="str">
        <f>HYPERLINK("Melting_Curves/meltCurve_Q9Y6W3_CAPN7.pdf", "Melting_Curves/meltCurve_Q9Y6W3_CAPN7.pdf")</f>
        <v>Melting_Curves/meltCurve_Q9Y6W3_CAPN7.pdf</v>
      </c>
    </row>
    <row r="6293" spans="1:28" x14ac:dyDescent="0.25">
      <c r="A6293" t="s">
        <v>6297</v>
      </c>
      <c r="B6293">
        <v>0.99987803227770999</v>
      </c>
      <c r="C6293">
        <v>1.0153762128861401</v>
      </c>
      <c r="D6293">
        <v>0.85124068025641197</v>
      </c>
      <c r="E6293">
        <v>1.35486532289482</v>
      </c>
      <c r="F6293">
        <v>0.99289319759588202</v>
      </c>
      <c r="G6293">
        <v>1.08258719039021</v>
      </c>
      <c r="H6293">
        <v>1.0406086325397099</v>
      </c>
      <c r="I6293">
        <v>0.88878741780361503</v>
      </c>
      <c r="J6293">
        <v>0.65505482212411803</v>
      </c>
      <c r="K6293">
        <v>0.31770211157144101</v>
      </c>
      <c r="L6293">
        <v>2568.3601136962898</v>
      </c>
      <c r="M6293">
        <v>37.926195914040498</v>
      </c>
      <c r="N6293">
        <v>68.218266408332795</v>
      </c>
      <c r="O6293">
        <v>67.532499661440994</v>
      </c>
      <c r="P6293">
        <v>-0.123413382165232</v>
      </c>
      <c r="Q6293">
        <v>0.120988282274906</v>
      </c>
      <c r="R6293">
        <v>0.76970625433013895</v>
      </c>
      <c r="S6293" t="s">
        <v>12604</v>
      </c>
      <c r="T6293" t="s">
        <v>12620</v>
      </c>
      <c r="U6293" t="s">
        <v>12620</v>
      </c>
      <c r="V6293" t="s">
        <v>12620</v>
      </c>
      <c r="W6293" t="s">
        <v>18852</v>
      </c>
      <c r="X6293">
        <v>13</v>
      </c>
      <c r="Y6293" t="s">
        <v>24933</v>
      </c>
      <c r="Z6293" t="s">
        <v>31240</v>
      </c>
      <c r="AA6293">
        <v>0.92260230317410552</v>
      </c>
      <c r="AB6293" t="str">
        <f>HYPERLINK("Melting_Curves/meltCurve_Q9Y6W5_WASF2.pdf", "Melting_Curves/meltCurve_Q9Y6W5_WASF2.pdf")</f>
        <v>Melting_Curves/meltCurve_Q9Y6W5_WASF2.pdf</v>
      </c>
    </row>
    <row r="6294" spans="1:28" x14ac:dyDescent="0.25">
      <c r="A6294" t="s">
        <v>6298</v>
      </c>
      <c r="B6294">
        <v>0.99987803227770999</v>
      </c>
      <c r="C6294">
        <v>0.83633937421746296</v>
      </c>
      <c r="D6294">
        <v>0.82836880210722397</v>
      </c>
      <c r="E6294">
        <v>0.82380978767083901</v>
      </c>
      <c r="F6294">
        <v>0.77000744555002698</v>
      </c>
      <c r="G6294">
        <v>0.55500820307417598</v>
      </c>
      <c r="H6294">
        <v>0.47473102456908001</v>
      </c>
      <c r="I6294">
        <v>0.48025882407221998</v>
      </c>
      <c r="J6294">
        <v>0.25659982179768298</v>
      </c>
      <c r="K6294">
        <v>0.134836602702358</v>
      </c>
      <c r="L6294">
        <v>447.29460685949402</v>
      </c>
      <c r="M6294">
        <v>7.5267097832697898</v>
      </c>
      <c r="N6294">
        <v>59.427646976661599</v>
      </c>
      <c r="O6294">
        <v>55.666893557366201</v>
      </c>
      <c r="P6294">
        <v>-3.3850416264859198E-2</v>
      </c>
      <c r="Q6294">
        <v>0</v>
      </c>
      <c r="R6294">
        <v>0.93134326128824896</v>
      </c>
      <c r="S6294" t="s">
        <v>12605</v>
      </c>
      <c r="T6294" t="s">
        <v>12620</v>
      </c>
      <c r="U6294" t="s">
        <v>12620</v>
      </c>
      <c r="V6294" t="s">
        <v>12620</v>
      </c>
      <c r="W6294" t="s">
        <v>18853</v>
      </c>
      <c r="X6294">
        <v>1</v>
      </c>
      <c r="Y6294" t="s">
        <v>24934</v>
      </c>
      <c r="Z6294" t="s">
        <v>31241</v>
      </c>
      <c r="AA6294">
        <v>0.63486340459584156</v>
      </c>
      <c r="AB6294" t="str">
        <f>HYPERLINK("Melting_Curves/meltCurve_Q9Y6X5_ENPP4.pdf", "Melting_Curves/meltCurve_Q9Y6X5_ENPP4.pdf")</f>
        <v>Melting_Curves/meltCurve_Q9Y6X5_ENPP4.pdf</v>
      </c>
    </row>
    <row r="6295" spans="1:28" x14ac:dyDescent="0.25">
      <c r="A6295" t="s">
        <v>6299</v>
      </c>
      <c r="B6295">
        <v>0.99987803227770999</v>
      </c>
      <c r="C6295">
        <v>0.90515450642376905</v>
      </c>
      <c r="D6295">
        <v>0.85053492738106995</v>
      </c>
      <c r="E6295">
        <v>0.56776143528661005</v>
      </c>
      <c r="F6295">
        <v>0.43016627505897498</v>
      </c>
      <c r="G6295">
        <v>0.30689367298503101</v>
      </c>
      <c r="H6295">
        <v>0.29305154703077402</v>
      </c>
      <c r="I6295">
        <v>0.285748748499352</v>
      </c>
      <c r="J6295">
        <v>0.22281903088181099</v>
      </c>
      <c r="K6295">
        <v>0.173545581819574</v>
      </c>
      <c r="L6295">
        <v>749.56731465130997</v>
      </c>
      <c r="M6295">
        <v>15.096901033222199</v>
      </c>
      <c r="N6295">
        <v>51.582533913538803</v>
      </c>
      <c r="O6295">
        <v>48.803689826528</v>
      </c>
      <c r="P6295">
        <v>-6.0639922011977203E-2</v>
      </c>
      <c r="Q6295">
        <v>0.21595554180788301</v>
      </c>
      <c r="R6295">
        <v>0.99011358114599202</v>
      </c>
      <c r="S6295" t="s">
        <v>12606</v>
      </c>
      <c r="T6295" t="s">
        <v>12620</v>
      </c>
      <c r="U6295" t="s">
        <v>12620</v>
      </c>
      <c r="V6295" t="s">
        <v>12620</v>
      </c>
      <c r="W6295" t="s">
        <v>18854</v>
      </c>
      <c r="X6295">
        <v>4</v>
      </c>
      <c r="Y6295" t="s">
        <v>24935</v>
      </c>
      <c r="Z6295" t="s">
        <v>31242</v>
      </c>
      <c r="AA6295">
        <v>0.48686007814457399</v>
      </c>
      <c r="AB6295" t="str">
        <f>HYPERLINK("Melting_Curves/meltCurve_Q9Y6X8_ZHX2.pdf", "Melting_Curves/meltCurve_Q9Y6X8_ZHX2.pdf")</f>
        <v>Melting_Curves/meltCurve_Q9Y6X8_ZHX2.pdf</v>
      </c>
    </row>
    <row r="6296" spans="1:28" x14ac:dyDescent="0.25">
      <c r="A6296" t="s">
        <v>6300</v>
      </c>
      <c r="B6296">
        <v>0.99987803227770999</v>
      </c>
      <c r="C6296">
        <v>0.900411861976808</v>
      </c>
      <c r="D6296">
        <v>0.70671860787276497</v>
      </c>
      <c r="E6296">
        <v>0.47429004386783202</v>
      </c>
      <c r="F6296">
        <v>0.451220031591478</v>
      </c>
      <c r="G6296">
        <v>0.36084747059924099</v>
      </c>
      <c r="H6296">
        <v>0.33705024472059297</v>
      </c>
      <c r="I6296">
        <v>0.32654766337416002</v>
      </c>
      <c r="J6296">
        <v>0.28167408708105202</v>
      </c>
      <c r="K6296">
        <v>0.209295959589441</v>
      </c>
      <c r="L6296">
        <v>696.05466229728904</v>
      </c>
      <c r="M6296">
        <v>14.6328172963103</v>
      </c>
      <c r="N6296">
        <v>50.382266992057801</v>
      </c>
      <c r="O6296">
        <v>46.7061499618776</v>
      </c>
      <c r="P6296">
        <v>-5.6462059432377698E-2</v>
      </c>
      <c r="Q6296">
        <v>0.27920064433895603</v>
      </c>
      <c r="R6296">
        <v>0.97822754493820496</v>
      </c>
      <c r="S6296" t="s">
        <v>12607</v>
      </c>
      <c r="T6296" t="s">
        <v>12620</v>
      </c>
      <c r="U6296" t="s">
        <v>12620</v>
      </c>
      <c r="V6296" t="s">
        <v>12620</v>
      </c>
      <c r="W6296" t="s">
        <v>18855</v>
      </c>
      <c r="X6296">
        <v>8</v>
      </c>
      <c r="Y6296" t="s">
        <v>24936</v>
      </c>
      <c r="Z6296" t="s">
        <v>31243</v>
      </c>
      <c r="AA6296">
        <v>0.48095547982061038</v>
      </c>
      <c r="AB6296" t="str">
        <f>HYPERLINK("Melting_Curves/meltCurve_Q9Y6X9_MORC2.pdf", "Melting_Curves/meltCurve_Q9Y6X9_MORC2.pdf")</f>
        <v>Melting_Curves/meltCurve_Q9Y6X9_MORC2.pdf</v>
      </c>
    </row>
    <row r="6297" spans="1:28" x14ac:dyDescent="0.25">
      <c r="A6297" t="s">
        <v>6301</v>
      </c>
      <c r="B6297">
        <v>0.99987803227770999</v>
      </c>
      <c r="C6297">
        <v>0.94367073927754996</v>
      </c>
      <c r="D6297">
        <v>0.95050578585997103</v>
      </c>
      <c r="E6297">
        <v>0.67961841916546795</v>
      </c>
      <c r="F6297">
        <v>0.32020258914820199</v>
      </c>
      <c r="G6297">
        <v>0.21324296778015001</v>
      </c>
      <c r="H6297">
        <v>0.16198825801757799</v>
      </c>
      <c r="I6297">
        <v>0.12277142352050099</v>
      </c>
      <c r="J6297">
        <v>0.104740566403022</v>
      </c>
      <c r="K6297">
        <v>6.0928741840649198E-2</v>
      </c>
      <c r="L6297">
        <v>1257.92150904904</v>
      </c>
      <c r="M6297">
        <v>24.680006914858001</v>
      </c>
      <c r="N6297">
        <v>51.492259772946099</v>
      </c>
      <c r="O6297">
        <v>50.638153676884301</v>
      </c>
      <c r="P6297">
        <v>-0.108338505156179</v>
      </c>
      <c r="Q6297">
        <v>0.11086179945670201</v>
      </c>
      <c r="R6297">
        <v>0.99273685509061105</v>
      </c>
      <c r="S6297" t="s">
        <v>12608</v>
      </c>
      <c r="T6297" t="s">
        <v>12620</v>
      </c>
      <c r="U6297" t="s">
        <v>12620</v>
      </c>
      <c r="V6297" t="s">
        <v>12620</v>
      </c>
      <c r="W6297" t="s">
        <v>18856</v>
      </c>
      <c r="X6297">
        <v>7</v>
      </c>
      <c r="Y6297" t="s">
        <v>24937</v>
      </c>
      <c r="Z6297" t="s">
        <v>31244</v>
      </c>
      <c r="AA6297">
        <v>0.44420366192555949</v>
      </c>
      <c r="AB6297" t="str">
        <f>HYPERLINK("Melting_Curves/meltCurve_Q9Y6Y0_IVNS1ABP.pdf", "Melting_Curves/meltCurve_Q9Y6Y0_IVNS1ABP.pdf")</f>
        <v>Melting_Curves/meltCurve_Q9Y6Y0_IVNS1ABP.pdf</v>
      </c>
    </row>
    <row r="6298" spans="1:28" x14ac:dyDescent="0.25">
      <c r="A6298" t="s">
        <v>6302</v>
      </c>
      <c r="B6298">
        <v>0.99987803227770999</v>
      </c>
      <c r="C6298">
        <v>0.89238489285272704</v>
      </c>
      <c r="D6298">
        <v>0.96221045108425496</v>
      </c>
      <c r="E6298">
        <v>0.78165611979709404</v>
      </c>
      <c r="F6298">
        <v>0.70747593515344998</v>
      </c>
      <c r="G6298">
        <v>0.327396131713382</v>
      </c>
      <c r="H6298">
        <v>0.27290385161957298</v>
      </c>
      <c r="I6298">
        <v>0.20940584310609101</v>
      </c>
      <c r="J6298">
        <v>0.17466705154711701</v>
      </c>
      <c r="K6298">
        <v>0.136428828987361</v>
      </c>
      <c r="L6298">
        <v>854.24654757583801</v>
      </c>
      <c r="M6298">
        <v>15.7819641083587</v>
      </c>
      <c r="N6298">
        <v>55.139119731661502</v>
      </c>
      <c r="O6298">
        <v>53.281316519102703</v>
      </c>
      <c r="P6298">
        <v>-6.47517028958082E-2</v>
      </c>
      <c r="Q6298">
        <v>0.125642300978029</v>
      </c>
      <c r="R6298">
        <v>0.98135220169631399</v>
      </c>
      <c r="S6298" t="s">
        <v>12609</v>
      </c>
      <c r="T6298" t="s">
        <v>12620</v>
      </c>
      <c r="U6298" t="s">
        <v>12620</v>
      </c>
      <c r="V6298" t="s">
        <v>12620</v>
      </c>
      <c r="W6298" t="s">
        <v>18857</v>
      </c>
      <c r="X6298">
        <v>3</v>
      </c>
      <c r="Y6298" t="s">
        <v>24938</v>
      </c>
      <c r="Z6298" t="s">
        <v>31245</v>
      </c>
      <c r="AA6298">
        <v>0.55412098941362986</v>
      </c>
      <c r="AB6298" t="str">
        <f>HYPERLINK("Melting_Curves/meltCurve_R4GMN1_MOSPD2.pdf", "Melting_Curves/meltCurve_R4GMN1_MOSPD2.pdf")</f>
        <v>Melting_Curves/meltCurve_R4GMN1_MOSPD2.pdf</v>
      </c>
    </row>
    <row r="6299" spans="1:28" x14ac:dyDescent="0.25">
      <c r="A6299" t="s">
        <v>6303</v>
      </c>
      <c r="B6299">
        <v>0.99987803227770999</v>
      </c>
      <c r="C6299">
        <v>0.83465774969678697</v>
      </c>
      <c r="D6299">
        <v>0.686788640303305</v>
      </c>
      <c r="E6299">
        <v>1.1366875716768501</v>
      </c>
      <c r="F6299">
        <v>0.86338211480612903</v>
      </c>
      <c r="G6299">
        <v>0.41560495218539301</v>
      </c>
      <c r="H6299">
        <v>0.109219796104884</v>
      </c>
      <c r="I6299">
        <v>7.8279104305963104E-2</v>
      </c>
      <c r="J6299">
        <v>4.87337725870692E-2</v>
      </c>
      <c r="K6299">
        <v>2.94229286132065E-2</v>
      </c>
      <c r="L6299">
        <v>1918.9423173648599</v>
      </c>
      <c r="M6299">
        <v>34.136851891024001</v>
      </c>
      <c r="N6299">
        <v>56.373160712172201</v>
      </c>
      <c r="O6299">
        <v>56.021362258845002</v>
      </c>
      <c r="P6299">
        <v>-0.14530783421422799</v>
      </c>
      <c r="Q6299">
        <v>4.6155616977563201E-2</v>
      </c>
      <c r="R6299">
        <v>0.91186047080011801</v>
      </c>
      <c r="S6299" t="s">
        <v>12610</v>
      </c>
      <c r="T6299" t="s">
        <v>12620</v>
      </c>
      <c r="U6299" t="s">
        <v>12620</v>
      </c>
      <c r="V6299" t="s">
        <v>12620</v>
      </c>
      <c r="W6299" t="s">
        <v>18858</v>
      </c>
      <c r="X6299">
        <v>8</v>
      </c>
      <c r="Y6299" t="s">
        <v>24939</v>
      </c>
      <c r="Z6299" t="s">
        <v>31246</v>
      </c>
      <c r="AA6299">
        <v>0.56665355752522184</v>
      </c>
      <c r="AB6299" t="str">
        <f>HYPERLINK("Melting_Curves/meltCurve_R4GMR5_PSMD8.pdf", "Melting_Curves/meltCurve_R4GMR5_PSMD8.pdf")</f>
        <v>Melting_Curves/meltCurve_R4GMR5_PSMD8.pdf</v>
      </c>
    </row>
    <row r="6300" spans="1:28" x14ac:dyDescent="0.25">
      <c r="A6300" t="s">
        <v>6304</v>
      </c>
      <c r="B6300">
        <v>0.99987803227770999</v>
      </c>
      <c r="C6300">
        <v>0.85650537580401798</v>
      </c>
      <c r="D6300">
        <v>0.97831539762018604</v>
      </c>
      <c r="E6300">
        <v>0.85117189120699299</v>
      </c>
      <c r="F6300">
        <v>1.0296035524495399</v>
      </c>
      <c r="G6300">
        <v>0.82508390106097995</v>
      </c>
      <c r="H6300">
        <v>0.82163400075393</v>
      </c>
      <c r="I6300">
        <v>0.76134283634317501</v>
      </c>
      <c r="J6300">
        <v>0.76579572588938105</v>
      </c>
      <c r="K6300">
        <v>0.63773956915590602</v>
      </c>
      <c r="L6300">
        <v>316.44833304884202</v>
      </c>
      <c r="M6300">
        <v>3.7546891650418202</v>
      </c>
      <c r="O6300">
        <v>67.759230128869604</v>
      </c>
      <c r="P6300">
        <v>-1.40707475765511E-2</v>
      </c>
      <c r="Q6300">
        <v>0</v>
      </c>
      <c r="R6300">
        <v>0.68400298591485997</v>
      </c>
      <c r="S6300" t="s">
        <v>12611</v>
      </c>
      <c r="T6300" t="s">
        <v>12620</v>
      </c>
      <c r="U6300" t="s">
        <v>12620</v>
      </c>
      <c r="V6300" t="s">
        <v>12620</v>
      </c>
      <c r="W6300" t="s">
        <v>18859</v>
      </c>
      <c r="X6300">
        <v>4</v>
      </c>
      <c r="Y6300" t="s">
        <v>24940</v>
      </c>
      <c r="Z6300" t="s">
        <v>31247</v>
      </c>
      <c r="AA6300">
        <v>0.86416837662102008</v>
      </c>
      <c r="AB6300" t="str">
        <f>HYPERLINK("Melting_Curves/meltCurve_R4GMU8_LAMTOR5.pdf", "Melting_Curves/meltCurve_R4GMU8_LAMTOR5.pdf")</f>
        <v>Melting_Curves/meltCurve_R4GMU8_LAMTOR5.pdf</v>
      </c>
    </row>
    <row r="6301" spans="1:28" x14ac:dyDescent="0.25">
      <c r="A6301" t="s">
        <v>6305</v>
      </c>
      <c r="B6301">
        <v>0.99987803227770999</v>
      </c>
      <c r="C6301">
        <v>0.93500175132416596</v>
      </c>
      <c r="D6301">
        <v>0.97648423961311803</v>
      </c>
      <c r="E6301">
        <v>0.84416482551059402</v>
      </c>
      <c r="F6301">
        <v>0.56104755946817797</v>
      </c>
      <c r="G6301">
        <v>0.28160367706483702</v>
      </c>
      <c r="H6301">
        <v>0.20985751152840301</v>
      </c>
      <c r="I6301">
        <v>0.166869072200759</v>
      </c>
      <c r="J6301">
        <v>0.104920734208997</v>
      </c>
      <c r="K6301">
        <v>6.8719048248251896E-2</v>
      </c>
      <c r="L6301">
        <v>1072.81635059523</v>
      </c>
      <c r="M6301">
        <v>20.103481472673099</v>
      </c>
      <c r="N6301">
        <v>53.981228807021701</v>
      </c>
      <c r="O6301">
        <v>52.845102179943197</v>
      </c>
      <c r="P6301">
        <v>-8.5352913926098506E-2</v>
      </c>
      <c r="Q6301">
        <v>0.102575670580659</v>
      </c>
      <c r="R6301">
        <v>0.99295627587333901</v>
      </c>
      <c r="S6301" t="s">
        <v>12612</v>
      </c>
      <c r="T6301" t="s">
        <v>12620</v>
      </c>
      <c r="U6301" t="s">
        <v>12620</v>
      </c>
      <c r="V6301" t="s">
        <v>12620</v>
      </c>
      <c r="W6301" t="s">
        <v>18860</v>
      </c>
      <c r="X6301">
        <v>14</v>
      </c>
      <c r="Y6301" t="s">
        <v>24941</v>
      </c>
      <c r="Z6301" t="s">
        <v>31248</v>
      </c>
      <c r="AA6301">
        <v>0.51456305787130607</v>
      </c>
      <c r="AB6301" t="str">
        <f>HYPERLINK("Melting_Curves/meltCurve_R4GMX3_BMI1.pdf", "Melting_Curves/meltCurve_R4GMX3_BMI1.pdf")</f>
        <v>Melting_Curves/meltCurve_R4GMX3_BMI1.pdf</v>
      </c>
    </row>
    <row r="6302" spans="1:28" x14ac:dyDescent="0.25">
      <c r="A6302" t="s">
        <v>6306</v>
      </c>
      <c r="B6302">
        <v>0.99987803227770999</v>
      </c>
      <c r="C6302">
        <v>0.86326645612448005</v>
      </c>
      <c r="D6302">
        <v>1.076516924166</v>
      </c>
      <c r="E6302">
        <v>0.90821564287914602</v>
      </c>
      <c r="F6302">
        <v>0.90450146329450398</v>
      </c>
      <c r="G6302">
        <v>0.52894708583254002</v>
      </c>
      <c r="H6302">
        <v>0.42867091406703001</v>
      </c>
      <c r="I6302">
        <v>0.48212510535030301</v>
      </c>
      <c r="J6302">
        <v>0.36796216202818199</v>
      </c>
      <c r="K6302">
        <v>0.30530783345388302</v>
      </c>
      <c r="L6302">
        <v>1624.51034152386</v>
      </c>
      <c r="M6302">
        <v>29.3772797898569</v>
      </c>
      <c r="N6302">
        <v>58.0869562609195</v>
      </c>
      <c r="O6302">
        <v>55.043863139560401</v>
      </c>
      <c r="P6302">
        <v>-8.2994885245045905E-2</v>
      </c>
      <c r="Q6302">
        <v>0.37797838694833402</v>
      </c>
      <c r="R6302">
        <v>0.93913373627833896</v>
      </c>
      <c r="S6302" t="s">
        <v>12613</v>
      </c>
      <c r="T6302" t="s">
        <v>12620</v>
      </c>
      <c r="U6302" t="s">
        <v>12620</v>
      </c>
      <c r="V6302" t="s">
        <v>12620</v>
      </c>
      <c r="W6302" t="s">
        <v>18861</v>
      </c>
      <c r="X6302">
        <v>12</v>
      </c>
      <c r="Y6302" t="s">
        <v>24942</v>
      </c>
      <c r="Z6302" t="s">
        <v>31249</v>
      </c>
      <c r="AA6302">
        <v>0.69947178831735235</v>
      </c>
      <c r="AB6302" t="str">
        <f>HYPERLINK("Melting_Curves/meltCurve_R4GN55_YTHDF3.pdf", "Melting_Curves/meltCurve_R4GN55_YTHDF3.pdf")</f>
        <v>Melting_Curves/meltCurve_R4GN55_YTHDF3.pdf</v>
      </c>
    </row>
    <row r="6303" spans="1:28" x14ac:dyDescent="0.25">
      <c r="A6303" t="s">
        <v>6307</v>
      </c>
      <c r="B6303">
        <v>0.99987803227770999</v>
      </c>
      <c r="C6303">
        <v>1.0440054350688599</v>
      </c>
      <c r="D6303">
        <v>1.0713850476148301</v>
      </c>
      <c r="E6303">
        <v>0.93209073227012496</v>
      </c>
      <c r="F6303">
        <v>0.769657007299553</v>
      </c>
      <c r="G6303">
        <v>0.37038574474113101</v>
      </c>
      <c r="H6303">
        <v>0.39179510211775598</v>
      </c>
      <c r="I6303">
        <v>0.26251496707566802</v>
      </c>
      <c r="J6303">
        <v>0.21232791086293201</v>
      </c>
      <c r="K6303">
        <v>0.164780914373166</v>
      </c>
      <c r="L6303">
        <v>1365.61056050052</v>
      </c>
      <c r="M6303">
        <v>24.995388533261998</v>
      </c>
      <c r="N6303">
        <v>55.979592097096301</v>
      </c>
      <c r="O6303">
        <v>54.288397987952898</v>
      </c>
      <c r="P6303">
        <v>-8.9120106516833497E-2</v>
      </c>
      <c r="Q6303">
        <v>0.22575755697637001</v>
      </c>
      <c r="R6303">
        <v>0.97676951032885695</v>
      </c>
      <c r="S6303" t="s">
        <v>12614</v>
      </c>
      <c r="T6303" t="s">
        <v>12620</v>
      </c>
      <c r="U6303" t="s">
        <v>12620</v>
      </c>
      <c r="V6303" t="s">
        <v>12620</v>
      </c>
      <c r="W6303" t="s">
        <v>18862</v>
      </c>
      <c r="X6303">
        <v>1</v>
      </c>
      <c r="Y6303" t="s">
        <v>24943</v>
      </c>
      <c r="Z6303" t="s">
        <v>31250</v>
      </c>
      <c r="AA6303">
        <v>0.61061724807457762</v>
      </c>
      <c r="AB6303" t="str">
        <f>HYPERLINK("Melting_Curves/meltCurve_R4GN62_PARD3B.pdf", "Melting_Curves/meltCurve_R4GN62_PARD3B.pdf")</f>
        <v>Melting_Curves/meltCurve_R4GN62_PARD3B.pdf</v>
      </c>
    </row>
    <row r="6304" spans="1:28" x14ac:dyDescent="0.25">
      <c r="A6304" t="s">
        <v>6308</v>
      </c>
      <c r="B6304">
        <v>0.99987803227770999</v>
      </c>
      <c r="C6304">
        <v>0.82925931181618395</v>
      </c>
      <c r="D6304">
        <v>0.95139471149559196</v>
      </c>
      <c r="E6304">
        <v>0.88503678804468</v>
      </c>
      <c r="F6304">
        <v>1.14906370464087</v>
      </c>
      <c r="G6304">
        <v>1.0249531644863701</v>
      </c>
      <c r="H6304">
        <v>1.2928246099588001</v>
      </c>
      <c r="I6304">
        <v>0.91431103328318197</v>
      </c>
      <c r="J6304">
        <v>1.40720096898332</v>
      </c>
      <c r="K6304">
        <v>1.11524909581904</v>
      </c>
      <c r="L6304">
        <v>1189.3786118948599</v>
      </c>
      <c r="M6304">
        <v>20.958829726297299</v>
      </c>
      <c r="O6304">
        <v>56.239290503066499</v>
      </c>
      <c r="P6304">
        <v>1.7591349125948699E-2</v>
      </c>
      <c r="Q6304">
        <v>1.18880791627539</v>
      </c>
      <c r="R6304">
        <v>0.32301408300088602</v>
      </c>
      <c r="S6304" t="s">
        <v>12615</v>
      </c>
      <c r="T6304" t="s">
        <v>12620</v>
      </c>
      <c r="U6304" t="s">
        <v>12620</v>
      </c>
      <c r="V6304" t="s">
        <v>12620</v>
      </c>
      <c r="W6304" t="s">
        <v>18863</v>
      </c>
      <c r="X6304">
        <v>10</v>
      </c>
      <c r="Y6304" t="s">
        <v>24944</v>
      </c>
      <c r="Z6304" t="s">
        <v>31251</v>
      </c>
      <c r="AA6304">
        <v>1.0811905785329361</v>
      </c>
      <c r="AB6304" t="str">
        <f>HYPERLINK("Melting_Curves/meltCurve_R4GN98_S100A6.pdf", "Melting_Curves/meltCurve_R4GN98_S100A6.pdf")</f>
        <v>Melting_Curves/meltCurve_R4GN98_S100A6.pdf</v>
      </c>
    </row>
    <row r="6305" spans="1:28" x14ac:dyDescent="0.25">
      <c r="A6305" t="s">
        <v>6309</v>
      </c>
      <c r="B6305">
        <v>0.99987803227770999</v>
      </c>
      <c r="C6305">
        <v>1.03206732174316</v>
      </c>
      <c r="D6305">
        <v>0.92005943108598298</v>
      </c>
      <c r="E6305">
        <v>0.85473871789854905</v>
      </c>
      <c r="F6305">
        <v>0.54066243394878699</v>
      </c>
      <c r="G6305">
        <v>0.31639796881974602</v>
      </c>
      <c r="H6305">
        <v>0.25117748365091402</v>
      </c>
      <c r="I6305">
        <v>0.21904963846500899</v>
      </c>
      <c r="J6305">
        <v>0.179972479102285</v>
      </c>
      <c r="K6305">
        <v>0.13596554293402999</v>
      </c>
      <c r="L6305">
        <v>1136.25801167144</v>
      </c>
      <c r="M6305">
        <v>21.509940419938701</v>
      </c>
      <c r="N6305">
        <v>53.904974998918</v>
      </c>
      <c r="O6305">
        <v>52.374567208191401</v>
      </c>
      <c r="P6305">
        <v>-8.4699452540191997E-2</v>
      </c>
      <c r="Q6305">
        <v>0.175081062907913</v>
      </c>
      <c r="R6305">
        <v>0.991712843385538</v>
      </c>
      <c r="S6305" t="s">
        <v>12616</v>
      </c>
      <c r="T6305" t="s">
        <v>12620</v>
      </c>
      <c r="U6305" t="s">
        <v>12620</v>
      </c>
      <c r="V6305" t="s">
        <v>12620</v>
      </c>
      <c r="W6305" t="s">
        <v>18864</v>
      </c>
      <c r="X6305">
        <v>14</v>
      </c>
      <c r="Y6305" t="s">
        <v>24945</v>
      </c>
      <c r="Z6305" t="s">
        <v>31252</v>
      </c>
      <c r="AA6305">
        <v>0.53772832837828466</v>
      </c>
      <c r="AB6305" t="str">
        <f>HYPERLINK("Melting_Curves/meltCurve_R4GNB2_DENND4C.pdf", "Melting_Curves/meltCurve_R4GNB2_DENND4C.pdf")</f>
        <v>Melting_Curves/meltCurve_R4GNB2_DENND4C.pdf</v>
      </c>
    </row>
    <row r="6306" spans="1:28" x14ac:dyDescent="0.25">
      <c r="A6306" t="s">
        <v>6310</v>
      </c>
      <c r="B6306">
        <v>0.99987803227770999</v>
      </c>
      <c r="C6306">
        <v>0.72511036960212705</v>
      </c>
      <c r="D6306">
        <v>0.52488735934211295</v>
      </c>
      <c r="E6306">
        <v>0.41126081158217598</v>
      </c>
      <c r="F6306">
        <v>0.30908638671453498</v>
      </c>
      <c r="G6306">
        <v>0.22017999181765799</v>
      </c>
      <c r="H6306">
        <v>0.17725312590548101</v>
      </c>
      <c r="I6306">
        <v>0.184491557206962</v>
      </c>
      <c r="J6306">
        <v>0.17135720549588099</v>
      </c>
      <c r="K6306">
        <v>0.117582150986104</v>
      </c>
      <c r="L6306">
        <v>604.374492594863</v>
      </c>
      <c r="M6306">
        <v>13.121243238529701</v>
      </c>
      <c r="N6306">
        <v>47.361296917137302</v>
      </c>
      <c r="O6306">
        <v>45.0303188183956</v>
      </c>
      <c r="P6306">
        <v>-6.18378386382075E-2</v>
      </c>
      <c r="Q6306">
        <v>0.15126889633638499</v>
      </c>
      <c r="R6306">
        <v>0.97402069924590495</v>
      </c>
      <c r="S6306" t="s">
        <v>12617</v>
      </c>
      <c r="T6306" t="s">
        <v>12620</v>
      </c>
      <c r="U6306" t="s">
        <v>12620</v>
      </c>
      <c r="V6306" t="s">
        <v>12620</v>
      </c>
      <c r="W6306" t="s">
        <v>18865</v>
      </c>
      <c r="X6306">
        <v>3</v>
      </c>
      <c r="Y6306" t="s">
        <v>24946</v>
      </c>
      <c r="Z6306" t="s">
        <v>31253</v>
      </c>
      <c r="AA6306">
        <v>0.35511852302848002</v>
      </c>
      <c r="AB6306" t="str">
        <f>HYPERLINK("Melting_Curves/meltCurve_R4GND3_PHLDA1.pdf", "Melting_Curves/meltCurve_R4GND3_PHLDA1.pdf")</f>
        <v>Melting_Curves/meltCurve_R4GND3_PHLDA1.pdf</v>
      </c>
    </row>
    <row r="6307" spans="1:28" x14ac:dyDescent="0.25">
      <c r="A6307" t="s">
        <v>6311</v>
      </c>
      <c r="B6307">
        <v>0.99987803227770999</v>
      </c>
      <c r="C6307">
        <v>0.968043415441878</v>
      </c>
      <c r="D6307">
        <v>0.71713365850326605</v>
      </c>
      <c r="E6307">
        <v>0.79962216467573999</v>
      </c>
      <c r="F6307">
        <v>0.60817153115914402</v>
      </c>
      <c r="G6307">
        <v>0.33911002051415401</v>
      </c>
      <c r="H6307">
        <v>0.158764272610113</v>
      </c>
      <c r="I6307">
        <v>0.126754096116278</v>
      </c>
      <c r="J6307">
        <v>9.1044731841287196E-2</v>
      </c>
      <c r="K6307">
        <v>6.2039829004479699E-2</v>
      </c>
      <c r="L6307">
        <v>638.660447738127</v>
      </c>
      <c r="M6307">
        <v>11.8190173270104</v>
      </c>
      <c r="N6307">
        <v>54.036678945902203</v>
      </c>
      <c r="O6307">
        <v>52.559350417572297</v>
      </c>
      <c r="P6307">
        <v>-5.6231855669420398E-2</v>
      </c>
      <c r="Q6307">
        <v>0</v>
      </c>
      <c r="R6307">
        <v>0.96778662346631505</v>
      </c>
      <c r="S6307" t="s">
        <v>12618</v>
      </c>
      <c r="T6307" t="s">
        <v>12620</v>
      </c>
      <c r="U6307" t="s">
        <v>12620</v>
      </c>
      <c r="V6307" t="s">
        <v>12620</v>
      </c>
      <c r="W6307" t="s">
        <v>18866</v>
      </c>
      <c r="X6307">
        <v>29</v>
      </c>
      <c r="Y6307" t="s">
        <v>24947</v>
      </c>
      <c r="Z6307" t="s">
        <v>31254</v>
      </c>
      <c r="AA6307">
        <v>0.49427550519947872</v>
      </c>
      <c r="AB6307" t="str">
        <f>HYPERLINK("Melting_Curves/meltCurve_R4GNH3_PSMC3.pdf", "Melting_Curves/meltCurve_R4GNH3_PSMC3.pdf")</f>
        <v>Melting_Curves/meltCurve_R4GNH3_PSMC3.pdf</v>
      </c>
    </row>
    <row r="6308" spans="1:28" x14ac:dyDescent="0.25">
      <c r="A6308" t="s">
        <v>6312</v>
      </c>
      <c r="B6308">
        <v>0.99987803227770999</v>
      </c>
      <c r="C6308">
        <v>0.85677207721486404</v>
      </c>
      <c r="D6308">
        <v>1.0557082764419901</v>
      </c>
      <c r="E6308">
        <v>0.70402003213340603</v>
      </c>
      <c r="F6308">
        <v>0.63555754738285297</v>
      </c>
      <c r="G6308">
        <v>0.49733308442206697</v>
      </c>
      <c r="H6308">
        <v>0.51309711494071397</v>
      </c>
      <c r="I6308">
        <v>0.54947684630930405</v>
      </c>
      <c r="J6308">
        <v>0.412636738772937</v>
      </c>
      <c r="K6308">
        <v>0.31263662154446897</v>
      </c>
      <c r="L6308">
        <v>757.29964683937203</v>
      </c>
      <c r="M6308">
        <v>14.7183749580662</v>
      </c>
      <c r="N6308">
        <v>58.139173104601099</v>
      </c>
      <c r="O6308">
        <v>50.530852073367697</v>
      </c>
      <c r="P6308">
        <v>-4.3113927156486702E-2</v>
      </c>
      <c r="Q6308">
        <v>0.40799267745397499</v>
      </c>
      <c r="R6308">
        <v>0.88368663241860501</v>
      </c>
      <c r="S6308" t="s">
        <v>12619</v>
      </c>
      <c r="T6308" t="s">
        <v>12620</v>
      </c>
      <c r="U6308" t="s">
        <v>12620</v>
      </c>
      <c r="V6308" t="s">
        <v>12620</v>
      </c>
      <c r="W6308" t="s">
        <v>18867</v>
      </c>
      <c r="X6308">
        <v>2</v>
      </c>
      <c r="Y6308" t="s">
        <v>24948</v>
      </c>
      <c r="Z6308" t="s">
        <v>31255</v>
      </c>
      <c r="AA6308">
        <v>0.64788819238309869</v>
      </c>
      <c r="AB6308" t="str">
        <f>HYPERLINK("Melting_Curves/meltCurve_R4GNH4_FBXO44.pdf", "Melting_Curves/meltCurve_R4GNH4_FBXO44.pdf")</f>
        <v>Melting_Curves/meltCurve_R4GNH4_FBXO44.pdf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2017-09-14T13:05:59Z</dcterms:created>
  <dcterms:modified xsi:type="dcterms:W3CDTF">2018-08-20T13:53:25Z</dcterms:modified>
</cp:coreProperties>
</file>